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qu841\.spyder-py3\"/>
    </mc:Choice>
  </mc:AlternateContent>
  <bookViews>
    <workbookView xWindow="0" yWindow="0" windowWidth="28800" windowHeight="12165" tabRatio="602" firstSheet="2" activeTab="2" xr2:uid="{00000000-000D-0000-FFFF-FFFF00000000}"/>
  </bookViews>
  <sheets>
    <sheet name="金融股" sheetId="757" r:id="rId1"/>
    <sheet name="策略" sheetId="186" r:id="rId2"/>
    <sheet name="儀表板" sheetId="1" r:id="rId3"/>
    <sheet name="Yui" sheetId="973" r:id="rId4"/>
    <sheet name="0000" sheetId="974" r:id="rId5"/>
    <sheet name="1227" sheetId="1049" r:id="rId6"/>
    <sheet name="1323" sheetId="1024" r:id="rId7"/>
    <sheet name="1507" sheetId="1038" r:id="rId8"/>
    <sheet name="1521" sheetId="976" r:id="rId9"/>
    <sheet name="1558" sheetId="992" r:id="rId10"/>
    <sheet name="1580" sheetId="1020" r:id="rId11"/>
    <sheet name="1582" sheetId="1014" r:id="rId12"/>
    <sheet name="1702" sheetId="978" r:id="rId13"/>
    <sheet name="1717" sheetId="1017" r:id="rId14"/>
    <sheet name="1726" sheetId="1043" r:id="rId15"/>
    <sheet name="1773" sheetId="1059" r:id="rId16"/>
    <sheet name="1817" sheetId="980" r:id="rId17"/>
    <sheet name="2105" sheetId="1021" r:id="rId18"/>
    <sheet name="2106" sheetId="1022" r:id="rId19"/>
    <sheet name="2114" sheetId="1042" r:id="rId20"/>
    <sheet name="2228" sheetId="990" r:id="rId21"/>
    <sheet name="2231" sheetId="1023" r:id="rId22"/>
    <sheet name="2308" sheetId="995" r:id="rId23"/>
    <sheet name="2317" sheetId="1054" r:id="rId24"/>
    <sheet name="2330" sheetId="1044" r:id="rId25"/>
    <sheet name="2383" sheetId="1061" r:id="rId26"/>
    <sheet name="2385" sheetId="1000" r:id="rId27"/>
    <sheet name="2412" sheetId="984" r:id="rId28"/>
    <sheet name="2421" sheetId="1067" r:id="rId29"/>
    <sheet name="2428" sheetId="1055" r:id="rId30"/>
    <sheet name="2451" sheetId="987" r:id="rId31"/>
    <sheet name="2454" sheetId="1006" r:id="rId32"/>
    <sheet name="2455" sheetId="1046" r:id="rId33"/>
    <sheet name="2474" sheetId="1045" r:id="rId34"/>
    <sheet name="2608" sheetId="1008" r:id="rId35"/>
    <sheet name="2886" sheetId="918" r:id="rId36"/>
    <sheet name="2892" sheetId="917" r:id="rId37"/>
    <sheet name="2912" sheetId="1058" r:id="rId38"/>
    <sheet name="3014" sheetId="1009" r:id="rId39"/>
    <sheet name="3023" sheetId="1063" r:id="rId40"/>
    <sheet name="3034" sheetId="1002" r:id="rId41"/>
    <sheet name="3152" sheetId="1064" r:id="rId42"/>
    <sheet name="3264" sheetId="1065" r:id="rId43"/>
    <sheet name="3416" sheetId="1026" r:id="rId44"/>
    <sheet name="3443" sheetId="1071" r:id="rId45"/>
    <sheet name="3450" sheetId="1025" r:id="rId46"/>
    <sheet name="3454" sheetId="1034" r:id="rId47"/>
    <sheet name="3556" sheetId="988" r:id="rId48"/>
    <sheet name="3558" sheetId="993" r:id="rId49"/>
    <sheet name="3563" sheetId="1070" r:id="rId50"/>
    <sheet name="4103" sheetId="1010" r:id="rId51"/>
    <sheet name="4126" sheetId="1053" r:id="rId52"/>
    <sheet name="4163" sheetId="1007" r:id="rId53"/>
    <sheet name="4205" sheetId="986" r:id="rId54"/>
    <sheet name="4401" sheetId="991" r:id="rId55"/>
    <sheet name="4706" sheetId="1005" r:id="rId56"/>
    <sheet name="4915" sheetId="1066" r:id="rId57"/>
    <sheet name="4919" sheetId="1069" r:id="rId58"/>
    <sheet name="4952" sheetId="1037" r:id="rId59"/>
    <sheet name="4974" sheetId="1028" r:id="rId60"/>
    <sheet name="4999" sheetId="989" r:id="rId61"/>
    <sheet name="5007" sheetId="981" r:id="rId62"/>
    <sheet name="5289" sheetId="1060" r:id="rId63"/>
    <sheet name="5347" sheetId="1051" r:id="rId64"/>
    <sheet name="5388" sheetId="1036" r:id="rId65"/>
    <sheet name="5434" sheetId="1039" r:id="rId66"/>
    <sheet name="5490" sheetId="997" r:id="rId67"/>
    <sheet name="6115" sheetId="1032" r:id="rId68"/>
    <sheet name="6121" sheetId="1062" r:id="rId69"/>
    <sheet name="6189" sheetId="1016" r:id="rId70"/>
    <sheet name="6202" sheetId="1056" r:id="rId71"/>
    <sheet name="6206" sheetId="994" r:id="rId72"/>
    <sheet name="6216" sheetId="1003" r:id="rId73"/>
    <sheet name="6217" sheetId="873" r:id="rId74"/>
    <sheet name="6224" sheetId="999" r:id="rId75"/>
    <sheet name="6230" sheetId="1013" r:id="rId76"/>
    <sheet name="6245" sheetId="1027" r:id="rId77"/>
    <sheet name="6257" sheetId="1048" r:id="rId78"/>
    <sheet name="6263" sheetId="1047" r:id="rId79"/>
    <sheet name="6269" sheetId="1050" r:id="rId80"/>
    <sheet name="6271" sheetId="1057" r:id="rId81"/>
    <sheet name="6277" sheetId="1011" r:id="rId82"/>
    <sheet name="6285" sheetId="1012" r:id="rId83"/>
    <sheet name="6412" sheetId="1040" r:id="rId84"/>
    <sheet name="6803" sheetId="975" r:id="rId85"/>
    <sheet name="8016" sheetId="979" r:id="rId86"/>
    <sheet name="8048" sheetId="998" r:id="rId87"/>
    <sheet name="8109" sheetId="1041" r:id="rId88"/>
    <sheet name="8210" sheetId="1004" r:id="rId89"/>
    <sheet name="8255" sheetId="1018" r:id="rId90"/>
    <sheet name="8299" sheetId="1015" r:id="rId91"/>
    <sheet name="8416" sheetId="977" r:id="rId92"/>
    <sheet name="8422" sheetId="996" r:id="rId93"/>
    <sheet name="9910" sheetId="1052" r:id="rId94"/>
    <sheet name="9914" sheetId="1030" r:id="rId95"/>
    <sheet name="9917" sheetId="983" r:id="rId96"/>
    <sheet name="9921" sheetId="1033" r:id="rId97"/>
    <sheet name="9924" sheetId="1001" r:id="rId98"/>
    <sheet name="9925" sheetId="1029" r:id="rId99"/>
    <sheet name="9930" sheetId="1019" r:id="rId100"/>
    <sheet name="9940" sheetId="985" r:id="rId101"/>
    <sheet name="9942" sheetId="982" r:id="rId102"/>
    <sheet name="9943" sheetId="1031" r:id="rId103"/>
    <sheet name="9951" sheetId="1035" r:id="rId104"/>
  </sheets>
  <externalReferences>
    <externalReference r:id="rId105"/>
    <externalReference r:id="rId106"/>
  </externalReferences>
  <definedNames>
    <definedName name="_xlnm._FilterDatabase" localSheetId="3" hidden="1">Yui!$A$1:$T$2</definedName>
    <definedName name="_xlnm._FilterDatabase" localSheetId="2" hidden="1">儀表板!$A$1:$W$27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873" l="1"/>
  <c r="C1" i="873"/>
  <c r="C3" i="973"/>
  <c r="D3" i="973"/>
  <c r="C4" i="973"/>
  <c r="D4" i="973"/>
  <c r="C5" i="973"/>
  <c r="D5" i="973"/>
  <c r="C6" i="973"/>
  <c r="D6" i="973"/>
  <c r="C7" i="973"/>
  <c r="D7" i="973"/>
  <c r="D2" i="973"/>
  <c r="C2" i="973"/>
  <c r="D5" i="1"/>
  <c r="E5" i="1"/>
  <c r="D81" i="1"/>
  <c r="E81" i="1"/>
  <c r="D58" i="1"/>
  <c r="E58" i="1"/>
  <c r="D88" i="1"/>
  <c r="E88" i="1"/>
  <c r="D13" i="1"/>
  <c r="E13" i="1"/>
  <c r="D27" i="1"/>
  <c r="E27" i="1"/>
  <c r="D45" i="1"/>
  <c r="E45" i="1"/>
  <c r="D82" i="1"/>
  <c r="E82" i="1"/>
  <c r="D17" i="1"/>
  <c r="E17" i="1"/>
  <c r="D44" i="1"/>
  <c r="E44" i="1"/>
  <c r="D37" i="1"/>
  <c r="E37" i="1"/>
  <c r="D83" i="1"/>
  <c r="E83" i="1"/>
  <c r="D51" i="1"/>
  <c r="E51" i="1"/>
  <c r="D19" i="1"/>
  <c r="E19" i="1"/>
  <c r="D52" i="1"/>
  <c r="E52" i="1"/>
  <c r="D57" i="1"/>
  <c r="E57" i="1"/>
  <c r="D8" i="1"/>
  <c r="E8" i="1"/>
  <c r="D63" i="1"/>
  <c r="E63" i="1"/>
  <c r="D23" i="1"/>
  <c r="E23" i="1"/>
  <c r="D35" i="1"/>
  <c r="E35" i="1"/>
  <c r="D68" i="1"/>
  <c r="E68" i="1"/>
  <c r="D97" i="1"/>
  <c r="E97" i="1"/>
  <c r="D86" i="1"/>
  <c r="E86" i="1"/>
  <c r="D31" i="1"/>
  <c r="E31" i="1"/>
  <c r="D6" i="1"/>
  <c r="E6" i="1"/>
  <c r="D94" i="1"/>
  <c r="E94" i="1"/>
  <c r="D71" i="1"/>
  <c r="E71" i="1"/>
  <c r="D47" i="1"/>
  <c r="E47" i="1"/>
  <c r="D89" i="1"/>
  <c r="E89" i="1"/>
  <c r="D72" i="1"/>
  <c r="E72" i="1"/>
  <c r="D9" i="1"/>
  <c r="E9" i="1"/>
  <c r="D69" i="1"/>
  <c r="E69" i="1"/>
  <c r="D66" i="1"/>
  <c r="E66" i="1"/>
  <c r="D49" i="1"/>
  <c r="E49" i="1"/>
  <c r="D87" i="1"/>
  <c r="E87" i="1"/>
  <c r="D80" i="1"/>
  <c r="E80" i="1"/>
  <c r="D76" i="1"/>
  <c r="E76" i="1"/>
  <c r="D4" i="1"/>
  <c r="E4" i="1"/>
  <c r="D59" i="1"/>
  <c r="E59" i="1"/>
  <c r="D18" i="1"/>
  <c r="E18" i="1"/>
  <c r="D14" i="1"/>
  <c r="E14" i="1"/>
  <c r="D85" i="1"/>
  <c r="E85" i="1"/>
  <c r="D98" i="1"/>
  <c r="E98" i="1"/>
  <c r="D15" i="1"/>
  <c r="E15" i="1"/>
  <c r="D43" i="1"/>
  <c r="E43" i="1"/>
  <c r="D33" i="1"/>
  <c r="E33" i="1"/>
  <c r="D84" i="1"/>
  <c r="E84" i="1"/>
  <c r="D55" i="1"/>
  <c r="E55" i="1"/>
  <c r="D30" i="1"/>
  <c r="E30" i="1"/>
  <c r="D40" i="1"/>
  <c r="E40" i="1"/>
  <c r="D56" i="1"/>
  <c r="E56" i="1"/>
  <c r="D96" i="1"/>
  <c r="E96" i="1"/>
  <c r="D79" i="1"/>
  <c r="E79" i="1"/>
  <c r="D91" i="1"/>
  <c r="E91" i="1"/>
  <c r="D10" i="1"/>
  <c r="E10" i="1"/>
  <c r="D64" i="1"/>
  <c r="E64" i="1"/>
  <c r="D32" i="1"/>
  <c r="E32" i="1"/>
  <c r="D99" i="1"/>
  <c r="E99" i="1"/>
  <c r="D28" i="1"/>
  <c r="E28" i="1"/>
  <c r="D95" i="1"/>
  <c r="E95" i="1"/>
  <c r="D20" i="1"/>
  <c r="E20" i="1"/>
  <c r="D93" i="1"/>
  <c r="E93" i="1"/>
  <c r="D16" i="1"/>
  <c r="E16" i="1"/>
  <c r="D77" i="1"/>
  <c r="E77" i="1"/>
  <c r="D78" i="1"/>
  <c r="E78" i="1"/>
  <c r="D73" i="1"/>
  <c r="E73" i="1"/>
  <c r="D7" i="1"/>
  <c r="E7" i="1"/>
  <c r="D42" i="1"/>
  <c r="E42" i="1"/>
  <c r="D92" i="1"/>
  <c r="E92" i="1"/>
  <c r="D100" i="1"/>
  <c r="E100" i="1"/>
  <c r="D75" i="1"/>
  <c r="E75" i="1"/>
  <c r="D11" i="1"/>
  <c r="E11" i="1"/>
  <c r="D48" i="1"/>
  <c r="E48" i="1"/>
  <c r="D50" i="1"/>
  <c r="E50" i="1"/>
  <c r="D61" i="1"/>
  <c r="E61" i="1"/>
  <c r="D2" i="1"/>
  <c r="E2" i="1"/>
  <c r="D34" i="1"/>
  <c r="E34" i="1"/>
  <c r="D74" i="1"/>
  <c r="E74" i="1"/>
  <c r="D26" i="1"/>
  <c r="E26" i="1"/>
  <c r="D62" i="1"/>
  <c r="E62" i="1"/>
  <c r="D90" i="1"/>
  <c r="E90" i="1"/>
  <c r="D67" i="1"/>
  <c r="E67" i="1"/>
  <c r="D24" i="1"/>
  <c r="E24" i="1"/>
  <c r="D22" i="1"/>
  <c r="E22" i="1"/>
  <c r="D60" i="1"/>
  <c r="E60" i="1"/>
  <c r="D3" i="1"/>
  <c r="E3" i="1"/>
  <c r="D65" i="1"/>
  <c r="E65" i="1"/>
  <c r="D54" i="1"/>
  <c r="E54" i="1"/>
  <c r="D36" i="1"/>
  <c r="E36" i="1"/>
  <c r="D12" i="1"/>
  <c r="E12" i="1"/>
  <c r="D53" i="1"/>
  <c r="E53" i="1"/>
  <c r="D21" i="1"/>
  <c r="E21" i="1"/>
  <c r="D39" i="1"/>
  <c r="E39" i="1"/>
  <c r="D38" i="1"/>
  <c r="E38" i="1"/>
  <c r="D25" i="1"/>
  <c r="E25" i="1"/>
  <c r="D29" i="1"/>
  <c r="E29" i="1"/>
  <c r="D41" i="1"/>
  <c r="E41" i="1"/>
  <c r="D46" i="1"/>
  <c r="E46" i="1"/>
  <c r="E70" i="1"/>
  <c r="D70" i="1"/>
  <c r="F143" i="1071" l="1"/>
  <c r="E143" i="1071"/>
  <c r="D143" i="1071"/>
  <c r="C143" i="1071"/>
  <c r="D20" i="1071" s="1"/>
  <c r="B143" i="1071"/>
  <c r="B142" i="1071"/>
  <c r="F137" i="1071"/>
  <c r="E137" i="1071"/>
  <c r="D137" i="1071"/>
  <c r="C137" i="1071"/>
  <c r="B137" i="1071"/>
  <c r="F103" i="1071"/>
  <c r="C24" i="1071" s="1"/>
  <c r="E103" i="1071"/>
  <c r="D103" i="1071"/>
  <c r="C103" i="1071"/>
  <c r="B103" i="1071"/>
  <c r="Y94" i="1071"/>
  <c r="X94" i="1071"/>
  <c r="W94" i="1071"/>
  <c r="V94" i="1071"/>
  <c r="U94" i="1071"/>
  <c r="T94" i="1071"/>
  <c r="S94" i="1071"/>
  <c r="R94" i="1071"/>
  <c r="Q94" i="1071"/>
  <c r="P94" i="1071"/>
  <c r="O94" i="1071"/>
  <c r="N94" i="1071"/>
  <c r="M94" i="1071"/>
  <c r="L94" i="1071"/>
  <c r="K94" i="1071"/>
  <c r="J94" i="1071"/>
  <c r="I94" i="1071"/>
  <c r="H94" i="1071"/>
  <c r="G94" i="1071"/>
  <c r="F94" i="1071"/>
  <c r="C25" i="1071" s="1"/>
  <c r="F25" i="1071" s="1"/>
  <c r="E94" i="1071"/>
  <c r="D94" i="1071"/>
  <c r="C94" i="1071"/>
  <c r="B94" i="1071"/>
  <c r="E39" i="1071"/>
  <c r="C39" i="1071"/>
  <c r="D39" i="1071" s="1"/>
  <c r="G39" i="1071" s="1"/>
  <c r="B39" i="1071"/>
  <c r="E38" i="1071"/>
  <c r="C38" i="1071"/>
  <c r="B38" i="1071"/>
  <c r="E37" i="1071"/>
  <c r="C37" i="1071"/>
  <c r="B37" i="1071"/>
  <c r="D37" i="1071" s="1"/>
  <c r="E36" i="1071"/>
  <c r="C36" i="1071"/>
  <c r="B36" i="1071"/>
  <c r="D34" i="1071"/>
  <c r="B34" i="1071"/>
  <c r="E13" i="1071" s="1"/>
  <c r="D33" i="1071"/>
  <c r="D32" i="1071"/>
  <c r="B32" i="1071"/>
  <c r="F32" i="1071" s="1"/>
  <c r="D31" i="1071"/>
  <c r="B31" i="1071"/>
  <c r="F31" i="1071" s="1"/>
  <c r="D30" i="1071"/>
  <c r="B30" i="1071"/>
  <c r="F30" i="1071" s="1"/>
  <c r="C27" i="1071"/>
  <c r="D27" i="1071" s="1"/>
  <c r="B27" i="1071"/>
  <c r="C26" i="1071"/>
  <c r="D26" i="1071" s="1"/>
  <c r="B26" i="1071"/>
  <c r="F22" i="1071"/>
  <c r="B22" i="1071"/>
  <c r="D21" i="1071"/>
  <c r="B21" i="1071"/>
  <c r="F21" i="1071" s="1"/>
  <c r="B20" i="1071"/>
  <c r="D19" i="1071"/>
  <c r="B19" i="1071"/>
  <c r="K15" i="1071"/>
  <c r="N14" i="1071"/>
  <c r="G13" i="1071"/>
  <c r="F13" i="1071"/>
  <c r="C13" i="1071"/>
  <c r="B13" i="1071"/>
  <c r="M11" i="1071"/>
  <c r="M10" i="1071"/>
  <c r="F10" i="1071"/>
  <c r="E10" i="1071"/>
  <c r="D10" i="1071"/>
  <c r="C10" i="1071"/>
  <c r="B10" i="1071"/>
  <c r="M9" i="1071"/>
  <c r="D4" i="1071"/>
  <c r="E4" i="1071" s="1"/>
  <c r="N2" i="1071"/>
  <c r="N1" i="1071"/>
  <c r="K1" i="1071"/>
  <c r="D1" i="1071"/>
  <c r="C1" i="1071"/>
  <c r="F143" i="1070"/>
  <c r="E143" i="1070"/>
  <c r="D143" i="1070"/>
  <c r="C143" i="1070"/>
  <c r="B143" i="1070"/>
  <c r="B142" i="1070"/>
  <c r="F137" i="1070"/>
  <c r="E137" i="1070"/>
  <c r="D137" i="1070"/>
  <c r="C137" i="1070"/>
  <c r="B137" i="1070"/>
  <c r="F103" i="1070"/>
  <c r="E103" i="1070"/>
  <c r="D103" i="1070"/>
  <c r="C103" i="1070"/>
  <c r="B103" i="1070"/>
  <c r="Y94" i="1070"/>
  <c r="X94" i="1070"/>
  <c r="W94" i="1070"/>
  <c r="V94" i="1070"/>
  <c r="U94" i="1070"/>
  <c r="T94" i="1070"/>
  <c r="S94" i="1070"/>
  <c r="R94" i="1070"/>
  <c r="Q94" i="1070"/>
  <c r="P94" i="1070"/>
  <c r="O94" i="1070"/>
  <c r="N94" i="1070"/>
  <c r="M94" i="1070"/>
  <c r="L94" i="1070"/>
  <c r="K94" i="1070"/>
  <c r="J94" i="1070"/>
  <c r="I94" i="1070"/>
  <c r="H94" i="1070"/>
  <c r="G94" i="1070"/>
  <c r="F94" i="1070"/>
  <c r="E94" i="1070"/>
  <c r="D94" i="1070"/>
  <c r="C94" i="1070"/>
  <c r="B94" i="1070"/>
  <c r="E39" i="1070"/>
  <c r="C39" i="1070"/>
  <c r="D39" i="1070" s="1"/>
  <c r="B39" i="1070"/>
  <c r="E38" i="1070"/>
  <c r="C38" i="1070"/>
  <c r="D38" i="1070" s="1"/>
  <c r="G38" i="1070" s="1"/>
  <c r="B38" i="1070"/>
  <c r="E37" i="1070"/>
  <c r="C37" i="1070"/>
  <c r="B37" i="1070"/>
  <c r="D37" i="1070" s="1"/>
  <c r="G37" i="1070" s="1"/>
  <c r="E36" i="1070"/>
  <c r="C36" i="1070"/>
  <c r="D36" i="1070" s="1"/>
  <c r="B36" i="1070"/>
  <c r="D34" i="1070"/>
  <c r="B34" i="1070"/>
  <c r="D13" i="1070" s="1"/>
  <c r="D33" i="1070"/>
  <c r="D32" i="1070"/>
  <c r="B32" i="1070"/>
  <c r="F32" i="1070" s="1"/>
  <c r="D31" i="1070"/>
  <c r="B31" i="1070"/>
  <c r="F31" i="1070" s="1"/>
  <c r="D30" i="1070"/>
  <c r="B30" i="1070"/>
  <c r="F30" i="1070" s="1"/>
  <c r="C27" i="1070"/>
  <c r="D27" i="1070" s="1"/>
  <c r="B27" i="1070"/>
  <c r="C26" i="1070"/>
  <c r="D26" i="1070" s="1"/>
  <c r="B26" i="1070"/>
  <c r="B22" i="1070"/>
  <c r="F22" i="1070" s="1"/>
  <c r="D21" i="1070"/>
  <c r="B21" i="1070"/>
  <c r="B20" i="1070"/>
  <c r="D19" i="1070"/>
  <c r="B19" i="1070"/>
  <c r="K15" i="1070"/>
  <c r="N14" i="1070"/>
  <c r="M11" i="1070"/>
  <c r="M10" i="1070"/>
  <c r="F10" i="1070"/>
  <c r="E10" i="1070"/>
  <c r="D10" i="1070"/>
  <c r="C10" i="1070"/>
  <c r="B10" i="1070"/>
  <c r="M9" i="1070"/>
  <c r="D4" i="1070"/>
  <c r="E4" i="1070" s="1"/>
  <c r="N2" i="1070"/>
  <c r="N1" i="1070"/>
  <c r="I17" i="1070" s="1"/>
  <c r="J17" i="1070" s="1"/>
  <c r="K1" i="1070"/>
  <c r="D1" i="1070"/>
  <c r="C1" i="1070"/>
  <c r="B1" i="1070" s="1"/>
  <c r="F143" i="1069"/>
  <c r="E143" i="1069"/>
  <c r="D143" i="1069"/>
  <c r="C143" i="1069"/>
  <c r="D20" i="1069" s="1"/>
  <c r="F20" i="1069" s="1"/>
  <c r="B143" i="1069"/>
  <c r="B142" i="1069"/>
  <c r="F137" i="1069"/>
  <c r="E137" i="1069"/>
  <c r="D137" i="1069"/>
  <c r="C137" i="1069"/>
  <c r="B137" i="1069"/>
  <c r="F103" i="1069"/>
  <c r="C24" i="1069" s="1"/>
  <c r="E103" i="1069"/>
  <c r="D103" i="1069"/>
  <c r="C103" i="1069"/>
  <c r="B103" i="1069"/>
  <c r="Y94" i="1069"/>
  <c r="X94" i="1069"/>
  <c r="W94" i="1069"/>
  <c r="V94" i="1069"/>
  <c r="U94" i="1069"/>
  <c r="T94" i="1069"/>
  <c r="S94" i="1069"/>
  <c r="R94" i="1069"/>
  <c r="Q94" i="1069"/>
  <c r="P94" i="1069"/>
  <c r="O94" i="1069"/>
  <c r="N94" i="1069"/>
  <c r="M94" i="1069"/>
  <c r="L94" i="1069"/>
  <c r="K94" i="1069"/>
  <c r="J94" i="1069"/>
  <c r="I94" i="1069"/>
  <c r="H94" i="1069"/>
  <c r="G94" i="1069"/>
  <c r="F94" i="1069"/>
  <c r="E94" i="1069"/>
  <c r="D94" i="1069"/>
  <c r="C94" i="1069"/>
  <c r="B94" i="1069"/>
  <c r="E39" i="1069"/>
  <c r="C39" i="1069"/>
  <c r="D39" i="1069" s="1"/>
  <c r="B39" i="1069"/>
  <c r="E38" i="1069"/>
  <c r="C38" i="1069"/>
  <c r="D38" i="1069" s="1"/>
  <c r="B38" i="1069"/>
  <c r="E37" i="1069"/>
  <c r="C37" i="1069"/>
  <c r="B37" i="1069"/>
  <c r="E36" i="1069"/>
  <c r="C36" i="1069"/>
  <c r="B36" i="1069"/>
  <c r="D34" i="1069"/>
  <c r="B34" i="1069"/>
  <c r="E13" i="1069" s="1"/>
  <c r="D33" i="1069"/>
  <c r="D32" i="1069"/>
  <c r="B32" i="1069"/>
  <c r="F32" i="1069" s="1"/>
  <c r="D31" i="1069"/>
  <c r="B31" i="1069"/>
  <c r="F31" i="1069" s="1"/>
  <c r="D30" i="1069"/>
  <c r="B30" i="1069"/>
  <c r="F30" i="1069" s="1"/>
  <c r="C27" i="1069"/>
  <c r="D27" i="1069" s="1"/>
  <c r="B27" i="1069"/>
  <c r="C26" i="1069"/>
  <c r="D26" i="1069" s="1"/>
  <c r="B26" i="1069"/>
  <c r="B22" i="1069"/>
  <c r="F22" i="1069" s="1"/>
  <c r="D21" i="1069"/>
  <c r="B21" i="1069"/>
  <c r="F21" i="1069" s="1"/>
  <c r="B20" i="1069"/>
  <c r="D19" i="1069"/>
  <c r="B19" i="1069"/>
  <c r="K15" i="1069"/>
  <c r="N14" i="1069"/>
  <c r="M11" i="1069"/>
  <c r="M10" i="1069"/>
  <c r="F10" i="1069"/>
  <c r="E10" i="1069"/>
  <c r="D10" i="1069"/>
  <c r="C10" i="1069"/>
  <c r="B10" i="1069"/>
  <c r="M9" i="1069"/>
  <c r="D4" i="1069"/>
  <c r="E4" i="1069" s="1"/>
  <c r="N2" i="1069"/>
  <c r="N1" i="1069"/>
  <c r="I17" i="1069" s="1"/>
  <c r="J17" i="1069" s="1"/>
  <c r="K1" i="1069"/>
  <c r="D1" i="1069"/>
  <c r="C1" i="1069"/>
  <c r="F143" i="1067"/>
  <c r="E143" i="1067"/>
  <c r="D143" i="1067"/>
  <c r="C143" i="1067"/>
  <c r="D20" i="1067" s="1"/>
  <c r="B143" i="1067"/>
  <c r="B142" i="1067"/>
  <c r="F137" i="1067"/>
  <c r="E137" i="1067"/>
  <c r="D137" i="1067"/>
  <c r="C137" i="1067"/>
  <c r="B137" i="1067"/>
  <c r="F103" i="1067"/>
  <c r="E103" i="1067"/>
  <c r="D103" i="1067"/>
  <c r="C103" i="1067"/>
  <c r="B24" i="1067" s="1"/>
  <c r="F24" i="1067" s="1"/>
  <c r="B103" i="1067"/>
  <c r="Y94" i="1067"/>
  <c r="X94" i="1067"/>
  <c r="W94" i="1067"/>
  <c r="V94" i="1067"/>
  <c r="U94" i="1067"/>
  <c r="T94" i="1067"/>
  <c r="S94" i="1067"/>
  <c r="R94" i="1067"/>
  <c r="Q94" i="1067"/>
  <c r="P94" i="1067"/>
  <c r="O94" i="1067"/>
  <c r="N94" i="1067"/>
  <c r="M94" i="1067"/>
  <c r="L94" i="1067"/>
  <c r="K94" i="1067"/>
  <c r="J94" i="1067"/>
  <c r="I94" i="1067"/>
  <c r="H94" i="1067"/>
  <c r="G94" i="1067"/>
  <c r="F94" i="1067"/>
  <c r="E94" i="1067"/>
  <c r="D94" i="1067"/>
  <c r="C94" i="1067"/>
  <c r="B94" i="1067"/>
  <c r="E39" i="1067"/>
  <c r="C39" i="1067"/>
  <c r="D39" i="1067" s="1"/>
  <c r="B39" i="1067"/>
  <c r="E38" i="1067"/>
  <c r="C38" i="1067"/>
  <c r="D38" i="1067" s="1"/>
  <c r="G38" i="1067" s="1"/>
  <c r="B38" i="1067"/>
  <c r="E37" i="1067"/>
  <c r="C37" i="1067"/>
  <c r="B37" i="1067"/>
  <c r="E36" i="1067"/>
  <c r="C36" i="1067"/>
  <c r="B36" i="1067"/>
  <c r="D34" i="1067"/>
  <c r="B34" i="1067"/>
  <c r="G13" i="1067" s="1"/>
  <c r="D33" i="1067"/>
  <c r="D32" i="1067"/>
  <c r="B32" i="1067"/>
  <c r="F32" i="1067" s="1"/>
  <c r="D31" i="1067"/>
  <c r="B31" i="1067"/>
  <c r="F31" i="1067" s="1"/>
  <c r="D30" i="1067"/>
  <c r="B30" i="1067"/>
  <c r="F30" i="1067" s="1"/>
  <c r="C27" i="1067"/>
  <c r="D27" i="1067" s="1"/>
  <c r="B27" i="1067"/>
  <c r="C26" i="1067"/>
  <c r="D26" i="1067" s="1"/>
  <c r="B26" i="1067"/>
  <c r="B22" i="1067"/>
  <c r="F22" i="1067" s="1"/>
  <c r="D21" i="1067"/>
  <c r="B21" i="1067"/>
  <c r="B20" i="1067"/>
  <c r="D19" i="1067"/>
  <c r="B19" i="1067"/>
  <c r="K15" i="1067"/>
  <c r="N14" i="1067"/>
  <c r="E13" i="1067"/>
  <c r="C13" i="1067"/>
  <c r="M11" i="1067"/>
  <c r="M10" i="1067"/>
  <c r="F10" i="1067"/>
  <c r="E10" i="1067"/>
  <c r="D10" i="1067"/>
  <c r="C10" i="1067"/>
  <c r="B10" i="1067"/>
  <c r="M9" i="1067"/>
  <c r="D4" i="1067"/>
  <c r="E4" i="1067" s="1"/>
  <c r="N2" i="1067"/>
  <c r="N1" i="1067"/>
  <c r="L17" i="1067" s="1"/>
  <c r="K1" i="1067"/>
  <c r="D1" i="1067"/>
  <c r="C1" i="1067"/>
  <c r="F143" i="1066"/>
  <c r="E143" i="1066"/>
  <c r="D143" i="1066"/>
  <c r="C143" i="1066"/>
  <c r="B143" i="1066"/>
  <c r="B142" i="1066"/>
  <c r="F137" i="1066"/>
  <c r="E137" i="1066"/>
  <c r="D137" i="1066"/>
  <c r="C137" i="1066"/>
  <c r="B137" i="1066"/>
  <c r="F103" i="1066"/>
  <c r="E103" i="1066"/>
  <c r="D103" i="1066"/>
  <c r="C103" i="1066"/>
  <c r="B103" i="1066"/>
  <c r="Y94" i="1066"/>
  <c r="X94" i="1066"/>
  <c r="W94" i="1066"/>
  <c r="V94" i="1066"/>
  <c r="U94" i="1066"/>
  <c r="T94" i="1066"/>
  <c r="S94" i="1066"/>
  <c r="R94" i="1066"/>
  <c r="Q94" i="1066"/>
  <c r="P94" i="1066"/>
  <c r="O94" i="1066"/>
  <c r="N94" i="1066"/>
  <c r="M94" i="1066"/>
  <c r="L94" i="1066"/>
  <c r="K94" i="1066"/>
  <c r="J94" i="1066"/>
  <c r="I94" i="1066"/>
  <c r="H94" i="1066"/>
  <c r="G94" i="1066"/>
  <c r="F94" i="1066"/>
  <c r="E94" i="1066"/>
  <c r="D94" i="1066"/>
  <c r="C94" i="1066"/>
  <c r="B94" i="1066"/>
  <c r="E39" i="1066"/>
  <c r="C39" i="1066"/>
  <c r="B39" i="1066"/>
  <c r="E38" i="1066"/>
  <c r="C38" i="1066"/>
  <c r="B38" i="1066"/>
  <c r="E37" i="1066"/>
  <c r="C37" i="1066"/>
  <c r="B37" i="1066"/>
  <c r="E36" i="1066"/>
  <c r="C36" i="1066"/>
  <c r="B36" i="1066"/>
  <c r="D34" i="1066"/>
  <c r="B34" i="1066"/>
  <c r="D33" i="1066"/>
  <c r="D32" i="1066"/>
  <c r="B32" i="1066"/>
  <c r="F32" i="1066" s="1"/>
  <c r="D31" i="1066"/>
  <c r="B31" i="1066"/>
  <c r="F31" i="1066" s="1"/>
  <c r="D30" i="1066"/>
  <c r="B30" i="1066"/>
  <c r="F30" i="1066" s="1"/>
  <c r="C27" i="1066"/>
  <c r="D27" i="1066" s="1"/>
  <c r="B27" i="1066"/>
  <c r="C26" i="1066"/>
  <c r="D26" i="1066" s="1"/>
  <c r="B26" i="1066"/>
  <c r="B22" i="1066"/>
  <c r="F22" i="1066" s="1"/>
  <c r="D21" i="1066"/>
  <c r="B21" i="1066"/>
  <c r="B20" i="1066"/>
  <c r="D19" i="1066"/>
  <c r="B19" i="1066"/>
  <c r="K15" i="1066"/>
  <c r="N14" i="1066"/>
  <c r="G13" i="1066"/>
  <c r="F13" i="1066"/>
  <c r="E13" i="1066"/>
  <c r="C13" i="1066"/>
  <c r="B13" i="1066"/>
  <c r="M11" i="1066"/>
  <c r="M10" i="1066"/>
  <c r="F10" i="1066"/>
  <c r="E10" i="1066"/>
  <c r="D10" i="1066"/>
  <c r="C10" i="1066"/>
  <c r="B10" i="1066"/>
  <c r="M9" i="1066"/>
  <c r="D4" i="1066"/>
  <c r="E4" i="1066" s="1"/>
  <c r="N2" i="1066"/>
  <c r="N1" i="1066"/>
  <c r="L17" i="1066" s="1"/>
  <c r="K1" i="1066"/>
  <c r="D1" i="1066"/>
  <c r="C1" i="1066"/>
  <c r="F143" i="1065"/>
  <c r="E143" i="1065"/>
  <c r="D143" i="1065"/>
  <c r="C143" i="1065"/>
  <c r="B143" i="1065"/>
  <c r="B142" i="1065"/>
  <c r="F137" i="1065"/>
  <c r="E137" i="1065"/>
  <c r="D137" i="1065"/>
  <c r="C137" i="1065"/>
  <c r="B137" i="1065"/>
  <c r="F103" i="1065"/>
  <c r="E103" i="1065"/>
  <c r="D103" i="1065"/>
  <c r="C103" i="1065"/>
  <c r="B103" i="1065"/>
  <c r="Y94" i="1065"/>
  <c r="X94" i="1065"/>
  <c r="W94" i="1065"/>
  <c r="V94" i="1065"/>
  <c r="U94" i="1065"/>
  <c r="T94" i="1065"/>
  <c r="S94" i="1065"/>
  <c r="R94" i="1065"/>
  <c r="Q94" i="1065"/>
  <c r="P94" i="1065"/>
  <c r="O94" i="1065"/>
  <c r="N94" i="1065"/>
  <c r="M94" i="1065"/>
  <c r="L94" i="1065"/>
  <c r="K94" i="1065"/>
  <c r="J94" i="1065"/>
  <c r="I94" i="1065"/>
  <c r="H94" i="1065"/>
  <c r="G94" i="1065"/>
  <c r="F94" i="1065"/>
  <c r="E94" i="1065"/>
  <c r="D94" i="1065"/>
  <c r="C94" i="1065"/>
  <c r="B94" i="1065"/>
  <c r="E39" i="1065"/>
  <c r="C39" i="1065"/>
  <c r="B39" i="1065"/>
  <c r="E38" i="1065"/>
  <c r="C38" i="1065"/>
  <c r="D38" i="1065" s="1"/>
  <c r="G38" i="1065" s="1"/>
  <c r="B38" i="1065"/>
  <c r="E37" i="1065"/>
  <c r="C37" i="1065"/>
  <c r="B37" i="1065"/>
  <c r="D37" i="1065" s="1"/>
  <c r="E36" i="1065"/>
  <c r="C36" i="1065"/>
  <c r="B36" i="1065"/>
  <c r="D34" i="1065"/>
  <c r="B34" i="1065"/>
  <c r="G13" i="1065" s="1"/>
  <c r="D33" i="1065"/>
  <c r="F32" i="1065"/>
  <c r="D32" i="1065"/>
  <c r="B32" i="1065"/>
  <c r="D31" i="1065"/>
  <c r="B31" i="1065"/>
  <c r="F31" i="1065" s="1"/>
  <c r="D30" i="1065"/>
  <c r="B30" i="1065"/>
  <c r="F30" i="1065" s="1"/>
  <c r="C27" i="1065"/>
  <c r="D27" i="1065" s="1"/>
  <c r="B27" i="1065"/>
  <c r="C26" i="1065"/>
  <c r="D26" i="1065" s="1"/>
  <c r="B26" i="1065"/>
  <c r="B22" i="1065"/>
  <c r="F22" i="1065" s="1"/>
  <c r="D21" i="1065"/>
  <c r="F21" i="1065" s="1"/>
  <c r="B21" i="1065"/>
  <c r="B20" i="1065"/>
  <c r="D19" i="1065"/>
  <c r="B19" i="1065"/>
  <c r="K15" i="1065"/>
  <c r="N14" i="1065"/>
  <c r="E13" i="1065"/>
  <c r="C13" i="1065"/>
  <c r="M11" i="1065"/>
  <c r="M10" i="1065"/>
  <c r="F10" i="1065"/>
  <c r="E10" i="1065"/>
  <c r="D10" i="1065"/>
  <c r="C10" i="1065"/>
  <c r="B10" i="1065"/>
  <c r="M9" i="1065"/>
  <c r="D4" i="1065"/>
  <c r="E4" i="1065" s="1"/>
  <c r="N2" i="1065"/>
  <c r="N1" i="1065"/>
  <c r="K1" i="1065"/>
  <c r="D1" i="1065"/>
  <c r="C1" i="1065"/>
  <c r="B1" i="1065" s="1"/>
  <c r="F143" i="1064"/>
  <c r="E143" i="1064"/>
  <c r="D143" i="1064"/>
  <c r="C143" i="1064"/>
  <c r="B143" i="1064"/>
  <c r="B142" i="1064"/>
  <c r="F137" i="1064"/>
  <c r="E137" i="1064"/>
  <c r="D137" i="1064"/>
  <c r="C137" i="1064"/>
  <c r="B137" i="1064"/>
  <c r="F103" i="1064"/>
  <c r="E103" i="1064"/>
  <c r="D103" i="1064"/>
  <c r="C103" i="1064"/>
  <c r="B103" i="1064"/>
  <c r="Y94" i="1064"/>
  <c r="X94" i="1064"/>
  <c r="W94" i="1064"/>
  <c r="V94" i="1064"/>
  <c r="U94" i="1064"/>
  <c r="T94" i="1064"/>
  <c r="S94" i="1064"/>
  <c r="R94" i="1064"/>
  <c r="Q94" i="1064"/>
  <c r="P94" i="1064"/>
  <c r="O94" i="1064"/>
  <c r="N94" i="1064"/>
  <c r="M94" i="1064"/>
  <c r="L94" i="1064"/>
  <c r="K94" i="1064"/>
  <c r="J94" i="1064"/>
  <c r="I94" i="1064"/>
  <c r="H94" i="1064"/>
  <c r="G94" i="1064"/>
  <c r="F94" i="1064"/>
  <c r="E94" i="1064"/>
  <c r="D94" i="1064"/>
  <c r="C94" i="1064"/>
  <c r="B94" i="1064"/>
  <c r="E39" i="1064"/>
  <c r="C39" i="1064"/>
  <c r="D39" i="1064" s="1"/>
  <c r="B39" i="1064"/>
  <c r="E38" i="1064"/>
  <c r="C38" i="1064"/>
  <c r="B38" i="1064"/>
  <c r="E37" i="1064"/>
  <c r="C37" i="1064"/>
  <c r="B37" i="1064"/>
  <c r="E36" i="1064"/>
  <c r="C36" i="1064"/>
  <c r="B36" i="1064"/>
  <c r="D34" i="1064"/>
  <c r="B34" i="1064"/>
  <c r="D33" i="1064"/>
  <c r="D32" i="1064"/>
  <c r="B32" i="1064"/>
  <c r="F32" i="1064" s="1"/>
  <c r="F31" i="1064"/>
  <c r="D31" i="1064"/>
  <c r="B31" i="1064"/>
  <c r="D30" i="1064"/>
  <c r="B30" i="1064"/>
  <c r="F30" i="1064" s="1"/>
  <c r="C27" i="1064"/>
  <c r="D27" i="1064" s="1"/>
  <c r="B27" i="1064"/>
  <c r="C26" i="1064"/>
  <c r="D26" i="1064" s="1"/>
  <c r="B26" i="1064"/>
  <c r="B22" i="1064"/>
  <c r="F22" i="1064" s="1"/>
  <c r="D21" i="1064"/>
  <c r="F21" i="1064" s="1"/>
  <c r="B21" i="1064"/>
  <c r="B20" i="1064"/>
  <c r="D19" i="1064"/>
  <c r="B19" i="1064"/>
  <c r="F19" i="1064" s="1"/>
  <c r="K15" i="1064"/>
  <c r="N14" i="1064"/>
  <c r="F13" i="1064"/>
  <c r="E13" i="1064"/>
  <c r="B13" i="1064"/>
  <c r="M11" i="1064"/>
  <c r="M10" i="1064"/>
  <c r="F10" i="1064"/>
  <c r="E10" i="1064"/>
  <c r="D10" i="1064"/>
  <c r="C10" i="1064"/>
  <c r="B10" i="1064"/>
  <c r="M9" i="1064"/>
  <c r="D4" i="1064"/>
  <c r="E4" i="1064" s="1"/>
  <c r="N2" i="1064"/>
  <c r="N1" i="1064"/>
  <c r="I17" i="1064" s="1"/>
  <c r="J17" i="1064" s="1"/>
  <c r="K1" i="1064"/>
  <c r="D1" i="1064"/>
  <c r="C1" i="1064"/>
  <c r="F143" i="1063"/>
  <c r="E143" i="1063"/>
  <c r="D143" i="1063"/>
  <c r="C143" i="1063"/>
  <c r="B143" i="1063"/>
  <c r="B142" i="1063"/>
  <c r="F137" i="1063"/>
  <c r="E137" i="1063"/>
  <c r="D137" i="1063"/>
  <c r="C137" i="1063"/>
  <c r="B137" i="1063"/>
  <c r="F103" i="1063"/>
  <c r="E103" i="1063"/>
  <c r="D103" i="1063"/>
  <c r="C103" i="1063"/>
  <c r="B103" i="1063"/>
  <c r="Y94" i="1063"/>
  <c r="X94" i="1063"/>
  <c r="W94" i="1063"/>
  <c r="V94" i="1063"/>
  <c r="U94" i="1063"/>
  <c r="T94" i="1063"/>
  <c r="S94" i="1063"/>
  <c r="R94" i="1063"/>
  <c r="Q94" i="1063"/>
  <c r="P94" i="1063"/>
  <c r="O94" i="1063"/>
  <c r="N94" i="1063"/>
  <c r="M94" i="1063"/>
  <c r="L94" i="1063"/>
  <c r="K94" i="1063"/>
  <c r="J94" i="1063"/>
  <c r="I94" i="1063"/>
  <c r="H94" i="1063"/>
  <c r="G94" i="1063"/>
  <c r="F94" i="1063"/>
  <c r="E94" i="1063"/>
  <c r="D94" i="1063"/>
  <c r="C94" i="1063"/>
  <c r="C25" i="1063" s="1"/>
  <c r="B94" i="1063"/>
  <c r="E39" i="1063"/>
  <c r="C39" i="1063"/>
  <c r="B39" i="1063"/>
  <c r="E38" i="1063"/>
  <c r="C38" i="1063"/>
  <c r="B38" i="1063"/>
  <c r="E37" i="1063"/>
  <c r="C37" i="1063"/>
  <c r="B37" i="1063"/>
  <c r="D37" i="1063" s="1"/>
  <c r="E36" i="1063"/>
  <c r="C36" i="1063"/>
  <c r="D36" i="1063" s="1"/>
  <c r="G36" i="1063" s="1"/>
  <c r="B36" i="1063"/>
  <c r="D34" i="1063"/>
  <c r="B34" i="1063"/>
  <c r="B13" i="1063" s="1"/>
  <c r="D33" i="1063"/>
  <c r="D32" i="1063"/>
  <c r="B32" i="1063"/>
  <c r="F32" i="1063" s="1"/>
  <c r="D31" i="1063"/>
  <c r="B31" i="1063"/>
  <c r="F31" i="1063" s="1"/>
  <c r="D30" i="1063"/>
  <c r="B30" i="1063"/>
  <c r="F30" i="1063" s="1"/>
  <c r="C27" i="1063"/>
  <c r="D27" i="1063" s="1"/>
  <c r="B27" i="1063"/>
  <c r="C26" i="1063"/>
  <c r="D26" i="1063" s="1"/>
  <c r="B26" i="1063"/>
  <c r="B22" i="1063"/>
  <c r="F22" i="1063" s="1"/>
  <c r="F21" i="1063"/>
  <c r="D21" i="1063"/>
  <c r="B21" i="1063"/>
  <c r="B20" i="1063"/>
  <c r="D19" i="1063"/>
  <c r="B19" i="1063"/>
  <c r="K15" i="1063"/>
  <c r="N14" i="1063"/>
  <c r="G13" i="1063"/>
  <c r="F13" i="1063"/>
  <c r="E13" i="1063"/>
  <c r="C13" i="1063"/>
  <c r="M11" i="1063"/>
  <c r="M10" i="1063"/>
  <c r="F10" i="1063"/>
  <c r="E10" i="1063"/>
  <c r="D10" i="1063"/>
  <c r="C10" i="1063"/>
  <c r="B10" i="1063"/>
  <c r="M9" i="1063"/>
  <c r="D4" i="1063"/>
  <c r="E4" i="1063" s="1"/>
  <c r="N2" i="1063"/>
  <c r="N1" i="1063"/>
  <c r="K1" i="1063"/>
  <c r="D1" i="1063"/>
  <c r="C1" i="1063"/>
  <c r="B1" i="1063" s="1"/>
  <c r="F143" i="1062"/>
  <c r="E143" i="1062"/>
  <c r="D143" i="1062"/>
  <c r="C143" i="1062"/>
  <c r="B143" i="1062"/>
  <c r="B142" i="1062"/>
  <c r="F137" i="1062"/>
  <c r="E137" i="1062"/>
  <c r="D137" i="1062"/>
  <c r="C137" i="1062"/>
  <c r="B137" i="1062"/>
  <c r="F103" i="1062"/>
  <c r="E103" i="1062"/>
  <c r="D103" i="1062"/>
  <c r="C24" i="1062" s="1"/>
  <c r="C103" i="1062"/>
  <c r="B103" i="1062"/>
  <c r="Y94" i="1062"/>
  <c r="X94" i="1062"/>
  <c r="W94" i="1062"/>
  <c r="V94" i="1062"/>
  <c r="U94" i="1062"/>
  <c r="T94" i="1062"/>
  <c r="S94" i="1062"/>
  <c r="R94" i="1062"/>
  <c r="Q94" i="1062"/>
  <c r="P94" i="1062"/>
  <c r="O94" i="1062"/>
  <c r="N94" i="1062"/>
  <c r="M94" i="1062"/>
  <c r="L94" i="1062"/>
  <c r="K94" i="1062"/>
  <c r="J94" i="1062"/>
  <c r="I94" i="1062"/>
  <c r="H94" i="1062"/>
  <c r="G94" i="1062"/>
  <c r="F94" i="1062"/>
  <c r="E94" i="1062"/>
  <c r="D94" i="1062"/>
  <c r="C94" i="1062"/>
  <c r="B94" i="1062"/>
  <c r="E39" i="1062"/>
  <c r="C39" i="1062"/>
  <c r="B39" i="1062"/>
  <c r="E38" i="1062"/>
  <c r="C38" i="1062"/>
  <c r="B38" i="1062"/>
  <c r="E37" i="1062"/>
  <c r="C37" i="1062"/>
  <c r="B37" i="1062"/>
  <c r="E36" i="1062"/>
  <c r="C36" i="1062"/>
  <c r="B36" i="1062"/>
  <c r="D34" i="1062"/>
  <c r="B34" i="1062"/>
  <c r="E13" i="1062" s="1"/>
  <c r="D33" i="1062"/>
  <c r="D32" i="1062"/>
  <c r="B32" i="1062"/>
  <c r="F32" i="1062" s="1"/>
  <c r="D31" i="1062"/>
  <c r="B31" i="1062"/>
  <c r="F31" i="1062" s="1"/>
  <c r="D30" i="1062"/>
  <c r="B30" i="1062"/>
  <c r="F30" i="1062" s="1"/>
  <c r="C27" i="1062"/>
  <c r="D27" i="1062" s="1"/>
  <c r="B27" i="1062"/>
  <c r="C26" i="1062"/>
  <c r="D26" i="1062" s="1"/>
  <c r="B26" i="1062"/>
  <c r="B22" i="1062"/>
  <c r="F22" i="1062" s="1"/>
  <c r="D21" i="1062"/>
  <c r="F21" i="1062" s="1"/>
  <c r="B21" i="1062"/>
  <c r="B20" i="1062"/>
  <c r="D19" i="1062"/>
  <c r="B19" i="1062"/>
  <c r="F19" i="1062" s="1"/>
  <c r="K15" i="1062"/>
  <c r="N14" i="1062"/>
  <c r="F13" i="1062"/>
  <c r="B13" i="1062"/>
  <c r="M11" i="1062"/>
  <c r="M10" i="1062"/>
  <c r="F10" i="1062"/>
  <c r="E10" i="1062"/>
  <c r="D10" i="1062"/>
  <c r="C10" i="1062"/>
  <c r="B10" i="1062"/>
  <c r="M9" i="1062"/>
  <c r="E4" i="1062"/>
  <c r="N2" i="1062"/>
  <c r="N1" i="1062"/>
  <c r="I17" i="1062" s="1"/>
  <c r="J17" i="1062" s="1"/>
  <c r="K1" i="1062"/>
  <c r="D1" i="1062"/>
  <c r="C1" i="1062"/>
  <c r="F143" i="1061"/>
  <c r="E143" i="1061"/>
  <c r="D143" i="1061"/>
  <c r="C143" i="1061"/>
  <c r="B143" i="1061"/>
  <c r="B142" i="1061"/>
  <c r="F137" i="1061"/>
  <c r="E137" i="1061"/>
  <c r="D137" i="1061"/>
  <c r="C137" i="1061"/>
  <c r="B137" i="1061"/>
  <c r="F103" i="1061"/>
  <c r="E103" i="1061"/>
  <c r="B24" i="1061" s="1"/>
  <c r="F24" i="1061" s="1"/>
  <c r="D103" i="1061"/>
  <c r="C103" i="1061"/>
  <c r="B103" i="1061"/>
  <c r="Y94" i="1061"/>
  <c r="X94" i="1061"/>
  <c r="W94" i="1061"/>
  <c r="V94" i="1061"/>
  <c r="U94" i="1061"/>
  <c r="T94" i="1061"/>
  <c r="S94" i="1061"/>
  <c r="R94" i="1061"/>
  <c r="Q94" i="1061"/>
  <c r="P94" i="1061"/>
  <c r="O94" i="1061"/>
  <c r="N94" i="1061"/>
  <c r="M94" i="1061"/>
  <c r="L94" i="1061"/>
  <c r="K94" i="1061"/>
  <c r="J94" i="1061"/>
  <c r="I94" i="1061"/>
  <c r="H94" i="1061"/>
  <c r="G94" i="1061"/>
  <c r="F94" i="1061"/>
  <c r="E94" i="1061"/>
  <c r="D94" i="1061"/>
  <c r="C94" i="1061"/>
  <c r="B94" i="1061"/>
  <c r="E39" i="1061"/>
  <c r="C39" i="1061"/>
  <c r="D39" i="1061" s="1"/>
  <c r="B39" i="1061"/>
  <c r="E38" i="1061"/>
  <c r="C38" i="1061"/>
  <c r="D38" i="1061" s="1"/>
  <c r="G38" i="1061" s="1"/>
  <c r="B38" i="1061"/>
  <c r="E37" i="1061"/>
  <c r="C37" i="1061"/>
  <c r="B37" i="1061"/>
  <c r="D37" i="1061" s="1"/>
  <c r="E36" i="1061"/>
  <c r="C36" i="1061"/>
  <c r="B36" i="1061"/>
  <c r="D34" i="1061"/>
  <c r="B34" i="1061"/>
  <c r="C13" i="1061" s="1"/>
  <c r="D33" i="1061"/>
  <c r="D32" i="1061"/>
  <c r="B32" i="1061"/>
  <c r="F32" i="1061" s="1"/>
  <c r="D31" i="1061"/>
  <c r="B31" i="1061"/>
  <c r="F31" i="1061" s="1"/>
  <c r="D30" i="1061"/>
  <c r="B30" i="1061"/>
  <c r="F30" i="1061" s="1"/>
  <c r="C27" i="1061"/>
  <c r="D27" i="1061" s="1"/>
  <c r="B27" i="1061"/>
  <c r="C26" i="1061"/>
  <c r="D26" i="1061" s="1"/>
  <c r="B26" i="1061"/>
  <c r="I24" i="1061"/>
  <c r="B22" i="1061"/>
  <c r="F22" i="1061" s="1"/>
  <c r="D21" i="1061"/>
  <c r="B21" i="1061"/>
  <c r="F21" i="1061" s="1"/>
  <c r="B20" i="1061"/>
  <c r="D19" i="1061"/>
  <c r="B19" i="1061"/>
  <c r="K15" i="1061"/>
  <c r="N14" i="1061"/>
  <c r="G13" i="1061"/>
  <c r="F13" i="1061"/>
  <c r="E13" i="1061"/>
  <c r="B13" i="1061"/>
  <c r="M11" i="1061"/>
  <c r="M10" i="1061"/>
  <c r="F10" i="1061"/>
  <c r="E10" i="1061"/>
  <c r="D10" i="1061"/>
  <c r="C10" i="1061"/>
  <c r="B10" i="1061"/>
  <c r="M9" i="1061"/>
  <c r="D4" i="1061"/>
  <c r="E4" i="1061" s="1"/>
  <c r="N2" i="1061"/>
  <c r="N1" i="1061"/>
  <c r="M1" i="1061" s="1"/>
  <c r="K1" i="1061"/>
  <c r="D1" i="1061"/>
  <c r="C1" i="1061"/>
  <c r="F143" i="1060"/>
  <c r="E143" i="1060"/>
  <c r="D143" i="1060"/>
  <c r="C143" i="1060"/>
  <c r="B143" i="1060"/>
  <c r="B142" i="1060"/>
  <c r="F137" i="1060"/>
  <c r="E137" i="1060"/>
  <c r="D137" i="1060"/>
  <c r="C137" i="1060"/>
  <c r="B137" i="1060"/>
  <c r="F103" i="1060"/>
  <c r="E103" i="1060"/>
  <c r="D103" i="1060"/>
  <c r="C103" i="1060"/>
  <c r="B103" i="1060"/>
  <c r="Y94" i="1060"/>
  <c r="X94" i="1060"/>
  <c r="W94" i="1060"/>
  <c r="V94" i="1060"/>
  <c r="U94" i="1060"/>
  <c r="T94" i="1060"/>
  <c r="S94" i="1060"/>
  <c r="R94" i="1060"/>
  <c r="Q94" i="1060"/>
  <c r="P94" i="1060"/>
  <c r="O94" i="1060"/>
  <c r="N94" i="1060"/>
  <c r="M94" i="1060"/>
  <c r="L94" i="1060"/>
  <c r="K94" i="1060"/>
  <c r="J94" i="1060"/>
  <c r="I94" i="1060"/>
  <c r="H94" i="1060"/>
  <c r="G94" i="1060"/>
  <c r="F94" i="1060"/>
  <c r="E94" i="1060"/>
  <c r="D94" i="1060"/>
  <c r="C94" i="1060"/>
  <c r="B94" i="1060"/>
  <c r="E39" i="1060"/>
  <c r="C39" i="1060"/>
  <c r="B39" i="1060"/>
  <c r="E38" i="1060"/>
  <c r="C38" i="1060"/>
  <c r="D38" i="1060" s="1"/>
  <c r="G38" i="1060" s="1"/>
  <c r="B38" i="1060"/>
  <c r="E37" i="1060"/>
  <c r="C37" i="1060"/>
  <c r="B37" i="1060"/>
  <c r="E36" i="1060"/>
  <c r="C36" i="1060"/>
  <c r="B36" i="1060"/>
  <c r="D34" i="1060"/>
  <c r="B34" i="1060"/>
  <c r="D13" i="1060" s="1"/>
  <c r="D33" i="1060"/>
  <c r="D32" i="1060"/>
  <c r="B32" i="1060"/>
  <c r="F32" i="1060" s="1"/>
  <c r="D31" i="1060"/>
  <c r="B31" i="1060"/>
  <c r="F31" i="1060" s="1"/>
  <c r="D30" i="1060"/>
  <c r="B30" i="1060"/>
  <c r="F30" i="1060" s="1"/>
  <c r="C27" i="1060"/>
  <c r="D27" i="1060" s="1"/>
  <c r="B27" i="1060"/>
  <c r="C26" i="1060"/>
  <c r="D26" i="1060" s="1"/>
  <c r="B26" i="1060"/>
  <c r="B22" i="1060"/>
  <c r="F22" i="1060" s="1"/>
  <c r="D21" i="1060"/>
  <c r="B21" i="1060"/>
  <c r="F21" i="1060" s="1"/>
  <c r="B20" i="1060"/>
  <c r="D19" i="1060"/>
  <c r="B19" i="1060"/>
  <c r="K15" i="1060"/>
  <c r="N14" i="1060"/>
  <c r="M11" i="1060"/>
  <c r="M10" i="1060"/>
  <c r="F10" i="1060"/>
  <c r="E10" i="1060"/>
  <c r="D10" i="1060"/>
  <c r="C10" i="1060"/>
  <c r="B10" i="1060"/>
  <c r="M9" i="1060"/>
  <c r="D4" i="1060"/>
  <c r="E4" i="1060" s="1"/>
  <c r="N2" i="1060"/>
  <c r="N1" i="1060"/>
  <c r="I17" i="1060" s="1"/>
  <c r="J17" i="1060" s="1"/>
  <c r="K1" i="1060"/>
  <c r="D1" i="1060"/>
  <c r="C1" i="1060"/>
  <c r="F143" i="1059"/>
  <c r="E143" i="1059"/>
  <c r="D143" i="1059"/>
  <c r="C143" i="1059"/>
  <c r="D20" i="1059" s="1"/>
  <c r="B143" i="1059"/>
  <c r="B142" i="1059"/>
  <c r="F137" i="1059"/>
  <c r="E137" i="1059"/>
  <c r="D137" i="1059"/>
  <c r="C137" i="1059"/>
  <c r="B137" i="1059"/>
  <c r="F103" i="1059"/>
  <c r="E103" i="1059"/>
  <c r="D103" i="1059"/>
  <c r="C103" i="1059"/>
  <c r="B103" i="1059"/>
  <c r="Y94" i="1059"/>
  <c r="X94" i="1059"/>
  <c r="W94" i="1059"/>
  <c r="V94" i="1059"/>
  <c r="U94" i="1059"/>
  <c r="T94" i="1059"/>
  <c r="S94" i="1059"/>
  <c r="R94" i="1059"/>
  <c r="Q94" i="1059"/>
  <c r="P94" i="1059"/>
  <c r="O94" i="1059"/>
  <c r="N94" i="1059"/>
  <c r="M94" i="1059"/>
  <c r="L94" i="1059"/>
  <c r="K94" i="1059"/>
  <c r="J94" i="1059"/>
  <c r="I94" i="1059"/>
  <c r="H94" i="1059"/>
  <c r="G94" i="1059"/>
  <c r="F94" i="1059"/>
  <c r="E94" i="1059"/>
  <c r="D94" i="1059"/>
  <c r="C94" i="1059"/>
  <c r="B94" i="1059"/>
  <c r="E39" i="1059"/>
  <c r="C39" i="1059"/>
  <c r="D39" i="1059" s="1"/>
  <c r="B39" i="1059"/>
  <c r="E38" i="1059"/>
  <c r="C38" i="1059"/>
  <c r="D38" i="1059" s="1"/>
  <c r="G38" i="1059" s="1"/>
  <c r="B38" i="1059"/>
  <c r="E37" i="1059"/>
  <c r="C37" i="1059"/>
  <c r="B37" i="1059"/>
  <c r="D37" i="1059" s="1"/>
  <c r="E36" i="1059"/>
  <c r="C36" i="1059"/>
  <c r="B36" i="1059"/>
  <c r="D34" i="1059"/>
  <c r="B34" i="1059"/>
  <c r="D33" i="1059"/>
  <c r="D32" i="1059"/>
  <c r="B32" i="1059"/>
  <c r="F32" i="1059" s="1"/>
  <c r="D31" i="1059"/>
  <c r="B31" i="1059"/>
  <c r="F31" i="1059" s="1"/>
  <c r="D30" i="1059"/>
  <c r="B30" i="1059"/>
  <c r="F30" i="1059" s="1"/>
  <c r="C27" i="1059"/>
  <c r="D27" i="1059" s="1"/>
  <c r="B27" i="1059"/>
  <c r="C26" i="1059"/>
  <c r="D26" i="1059" s="1"/>
  <c r="B26" i="1059"/>
  <c r="B22" i="1059"/>
  <c r="F22" i="1059" s="1"/>
  <c r="D21" i="1059"/>
  <c r="B21" i="1059"/>
  <c r="B20" i="1059"/>
  <c r="D19" i="1059"/>
  <c r="B19" i="1059"/>
  <c r="K15" i="1059"/>
  <c r="N14" i="1059"/>
  <c r="G13" i="1059"/>
  <c r="F13" i="1059"/>
  <c r="E13" i="1059"/>
  <c r="C13" i="1059"/>
  <c r="B13" i="1059"/>
  <c r="M11" i="1059"/>
  <c r="M10" i="1059"/>
  <c r="F10" i="1059"/>
  <c r="E10" i="1059"/>
  <c r="D10" i="1059"/>
  <c r="C10" i="1059"/>
  <c r="B10" i="1059"/>
  <c r="M9" i="1059"/>
  <c r="D4" i="1059"/>
  <c r="E4" i="1059" s="1"/>
  <c r="N2" i="1059"/>
  <c r="N1" i="1059"/>
  <c r="L17" i="1059" s="1"/>
  <c r="K1" i="1059"/>
  <c r="D1" i="1059"/>
  <c r="C1" i="1059"/>
  <c r="F143" i="1058"/>
  <c r="D20" i="1058" s="1"/>
  <c r="E143" i="1058"/>
  <c r="D143" i="1058"/>
  <c r="C143" i="1058"/>
  <c r="B143" i="1058"/>
  <c r="B142" i="1058"/>
  <c r="F137" i="1058"/>
  <c r="E137" i="1058"/>
  <c r="D137" i="1058"/>
  <c r="C137" i="1058"/>
  <c r="B137" i="1058"/>
  <c r="F103" i="1058"/>
  <c r="E103" i="1058"/>
  <c r="D103" i="1058"/>
  <c r="C103" i="1058"/>
  <c r="B103" i="1058"/>
  <c r="Y94" i="1058"/>
  <c r="X94" i="1058"/>
  <c r="W94" i="1058"/>
  <c r="V94" i="1058"/>
  <c r="U94" i="1058"/>
  <c r="T94" i="1058"/>
  <c r="S94" i="1058"/>
  <c r="R94" i="1058"/>
  <c r="Q94" i="1058"/>
  <c r="P94" i="1058"/>
  <c r="O94" i="1058"/>
  <c r="N94" i="1058"/>
  <c r="M94" i="1058"/>
  <c r="L94" i="1058"/>
  <c r="K94" i="1058"/>
  <c r="J94" i="1058"/>
  <c r="I94" i="1058"/>
  <c r="H94" i="1058"/>
  <c r="G94" i="1058"/>
  <c r="F94" i="1058"/>
  <c r="E94" i="1058"/>
  <c r="D94" i="1058"/>
  <c r="C94" i="1058"/>
  <c r="B94" i="1058"/>
  <c r="E39" i="1058"/>
  <c r="C39" i="1058"/>
  <c r="D39" i="1058" s="1"/>
  <c r="B39" i="1058"/>
  <c r="E38" i="1058"/>
  <c r="C38" i="1058"/>
  <c r="D38" i="1058" s="1"/>
  <c r="G38" i="1058" s="1"/>
  <c r="B38" i="1058"/>
  <c r="E37" i="1058"/>
  <c r="C37" i="1058"/>
  <c r="B37" i="1058"/>
  <c r="D37" i="1058" s="1"/>
  <c r="E36" i="1058"/>
  <c r="C36" i="1058"/>
  <c r="B36" i="1058"/>
  <c r="D34" i="1058"/>
  <c r="B34" i="1058"/>
  <c r="E13" i="1058" s="1"/>
  <c r="D33" i="1058"/>
  <c r="D32" i="1058"/>
  <c r="B32" i="1058"/>
  <c r="F32" i="1058" s="1"/>
  <c r="F31" i="1058"/>
  <c r="D31" i="1058"/>
  <c r="B31" i="1058"/>
  <c r="D30" i="1058"/>
  <c r="B30" i="1058"/>
  <c r="F30" i="1058" s="1"/>
  <c r="C27" i="1058"/>
  <c r="D27" i="1058" s="1"/>
  <c r="B27" i="1058"/>
  <c r="C26" i="1058"/>
  <c r="D26" i="1058" s="1"/>
  <c r="B26" i="1058"/>
  <c r="B22" i="1058"/>
  <c r="F22" i="1058" s="1"/>
  <c r="D21" i="1058"/>
  <c r="B21" i="1058"/>
  <c r="B20" i="1058"/>
  <c r="D19" i="1058"/>
  <c r="B19" i="1058"/>
  <c r="K15" i="1058"/>
  <c r="N14" i="1058"/>
  <c r="G13" i="1058"/>
  <c r="F13" i="1058"/>
  <c r="M11" i="1058"/>
  <c r="M10" i="1058"/>
  <c r="F10" i="1058"/>
  <c r="E10" i="1058"/>
  <c r="D10" i="1058"/>
  <c r="C10" i="1058"/>
  <c r="B10" i="1058"/>
  <c r="M9" i="1058"/>
  <c r="D4" i="1058"/>
  <c r="E4" i="1058" s="1"/>
  <c r="N2" i="1058"/>
  <c r="N1" i="1058"/>
  <c r="L17" i="1058" s="1"/>
  <c r="K1" i="1058"/>
  <c r="D1" i="1058"/>
  <c r="C1" i="1058"/>
  <c r="F143" i="1057"/>
  <c r="E143" i="1057"/>
  <c r="D143" i="1057"/>
  <c r="C143" i="1057"/>
  <c r="B143" i="1057"/>
  <c r="B142" i="1057"/>
  <c r="F137" i="1057"/>
  <c r="E137" i="1057"/>
  <c r="D137" i="1057"/>
  <c r="C137" i="1057"/>
  <c r="B137" i="1057"/>
  <c r="F103" i="1057"/>
  <c r="E103" i="1057"/>
  <c r="D103" i="1057"/>
  <c r="C103" i="1057"/>
  <c r="B103" i="1057"/>
  <c r="Y94" i="1057"/>
  <c r="X94" i="1057"/>
  <c r="W94" i="1057"/>
  <c r="V94" i="1057"/>
  <c r="U94" i="1057"/>
  <c r="T94" i="1057"/>
  <c r="S94" i="1057"/>
  <c r="R94" i="1057"/>
  <c r="Q94" i="1057"/>
  <c r="P94" i="1057"/>
  <c r="O94" i="1057"/>
  <c r="N94" i="1057"/>
  <c r="M94" i="1057"/>
  <c r="L94" i="1057"/>
  <c r="K94" i="1057"/>
  <c r="J94" i="1057"/>
  <c r="I94" i="1057"/>
  <c r="H94" i="1057"/>
  <c r="G94" i="1057"/>
  <c r="F94" i="1057"/>
  <c r="E94" i="1057"/>
  <c r="D94" i="1057"/>
  <c r="C94" i="1057"/>
  <c r="B94" i="1057"/>
  <c r="E39" i="1057"/>
  <c r="C39" i="1057"/>
  <c r="B39" i="1057"/>
  <c r="E38" i="1057"/>
  <c r="C38" i="1057"/>
  <c r="D38" i="1057" s="1"/>
  <c r="B38" i="1057"/>
  <c r="E37" i="1057"/>
  <c r="C37" i="1057"/>
  <c r="B37" i="1057"/>
  <c r="E36" i="1057"/>
  <c r="C36" i="1057"/>
  <c r="B36" i="1057"/>
  <c r="D34" i="1057"/>
  <c r="B34" i="1057"/>
  <c r="D33" i="1057"/>
  <c r="D32" i="1057"/>
  <c r="B32" i="1057"/>
  <c r="F32" i="1057" s="1"/>
  <c r="D31" i="1057"/>
  <c r="B31" i="1057"/>
  <c r="F31" i="1057" s="1"/>
  <c r="D30" i="1057"/>
  <c r="B30" i="1057"/>
  <c r="F30" i="1057" s="1"/>
  <c r="C27" i="1057"/>
  <c r="D27" i="1057" s="1"/>
  <c r="B27" i="1057"/>
  <c r="C26" i="1057"/>
  <c r="D26" i="1057" s="1"/>
  <c r="B26" i="1057"/>
  <c r="C25" i="1057"/>
  <c r="F25" i="1057" s="1"/>
  <c r="C24" i="1057"/>
  <c r="B22" i="1057"/>
  <c r="F22" i="1057" s="1"/>
  <c r="D21" i="1057"/>
  <c r="B21" i="1057"/>
  <c r="B20" i="1057"/>
  <c r="D19" i="1057"/>
  <c r="B19" i="1057"/>
  <c r="K15" i="1057"/>
  <c r="N14" i="1057"/>
  <c r="F13" i="1057"/>
  <c r="E13" i="1057"/>
  <c r="B13" i="1057"/>
  <c r="M11" i="1057"/>
  <c r="M10" i="1057"/>
  <c r="F10" i="1057"/>
  <c r="E10" i="1057"/>
  <c r="D10" i="1057"/>
  <c r="C10" i="1057"/>
  <c r="B10" i="1057"/>
  <c r="M9" i="1057"/>
  <c r="D4" i="1057"/>
  <c r="E4" i="1057" s="1"/>
  <c r="N2" i="1057"/>
  <c r="N1" i="1057"/>
  <c r="I17" i="1057" s="1"/>
  <c r="J17" i="1057" s="1"/>
  <c r="K1" i="1057"/>
  <c r="D1" i="1057"/>
  <c r="C1" i="1057"/>
  <c r="F143" i="1056"/>
  <c r="E143" i="1056"/>
  <c r="D143" i="1056"/>
  <c r="C143" i="1056"/>
  <c r="B143" i="1056"/>
  <c r="B142" i="1056"/>
  <c r="F137" i="1056"/>
  <c r="E137" i="1056"/>
  <c r="D137" i="1056"/>
  <c r="C137" i="1056"/>
  <c r="B137" i="1056"/>
  <c r="F103" i="1056"/>
  <c r="E103" i="1056"/>
  <c r="D103" i="1056"/>
  <c r="C103" i="1056"/>
  <c r="B103" i="1056"/>
  <c r="Y94" i="1056"/>
  <c r="X94" i="1056"/>
  <c r="W94" i="1056"/>
  <c r="V94" i="1056"/>
  <c r="U94" i="1056"/>
  <c r="T94" i="1056"/>
  <c r="S94" i="1056"/>
  <c r="R94" i="1056"/>
  <c r="Q94" i="1056"/>
  <c r="P94" i="1056"/>
  <c r="O94" i="1056"/>
  <c r="N94" i="1056"/>
  <c r="M94" i="1056"/>
  <c r="L94" i="1056"/>
  <c r="K94" i="1056"/>
  <c r="J94" i="1056"/>
  <c r="I94" i="1056"/>
  <c r="H94" i="1056"/>
  <c r="G94" i="1056"/>
  <c r="F94" i="1056"/>
  <c r="E94" i="1056"/>
  <c r="D94" i="1056"/>
  <c r="C94" i="1056"/>
  <c r="B94" i="1056"/>
  <c r="E39" i="1056"/>
  <c r="C39" i="1056"/>
  <c r="B39" i="1056"/>
  <c r="E38" i="1056"/>
  <c r="C38" i="1056"/>
  <c r="B38" i="1056"/>
  <c r="E37" i="1056"/>
  <c r="C37" i="1056"/>
  <c r="B37" i="1056"/>
  <c r="E36" i="1056"/>
  <c r="C36" i="1056"/>
  <c r="D36" i="1056" s="1"/>
  <c r="G36" i="1056" s="1"/>
  <c r="B36" i="1056"/>
  <c r="D34" i="1056"/>
  <c r="B34" i="1056"/>
  <c r="G13" i="1056" s="1"/>
  <c r="D33" i="1056"/>
  <c r="F32" i="1056"/>
  <c r="D32" i="1056"/>
  <c r="B32" i="1056"/>
  <c r="D31" i="1056"/>
  <c r="B31" i="1056"/>
  <c r="F31" i="1056" s="1"/>
  <c r="D30" i="1056"/>
  <c r="B30" i="1056"/>
  <c r="F30" i="1056" s="1"/>
  <c r="C27" i="1056"/>
  <c r="D27" i="1056" s="1"/>
  <c r="B27" i="1056"/>
  <c r="C26" i="1056"/>
  <c r="D26" i="1056" s="1"/>
  <c r="B26" i="1056"/>
  <c r="N22" i="1056"/>
  <c r="B22" i="1056"/>
  <c r="F22" i="1056" s="1"/>
  <c r="D21" i="1056"/>
  <c r="F21" i="1056" s="1"/>
  <c r="B21" i="1056"/>
  <c r="B20" i="1056"/>
  <c r="D19" i="1056"/>
  <c r="B19" i="1056"/>
  <c r="K15" i="1056"/>
  <c r="N14" i="1056"/>
  <c r="C13" i="1056"/>
  <c r="M11" i="1056"/>
  <c r="M10" i="1056"/>
  <c r="F10" i="1056"/>
  <c r="E10" i="1056"/>
  <c r="D10" i="1056"/>
  <c r="C10" i="1056"/>
  <c r="B10" i="1056"/>
  <c r="M9" i="1056"/>
  <c r="D4" i="1056"/>
  <c r="E4" i="1056" s="1"/>
  <c r="N2" i="1056"/>
  <c r="N1" i="1056"/>
  <c r="M1" i="1056" s="1"/>
  <c r="K1" i="1056"/>
  <c r="D1" i="1056"/>
  <c r="C1" i="1056"/>
  <c r="F143" i="1055"/>
  <c r="E143" i="1055"/>
  <c r="D143" i="1055"/>
  <c r="C143" i="1055"/>
  <c r="B143" i="1055"/>
  <c r="B142" i="1055"/>
  <c r="F137" i="1055"/>
  <c r="E137" i="1055"/>
  <c r="D137" i="1055"/>
  <c r="C137" i="1055"/>
  <c r="B137" i="1055"/>
  <c r="F103" i="1055"/>
  <c r="E103" i="1055"/>
  <c r="D103" i="1055"/>
  <c r="C103" i="1055"/>
  <c r="B103" i="1055"/>
  <c r="Y94" i="1055"/>
  <c r="X94" i="1055"/>
  <c r="W94" i="1055"/>
  <c r="V94" i="1055"/>
  <c r="U94" i="1055"/>
  <c r="T94" i="1055"/>
  <c r="S94" i="1055"/>
  <c r="R94" i="1055"/>
  <c r="Q94" i="1055"/>
  <c r="P94" i="1055"/>
  <c r="O94" i="1055"/>
  <c r="N94" i="1055"/>
  <c r="M94" i="1055"/>
  <c r="L94" i="1055"/>
  <c r="K94" i="1055"/>
  <c r="J94" i="1055"/>
  <c r="I94" i="1055"/>
  <c r="H94" i="1055"/>
  <c r="G94" i="1055"/>
  <c r="F94" i="1055"/>
  <c r="E94" i="1055"/>
  <c r="D94" i="1055"/>
  <c r="C94" i="1055"/>
  <c r="B94" i="1055"/>
  <c r="E39" i="1055"/>
  <c r="C39" i="1055"/>
  <c r="D39" i="1055" s="1"/>
  <c r="G39" i="1055" s="1"/>
  <c r="B39" i="1055"/>
  <c r="E38" i="1055"/>
  <c r="C38" i="1055"/>
  <c r="D38" i="1055" s="1"/>
  <c r="B38" i="1055"/>
  <c r="E37" i="1055"/>
  <c r="C37" i="1055"/>
  <c r="B37" i="1055"/>
  <c r="E36" i="1055"/>
  <c r="C36" i="1055"/>
  <c r="D36" i="1055" s="1"/>
  <c r="B36" i="1055"/>
  <c r="D34" i="1055"/>
  <c r="B34" i="1055"/>
  <c r="E13" i="1055" s="1"/>
  <c r="D33" i="1055"/>
  <c r="D32" i="1055"/>
  <c r="B32" i="1055"/>
  <c r="F32" i="1055" s="1"/>
  <c r="D31" i="1055"/>
  <c r="B31" i="1055"/>
  <c r="F31" i="1055" s="1"/>
  <c r="D30" i="1055"/>
  <c r="B30" i="1055"/>
  <c r="F30" i="1055" s="1"/>
  <c r="C27" i="1055"/>
  <c r="D27" i="1055" s="1"/>
  <c r="B27" i="1055"/>
  <c r="C26" i="1055"/>
  <c r="D26" i="1055" s="1"/>
  <c r="B26" i="1055"/>
  <c r="C25" i="1055"/>
  <c r="B22" i="1055"/>
  <c r="F22" i="1055" s="1"/>
  <c r="D21" i="1055"/>
  <c r="F21" i="1055" s="1"/>
  <c r="B21" i="1055"/>
  <c r="B20" i="1055"/>
  <c r="D19" i="1055"/>
  <c r="B19" i="1055"/>
  <c r="K15" i="1055"/>
  <c r="N14" i="1055"/>
  <c r="F13" i="1055"/>
  <c r="M11" i="1055"/>
  <c r="M10" i="1055"/>
  <c r="F10" i="1055"/>
  <c r="E10" i="1055"/>
  <c r="D10" i="1055"/>
  <c r="C10" i="1055"/>
  <c r="B10" i="1055"/>
  <c r="M9" i="1055"/>
  <c r="D4" i="1055"/>
  <c r="E4" i="1055" s="1"/>
  <c r="N2" i="1055"/>
  <c r="N1" i="1055"/>
  <c r="I17" i="1055" s="1"/>
  <c r="J17" i="1055" s="1"/>
  <c r="K1" i="1055"/>
  <c r="D1" i="1055"/>
  <c r="C1" i="1055"/>
  <c r="F143" i="1054"/>
  <c r="E143" i="1054"/>
  <c r="D143" i="1054"/>
  <c r="C143" i="1054"/>
  <c r="B143" i="1054"/>
  <c r="B142" i="1054"/>
  <c r="F137" i="1054"/>
  <c r="E137" i="1054"/>
  <c r="D137" i="1054"/>
  <c r="C137" i="1054"/>
  <c r="B137" i="1054"/>
  <c r="F103" i="1054"/>
  <c r="E103" i="1054"/>
  <c r="D103" i="1054"/>
  <c r="C103" i="1054"/>
  <c r="B103" i="1054"/>
  <c r="Y94" i="1054"/>
  <c r="X94" i="1054"/>
  <c r="W94" i="1054"/>
  <c r="V94" i="1054"/>
  <c r="U94" i="1054"/>
  <c r="T94" i="1054"/>
  <c r="S94" i="1054"/>
  <c r="R94" i="1054"/>
  <c r="Q94" i="1054"/>
  <c r="P94" i="1054"/>
  <c r="O94" i="1054"/>
  <c r="N94" i="1054"/>
  <c r="M94" i="1054"/>
  <c r="L94" i="1054"/>
  <c r="K94" i="1054"/>
  <c r="J94" i="1054"/>
  <c r="I94" i="1054"/>
  <c r="H94" i="1054"/>
  <c r="G94" i="1054"/>
  <c r="F94" i="1054"/>
  <c r="E94" i="1054"/>
  <c r="D94" i="1054"/>
  <c r="C94" i="1054"/>
  <c r="B94" i="1054"/>
  <c r="E39" i="1054"/>
  <c r="C39" i="1054"/>
  <c r="B39" i="1054"/>
  <c r="E38" i="1054"/>
  <c r="C38" i="1054"/>
  <c r="B38" i="1054"/>
  <c r="E37" i="1054"/>
  <c r="C37" i="1054"/>
  <c r="B37" i="1054"/>
  <c r="E36" i="1054"/>
  <c r="C36" i="1054"/>
  <c r="D36" i="1054" s="1"/>
  <c r="G36" i="1054" s="1"/>
  <c r="B36" i="1054"/>
  <c r="D34" i="1054"/>
  <c r="B34" i="1054"/>
  <c r="E13" i="1054" s="1"/>
  <c r="D33" i="1054"/>
  <c r="D32" i="1054"/>
  <c r="B32" i="1054"/>
  <c r="F32" i="1054" s="1"/>
  <c r="D31" i="1054"/>
  <c r="B31" i="1054"/>
  <c r="F31" i="1054" s="1"/>
  <c r="D30" i="1054"/>
  <c r="B30" i="1054"/>
  <c r="F30" i="1054" s="1"/>
  <c r="C27" i="1054"/>
  <c r="D27" i="1054" s="1"/>
  <c r="B27" i="1054"/>
  <c r="C26" i="1054"/>
  <c r="D26" i="1054" s="1"/>
  <c r="B26" i="1054"/>
  <c r="B22" i="1054"/>
  <c r="F22" i="1054" s="1"/>
  <c r="D21" i="1054"/>
  <c r="B21" i="1054"/>
  <c r="B20" i="1054"/>
  <c r="D19" i="1054"/>
  <c r="B19" i="1054"/>
  <c r="K15" i="1054"/>
  <c r="N14" i="1054"/>
  <c r="M11" i="1054"/>
  <c r="M10" i="1054"/>
  <c r="F10" i="1054"/>
  <c r="E10" i="1054"/>
  <c r="D10" i="1054"/>
  <c r="C10" i="1054"/>
  <c r="B10" i="1054"/>
  <c r="M9" i="1054"/>
  <c r="D4" i="1054"/>
  <c r="E4" i="1054" s="1"/>
  <c r="N2" i="1054"/>
  <c r="N1" i="1054"/>
  <c r="I17" i="1054" s="1"/>
  <c r="J17" i="1054" s="1"/>
  <c r="K1" i="1054"/>
  <c r="D1" i="1054"/>
  <c r="C1" i="1054"/>
  <c r="F143" i="1053"/>
  <c r="E143" i="1053"/>
  <c r="D143" i="1053"/>
  <c r="C143" i="1053"/>
  <c r="B143" i="1053"/>
  <c r="B142" i="1053"/>
  <c r="F137" i="1053"/>
  <c r="E137" i="1053"/>
  <c r="D137" i="1053"/>
  <c r="C137" i="1053"/>
  <c r="B137" i="1053"/>
  <c r="F103" i="1053"/>
  <c r="E103" i="1053"/>
  <c r="D103" i="1053"/>
  <c r="C24" i="1053" s="1"/>
  <c r="C103" i="1053"/>
  <c r="B103" i="1053"/>
  <c r="Y94" i="1053"/>
  <c r="X94" i="1053"/>
  <c r="W94" i="1053"/>
  <c r="V94" i="1053"/>
  <c r="U94" i="1053"/>
  <c r="T94" i="1053"/>
  <c r="S94" i="1053"/>
  <c r="R94" i="1053"/>
  <c r="Q94" i="1053"/>
  <c r="P94" i="1053"/>
  <c r="O94" i="1053"/>
  <c r="N94" i="1053"/>
  <c r="M94" i="1053"/>
  <c r="L94" i="1053"/>
  <c r="K94" i="1053"/>
  <c r="J94" i="1053"/>
  <c r="I94" i="1053"/>
  <c r="H94" i="1053"/>
  <c r="G94" i="1053"/>
  <c r="F94" i="1053"/>
  <c r="E94" i="1053"/>
  <c r="D94" i="1053"/>
  <c r="B25" i="1053" s="1"/>
  <c r="C94" i="1053"/>
  <c r="B94" i="1053"/>
  <c r="E39" i="1053"/>
  <c r="C39" i="1053"/>
  <c r="B39" i="1053"/>
  <c r="D39" i="1053" s="1"/>
  <c r="G39" i="1053" s="1"/>
  <c r="E38" i="1053"/>
  <c r="C38" i="1053"/>
  <c r="B38" i="1053"/>
  <c r="E37" i="1053"/>
  <c r="C37" i="1053"/>
  <c r="D37" i="1053" s="1"/>
  <c r="G37" i="1053" s="1"/>
  <c r="B37" i="1053"/>
  <c r="E36" i="1053"/>
  <c r="C36" i="1053"/>
  <c r="D36" i="1053" s="1"/>
  <c r="G36" i="1053" s="1"/>
  <c r="B36" i="1053"/>
  <c r="D34" i="1053"/>
  <c r="B34" i="1053"/>
  <c r="G13" i="1053" s="1"/>
  <c r="D33" i="1053"/>
  <c r="D32" i="1053"/>
  <c r="B32" i="1053"/>
  <c r="F32" i="1053" s="1"/>
  <c r="D31" i="1053"/>
  <c r="B31" i="1053"/>
  <c r="F31" i="1053" s="1"/>
  <c r="D30" i="1053"/>
  <c r="B30" i="1053"/>
  <c r="F30" i="1053" s="1"/>
  <c r="C27" i="1053"/>
  <c r="D27" i="1053" s="1"/>
  <c r="B27" i="1053"/>
  <c r="C26" i="1053"/>
  <c r="D26" i="1053" s="1"/>
  <c r="B26" i="1053"/>
  <c r="B22" i="1053"/>
  <c r="F22" i="1053" s="1"/>
  <c r="D21" i="1053"/>
  <c r="F21" i="1053" s="1"/>
  <c r="B21" i="1053"/>
  <c r="B20" i="1053"/>
  <c r="D19" i="1053"/>
  <c r="B19" i="1053"/>
  <c r="K15" i="1053"/>
  <c r="N14" i="1053"/>
  <c r="E13" i="1053"/>
  <c r="M11" i="1053"/>
  <c r="M10" i="1053"/>
  <c r="F10" i="1053"/>
  <c r="E10" i="1053"/>
  <c r="D10" i="1053"/>
  <c r="C10" i="1053"/>
  <c r="B10" i="1053"/>
  <c r="M9" i="1053"/>
  <c r="D4" i="1053"/>
  <c r="E4" i="1053" s="1"/>
  <c r="N2" i="1053"/>
  <c r="N1" i="1053"/>
  <c r="K1" i="1053"/>
  <c r="D1" i="1053"/>
  <c r="C1" i="1053"/>
  <c r="G69" i="1071"/>
  <c r="G69" i="1060"/>
  <c r="G69" i="1059"/>
  <c r="G69" i="1056"/>
  <c r="G69" i="1070"/>
  <c r="G69" i="1061"/>
  <c r="G69" i="1053"/>
  <c r="G69" i="1064"/>
  <c r="G69" i="1069"/>
  <c r="G69" i="1067"/>
  <c r="G69" i="1066"/>
  <c r="G69" i="1058"/>
  <c r="G69" i="1065"/>
  <c r="G69" i="1063"/>
  <c r="G69" i="1055"/>
  <c r="G69" i="1062"/>
  <c r="G69" i="1054"/>
  <c r="G69" i="1057"/>
  <c r="H26" i="1"/>
  <c r="H38" i="1"/>
  <c r="H12" i="1"/>
  <c r="H34" i="1"/>
  <c r="H54" i="1"/>
  <c r="H25" i="1"/>
  <c r="H36" i="1"/>
  <c r="H65" i="1"/>
  <c r="H59" i="1"/>
  <c r="H39" i="1"/>
  <c r="H48" i="1"/>
  <c r="H41" i="1"/>
  <c r="H20" i="1"/>
  <c r="H46" i="1"/>
  <c r="H22" i="1"/>
  <c r="H67" i="1"/>
  <c r="H77" i="1"/>
  <c r="H53" i="1"/>
  <c r="B25" i="1054" l="1"/>
  <c r="B13" i="1054"/>
  <c r="D38" i="1054"/>
  <c r="I25" i="1053"/>
  <c r="B1" i="1053"/>
  <c r="D13" i="1053"/>
  <c r="B56" i="1054"/>
  <c r="F13" i="1054"/>
  <c r="D39" i="1054"/>
  <c r="G39" i="1054" s="1"/>
  <c r="C24" i="1055"/>
  <c r="D20" i="1055"/>
  <c r="B25" i="1056"/>
  <c r="B45" i="1057"/>
  <c r="B1" i="1057"/>
  <c r="D20" i="1057"/>
  <c r="G39" i="1058"/>
  <c r="C25" i="1060"/>
  <c r="H45" i="1061"/>
  <c r="B1" i="1061"/>
  <c r="D39" i="1062"/>
  <c r="G39" i="1062" s="1"/>
  <c r="B25" i="1063"/>
  <c r="D39" i="1065"/>
  <c r="G39" i="1065" s="1"/>
  <c r="D37" i="1067"/>
  <c r="G37" i="1067" s="1"/>
  <c r="D37" i="1069"/>
  <c r="E13" i="1070"/>
  <c r="G39" i="1070"/>
  <c r="B25" i="1071"/>
  <c r="G36" i="1055"/>
  <c r="B24" i="1056"/>
  <c r="F24" i="1056" s="1"/>
  <c r="B56" i="1057"/>
  <c r="B56" i="1061"/>
  <c r="L24" i="1064"/>
  <c r="B1" i="1064"/>
  <c r="C71" i="1064" s="1"/>
  <c r="B25" i="1067"/>
  <c r="N22" i="1069"/>
  <c r="B1" i="1069"/>
  <c r="B25" i="1069"/>
  <c r="D39" i="1057"/>
  <c r="G39" i="1057" s="1"/>
  <c r="B25" i="1058"/>
  <c r="I23" i="1059"/>
  <c r="B1" i="1059"/>
  <c r="C24" i="1059"/>
  <c r="C24" i="1061"/>
  <c r="D24" i="1061" s="1"/>
  <c r="D20" i="1061"/>
  <c r="D37" i="1062"/>
  <c r="B25" i="1062"/>
  <c r="B56" i="1064"/>
  <c r="D20" i="1064"/>
  <c r="B25" i="1065"/>
  <c r="I23" i="1066"/>
  <c r="B1" i="1066"/>
  <c r="C24" i="1066"/>
  <c r="D20" i="1066"/>
  <c r="B56" i="1069"/>
  <c r="B56" i="1070"/>
  <c r="B45" i="1071"/>
  <c r="B48" i="1071" s="1"/>
  <c r="B1" i="1071"/>
  <c r="B24" i="1053"/>
  <c r="F24" i="1053" s="1"/>
  <c r="D20" i="1053"/>
  <c r="F20" i="1053" s="1"/>
  <c r="F19" i="1054"/>
  <c r="B56" i="1055"/>
  <c r="F19" i="1055"/>
  <c r="E13" i="1056"/>
  <c r="D38" i="1056"/>
  <c r="G38" i="1056" s="1"/>
  <c r="F19" i="1057"/>
  <c r="B13" i="1058"/>
  <c r="B24" i="1058"/>
  <c r="F24" i="1058" s="1"/>
  <c r="B56" i="1059"/>
  <c r="D36" i="1059"/>
  <c r="G36" i="1059" s="1"/>
  <c r="D36" i="1061"/>
  <c r="G36" i="1061" s="1"/>
  <c r="B56" i="1063"/>
  <c r="D38" i="1063"/>
  <c r="G38" i="1063" s="1"/>
  <c r="D36" i="1064"/>
  <c r="G36" i="1064" s="1"/>
  <c r="B56" i="1066"/>
  <c r="D39" i="1066"/>
  <c r="G39" i="1066" s="1"/>
  <c r="F19" i="1069"/>
  <c r="B56" i="1071"/>
  <c r="B58" i="1071" s="1"/>
  <c r="B45" i="1055"/>
  <c r="B1" i="1055"/>
  <c r="B25" i="1055"/>
  <c r="H45" i="1056"/>
  <c r="B1" i="1056"/>
  <c r="C24" i="1056"/>
  <c r="D20" i="1056"/>
  <c r="B25" i="1057"/>
  <c r="F21" i="1058"/>
  <c r="G39" i="1059"/>
  <c r="E13" i="1060"/>
  <c r="B24" i="1060"/>
  <c r="F24" i="1060" s="1"/>
  <c r="D20" i="1060"/>
  <c r="G39" i="1061"/>
  <c r="C24" i="1063"/>
  <c r="D20" i="1063"/>
  <c r="G39" i="1064"/>
  <c r="G38" i="1069"/>
  <c r="B24" i="1069"/>
  <c r="F24" i="1069" s="1"/>
  <c r="F19" i="1070"/>
  <c r="D37" i="1054"/>
  <c r="G37" i="1054" s="1"/>
  <c r="I23" i="1058"/>
  <c r="B1" i="1058"/>
  <c r="M4" i="1058" s="1"/>
  <c r="D38" i="1062"/>
  <c r="D36" i="1071"/>
  <c r="G36" i="1071" s="1"/>
  <c r="F13" i="1053"/>
  <c r="B13" i="1053"/>
  <c r="F19" i="1053"/>
  <c r="C13" i="1054"/>
  <c r="F21" i="1054"/>
  <c r="C24" i="1054"/>
  <c r="D20" i="1054"/>
  <c r="D39" i="1056"/>
  <c r="G39" i="1056" s="1"/>
  <c r="F21" i="1057"/>
  <c r="B56" i="1058"/>
  <c r="H45" i="1060"/>
  <c r="B1" i="1060"/>
  <c r="D39" i="1060"/>
  <c r="G39" i="1060" s="1"/>
  <c r="B25" i="1061"/>
  <c r="H45" i="1062"/>
  <c r="B1" i="1062"/>
  <c r="G13" i="1062"/>
  <c r="B24" i="1062"/>
  <c r="F24" i="1062" s="1"/>
  <c r="D20" i="1062"/>
  <c r="D39" i="1063"/>
  <c r="G39" i="1063" s="1"/>
  <c r="K11" i="1064"/>
  <c r="B25" i="1064"/>
  <c r="F13" i="1065"/>
  <c r="C24" i="1065"/>
  <c r="D20" i="1065"/>
  <c r="I23" i="1067"/>
  <c r="B1" i="1067"/>
  <c r="D36" i="1067"/>
  <c r="G36" i="1067" s="1"/>
  <c r="D36" i="1069"/>
  <c r="G36" i="1069" s="1"/>
  <c r="F21" i="1070"/>
  <c r="C24" i="1070"/>
  <c r="D24" i="1070" s="1"/>
  <c r="D20" i="1070"/>
  <c r="F20" i="1070" s="1"/>
  <c r="D38" i="1053"/>
  <c r="G38" i="1053" s="1"/>
  <c r="B56" i="1056"/>
  <c r="C13" i="1053"/>
  <c r="C25" i="1053"/>
  <c r="B45" i="1054"/>
  <c r="B1" i="1054"/>
  <c r="D37" i="1056"/>
  <c r="G37" i="1056" s="1"/>
  <c r="G38" i="1057"/>
  <c r="B24" i="1057"/>
  <c r="F24" i="1057" s="1"/>
  <c r="C24" i="1058"/>
  <c r="D36" i="1058"/>
  <c r="G36" i="1058" s="1"/>
  <c r="B56" i="1060"/>
  <c r="C56" i="1060" s="1"/>
  <c r="B56" i="1062"/>
  <c r="D36" i="1062"/>
  <c r="G36" i="1062" s="1"/>
  <c r="C24" i="1064"/>
  <c r="B56" i="1065"/>
  <c r="D36" i="1065"/>
  <c r="G36" i="1065" s="1"/>
  <c r="B56" i="1067"/>
  <c r="I24" i="1067"/>
  <c r="G39" i="1067"/>
  <c r="G39" i="1069"/>
  <c r="G37" i="1071"/>
  <c r="D38" i="1071"/>
  <c r="G38" i="1071" s="1"/>
  <c r="B24" i="1071"/>
  <c r="F24" i="1071" s="1"/>
  <c r="D25" i="1071"/>
  <c r="M1" i="1071"/>
  <c r="C45" i="1071"/>
  <c r="B52" i="1071"/>
  <c r="B46" i="1071"/>
  <c r="B47" i="1071"/>
  <c r="C56" i="1071"/>
  <c r="B57" i="1071"/>
  <c r="I17" i="1071"/>
  <c r="J17" i="1071" s="1"/>
  <c r="J20" i="1071"/>
  <c r="I21" i="1071"/>
  <c r="I22" i="1071"/>
  <c r="L24" i="1071"/>
  <c r="I25" i="1071"/>
  <c r="F27" i="1071" s="1"/>
  <c r="N23" i="1071"/>
  <c r="L22" i="1071"/>
  <c r="N21" i="1071"/>
  <c r="K11" i="1071"/>
  <c r="L17" i="1071"/>
  <c r="F20" i="1071"/>
  <c r="L21" i="1071"/>
  <c r="N22" i="1071"/>
  <c r="I20" i="1071" s="1"/>
  <c r="N24" i="1071"/>
  <c r="D13" i="1071"/>
  <c r="H45" i="1071"/>
  <c r="L23" i="1071"/>
  <c r="I24" i="1071"/>
  <c r="F26" i="1071" s="1"/>
  <c r="F19" i="1071"/>
  <c r="I23" i="1071"/>
  <c r="F13" i="1070"/>
  <c r="B13" i="1070"/>
  <c r="B24" i="1070"/>
  <c r="F24" i="1070" s="1"/>
  <c r="G36" i="1070"/>
  <c r="B25" i="1070"/>
  <c r="C25" i="1070"/>
  <c r="F25" i="1070" s="1"/>
  <c r="B3" i="1070" s="1"/>
  <c r="M1" i="1070"/>
  <c r="I25" i="1070"/>
  <c r="F27" i="1070" s="1"/>
  <c r="N23" i="1070"/>
  <c r="L22" i="1070"/>
  <c r="N21" i="1070"/>
  <c r="N24" i="1070"/>
  <c r="L23" i="1070"/>
  <c r="I22" i="1070"/>
  <c r="L21" i="1070"/>
  <c r="L24" i="1070"/>
  <c r="C56" i="1070"/>
  <c r="B58" i="1070"/>
  <c r="B57" i="1070"/>
  <c r="K11" i="1070"/>
  <c r="L14" i="1070"/>
  <c r="L17" i="1070"/>
  <c r="J20" i="1070"/>
  <c r="I21" i="1070"/>
  <c r="I23" i="1070"/>
  <c r="G13" i="1070"/>
  <c r="C13" i="1070"/>
  <c r="B45" i="1070"/>
  <c r="N22" i="1070"/>
  <c r="I20" i="1070" s="1"/>
  <c r="J19" i="1070" s="1"/>
  <c r="H45" i="1070"/>
  <c r="I24" i="1070"/>
  <c r="F26" i="1070" s="1"/>
  <c r="G37" i="1069"/>
  <c r="C25" i="1069"/>
  <c r="F71" i="1069"/>
  <c r="B71" i="1069"/>
  <c r="J64" i="1069"/>
  <c r="D64" i="1069"/>
  <c r="M64" i="1069"/>
  <c r="I64" i="1069"/>
  <c r="C64" i="1069"/>
  <c r="D71" i="1069"/>
  <c r="L64" i="1069"/>
  <c r="F64" i="1069"/>
  <c r="C71" i="1069"/>
  <c r="I25" i="1069"/>
  <c r="F27" i="1069" s="1"/>
  <c r="N23" i="1069"/>
  <c r="L22" i="1069"/>
  <c r="N21" i="1069"/>
  <c r="K11" i="1069"/>
  <c r="L14" i="1069" s="1"/>
  <c r="N24" i="1069"/>
  <c r="L23" i="1069"/>
  <c r="I22" i="1069"/>
  <c r="L21" i="1069"/>
  <c r="L24" i="1069"/>
  <c r="I23" i="1069"/>
  <c r="I21" i="1069"/>
  <c r="J20" i="1069"/>
  <c r="M1" i="1069"/>
  <c r="D3" i="1069"/>
  <c r="M4" i="1069"/>
  <c r="L17" i="1069"/>
  <c r="B45" i="1069"/>
  <c r="C56" i="1069"/>
  <c r="B58" i="1069"/>
  <c r="B57" i="1069"/>
  <c r="F3" i="1069"/>
  <c r="I24" i="1069"/>
  <c r="F26" i="1069" s="1"/>
  <c r="D13" i="1069"/>
  <c r="G13" i="1069"/>
  <c r="C13" i="1069"/>
  <c r="F13" i="1069"/>
  <c r="B13" i="1069"/>
  <c r="H45" i="1069"/>
  <c r="E64" i="1069"/>
  <c r="I20" i="1069"/>
  <c r="F25" i="1069"/>
  <c r="D25" i="1069"/>
  <c r="K64" i="1069"/>
  <c r="D24" i="1069"/>
  <c r="F21" i="1067"/>
  <c r="F26" i="1067"/>
  <c r="F13" i="1067"/>
  <c r="B13" i="1067"/>
  <c r="F19" i="1067"/>
  <c r="C24" i="1067"/>
  <c r="D24" i="1067" s="1"/>
  <c r="C25" i="1067"/>
  <c r="F71" i="1067"/>
  <c r="B71" i="1067"/>
  <c r="J64" i="1067"/>
  <c r="D64" i="1067"/>
  <c r="E71" i="1067"/>
  <c r="M64" i="1067"/>
  <c r="I64" i="1067"/>
  <c r="C64" i="1067"/>
  <c r="D71" i="1067"/>
  <c r="L64" i="1067"/>
  <c r="F64" i="1067"/>
  <c r="B64" i="1067"/>
  <c r="A16" i="1067"/>
  <c r="C71" i="1067"/>
  <c r="I25" i="1067"/>
  <c r="F27" i="1067" s="1"/>
  <c r="N23" i="1067"/>
  <c r="L22" i="1067"/>
  <c r="N21" i="1067"/>
  <c r="L24" i="1067"/>
  <c r="M1" i="1067"/>
  <c r="D3" i="1067"/>
  <c r="M4" i="1067"/>
  <c r="L23" i="1067"/>
  <c r="N24" i="1067"/>
  <c r="B45" i="1067"/>
  <c r="C56" i="1067"/>
  <c r="B58" i="1067"/>
  <c r="B57" i="1067"/>
  <c r="F3" i="1067"/>
  <c r="I17" i="1067"/>
  <c r="J17" i="1067" s="1"/>
  <c r="J20" i="1067"/>
  <c r="I21" i="1067"/>
  <c r="I22" i="1067"/>
  <c r="D13" i="1067"/>
  <c r="H45" i="1067"/>
  <c r="E64" i="1067"/>
  <c r="K11" i="1067"/>
  <c r="L14" i="1067" s="1"/>
  <c r="F20" i="1067"/>
  <c r="L21" i="1067"/>
  <c r="N22" i="1067"/>
  <c r="I20" i="1067" s="1"/>
  <c r="K64" i="1067"/>
  <c r="D38" i="1066"/>
  <c r="D36" i="1066"/>
  <c r="G36" i="1066" s="1"/>
  <c r="B24" i="1066"/>
  <c r="F24" i="1066" s="1"/>
  <c r="D37" i="1066"/>
  <c r="G37" i="1066" s="1"/>
  <c r="G38" i="1066"/>
  <c r="F19" i="1066"/>
  <c r="F21" i="1066"/>
  <c r="B25" i="1066"/>
  <c r="I24" i="1066"/>
  <c r="F26" i="1066" s="1"/>
  <c r="J64" i="1066"/>
  <c r="B71" i="1066"/>
  <c r="D64" i="1066"/>
  <c r="E71" i="1066"/>
  <c r="I64" i="1066"/>
  <c r="C64" i="1066"/>
  <c r="D71" i="1066"/>
  <c r="F64" i="1066"/>
  <c r="B64" i="1066"/>
  <c r="A16" i="1066"/>
  <c r="I25" i="1066"/>
  <c r="F27" i="1066" s="1"/>
  <c r="N23" i="1066"/>
  <c r="L22" i="1066"/>
  <c r="N21" i="1066"/>
  <c r="L24" i="1066"/>
  <c r="M1" i="1066"/>
  <c r="D3" i="1066"/>
  <c r="L23" i="1066"/>
  <c r="N24" i="1066"/>
  <c r="B45" i="1066"/>
  <c r="C56" i="1066"/>
  <c r="B58" i="1066"/>
  <c r="B57" i="1066"/>
  <c r="F3" i="1066"/>
  <c r="I17" i="1066"/>
  <c r="J17" i="1066" s="1"/>
  <c r="J20" i="1066"/>
  <c r="I21" i="1066"/>
  <c r="I22" i="1066"/>
  <c r="C25" i="1066"/>
  <c r="D13" i="1066"/>
  <c r="H45" i="1066"/>
  <c r="E64" i="1066"/>
  <c r="K11" i="1066"/>
  <c r="L14" i="1066" s="1"/>
  <c r="F20" i="1066"/>
  <c r="L21" i="1066"/>
  <c r="N22" i="1066"/>
  <c r="I20" i="1066" s="1"/>
  <c r="K64" i="1066"/>
  <c r="G37" i="1065"/>
  <c r="B13" i="1065"/>
  <c r="B24" i="1065"/>
  <c r="F24" i="1065" s="1"/>
  <c r="C25" i="1065"/>
  <c r="D25" i="1065" s="1"/>
  <c r="M1" i="1065"/>
  <c r="I25" i="1065"/>
  <c r="F27" i="1065" s="1"/>
  <c r="N23" i="1065"/>
  <c r="L22" i="1065"/>
  <c r="N21" i="1065"/>
  <c r="L24" i="1065"/>
  <c r="C56" i="1065"/>
  <c r="B58" i="1065"/>
  <c r="B57" i="1065"/>
  <c r="I17" i="1065"/>
  <c r="J17" i="1065" s="1"/>
  <c r="J20" i="1065"/>
  <c r="I21" i="1065"/>
  <c r="I22" i="1065"/>
  <c r="B45" i="1065"/>
  <c r="K11" i="1065"/>
  <c r="L17" i="1065"/>
  <c r="F20" i="1065"/>
  <c r="L21" i="1065"/>
  <c r="N22" i="1065"/>
  <c r="I20" i="1065" s="1"/>
  <c r="D13" i="1065"/>
  <c r="H45" i="1065"/>
  <c r="L23" i="1065"/>
  <c r="N24" i="1065"/>
  <c r="F19" i="1065"/>
  <c r="I23" i="1065"/>
  <c r="I24" i="1065"/>
  <c r="F26" i="1065" s="1"/>
  <c r="B24" i="1064"/>
  <c r="F24" i="1064" s="1"/>
  <c r="C25" i="1064"/>
  <c r="N22" i="1064"/>
  <c r="I20" i="1064" s="1"/>
  <c r="I24" i="1064"/>
  <c r="F26" i="1064" s="1"/>
  <c r="H45" i="1064"/>
  <c r="H46" i="1064" s="1"/>
  <c r="J20" i="1064"/>
  <c r="I21" i="1064"/>
  <c r="I23" i="1064"/>
  <c r="E64" i="1064"/>
  <c r="E66" i="1064" s="1"/>
  <c r="N67" i="1064"/>
  <c r="E67" i="1064"/>
  <c r="C74" i="1064"/>
  <c r="C73" i="1064"/>
  <c r="F71" i="1064"/>
  <c r="B71" i="1064"/>
  <c r="J64" i="1064"/>
  <c r="D64" i="1064"/>
  <c r="E71" i="1064"/>
  <c r="M64" i="1064"/>
  <c r="I64" i="1064"/>
  <c r="C64" i="1064"/>
  <c r="A16" i="1064"/>
  <c r="D38" i="1064"/>
  <c r="G38" i="1064" s="1"/>
  <c r="I25" i="1064"/>
  <c r="F27" i="1064" s="1"/>
  <c r="N23" i="1064"/>
  <c r="L22" i="1064"/>
  <c r="N21" i="1064"/>
  <c r="L14" i="1064"/>
  <c r="N24" i="1064"/>
  <c r="L23" i="1064"/>
  <c r="I22" i="1064"/>
  <c r="L21" i="1064"/>
  <c r="M1" i="1064"/>
  <c r="D3" i="1064"/>
  <c r="M4" i="1064"/>
  <c r="D13" i="1064"/>
  <c r="G13" i="1064"/>
  <c r="C13" i="1064"/>
  <c r="B45" i="1064"/>
  <c r="K64" i="1064"/>
  <c r="E65" i="1064"/>
  <c r="N65" i="1064"/>
  <c r="C75" i="1064"/>
  <c r="D37" i="1064"/>
  <c r="G37" i="1064" s="1"/>
  <c r="F64" i="1064"/>
  <c r="N66" i="1064"/>
  <c r="D71" i="1064"/>
  <c r="C56" i="1064"/>
  <c r="B58" i="1064"/>
  <c r="B57" i="1064"/>
  <c r="F3" i="1064"/>
  <c r="L17" i="1064"/>
  <c r="F20" i="1064"/>
  <c r="B64" i="1064"/>
  <c r="L64" i="1064"/>
  <c r="C72" i="1064"/>
  <c r="G37" i="1063"/>
  <c r="F19" i="1063"/>
  <c r="M1" i="1063"/>
  <c r="B24" i="1063"/>
  <c r="F24" i="1063" s="1"/>
  <c r="I25" i="1063"/>
  <c r="F27" i="1063" s="1"/>
  <c r="N23" i="1063"/>
  <c r="L22" i="1063"/>
  <c r="N21" i="1063"/>
  <c r="N24" i="1063"/>
  <c r="L23" i="1063"/>
  <c r="I22" i="1063"/>
  <c r="L21" i="1063"/>
  <c r="L24" i="1063"/>
  <c r="I23" i="1063"/>
  <c r="J20" i="1063"/>
  <c r="I21" i="1063"/>
  <c r="I24" i="1063"/>
  <c r="F26" i="1063" s="1"/>
  <c r="C56" i="1063"/>
  <c r="B58" i="1063"/>
  <c r="B57" i="1063"/>
  <c r="I17" i="1063"/>
  <c r="J17" i="1063" s="1"/>
  <c r="F25" i="1063"/>
  <c r="D25" i="1063"/>
  <c r="B45" i="1063"/>
  <c r="K11" i="1063"/>
  <c r="L17" i="1063"/>
  <c r="F20" i="1063"/>
  <c r="N22" i="1063"/>
  <c r="I20" i="1063" s="1"/>
  <c r="D13" i="1063"/>
  <c r="H45" i="1063"/>
  <c r="D24" i="1063"/>
  <c r="G38" i="1062"/>
  <c r="G37" i="1062"/>
  <c r="C13" i="1062"/>
  <c r="F20" i="1062"/>
  <c r="D24" i="1062"/>
  <c r="C25" i="1062"/>
  <c r="I45" i="1062"/>
  <c r="H46" i="1062"/>
  <c r="H47" i="1062"/>
  <c r="H48" i="1062"/>
  <c r="C56" i="1062"/>
  <c r="B58" i="1062"/>
  <c r="B57" i="1062"/>
  <c r="K11" i="1062"/>
  <c r="L14" i="1062" s="1"/>
  <c r="N22" i="1062"/>
  <c r="I20" i="1062" s="1"/>
  <c r="I24" i="1062"/>
  <c r="F26" i="1062" s="1"/>
  <c r="B45" i="1062"/>
  <c r="L17" i="1062"/>
  <c r="J20" i="1062"/>
  <c r="I21" i="1062"/>
  <c r="I23" i="1062"/>
  <c r="L24" i="1062"/>
  <c r="D13" i="1062"/>
  <c r="I25" i="1062"/>
  <c r="F27" i="1062" s="1"/>
  <c r="N23" i="1062"/>
  <c r="L22" i="1062"/>
  <c r="N21" i="1062"/>
  <c r="N24" i="1062"/>
  <c r="L23" i="1062"/>
  <c r="I22" i="1062"/>
  <c r="L21" i="1062"/>
  <c r="M1" i="1062"/>
  <c r="F26" i="1061"/>
  <c r="G37" i="1061"/>
  <c r="F19" i="1061"/>
  <c r="C25" i="1061"/>
  <c r="N22" i="1061"/>
  <c r="J20" i="1061"/>
  <c r="I21" i="1061"/>
  <c r="I45" i="1061"/>
  <c r="H47" i="1061"/>
  <c r="H48" i="1061"/>
  <c r="H46" i="1061"/>
  <c r="I17" i="1061"/>
  <c r="J17" i="1061" s="1"/>
  <c r="K11" i="1061"/>
  <c r="L17" i="1061"/>
  <c r="F20" i="1061"/>
  <c r="L21" i="1061"/>
  <c r="L23" i="1061"/>
  <c r="N24" i="1061"/>
  <c r="B45" i="1061"/>
  <c r="C56" i="1061"/>
  <c r="B58" i="1061"/>
  <c r="B57" i="1061"/>
  <c r="D13" i="1061"/>
  <c r="I25" i="1061"/>
  <c r="F27" i="1061" s="1"/>
  <c r="N23" i="1061"/>
  <c r="L22" i="1061"/>
  <c r="N21" i="1061"/>
  <c r="L14" i="1061"/>
  <c r="L24" i="1061"/>
  <c r="I23" i="1061"/>
  <c r="I20" i="1061"/>
  <c r="I22" i="1061"/>
  <c r="F13" i="1060"/>
  <c r="B13" i="1060"/>
  <c r="F19" i="1060"/>
  <c r="F20" i="1060"/>
  <c r="C24" i="1060"/>
  <c r="B25" i="1060"/>
  <c r="N21" i="1060"/>
  <c r="N23" i="1060"/>
  <c r="D56" i="1060"/>
  <c r="C58" i="1060"/>
  <c r="C57" i="1060"/>
  <c r="I45" i="1060"/>
  <c r="H48" i="1060"/>
  <c r="H47" i="1060"/>
  <c r="H46" i="1060"/>
  <c r="F25" i="1060"/>
  <c r="D25" i="1060"/>
  <c r="D36" i="1060"/>
  <c r="G36" i="1060" s="1"/>
  <c r="D37" i="1060"/>
  <c r="G37" i="1060" s="1"/>
  <c r="N24" i="1060"/>
  <c r="L23" i="1060"/>
  <c r="I22" i="1060"/>
  <c r="L21" i="1060"/>
  <c r="L24" i="1060"/>
  <c r="I23" i="1060"/>
  <c r="M1" i="1060"/>
  <c r="L22" i="1060"/>
  <c r="I25" i="1060"/>
  <c r="F27" i="1060" s="1"/>
  <c r="G13" i="1060"/>
  <c r="C13" i="1060"/>
  <c r="D24" i="1060"/>
  <c r="B58" i="1060"/>
  <c r="B57" i="1060"/>
  <c r="K11" i="1060"/>
  <c r="L14" i="1060" s="1"/>
  <c r="L17" i="1060"/>
  <c r="J20" i="1060"/>
  <c r="I21" i="1060"/>
  <c r="N22" i="1060"/>
  <c r="I20" i="1060" s="1"/>
  <c r="I24" i="1060"/>
  <c r="F26" i="1060" s="1"/>
  <c r="B45" i="1060"/>
  <c r="F21" i="1059"/>
  <c r="G37" i="1059"/>
  <c r="F19" i="1059"/>
  <c r="B24" i="1059"/>
  <c r="F24" i="1059" s="1"/>
  <c r="B25" i="1059"/>
  <c r="C25" i="1059"/>
  <c r="K11" i="1059"/>
  <c r="L14" i="1059" s="1"/>
  <c r="I24" i="1059"/>
  <c r="F26" i="1059" s="1"/>
  <c r="F71" i="1059"/>
  <c r="B71" i="1059"/>
  <c r="J64" i="1059"/>
  <c r="D64" i="1059"/>
  <c r="E71" i="1059"/>
  <c r="M64" i="1059"/>
  <c r="I64" i="1059"/>
  <c r="C64" i="1059"/>
  <c r="D71" i="1059"/>
  <c r="L64" i="1059"/>
  <c r="F64" i="1059"/>
  <c r="B64" i="1059"/>
  <c r="A16" i="1059"/>
  <c r="I25" i="1059"/>
  <c r="F27" i="1059" s="1"/>
  <c r="N23" i="1059"/>
  <c r="L22" i="1059"/>
  <c r="N21" i="1059"/>
  <c r="L24" i="1059"/>
  <c r="M1" i="1059"/>
  <c r="D3" i="1059"/>
  <c r="M4" i="1059"/>
  <c r="L23" i="1059"/>
  <c r="N24" i="1059"/>
  <c r="B45" i="1059"/>
  <c r="C56" i="1059"/>
  <c r="B58" i="1059"/>
  <c r="B57" i="1059"/>
  <c r="F3" i="1059"/>
  <c r="I17" i="1059"/>
  <c r="J17" i="1059" s="1"/>
  <c r="J20" i="1059"/>
  <c r="I21" i="1059"/>
  <c r="I22" i="1059"/>
  <c r="D13" i="1059"/>
  <c r="H45" i="1059"/>
  <c r="E64" i="1059"/>
  <c r="C71" i="1059"/>
  <c r="F20" i="1059"/>
  <c r="L21" i="1059"/>
  <c r="N22" i="1059"/>
  <c r="I20" i="1059" s="1"/>
  <c r="K64" i="1059"/>
  <c r="G37" i="1058"/>
  <c r="C13" i="1058"/>
  <c r="F19" i="1058"/>
  <c r="D24" i="1058"/>
  <c r="C25" i="1058"/>
  <c r="F25" i="1058" s="1"/>
  <c r="C71" i="1058"/>
  <c r="I25" i="1058"/>
  <c r="F27" i="1058" s="1"/>
  <c r="N23" i="1058"/>
  <c r="L22" i="1058"/>
  <c r="N21" i="1058"/>
  <c r="M1" i="1058"/>
  <c r="D3" i="1058"/>
  <c r="L23" i="1058"/>
  <c r="I24" i="1058"/>
  <c r="F26" i="1058" s="1"/>
  <c r="B45" i="1058"/>
  <c r="F71" i="1058"/>
  <c r="B71" i="1058"/>
  <c r="J64" i="1058"/>
  <c r="D64" i="1058"/>
  <c r="E71" i="1058"/>
  <c r="M64" i="1058"/>
  <c r="I64" i="1058"/>
  <c r="C64" i="1058"/>
  <c r="D71" i="1058"/>
  <c r="L64" i="1058"/>
  <c r="F64" i="1058"/>
  <c r="B64" i="1058"/>
  <c r="A16" i="1058"/>
  <c r="C56" i="1058"/>
  <c r="B58" i="1058"/>
  <c r="B57" i="1058"/>
  <c r="F3" i="1058"/>
  <c r="I17" i="1058"/>
  <c r="J17" i="1058" s="1"/>
  <c r="J20" i="1058"/>
  <c r="I21" i="1058"/>
  <c r="I22" i="1058"/>
  <c r="L24" i="1058"/>
  <c r="D13" i="1058"/>
  <c r="H45" i="1058"/>
  <c r="E64" i="1058"/>
  <c r="K11" i="1058"/>
  <c r="F20" i="1058"/>
  <c r="L21" i="1058"/>
  <c r="N22" i="1058"/>
  <c r="I20" i="1058" s="1"/>
  <c r="N24" i="1058"/>
  <c r="K64" i="1058"/>
  <c r="D37" i="1057"/>
  <c r="G37" i="1057" s="1"/>
  <c r="D36" i="1057"/>
  <c r="G36" i="1057" s="1"/>
  <c r="M1" i="1057"/>
  <c r="C45" i="1057"/>
  <c r="B52" i="1057"/>
  <c r="B48" i="1057"/>
  <c r="B46" i="1057"/>
  <c r="B47" i="1057"/>
  <c r="L17" i="1057"/>
  <c r="F20" i="1057"/>
  <c r="D24" i="1057"/>
  <c r="D25" i="1057"/>
  <c r="I25" i="1057"/>
  <c r="F27" i="1057" s="1"/>
  <c r="N23" i="1057"/>
  <c r="L22" i="1057"/>
  <c r="N21" i="1057"/>
  <c r="N24" i="1057"/>
  <c r="L23" i="1057"/>
  <c r="I22" i="1057"/>
  <c r="L21" i="1057"/>
  <c r="K11" i="1057"/>
  <c r="L14" i="1057" s="1"/>
  <c r="N22" i="1057"/>
  <c r="I20" i="1057" s="1"/>
  <c r="I24" i="1057"/>
  <c r="F26" i="1057" s="1"/>
  <c r="D13" i="1057"/>
  <c r="G13" i="1057"/>
  <c r="C13" i="1057"/>
  <c r="H45" i="1057"/>
  <c r="C56" i="1057"/>
  <c r="B58" i="1057"/>
  <c r="B57" i="1057"/>
  <c r="J20" i="1057"/>
  <c r="I21" i="1057"/>
  <c r="I23" i="1057"/>
  <c r="L24" i="1057"/>
  <c r="F13" i="1056"/>
  <c r="B13" i="1056"/>
  <c r="C25" i="1056"/>
  <c r="F25" i="1056" s="1"/>
  <c r="J20" i="1056"/>
  <c r="I21" i="1056"/>
  <c r="I45" i="1056"/>
  <c r="H47" i="1056"/>
  <c r="H46" i="1056"/>
  <c r="H48" i="1056"/>
  <c r="C56" i="1056"/>
  <c r="B58" i="1056"/>
  <c r="B57" i="1056"/>
  <c r="K11" i="1056"/>
  <c r="L14" i="1056" s="1"/>
  <c r="L17" i="1056"/>
  <c r="F20" i="1056"/>
  <c r="L21" i="1056"/>
  <c r="B45" i="1056"/>
  <c r="I17" i="1056"/>
  <c r="J17" i="1056" s="1"/>
  <c r="F19" i="1056"/>
  <c r="I24" i="1056"/>
  <c r="F26" i="1056" s="1"/>
  <c r="D13" i="1056"/>
  <c r="I25" i="1056"/>
  <c r="F27" i="1056" s="1"/>
  <c r="N23" i="1056"/>
  <c r="L22" i="1056"/>
  <c r="N21" i="1056"/>
  <c r="N24" i="1056"/>
  <c r="L23" i="1056"/>
  <c r="L24" i="1056"/>
  <c r="I23" i="1056"/>
  <c r="I20" i="1056"/>
  <c r="I22" i="1056"/>
  <c r="D25" i="1056"/>
  <c r="D24" i="1056"/>
  <c r="D37" i="1055"/>
  <c r="G37" i="1055" s="1"/>
  <c r="G38" i="1055"/>
  <c r="C13" i="1055"/>
  <c r="B13" i="1055"/>
  <c r="G13" i="1055"/>
  <c r="F20" i="1055"/>
  <c r="B24" i="1055"/>
  <c r="F24" i="1055" s="1"/>
  <c r="K11" i="1055"/>
  <c r="I24" i="1055"/>
  <c r="F26" i="1055" s="1"/>
  <c r="L17" i="1055"/>
  <c r="C45" i="1055"/>
  <c r="B52" i="1055"/>
  <c r="B48" i="1055"/>
  <c r="B46" i="1055"/>
  <c r="B47" i="1055"/>
  <c r="N22" i="1055"/>
  <c r="I20" i="1055" s="1"/>
  <c r="F25" i="1055"/>
  <c r="D25" i="1055"/>
  <c r="I25" i="1055"/>
  <c r="F27" i="1055" s="1"/>
  <c r="N23" i="1055"/>
  <c r="L22" i="1055"/>
  <c r="N21" i="1055"/>
  <c r="L14" i="1055"/>
  <c r="N24" i="1055"/>
  <c r="L23" i="1055"/>
  <c r="I22" i="1055"/>
  <c r="L21" i="1055"/>
  <c r="L24" i="1055"/>
  <c r="M1" i="1055"/>
  <c r="J20" i="1055"/>
  <c r="I21" i="1055"/>
  <c r="I23" i="1055"/>
  <c r="D13" i="1055"/>
  <c r="H45" i="1055"/>
  <c r="C56" i="1055"/>
  <c r="B58" i="1055"/>
  <c r="B57" i="1055"/>
  <c r="D24" i="1055"/>
  <c r="G38" i="1054"/>
  <c r="F20" i="1054"/>
  <c r="B24" i="1054"/>
  <c r="F24" i="1054" s="1"/>
  <c r="C25" i="1054"/>
  <c r="K11" i="1054"/>
  <c r="C45" i="1054"/>
  <c r="B52" i="1054"/>
  <c r="B48" i="1054"/>
  <c r="B46" i="1054"/>
  <c r="B47" i="1054"/>
  <c r="C56" i="1054"/>
  <c r="B58" i="1054"/>
  <c r="B57" i="1054"/>
  <c r="N22" i="1054"/>
  <c r="I20" i="1054" s="1"/>
  <c r="I24" i="1054"/>
  <c r="F26" i="1054" s="1"/>
  <c r="L17" i="1054"/>
  <c r="I25" i="1054"/>
  <c r="F27" i="1054" s="1"/>
  <c r="N23" i="1054"/>
  <c r="L22" i="1054"/>
  <c r="N21" i="1054"/>
  <c r="L14" i="1054"/>
  <c r="N24" i="1054"/>
  <c r="L23" i="1054"/>
  <c r="I22" i="1054"/>
  <c r="L21" i="1054"/>
  <c r="M1" i="1054"/>
  <c r="J20" i="1054"/>
  <c r="I21" i="1054"/>
  <c r="I23" i="1054"/>
  <c r="L24" i="1054"/>
  <c r="D13" i="1054"/>
  <c r="G13" i="1054"/>
  <c r="H45" i="1054"/>
  <c r="F27" i="1053"/>
  <c r="D25" i="1053"/>
  <c r="F25" i="1053"/>
  <c r="M1" i="1053"/>
  <c r="L17" i="1053"/>
  <c r="B56" i="1053"/>
  <c r="I17" i="1053"/>
  <c r="J17" i="1053" s="1"/>
  <c r="N22" i="1053"/>
  <c r="I20" i="1053" s="1"/>
  <c r="I24" i="1053"/>
  <c r="F26" i="1053" s="1"/>
  <c r="B45" i="1053"/>
  <c r="H45" i="1053"/>
  <c r="J20" i="1053"/>
  <c r="I21" i="1053"/>
  <c r="I23" i="1053"/>
  <c r="L24" i="1053"/>
  <c r="L21" i="1053"/>
  <c r="I22" i="1053"/>
  <c r="L23" i="1053"/>
  <c r="N24" i="1053"/>
  <c r="K11" i="1053"/>
  <c r="L14" i="1053" s="1"/>
  <c r="N21" i="1053"/>
  <c r="L22" i="1053"/>
  <c r="N23" i="1053"/>
  <c r="F143" i="1052"/>
  <c r="E143" i="1052"/>
  <c r="D143" i="1052"/>
  <c r="C143" i="1052"/>
  <c r="B143" i="1052"/>
  <c r="B142" i="1052"/>
  <c r="F137" i="1052"/>
  <c r="E137" i="1052"/>
  <c r="D137" i="1052"/>
  <c r="C137" i="1052"/>
  <c r="B137" i="1052"/>
  <c r="F103" i="1052"/>
  <c r="E103" i="1052"/>
  <c r="D103" i="1052"/>
  <c r="C103" i="1052"/>
  <c r="B103" i="1052"/>
  <c r="Y94" i="1052"/>
  <c r="X94" i="1052"/>
  <c r="W94" i="1052"/>
  <c r="V94" i="1052"/>
  <c r="U94" i="1052"/>
  <c r="T94" i="1052"/>
  <c r="S94" i="1052"/>
  <c r="R94" i="1052"/>
  <c r="Q94" i="1052"/>
  <c r="P94" i="1052"/>
  <c r="O94" i="1052"/>
  <c r="N94" i="1052"/>
  <c r="M94" i="1052"/>
  <c r="L94" i="1052"/>
  <c r="K94" i="1052"/>
  <c r="J94" i="1052"/>
  <c r="I94" i="1052"/>
  <c r="H94" i="1052"/>
  <c r="G94" i="1052"/>
  <c r="F94" i="1052"/>
  <c r="E94" i="1052"/>
  <c r="D94" i="1052"/>
  <c r="C94" i="1052"/>
  <c r="B94" i="1052"/>
  <c r="E39" i="1052"/>
  <c r="C39" i="1052"/>
  <c r="D39" i="1052" s="1"/>
  <c r="B39" i="1052"/>
  <c r="E38" i="1052"/>
  <c r="C38" i="1052"/>
  <c r="B38" i="1052"/>
  <c r="E37" i="1052"/>
  <c r="C37" i="1052"/>
  <c r="B37" i="1052"/>
  <c r="D37" i="1052" s="1"/>
  <c r="E36" i="1052"/>
  <c r="C36" i="1052"/>
  <c r="D36" i="1052" s="1"/>
  <c r="B36" i="1052"/>
  <c r="D34" i="1052"/>
  <c r="B34" i="1052"/>
  <c r="F13" i="1052" s="1"/>
  <c r="D33" i="1052"/>
  <c r="D32" i="1052"/>
  <c r="B32" i="1052"/>
  <c r="F32" i="1052" s="1"/>
  <c r="D31" i="1052"/>
  <c r="B31" i="1052"/>
  <c r="F31" i="1052" s="1"/>
  <c r="D30" i="1052"/>
  <c r="B30" i="1052"/>
  <c r="F30" i="1052" s="1"/>
  <c r="C27" i="1052"/>
  <c r="D27" i="1052" s="1"/>
  <c r="B27" i="1052"/>
  <c r="C26" i="1052"/>
  <c r="D26" i="1052" s="1"/>
  <c r="B26" i="1052"/>
  <c r="C25" i="1052"/>
  <c r="B22" i="1052"/>
  <c r="F22" i="1052" s="1"/>
  <c r="D21" i="1052"/>
  <c r="F21" i="1052" s="1"/>
  <c r="B21" i="1052"/>
  <c r="B20" i="1052"/>
  <c r="D19" i="1052"/>
  <c r="B19" i="1052"/>
  <c r="K15" i="1052"/>
  <c r="N14" i="1052"/>
  <c r="E13" i="1052"/>
  <c r="B13" i="1052"/>
  <c r="M11" i="1052"/>
  <c r="M10" i="1052"/>
  <c r="F10" i="1052"/>
  <c r="E10" i="1052"/>
  <c r="D10" i="1052"/>
  <c r="C10" i="1052"/>
  <c r="B10" i="1052"/>
  <c r="M9" i="1052"/>
  <c r="D4" i="1052"/>
  <c r="E4" i="1052" s="1"/>
  <c r="N2" i="1052"/>
  <c r="N1" i="1052"/>
  <c r="I17" i="1052" s="1"/>
  <c r="J17" i="1052" s="1"/>
  <c r="K1" i="1052"/>
  <c r="D1" i="1052"/>
  <c r="C1" i="1052"/>
  <c r="B1" i="1052" s="1"/>
  <c r="B103" i="1051"/>
  <c r="C103" i="1051"/>
  <c r="D103" i="1051"/>
  <c r="E103" i="1051"/>
  <c r="F103" i="1051"/>
  <c r="F143" i="1051"/>
  <c r="E143" i="1051"/>
  <c r="D143" i="1051"/>
  <c r="C143" i="1051"/>
  <c r="B143" i="1051"/>
  <c r="B142" i="1051"/>
  <c r="F137" i="1051"/>
  <c r="E137" i="1051"/>
  <c r="D137" i="1051"/>
  <c r="C137" i="1051"/>
  <c r="B137" i="1051"/>
  <c r="Y94" i="1051"/>
  <c r="X94" i="1051"/>
  <c r="W94" i="1051"/>
  <c r="V94" i="1051"/>
  <c r="U94" i="1051"/>
  <c r="T94" i="1051"/>
  <c r="S94" i="1051"/>
  <c r="R94" i="1051"/>
  <c r="Q94" i="1051"/>
  <c r="P94" i="1051"/>
  <c r="O94" i="1051"/>
  <c r="N94" i="1051"/>
  <c r="M94" i="1051"/>
  <c r="L94" i="1051"/>
  <c r="K94" i="1051"/>
  <c r="J94" i="1051"/>
  <c r="I94" i="1051"/>
  <c r="H94" i="1051"/>
  <c r="G94" i="1051"/>
  <c r="F94" i="1051"/>
  <c r="E94" i="1051"/>
  <c r="D94" i="1051"/>
  <c r="C94" i="1051"/>
  <c r="B94" i="1051"/>
  <c r="E39" i="1051"/>
  <c r="C39" i="1051"/>
  <c r="B39" i="1051"/>
  <c r="E38" i="1051"/>
  <c r="C38" i="1051"/>
  <c r="D38" i="1051" s="1"/>
  <c r="G38" i="1051" s="1"/>
  <c r="B38" i="1051"/>
  <c r="E37" i="1051"/>
  <c r="C37" i="1051"/>
  <c r="B37" i="1051"/>
  <c r="E36" i="1051"/>
  <c r="C36" i="1051"/>
  <c r="B36" i="1051"/>
  <c r="D34" i="1051"/>
  <c r="B34" i="1051"/>
  <c r="D13" i="1051" s="1"/>
  <c r="D33" i="1051"/>
  <c r="D32" i="1051"/>
  <c r="B32" i="1051"/>
  <c r="F32" i="1051" s="1"/>
  <c r="D31" i="1051"/>
  <c r="B31" i="1051"/>
  <c r="F31" i="1051" s="1"/>
  <c r="D30" i="1051"/>
  <c r="B30" i="1051"/>
  <c r="F30" i="1051" s="1"/>
  <c r="C27" i="1051"/>
  <c r="D27" i="1051" s="1"/>
  <c r="B27" i="1051"/>
  <c r="C26" i="1051"/>
  <c r="D26" i="1051" s="1"/>
  <c r="B26" i="1051"/>
  <c r="B22" i="1051"/>
  <c r="F22" i="1051" s="1"/>
  <c r="D21" i="1051"/>
  <c r="F21" i="1051" s="1"/>
  <c r="B21" i="1051"/>
  <c r="B20" i="1051"/>
  <c r="D19" i="1051"/>
  <c r="B19" i="1051"/>
  <c r="F19" i="1051" s="1"/>
  <c r="K15" i="1051"/>
  <c r="N14" i="1051"/>
  <c r="M11" i="1051"/>
  <c r="M10" i="1051"/>
  <c r="F10" i="1051"/>
  <c r="E10" i="1051"/>
  <c r="D10" i="1051"/>
  <c r="C10" i="1051"/>
  <c r="B10" i="1051"/>
  <c r="M9" i="1051"/>
  <c r="D4" i="1051"/>
  <c r="E4" i="1051" s="1"/>
  <c r="N2" i="1051"/>
  <c r="N1" i="1051"/>
  <c r="I17" i="1051" s="1"/>
  <c r="J17" i="1051" s="1"/>
  <c r="K1" i="1051"/>
  <c r="D1" i="1051"/>
  <c r="C1" i="1051"/>
  <c r="F143" i="1050"/>
  <c r="E143" i="1050"/>
  <c r="D143" i="1050"/>
  <c r="C143" i="1050"/>
  <c r="B143" i="1050"/>
  <c r="B142" i="1050"/>
  <c r="F137" i="1050"/>
  <c r="E137" i="1050"/>
  <c r="D137" i="1050"/>
  <c r="C137" i="1050"/>
  <c r="B137" i="1050"/>
  <c r="F103" i="1050"/>
  <c r="E103" i="1050"/>
  <c r="D103" i="1050"/>
  <c r="C103" i="1050"/>
  <c r="C24" i="1050" s="1"/>
  <c r="D24" i="1050" s="1"/>
  <c r="B103" i="1050"/>
  <c r="Y94" i="1050"/>
  <c r="X94" i="1050"/>
  <c r="W94" i="1050"/>
  <c r="V94" i="1050"/>
  <c r="U94" i="1050"/>
  <c r="T94" i="1050"/>
  <c r="S94" i="1050"/>
  <c r="R94" i="1050"/>
  <c r="Q94" i="1050"/>
  <c r="P94" i="1050"/>
  <c r="O94" i="1050"/>
  <c r="N94" i="1050"/>
  <c r="M94" i="1050"/>
  <c r="L94" i="1050"/>
  <c r="K94" i="1050"/>
  <c r="J94" i="1050"/>
  <c r="I94" i="1050"/>
  <c r="H94" i="1050"/>
  <c r="G94" i="1050"/>
  <c r="F94" i="1050"/>
  <c r="E94" i="1050"/>
  <c r="D94" i="1050"/>
  <c r="C94" i="1050"/>
  <c r="B94" i="1050"/>
  <c r="E39" i="1050"/>
  <c r="C39" i="1050"/>
  <c r="B39" i="1050"/>
  <c r="E38" i="1050"/>
  <c r="C38" i="1050"/>
  <c r="D38" i="1050" s="1"/>
  <c r="G38" i="1050" s="1"/>
  <c r="B38" i="1050"/>
  <c r="E37" i="1050"/>
  <c r="C37" i="1050"/>
  <c r="B37" i="1050"/>
  <c r="D37" i="1050" s="1"/>
  <c r="E36" i="1050"/>
  <c r="C36" i="1050"/>
  <c r="D36" i="1050" s="1"/>
  <c r="G36" i="1050" s="1"/>
  <c r="B36" i="1050"/>
  <c r="D34" i="1050"/>
  <c r="B34" i="1050"/>
  <c r="D33" i="1050"/>
  <c r="D32" i="1050"/>
  <c r="B32" i="1050"/>
  <c r="F32" i="1050" s="1"/>
  <c r="D31" i="1050"/>
  <c r="B31" i="1050"/>
  <c r="F31" i="1050" s="1"/>
  <c r="D30" i="1050"/>
  <c r="B30" i="1050"/>
  <c r="F30" i="1050" s="1"/>
  <c r="C27" i="1050"/>
  <c r="D27" i="1050" s="1"/>
  <c r="B27" i="1050"/>
  <c r="C26" i="1050"/>
  <c r="D26" i="1050" s="1"/>
  <c r="B26" i="1050"/>
  <c r="B24" i="1050"/>
  <c r="F24" i="1050" s="1"/>
  <c r="B22" i="1050"/>
  <c r="F22" i="1050" s="1"/>
  <c r="D21" i="1050"/>
  <c r="B21" i="1050"/>
  <c r="F21" i="1050" s="1"/>
  <c r="B20" i="1050"/>
  <c r="D19" i="1050"/>
  <c r="B19" i="1050"/>
  <c r="K15" i="1050"/>
  <c r="N14" i="1050"/>
  <c r="G13" i="1050"/>
  <c r="F13" i="1050"/>
  <c r="E13" i="1050"/>
  <c r="C13" i="1050"/>
  <c r="B13" i="1050"/>
  <c r="M11" i="1050"/>
  <c r="M10" i="1050"/>
  <c r="F10" i="1050"/>
  <c r="E10" i="1050"/>
  <c r="D10" i="1050"/>
  <c r="C10" i="1050"/>
  <c r="B10" i="1050"/>
  <c r="M9" i="1050"/>
  <c r="D4" i="1050"/>
  <c r="E4" i="1050" s="1"/>
  <c r="N2" i="1050"/>
  <c r="N1" i="1050"/>
  <c r="K1" i="1050"/>
  <c r="D1" i="1050"/>
  <c r="C1" i="1050"/>
  <c r="B1" i="1050" s="1"/>
  <c r="F143" i="1049"/>
  <c r="E143" i="1049"/>
  <c r="D143" i="1049"/>
  <c r="C143" i="1049"/>
  <c r="B143" i="1049"/>
  <c r="B142" i="1049"/>
  <c r="F137" i="1049"/>
  <c r="E137" i="1049"/>
  <c r="D137" i="1049"/>
  <c r="C137" i="1049"/>
  <c r="B137" i="1049"/>
  <c r="F103" i="1049"/>
  <c r="E103" i="1049"/>
  <c r="D103" i="1049"/>
  <c r="C103" i="1049"/>
  <c r="B103" i="1049"/>
  <c r="Y94" i="1049"/>
  <c r="X94" i="1049"/>
  <c r="W94" i="1049"/>
  <c r="V94" i="1049"/>
  <c r="U94" i="1049"/>
  <c r="T94" i="1049"/>
  <c r="S94" i="1049"/>
  <c r="R94" i="1049"/>
  <c r="Q94" i="1049"/>
  <c r="P94" i="1049"/>
  <c r="O94" i="1049"/>
  <c r="N94" i="1049"/>
  <c r="M94" i="1049"/>
  <c r="L94" i="1049"/>
  <c r="K94" i="1049"/>
  <c r="J94" i="1049"/>
  <c r="I94" i="1049"/>
  <c r="H94" i="1049"/>
  <c r="G94" i="1049"/>
  <c r="F94" i="1049"/>
  <c r="E94" i="1049"/>
  <c r="D94" i="1049"/>
  <c r="C94" i="1049"/>
  <c r="B94" i="1049"/>
  <c r="E39" i="1049"/>
  <c r="C39" i="1049"/>
  <c r="B39" i="1049"/>
  <c r="E38" i="1049"/>
  <c r="C38" i="1049"/>
  <c r="D38" i="1049" s="1"/>
  <c r="G38" i="1049" s="1"/>
  <c r="B38" i="1049"/>
  <c r="E37" i="1049"/>
  <c r="C37" i="1049"/>
  <c r="B37" i="1049"/>
  <c r="D37" i="1049" s="1"/>
  <c r="E36" i="1049"/>
  <c r="C36" i="1049"/>
  <c r="D36" i="1049" s="1"/>
  <c r="G36" i="1049" s="1"/>
  <c r="B36" i="1049"/>
  <c r="D34" i="1049"/>
  <c r="B34" i="1049"/>
  <c r="G13" i="1049" s="1"/>
  <c r="D33" i="1049"/>
  <c r="D32" i="1049"/>
  <c r="B32" i="1049"/>
  <c r="F32" i="1049" s="1"/>
  <c r="D31" i="1049"/>
  <c r="B31" i="1049"/>
  <c r="F31" i="1049" s="1"/>
  <c r="D30" i="1049"/>
  <c r="B30" i="1049"/>
  <c r="F30" i="1049" s="1"/>
  <c r="C27" i="1049"/>
  <c r="D27" i="1049" s="1"/>
  <c r="B27" i="1049"/>
  <c r="C26" i="1049"/>
  <c r="D26" i="1049" s="1"/>
  <c r="B26" i="1049"/>
  <c r="C24" i="1049"/>
  <c r="B22" i="1049"/>
  <c r="F22" i="1049" s="1"/>
  <c r="D21" i="1049"/>
  <c r="B21" i="1049"/>
  <c r="B20" i="1049"/>
  <c r="D19" i="1049"/>
  <c r="B19" i="1049"/>
  <c r="K15" i="1049"/>
  <c r="N14" i="1049"/>
  <c r="F13" i="1049"/>
  <c r="E13" i="1049"/>
  <c r="C13" i="1049"/>
  <c r="B13" i="1049"/>
  <c r="M11" i="1049"/>
  <c r="M10" i="1049"/>
  <c r="F10" i="1049"/>
  <c r="E10" i="1049"/>
  <c r="D10" i="1049"/>
  <c r="C10" i="1049"/>
  <c r="B10" i="1049"/>
  <c r="M9" i="1049"/>
  <c r="D4" i="1049"/>
  <c r="E4" i="1049" s="1"/>
  <c r="N2" i="1049"/>
  <c r="N1" i="1049"/>
  <c r="L17" i="1049" s="1"/>
  <c r="K1" i="1049"/>
  <c r="D1" i="1049"/>
  <c r="C1" i="1049"/>
  <c r="F143" i="1048"/>
  <c r="E143" i="1048"/>
  <c r="D143" i="1048"/>
  <c r="C143" i="1048"/>
  <c r="B143" i="1048"/>
  <c r="B142" i="1048"/>
  <c r="F137" i="1048"/>
  <c r="E137" i="1048"/>
  <c r="D137" i="1048"/>
  <c r="C137" i="1048"/>
  <c r="B137" i="1048"/>
  <c r="F103" i="1048"/>
  <c r="E103" i="1048"/>
  <c r="D103" i="1048"/>
  <c r="C103" i="1048"/>
  <c r="B103" i="1048"/>
  <c r="Y94" i="1048"/>
  <c r="X94" i="1048"/>
  <c r="W94" i="1048"/>
  <c r="V94" i="1048"/>
  <c r="U94" i="1048"/>
  <c r="T94" i="1048"/>
  <c r="S94" i="1048"/>
  <c r="R94" i="1048"/>
  <c r="Q94" i="1048"/>
  <c r="P94" i="1048"/>
  <c r="O94" i="1048"/>
  <c r="N94" i="1048"/>
  <c r="M94" i="1048"/>
  <c r="L94" i="1048"/>
  <c r="K94" i="1048"/>
  <c r="J94" i="1048"/>
  <c r="I94" i="1048"/>
  <c r="H94" i="1048"/>
  <c r="G94" i="1048"/>
  <c r="F94" i="1048"/>
  <c r="E94" i="1048"/>
  <c r="D94" i="1048"/>
  <c r="C94" i="1048"/>
  <c r="B94" i="1048"/>
  <c r="B25" i="1048" s="1"/>
  <c r="E39" i="1048"/>
  <c r="C39" i="1048"/>
  <c r="D39" i="1048" s="1"/>
  <c r="G39" i="1048" s="1"/>
  <c r="B39" i="1048"/>
  <c r="E38" i="1048"/>
  <c r="C38" i="1048"/>
  <c r="B38" i="1048"/>
  <c r="E37" i="1048"/>
  <c r="C37" i="1048"/>
  <c r="B37" i="1048"/>
  <c r="E36" i="1048"/>
  <c r="C36" i="1048"/>
  <c r="B36" i="1048"/>
  <c r="D34" i="1048"/>
  <c r="B34" i="1048"/>
  <c r="G13" i="1048" s="1"/>
  <c r="D33" i="1048"/>
  <c r="D32" i="1048"/>
  <c r="B32" i="1048"/>
  <c r="F32" i="1048" s="1"/>
  <c r="D31" i="1048"/>
  <c r="B31" i="1048"/>
  <c r="F31" i="1048" s="1"/>
  <c r="D30" i="1048"/>
  <c r="B30" i="1048"/>
  <c r="F30" i="1048" s="1"/>
  <c r="C27" i="1048"/>
  <c r="D27" i="1048" s="1"/>
  <c r="B27" i="1048"/>
  <c r="C26" i="1048"/>
  <c r="D26" i="1048" s="1"/>
  <c r="B26" i="1048"/>
  <c r="B22" i="1048"/>
  <c r="F22" i="1048" s="1"/>
  <c r="D21" i="1048"/>
  <c r="B21" i="1048"/>
  <c r="F21" i="1048" s="1"/>
  <c r="B20" i="1048"/>
  <c r="D19" i="1048"/>
  <c r="B19" i="1048"/>
  <c r="K15" i="1048"/>
  <c r="N14" i="1048"/>
  <c r="B13" i="1048"/>
  <c r="M11" i="1048"/>
  <c r="M10" i="1048"/>
  <c r="F10" i="1048"/>
  <c r="E10" i="1048"/>
  <c r="D10" i="1048"/>
  <c r="C10" i="1048"/>
  <c r="B10" i="1048"/>
  <c r="M9" i="1048"/>
  <c r="D4" i="1048"/>
  <c r="E4" i="1048" s="1"/>
  <c r="N2" i="1048"/>
  <c r="N1" i="1048"/>
  <c r="I17" i="1048" s="1"/>
  <c r="J17" i="1048" s="1"/>
  <c r="K1" i="1048"/>
  <c r="D1" i="1048"/>
  <c r="C1" i="1048"/>
  <c r="F143" i="1047"/>
  <c r="E143" i="1047"/>
  <c r="D143" i="1047"/>
  <c r="C143" i="1047"/>
  <c r="D20" i="1047" s="1"/>
  <c r="B143" i="1047"/>
  <c r="B142" i="1047"/>
  <c r="F137" i="1047"/>
  <c r="E137" i="1047"/>
  <c r="D137" i="1047"/>
  <c r="C137" i="1047"/>
  <c r="B137" i="1047"/>
  <c r="F103" i="1047"/>
  <c r="C24" i="1047" s="1"/>
  <c r="E103" i="1047"/>
  <c r="D103" i="1047"/>
  <c r="C103" i="1047"/>
  <c r="B103" i="1047"/>
  <c r="Y94" i="1047"/>
  <c r="X94" i="1047"/>
  <c r="W94" i="1047"/>
  <c r="V94" i="1047"/>
  <c r="U94" i="1047"/>
  <c r="T94" i="1047"/>
  <c r="S94" i="1047"/>
  <c r="R94" i="1047"/>
  <c r="Q94" i="1047"/>
  <c r="P94" i="1047"/>
  <c r="O94" i="1047"/>
  <c r="N94" i="1047"/>
  <c r="M94" i="1047"/>
  <c r="L94" i="1047"/>
  <c r="K94" i="1047"/>
  <c r="J94" i="1047"/>
  <c r="I94" i="1047"/>
  <c r="H94" i="1047"/>
  <c r="G94" i="1047"/>
  <c r="F94" i="1047"/>
  <c r="E94" i="1047"/>
  <c r="D94" i="1047"/>
  <c r="C94" i="1047"/>
  <c r="B94" i="1047"/>
  <c r="E39" i="1047"/>
  <c r="C39" i="1047"/>
  <c r="D39" i="1047" s="1"/>
  <c r="G39" i="1047" s="1"/>
  <c r="B39" i="1047"/>
  <c r="E38" i="1047"/>
  <c r="C38" i="1047"/>
  <c r="B38" i="1047"/>
  <c r="E37" i="1047"/>
  <c r="C37" i="1047"/>
  <c r="B37" i="1047"/>
  <c r="E36" i="1047"/>
  <c r="C36" i="1047"/>
  <c r="B36" i="1047"/>
  <c r="D34" i="1047"/>
  <c r="B34" i="1047"/>
  <c r="B13" i="1047" s="1"/>
  <c r="D33" i="1047"/>
  <c r="D32" i="1047"/>
  <c r="B32" i="1047"/>
  <c r="F32" i="1047" s="1"/>
  <c r="D31" i="1047"/>
  <c r="B31" i="1047"/>
  <c r="F31" i="1047" s="1"/>
  <c r="D30" i="1047"/>
  <c r="B30" i="1047"/>
  <c r="F30" i="1047" s="1"/>
  <c r="C27" i="1047"/>
  <c r="D27" i="1047" s="1"/>
  <c r="B27" i="1047"/>
  <c r="C26" i="1047"/>
  <c r="D26" i="1047" s="1"/>
  <c r="B26" i="1047"/>
  <c r="B22" i="1047"/>
  <c r="F22" i="1047" s="1"/>
  <c r="D21" i="1047"/>
  <c r="F21" i="1047" s="1"/>
  <c r="B21" i="1047"/>
  <c r="B20" i="1047"/>
  <c r="D19" i="1047"/>
  <c r="B19" i="1047"/>
  <c r="F19" i="1047" s="1"/>
  <c r="K15" i="1047"/>
  <c r="N14" i="1047"/>
  <c r="E13" i="1047"/>
  <c r="M11" i="1047"/>
  <c r="M10" i="1047"/>
  <c r="F10" i="1047"/>
  <c r="E10" i="1047"/>
  <c r="D10" i="1047"/>
  <c r="C10" i="1047"/>
  <c r="B10" i="1047"/>
  <c r="M9" i="1047"/>
  <c r="D4" i="1047"/>
  <c r="E4" i="1047" s="1"/>
  <c r="N2" i="1047"/>
  <c r="N1" i="1047"/>
  <c r="I17" i="1047" s="1"/>
  <c r="J17" i="1047" s="1"/>
  <c r="K1" i="1047"/>
  <c r="D1" i="1047"/>
  <c r="C1" i="1047"/>
  <c r="F143" i="1046"/>
  <c r="E143" i="1046"/>
  <c r="D143" i="1046"/>
  <c r="C143" i="1046"/>
  <c r="B143" i="1046"/>
  <c r="B142" i="1046"/>
  <c r="F137" i="1046"/>
  <c r="E137" i="1046"/>
  <c r="D137" i="1046"/>
  <c r="C137" i="1046"/>
  <c r="B137" i="1046"/>
  <c r="F103" i="1046"/>
  <c r="E103" i="1046"/>
  <c r="D103" i="1046"/>
  <c r="C103" i="1046"/>
  <c r="B103" i="1046"/>
  <c r="Y94" i="1046"/>
  <c r="X94" i="1046"/>
  <c r="W94" i="1046"/>
  <c r="V94" i="1046"/>
  <c r="U94" i="1046"/>
  <c r="T94" i="1046"/>
  <c r="S94" i="1046"/>
  <c r="R94" i="1046"/>
  <c r="Q94" i="1046"/>
  <c r="P94" i="1046"/>
  <c r="O94" i="1046"/>
  <c r="N94" i="1046"/>
  <c r="M94" i="1046"/>
  <c r="L94" i="1046"/>
  <c r="K94" i="1046"/>
  <c r="J94" i="1046"/>
  <c r="I94" i="1046"/>
  <c r="H94" i="1046"/>
  <c r="G94" i="1046"/>
  <c r="F94" i="1046"/>
  <c r="E94" i="1046"/>
  <c r="D94" i="1046"/>
  <c r="C94" i="1046"/>
  <c r="B94" i="1046"/>
  <c r="E39" i="1046"/>
  <c r="C39" i="1046"/>
  <c r="D39" i="1046" s="1"/>
  <c r="G39" i="1046" s="1"/>
  <c r="B39" i="1046"/>
  <c r="E38" i="1046"/>
  <c r="C38" i="1046"/>
  <c r="D38" i="1046" s="1"/>
  <c r="G38" i="1046" s="1"/>
  <c r="B38" i="1046"/>
  <c r="E37" i="1046"/>
  <c r="C37" i="1046"/>
  <c r="B37" i="1046"/>
  <c r="E36" i="1046"/>
  <c r="C36" i="1046"/>
  <c r="B36" i="1046"/>
  <c r="D34" i="1046"/>
  <c r="B34" i="1046"/>
  <c r="C13" i="1046" s="1"/>
  <c r="D33" i="1046"/>
  <c r="D32" i="1046"/>
  <c r="B32" i="1046"/>
  <c r="F32" i="1046" s="1"/>
  <c r="D31" i="1046"/>
  <c r="B31" i="1046"/>
  <c r="F31" i="1046" s="1"/>
  <c r="D30" i="1046"/>
  <c r="B30" i="1046"/>
  <c r="F30" i="1046" s="1"/>
  <c r="C27" i="1046"/>
  <c r="D27" i="1046" s="1"/>
  <c r="B27" i="1046"/>
  <c r="C26" i="1046"/>
  <c r="D26" i="1046" s="1"/>
  <c r="B26" i="1046"/>
  <c r="B22" i="1046"/>
  <c r="F22" i="1046" s="1"/>
  <c r="D21" i="1046"/>
  <c r="B21" i="1046"/>
  <c r="F21" i="1046" s="1"/>
  <c r="B20" i="1046"/>
  <c r="D19" i="1046"/>
  <c r="B19" i="1046"/>
  <c r="K15" i="1046"/>
  <c r="N14" i="1046"/>
  <c r="F13" i="1046"/>
  <c r="M11" i="1046"/>
  <c r="M10" i="1046"/>
  <c r="F10" i="1046"/>
  <c r="E10" i="1046"/>
  <c r="D10" i="1046"/>
  <c r="C10" i="1046"/>
  <c r="B10" i="1046"/>
  <c r="M9" i="1046"/>
  <c r="D4" i="1046"/>
  <c r="E4" i="1046" s="1"/>
  <c r="N2" i="1046"/>
  <c r="N1" i="1046"/>
  <c r="I17" i="1046" s="1"/>
  <c r="J17" i="1046" s="1"/>
  <c r="K1" i="1046"/>
  <c r="D1" i="1046"/>
  <c r="C1" i="1046"/>
  <c r="F143" i="1045"/>
  <c r="E143" i="1045"/>
  <c r="D143" i="1045"/>
  <c r="C143" i="1045"/>
  <c r="B143" i="1045"/>
  <c r="B142" i="1045"/>
  <c r="F137" i="1045"/>
  <c r="E137" i="1045"/>
  <c r="D137" i="1045"/>
  <c r="C137" i="1045"/>
  <c r="B137" i="1045"/>
  <c r="F103" i="1045"/>
  <c r="E103" i="1045"/>
  <c r="D103" i="1045"/>
  <c r="C103" i="1045"/>
  <c r="B103" i="1045"/>
  <c r="Y94" i="1045"/>
  <c r="X94" i="1045"/>
  <c r="W94" i="1045"/>
  <c r="V94" i="1045"/>
  <c r="U94" i="1045"/>
  <c r="T94" i="1045"/>
  <c r="S94" i="1045"/>
  <c r="R94" i="1045"/>
  <c r="Q94" i="1045"/>
  <c r="P94" i="1045"/>
  <c r="O94" i="1045"/>
  <c r="N94" i="1045"/>
  <c r="M94" i="1045"/>
  <c r="L94" i="1045"/>
  <c r="K94" i="1045"/>
  <c r="J94" i="1045"/>
  <c r="I94" i="1045"/>
  <c r="H94" i="1045"/>
  <c r="G94" i="1045"/>
  <c r="F94" i="1045"/>
  <c r="E94" i="1045"/>
  <c r="D94" i="1045"/>
  <c r="C94" i="1045"/>
  <c r="B94" i="1045"/>
  <c r="C25" i="1045" s="1"/>
  <c r="F25" i="1045" s="1"/>
  <c r="E39" i="1045"/>
  <c r="C39" i="1045"/>
  <c r="B39" i="1045"/>
  <c r="E38" i="1045"/>
  <c r="C38" i="1045"/>
  <c r="D38" i="1045" s="1"/>
  <c r="G38" i="1045" s="1"/>
  <c r="B38" i="1045"/>
  <c r="E37" i="1045"/>
  <c r="C37" i="1045"/>
  <c r="B37" i="1045"/>
  <c r="E36" i="1045"/>
  <c r="C36" i="1045"/>
  <c r="B36" i="1045"/>
  <c r="D34" i="1045"/>
  <c r="B34" i="1045"/>
  <c r="B13" i="1045" s="1"/>
  <c r="D33" i="1045"/>
  <c r="D32" i="1045"/>
  <c r="B32" i="1045"/>
  <c r="F32" i="1045" s="1"/>
  <c r="D31" i="1045"/>
  <c r="B31" i="1045"/>
  <c r="F31" i="1045" s="1"/>
  <c r="D30" i="1045"/>
  <c r="B30" i="1045"/>
  <c r="F30" i="1045" s="1"/>
  <c r="C27" i="1045"/>
  <c r="D27" i="1045" s="1"/>
  <c r="B27" i="1045"/>
  <c r="C26" i="1045"/>
  <c r="D26" i="1045" s="1"/>
  <c r="B26" i="1045"/>
  <c r="B22" i="1045"/>
  <c r="F22" i="1045" s="1"/>
  <c r="D21" i="1045"/>
  <c r="B21" i="1045"/>
  <c r="B20" i="1045"/>
  <c r="D19" i="1045"/>
  <c r="B19" i="1045"/>
  <c r="K15" i="1045"/>
  <c r="N14" i="1045"/>
  <c r="G13" i="1045"/>
  <c r="F13" i="1045"/>
  <c r="E13" i="1045"/>
  <c r="D13" i="1045"/>
  <c r="C13" i="1045"/>
  <c r="M11" i="1045"/>
  <c r="M10" i="1045"/>
  <c r="F10" i="1045"/>
  <c r="E10" i="1045"/>
  <c r="D10" i="1045"/>
  <c r="C10" i="1045"/>
  <c r="B10" i="1045"/>
  <c r="M9" i="1045"/>
  <c r="D4" i="1045"/>
  <c r="E4" i="1045" s="1"/>
  <c r="N2" i="1045"/>
  <c r="N1" i="1045"/>
  <c r="M1" i="1045" s="1"/>
  <c r="K1" i="1045"/>
  <c r="D1" i="1045"/>
  <c r="C1" i="1045"/>
  <c r="N21" i="1045" s="1"/>
  <c r="G69" i="1046"/>
  <c r="G69" i="1052"/>
  <c r="G69" i="1051"/>
  <c r="G69" i="1050"/>
  <c r="G69" i="1049"/>
  <c r="G69" i="1047"/>
  <c r="G69" i="1045"/>
  <c r="G69" i="1048"/>
  <c r="H75" i="1"/>
  <c r="H29" i="1"/>
  <c r="H2" i="1"/>
  <c r="H60" i="1"/>
  <c r="H74" i="1"/>
  <c r="H76" i="1"/>
  <c r="H90" i="1"/>
  <c r="H30" i="1"/>
  <c r="F21" i="1045" l="1"/>
  <c r="C24" i="1046"/>
  <c r="B56" i="1047"/>
  <c r="D37" i="1047"/>
  <c r="C13" i="1048"/>
  <c r="D38" i="1048"/>
  <c r="G38" i="1048" s="1"/>
  <c r="D39" i="1049"/>
  <c r="G39" i="1049" s="1"/>
  <c r="D39" i="1050"/>
  <c r="G39" i="1050" s="1"/>
  <c r="E13" i="1051"/>
  <c r="B25" i="1052"/>
  <c r="D24" i="1066"/>
  <c r="D25" i="1070"/>
  <c r="B25" i="1047"/>
  <c r="B45" i="1048"/>
  <c r="B1" i="1048"/>
  <c r="E13" i="1048"/>
  <c r="C24" i="1048"/>
  <c r="D20" i="1048"/>
  <c r="B24" i="1052"/>
  <c r="F24" i="1052" s="1"/>
  <c r="C24" i="1045"/>
  <c r="D20" i="1045"/>
  <c r="C25" i="1046"/>
  <c r="B56" i="1048"/>
  <c r="F13" i="1048"/>
  <c r="D36" i="1048"/>
  <c r="G36" i="1048" s="1"/>
  <c r="B25" i="1049"/>
  <c r="B25" i="1050"/>
  <c r="B45" i="1051"/>
  <c r="B1" i="1051"/>
  <c r="D39" i="1051"/>
  <c r="G39" i="1051" s="1"/>
  <c r="C59" i="1060"/>
  <c r="B56" i="1045"/>
  <c r="D20" i="1046"/>
  <c r="B56" i="1050"/>
  <c r="B56" i="1051"/>
  <c r="B3" i="1071"/>
  <c r="D36" i="1045"/>
  <c r="F19" i="1045"/>
  <c r="E13" i="1046"/>
  <c r="D36" i="1046"/>
  <c r="G36" i="1046" s="1"/>
  <c r="D38" i="1047"/>
  <c r="G38" i="1047" s="1"/>
  <c r="D37" i="1048"/>
  <c r="B25" i="1051"/>
  <c r="C24" i="1052"/>
  <c r="D20" i="1052"/>
  <c r="D25" i="1058"/>
  <c r="N68" i="1064"/>
  <c r="I23" i="1049"/>
  <c r="B1" i="1049"/>
  <c r="B56" i="1052"/>
  <c r="G36" i="1052"/>
  <c r="N23" i="1045"/>
  <c r="B1" i="1045"/>
  <c r="F3" i="1045" s="1"/>
  <c r="D37" i="1045"/>
  <c r="G37" i="1045" s="1"/>
  <c r="B25" i="1045"/>
  <c r="B45" i="1046"/>
  <c r="B1" i="1046"/>
  <c r="D37" i="1046"/>
  <c r="G37" i="1046" s="1"/>
  <c r="F13" i="1047"/>
  <c r="D36" i="1047"/>
  <c r="G36" i="1047" s="1"/>
  <c r="B56" i="1049"/>
  <c r="B24" i="1049"/>
  <c r="F24" i="1049" s="1"/>
  <c r="D20" i="1049"/>
  <c r="D20" i="1050"/>
  <c r="G39" i="1052"/>
  <c r="D24" i="1065"/>
  <c r="B56" i="1046"/>
  <c r="H45" i="1047"/>
  <c r="B1" i="1047"/>
  <c r="D24" i="1053"/>
  <c r="D24" i="1071"/>
  <c r="C58" i="1071"/>
  <c r="C57" i="1071"/>
  <c r="C59" i="1071" s="1"/>
  <c r="D56" i="1071"/>
  <c r="J19" i="1071"/>
  <c r="B54" i="1071"/>
  <c r="C52" i="1071"/>
  <c r="I45" i="1071"/>
  <c r="H48" i="1071"/>
  <c r="H47" i="1071"/>
  <c r="H46" i="1071"/>
  <c r="B59" i="1071"/>
  <c r="D45" i="1071"/>
  <c r="C48" i="1071"/>
  <c r="C47" i="1071"/>
  <c r="C46" i="1071"/>
  <c r="B50" i="1071"/>
  <c r="B49" i="1071"/>
  <c r="F71" i="1071"/>
  <c r="B71" i="1071"/>
  <c r="J64" i="1071"/>
  <c r="D64" i="1071"/>
  <c r="E71" i="1071"/>
  <c r="M64" i="1071"/>
  <c r="I64" i="1071"/>
  <c r="C64" i="1071"/>
  <c r="D71" i="1071"/>
  <c r="L64" i="1071"/>
  <c r="F64" i="1071"/>
  <c r="B64" i="1071"/>
  <c r="K64" i="1071"/>
  <c r="A16" i="1071"/>
  <c r="E64" i="1071"/>
  <c r="D3" i="1071"/>
  <c r="F3" i="1071"/>
  <c r="C71" i="1071"/>
  <c r="M4" i="1071"/>
  <c r="L14" i="1071"/>
  <c r="B53" i="1071"/>
  <c r="F71" i="1070"/>
  <c r="B71" i="1070"/>
  <c r="J64" i="1070"/>
  <c r="D64" i="1070"/>
  <c r="E71" i="1070"/>
  <c r="M64" i="1070"/>
  <c r="I64" i="1070"/>
  <c r="C64" i="1070"/>
  <c r="A16" i="1070"/>
  <c r="D71" i="1070"/>
  <c r="L64" i="1070"/>
  <c r="F64" i="1070"/>
  <c r="B64" i="1070"/>
  <c r="K64" i="1070"/>
  <c r="E64" i="1070"/>
  <c r="C71" i="1070"/>
  <c r="D3" i="1070"/>
  <c r="F3" i="1070"/>
  <c r="M4" i="1070"/>
  <c r="B59" i="1070"/>
  <c r="I45" i="1070"/>
  <c r="H47" i="1070"/>
  <c r="H48" i="1070"/>
  <c r="H46" i="1070"/>
  <c r="C45" i="1070"/>
  <c r="B52" i="1070"/>
  <c r="B48" i="1070"/>
  <c r="B46" i="1070"/>
  <c r="B47" i="1070"/>
  <c r="C58" i="1070"/>
  <c r="C57" i="1070"/>
  <c r="D56" i="1070"/>
  <c r="J19" i="1069"/>
  <c r="B3" i="1069" s="1"/>
  <c r="B64" i="1069"/>
  <c r="B68" i="1069" s="1"/>
  <c r="A16" i="1069"/>
  <c r="E71" i="1069"/>
  <c r="E73" i="1069" s="1"/>
  <c r="K67" i="1069"/>
  <c r="K66" i="1069"/>
  <c r="K69" i="1069"/>
  <c r="K65" i="1069"/>
  <c r="K68" i="1069"/>
  <c r="B59" i="1069"/>
  <c r="C74" i="1069"/>
  <c r="C73" i="1069"/>
  <c r="C72" i="1069"/>
  <c r="C75" i="1069"/>
  <c r="O67" i="1069"/>
  <c r="O66" i="1069"/>
  <c r="O65" i="1069"/>
  <c r="O68" i="1069"/>
  <c r="C66" i="1069"/>
  <c r="C65" i="1069"/>
  <c r="C68" i="1069"/>
  <c r="C67" i="1069"/>
  <c r="D65" i="1069"/>
  <c r="D68" i="1069"/>
  <c r="D67" i="1069"/>
  <c r="D66" i="1069"/>
  <c r="N68" i="1069"/>
  <c r="E68" i="1069" s="1"/>
  <c r="N67" i="1069"/>
  <c r="E67" i="1069"/>
  <c r="N66" i="1069"/>
  <c r="E66" i="1069"/>
  <c r="N65" i="1069"/>
  <c r="E65" i="1069"/>
  <c r="L66" i="1069"/>
  <c r="N64" i="1069"/>
  <c r="L65" i="1069"/>
  <c r="L68" i="1069"/>
  <c r="L67" i="1069"/>
  <c r="I69" i="1069"/>
  <c r="I65" i="1069"/>
  <c r="I68" i="1069"/>
  <c r="I67" i="1069"/>
  <c r="I66" i="1069"/>
  <c r="J68" i="1069"/>
  <c r="J67" i="1069"/>
  <c r="J66" i="1069"/>
  <c r="J69" i="1069"/>
  <c r="J65" i="1069"/>
  <c r="I45" i="1069"/>
  <c r="H47" i="1069"/>
  <c r="H48" i="1069"/>
  <c r="H46" i="1069"/>
  <c r="C58" i="1069"/>
  <c r="C57" i="1069"/>
  <c r="D56" i="1069"/>
  <c r="D73" i="1069"/>
  <c r="D72" i="1069"/>
  <c r="D75" i="1069"/>
  <c r="D74" i="1069"/>
  <c r="M65" i="1069"/>
  <c r="M68" i="1069"/>
  <c r="M67" i="1069"/>
  <c r="M66" i="1069"/>
  <c r="O64" i="1069"/>
  <c r="B75" i="1069"/>
  <c r="B74" i="1069"/>
  <c r="B73" i="1069"/>
  <c r="B72" i="1069"/>
  <c r="C45" i="1069"/>
  <c r="B52" i="1069"/>
  <c r="B48" i="1069"/>
  <c r="B46" i="1069"/>
  <c r="B47" i="1069"/>
  <c r="B67" i="1069"/>
  <c r="E72" i="1069"/>
  <c r="E75" i="1069"/>
  <c r="E74" i="1069"/>
  <c r="F75" i="1069"/>
  <c r="F74" i="1069"/>
  <c r="F73" i="1069"/>
  <c r="F72" i="1069"/>
  <c r="D25" i="1067"/>
  <c r="F25" i="1067"/>
  <c r="B3" i="1067" s="1"/>
  <c r="J19" i="1067"/>
  <c r="C45" i="1067"/>
  <c r="B52" i="1067"/>
  <c r="B48" i="1067"/>
  <c r="B46" i="1067"/>
  <c r="B47" i="1067"/>
  <c r="C74" i="1067"/>
  <c r="C73" i="1067"/>
  <c r="C72" i="1067"/>
  <c r="C75" i="1067"/>
  <c r="L66" i="1067"/>
  <c r="N64" i="1067"/>
  <c r="L65" i="1067"/>
  <c r="L69" i="1067" s="1"/>
  <c r="L68" i="1067"/>
  <c r="L67" i="1067"/>
  <c r="M65" i="1067"/>
  <c r="M68" i="1067"/>
  <c r="M67" i="1067"/>
  <c r="M66" i="1067"/>
  <c r="O64" i="1067"/>
  <c r="B75" i="1067"/>
  <c r="B74" i="1067"/>
  <c r="B73" i="1067"/>
  <c r="B72" i="1067"/>
  <c r="I45" i="1067"/>
  <c r="H47" i="1067"/>
  <c r="H48" i="1067"/>
  <c r="H46" i="1067"/>
  <c r="C58" i="1067"/>
  <c r="C57" i="1067"/>
  <c r="C59" i="1067" s="1"/>
  <c r="D56" i="1067"/>
  <c r="O67" i="1067"/>
  <c r="O66" i="1067"/>
  <c r="O65" i="1067"/>
  <c r="O68" i="1067"/>
  <c r="I69" i="1067"/>
  <c r="I65" i="1067"/>
  <c r="I68" i="1067"/>
  <c r="I67" i="1067"/>
  <c r="I66" i="1067"/>
  <c r="J68" i="1067"/>
  <c r="J67" i="1067"/>
  <c r="J66" i="1067"/>
  <c r="J69" i="1067"/>
  <c r="J65" i="1067"/>
  <c r="K67" i="1067"/>
  <c r="K66" i="1067"/>
  <c r="K69" i="1067"/>
  <c r="K65" i="1067"/>
  <c r="K68" i="1067"/>
  <c r="B59" i="1067"/>
  <c r="D73" i="1067"/>
  <c r="D72" i="1067"/>
  <c r="D75" i="1067"/>
  <c r="D74" i="1067"/>
  <c r="E72" i="1067"/>
  <c r="E75" i="1067"/>
  <c r="E74" i="1067"/>
  <c r="E73" i="1067"/>
  <c r="F75" i="1067"/>
  <c r="F74" i="1067"/>
  <c r="F73" i="1067"/>
  <c r="F72" i="1067"/>
  <c r="N68" i="1067"/>
  <c r="N67" i="1067"/>
  <c r="E67" i="1067"/>
  <c r="N66" i="1067"/>
  <c r="E66" i="1067"/>
  <c r="N65" i="1067"/>
  <c r="E65" i="1067"/>
  <c r="B67" i="1067"/>
  <c r="B66" i="1067"/>
  <c r="B65" i="1067"/>
  <c r="B68" i="1067"/>
  <c r="C66" i="1067"/>
  <c r="C65" i="1067"/>
  <c r="C68" i="1067"/>
  <c r="C67" i="1067"/>
  <c r="D65" i="1067"/>
  <c r="D68" i="1067"/>
  <c r="E68" i="1067" s="1"/>
  <c r="D67" i="1067"/>
  <c r="D66" i="1067"/>
  <c r="M4" i="1066"/>
  <c r="C71" i="1066"/>
  <c r="L64" i="1066"/>
  <c r="L65" i="1066" s="1"/>
  <c r="L69" i="1066" s="1"/>
  <c r="M64" i="1066"/>
  <c r="M67" i="1066" s="1"/>
  <c r="F71" i="1066"/>
  <c r="F74" i="1066" s="1"/>
  <c r="C58" i="1066"/>
  <c r="C57" i="1066"/>
  <c r="D56" i="1066"/>
  <c r="K67" i="1066"/>
  <c r="K66" i="1066"/>
  <c r="K69" i="1066"/>
  <c r="K65" i="1066"/>
  <c r="K68" i="1066"/>
  <c r="C45" i="1066"/>
  <c r="B52" i="1066"/>
  <c r="B48" i="1066"/>
  <c r="B46" i="1066"/>
  <c r="B47" i="1066"/>
  <c r="J19" i="1066"/>
  <c r="C74" i="1066"/>
  <c r="C73" i="1066"/>
  <c r="C72" i="1066"/>
  <c r="C75" i="1066"/>
  <c r="L66" i="1066"/>
  <c r="N64" i="1066"/>
  <c r="L68" i="1066"/>
  <c r="L67" i="1066"/>
  <c r="M65" i="1066"/>
  <c r="M68" i="1066"/>
  <c r="M66" i="1066"/>
  <c r="O64" i="1066"/>
  <c r="B75" i="1066"/>
  <c r="B74" i="1066"/>
  <c r="B73" i="1066"/>
  <c r="B72" i="1066"/>
  <c r="I69" i="1066"/>
  <c r="I65" i="1066"/>
  <c r="I68" i="1066"/>
  <c r="I67" i="1066"/>
  <c r="I66" i="1066"/>
  <c r="N68" i="1066"/>
  <c r="N67" i="1066"/>
  <c r="E67" i="1066"/>
  <c r="N66" i="1066"/>
  <c r="E66" i="1066"/>
  <c r="N65" i="1066"/>
  <c r="E65" i="1066"/>
  <c r="D25" i="1066"/>
  <c r="F25" i="1066"/>
  <c r="B3" i="1066" s="1"/>
  <c r="B59" i="1066"/>
  <c r="D73" i="1066"/>
  <c r="D72" i="1066"/>
  <c r="D75" i="1066"/>
  <c r="D74" i="1066"/>
  <c r="E72" i="1066"/>
  <c r="E75" i="1066"/>
  <c r="E74" i="1066"/>
  <c r="E73" i="1066"/>
  <c r="F75" i="1066"/>
  <c r="O67" i="1066"/>
  <c r="O66" i="1066"/>
  <c r="O65" i="1066"/>
  <c r="O68" i="1066"/>
  <c r="J68" i="1066"/>
  <c r="J67" i="1066"/>
  <c r="J66" i="1066"/>
  <c r="J69" i="1066"/>
  <c r="J65" i="1066"/>
  <c r="I45" i="1066"/>
  <c r="H47" i="1066"/>
  <c r="H48" i="1066"/>
  <c r="H46" i="1066"/>
  <c r="B67" i="1066"/>
  <c r="B66" i="1066"/>
  <c r="B65" i="1066"/>
  <c r="B68" i="1066"/>
  <c r="C66" i="1066"/>
  <c r="C65" i="1066"/>
  <c r="C68" i="1066"/>
  <c r="C67" i="1066"/>
  <c r="D65" i="1066"/>
  <c r="D68" i="1066"/>
  <c r="E68" i="1066" s="1"/>
  <c r="D67" i="1066"/>
  <c r="D66" i="1066"/>
  <c r="F25" i="1065"/>
  <c r="B3" i="1065" s="1"/>
  <c r="J19" i="1065"/>
  <c r="I45" i="1065"/>
  <c r="H46" i="1065"/>
  <c r="H47" i="1065"/>
  <c r="H48" i="1065"/>
  <c r="B59" i="1065"/>
  <c r="F71" i="1065"/>
  <c r="B71" i="1065"/>
  <c r="J64" i="1065"/>
  <c r="D64" i="1065"/>
  <c r="E71" i="1065"/>
  <c r="M64" i="1065"/>
  <c r="I64" i="1065"/>
  <c r="C64" i="1065"/>
  <c r="D71" i="1065"/>
  <c r="L64" i="1065"/>
  <c r="F64" i="1065"/>
  <c r="B64" i="1065"/>
  <c r="K64" i="1065"/>
  <c r="A16" i="1065"/>
  <c r="E64" i="1065"/>
  <c r="C71" i="1065"/>
  <c r="M4" i="1065"/>
  <c r="D3" i="1065"/>
  <c r="F3" i="1065"/>
  <c r="L14" i="1065"/>
  <c r="C45" i="1065"/>
  <c r="B52" i="1065"/>
  <c r="B48" i="1065"/>
  <c r="B46" i="1065"/>
  <c r="B47" i="1065"/>
  <c r="C58" i="1065"/>
  <c r="C57" i="1065"/>
  <c r="C59" i="1065" s="1"/>
  <c r="D56" i="1065"/>
  <c r="D24" i="1064"/>
  <c r="F25" i="1064"/>
  <c r="B3" i="1064" s="1"/>
  <c r="D25" i="1064"/>
  <c r="J19" i="1064"/>
  <c r="I45" i="1064"/>
  <c r="H48" i="1064"/>
  <c r="H47" i="1064"/>
  <c r="L66" i="1064"/>
  <c r="N64" i="1064"/>
  <c r="L65" i="1064"/>
  <c r="L68" i="1064"/>
  <c r="L67" i="1064"/>
  <c r="C58" i="1064"/>
  <c r="C57" i="1064"/>
  <c r="D56" i="1064"/>
  <c r="K67" i="1064"/>
  <c r="K66" i="1064"/>
  <c r="K69" i="1064"/>
  <c r="K65" i="1064"/>
  <c r="K68" i="1064"/>
  <c r="C66" i="1064"/>
  <c r="C65" i="1064"/>
  <c r="C67" i="1064"/>
  <c r="C68" i="1064"/>
  <c r="D65" i="1064"/>
  <c r="D68" i="1064"/>
  <c r="E68" i="1064" s="1"/>
  <c r="E69" i="1064" s="1"/>
  <c r="D67" i="1064"/>
  <c r="D66" i="1064"/>
  <c r="I69" i="1064"/>
  <c r="I65" i="1064"/>
  <c r="I68" i="1064"/>
  <c r="I66" i="1064"/>
  <c r="I67" i="1064"/>
  <c r="J68" i="1064"/>
  <c r="J67" i="1064"/>
  <c r="J66" i="1064"/>
  <c r="J69" i="1064"/>
  <c r="J65" i="1064"/>
  <c r="B59" i="1064"/>
  <c r="M65" i="1064"/>
  <c r="M68" i="1064"/>
  <c r="M67" i="1064"/>
  <c r="M66" i="1064"/>
  <c r="O64" i="1064"/>
  <c r="B75" i="1064"/>
  <c r="B74" i="1064"/>
  <c r="B72" i="1064"/>
  <c r="B73" i="1064"/>
  <c r="B67" i="1064"/>
  <c r="B66" i="1064"/>
  <c r="B65" i="1064"/>
  <c r="B68" i="1064"/>
  <c r="D73" i="1064"/>
  <c r="D72" i="1064"/>
  <c r="D75" i="1064"/>
  <c r="D74" i="1064"/>
  <c r="C45" i="1064"/>
  <c r="B52" i="1064"/>
  <c r="B48" i="1064"/>
  <c r="B47" i="1064"/>
  <c r="B46" i="1064"/>
  <c r="C76" i="1064"/>
  <c r="O67" i="1064"/>
  <c r="O66" i="1064"/>
  <c r="O65" i="1064"/>
  <c r="O68" i="1064"/>
  <c r="E72" i="1064"/>
  <c r="E75" i="1064"/>
  <c r="E74" i="1064"/>
  <c r="E73" i="1064"/>
  <c r="F75" i="1064"/>
  <c r="F74" i="1064"/>
  <c r="F73" i="1064"/>
  <c r="F72" i="1064"/>
  <c r="J19" i="1063"/>
  <c r="B3" i="1063" s="1"/>
  <c r="F71" i="1063"/>
  <c r="B71" i="1063"/>
  <c r="J64" i="1063"/>
  <c r="D64" i="1063"/>
  <c r="E71" i="1063"/>
  <c r="M64" i="1063"/>
  <c r="I64" i="1063"/>
  <c r="C64" i="1063"/>
  <c r="D71" i="1063"/>
  <c r="L64" i="1063"/>
  <c r="F64" i="1063"/>
  <c r="B64" i="1063"/>
  <c r="K64" i="1063"/>
  <c r="A16" i="1063"/>
  <c r="E64" i="1063"/>
  <c r="C71" i="1063"/>
  <c r="D3" i="1063"/>
  <c r="F3" i="1063"/>
  <c r="M4" i="1063"/>
  <c r="C45" i="1063"/>
  <c r="B52" i="1063"/>
  <c r="B48" i="1063"/>
  <c r="B46" i="1063"/>
  <c r="B47" i="1063"/>
  <c r="I45" i="1063"/>
  <c r="H47" i="1063"/>
  <c r="H48" i="1063"/>
  <c r="H46" i="1063"/>
  <c r="B59" i="1063"/>
  <c r="L14" i="1063"/>
  <c r="C58" i="1063"/>
  <c r="C57" i="1063"/>
  <c r="C59" i="1063" s="1"/>
  <c r="D56" i="1063"/>
  <c r="F25" i="1062"/>
  <c r="B3" i="1062" s="1"/>
  <c r="D25" i="1062"/>
  <c r="J19" i="1062"/>
  <c r="F71" i="1062"/>
  <c r="B71" i="1062"/>
  <c r="J64" i="1062"/>
  <c r="D64" i="1062"/>
  <c r="E71" i="1062"/>
  <c r="M64" i="1062"/>
  <c r="I64" i="1062"/>
  <c r="C64" i="1062"/>
  <c r="D71" i="1062"/>
  <c r="L64" i="1062"/>
  <c r="F64" i="1062"/>
  <c r="B64" i="1062"/>
  <c r="K64" i="1062"/>
  <c r="M4" i="1062"/>
  <c r="D3" i="1062"/>
  <c r="C71" i="1062"/>
  <c r="F3" i="1062"/>
  <c r="E64" i="1062"/>
  <c r="A16" i="1062"/>
  <c r="B59" i="1062"/>
  <c r="H49" i="1062"/>
  <c r="H50" i="1062"/>
  <c r="C45" i="1062"/>
  <c r="B52" i="1062"/>
  <c r="B48" i="1062"/>
  <c r="B46" i="1062"/>
  <c r="B47" i="1062"/>
  <c r="C58" i="1062"/>
  <c r="C57" i="1062"/>
  <c r="D56" i="1062"/>
  <c r="J45" i="1062"/>
  <c r="I48" i="1062"/>
  <c r="I47" i="1062"/>
  <c r="I46" i="1062"/>
  <c r="D25" i="1061"/>
  <c r="F25" i="1061"/>
  <c r="B3" i="1061" s="1"/>
  <c r="J19" i="1061"/>
  <c r="B59" i="1061"/>
  <c r="H49" i="1061"/>
  <c r="H50" i="1061"/>
  <c r="C58" i="1061"/>
  <c r="C57" i="1061"/>
  <c r="C59" i="1061" s="1"/>
  <c r="D56" i="1061"/>
  <c r="F71" i="1061"/>
  <c r="B71" i="1061"/>
  <c r="J64" i="1061"/>
  <c r="D64" i="1061"/>
  <c r="E71" i="1061"/>
  <c r="M64" i="1061"/>
  <c r="I64" i="1061"/>
  <c r="C64" i="1061"/>
  <c r="D71" i="1061"/>
  <c r="L64" i="1061"/>
  <c r="F64" i="1061"/>
  <c r="B64" i="1061"/>
  <c r="K64" i="1061"/>
  <c r="M4" i="1061"/>
  <c r="D3" i="1061"/>
  <c r="E64" i="1061"/>
  <c r="A16" i="1061"/>
  <c r="F3" i="1061"/>
  <c r="C71" i="1061"/>
  <c r="C45" i="1061"/>
  <c r="B52" i="1061"/>
  <c r="B48" i="1061"/>
  <c r="B46" i="1061"/>
  <c r="B47" i="1061"/>
  <c r="J45" i="1061"/>
  <c r="I48" i="1061"/>
  <c r="I47" i="1061"/>
  <c r="I46" i="1061"/>
  <c r="B3" i="1060"/>
  <c r="J19" i="1060"/>
  <c r="B59" i="1060"/>
  <c r="E71" i="1060"/>
  <c r="M64" i="1060"/>
  <c r="I64" i="1060"/>
  <c r="C64" i="1060"/>
  <c r="A16" i="1060"/>
  <c r="D71" i="1060"/>
  <c r="L64" i="1060"/>
  <c r="F64" i="1060"/>
  <c r="B64" i="1060"/>
  <c r="K64" i="1060"/>
  <c r="F3" i="1060"/>
  <c r="F71" i="1060"/>
  <c r="J64" i="1060"/>
  <c r="M4" i="1060"/>
  <c r="D3" i="1060"/>
  <c r="B71" i="1060"/>
  <c r="C71" i="1060"/>
  <c r="E64" i="1060"/>
  <c r="D64" i="1060"/>
  <c r="H50" i="1060"/>
  <c r="H49" i="1060"/>
  <c r="H44" i="1060"/>
  <c r="C45" i="1060"/>
  <c r="B52" i="1060"/>
  <c r="B48" i="1060"/>
  <c r="B47" i="1060"/>
  <c r="B46" i="1060"/>
  <c r="J45" i="1060"/>
  <c r="I48" i="1060"/>
  <c r="I47" i="1060"/>
  <c r="I46" i="1060"/>
  <c r="E56" i="1060"/>
  <c r="D58" i="1060"/>
  <c r="D57" i="1060"/>
  <c r="D59" i="1060" s="1"/>
  <c r="J19" i="1059"/>
  <c r="D24" i="1059"/>
  <c r="D25" i="1059"/>
  <c r="F25" i="1059"/>
  <c r="B3" i="1059" s="1"/>
  <c r="K67" i="1059"/>
  <c r="K66" i="1059"/>
  <c r="K69" i="1059"/>
  <c r="K65" i="1059"/>
  <c r="K68" i="1059"/>
  <c r="C74" i="1059"/>
  <c r="C73" i="1059"/>
  <c r="C72" i="1059"/>
  <c r="C75" i="1059"/>
  <c r="B59" i="1059"/>
  <c r="C66" i="1059"/>
  <c r="C65" i="1059"/>
  <c r="C68" i="1059"/>
  <c r="C67" i="1059"/>
  <c r="D65" i="1059"/>
  <c r="D68" i="1059"/>
  <c r="D67" i="1059"/>
  <c r="D66" i="1059"/>
  <c r="N68" i="1059"/>
  <c r="N67" i="1059"/>
  <c r="E67" i="1059"/>
  <c r="N66" i="1059"/>
  <c r="E66" i="1059"/>
  <c r="N65" i="1059"/>
  <c r="E65" i="1059"/>
  <c r="O67" i="1059"/>
  <c r="O66" i="1059"/>
  <c r="O65" i="1059"/>
  <c r="O68" i="1059"/>
  <c r="I69" i="1059"/>
  <c r="I65" i="1059"/>
  <c r="I68" i="1059"/>
  <c r="I67" i="1059"/>
  <c r="I66" i="1059"/>
  <c r="J68" i="1059"/>
  <c r="J67" i="1059"/>
  <c r="J66" i="1059"/>
  <c r="J69" i="1059"/>
  <c r="J65" i="1059"/>
  <c r="B67" i="1059"/>
  <c r="B66" i="1059"/>
  <c r="B65" i="1059"/>
  <c r="B68" i="1059"/>
  <c r="I45" i="1059"/>
  <c r="H46" i="1059"/>
  <c r="H47" i="1059"/>
  <c r="H48" i="1059"/>
  <c r="C58" i="1059"/>
  <c r="C57" i="1059"/>
  <c r="C59" i="1059" s="1"/>
  <c r="D56" i="1059"/>
  <c r="L66" i="1059"/>
  <c r="N64" i="1059"/>
  <c r="L65" i="1059"/>
  <c r="L68" i="1059"/>
  <c r="L67" i="1059"/>
  <c r="M65" i="1059"/>
  <c r="M68" i="1059"/>
  <c r="M67" i="1059"/>
  <c r="M66" i="1059"/>
  <c r="O64" i="1059"/>
  <c r="B75" i="1059"/>
  <c r="B74" i="1059"/>
  <c r="B73" i="1059"/>
  <c r="B72" i="1059"/>
  <c r="C45" i="1059"/>
  <c r="B52" i="1059"/>
  <c r="B48" i="1059"/>
  <c r="B46" i="1059"/>
  <c r="B47" i="1059"/>
  <c r="D73" i="1059"/>
  <c r="D72" i="1059"/>
  <c r="D75" i="1059"/>
  <c r="D74" i="1059"/>
  <c r="E72" i="1059"/>
  <c r="E75" i="1059"/>
  <c r="E74" i="1059"/>
  <c r="E73" i="1059"/>
  <c r="F75" i="1059"/>
  <c r="F74" i="1059"/>
  <c r="F73" i="1059"/>
  <c r="F72" i="1059"/>
  <c r="B3" i="1058"/>
  <c r="O67" i="1058"/>
  <c r="O66" i="1058"/>
  <c r="O65" i="1058"/>
  <c r="O68" i="1058"/>
  <c r="I69" i="1058"/>
  <c r="I65" i="1058"/>
  <c r="I68" i="1058"/>
  <c r="I67" i="1058"/>
  <c r="I66" i="1058"/>
  <c r="J68" i="1058"/>
  <c r="J67" i="1058"/>
  <c r="J66" i="1058"/>
  <c r="J69" i="1058"/>
  <c r="J65" i="1058"/>
  <c r="J19" i="1058"/>
  <c r="K67" i="1058"/>
  <c r="K66" i="1058"/>
  <c r="K69" i="1058"/>
  <c r="K65" i="1058"/>
  <c r="K68" i="1058"/>
  <c r="C58" i="1058"/>
  <c r="C57" i="1058"/>
  <c r="D56" i="1058"/>
  <c r="L66" i="1058"/>
  <c r="N64" i="1058"/>
  <c r="L65" i="1058"/>
  <c r="L68" i="1058"/>
  <c r="L67" i="1058"/>
  <c r="M65" i="1058"/>
  <c r="M68" i="1058"/>
  <c r="M67" i="1058"/>
  <c r="M66" i="1058"/>
  <c r="O64" i="1058"/>
  <c r="B75" i="1058"/>
  <c r="B74" i="1058"/>
  <c r="B73" i="1058"/>
  <c r="B72" i="1058"/>
  <c r="L14" i="1058"/>
  <c r="I45" i="1058"/>
  <c r="H47" i="1058"/>
  <c r="H48" i="1058"/>
  <c r="H46" i="1058"/>
  <c r="D73" i="1058"/>
  <c r="D72" i="1058"/>
  <c r="D75" i="1058"/>
  <c r="D74" i="1058"/>
  <c r="E72" i="1058"/>
  <c r="E75" i="1058"/>
  <c r="E74" i="1058"/>
  <c r="E73" i="1058"/>
  <c r="F75" i="1058"/>
  <c r="F74" i="1058"/>
  <c r="F73" i="1058"/>
  <c r="F72" i="1058"/>
  <c r="C74" i="1058"/>
  <c r="C73" i="1058"/>
  <c r="C72" i="1058"/>
  <c r="C75" i="1058"/>
  <c r="N68" i="1058"/>
  <c r="N67" i="1058"/>
  <c r="E67" i="1058"/>
  <c r="N66" i="1058"/>
  <c r="E66" i="1058"/>
  <c r="N65" i="1058"/>
  <c r="E65" i="1058"/>
  <c r="B59" i="1058"/>
  <c r="B67" i="1058"/>
  <c r="B66" i="1058"/>
  <c r="B65" i="1058"/>
  <c r="B68" i="1058"/>
  <c r="C66" i="1058"/>
  <c r="C65" i="1058"/>
  <c r="C68" i="1058"/>
  <c r="C67" i="1058"/>
  <c r="D65" i="1058"/>
  <c r="D68" i="1058"/>
  <c r="E68" i="1058" s="1"/>
  <c r="D67" i="1058"/>
  <c r="D66" i="1058"/>
  <c r="C45" i="1058"/>
  <c r="B52" i="1058"/>
  <c r="B48" i="1058"/>
  <c r="B46" i="1058"/>
  <c r="B47" i="1058"/>
  <c r="J19" i="1057"/>
  <c r="B3" i="1057" s="1"/>
  <c r="B53" i="1057"/>
  <c r="B59" i="1057"/>
  <c r="B50" i="1057"/>
  <c r="B51" i="1057" s="1"/>
  <c r="B49" i="1057"/>
  <c r="F71" i="1057"/>
  <c r="B71" i="1057"/>
  <c r="J64" i="1057"/>
  <c r="D64" i="1057"/>
  <c r="E71" i="1057"/>
  <c r="M64" i="1057"/>
  <c r="I64" i="1057"/>
  <c r="C64" i="1057"/>
  <c r="A16" i="1057"/>
  <c r="D71" i="1057"/>
  <c r="L64" i="1057"/>
  <c r="F64" i="1057"/>
  <c r="B64" i="1057"/>
  <c r="K64" i="1057"/>
  <c r="M4" i="1057"/>
  <c r="D3" i="1057"/>
  <c r="E64" i="1057"/>
  <c r="F3" i="1057"/>
  <c r="C71" i="1057"/>
  <c r="I45" i="1057"/>
  <c r="H47" i="1057"/>
  <c r="H48" i="1057"/>
  <c r="H46" i="1057"/>
  <c r="B54" i="1057"/>
  <c r="C52" i="1057"/>
  <c r="C58" i="1057"/>
  <c r="C57" i="1057"/>
  <c r="D56" i="1057"/>
  <c r="D45" i="1057"/>
  <c r="C48" i="1057"/>
  <c r="C47" i="1057"/>
  <c r="C46" i="1057"/>
  <c r="H49" i="1056"/>
  <c r="H50" i="1056"/>
  <c r="F71" i="1056"/>
  <c r="B71" i="1056"/>
  <c r="J64" i="1056"/>
  <c r="D64" i="1056"/>
  <c r="E71" i="1056"/>
  <c r="M64" i="1056"/>
  <c r="I64" i="1056"/>
  <c r="C64" i="1056"/>
  <c r="D71" i="1056"/>
  <c r="L64" i="1056"/>
  <c r="F64" i="1056"/>
  <c r="B64" i="1056"/>
  <c r="K64" i="1056"/>
  <c r="M4" i="1056"/>
  <c r="D3" i="1056"/>
  <c r="E64" i="1056"/>
  <c r="A16" i="1056"/>
  <c r="C71" i="1056"/>
  <c r="F3" i="1056"/>
  <c r="B59" i="1056"/>
  <c r="J19" i="1056"/>
  <c r="B3" i="1056" s="1"/>
  <c r="C45" i="1056"/>
  <c r="B52" i="1056"/>
  <c r="B48" i="1056"/>
  <c r="B46" i="1056"/>
  <c r="B47" i="1056"/>
  <c r="C58" i="1056"/>
  <c r="C57" i="1056"/>
  <c r="D56" i="1056"/>
  <c r="J45" i="1056"/>
  <c r="I48" i="1056"/>
  <c r="I47" i="1056"/>
  <c r="I46" i="1056"/>
  <c r="B50" i="1055"/>
  <c r="B51" i="1055" s="1"/>
  <c r="B49" i="1055"/>
  <c r="J19" i="1055"/>
  <c r="B3" i="1055" s="1"/>
  <c r="B53" i="1055"/>
  <c r="B44" i="1055"/>
  <c r="C58" i="1055"/>
  <c r="C57" i="1055"/>
  <c r="D56" i="1055"/>
  <c r="F71" i="1055"/>
  <c r="B71" i="1055"/>
  <c r="J64" i="1055"/>
  <c r="D64" i="1055"/>
  <c r="E71" i="1055"/>
  <c r="M64" i="1055"/>
  <c r="I64" i="1055"/>
  <c r="C64" i="1055"/>
  <c r="D71" i="1055"/>
  <c r="L64" i="1055"/>
  <c r="F64" i="1055"/>
  <c r="B64" i="1055"/>
  <c r="K64" i="1055"/>
  <c r="F3" i="1055"/>
  <c r="C71" i="1055"/>
  <c r="E64" i="1055"/>
  <c r="M4" i="1055"/>
  <c r="D3" i="1055"/>
  <c r="A16" i="1055"/>
  <c r="B54" i="1055"/>
  <c r="C52" i="1055"/>
  <c r="B59" i="1055"/>
  <c r="I45" i="1055"/>
  <c r="H48" i="1055"/>
  <c r="H46" i="1055"/>
  <c r="H47" i="1055"/>
  <c r="D45" i="1055"/>
  <c r="C48" i="1055"/>
  <c r="C47" i="1055"/>
  <c r="C46" i="1055"/>
  <c r="D24" i="1054"/>
  <c r="F25" i="1054"/>
  <c r="B3" i="1054" s="1"/>
  <c r="D25" i="1054"/>
  <c r="J19" i="1054"/>
  <c r="B59" i="1054"/>
  <c r="B50" i="1054"/>
  <c r="B49" i="1054"/>
  <c r="B53" i="1054"/>
  <c r="C58" i="1054"/>
  <c r="C57" i="1054"/>
  <c r="D56" i="1054"/>
  <c r="B54" i="1054"/>
  <c r="C52" i="1054"/>
  <c r="I45" i="1054"/>
  <c r="H47" i="1054"/>
  <c r="H46" i="1054"/>
  <c r="H48" i="1054"/>
  <c r="F71" i="1054"/>
  <c r="B71" i="1054"/>
  <c r="J64" i="1054"/>
  <c r="D64" i="1054"/>
  <c r="E71" i="1054"/>
  <c r="M64" i="1054"/>
  <c r="I64" i="1054"/>
  <c r="C64" i="1054"/>
  <c r="A16" i="1054"/>
  <c r="D71" i="1054"/>
  <c r="L64" i="1054"/>
  <c r="F64" i="1054"/>
  <c r="B64" i="1054"/>
  <c r="K64" i="1054"/>
  <c r="F3" i="1054"/>
  <c r="E64" i="1054"/>
  <c r="M4" i="1054"/>
  <c r="D3" i="1054"/>
  <c r="C71" i="1054"/>
  <c r="D45" i="1054"/>
  <c r="C48" i="1054"/>
  <c r="C47" i="1054"/>
  <c r="C46" i="1054"/>
  <c r="J19" i="1053"/>
  <c r="B3" i="1053" s="1"/>
  <c r="I45" i="1053"/>
  <c r="H48" i="1053"/>
  <c r="H47" i="1053"/>
  <c r="H46" i="1053"/>
  <c r="C56" i="1053"/>
  <c r="B58" i="1053"/>
  <c r="B57" i="1053"/>
  <c r="C45" i="1053"/>
  <c r="B52" i="1053"/>
  <c r="B48" i="1053"/>
  <c r="B47" i="1053"/>
  <c r="B46" i="1053"/>
  <c r="F71" i="1053"/>
  <c r="B71" i="1053"/>
  <c r="J64" i="1053"/>
  <c r="D64" i="1053"/>
  <c r="E71" i="1053"/>
  <c r="M64" i="1053"/>
  <c r="I64" i="1053"/>
  <c r="C64" i="1053"/>
  <c r="D71" i="1053"/>
  <c r="L64" i="1053"/>
  <c r="F64" i="1053"/>
  <c r="B64" i="1053"/>
  <c r="M4" i="1053"/>
  <c r="D3" i="1053"/>
  <c r="C71" i="1053"/>
  <c r="K64" i="1053"/>
  <c r="E64" i="1053"/>
  <c r="A16" i="1053"/>
  <c r="F3" i="1053"/>
  <c r="G37" i="1052"/>
  <c r="D38" i="1052"/>
  <c r="G38" i="1052" s="1"/>
  <c r="F19" i="1052"/>
  <c r="F20" i="1052"/>
  <c r="M1" i="1052"/>
  <c r="L17" i="1052"/>
  <c r="I25" i="1052"/>
  <c r="F27" i="1052" s="1"/>
  <c r="N23" i="1052"/>
  <c r="L22" i="1052"/>
  <c r="N21" i="1052"/>
  <c r="N24" i="1052"/>
  <c r="L23" i="1052"/>
  <c r="I22" i="1052"/>
  <c r="L21" i="1052"/>
  <c r="L24" i="1052"/>
  <c r="I23" i="1052"/>
  <c r="I21" i="1052"/>
  <c r="J20" i="1052"/>
  <c r="I24" i="1052"/>
  <c r="F26" i="1052" s="1"/>
  <c r="C56" i="1052"/>
  <c r="B58" i="1052"/>
  <c r="B57" i="1052"/>
  <c r="K11" i="1052"/>
  <c r="L14" i="1052" s="1"/>
  <c r="F25" i="1052"/>
  <c r="D25" i="1052"/>
  <c r="B45" i="1052"/>
  <c r="N22" i="1052"/>
  <c r="I20" i="1052" s="1"/>
  <c r="D13" i="1052"/>
  <c r="G13" i="1052"/>
  <c r="C13" i="1052"/>
  <c r="H45" i="1052"/>
  <c r="D24" i="1052"/>
  <c r="D37" i="1051"/>
  <c r="G37" i="1051" s="1"/>
  <c r="F13" i="1051"/>
  <c r="B13" i="1051"/>
  <c r="D20" i="1051"/>
  <c r="F20" i="1051" s="1"/>
  <c r="C24" i="1051"/>
  <c r="D24" i="1051" s="1"/>
  <c r="B24" i="1051"/>
  <c r="F24" i="1051" s="1"/>
  <c r="D36" i="1051"/>
  <c r="G36" i="1051" s="1"/>
  <c r="C25" i="1051"/>
  <c r="M1" i="1051"/>
  <c r="C45" i="1051"/>
  <c r="B52" i="1051"/>
  <c r="B48" i="1051"/>
  <c r="B46" i="1051"/>
  <c r="B47" i="1051"/>
  <c r="F25" i="1051"/>
  <c r="D25" i="1051"/>
  <c r="C56" i="1051"/>
  <c r="B58" i="1051"/>
  <c r="B57" i="1051"/>
  <c r="K11" i="1051"/>
  <c r="L14" i="1051" s="1"/>
  <c r="L17" i="1051"/>
  <c r="N22" i="1051"/>
  <c r="I20" i="1051" s="1"/>
  <c r="G13" i="1051"/>
  <c r="C13" i="1051"/>
  <c r="I25" i="1051"/>
  <c r="F27" i="1051" s="1"/>
  <c r="N23" i="1051"/>
  <c r="L22" i="1051"/>
  <c r="N21" i="1051"/>
  <c r="N24" i="1051"/>
  <c r="L23" i="1051"/>
  <c r="I22" i="1051"/>
  <c r="L21" i="1051"/>
  <c r="L24" i="1051"/>
  <c r="I23" i="1051"/>
  <c r="I21" i="1051"/>
  <c r="J20" i="1051"/>
  <c r="H45" i="1051"/>
  <c r="I24" i="1051"/>
  <c r="F26" i="1051" s="1"/>
  <c r="G37" i="1050"/>
  <c r="C25" i="1050"/>
  <c r="M1" i="1050"/>
  <c r="I25" i="1050"/>
  <c r="F27" i="1050" s="1"/>
  <c r="N23" i="1050"/>
  <c r="L22" i="1050"/>
  <c r="N21" i="1050"/>
  <c r="L24" i="1050"/>
  <c r="L23" i="1050"/>
  <c r="I24" i="1050"/>
  <c r="F26" i="1050" s="1"/>
  <c r="I17" i="1050"/>
  <c r="J17" i="1050" s="1"/>
  <c r="J20" i="1050"/>
  <c r="I21" i="1050"/>
  <c r="I22" i="1050"/>
  <c r="N24" i="1050"/>
  <c r="B45" i="1050"/>
  <c r="K11" i="1050"/>
  <c r="L17" i="1050"/>
  <c r="F20" i="1050"/>
  <c r="L21" i="1050"/>
  <c r="N22" i="1050"/>
  <c r="I20" i="1050" s="1"/>
  <c r="D13" i="1050"/>
  <c r="H45" i="1050"/>
  <c r="C56" i="1050"/>
  <c r="B58" i="1050"/>
  <c r="B57" i="1050"/>
  <c r="F19" i="1050"/>
  <c r="I23" i="1050"/>
  <c r="F21" i="1049"/>
  <c r="G37" i="1049"/>
  <c r="F19" i="1049"/>
  <c r="D24" i="1049"/>
  <c r="C25" i="1049"/>
  <c r="F25" i="1049" s="1"/>
  <c r="F71" i="1049"/>
  <c r="B71" i="1049"/>
  <c r="J64" i="1049"/>
  <c r="D64" i="1049"/>
  <c r="E71" i="1049"/>
  <c r="M64" i="1049"/>
  <c r="I64" i="1049"/>
  <c r="C64" i="1049"/>
  <c r="D71" i="1049"/>
  <c r="L64" i="1049"/>
  <c r="F64" i="1049"/>
  <c r="B64" i="1049"/>
  <c r="A16" i="1049"/>
  <c r="I25" i="1049"/>
  <c r="F27" i="1049" s="1"/>
  <c r="N23" i="1049"/>
  <c r="L22" i="1049"/>
  <c r="N21" i="1049"/>
  <c r="M1" i="1049"/>
  <c r="D3" i="1049"/>
  <c r="M4" i="1049"/>
  <c r="L23" i="1049"/>
  <c r="I24" i="1049"/>
  <c r="F26" i="1049" s="1"/>
  <c r="B45" i="1049"/>
  <c r="C56" i="1049"/>
  <c r="B58" i="1049"/>
  <c r="B57" i="1049"/>
  <c r="F3" i="1049"/>
  <c r="I17" i="1049"/>
  <c r="J17" i="1049" s="1"/>
  <c r="J20" i="1049"/>
  <c r="I21" i="1049"/>
  <c r="I22" i="1049"/>
  <c r="L24" i="1049"/>
  <c r="D13" i="1049"/>
  <c r="H45" i="1049"/>
  <c r="E64" i="1049"/>
  <c r="C71" i="1049"/>
  <c r="K11" i="1049"/>
  <c r="F20" i="1049"/>
  <c r="L21" i="1049"/>
  <c r="N22" i="1049"/>
  <c r="I20" i="1049" s="1"/>
  <c r="N24" i="1049"/>
  <c r="K64" i="1049"/>
  <c r="G37" i="1048"/>
  <c r="B24" i="1048"/>
  <c r="F24" i="1048" s="1"/>
  <c r="C25" i="1048"/>
  <c r="I24" i="1048"/>
  <c r="F26" i="1048" s="1"/>
  <c r="N22" i="1048"/>
  <c r="I20" i="1048" s="1"/>
  <c r="L21" i="1048"/>
  <c r="K11" i="1048"/>
  <c r="L14" i="1048" s="1"/>
  <c r="L17" i="1048"/>
  <c r="C45" i="1048"/>
  <c r="B52" i="1048"/>
  <c r="B48" i="1048"/>
  <c r="B46" i="1048"/>
  <c r="B47" i="1048"/>
  <c r="F19" i="1048"/>
  <c r="L23" i="1048"/>
  <c r="N24" i="1048"/>
  <c r="F20" i="1048"/>
  <c r="I25" i="1048"/>
  <c r="F27" i="1048" s="1"/>
  <c r="N23" i="1048"/>
  <c r="L22" i="1048"/>
  <c r="N21" i="1048"/>
  <c r="L24" i="1048"/>
  <c r="I23" i="1048"/>
  <c r="M1" i="1048"/>
  <c r="D13" i="1048"/>
  <c r="H45" i="1048"/>
  <c r="C56" i="1048"/>
  <c r="B58" i="1048"/>
  <c r="B57" i="1048"/>
  <c r="J20" i="1048"/>
  <c r="I21" i="1048"/>
  <c r="I22" i="1048"/>
  <c r="G37" i="1047"/>
  <c r="F20" i="1047"/>
  <c r="B24" i="1047"/>
  <c r="F24" i="1047" s="1"/>
  <c r="C25" i="1047"/>
  <c r="I45" i="1047"/>
  <c r="H47" i="1047"/>
  <c r="H48" i="1047"/>
  <c r="H46" i="1047"/>
  <c r="K11" i="1047"/>
  <c r="N22" i="1047"/>
  <c r="I20" i="1047" s="1"/>
  <c r="I24" i="1047"/>
  <c r="F26" i="1047" s="1"/>
  <c r="B45" i="1047"/>
  <c r="L17" i="1047"/>
  <c r="J20" i="1047"/>
  <c r="I21" i="1047"/>
  <c r="I23" i="1047"/>
  <c r="L24" i="1047"/>
  <c r="D13" i="1047"/>
  <c r="G13" i="1047"/>
  <c r="C13" i="1047"/>
  <c r="C56" i="1047"/>
  <c r="B58" i="1047"/>
  <c r="B57" i="1047"/>
  <c r="I25" i="1047"/>
  <c r="F27" i="1047" s="1"/>
  <c r="N23" i="1047"/>
  <c r="L22" i="1047"/>
  <c r="N21" i="1047"/>
  <c r="L14" i="1047"/>
  <c r="N24" i="1047"/>
  <c r="L23" i="1047"/>
  <c r="I22" i="1047"/>
  <c r="L21" i="1047"/>
  <c r="M1" i="1047"/>
  <c r="B13" i="1046"/>
  <c r="G13" i="1046"/>
  <c r="F19" i="1046"/>
  <c r="B24" i="1046"/>
  <c r="F24" i="1046" s="1"/>
  <c r="F25" i="1046"/>
  <c r="D25" i="1046"/>
  <c r="B25" i="1046"/>
  <c r="L21" i="1046"/>
  <c r="K11" i="1046"/>
  <c r="N22" i="1046"/>
  <c r="I20" i="1046" s="1"/>
  <c r="C45" i="1046"/>
  <c r="B52" i="1046"/>
  <c r="B48" i="1046"/>
  <c r="B46" i="1046"/>
  <c r="B47" i="1046"/>
  <c r="L17" i="1046"/>
  <c r="I23" i="1046"/>
  <c r="I24" i="1046"/>
  <c r="F26" i="1046" s="1"/>
  <c r="C56" i="1046"/>
  <c r="B58" i="1046"/>
  <c r="B57" i="1046"/>
  <c r="F20" i="1046"/>
  <c r="I25" i="1046"/>
  <c r="F27" i="1046" s="1"/>
  <c r="N23" i="1046"/>
  <c r="L22" i="1046"/>
  <c r="N21" i="1046"/>
  <c r="L14" i="1046"/>
  <c r="N24" i="1046"/>
  <c r="M1" i="1046"/>
  <c r="L23" i="1046"/>
  <c r="L24" i="1046"/>
  <c r="D13" i="1046"/>
  <c r="H45" i="1046"/>
  <c r="J20" i="1046"/>
  <c r="I21" i="1046"/>
  <c r="I22" i="1046"/>
  <c r="D39" i="1045"/>
  <c r="G39" i="1045" s="1"/>
  <c r="F20" i="1045"/>
  <c r="G36" i="1045"/>
  <c r="B24" i="1045"/>
  <c r="F24" i="1045" s="1"/>
  <c r="D25" i="1045"/>
  <c r="N24" i="1045"/>
  <c r="L23" i="1045"/>
  <c r="I22" i="1045"/>
  <c r="L21" i="1045"/>
  <c r="L24" i="1045"/>
  <c r="I23" i="1045"/>
  <c r="I21" i="1045"/>
  <c r="J20" i="1045"/>
  <c r="H45" i="1045"/>
  <c r="B45" i="1045"/>
  <c r="I24" i="1045"/>
  <c r="F26" i="1045" s="1"/>
  <c r="N22" i="1045"/>
  <c r="I20" i="1045" s="1"/>
  <c r="D3" i="1045"/>
  <c r="I17" i="1045"/>
  <c r="J17" i="1045" s="1"/>
  <c r="L17" i="1045"/>
  <c r="K11" i="1045"/>
  <c r="L14" i="1045" s="1"/>
  <c r="F71" i="1045"/>
  <c r="B71" i="1045"/>
  <c r="J64" i="1045"/>
  <c r="D64" i="1045"/>
  <c r="E71" i="1045"/>
  <c r="M64" i="1045"/>
  <c r="I64" i="1045"/>
  <c r="C64" i="1045"/>
  <c r="A16" i="1045"/>
  <c r="D71" i="1045"/>
  <c r="L64" i="1045"/>
  <c r="F64" i="1045"/>
  <c r="B64" i="1045"/>
  <c r="C71" i="1045"/>
  <c r="K64" i="1045"/>
  <c r="E64" i="1045"/>
  <c r="M4" i="1045"/>
  <c r="C56" i="1045"/>
  <c r="B58" i="1045"/>
  <c r="B57" i="1045"/>
  <c r="L22" i="1045"/>
  <c r="I25" i="1045"/>
  <c r="F27" i="1045" s="1"/>
  <c r="F143" i="1044"/>
  <c r="E143" i="1044"/>
  <c r="D143" i="1044"/>
  <c r="C143" i="1044"/>
  <c r="B143" i="1044"/>
  <c r="B142" i="1044"/>
  <c r="F137" i="1044"/>
  <c r="E137" i="1044"/>
  <c r="D137" i="1044"/>
  <c r="C137" i="1044"/>
  <c r="B137" i="1044"/>
  <c r="F103" i="1044"/>
  <c r="E103" i="1044"/>
  <c r="D103" i="1044"/>
  <c r="C103" i="1044"/>
  <c r="B103" i="1044"/>
  <c r="Y94" i="1044"/>
  <c r="X94" i="1044"/>
  <c r="W94" i="1044"/>
  <c r="V94" i="1044"/>
  <c r="U94" i="1044"/>
  <c r="T94" i="1044"/>
  <c r="S94" i="1044"/>
  <c r="R94" i="1044"/>
  <c r="Q94" i="1044"/>
  <c r="P94" i="1044"/>
  <c r="O94" i="1044"/>
  <c r="N94" i="1044"/>
  <c r="M94" i="1044"/>
  <c r="L94" i="1044"/>
  <c r="K94" i="1044"/>
  <c r="J94" i="1044"/>
  <c r="I94" i="1044"/>
  <c r="H94" i="1044"/>
  <c r="G94" i="1044"/>
  <c r="F94" i="1044"/>
  <c r="E94" i="1044"/>
  <c r="D94" i="1044"/>
  <c r="C94" i="1044"/>
  <c r="B94" i="1044"/>
  <c r="E39" i="1044"/>
  <c r="C39" i="1044"/>
  <c r="B39" i="1044"/>
  <c r="E38" i="1044"/>
  <c r="C38" i="1044"/>
  <c r="D38" i="1044" s="1"/>
  <c r="G38" i="1044" s="1"/>
  <c r="B38" i="1044"/>
  <c r="E37" i="1044"/>
  <c r="C37" i="1044"/>
  <c r="B37" i="1044"/>
  <c r="D37" i="1044" s="1"/>
  <c r="E36" i="1044"/>
  <c r="C36" i="1044"/>
  <c r="D36" i="1044" s="1"/>
  <c r="G36" i="1044" s="1"/>
  <c r="B36" i="1044"/>
  <c r="D34" i="1044"/>
  <c r="B34" i="1044"/>
  <c r="C13" i="1044" s="1"/>
  <c r="D33" i="1044"/>
  <c r="D32" i="1044"/>
  <c r="B32" i="1044"/>
  <c r="F32" i="1044" s="1"/>
  <c r="D31" i="1044"/>
  <c r="B31" i="1044"/>
  <c r="F31" i="1044" s="1"/>
  <c r="D30" i="1044"/>
  <c r="B30" i="1044"/>
  <c r="F30" i="1044" s="1"/>
  <c r="C27" i="1044"/>
  <c r="D27" i="1044" s="1"/>
  <c r="B27" i="1044"/>
  <c r="C26" i="1044"/>
  <c r="D26" i="1044" s="1"/>
  <c r="B26" i="1044"/>
  <c r="B24" i="1044"/>
  <c r="F24" i="1044" s="1"/>
  <c r="B22" i="1044"/>
  <c r="F22" i="1044" s="1"/>
  <c r="D21" i="1044"/>
  <c r="B21" i="1044"/>
  <c r="B20" i="1044"/>
  <c r="D19" i="1044"/>
  <c r="B19" i="1044"/>
  <c r="K15" i="1044"/>
  <c r="N14" i="1044"/>
  <c r="F13" i="1044"/>
  <c r="E13" i="1044"/>
  <c r="M11" i="1044"/>
  <c r="M10" i="1044"/>
  <c r="F10" i="1044"/>
  <c r="E10" i="1044"/>
  <c r="D10" i="1044"/>
  <c r="C10" i="1044"/>
  <c r="B10" i="1044"/>
  <c r="M9" i="1044"/>
  <c r="D4" i="1044"/>
  <c r="E4" i="1044" s="1"/>
  <c r="N2" i="1044"/>
  <c r="N1" i="1044"/>
  <c r="I17" i="1044" s="1"/>
  <c r="J17" i="1044" s="1"/>
  <c r="K1" i="1044"/>
  <c r="D1" i="1044"/>
  <c r="C1" i="1044"/>
  <c r="F143" i="1043"/>
  <c r="E143" i="1043"/>
  <c r="D143" i="1043"/>
  <c r="C143" i="1043"/>
  <c r="D20" i="1043" s="1"/>
  <c r="B143" i="1043"/>
  <c r="B142" i="1043"/>
  <c r="F137" i="1043"/>
  <c r="E137" i="1043"/>
  <c r="D137" i="1043"/>
  <c r="C137" i="1043"/>
  <c r="B137" i="1043"/>
  <c r="F103" i="1043"/>
  <c r="E103" i="1043"/>
  <c r="D103" i="1043"/>
  <c r="C103" i="1043"/>
  <c r="B103" i="1043"/>
  <c r="Y94" i="1043"/>
  <c r="X94" i="1043"/>
  <c r="W94" i="1043"/>
  <c r="V94" i="1043"/>
  <c r="U94" i="1043"/>
  <c r="T94" i="1043"/>
  <c r="S94" i="1043"/>
  <c r="R94" i="1043"/>
  <c r="Q94" i="1043"/>
  <c r="P94" i="1043"/>
  <c r="O94" i="1043"/>
  <c r="N94" i="1043"/>
  <c r="M94" i="1043"/>
  <c r="L94" i="1043"/>
  <c r="K94" i="1043"/>
  <c r="J94" i="1043"/>
  <c r="I94" i="1043"/>
  <c r="H94" i="1043"/>
  <c r="G94" i="1043"/>
  <c r="F94" i="1043"/>
  <c r="E94" i="1043"/>
  <c r="D94" i="1043"/>
  <c r="C94" i="1043"/>
  <c r="B94" i="1043"/>
  <c r="E39" i="1043"/>
  <c r="C39" i="1043"/>
  <c r="B39" i="1043"/>
  <c r="E38" i="1043"/>
  <c r="C38" i="1043"/>
  <c r="D38" i="1043" s="1"/>
  <c r="G38" i="1043" s="1"/>
  <c r="B38" i="1043"/>
  <c r="E37" i="1043"/>
  <c r="C37" i="1043"/>
  <c r="B37" i="1043"/>
  <c r="D37" i="1043" s="1"/>
  <c r="E36" i="1043"/>
  <c r="C36" i="1043"/>
  <c r="B36" i="1043"/>
  <c r="D34" i="1043"/>
  <c r="B34" i="1043"/>
  <c r="F13" i="1043" s="1"/>
  <c r="D33" i="1043"/>
  <c r="D32" i="1043"/>
  <c r="B32" i="1043"/>
  <c r="F32" i="1043" s="1"/>
  <c r="D31" i="1043"/>
  <c r="B31" i="1043"/>
  <c r="F31" i="1043" s="1"/>
  <c r="D30" i="1043"/>
  <c r="B30" i="1043"/>
  <c r="F30" i="1043" s="1"/>
  <c r="C27" i="1043"/>
  <c r="D27" i="1043" s="1"/>
  <c r="B27" i="1043"/>
  <c r="C26" i="1043"/>
  <c r="D26" i="1043" s="1"/>
  <c r="B26" i="1043"/>
  <c r="B22" i="1043"/>
  <c r="F22" i="1043" s="1"/>
  <c r="D21" i="1043"/>
  <c r="F21" i="1043" s="1"/>
  <c r="B21" i="1043"/>
  <c r="B20" i="1043"/>
  <c r="D19" i="1043"/>
  <c r="B19" i="1043"/>
  <c r="K15" i="1043"/>
  <c r="N14" i="1043"/>
  <c r="G13" i="1043"/>
  <c r="C13" i="1043"/>
  <c r="B13" i="1043"/>
  <c r="M11" i="1043"/>
  <c r="M10" i="1043"/>
  <c r="F10" i="1043"/>
  <c r="E10" i="1043"/>
  <c r="D10" i="1043"/>
  <c r="C10" i="1043"/>
  <c r="B10" i="1043"/>
  <c r="M9" i="1043"/>
  <c r="D4" i="1043"/>
  <c r="E4" i="1043" s="1"/>
  <c r="N2" i="1043"/>
  <c r="N1" i="1043"/>
  <c r="M1" i="1043" s="1"/>
  <c r="K1" i="1043"/>
  <c r="D1" i="1043"/>
  <c r="C1" i="1043"/>
  <c r="F143" i="1042"/>
  <c r="E143" i="1042"/>
  <c r="D143" i="1042"/>
  <c r="C143" i="1042"/>
  <c r="B143" i="1042"/>
  <c r="B142" i="1042"/>
  <c r="F137" i="1042"/>
  <c r="E137" i="1042"/>
  <c r="D137" i="1042"/>
  <c r="C137" i="1042"/>
  <c r="B137" i="1042"/>
  <c r="F103" i="1042"/>
  <c r="E103" i="1042"/>
  <c r="D103" i="1042"/>
  <c r="C103" i="1042"/>
  <c r="B103" i="1042"/>
  <c r="Y94" i="1042"/>
  <c r="X94" i="1042"/>
  <c r="W94" i="1042"/>
  <c r="V94" i="1042"/>
  <c r="U94" i="1042"/>
  <c r="T94" i="1042"/>
  <c r="S94" i="1042"/>
  <c r="R94" i="1042"/>
  <c r="Q94" i="1042"/>
  <c r="P94" i="1042"/>
  <c r="O94" i="1042"/>
  <c r="N94" i="1042"/>
  <c r="M94" i="1042"/>
  <c r="L94" i="1042"/>
  <c r="K94" i="1042"/>
  <c r="J94" i="1042"/>
  <c r="I94" i="1042"/>
  <c r="H94" i="1042"/>
  <c r="G94" i="1042"/>
  <c r="F94" i="1042"/>
  <c r="E94" i="1042"/>
  <c r="D94" i="1042"/>
  <c r="C94" i="1042"/>
  <c r="B94" i="1042"/>
  <c r="E39" i="1042"/>
  <c r="C39" i="1042"/>
  <c r="B39" i="1042"/>
  <c r="E38" i="1042"/>
  <c r="C38" i="1042"/>
  <c r="B38" i="1042"/>
  <c r="E37" i="1042"/>
  <c r="C37" i="1042"/>
  <c r="B37" i="1042"/>
  <c r="E36" i="1042"/>
  <c r="C36" i="1042"/>
  <c r="D36" i="1042" s="1"/>
  <c r="G36" i="1042" s="1"/>
  <c r="B36" i="1042"/>
  <c r="D34" i="1042"/>
  <c r="B34" i="1042"/>
  <c r="B13" i="1042" s="1"/>
  <c r="D33" i="1042"/>
  <c r="D32" i="1042"/>
  <c r="B32" i="1042"/>
  <c r="F32" i="1042" s="1"/>
  <c r="D31" i="1042"/>
  <c r="B31" i="1042"/>
  <c r="F31" i="1042" s="1"/>
  <c r="D30" i="1042"/>
  <c r="B30" i="1042"/>
  <c r="F30" i="1042" s="1"/>
  <c r="C27" i="1042"/>
  <c r="D27" i="1042" s="1"/>
  <c r="B27" i="1042"/>
  <c r="C26" i="1042"/>
  <c r="D26" i="1042" s="1"/>
  <c r="B26" i="1042"/>
  <c r="B22" i="1042"/>
  <c r="F22" i="1042" s="1"/>
  <c r="D21" i="1042"/>
  <c r="B21" i="1042"/>
  <c r="F21" i="1042" s="1"/>
  <c r="B20" i="1042"/>
  <c r="D19" i="1042"/>
  <c r="B19" i="1042"/>
  <c r="F19" i="1042" s="1"/>
  <c r="K15" i="1042"/>
  <c r="N14" i="1042"/>
  <c r="F13" i="1042"/>
  <c r="E13" i="1042"/>
  <c r="M11" i="1042"/>
  <c r="M10" i="1042"/>
  <c r="F10" i="1042"/>
  <c r="E10" i="1042"/>
  <c r="D10" i="1042"/>
  <c r="C10" i="1042"/>
  <c r="B10" i="1042"/>
  <c r="M9" i="1042"/>
  <c r="D4" i="1042"/>
  <c r="E4" i="1042" s="1"/>
  <c r="N2" i="1042"/>
  <c r="N1" i="1042"/>
  <c r="I17" i="1042" s="1"/>
  <c r="J17" i="1042" s="1"/>
  <c r="K1" i="1042"/>
  <c r="D1" i="1042"/>
  <c r="C1" i="1042"/>
  <c r="F143" i="1041"/>
  <c r="E143" i="1041"/>
  <c r="D143" i="1041"/>
  <c r="C143" i="1041"/>
  <c r="B143" i="1041"/>
  <c r="B142" i="1041"/>
  <c r="F137" i="1041"/>
  <c r="E137" i="1041"/>
  <c r="D137" i="1041"/>
  <c r="C137" i="1041"/>
  <c r="B137" i="1041"/>
  <c r="F103" i="1041"/>
  <c r="E103" i="1041"/>
  <c r="D103" i="1041"/>
  <c r="C103" i="1041"/>
  <c r="B103" i="1041"/>
  <c r="Y94" i="1041"/>
  <c r="X94" i="1041"/>
  <c r="W94" i="1041"/>
  <c r="V94" i="1041"/>
  <c r="U94" i="1041"/>
  <c r="T94" i="1041"/>
  <c r="S94" i="1041"/>
  <c r="R94" i="1041"/>
  <c r="Q94" i="1041"/>
  <c r="P94" i="1041"/>
  <c r="O94" i="1041"/>
  <c r="N94" i="1041"/>
  <c r="M94" i="1041"/>
  <c r="L94" i="1041"/>
  <c r="K94" i="1041"/>
  <c r="J94" i="1041"/>
  <c r="I94" i="1041"/>
  <c r="H94" i="1041"/>
  <c r="G94" i="1041"/>
  <c r="F94" i="1041"/>
  <c r="E94" i="1041"/>
  <c r="D94" i="1041"/>
  <c r="C94" i="1041"/>
  <c r="B94" i="1041"/>
  <c r="C25" i="1041" s="1"/>
  <c r="E39" i="1041"/>
  <c r="C39" i="1041"/>
  <c r="D39" i="1041" s="1"/>
  <c r="G39" i="1041" s="1"/>
  <c r="B39" i="1041"/>
  <c r="E38" i="1041"/>
  <c r="C38" i="1041"/>
  <c r="B38" i="1041"/>
  <c r="E37" i="1041"/>
  <c r="C37" i="1041"/>
  <c r="B37" i="1041"/>
  <c r="E36" i="1041"/>
  <c r="C36" i="1041"/>
  <c r="B36" i="1041"/>
  <c r="D34" i="1041"/>
  <c r="B34" i="1041"/>
  <c r="F13" i="1041" s="1"/>
  <c r="D33" i="1041"/>
  <c r="D32" i="1041"/>
  <c r="B32" i="1041"/>
  <c r="F32" i="1041" s="1"/>
  <c r="D31" i="1041"/>
  <c r="B31" i="1041"/>
  <c r="F31" i="1041" s="1"/>
  <c r="D30" i="1041"/>
  <c r="B30" i="1041"/>
  <c r="F30" i="1041" s="1"/>
  <c r="C27" i="1041"/>
  <c r="D27" i="1041" s="1"/>
  <c r="B27" i="1041"/>
  <c r="C26" i="1041"/>
  <c r="D26" i="1041" s="1"/>
  <c r="B26" i="1041"/>
  <c r="B22" i="1041"/>
  <c r="F22" i="1041" s="1"/>
  <c r="D21" i="1041"/>
  <c r="F21" i="1041" s="1"/>
  <c r="B21" i="1041"/>
  <c r="B20" i="1041"/>
  <c r="D19" i="1041"/>
  <c r="B19" i="1041"/>
  <c r="K15" i="1041"/>
  <c r="N14" i="1041"/>
  <c r="B13" i="1041"/>
  <c r="M11" i="1041"/>
  <c r="M10" i="1041"/>
  <c r="F10" i="1041"/>
  <c r="E10" i="1041"/>
  <c r="D10" i="1041"/>
  <c r="C10" i="1041"/>
  <c r="B10" i="1041"/>
  <c r="M9" i="1041"/>
  <c r="D4" i="1041"/>
  <c r="E4" i="1041" s="1"/>
  <c r="N2" i="1041"/>
  <c r="N1" i="1041"/>
  <c r="I17" i="1041" s="1"/>
  <c r="J17" i="1041" s="1"/>
  <c r="K1" i="1041"/>
  <c r="D1" i="1041"/>
  <c r="C1" i="1041"/>
  <c r="B1" i="1041" s="1"/>
  <c r="F143" i="1040"/>
  <c r="E143" i="1040"/>
  <c r="D143" i="1040"/>
  <c r="C143" i="1040"/>
  <c r="B143" i="1040"/>
  <c r="B142" i="1040"/>
  <c r="F137" i="1040"/>
  <c r="E137" i="1040"/>
  <c r="D137" i="1040"/>
  <c r="C137" i="1040"/>
  <c r="B137" i="1040"/>
  <c r="F103" i="1040"/>
  <c r="E103" i="1040"/>
  <c r="D103" i="1040"/>
  <c r="C103" i="1040"/>
  <c r="B103" i="1040"/>
  <c r="Y94" i="1040"/>
  <c r="X94" i="1040"/>
  <c r="W94" i="1040"/>
  <c r="V94" i="1040"/>
  <c r="U94" i="1040"/>
  <c r="T94" i="1040"/>
  <c r="S94" i="1040"/>
  <c r="R94" i="1040"/>
  <c r="Q94" i="1040"/>
  <c r="P94" i="1040"/>
  <c r="O94" i="1040"/>
  <c r="N94" i="1040"/>
  <c r="M94" i="1040"/>
  <c r="L94" i="1040"/>
  <c r="K94" i="1040"/>
  <c r="J94" i="1040"/>
  <c r="I94" i="1040"/>
  <c r="H94" i="1040"/>
  <c r="G94" i="1040"/>
  <c r="F94" i="1040"/>
  <c r="E94" i="1040"/>
  <c r="D94" i="1040"/>
  <c r="C94" i="1040"/>
  <c r="B94" i="1040"/>
  <c r="E39" i="1040"/>
  <c r="C39" i="1040"/>
  <c r="D39" i="1040" s="1"/>
  <c r="G39" i="1040" s="1"/>
  <c r="B39" i="1040"/>
  <c r="E38" i="1040"/>
  <c r="C38" i="1040"/>
  <c r="B38" i="1040"/>
  <c r="E37" i="1040"/>
  <c r="C37" i="1040"/>
  <c r="B37" i="1040"/>
  <c r="E36" i="1040"/>
  <c r="C36" i="1040"/>
  <c r="D36" i="1040" s="1"/>
  <c r="G36" i="1040" s="1"/>
  <c r="B36" i="1040"/>
  <c r="D34" i="1040"/>
  <c r="B34" i="1040"/>
  <c r="E13" i="1040" s="1"/>
  <c r="D33" i="1040"/>
  <c r="D32" i="1040"/>
  <c r="B32" i="1040"/>
  <c r="F32" i="1040" s="1"/>
  <c r="D31" i="1040"/>
  <c r="B31" i="1040"/>
  <c r="F31" i="1040" s="1"/>
  <c r="D30" i="1040"/>
  <c r="B30" i="1040"/>
  <c r="F30" i="1040" s="1"/>
  <c r="C27" i="1040"/>
  <c r="D27" i="1040" s="1"/>
  <c r="B27" i="1040"/>
  <c r="C26" i="1040"/>
  <c r="D26" i="1040" s="1"/>
  <c r="B26" i="1040"/>
  <c r="B22" i="1040"/>
  <c r="F22" i="1040" s="1"/>
  <c r="D21" i="1040"/>
  <c r="B21" i="1040"/>
  <c r="F21" i="1040" s="1"/>
  <c r="B20" i="1040"/>
  <c r="D19" i="1040"/>
  <c r="B19" i="1040"/>
  <c r="F19" i="1040" s="1"/>
  <c r="K15" i="1040"/>
  <c r="N14" i="1040"/>
  <c r="G13" i="1040"/>
  <c r="M11" i="1040"/>
  <c r="M10" i="1040"/>
  <c r="F10" i="1040"/>
  <c r="E10" i="1040"/>
  <c r="D10" i="1040"/>
  <c r="C10" i="1040"/>
  <c r="B10" i="1040"/>
  <c r="M9" i="1040"/>
  <c r="D4" i="1040"/>
  <c r="E4" i="1040" s="1"/>
  <c r="N2" i="1040"/>
  <c r="N1" i="1040"/>
  <c r="I17" i="1040" s="1"/>
  <c r="J17" i="1040" s="1"/>
  <c r="K1" i="1040"/>
  <c r="D1" i="1040"/>
  <c r="C1" i="1040"/>
  <c r="F143" i="1039"/>
  <c r="E143" i="1039"/>
  <c r="D143" i="1039"/>
  <c r="C143" i="1039"/>
  <c r="D20" i="1039" s="1"/>
  <c r="B143" i="1039"/>
  <c r="B142" i="1039"/>
  <c r="F137" i="1039"/>
  <c r="E137" i="1039"/>
  <c r="D137" i="1039"/>
  <c r="C137" i="1039"/>
  <c r="B137" i="1039"/>
  <c r="F103" i="1039"/>
  <c r="E103" i="1039"/>
  <c r="D103" i="1039"/>
  <c r="C103" i="1039"/>
  <c r="B24" i="1039" s="1"/>
  <c r="F24" i="1039" s="1"/>
  <c r="B103" i="1039"/>
  <c r="Y94" i="1039"/>
  <c r="X94" i="1039"/>
  <c r="W94" i="1039"/>
  <c r="V94" i="1039"/>
  <c r="U94" i="1039"/>
  <c r="T94" i="1039"/>
  <c r="S94" i="1039"/>
  <c r="R94" i="1039"/>
  <c r="Q94" i="1039"/>
  <c r="P94" i="1039"/>
  <c r="O94" i="1039"/>
  <c r="N94" i="1039"/>
  <c r="M94" i="1039"/>
  <c r="L94" i="1039"/>
  <c r="K94" i="1039"/>
  <c r="J94" i="1039"/>
  <c r="I94" i="1039"/>
  <c r="H94" i="1039"/>
  <c r="G94" i="1039"/>
  <c r="F94" i="1039"/>
  <c r="E94" i="1039"/>
  <c r="D94" i="1039"/>
  <c r="C94" i="1039"/>
  <c r="B94" i="1039"/>
  <c r="B25" i="1039" s="1"/>
  <c r="E39" i="1039"/>
  <c r="C39" i="1039"/>
  <c r="D39" i="1039" s="1"/>
  <c r="G39" i="1039" s="1"/>
  <c r="B39" i="1039"/>
  <c r="E38" i="1039"/>
  <c r="C38" i="1039"/>
  <c r="D38" i="1039" s="1"/>
  <c r="B38" i="1039"/>
  <c r="E37" i="1039"/>
  <c r="C37" i="1039"/>
  <c r="B37" i="1039"/>
  <c r="E36" i="1039"/>
  <c r="C36" i="1039"/>
  <c r="B36" i="1039"/>
  <c r="D34" i="1039"/>
  <c r="B34" i="1039"/>
  <c r="E13" i="1039" s="1"/>
  <c r="D33" i="1039"/>
  <c r="D32" i="1039"/>
  <c r="B32" i="1039"/>
  <c r="F32" i="1039" s="1"/>
  <c r="D31" i="1039"/>
  <c r="B31" i="1039"/>
  <c r="F31" i="1039" s="1"/>
  <c r="D30" i="1039"/>
  <c r="B30" i="1039"/>
  <c r="F30" i="1039" s="1"/>
  <c r="C27" i="1039"/>
  <c r="D27" i="1039" s="1"/>
  <c r="B27" i="1039"/>
  <c r="C26" i="1039"/>
  <c r="D26" i="1039" s="1"/>
  <c r="B26" i="1039"/>
  <c r="B22" i="1039"/>
  <c r="F22" i="1039" s="1"/>
  <c r="D21" i="1039"/>
  <c r="B21" i="1039"/>
  <c r="F21" i="1039" s="1"/>
  <c r="B20" i="1039"/>
  <c r="D19" i="1039"/>
  <c r="B19" i="1039"/>
  <c r="K15" i="1039"/>
  <c r="N14" i="1039"/>
  <c r="G13" i="1039"/>
  <c r="F13" i="1039"/>
  <c r="C13" i="1039"/>
  <c r="B13" i="1039"/>
  <c r="M11" i="1039"/>
  <c r="M10" i="1039"/>
  <c r="F10" i="1039"/>
  <c r="E10" i="1039"/>
  <c r="D10" i="1039"/>
  <c r="C10" i="1039"/>
  <c r="B10" i="1039"/>
  <c r="M9" i="1039"/>
  <c r="D4" i="1039"/>
  <c r="E4" i="1039" s="1"/>
  <c r="N2" i="1039"/>
  <c r="N1" i="1039"/>
  <c r="K1" i="1039"/>
  <c r="D1" i="1039"/>
  <c r="C1" i="1039"/>
  <c r="F143" i="1038"/>
  <c r="E143" i="1038"/>
  <c r="D143" i="1038"/>
  <c r="C143" i="1038"/>
  <c r="B143" i="1038"/>
  <c r="B142" i="1038"/>
  <c r="F137" i="1038"/>
  <c r="E137" i="1038"/>
  <c r="D137" i="1038"/>
  <c r="C137" i="1038"/>
  <c r="B137" i="1038"/>
  <c r="F103" i="1038"/>
  <c r="E103" i="1038"/>
  <c r="D103" i="1038"/>
  <c r="C103" i="1038"/>
  <c r="B103" i="1038"/>
  <c r="Y94" i="1038"/>
  <c r="X94" i="1038"/>
  <c r="W94" i="1038"/>
  <c r="V94" i="1038"/>
  <c r="U94" i="1038"/>
  <c r="T94" i="1038"/>
  <c r="S94" i="1038"/>
  <c r="R94" i="1038"/>
  <c r="Q94" i="1038"/>
  <c r="P94" i="1038"/>
  <c r="O94" i="1038"/>
  <c r="N94" i="1038"/>
  <c r="M94" i="1038"/>
  <c r="L94" i="1038"/>
  <c r="K94" i="1038"/>
  <c r="J94" i="1038"/>
  <c r="I94" i="1038"/>
  <c r="H94" i="1038"/>
  <c r="G94" i="1038"/>
  <c r="F94" i="1038"/>
  <c r="E94" i="1038"/>
  <c r="D94" i="1038"/>
  <c r="C94" i="1038"/>
  <c r="B94" i="1038"/>
  <c r="E39" i="1038"/>
  <c r="C39" i="1038"/>
  <c r="D39" i="1038" s="1"/>
  <c r="G39" i="1038" s="1"/>
  <c r="B39" i="1038"/>
  <c r="E38" i="1038"/>
  <c r="C38" i="1038"/>
  <c r="B38" i="1038"/>
  <c r="E37" i="1038"/>
  <c r="C37" i="1038"/>
  <c r="B37" i="1038"/>
  <c r="E36" i="1038"/>
  <c r="C36" i="1038"/>
  <c r="B36" i="1038"/>
  <c r="D34" i="1038"/>
  <c r="B34" i="1038"/>
  <c r="B13" i="1038" s="1"/>
  <c r="D33" i="1038"/>
  <c r="D32" i="1038"/>
  <c r="B32" i="1038"/>
  <c r="F32" i="1038" s="1"/>
  <c r="D31" i="1038"/>
  <c r="B31" i="1038"/>
  <c r="F31" i="1038" s="1"/>
  <c r="D30" i="1038"/>
  <c r="B30" i="1038"/>
  <c r="F30" i="1038" s="1"/>
  <c r="C27" i="1038"/>
  <c r="D27" i="1038" s="1"/>
  <c r="B27" i="1038"/>
  <c r="C26" i="1038"/>
  <c r="D26" i="1038" s="1"/>
  <c r="B26" i="1038"/>
  <c r="C25" i="1038"/>
  <c r="B22" i="1038"/>
  <c r="F22" i="1038" s="1"/>
  <c r="D21" i="1038"/>
  <c r="B21" i="1038"/>
  <c r="F21" i="1038" s="1"/>
  <c r="B20" i="1038"/>
  <c r="D19" i="1038"/>
  <c r="B19" i="1038"/>
  <c r="K15" i="1038"/>
  <c r="N14" i="1038"/>
  <c r="M11" i="1038"/>
  <c r="M10" i="1038"/>
  <c r="F10" i="1038"/>
  <c r="E10" i="1038"/>
  <c r="D10" i="1038"/>
  <c r="C10" i="1038"/>
  <c r="B10" i="1038"/>
  <c r="M9" i="1038"/>
  <c r="D4" i="1038"/>
  <c r="E4" i="1038" s="1"/>
  <c r="N2" i="1038"/>
  <c r="N1" i="1038"/>
  <c r="I17" i="1038" s="1"/>
  <c r="J17" i="1038" s="1"/>
  <c r="K1" i="1038"/>
  <c r="D1" i="1038"/>
  <c r="C1" i="1038"/>
  <c r="F143" i="1037"/>
  <c r="E143" i="1037"/>
  <c r="D143" i="1037"/>
  <c r="C143" i="1037"/>
  <c r="B143" i="1037"/>
  <c r="B142" i="1037"/>
  <c r="F137" i="1037"/>
  <c r="E137" i="1037"/>
  <c r="D137" i="1037"/>
  <c r="C137" i="1037"/>
  <c r="B137" i="1037"/>
  <c r="F103" i="1037"/>
  <c r="E103" i="1037"/>
  <c r="D103" i="1037"/>
  <c r="C103" i="1037"/>
  <c r="C24" i="1037" s="1"/>
  <c r="B103" i="1037"/>
  <c r="Y94" i="1037"/>
  <c r="X94" i="1037"/>
  <c r="W94" i="1037"/>
  <c r="V94" i="1037"/>
  <c r="U94" i="1037"/>
  <c r="T94" i="1037"/>
  <c r="S94" i="1037"/>
  <c r="R94" i="1037"/>
  <c r="Q94" i="1037"/>
  <c r="P94" i="1037"/>
  <c r="O94" i="1037"/>
  <c r="N94" i="1037"/>
  <c r="M94" i="1037"/>
  <c r="L94" i="1037"/>
  <c r="K94" i="1037"/>
  <c r="J94" i="1037"/>
  <c r="I94" i="1037"/>
  <c r="H94" i="1037"/>
  <c r="G94" i="1037"/>
  <c r="F94" i="1037"/>
  <c r="E94" i="1037"/>
  <c r="D94" i="1037"/>
  <c r="C94" i="1037"/>
  <c r="B94" i="1037"/>
  <c r="E39" i="1037"/>
  <c r="C39" i="1037"/>
  <c r="B39" i="1037"/>
  <c r="E38" i="1037"/>
  <c r="C38" i="1037"/>
  <c r="B38" i="1037"/>
  <c r="E37" i="1037"/>
  <c r="C37" i="1037"/>
  <c r="B37" i="1037"/>
  <c r="E36" i="1037"/>
  <c r="C36" i="1037"/>
  <c r="D36" i="1037" s="1"/>
  <c r="G36" i="1037" s="1"/>
  <c r="B36" i="1037"/>
  <c r="D34" i="1037"/>
  <c r="B34" i="1037"/>
  <c r="C13" i="1037" s="1"/>
  <c r="D33" i="1037"/>
  <c r="D32" i="1037"/>
  <c r="B32" i="1037"/>
  <c r="F32" i="1037" s="1"/>
  <c r="D31" i="1037"/>
  <c r="B31" i="1037"/>
  <c r="F31" i="1037" s="1"/>
  <c r="D30" i="1037"/>
  <c r="B30" i="1037"/>
  <c r="F30" i="1037" s="1"/>
  <c r="C27" i="1037"/>
  <c r="D27" i="1037" s="1"/>
  <c r="B27" i="1037"/>
  <c r="C26" i="1037"/>
  <c r="D26" i="1037" s="1"/>
  <c r="B26" i="1037"/>
  <c r="B22" i="1037"/>
  <c r="F22" i="1037" s="1"/>
  <c r="D21" i="1037"/>
  <c r="B21" i="1037"/>
  <c r="B20" i="1037"/>
  <c r="D19" i="1037"/>
  <c r="B19" i="1037"/>
  <c r="F19" i="1037" s="1"/>
  <c r="K15" i="1037"/>
  <c r="N14" i="1037"/>
  <c r="M11" i="1037"/>
  <c r="M10" i="1037"/>
  <c r="F10" i="1037"/>
  <c r="E10" i="1037"/>
  <c r="D10" i="1037"/>
  <c r="C10" i="1037"/>
  <c r="B10" i="1037"/>
  <c r="M9" i="1037"/>
  <c r="D4" i="1037"/>
  <c r="E4" i="1037" s="1"/>
  <c r="N2" i="1037"/>
  <c r="N1" i="1037"/>
  <c r="M1" i="1037" s="1"/>
  <c r="K1" i="1037"/>
  <c r="D1" i="1037"/>
  <c r="C1" i="1037"/>
  <c r="F143" i="1036"/>
  <c r="E143" i="1036"/>
  <c r="D143" i="1036"/>
  <c r="C143" i="1036"/>
  <c r="B143" i="1036"/>
  <c r="B142" i="1036"/>
  <c r="F137" i="1036"/>
  <c r="E137" i="1036"/>
  <c r="D137" i="1036"/>
  <c r="C137" i="1036"/>
  <c r="B137" i="1036"/>
  <c r="F103" i="1036"/>
  <c r="E103" i="1036"/>
  <c r="D103" i="1036"/>
  <c r="C103" i="1036"/>
  <c r="B103" i="1036"/>
  <c r="Y94" i="1036"/>
  <c r="X94" i="1036"/>
  <c r="W94" i="1036"/>
  <c r="V94" i="1036"/>
  <c r="U94" i="1036"/>
  <c r="T94" i="1036"/>
  <c r="S94" i="1036"/>
  <c r="R94" i="1036"/>
  <c r="Q94" i="1036"/>
  <c r="P94" i="1036"/>
  <c r="O94" i="1036"/>
  <c r="N94" i="1036"/>
  <c r="M94" i="1036"/>
  <c r="L94" i="1036"/>
  <c r="K94" i="1036"/>
  <c r="J94" i="1036"/>
  <c r="I94" i="1036"/>
  <c r="H94" i="1036"/>
  <c r="G94" i="1036"/>
  <c r="F94" i="1036"/>
  <c r="E94" i="1036"/>
  <c r="D94" i="1036"/>
  <c r="C94" i="1036"/>
  <c r="B94" i="1036"/>
  <c r="E39" i="1036"/>
  <c r="C39" i="1036"/>
  <c r="D39" i="1036" s="1"/>
  <c r="G39" i="1036" s="1"/>
  <c r="B39" i="1036"/>
  <c r="E38" i="1036"/>
  <c r="C38" i="1036"/>
  <c r="B38" i="1036"/>
  <c r="E37" i="1036"/>
  <c r="C37" i="1036"/>
  <c r="B37" i="1036"/>
  <c r="E36" i="1036"/>
  <c r="C36" i="1036"/>
  <c r="B36" i="1036"/>
  <c r="D34" i="1036"/>
  <c r="B34" i="1036"/>
  <c r="F13" i="1036" s="1"/>
  <c r="D33" i="1036"/>
  <c r="D32" i="1036"/>
  <c r="B32" i="1036"/>
  <c r="F32" i="1036" s="1"/>
  <c r="D31" i="1036"/>
  <c r="B31" i="1036"/>
  <c r="F31" i="1036" s="1"/>
  <c r="D30" i="1036"/>
  <c r="B30" i="1036"/>
  <c r="F30" i="1036" s="1"/>
  <c r="C27" i="1036"/>
  <c r="D27" i="1036" s="1"/>
  <c r="B27" i="1036"/>
  <c r="C26" i="1036"/>
  <c r="D26" i="1036" s="1"/>
  <c r="B26" i="1036"/>
  <c r="B22" i="1036"/>
  <c r="F22" i="1036" s="1"/>
  <c r="D21" i="1036"/>
  <c r="B21" i="1036"/>
  <c r="B20" i="1036"/>
  <c r="D19" i="1036"/>
  <c r="B19" i="1036"/>
  <c r="K15" i="1036"/>
  <c r="N14" i="1036"/>
  <c r="M11" i="1036"/>
  <c r="M10" i="1036"/>
  <c r="F10" i="1036"/>
  <c r="E10" i="1036"/>
  <c r="D10" i="1036"/>
  <c r="C10" i="1036"/>
  <c r="B10" i="1036"/>
  <c r="M9" i="1036"/>
  <c r="E4" i="1036"/>
  <c r="D4" i="1036"/>
  <c r="N2" i="1036"/>
  <c r="N1" i="1036"/>
  <c r="K1" i="1036"/>
  <c r="D1" i="1036"/>
  <c r="C1" i="1036"/>
  <c r="B1" i="1036" s="1"/>
  <c r="F143" i="1035"/>
  <c r="E143" i="1035"/>
  <c r="D143" i="1035"/>
  <c r="C143" i="1035"/>
  <c r="B143" i="1035"/>
  <c r="B142" i="1035"/>
  <c r="F137" i="1035"/>
  <c r="E137" i="1035"/>
  <c r="D137" i="1035"/>
  <c r="C137" i="1035"/>
  <c r="B137" i="1035"/>
  <c r="F103" i="1035"/>
  <c r="E103" i="1035"/>
  <c r="D103" i="1035"/>
  <c r="C103" i="1035"/>
  <c r="B103" i="1035"/>
  <c r="Y94" i="1035"/>
  <c r="X94" i="1035"/>
  <c r="W94" i="1035"/>
  <c r="V94" i="1035"/>
  <c r="U94" i="1035"/>
  <c r="T94" i="1035"/>
  <c r="S94" i="1035"/>
  <c r="R94" i="1035"/>
  <c r="Q94" i="1035"/>
  <c r="P94" i="1035"/>
  <c r="O94" i="1035"/>
  <c r="N94" i="1035"/>
  <c r="M94" i="1035"/>
  <c r="L94" i="1035"/>
  <c r="K94" i="1035"/>
  <c r="J94" i="1035"/>
  <c r="I94" i="1035"/>
  <c r="H94" i="1035"/>
  <c r="G94" i="1035"/>
  <c r="F94" i="1035"/>
  <c r="E94" i="1035"/>
  <c r="D94" i="1035"/>
  <c r="C94" i="1035"/>
  <c r="B94" i="1035"/>
  <c r="E39" i="1035"/>
  <c r="C39" i="1035"/>
  <c r="D39" i="1035" s="1"/>
  <c r="G39" i="1035" s="1"/>
  <c r="B39" i="1035"/>
  <c r="E38" i="1035"/>
  <c r="C38" i="1035"/>
  <c r="B38" i="1035"/>
  <c r="E37" i="1035"/>
  <c r="C37" i="1035"/>
  <c r="B37" i="1035"/>
  <c r="E36" i="1035"/>
  <c r="C36" i="1035"/>
  <c r="B36" i="1035"/>
  <c r="D34" i="1035"/>
  <c r="B34" i="1035"/>
  <c r="E13" i="1035" s="1"/>
  <c r="D33" i="1035"/>
  <c r="D32" i="1035"/>
  <c r="B32" i="1035"/>
  <c r="F32" i="1035" s="1"/>
  <c r="D31" i="1035"/>
  <c r="B31" i="1035"/>
  <c r="F31" i="1035" s="1"/>
  <c r="D30" i="1035"/>
  <c r="B30" i="1035"/>
  <c r="F30" i="1035" s="1"/>
  <c r="C27" i="1035"/>
  <c r="D27" i="1035" s="1"/>
  <c r="B27" i="1035"/>
  <c r="C26" i="1035"/>
  <c r="D26" i="1035" s="1"/>
  <c r="B26" i="1035"/>
  <c r="B22" i="1035"/>
  <c r="F22" i="1035" s="1"/>
  <c r="D21" i="1035"/>
  <c r="B21" i="1035"/>
  <c r="F21" i="1035" s="1"/>
  <c r="B20" i="1035"/>
  <c r="D19" i="1035"/>
  <c r="B19" i="1035"/>
  <c r="K15" i="1035"/>
  <c r="N14" i="1035"/>
  <c r="F13" i="1035"/>
  <c r="M11" i="1035"/>
  <c r="M10" i="1035"/>
  <c r="F10" i="1035"/>
  <c r="E10" i="1035"/>
  <c r="D10" i="1035"/>
  <c r="C10" i="1035"/>
  <c r="B10" i="1035"/>
  <c r="M9" i="1035"/>
  <c r="D4" i="1035"/>
  <c r="E4" i="1035" s="1"/>
  <c r="N2" i="1035"/>
  <c r="N1" i="1035"/>
  <c r="I17" i="1035" s="1"/>
  <c r="J17" i="1035" s="1"/>
  <c r="K1" i="1035"/>
  <c r="D1" i="1035"/>
  <c r="C1" i="1035"/>
  <c r="F143" i="1034"/>
  <c r="E143" i="1034"/>
  <c r="D143" i="1034"/>
  <c r="C143" i="1034"/>
  <c r="B143" i="1034"/>
  <c r="B142" i="1034"/>
  <c r="F137" i="1034"/>
  <c r="E137" i="1034"/>
  <c r="D137" i="1034"/>
  <c r="C137" i="1034"/>
  <c r="B137" i="1034"/>
  <c r="F103" i="1034"/>
  <c r="E103" i="1034"/>
  <c r="D103" i="1034"/>
  <c r="C103" i="1034"/>
  <c r="B24" i="1034" s="1"/>
  <c r="F24" i="1034" s="1"/>
  <c r="B103" i="1034"/>
  <c r="Y94" i="1034"/>
  <c r="X94" i="1034"/>
  <c r="W94" i="1034"/>
  <c r="V94" i="1034"/>
  <c r="U94" i="1034"/>
  <c r="T94" i="1034"/>
  <c r="S94" i="1034"/>
  <c r="R94" i="1034"/>
  <c r="Q94" i="1034"/>
  <c r="P94" i="1034"/>
  <c r="O94" i="1034"/>
  <c r="N94" i="1034"/>
  <c r="M94" i="1034"/>
  <c r="L94" i="1034"/>
  <c r="K94" i="1034"/>
  <c r="J94" i="1034"/>
  <c r="I94" i="1034"/>
  <c r="H94" i="1034"/>
  <c r="G94" i="1034"/>
  <c r="F94" i="1034"/>
  <c r="E94" i="1034"/>
  <c r="D94" i="1034"/>
  <c r="C94" i="1034"/>
  <c r="B94" i="1034"/>
  <c r="E39" i="1034"/>
  <c r="C39" i="1034"/>
  <c r="B39" i="1034"/>
  <c r="E38" i="1034"/>
  <c r="C38" i="1034"/>
  <c r="B38" i="1034"/>
  <c r="E37" i="1034"/>
  <c r="C37" i="1034"/>
  <c r="B37" i="1034"/>
  <c r="E36" i="1034"/>
  <c r="C36" i="1034"/>
  <c r="D36" i="1034" s="1"/>
  <c r="G36" i="1034" s="1"/>
  <c r="B36" i="1034"/>
  <c r="D34" i="1034"/>
  <c r="B34" i="1034"/>
  <c r="G13" i="1034" s="1"/>
  <c r="D33" i="1034"/>
  <c r="D32" i="1034"/>
  <c r="B32" i="1034"/>
  <c r="F32" i="1034" s="1"/>
  <c r="F31" i="1034"/>
  <c r="D31" i="1034"/>
  <c r="B31" i="1034"/>
  <c r="D30" i="1034"/>
  <c r="B30" i="1034"/>
  <c r="F30" i="1034" s="1"/>
  <c r="C27" i="1034"/>
  <c r="D27" i="1034" s="1"/>
  <c r="B27" i="1034"/>
  <c r="C26" i="1034"/>
  <c r="D26" i="1034" s="1"/>
  <c r="B26" i="1034"/>
  <c r="B22" i="1034"/>
  <c r="F22" i="1034" s="1"/>
  <c r="D21" i="1034"/>
  <c r="B21" i="1034"/>
  <c r="F21" i="1034" s="1"/>
  <c r="B20" i="1034"/>
  <c r="D19" i="1034"/>
  <c r="B19" i="1034"/>
  <c r="K15" i="1034"/>
  <c r="N14" i="1034"/>
  <c r="B13" i="1034"/>
  <c r="M11" i="1034"/>
  <c r="M10" i="1034"/>
  <c r="F10" i="1034"/>
  <c r="E10" i="1034"/>
  <c r="D10" i="1034"/>
  <c r="C10" i="1034"/>
  <c r="B10" i="1034"/>
  <c r="M9" i="1034"/>
  <c r="D4" i="1034"/>
  <c r="E4" i="1034" s="1"/>
  <c r="N2" i="1034"/>
  <c r="N1" i="1034"/>
  <c r="I17" i="1034" s="1"/>
  <c r="J17" i="1034" s="1"/>
  <c r="K1" i="1034"/>
  <c r="D1" i="1034"/>
  <c r="C1" i="1034"/>
  <c r="G69" i="1037"/>
  <c r="G69" i="1044"/>
  <c r="G69" i="1036"/>
  <c r="G69" i="1042"/>
  <c r="G69" i="1041"/>
  <c r="G69" i="1043"/>
  <c r="G69" i="1040"/>
  <c r="G69" i="1034"/>
  <c r="G69" i="1039"/>
  <c r="G69" i="1035"/>
  <c r="G69" i="1038"/>
  <c r="H80" i="1"/>
  <c r="H84" i="1"/>
  <c r="H11" i="1"/>
  <c r="H100" i="1"/>
  <c r="H16" i="1"/>
  <c r="H43" i="1"/>
  <c r="H62" i="1"/>
  <c r="H21" i="1"/>
  <c r="H55" i="1"/>
  <c r="H4" i="1"/>
  <c r="H61" i="1"/>
  <c r="D38" i="1036" l="1"/>
  <c r="G38" i="1036" s="1"/>
  <c r="C25" i="1042"/>
  <c r="B56" i="1034"/>
  <c r="G13" i="1036"/>
  <c r="E13" i="1037"/>
  <c r="C24" i="1039"/>
  <c r="J19" i="1052"/>
  <c r="B13" i="1036"/>
  <c r="D38" i="1041"/>
  <c r="G38" i="1041" s="1"/>
  <c r="C24" i="1043"/>
  <c r="D39" i="1034"/>
  <c r="G39" i="1034" s="1"/>
  <c r="B13" i="1035"/>
  <c r="D38" i="1035"/>
  <c r="G38" i="1035" s="1"/>
  <c r="D37" i="1036"/>
  <c r="G37" i="1036" s="1"/>
  <c r="F13" i="1037"/>
  <c r="D39" i="1037"/>
  <c r="G39" i="1037" s="1"/>
  <c r="E13" i="1038"/>
  <c r="D38" i="1038"/>
  <c r="C25" i="1039"/>
  <c r="F25" i="1039" s="1"/>
  <c r="D36" i="1039"/>
  <c r="G36" i="1039" s="1"/>
  <c r="D37" i="1041"/>
  <c r="C24" i="1042"/>
  <c r="D20" i="1042"/>
  <c r="B25" i="1043"/>
  <c r="B45" i="1044"/>
  <c r="B1" i="1044"/>
  <c r="C24" i="1044"/>
  <c r="D24" i="1044" s="1"/>
  <c r="D20" i="1044"/>
  <c r="D24" i="1046"/>
  <c r="L24" i="1040"/>
  <c r="B1" i="1040"/>
  <c r="D37" i="1034"/>
  <c r="G37" i="1034" s="1"/>
  <c r="C13" i="1035"/>
  <c r="C24" i="1035"/>
  <c r="D20" i="1035"/>
  <c r="B25" i="1036"/>
  <c r="H45" i="1037"/>
  <c r="B1" i="1037"/>
  <c r="D37" i="1037"/>
  <c r="F13" i="1038"/>
  <c r="C24" i="1038"/>
  <c r="D20" i="1038"/>
  <c r="B24" i="1040"/>
  <c r="F24" i="1040" s="1"/>
  <c r="D20" i="1040"/>
  <c r="B25" i="1041"/>
  <c r="L24" i="1042"/>
  <c r="B1" i="1042"/>
  <c r="B56" i="1044"/>
  <c r="C56" i="1044" s="1"/>
  <c r="C24" i="1034"/>
  <c r="B56" i="1040"/>
  <c r="C25" i="1034"/>
  <c r="F25" i="1034" s="1"/>
  <c r="B45" i="1035"/>
  <c r="B1" i="1035"/>
  <c r="D36" i="1035"/>
  <c r="G36" i="1035" s="1"/>
  <c r="B24" i="1036"/>
  <c r="F24" i="1036" s="1"/>
  <c r="B56" i="1037"/>
  <c r="C56" i="1037" s="1"/>
  <c r="B25" i="1037"/>
  <c r="I24" i="1038"/>
  <c r="B1" i="1038"/>
  <c r="D36" i="1038"/>
  <c r="G36" i="1038" s="1"/>
  <c r="D37" i="1039"/>
  <c r="B24" i="1041"/>
  <c r="F24" i="1041" s="1"/>
  <c r="B56" i="1042"/>
  <c r="D39" i="1042"/>
  <c r="G39" i="1042" s="1"/>
  <c r="I24" i="1044"/>
  <c r="D39" i="1044"/>
  <c r="G39" i="1044" s="1"/>
  <c r="D25" i="1049"/>
  <c r="C59" i="1055"/>
  <c r="B56" i="1035"/>
  <c r="C59" i="1069"/>
  <c r="B56" i="1038"/>
  <c r="C56" i="1038" s="1"/>
  <c r="E13" i="1041"/>
  <c r="B25" i="1044"/>
  <c r="E13" i="1034"/>
  <c r="B25" i="1035"/>
  <c r="C13" i="1036"/>
  <c r="C24" i="1036"/>
  <c r="D37" i="1038"/>
  <c r="G37" i="1038" s="1"/>
  <c r="B25" i="1038"/>
  <c r="H45" i="1039"/>
  <c r="B1" i="1039"/>
  <c r="B25" i="1040"/>
  <c r="C24" i="1041"/>
  <c r="D20" i="1041"/>
  <c r="B56" i="1043"/>
  <c r="D36" i="1043"/>
  <c r="G36" i="1043" s="1"/>
  <c r="B3" i="1045"/>
  <c r="H45" i="1043"/>
  <c r="B1" i="1043"/>
  <c r="I24" i="1034"/>
  <c r="F26" i="1034" s="1"/>
  <c r="B1" i="1034"/>
  <c r="F13" i="1034"/>
  <c r="D20" i="1034"/>
  <c r="F19" i="1035"/>
  <c r="B56" i="1036"/>
  <c r="C56" i="1036" s="1"/>
  <c r="E13" i="1036"/>
  <c r="F21" i="1036"/>
  <c r="D36" i="1036"/>
  <c r="G36" i="1036" s="1"/>
  <c r="F21" i="1037"/>
  <c r="D20" i="1037"/>
  <c r="B24" i="1038"/>
  <c r="F24" i="1038" s="1"/>
  <c r="B56" i="1039"/>
  <c r="G38" i="1039"/>
  <c r="C24" i="1040"/>
  <c r="B56" i="1041"/>
  <c r="D36" i="1041"/>
  <c r="G36" i="1041" s="1"/>
  <c r="K11" i="1042"/>
  <c r="N22" i="1043"/>
  <c r="D39" i="1043"/>
  <c r="G39" i="1043" s="1"/>
  <c r="C59" i="1056"/>
  <c r="C59" i="1058"/>
  <c r="B65" i="1069"/>
  <c r="B66" i="1069"/>
  <c r="D69" i="1069"/>
  <c r="F72" i="1066"/>
  <c r="F73" i="1066"/>
  <c r="D69" i="1058"/>
  <c r="D69" i="1067"/>
  <c r="B69" i="1059"/>
  <c r="H50" i="1071"/>
  <c r="H49" i="1071"/>
  <c r="J45" i="1071"/>
  <c r="I48" i="1071"/>
  <c r="I47" i="1071"/>
  <c r="I46" i="1071"/>
  <c r="C74" i="1071"/>
  <c r="C73" i="1071"/>
  <c r="C72" i="1071"/>
  <c r="C75" i="1071"/>
  <c r="L66" i="1071"/>
  <c r="N64" i="1071"/>
  <c r="L65" i="1071"/>
  <c r="L68" i="1071"/>
  <c r="L67" i="1071"/>
  <c r="M65" i="1071"/>
  <c r="M68" i="1071"/>
  <c r="M67" i="1071"/>
  <c r="M66" i="1071"/>
  <c r="O64" i="1071"/>
  <c r="B75" i="1071"/>
  <c r="B74" i="1071"/>
  <c r="B73" i="1071"/>
  <c r="B72" i="1071"/>
  <c r="B51" i="1071"/>
  <c r="H51" i="1071"/>
  <c r="C54" i="1071"/>
  <c r="D52" i="1071"/>
  <c r="B67" i="1071"/>
  <c r="B66" i="1071"/>
  <c r="B65" i="1071"/>
  <c r="B68" i="1071"/>
  <c r="C66" i="1071"/>
  <c r="C65" i="1071"/>
  <c r="C68" i="1071"/>
  <c r="C67" i="1071"/>
  <c r="D65" i="1071"/>
  <c r="D68" i="1071"/>
  <c r="D67" i="1071"/>
  <c r="D66" i="1071"/>
  <c r="C50" i="1071"/>
  <c r="C49" i="1071"/>
  <c r="C44" i="1071" s="1"/>
  <c r="B44" i="1071"/>
  <c r="N68" i="1071"/>
  <c r="E68" i="1071"/>
  <c r="N67" i="1071"/>
  <c r="E67" i="1071"/>
  <c r="N66" i="1071"/>
  <c r="E66" i="1071"/>
  <c r="N65" i="1071"/>
  <c r="E65" i="1071"/>
  <c r="O67" i="1071"/>
  <c r="O66" i="1071"/>
  <c r="O65" i="1071"/>
  <c r="O68" i="1071"/>
  <c r="I69" i="1071"/>
  <c r="I65" i="1071"/>
  <c r="I68" i="1071"/>
  <c r="I67" i="1071"/>
  <c r="I66" i="1071"/>
  <c r="J68" i="1071"/>
  <c r="J67" i="1071"/>
  <c r="J66" i="1071"/>
  <c r="J69" i="1071"/>
  <c r="J65" i="1071"/>
  <c r="E45" i="1071"/>
  <c r="D48" i="1071"/>
  <c r="D47" i="1071"/>
  <c r="D46" i="1071"/>
  <c r="E56" i="1071"/>
  <c r="D57" i="1071"/>
  <c r="G65" i="1071" s="1"/>
  <c r="F65" i="1071" s="1"/>
  <c r="D58" i="1071"/>
  <c r="K67" i="1071"/>
  <c r="K66" i="1071"/>
  <c r="K69" i="1071"/>
  <c r="K65" i="1071"/>
  <c r="K68" i="1071"/>
  <c r="D73" i="1071"/>
  <c r="D72" i="1071"/>
  <c r="D75" i="1071"/>
  <c r="D74" i="1071"/>
  <c r="E72" i="1071"/>
  <c r="E75" i="1071"/>
  <c r="E74" i="1071"/>
  <c r="E73" i="1071"/>
  <c r="F75" i="1071"/>
  <c r="F74" i="1071"/>
  <c r="F73" i="1071"/>
  <c r="F72" i="1071"/>
  <c r="H44" i="1071"/>
  <c r="C59" i="1070"/>
  <c r="D45" i="1070"/>
  <c r="C48" i="1070"/>
  <c r="C47" i="1070"/>
  <c r="C46" i="1070"/>
  <c r="J45" i="1070"/>
  <c r="I48" i="1070"/>
  <c r="I47" i="1070"/>
  <c r="I46" i="1070"/>
  <c r="K67" i="1070"/>
  <c r="K66" i="1070"/>
  <c r="K69" i="1070"/>
  <c r="K65" i="1070"/>
  <c r="K68" i="1070"/>
  <c r="D73" i="1070"/>
  <c r="D72" i="1070"/>
  <c r="D75" i="1070"/>
  <c r="D74" i="1070"/>
  <c r="M65" i="1070"/>
  <c r="M68" i="1070"/>
  <c r="M67" i="1070"/>
  <c r="M66" i="1070"/>
  <c r="O64" i="1070"/>
  <c r="B75" i="1070"/>
  <c r="B74" i="1070"/>
  <c r="B73" i="1070"/>
  <c r="B72" i="1070"/>
  <c r="B54" i="1070"/>
  <c r="C52" i="1070"/>
  <c r="N68" i="1070"/>
  <c r="N67" i="1070"/>
  <c r="E67" i="1070"/>
  <c r="N66" i="1070"/>
  <c r="E66" i="1070"/>
  <c r="N65" i="1070"/>
  <c r="E65" i="1070"/>
  <c r="L66" i="1070"/>
  <c r="N64" i="1070"/>
  <c r="L65" i="1070"/>
  <c r="L68" i="1070"/>
  <c r="L67" i="1070"/>
  <c r="I69" i="1070"/>
  <c r="I65" i="1070"/>
  <c r="I68" i="1070"/>
  <c r="I67" i="1070"/>
  <c r="I66" i="1070"/>
  <c r="E56" i="1070"/>
  <c r="D57" i="1070"/>
  <c r="D58" i="1070"/>
  <c r="B53" i="1070"/>
  <c r="B67" i="1070"/>
  <c r="B66" i="1070"/>
  <c r="B65" i="1070"/>
  <c r="B68" i="1070"/>
  <c r="E72" i="1070"/>
  <c r="E75" i="1070"/>
  <c r="E74" i="1070"/>
  <c r="E73" i="1070"/>
  <c r="F75" i="1070"/>
  <c r="F74" i="1070"/>
  <c r="F73" i="1070"/>
  <c r="F72" i="1070"/>
  <c r="J68" i="1070"/>
  <c r="J67" i="1070"/>
  <c r="J66" i="1070"/>
  <c r="J69" i="1070"/>
  <c r="J65" i="1070"/>
  <c r="B50" i="1070"/>
  <c r="B49" i="1070"/>
  <c r="H49" i="1070"/>
  <c r="H50" i="1070"/>
  <c r="C74" i="1070"/>
  <c r="C73" i="1070"/>
  <c r="C72" i="1070"/>
  <c r="C75" i="1070"/>
  <c r="O67" i="1070"/>
  <c r="O66" i="1070"/>
  <c r="O65" i="1070"/>
  <c r="O68" i="1070"/>
  <c r="C66" i="1070"/>
  <c r="C65" i="1070"/>
  <c r="C68" i="1070"/>
  <c r="C67" i="1070"/>
  <c r="D65" i="1070"/>
  <c r="D68" i="1070"/>
  <c r="E68" i="1070" s="1"/>
  <c r="D67" i="1070"/>
  <c r="D66" i="1070"/>
  <c r="E69" i="1069"/>
  <c r="F142" i="1069" s="1"/>
  <c r="J15" i="1069" s="1"/>
  <c r="I13" i="1069" s="1"/>
  <c r="B69" i="1069"/>
  <c r="C69" i="1069"/>
  <c r="E76" i="1069"/>
  <c r="L69" i="1069"/>
  <c r="C142" i="1069"/>
  <c r="D142" i="1069"/>
  <c r="B54" i="1069"/>
  <c r="C52" i="1069"/>
  <c r="D45" i="1069"/>
  <c r="C48" i="1069"/>
  <c r="C47" i="1069"/>
  <c r="C46" i="1069"/>
  <c r="B53" i="1069"/>
  <c r="D76" i="1069"/>
  <c r="J45" i="1069"/>
  <c r="I48" i="1069"/>
  <c r="I47" i="1069"/>
  <c r="I46" i="1069"/>
  <c r="C76" i="1069"/>
  <c r="E56" i="1069"/>
  <c r="D57" i="1069"/>
  <c r="D58" i="1069"/>
  <c r="H49" i="1069"/>
  <c r="H50" i="1069"/>
  <c r="M14" i="1069"/>
  <c r="B50" i="1069"/>
  <c r="B49" i="1069"/>
  <c r="B76" i="1069"/>
  <c r="B69" i="1067"/>
  <c r="C40" i="1067" s="1"/>
  <c r="E69" i="1067"/>
  <c r="C69" i="1067"/>
  <c r="B76" i="1067"/>
  <c r="C76" i="1067"/>
  <c r="E56" i="1067"/>
  <c r="D57" i="1067"/>
  <c r="G65" i="1067" s="1"/>
  <c r="F65" i="1067" s="1"/>
  <c r="D58" i="1067"/>
  <c r="H49" i="1067"/>
  <c r="H50" i="1067"/>
  <c r="B53" i="1067"/>
  <c r="D76" i="1067"/>
  <c r="H44" i="1067"/>
  <c r="B50" i="1067"/>
  <c r="B49" i="1067"/>
  <c r="E76" i="1067"/>
  <c r="J45" i="1067"/>
  <c r="I48" i="1067"/>
  <c r="I47" i="1067"/>
  <c r="I46" i="1067"/>
  <c r="B54" i="1067"/>
  <c r="C52" i="1067"/>
  <c r="B40" i="1067"/>
  <c r="D45" i="1067"/>
  <c r="C48" i="1067"/>
  <c r="C47" i="1067"/>
  <c r="C46" i="1067"/>
  <c r="B69" i="1066"/>
  <c r="C142" i="1066" s="1"/>
  <c r="C69" i="1066"/>
  <c r="D69" i="1066"/>
  <c r="E142" i="1066" s="1"/>
  <c r="E69" i="1066"/>
  <c r="D76" i="1066"/>
  <c r="C59" i="1066"/>
  <c r="D142" i="1066"/>
  <c r="H49" i="1066"/>
  <c r="H50" i="1066"/>
  <c r="H44" i="1066" s="1"/>
  <c r="E76" i="1066"/>
  <c r="B50" i="1066"/>
  <c r="B49" i="1066"/>
  <c r="E56" i="1066"/>
  <c r="D57" i="1066"/>
  <c r="D58" i="1066"/>
  <c r="B53" i="1066"/>
  <c r="B54" i="1066"/>
  <c r="C52" i="1066"/>
  <c r="J45" i="1066"/>
  <c r="I48" i="1066"/>
  <c r="I47" i="1066"/>
  <c r="I46" i="1066"/>
  <c r="B76" i="1066"/>
  <c r="C76" i="1066"/>
  <c r="D45" i="1066"/>
  <c r="C48" i="1066"/>
  <c r="C47" i="1066"/>
  <c r="C46" i="1066"/>
  <c r="D45" i="1065"/>
  <c r="C48" i="1065"/>
  <c r="C47" i="1065"/>
  <c r="C46" i="1065"/>
  <c r="K67" i="1065"/>
  <c r="K66" i="1065"/>
  <c r="K69" i="1065"/>
  <c r="K65" i="1065"/>
  <c r="K68" i="1065"/>
  <c r="D73" i="1065"/>
  <c r="D72" i="1065"/>
  <c r="D75" i="1065"/>
  <c r="D74" i="1065"/>
  <c r="E72" i="1065"/>
  <c r="E75" i="1065"/>
  <c r="E74" i="1065"/>
  <c r="E73" i="1065"/>
  <c r="F75" i="1065"/>
  <c r="F74" i="1065"/>
  <c r="F73" i="1065"/>
  <c r="F72" i="1065"/>
  <c r="B75" i="1065"/>
  <c r="B74" i="1065"/>
  <c r="B73" i="1065"/>
  <c r="B72" i="1065"/>
  <c r="E56" i="1065"/>
  <c r="D57" i="1065"/>
  <c r="D58" i="1065"/>
  <c r="B53" i="1065"/>
  <c r="C74" i="1065"/>
  <c r="C73" i="1065"/>
  <c r="C72" i="1065"/>
  <c r="C75" i="1065"/>
  <c r="B67" i="1065"/>
  <c r="B66" i="1065"/>
  <c r="B65" i="1065"/>
  <c r="B68" i="1065"/>
  <c r="C66" i="1065"/>
  <c r="C65" i="1065"/>
  <c r="C68" i="1065"/>
  <c r="C67" i="1065"/>
  <c r="D65" i="1065"/>
  <c r="D68" i="1065"/>
  <c r="D67" i="1065"/>
  <c r="D66" i="1065"/>
  <c r="B54" i="1065"/>
  <c r="C52" i="1065"/>
  <c r="L66" i="1065"/>
  <c r="N64" i="1065"/>
  <c r="L65" i="1065"/>
  <c r="L68" i="1065"/>
  <c r="L67" i="1065"/>
  <c r="M65" i="1065"/>
  <c r="M68" i="1065"/>
  <c r="M67" i="1065"/>
  <c r="M66" i="1065"/>
  <c r="O64" i="1065"/>
  <c r="H50" i="1065"/>
  <c r="H49" i="1065"/>
  <c r="B50" i="1065"/>
  <c r="B49" i="1065"/>
  <c r="N68" i="1065"/>
  <c r="E68" i="1065" s="1"/>
  <c r="N67" i="1065"/>
  <c r="E67" i="1065"/>
  <c r="N66" i="1065"/>
  <c r="E66" i="1065"/>
  <c r="N65" i="1065"/>
  <c r="E65" i="1065"/>
  <c r="G65" i="1065"/>
  <c r="O67" i="1065"/>
  <c r="O66" i="1065"/>
  <c r="O65" i="1065"/>
  <c r="O68" i="1065"/>
  <c r="I69" i="1065"/>
  <c r="I65" i="1065"/>
  <c r="I68" i="1065"/>
  <c r="I67" i="1065"/>
  <c r="I66" i="1065"/>
  <c r="J68" i="1065"/>
  <c r="J67" i="1065"/>
  <c r="J66" i="1065"/>
  <c r="J69" i="1065"/>
  <c r="J65" i="1065"/>
  <c r="J45" i="1065"/>
  <c r="I48" i="1065"/>
  <c r="I47" i="1065"/>
  <c r="I46" i="1065"/>
  <c r="H50" i="1064"/>
  <c r="H49" i="1064"/>
  <c r="I47" i="1064"/>
  <c r="I46" i="1064"/>
  <c r="I48" i="1064"/>
  <c r="J45" i="1064"/>
  <c r="M14" i="1064"/>
  <c r="B69" i="1064"/>
  <c r="B33" i="1064" s="1"/>
  <c r="C69" i="1064"/>
  <c r="D69" i="1064"/>
  <c r="C59" i="1064"/>
  <c r="L69" i="1064"/>
  <c r="D142" i="1064"/>
  <c r="F142" i="1064"/>
  <c r="J15" i="1064" s="1"/>
  <c r="I13" i="1064" s="1"/>
  <c r="E142" i="1064"/>
  <c r="B50" i="1064"/>
  <c r="B49" i="1064"/>
  <c r="B44" i="1064" s="1"/>
  <c r="B54" i="1064"/>
  <c r="C52" i="1064"/>
  <c r="D76" i="1064"/>
  <c r="B76" i="1064"/>
  <c r="E76" i="1064"/>
  <c r="B53" i="1064"/>
  <c r="D45" i="1064"/>
  <c r="C48" i="1064"/>
  <c r="C47" i="1064"/>
  <c r="C46" i="1064"/>
  <c r="B51" i="1064"/>
  <c r="E56" i="1064"/>
  <c r="D57" i="1064"/>
  <c r="G67" i="1064" s="1"/>
  <c r="F67" i="1064" s="1"/>
  <c r="D58" i="1064"/>
  <c r="B67" i="1063"/>
  <c r="B66" i="1063"/>
  <c r="B65" i="1063"/>
  <c r="B68" i="1063"/>
  <c r="E56" i="1063"/>
  <c r="D57" i="1063"/>
  <c r="D58" i="1063"/>
  <c r="G65" i="1063" s="1"/>
  <c r="H49" i="1063"/>
  <c r="H50" i="1063"/>
  <c r="H44" i="1063" s="1"/>
  <c r="B53" i="1063"/>
  <c r="N68" i="1063"/>
  <c r="N67" i="1063"/>
  <c r="E67" i="1063"/>
  <c r="N66" i="1063"/>
  <c r="E66" i="1063"/>
  <c r="N65" i="1063"/>
  <c r="E65" i="1063"/>
  <c r="O67" i="1063"/>
  <c r="O66" i="1063"/>
  <c r="O65" i="1063"/>
  <c r="O68" i="1063"/>
  <c r="I69" i="1063"/>
  <c r="I65" i="1063"/>
  <c r="I68" i="1063"/>
  <c r="I67" i="1063"/>
  <c r="I66" i="1063"/>
  <c r="J68" i="1063"/>
  <c r="J67" i="1063"/>
  <c r="J66" i="1063"/>
  <c r="J69" i="1063"/>
  <c r="J65" i="1063"/>
  <c r="D45" i="1063"/>
  <c r="C48" i="1063"/>
  <c r="C47" i="1063"/>
  <c r="C46" i="1063"/>
  <c r="C74" i="1063"/>
  <c r="C73" i="1063"/>
  <c r="C72" i="1063"/>
  <c r="C75" i="1063"/>
  <c r="D65" i="1063"/>
  <c r="D68" i="1063"/>
  <c r="E68" i="1063" s="1"/>
  <c r="D67" i="1063"/>
  <c r="D66" i="1063"/>
  <c r="B50" i="1063"/>
  <c r="B49" i="1063"/>
  <c r="B44" i="1063" s="1"/>
  <c r="L66" i="1063"/>
  <c r="L69" i="1063" s="1"/>
  <c r="N64" i="1063"/>
  <c r="L65" i="1063"/>
  <c r="L68" i="1063"/>
  <c r="L67" i="1063"/>
  <c r="M65" i="1063"/>
  <c r="M68" i="1063"/>
  <c r="M67" i="1063"/>
  <c r="M66" i="1063"/>
  <c r="O64" i="1063"/>
  <c r="B75" i="1063"/>
  <c r="B74" i="1063"/>
  <c r="B73" i="1063"/>
  <c r="B72" i="1063"/>
  <c r="C66" i="1063"/>
  <c r="C65" i="1063"/>
  <c r="C68" i="1063"/>
  <c r="C67" i="1063"/>
  <c r="J45" i="1063"/>
  <c r="I48" i="1063"/>
  <c r="I47" i="1063"/>
  <c r="I46" i="1063"/>
  <c r="B54" i="1063"/>
  <c r="C52" i="1063"/>
  <c r="K67" i="1063"/>
  <c r="K66" i="1063"/>
  <c r="K69" i="1063"/>
  <c r="K65" i="1063"/>
  <c r="K68" i="1063"/>
  <c r="D73" i="1063"/>
  <c r="D72" i="1063"/>
  <c r="D75" i="1063"/>
  <c r="D74" i="1063"/>
  <c r="E72" i="1063"/>
  <c r="E75" i="1063"/>
  <c r="E74" i="1063"/>
  <c r="E73" i="1063"/>
  <c r="F75" i="1063"/>
  <c r="F74" i="1063"/>
  <c r="F73" i="1063"/>
  <c r="F72" i="1063"/>
  <c r="H44" i="1062"/>
  <c r="C59" i="1062"/>
  <c r="E56" i="1062"/>
  <c r="D57" i="1062"/>
  <c r="G66" i="1062" s="1"/>
  <c r="F66" i="1062" s="1"/>
  <c r="D58" i="1062"/>
  <c r="C66" i="1062"/>
  <c r="C65" i="1062"/>
  <c r="C68" i="1062"/>
  <c r="C67" i="1062"/>
  <c r="B50" i="1062"/>
  <c r="B49" i="1062"/>
  <c r="H51" i="1062"/>
  <c r="O67" i="1062"/>
  <c r="O66" i="1062"/>
  <c r="O65" i="1062"/>
  <c r="O68" i="1062"/>
  <c r="I69" i="1062"/>
  <c r="I65" i="1062"/>
  <c r="I68" i="1062"/>
  <c r="I67" i="1062"/>
  <c r="I66" i="1062"/>
  <c r="J68" i="1062"/>
  <c r="J67" i="1062"/>
  <c r="J66" i="1062"/>
  <c r="J69" i="1062"/>
  <c r="J65" i="1062"/>
  <c r="B67" i="1062"/>
  <c r="B66" i="1062"/>
  <c r="B65" i="1062"/>
  <c r="B68" i="1062"/>
  <c r="I50" i="1062"/>
  <c r="I44" i="1062" s="1"/>
  <c r="I49" i="1062"/>
  <c r="B54" i="1062"/>
  <c r="C52" i="1062"/>
  <c r="N68" i="1062"/>
  <c r="N67" i="1062"/>
  <c r="E67" i="1062"/>
  <c r="N66" i="1062"/>
  <c r="E66" i="1062"/>
  <c r="N65" i="1062"/>
  <c r="E65" i="1062"/>
  <c r="G65" i="1062"/>
  <c r="F65" i="1062" s="1"/>
  <c r="L66" i="1062"/>
  <c r="N64" i="1062"/>
  <c r="L65" i="1062"/>
  <c r="L68" i="1062"/>
  <c r="L67" i="1062"/>
  <c r="M65" i="1062"/>
  <c r="M68" i="1062"/>
  <c r="M67" i="1062"/>
  <c r="M66" i="1062"/>
  <c r="O64" i="1062"/>
  <c r="B75" i="1062"/>
  <c r="B74" i="1062"/>
  <c r="B73" i="1062"/>
  <c r="B72" i="1062"/>
  <c r="I51" i="1062"/>
  <c r="B53" i="1062"/>
  <c r="B44" i="1062"/>
  <c r="C74" i="1062"/>
  <c r="C73" i="1062"/>
  <c r="C72" i="1062"/>
  <c r="C75" i="1062"/>
  <c r="D65" i="1062"/>
  <c r="D68" i="1062"/>
  <c r="E68" i="1062" s="1"/>
  <c r="D67" i="1062"/>
  <c r="D66" i="1062"/>
  <c r="K45" i="1062"/>
  <c r="J48" i="1062"/>
  <c r="J47" i="1062"/>
  <c r="J46" i="1062"/>
  <c r="B51" i="1062"/>
  <c r="D45" i="1062"/>
  <c r="C48" i="1062"/>
  <c r="C47" i="1062"/>
  <c r="C46" i="1062"/>
  <c r="K67" i="1062"/>
  <c r="K66" i="1062"/>
  <c r="K69" i="1062"/>
  <c r="K65" i="1062"/>
  <c r="K68" i="1062"/>
  <c r="D73" i="1062"/>
  <c r="D72" i="1062"/>
  <c r="D75" i="1062"/>
  <c r="D74" i="1062"/>
  <c r="E72" i="1062"/>
  <c r="E75" i="1062"/>
  <c r="E74" i="1062"/>
  <c r="E73" i="1062"/>
  <c r="F75" i="1062"/>
  <c r="F74" i="1062"/>
  <c r="F73" i="1062"/>
  <c r="F72" i="1062"/>
  <c r="H51" i="1061"/>
  <c r="N68" i="1061"/>
  <c r="N67" i="1061"/>
  <c r="E67" i="1061"/>
  <c r="N66" i="1061"/>
  <c r="E66" i="1061"/>
  <c r="N65" i="1061"/>
  <c r="E65" i="1061"/>
  <c r="B53" i="1061"/>
  <c r="C74" i="1061"/>
  <c r="C73" i="1061"/>
  <c r="C72" i="1061"/>
  <c r="C75" i="1061"/>
  <c r="O67" i="1061"/>
  <c r="O66" i="1061"/>
  <c r="O65" i="1061"/>
  <c r="O68" i="1061"/>
  <c r="I69" i="1061"/>
  <c r="I65" i="1061"/>
  <c r="I68" i="1061"/>
  <c r="I67" i="1061"/>
  <c r="I66" i="1061"/>
  <c r="J68" i="1061"/>
  <c r="J67" i="1061"/>
  <c r="J66" i="1061"/>
  <c r="J69" i="1061"/>
  <c r="J65" i="1061"/>
  <c r="D45" i="1061"/>
  <c r="C48" i="1061"/>
  <c r="C47" i="1061"/>
  <c r="C46" i="1061"/>
  <c r="B67" i="1061"/>
  <c r="B66" i="1061"/>
  <c r="B65" i="1061"/>
  <c r="B68" i="1061"/>
  <c r="C66" i="1061"/>
  <c r="C65" i="1061"/>
  <c r="C68" i="1061"/>
  <c r="C67" i="1061"/>
  <c r="D65" i="1061"/>
  <c r="D68" i="1061"/>
  <c r="E68" i="1061" s="1"/>
  <c r="D67" i="1061"/>
  <c r="D66" i="1061"/>
  <c r="E56" i="1061"/>
  <c r="D57" i="1061"/>
  <c r="D59" i="1061" s="1"/>
  <c r="D58" i="1061"/>
  <c r="I50" i="1061"/>
  <c r="I44" i="1061" s="1"/>
  <c r="I49" i="1061"/>
  <c r="I51" i="1061" s="1"/>
  <c r="B50" i="1061"/>
  <c r="B49" i="1061"/>
  <c r="L66" i="1061"/>
  <c r="N64" i="1061"/>
  <c r="L65" i="1061"/>
  <c r="L68" i="1061"/>
  <c r="L67" i="1061"/>
  <c r="M65" i="1061"/>
  <c r="M68" i="1061"/>
  <c r="M67" i="1061"/>
  <c r="M66" i="1061"/>
  <c r="O64" i="1061"/>
  <c r="B75" i="1061"/>
  <c r="B74" i="1061"/>
  <c r="B73" i="1061"/>
  <c r="B72" i="1061"/>
  <c r="H44" i="1061"/>
  <c r="K45" i="1061"/>
  <c r="J48" i="1061"/>
  <c r="J47" i="1061"/>
  <c r="J46" i="1061"/>
  <c r="B54" i="1061"/>
  <c r="C52" i="1061"/>
  <c r="K67" i="1061"/>
  <c r="K66" i="1061"/>
  <c r="K69" i="1061"/>
  <c r="K65" i="1061"/>
  <c r="K68" i="1061"/>
  <c r="D73" i="1061"/>
  <c r="D72" i="1061"/>
  <c r="D75" i="1061"/>
  <c r="D74" i="1061"/>
  <c r="E72" i="1061"/>
  <c r="E75" i="1061"/>
  <c r="E74" i="1061"/>
  <c r="E73" i="1061"/>
  <c r="F75" i="1061"/>
  <c r="F74" i="1061"/>
  <c r="F73" i="1061"/>
  <c r="F72" i="1061"/>
  <c r="D72" i="1060"/>
  <c r="D75" i="1060"/>
  <c r="D73" i="1060"/>
  <c r="D74" i="1060"/>
  <c r="I50" i="1060"/>
  <c r="I44" i="1060" s="1"/>
  <c r="I49" i="1060"/>
  <c r="B50" i="1060"/>
  <c r="B49" i="1060"/>
  <c r="C73" i="1060"/>
  <c r="C72" i="1060"/>
  <c r="C75" i="1060"/>
  <c r="C74" i="1060"/>
  <c r="J67" i="1060"/>
  <c r="J66" i="1060"/>
  <c r="J69" i="1060"/>
  <c r="J68" i="1060"/>
  <c r="J65" i="1060"/>
  <c r="B66" i="1060"/>
  <c r="B65" i="1060"/>
  <c r="B67" i="1060"/>
  <c r="B68" i="1060"/>
  <c r="E75" i="1060"/>
  <c r="E74" i="1060"/>
  <c r="E73" i="1060"/>
  <c r="E72" i="1060"/>
  <c r="N67" i="1060"/>
  <c r="E67" i="1060"/>
  <c r="N66" i="1060"/>
  <c r="E66" i="1060"/>
  <c r="N65" i="1060"/>
  <c r="E65" i="1060"/>
  <c r="N68" i="1060"/>
  <c r="G65" i="1060"/>
  <c r="G68" i="1060"/>
  <c r="G66" i="1060"/>
  <c r="G67" i="1060"/>
  <c r="F67" i="1060" s="1"/>
  <c r="K66" i="1060"/>
  <c r="K69" i="1060"/>
  <c r="K65" i="1060"/>
  <c r="K67" i="1060"/>
  <c r="K68" i="1060"/>
  <c r="M68" i="1060"/>
  <c r="M67" i="1060"/>
  <c r="M65" i="1060"/>
  <c r="M66" i="1060"/>
  <c r="O64" i="1060"/>
  <c r="F56" i="1060"/>
  <c r="E58" i="1060"/>
  <c r="E57" i="1060"/>
  <c r="J48" i="1060"/>
  <c r="J47" i="1060"/>
  <c r="J46" i="1060"/>
  <c r="K45" i="1060"/>
  <c r="B54" i="1060"/>
  <c r="C52" i="1060"/>
  <c r="B74" i="1060"/>
  <c r="B73" i="1060"/>
  <c r="B72" i="1060"/>
  <c r="B75" i="1060"/>
  <c r="F74" i="1060"/>
  <c r="F73" i="1060"/>
  <c r="F75" i="1060"/>
  <c r="F72" i="1060"/>
  <c r="O66" i="1060"/>
  <c r="O65" i="1060"/>
  <c r="F65" i="1060"/>
  <c r="O68" i="1060"/>
  <c r="O67" i="1060"/>
  <c r="C65" i="1060"/>
  <c r="C68" i="1060"/>
  <c r="C67" i="1060"/>
  <c r="C66" i="1060"/>
  <c r="I51" i="1060"/>
  <c r="B53" i="1060"/>
  <c r="D45" i="1060"/>
  <c r="C48" i="1060"/>
  <c r="C47" i="1060"/>
  <c r="C46" i="1060"/>
  <c r="H51" i="1060"/>
  <c r="D68" i="1060"/>
  <c r="E68" i="1060" s="1"/>
  <c r="D67" i="1060"/>
  <c r="D65" i="1060"/>
  <c r="D66" i="1060"/>
  <c r="L65" i="1060"/>
  <c r="L69" i="1060" s="1"/>
  <c r="L68" i="1060"/>
  <c r="L67" i="1060"/>
  <c r="L66" i="1060"/>
  <c r="N64" i="1060"/>
  <c r="I68" i="1060"/>
  <c r="I67" i="1060"/>
  <c r="I66" i="1060"/>
  <c r="I69" i="1060"/>
  <c r="I65" i="1060"/>
  <c r="C69" i="1059"/>
  <c r="D69" i="1059"/>
  <c r="E68" i="1059"/>
  <c r="E69" i="1059" s="1"/>
  <c r="C76" i="1059"/>
  <c r="E76" i="1059"/>
  <c r="L69" i="1059"/>
  <c r="F142" i="1059"/>
  <c r="J15" i="1059" s="1"/>
  <c r="I13" i="1059" s="1"/>
  <c r="D142" i="1059"/>
  <c r="C142" i="1059"/>
  <c r="E142" i="1059"/>
  <c r="B54" i="1059"/>
  <c r="C52" i="1059"/>
  <c r="J45" i="1059"/>
  <c r="I48" i="1059"/>
  <c r="I47" i="1059"/>
  <c r="I46" i="1059"/>
  <c r="D45" i="1059"/>
  <c r="C48" i="1059"/>
  <c r="C47" i="1059"/>
  <c r="C46" i="1059"/>
  <c r="H50" i="1059"/>
  <c r="H49" i="1059"/>
  <c r="H51" i="1059" s="1"/>
  <c r="B53" i="1059"/>
  <c r="E56" i="1059"/>
  <c r="D57" i="1059"/>
  <c r="D58" i="1059"/>
  <c r="D76" i="1059"/>
  <c r="B50" i="1059"/>
  <c r="B49" i="1059"/>
  <c r="B76" i="1059"/>
  <c r="L69" i="1058"/>
  <c r="B69" i="1058"/>
  <c r="E69" i="1058"/>
  <c r="C69" i="1058"/>
  <c r="C76" i="1058"/>
  <c r="D45" i="1058"/>
  <c r="C48" i="1058"/>
  <c r="C47" i="1058"/>
  <c r="C46" i="1058"/>
  <c r="B53" i="1058"/>
  <c r="D76" i="1058"/>
  <c r="H49" i="1058"/>
  <c r="H50" i="1058"/>
  <c r="H44" i="1058" s="1"/>
  <c r="E56" i="1058"/>
  <c r="D57" i="1058"/>
  <c r="D58" i="1058"/>
  <c r="B50" i="1058"/>
  <c r="B49" i="1058"/>
  <c r="E76" i="1058"/>
  <c r="B76" i="1058"/>
  <c r="B54" i="1058"/>
  <c r="C52" i="1058"/>
  <c r="C40" i="1058"/>
  <c r="J45" i="1058"/>
  <c r="I48" i="1058"/>
  <c r="I47" i="1058"/>
  <c r="I46" i="1058"/>
  <c r="C59" i="1057"/>
  <c r="C50" i="1057"/>
  <c r="C51" i="1057" s="1"/>
  <c r="C49" i="1057"/>
  <c r="E56" i="1057"/>
  <c r="D57" i="1057"/>
  <c r="G65" i="1057" s="1"/>
  <c r="D58" i="1057"/>
  <c r="E53" i="1057" s="1"/>
  <c r="C54" i="1057"/>
  <c r="D52" i="1057"/>
  <c r="N68" i="1057"/>
  <c r="N67" i="1057"/>
  <c r="E67" i="1057"/>
  <c r="N66" i="1057"/>
  <c r="E66" i="1057"/>
  <c r="N65" i="1057"/>
  <c r="E65" i="1057"/>
  <c r="B67" i="1057"/>
  <c r="B66" i="1057"/>
  <c r="B65" i="1057"/>
  <c r="B68" i="1057"/>
  <c r="E72" i="1057"/>
  <c r="E75" i="1057"/>
  <c r="E74" i="1057"/>
  <c r="E73" i="1057"/>
  <c r="F75" i="1057"/>
  <c r="F74" i="1057"/>
  <c r="F73" i="1057"/>
  <c r="F72" i="1057"/>
  <c r="E45" i="1057"/>
  <c r="D48" i="1057"/>
  <c r="D47" i="1057"/>
  <c r="D46" i="1057"/>
  <c r="J45" i="1057"/>
  <c r="I48" i="1057"/>
  <c r="I47" i="1057"/>
  <c r="I46" i="1057"/>
  <c r="O67" i="1057"/>
  <c r="O66" i="1057"/>
  <c r="O65" i="1057"/>
  <c r="F65" i="1057"/>
  <c r="O68" i="1057"/>
  <c r="C66" i="1057"/>
  <c r="C65" i="1057"/>
  <c r="C68" i="1057"/>
  <c r="C67" i="1057"/>
  <c r="D65" i="1057"/>
  <c r="D68" i="1057"/>
  <c r="E68" i="1057" s="1"/>
  <c r="D67" i="1057"/>
  <c r="D66" i="1057"/>
  <c r="B44" i="1057"/>
  <c r="C44" i="1057"/>
  <c r="C74" i="1057"/>
  <c r="C73" i="1057"/>
  <c r="C72" i="1057"/>
  <c r="C75" i="1057"/>
  <c r="L66" i="1057"/>
  <c r="N64" i="1057"/>
  <c r="L65" i="1057"/>
  <c r="L68" i="1057"/>
  <c r="L67" i="1057"/>
  <c r="I69" i="1057"/>
  <c r="I65" i="1057"/>
  <c r="I68" i="1057"/>
  <c r="I67" i="1057"/>
  <c r="I66" i="1057"/>
  <c r="J68" i="1057"/>
  <c r="J67" i="1057"/>
  <c r="J66" i="1057"/>
  <c r="J69" i="1057"/>
  <c r="J65" i="1057"/>
  <c r="H50" i="1057"/>
  <c r="H49" i="1057"/>
  <c r="K67" i="1057"/>
  <c r="K66" i="1057"/>
  <c r="K69" i="1057"/>
  <c r="K65" i="1057"/>
  <c r="K68" i="1057"/>
  <c r="D73" i="1057"/>
  <c r="D72" i="1057"/>
  <c r="D75" i="1057"/>
  <c r="D74" i="1057"/>
  <c r="M65" i="1057"/>
  <c r="M68" i="1057"/>
  <c r="M67" i="1057"/>
  <c r="M66" i="1057"/>
  <c r="O64" i="1057"/>
  <c r="B75" i="1057"/>
  <c r="B74" i="1057"/>
  <c r="B73" i="1057"/>
  <c r="B72" i="1057"/>
  <c r="H44" i="1056"/>
  <c r="H51" i="1056"/>
  <c r="I50" i="1056"/>
  <c r="I44" i="1056" s="1"/>
  <c r="I49" i="1056"/>
  <c r="I51" i="1056" s="1"/>
  <c r="B54" i="1056"/>
  <c r="C52" i="1056"/>
  <c r="N68" i="1056"/>
  <c r="N67" i="1056"/>
  <c r="E67" i="1056"/>
  <c r="N66" i="1056"/>
  <c r="E66" i="1056"/>
  <c r="N65" i="1056"/>
  <c r="E65" i="1056"/>
  <c r="B67" i="1056"/>
  <c r="B66" i="1056"/>
  <c r="B65" i="1056"/>
  <c r="B68" i="1056"/>
  <c r="C66" i="1056"/>
  <c r="C65" i="1056"/>
  <c r="C68" i="1056"/>
  <c r="C67" i="1056"/>
  <c r="D65" i="1056"/>
  <c r="D68" i="1056"/>
  <c r="E68" i="1056" s="1"/>
  <c r="D67" i="1056"/>
  <c r="D66" i="1056"/>
  <c r="B50" i="1056"/>
  <c r="B51" i="1056" s="1"/>
  <c r="B49" i="1056"/>
  <c r="K67" i="1056"/>
  <c r="K66" i="1056"/>
  <c r="K69" i="1056"/>
  <c r="K65" i="1056"/>
  <c r="K68" i="1056"/>
  <c r="D73" i="1056"/>
  <c r="D72" i="1056"/>
  <c r="D75" i="1056"/>
  <c r="D74" i="1056"/>
  <c r="E72" i="1056"/>
  <c r="E75" i="1056"/>
  <c r="E74" i="1056"/>
  <c r="E73" i="1056"/>
  <c r="F75" i="1056"/>
  <c r="F74" i="1056"/>
  <c r="F73" i="1056"/>
  <c r="F72" i="1056"/>
  <c r="K45" i="1056"/>
  <c r="J48" i="1056"/>
  <c r="J47" i="1056"/>
  <c r="J46" i="1056"/>
  <c r="D45" i="1056"/>
  <c r="C48" i="1056"/>
  <c r="C47" i="1056"/>
  <c r="C46" i="1056"/>
  <c r="O67" i="1056"/>
  <c r="O66" i="1056"/>
  <c r="O65" i="1056"/>
  <c r="O68" i="1056"/>
  <c r="I69" i="1056"/>
  <c r="I65" i="1056"/>
  <c r="I68" i="1056"/>
  <c r="I67" i="1056"/>
  <c r="I66" i="1056"/>
  <c r="J68" i="1056"/>
  <c r="J67" i="1056"/>
  <c r="J66" i="1056"/>
  <c r="J69" i="1056"/>
  <c r="J65" i="1056"/>
  <c r="E56" i="1056"/>
  <c r="D57" i="1056"/>
  <c r="D58" i="1056"/>
  <c r="B53" i="1056"/>
  <c r="C74" i="1056"/>
  <c r="C73" i="1056"/>
  <c r="C72" i="1056"/>
  <c r="C75" i="1056"/>
  <c r="L66" i="1056"/>
  <c r="N64" i="1056"/>
  <c r="L65" i="1056"/>
  <c r="L68" i="1056"/>
  <c r="L67" i="1056"/>
  <c r="M65" i="1056"/>
  <c r="M68" i="1056"/>
  <c r="M67" i="1056"/>
  <c r="M66" i="1056"/>
  <c r="O64" i="1056"/>
  <c r="B75" i="1056"/>
  <c r="B74" i="1056"/>
  <c r="B73" i="1056"/>
  <c r="B72" i="1056"/>
  <c r="H50" i="1055"/>
  <c r="H49" i="1055"/>
  <c r="C54" i="1055"/>
  <c r="D52" i="1055"/>
  <c r="K67" i="1055"/>
  <c r="K66" i="1055"/>
  <c r="K69" i="1055"/>
  <c r="K65" i="1055"/>
  <c r="K68" i="1055"/>
  <c r="D73" i="1055"/>
  <c r="D72" i="1055"/>
  <c r="D75" i="1055"/>
  <c r="D74" i="1055"/>
  <c r="E72" i="1055"/>
  <c r="E75" i="1055"/>
  <c r="E74" i="1055"/>
  <c r="E73" i="1055"/>
  <c r="F75" i="1055"/>
  <c r="F74" i="1055"/>
  <c r="F73" i="1055"/>
  <c r="F72" i="1055"/>
  <c r="E45" i="1055"/>
  <c r="D48" i="1055"/>
  <c r="D47" i="1055"/>
  <c r="D46" i="1055"/>
  <c r="L66" i="1055"/>
  <c r="N64" i="1055"/>
  <c r="L65" i="1055"/>
  <c r="L68" i="1055"/>
  <c r="L67" i="1055"/>
  <c r="M65" i="1055"/>
  <c r="M68" i="1055"/>
  <c r="M67" i="1055"/>
  <c r="O64" i="1055"/>
  <c r="M66" i="1055"/>
  <c r="B75" i="1055"/>
  <c r="B74" i="1055"/>
  <c r="B73" i="1055"/>
  <c r="B72" i="1055"/>
  <c r="J45" i="1055"/>
  <c r="I48" i="1055"/>
  <c r="I47" i="1055"/>
  <c r="I46" i="1055"/>
  <c r="N68" i="1055"/>
  <c r="N67" i="1055"/>
  <c r="E67" i="1055"/>
  <c r="N66" i="1055"/>
  <c r="E66" i="1055"/>
  <c r="N65" i="1055"/>
  <c r="E65" i="1055"/>
  <c r="B67" i="1055"/>
  <c r="B66" i="1055"/>
  <c r="B65" i="1055"/>
  <c r="B68" i="1055"/>
  <c r="C66" i="1055"/>
  <c r="C65" i="1055"/>
  <c r="C68" i="1055"/>
  <c r="C67" i="1055"/>
  <c r="D65" i="1055"/>
  <c r="D68" i="1055"/>
  <c r="E68" i="1055" s="1"/>
  <c r="D67" i="1055"/>
  <c r="D66" i="1055"/>
  <c r="E56" i="1055"/>
  <c r="D57" i="1055"/>
  <c r="G66" i="1055" s="1"/>
  <c r="D58" i="1055"/>
  <c r="C50" i="1055"/>
  <c r="C51" i="1055" s="1"/>
  <c r="C49" i="1055"/>
  <c r="C44" i="1055" s="1"/>
  <c r="H44" i="1055"/>
  <c r="C74" i="1055"/>
  <c r="C73" i="1055"/>
  <c r="C72" i="1055"/>
  <c r="C75" i="1055"/>
  <c r="O67" i="1055"/>
  <c r="O66" i="1055"/>
  <c r="O65" i="1055"/>
  <c r="O68" i="1055"/>
  <c r="I69" i="1055"/>
  <c r="I65" i="1055"/>
  <c r="I68" i="1055"/>
  <c r="I67" i="1055"/>
  <c r="I66" i="1055"/>
  <c r="J68" i="1055"/>
  <c r="J67" i="1055"/>
  <c r="J66" i="1055"/>
  <c r="J69" i="1055"/>
  <c r="J65" i="1055"/>
  <c r="C59" i="1054"/>
  <c r="C50" i="1054"/>
  <c r="C51" i="1054" s="1"/>
  <c r="C49" i="1054"/>
  <c r="C74" i="1054"/>
  <c r="C73" i="1054"/>
  <c r="C72" i="1054"/>
  <c r="C75" i="1054"/>
  <c r="L66" i="1054"/>
  <c r="N64" i="1054"/>
  <c r="L65" i="1054"/>
  <c r="L69" i="1054" s="1"/>
  <c r="L68" i="1054"/>
  <c r="L67" i="1054"/>
  <c r="J68" i="1054"/>
  <c r="J67" i="1054"/>
  <c r="J66" i="1054"/>
  <c r="J69" i="1054"/>
  <c r="J65" i="1054"/>
  <c r="H49" i="1054"/>
  <c r="H50" i="1054"/>
  <c r="C54" i="1054"/>
  <c r="D52" i="1054"/>
  <c r="E45" i="1054"/>
  <c r="D48" i="1054"/>
  <c r="D47" i="1054"/>
  <c r="D46" i="1054"/>
  <c r="K67" i="1054"/>
  <c r="K66" i="1054"/>
  <c r="K69" i="1054"/>
  <c r="K65" i="1054"/>
  <c r="K68" i="1054"/>
  <c r="D73" i="1054"/>
  <c r="D72" i="1054"/>
  <c r="D75" i="1054"/>
  <c r="D74" i="1054"/>
  <c r="M65" i="1054"/>
  <c r="M68" i="1054"/>
  <c r="M67" i="1054"/>
  <c r="M66" i="1054"/>
  <c r="O64" i="1054"/>
  <c r="B75" i="1054"/>
  <c r="B74" i="1054"/>
  <c r="B73" i="1054"/>
  <c r="B72" i="1054"/>
  <c r="H51" i="1054"/>
  <c r="B51" i="1054"/>
  <c r="B67" i="1054"/>
  <c r="B66" i="1054"/>
  <c r="B65" i="1054"/>
  <c r="B68" i="1054"/>
  <c r="E72" i="1054"/>
  <c r="E75" i="1054"/>
  <c r="E74" i="1054"/>
  <c r="E73" i="1054"/>
  <c r="F75" i="1054"/>
  <c r="F74" i="1054"/>
  <c r="F73" i="1054"/>
  <c r="F72" i="1054"/>
  <c r="E56" i="1054"/>
  <c r="D57" i="1054"/>
  <c r="D58" i="1054"/>
  <c r="G66" i="1054" s="1"/>
  <c r="I69" i="1054"/>
  <c r="I65" i="1054"/>
  <c r="I68" i="1054"/>
  <c r="I67" i="1054"/>
  <c r="I66" i="1054"/>
  <c r="B44" i="1054"/>
  <c r="N68" i="1054"/>
  <c r="N67" i="1054"/>
  <c r="E67" i="1054"/>
  <c r="F67" i="1054" s="1"/>
  <c r="N66" i="1054"/>
  <c r="E66" i="1054"/>
  <c r="N65" i="1054"/>
  <c r="E65" i="1054"/>
  <c r="G67" i="1054"/>
  <c r="G68" i="1054"/>
  <c r="O67" i="1054"/>
  <c r="O66" i="1054"/>
  <c r="O65" i="1054"/>
  <c r="O68" i="1054"/>
  <c r="C66" i="1054"/>
  <c r="C65" i="1054"/>
  <c r="C68" i="1054"/>
  <c r="C67" i="1054"/>
  <c r="D65" i="1054"/>
  <c r="D68" i="1054"/>
  <c r="E68" i="1054" s="1"/>
  <c r="D67" i="1054"/>
  <c r="D66" i="1054"/>
  <c r="J45" i="1054"/>
  <c r="I48" i="1054"/>
  <c r="I47" i="1054"/>
  <c r="I46" i="1054"/>
  <c r="C74" i="1053"/>
  <c r="C73" i="1053"/>
  <c r="C72" i="1053"/>
  <c r="C75" i="1053"/>
  <c r="O67" i="1053"/>
  <c r="O66" i="1053"/>
  <c r="O65" i="1053"/>
  <c r="O68" i="1053"/>
  <c r="I69" i="1053"/>
  <c r="I65" i="1053"/>
  <c r="I68" i="1053"/>
  <c r="I67" i="1053"/>
  <c r="I66" i="1053"/>
  <c r="J68" i="1053"/>
  <c r="J67" i="1053"/>
  <c r="J66" i="1053"/>
  <c r="J69" i="1053"/>
  <c r="J65" i="1053"/>
  <c r="B53" i="1053"/>
  <c r="D45" i="1053"/>
  <c r="C48" i="1053"/>
  <c r="C47" i="1053"/>
  <c r="C46" i="1053"/>
  <c r="L66" i="1053"/>
  <c r="N64" i="1053"/>
  <c r="L65" i="1053"/>
  <c r="L69" i="1053" s="1"/>
  <c r="L68" i="1053"/>
  <c r="L67" i="1053"/>
  <c r="M65" i="1053"/>
  <c r="M68" i="1053"/>
  <c r="M67" i="1053"/>
  <c r="M66" i="1053"/>
  <c r="O64" i="1053"/>
  <c r="B75" i="1053"/>
  <c r="B74" i="1053"/>
  <c r="B73" i="1053"/>
  <c r="B72" i="1053"/>
  <c r="B59" i="1053"/>
  <c r="N68" i="1053"/>
  <c r="N67" i="1053"/>
  <c r="E67" i="1053"/>
  <c r="N66" i="1053"/>
  <c r="E66" i="1053"/>
  <c r="N65" i="1053"/>
  <c r="E65" i="1053"/>
  <c r="D73" i="1053"/>
  <c r="D72" i="1053"/>
  <c r="D75" i="1053"/>
  <c r="D74" i="1053"/>
  <c r="E72" i="1053"/>
  <c r="E75" i="1053"/>
  <c r="E74" i="1053"/>
  <c r="E73" i="1053"/>
  <c r="F75" i="1053"/>
  <c r="F74" i="1053"/>
  <c r="F73" i="1053"/>
  <c r="F72" i="1053"/>
  <c r="B50" i="1053"/>
  <c r="B49" i="1053"/>
  <c r="H50" i="1053"/>
  <c r="H49" i="1053"/>
  <c r="K67" i="1053"/>
  <c r="K66" i="1053"/>
  <c r="K69" i="1053"/>
  <c r="K65" i="1053"/>
  <c r="K68" i="1053"/>
  <c r="B67" i="1053"/>
  <c r="B66" i="1053"/>
  <c r="B65" i="1053"/>
  <c r="B68" i="1053"/>
  <c r="C66" i="1053"/>
  <c r="C65" i="1053"/>
  <c r="C68" i="1053"/>
  <c r="C67" i="1053"/>
  <c r="D65" i="1053"/>
  <c r="D68" i="1053"/>
  <c r="E68" i="1053" s="1"/>
  <c r="D67" i="1053"/>
  <c r="D66" i="1053"/>
  <c r="B54" i="1053"/>
  <c r="C52" i="1053"/>
  <c r="C58" i="1053"/>
  <c r="C57" i="1053"/>
  <c r="C59" i="1053" s="1"/>
  <c r="D56" i="1053"/>
  <c r="J45" i="1053"/>
  <c r="I48" i="1053"/>
  <c r="I47" i="1053"/>
  <c r="I46" i="1053"/>
  <c r="B3" i="1052"/>
  <c r="F71" i="1052"/>
  <c r="B71" i="1052"/>
  <c r="J64" i="1052"/>
  <c r="D64" i="1052"/>
  <c r="E71" i="1052"/>
  <c r="M64" i="1052"/>
  <c r="I64" i="1052"/>
  <c r="C64" i="1052"/>
  <c r="A16" i="1052"/>
  <c r="D71" i="1052"/>
  <c r="L64" i="1052"/>
  <c r="F64" i="1052"/>
  <c r="B64" i="1052"/>
  <c r="K64" i="1052"/>
  <c r="E64" i="1052"/>
  <c r="C71" i="1052"/>
  <c r="M4" i="1052"/>
  <c r="D3" i="1052"/>
  <c r="F3" i="1052"/>
  <c r="C45" i="1052"/>
  <c r="B52" i="1052"/>
  <c r="B48" i="1052"/>
  <c r="B46" i="1052"/>
  <c r="B47" i="1052"/>
  <c r="C58" i="1052"/>
  <c r="C57" i="1052"/>
  <c r="C59" i="1052" s="1"/>
  <c r="D56" i="1052"/>
  <c r="I45" i="1052"/>
  <c r="H47" i="1052"/>
  <c r="H48" i="1052"/>
  <c r="H46" i="1052"/>
  <c r="B59" i="1052"/>
  <c r="B50" i="1051"/>
  <c r="B49" i="1051"/>
  <c r="I45" i="1051"/>
  <c r="H48" i="1051"/>
  <c r="H47" i="1051"/>
  <c r="H46" i="1051"/>
  <c r="C58" i="1051"/>
  <c r="C57" i="1051"/>
  <c r="D56" i="1051"/>
  <c r="B53" i="1051"/>
  <c r="F71" i="1051"/>
  <c r="B71" i="1051"/>
  <c r="J64" i="1051"/>
  <c r="D64" i="1051"/>
  <c r="E71" i="1051"/>
  <c r="M64" i="1051"/>
  <c r="I64" i="1051"/>
  <c r="C64" i="1051"/>
  <c r="A16" i="1051"/>
  <c r="D71" i="1051"/>
  <c r="L64" i="1051"/>
  <c r="F64" i="1051"/>
  <c r="B64" i="1051"/>
  <c r="K64" i="1051"/>
  <c r="E64" i="1051"/>
  <c r="D3" i="1051"/>
  <c r="F3" i="1051"/>
  <c r="C71" i="1051"/>
  <c r="M4" i="1051"/>
  <c r="J19" i="1051"/>
  <c r="B3" i="1051" s="1"/>
  <c r="B59" i="1051"/>
  <c r="B54" i="1051"/>
  <c r="C52" i="1051"/>
  <c r="D45" i="1051"/>
  <c r="C48" i="1051"/>
  <c r="C47" i="1051"/>
  <c r="C46" i="1051"/>
  <c r="D25" i="1050"/>
  <c r="F25" i="1050"/>
  <c r="B3" i="1050" s="1"/>
  <c r="J19" i="1050"/>
  <c r="B59" i="1050"/>
  <c r="C45" i="1050"/>
  <c r="B52" i="1050"/>
  <c r="B48" i="1050"/>
  <c r="B46" i="1050"/>
  <c r="B47" i="1050"/>
  <c r="C58" i="1050"/>
  <c r="C57" i="1050"/>
  <c r="D56" i="1050"/>
  <c r="L14" i="1050"/>
  <c r="F71" i="1050"/>
  <c r="B71" i="1050"/>
  <c r="J64" i="1050"/>
  <c r="D64" i="1050"/>
  <c r="E71" i="1050"/>
  <c r="M64" i="1050"/>
  <c r="I64" i="1050"/>
  <c r="C64" i="1050"/>
  <c r="D71" i="1050"/>
  <c r="L64" i="1050"/>
  <c r="F64" i="1050"/>
  <c r="B64" i="1050"/>
  <c r="K64" i="1050"/>
  <c r="A16" i="1050"/>
  <c r="E64" i="1050"/>
  <c r="F3" i="1050"/>
  <c r="C71" i="1050"/>
  <c r="M4" i="1050"/>
  <c r="D3" i="1050"/>
  <c r="I45" i="1050"/>
  <c r="H47" i="1050"/>
  <c r="H48" i="1050"/>
  <c r="H46" i="1050"/>
  <c r="J19" i="1049"/>
  <c r="B3" i="1049" s="1"/>
  <c r="K67" i="1049"/>
  <c r="K66" i="1049"/>
  <c r="K69" i="1049"/>
  <c r="K65" i="1049"/>
  <c r="K68" i="1049"/>
  <c r="I45" i="1049"/>
  <c r="H46" i="1049"/>
  <c r="H47" i="1049"/>
  <c r="H48" i="1049"/>
  <c r="O67" i="1049"/>
  <c r="O66" i="1049"/>
  <c r="O65" i="1049"/>
  <c r="O68" i="1049"/>
  <c r="I69" i="1049"/>
  <c r="I65" i="1049"/>
  <c r="I68" i="1049"/>
  <c r="I67" i="1049"/>
  <c r="I66" i="1049"/>
  <c r="C58" i="1049"/>
  <c r="C57" i="1049"/>
  <c r="D56" i="1049"/>
  <c r="L14" i="1049"/>
  <c r="L66" i="1049"/>
  <c r="N64" i="1049"/>
  <c r="L65" i="1049"/>
  <c r="L68" i="1049"/>
  <c r="L67" i="1049"/>
  <c r="M65" i="1049"/>
  <c r="M68" i="1049"/>
  <c r="M67" i="1049"/>
  <c r="O64" i="1049"/>
  <c r="M66" i="1049"/>
  <c r="B75" i="1049"/>
  <c r="B74" i="1049"/>
  <c r="B73" i="1049"/>
  <c r="B72" i="1049"/>
  <c r="J68" i="1049"/>
  <c r="J67" i="1049"/>
  <c r="J66" i="1049"/>
  <c r="J69" i="1049"/>
  <c r="J65" i="1049"/>
  <c r="C74" i="1049"/>
  <c r="C73" i="1049"/>
  <c r="C72" i="1049"/>
  <c r="C75" i="1049"/>
  <c r="C45" i="1049"/>
  <c r="B52" i="1049"/>
  <c r="B48" i="1049"/>
  <c r="B46" i="1049"/>
  <c r="B47" i="1049"/>
  <c r="D73" i="1049"/>
  <c r="D72" i="1049"/>
  <c r="D75" i="1049"/>
  <c r="D74" i="1049"/>
  <c r="E72" i="1049"/>
  <c r="E75" i="1049"/>
  <c r="E74" i="1049"/>
  <c r="E73" i="1049"/>
  <c r="F75" i="1049"/>
  <c r="F74" i="1049"/>
  <c r="F73" i="1049"/>
  <c r="F72" i="1049"/>
  <c r="N68" i="1049"/>
  <c r="N67" i="1049"/>
  <c r="E67" i="1049"/>
  <c r="N66" i="1049"/>
  <c r="E66" i="1049"/>
  <c r="N65" i="1049"/>
  <c r="E65" i="1049"/>
  <c r="B59" i="1049"/>
  <c r="B67" i="1049"/>
  <c r="B66" i="1049"/>
  <c r="B65" i="1049"/>
  <c r="B68" i="1049"/>
  <c r="C66" i="1049"/>
  <c r="C65" i="1049"/>
  <c r="C68" i="1049"/>
  <c r="C67" i="1049"/>
  <c r="D65" i="1049"/>
  <c r="D68" i="1049"/>
  <c r="E68" i="1049" s="1"/>
  <c r="D67" i="1049"/>
  <c r="D66" i="1049"/>
  <c r="D24" i="1048"/>
  <c r="D25" i="1048"/>
  <c r="F25" i="1048"/>
  <c r="B3" i="1048" s="1"/>
  <c r="B53" i="1048"/>
  <c r="B59" i="1048"/>
  <c r="B50" i="1048"/>
  <c r="B49" i="1048"/>
  <c r="I45" i="1048"/>
  <c r="H47" i="1048"/>
  <c r="H46" i="1048"/>
  <c r="H48" i="1048"/>
  <c r="F71" i="1048"/>
  <c r="B71" i="1048"/>
  <c r="J64" i="1048"/>
  <c r="D64" i="1048"/>
  <c r="E71" i="1048"/>
  <c r="M64" i="1048"/>
  <c r="I64" i="1048"/>
  <c r="C64" i="1048"/>
  <c r="D71" i="1048"/>
  <c r="L64" i="1048"/>
  <c r="F64" i="1048"/>
  <c r="B64" i="1048"/>
  <c r="K64" i="1048"/>
  <c r="F3" i="1048"/>
  <c r="E64" i="1048"/>
  <c r="M4" i="1048"/>
  <c r="D3" i="1048"/>
  <c r="A16" i="1048"/>
  <c r="C71" i="1048"/>
  <c r="B54" i="1048"/>
  <c r="C52" i="1048"/>
  <c r="C58" i="1048"/>
  <c r="C57" i="1048"/>
  <c r="D56" i="1048"/>
  <c r="J19" i="1048"/>
  <c r="B51" i="1048"/>
  <c r="D45" i="1048"/>
  <c r="C48" i="1048"/>
  <c r="C47" i="1048"/>
  <c r="C46" i="1048"/>
  <c r="D24" i="1047"/>
  <c r="F25" i="1047"/>
  <c r="B3" i="1047" s="1"/>
  <c r="D25" i="1047"/>
  <c r="H49" i="1047"/>
  <c r="H50" i="1047"/>
  <c r="C58" i="1047"/>
  <c r="C57" i="1047"/>
  <c r="D56" i="1047"/>
  <c r="C45" i="1047"/>
  <c r="B52" i="1047"/>
  <c r="B48" i="1047"/>
  <c r="B46" i="1047"/>
  <c r="B47" i="1047"/>
  <c r="J19" i="1047"/>
  <c r="H44" i="1047"/>
  <c r="B59" i="1047"/>
  <c r="F71" i="1047"/>
  <c r="B71" i="1047"/>
  <c r="J64" i="1047"/>
  <c r="D64" i="1047"/>
  <c r="E71" i="1047"/>
  <c r="M64" i="1047"/>
  <c r="I64" i="1047"/>
  <c r="C64" i="1047"/>
  <c r="A16" i="1047"/>
  <c r="D71" i="1047"/>
  <c r="L64" i="1047"/>
  <c r="F64" i="1047"/>
  <c r="B64" i="1047"/>
  <c r="K64" i="1047"/>
  <c r="M4" i="1047"/>
  <c r="D3" i="1047"/>
  <c r="E64" i="1047"/>
  <c r="C71" i="1047"/>
  <c r="F3" i="1047"/>
  <c r="J45" i="1047"/>
  <c r="I48" i="1047"/>
  <c r="I47" i="1047"/>
  <c r="I46" i="1047"/>
  <c r="I45" i="1046"/>
  <c r="H47" i="1046"/>
  <c r="H46" i="1046"/>
  <c r="H48" i="1046"/>
  <c r="B53" i="1046"/>
  <c r="J19" i="1046"/>
  <c r="B3" i="1046" s="1"/>
  <c r="F71" i="1046"/>
  <c r="B71" i="1046"/>
  <c r="J64" i="1046"/>
  <c r="D64" i="1046"/>
  <c r="E71" i="1046"/>
  <c r="M64" i="1046"/>
  <c r="I64" i="1046"/>
  <c r="C64" i="1046"/>
  <c r="D71" i="1046"/>
  <c r="L64" i="1046"/>
  <c r="F64" i="1046"/>
  <c r="B64" i="1046"/>
  <c r="K64" i="1046"/>
  <c r="F3" i="1046"/>
  <c r="E64" i="1046"/>
  <c r="M4" i="1046"/>
  <c r="D3" i="1046"/>
  <c r="A16" i="1046"/>
  <c r="C71" i="1046"/>
  <c r="C58" i="1046"/>
  <c r="C57" i="1046"/>
  <c r="D56" i="1046"/>
  <c r="B50" i="1046"/>
  <c r="B49" i="1046"/>
  <c r="B54" i="1046"/>
  <c r="C52" i="1046"/>
  <c r="B59" i="1046"/>
  <c r="D45" i="1046"/>
  <c r="C48" i="1046"/>
  <c r="C47" i="1046"/>
  <c r="C46" i="1046"/>
  <c r="J19" i="1045"/>
  <c r="D24" i="1045"/>
  <c r="B67" i="1045"/>
  <c r="B66" i="1045"/>
  <c r="B65" i="1045"/>
  <c r="B68" i="1045"/>
  <c r="E72" i="1045"/>
  <c r="E75" i="1045"/>
  <c r="E74" i="1045"/>
  <c r="E73" i="1045"/>
  <c r="F75" i="1045"/>
  <c r="F74" i="1045"/>
  <c r="F73" i="1045"/>
  <c r="F72" i="1045"/>
  <c r="B59" i="1045"/>
  <c r="N68" i="1045"/>
  <c r="N67" i="1045"/>
  <c r="E67" i="1045"/>
  <c r="N66" i="1045"/>
  <c r="E66" i="1045"/>
  <c r="N65" i="1045"/>
  <c r="E65" i="1045"/>
  <c r="O67" i="1045"/>
  <c r="O66" i="1045"/>
  <c r="O65" i="1045"/>
  <c r="O68" i="1045"/>
  <c r="C66" i="1045"/>
  <c r="C65" i="1045"/>
  <c r="C68" i="1045"/>
  <c r="C67" i="1045"/>
  <c r="D65" i="1045"/>
  <c r="D68" i="1045"/>
  <c r="E68" i="1045" s="1"/>
  <c r="D67" i="1045"/>
  <c r="D66" i="1045"/>
  <c r="C45" i="1045"/>
  <c r="B52" i="1045"/>
  <c r="B48" i="1045"/>
  <c r="B47" i="1045"/>
  <c r="B46" i="1045"/>
  <c r="K67" i="1045"/>
  <c r="K66" i="1045"/>
  <c r="K69" i="1045"/>
  <c r="K65" i="1045"/>
  <c r="K68" i="1045"/>
  <c r="L66" i="1045"/>
  <c r="N64" i="1045"/>
  <c r="L65" i="1045"/>
  <c r="L68" i="1045"/>
  <c r="L67" i="1045"/>
  <c r="I69" i="1045"/>
  <c r="I65" i="1045"/>
  <c r="I68" i="1045"/>
  <c r="I67" i="1045"/>
  <c r="I66" i="1045"/>
  <c r="J68" i="1045"/>
  <c r="J67" i="1045"/>
  <c r="J66" i="1045"/>
  <c r="J69" i="1045"/>
  <c r="J65" i="1045"/>
  <c r="I45" i="1045"/>
  <c r="H48" i="1045"/>
  <c r="H47" i="1045"/>
  <c r="H46" i="1045"/>
  <c r="C58" i="1045"/>
  <c r="C57" i="1045"/>
  <c r="C59" i="1045" s="1"/>
  <c r="D56" i="1045"/>
  <c r="C74" i="1045"/>
  <c r="C73" i="1045"/>
  <c r="C72" i="1045"/>
  <c r="C75" i="1045"/>
  <c r="D73" i="1045"/>
  <c r="D72" i="1045"/>
  <c r="D75" i="1045"/>
  <c r="D74" i="1045"/>
  <c r="M65" i="1045"/>
  <c r="M68" i="1045"/>
  <c r="M67" i="1045"/>
  <c r="M66" i="1045"/>
  <c r="O64" i="1045"/>
  <c r="B75" i="1045"/>
  <c r="B74" i="1045"/>
  <c r="B73" i="1045"/>
  <c r="B72" i="1045"/>
  <c r="F21" i="1044"/>
  <c r="F26" i="1044"/>
  <c r="G37" i="1044"/>
  <c r="B13" i="1044"/>
  <c r="G13" i="1044"/>
  <c r="C25" i="1044"/>
  <c r="L17" i="1044"/>
  <c r="N22" i="1044"/>
  <c r="I20" i="1044" s="1"/>
  <c r="K11" i="1044"/>
  <c r="L21" i="1044"/>
  <c r="C45" i="1044"/>
  <c r="B52" i="1044"/>
  <c r="B48" i="1044"/>
  <c r="B46" i="1044"/>
  <c r="B47" i="1044"/>
  <c r="F20" i="1044"/>
  <c r="F19" i="1044"/>
  <c r="L23" i="1044"/>
  <c r="N24" i="1044"/>
  <c r="I25" i="1044"/>
  <c r="F27" i="1044" s="1"/>
  <c r="N23" i="1044"/>
  <c r="L22" i="1044"/>
  <c r="N21" i="1044"/>
  <c r="L14" i="1044"/>
  <c r="L24" i="1044"/>
  <c r="I23" i="1044"/>
  <c r="M1" i="1044"/>
  <c r="D13" i="1044"/>
  <c r="H45" i="1044"/>
  <c r="J20" i="1044"/>
  <c r="I21" i="1044"/>
  <c r="I22" i="1044"/>
  <c r="G37" i="1043"/>
  <c r="E13" i="1043"/>
  <c r="B24" i="1043"/>
  <c r="F24" i="1043" s="1"/>
  <c r="C25" i="1043"/>
  <c r="D25" i="1043" s="1"/>
  <c r="J20" i="1043"/>
  <c r="I21" i="1043"/>
  <c r="I45" i="1043"/>
  <c r="H47" i="1043"/>
  <c r="H48" i="1043"/>
  <c r="H46" i="1043"/>
  <c r="I17" i="1043"/>
  <c r="J17" i="1043" s="1"/>
  <c r="F25" i="1043"/>
  <c r="K11" i="1043"/>
  <c r="L14" i="1043" s="1"/>
  <c r="L17" i="1043"/>
  <c r="F20" i="1043"/>
  <c r="L21" i="1043"/>
  <c r="I23" i="1043"/>
  <c r="B45" i="1043"/>
  <c r="F19" i="1043"/>
  <c r="D13" i="1043"/>
  <c r="C56" i="1043"/>
  <c r="B58" i="1043"/>
  <c r="B57" i="1043"/>
  <c r="I25" i="1043"/>
  <c r="F27" i="1043" s="1"/>
  <c r="N23" i="1043"/>
  <c r="L22" i="1043"/>
  <c r="N21" i="1043"/>
  <c r="N24" i="1043"/>
  <c r="L23" i="1043"/>
  <c r="I22" i="1043"/>
  <c r="L24" i="1043"/>
  <c r="I20" i="1043"/>
  <c r="I24" i="1043"/>
  <c r="F26" i="1043" s="1"/>
  <c r="B24" i="1042"/>
  <c r="F24" i="1042" s="1"/>
  <c r="F25" i="1042"/>
  <c r="D25" i="1042"/>
  <c r="N22" i="1042"/>
  <c r="I20" i="1042" s="1"/>
  <c r="I24" i="1042"/>
  <c r="F26" i="1042" s="1"/>
  <c r="H45" i="1042"/>
  <c r="H48" i="1042" s="1"/>
  <c r="J20" i="1042"/>
  <c r="I21" i="1042"/>
  <c r="I23" i="1042"/>
  <c r="F71" i="1042"/>
  <c r="B71" i="1042"/>
  <c r="J64" i="1042"/>
  <c r="D64" i="1042"/>
  <c r="M64" i="1042"/>
  <c r="I64" i="1042"/>
  <c r="C64" i="1042"/>
  <c r="L64" i="1042"/>
  <c r="B64" i="1042"/>
  <c r="F3" i="1042"/>
  <c r="M4" i="1042"/>
  <c r="D3" i="1042"/>
  <c r="D71" i="1042"/>
  <c r="C71" i="1042"/>
  <c r="E64" i="1042"/>
  <c r="D37" i="1042"/>
  <c r="G37" i="1042" s="1"/>
  <c r="D38" i="1042"/>
  <c r="G38" i="1042" s="1"/>
  <c r="I25" i="1042"/>
  <c r="F27" i="1042" s="1"/>
  <c r="N23" i="1042"/>
  <c r="L22" i="1042"/>
  <c r="N21" i="1042"/>
  <c r="L14" i="1042"/>
  <c r="N24" i="1042"/>
  <c r="L23" i="1042"/>
  <c r="I22" i="1042"/>
  <c r="L21" i="1042"/>
  <c r="M1" i="1042"/>
  <c r="D13" i="1042"/>
  <c r="G13" i="1042"/>
  <c r="C13" i="1042"/>
  <c r="B45" i="1042"/>
  <c r="B25" i="1042"/>
  <c r="C56" i="1042"/>
  <c r="B58" i="1042"/>
  <c r="B57" i="1042"/>
  <c r="L17" i="1042"/>
  <c r="F20" i="1042"/>
  <c r="G37" i="1041"/>
  <c r="F19" i="1041"/>
  <c r="F20" i="1041"/>
  <c r="M1" i="1041"/>
  <c r="L17" i="1041"/>
  <c r="I25" i="1041"/>
  <c r="F27" i="1041" s="1"/>
  <c r="N23" i="1041"/>
  <c r="L22" i="1041"/>
  <c r="N21" i="1041"/>
  <c r="N24" i="1041"/>
  <c r="L23" i="1041"/>
  <c r="I22" i="1041"/>
  <c r="L21" i="1041"/>
  <c r="L24" i="1041"/>
  <c r="I23" i="1041"/>
  <c r="I21" i="1041"/>
  <c r="J20" i="1041"/>
  <c r="I24" i="1041"/>
  <c r="F26" i="1041" s="1"/>
  <c r="C56" i="1041"/>
  <c r="B58" i="1041"/>
  <c r="B57" i="1041"/>
  <c r="K11" i="1041"/>
  <c r="L14" i="1041" s="1"/>
  <c r="F25" i="1041"/>
  <c r="D25" i="1041"/>
  <c r="B45" i="1041"/>
  <c r="N22" i="1041"/>
  <c r="I20" i="1041" s="1"/>
  <c r="D13" i="1041"/>
  <c r="G13" i="1041"/>
  <c r="C13" i="1041"/>
  <c r="H45" i="1041"/>
  <c r="D24" i="1041"/>
  <c r="B13" i="1040"/>
  <c r="C13" i="1040"/>
  <c r="C25" i="1040"/>
  <c r="F25" i="1040" s="1"/>
  <c r="M1" i="1040"/>
  <c r="J20" i="1040"/>
  <c r="I21" i="1040"/>
  <c r="I23" i="1040"/>
  <c r="D37" i="1040"/>
  <c r="G37" i="1040" s="1"/>
  <c r="D38" i="1040"/>
  <c r="G38" i="1040" s="1"/>
  <c r="I25" i="1040"/>
  <c r="F27" i="1040" s="1"/>
  <c r="N23" i="1040"/>
  <c r="L22" i="1040"/>
  <c r="N21" i="1040"/>
  <c r="N24" i="1040"/>
  <c r="L23" i="1040"/>
  <c r="I22" i="1040"/>
  <c r="L21" i="1040"/>
  <c r="H45" i="1040"/>
  <c r="C56" i="1040"/>
  <c r="B58" i="1040"/>
  <c r="B57" i="1040"/>
  <c r="K11" i="1040"/>
  <c r="L14" i="1040" s="1"/>
  <c r="D13" i="1040"/>
  <c r="B45" i="1040"/>
  <c r="N22" i="1040"/>
  <c r="I20" i="1040" s="1"/>
  <c r="I24" i="1040"/>
  <c r="F26" i="1040" s="1"/>
  <c r="F13" i="1040"/>
  <c r="L17" i="1040"/>
  <c r="F20" i="1040"/>
  <c r="D24" i="1040"/>
  <c r="G37" i="1039"/>
  <c r="D24" i="1039"/>
  <c r="D25" i="1039"/>
  <c r="M1" i="1039"/>
  <c r="I45" i="1039"/>
  <c r="H47" i="1039"/>
  <c r="H48" i="1039"/>
  <c r="H46" i="1039"/>
  <c r="C56" i="1039"/>
  <c r="B58" i="1039"/>
  <c r="B57" i="1039"/>
  <c r="I17" i="1039"/>
  <c r="J17" i="1039" s="1"/>
  <c r="J20" i="1039"/>
  <c r="I21" i="1039"/>
  <c r="I22" i="1039"/>
  <c r="L24" i="1039"/>
  <c r="B45" i="1039"/>
  <c r="I24" i="1039"/>
  <c r="F26" i="1039" s="1"/>
  <c r="K11" i="1039"/>
  <c r="L14" i="1039" s="1"/>
  <c r="L17" i="1039"/>
  <c r="F20" i="1039"/>
  <c r="L21" i="1039"/>
  <c r="N22" i="1039"/>
  <c r="I20" i="1039" s="1"/>
  <c r="N24" i="1039"/>
  <c r="D13" i="1039"/>
  <c r="I25" i="1039"/>
  <c r="F27" i="1039" s="1"/>
  <c r="N23" i="1039"/>
  <c r="L22" i="1039"/>
  <c r="N21" i="1039"/>
  <c r="L23" i="1039"/>
  <c r="F19" i="1039"/>
  <c r="I23" i="1039"/>
  <c r="F26" i="1038"/>
  <c r="G38" i="1038"/>
  <c r="F19" i="1038"/>
  <c r="F71" i="1038"/>
  <c r="B71" i="1038"/>
  <c r="J64" i="1038"/>
  <c r="D64" i="1038"/>
  <c r="E71" i="1038"/>
  <c r="M64" i="1038"/>
  <c r="I64" i="1038"/>
  <c r="C64" i="1038"/>
  <c r="A16" i="1038"/>
  <c r="D71" i="1038"/>
  <c r="L64" i="1038"/>
  <c r="F64" i="1038"/>
  <c r="B64" i="1038"/>
  <c r="C71" i="1038"/>
  <c r="I25" i="1038"/>
  <c r="F27" i="1038" s="1"/>
  <c r="N23" i="1038"/>
  <c r="L22" i="1038"/>
  <c r="N21" i="1038"/>
  <c r="N24" i="1038"/>
  <c r="L23" i="1038"/>
  <c r="I22" i="1038"/>
  <c r="L21" i="1038"/>
  <c r="L24" i="1038"/>
  <c r="I23" i="1038"/>
  <c r="M1" i="1038"/>
  <c r="D3" i="1038"/>
  <c r="M4" i="1038"/>
  <c r="L17" i="1038"/>
  <c r="F20" i="1038"/>
  <c r="F25" i="1038"/>
  <c r="D25" i="1038"/>
  <c r="B45" i="1038"/>
  <c r="B57" i="1038"/>
  <c r="F3" i="1038"/>
  <c r="K11" i="1038"/>
  <c r="L14" i="1038" s="1"/>
  <c r="N22" i="1038"/>
  <c r="I20" i="1038" s="1"/>
  <c r="D13" i="1038"/>
  <c r="G13" i="1038"/>
  <c r="C13" i="1038"/>
  <c r="H45" i="1038"/>
  <c r="E64" i="1038"/>
  <c r="J20" i="1038"/>
  <c r="I21" i="1038"/>
  <c r="K64" i="1038"/>
  <c r="D24" i="1038"/>
  <c r="G37" i="1037"/>
  <c r="D38" i="1037"/>
  <c r="G38" i="1037" s="1"/>
  <c r="B13" i="1037"/>
  <c r="G13" i="1037"/>
  <c r="B24" i="1037"/>
  <c r="F24" i="1037" s="1"/>
  <c r="C25" i="1037"/>
  <c r="D25" i="1037" s="1"/>
  <c r="J20" i="1037"/>
  <c r="I22" i="1037"/>
  <c r="I21" i="1037"/>
  <c r="I45" i="1037"/>
  <c r="H47" i="1037"/>
  <c r="H48" i="1037"/>
  <c r="H46" i="1037"/>
  <c r="I17" i="1037"/>
  <c r="J17" i="1037" s="1"/>
  <c r="F25" i="1037"/>
  <c r="K11" i="1037"/>
  <c r="L17" i="1037"/>
  <c r="F20" i="1037"/>
  <c r="L21" i="1037"/>
  <c r="N22" i="1037"/>
  <c r="I20" i="1037" s="1"/>
  <c r="D24" i="1037"/>
  <c r="B45" i="1037"/>
  <c r="I23" i="1037"/>
  <c r="I24" i="1037"/>
  <c r="F26" i="1037" s="1"/>
  <c r="D13" i="1037"/>
  <c r="I25" i="1037"/>
  <c r="F27" i="1037" s="1"/>
  <c r="N23" i="1037"/>
  <c r="L22" i="1037"/>
  <c r="N21" i="1037"/>
  <c r="L14" i="1037"/>
  <c r="N24" i="1037"/>
  <c r="L23" i="1037"/>
  <c r="L24" i="1037"/>
  <c r="D20" i="1036"/>
  <c r="F20" i="1036" s="1"/>
  <c r="C25" i="1036"/>
  <c r="F25" i="1036" s="1"/>
  <c r="M1" i="1036"/>
  <c r="I25" i="1036"/>
  <c r="F27" i="1036" s="1"/>
  <c r="N23" i="1036"/>
  <c r="L22" i="1036"/>
  <c r="N21" i="1036"/>
  <c r="N24" i="1036"/>
  <c r="L23" i="1036"/>
  <c r="I22" i="1036"/>
  <c r="L24" i="1036"/>
  <c r="I23" i="1036"/>
  <c r="I17" i="1036"/>
  <c r="J17" i="1036" s="1"/>
  <c r="J20" i="1036"/>
  <c r="I21" i="1036"/>
  <c r="B45" i="1036"/>
  <c r="N22" i="1036"/>
  <c r="I20" i="1036" s="1"/>
  <c r="K11" i="1036"/>
  <c r="L17" i="1036"/>
  <c r="L21" i="1036"/>
  <c r="I24" i="1036"/>
  <c r="F26" i="1036" s="1"/>
  <c r="D13" i="1036"/>
  <c r="H45" i="1036"/>
  <c r="F19" i="1036"/>
  <c r="D25" i="1036"/>
  <c r="D24" i="1036"/>
  <c r="D37" i="1035"/>
  <c r="G37" i="1035" s="1"/>
  <c r="F20" i="1035"/>
  <c r="B24" i="1035"/>
  <c r="F24" i="1035" s="1"/>
  <c r="C25" i="1035"/>
  <c r="K11" i="1035"/>
  <c r="C45" i="1035"/>
  <c r="B52" i="1035"/>
  <c r="B48" i="1035"/>
  <c r="B46" i="1035"/>
  <c r="B47" i="1035"/>
  <c r="C56" i="1035"/>
  <c r="B58" i="1035"/>
  <c r="B57" i="1035"/>
  <c r="L17" i="1035"/>
  <c r="N22" i="1035"/>
  <c r="I20" i="1035" s="1"/>
  <c r="I24" i="1035"/>
  <c r="F26" i="1035" s="1"/>
  <c r="I25" i="1035"/>
  <c r="F27" i="1035" s="1"/>
  <c r="N23" i="1035"/>
  <c r="L22" i="1035"/>
  <c r="N21" i="1035"/>
  <c r="L14" i="1035"/>
  <c r="N24" i="1035"/>
  <c r="L23" i="1035"/>
  <c r="I22" i="1035"/>
  <c r="L21" i="1035"/>
  <c r="M1" i="1035"/>
  <c r="J20" i="1035"/>
  <c r="I21" i="1035"/>
  <c r="I23" i="1035"/>
  <c r="L24" i="1035"/>
  <c r="D13" i="1035"/>
  <c r="G13" i="1035"/>
  <c r="H45" i="1035"/>
  <c r="D38" i="1034"/>
  <c r="G38" i="1034" s="1"/>
  <c r="F20" i="1034"/>
  <c r="F19" i="1034"/>
  <c r="B25" i="1034"/>
  <c r="C56" i="1034"/>
  <c r="B58" i="1034"/>
  <c r="B57" i="1034"/>
  <c r="D24" i="1034"/>
  <c r="D13" i="1034"/>
  <c r="L17" i="1034"/>
  <c r="N22" i="1034"/>
  <c r="I20" i="1034" s="1"/>
  <c r="D25" i="1034"/>
  <c r="I25" i="1034"/>
  <c r="F27" i="1034" s="1"/>
  <c r="N23" i="1034"/>
  <c r="L22" i="1034"/>
  <c r="N21" i="1034"/>
  <c r="K11" i="1034"/>
  <c r="L14" i="1034" s="1"/>
  <c r="N24" i="1034"/>
  <c r="L23" i="1034"/>
  <c r="I22" i="1034"/>
  <c r="L21" i="1034"/>
  <c r="H45" i="1034"/>
  <c r="B45" i="1034"/>
  <c r="M1" i="1034"/>
  <c r="C13" i="1034"/>
  <c r="J20" i="1034"/>
  <c r="I21" i="1034"/>
  <c r="I23" i="1034"/>
  <c r="L24" i="1034"/>
  <c r="F143" i="1033"/>
  <c r="E143" i="1033"/>
  <c r="D143" i="1033"/>
  <c r="C143" i="1033"/>
  <c r="D20" i="1033" s="1"/>
  <c r="B143" i="1033"/>
  <c r="B142" i="1033"/>
  <c r="F137" i="1033"/>
  <c r="E137" i="1033"/>
  <c r="D137" i="1033"/>
  <c r="C137" i="1033"/>
  <c r="B137" i="1033"/>
  <c r="F103" i="1033"/>
  <c r="E103" i="1033"/>
  <c r="D103" i="1033"/>
  <c r="C103" i="1033"/>
  <c r="B103" i="1033"/>
  <c r="Y94" i="1033"/>
  <c r="X94" i="1033"/>
  <c r="W94" i="1033"/>
  <c r="V94" i="1033"/>
  <c r="U94" i="1033"/>
  <c r="T94" i="1033"/>
  <c r="S94" i="1033"/>
  <c r="R94" i="1033"/>
  <c r="Q94" i="1033"/>
  <c r="P94" i="1033"/>
  <c r="O94" i="1033"/>
  <c r="N94" i="1033"/>
  <c r="M94" i="1033"/>
  <c r="L94" i="1033"/>
  <c r="K94" i="1033"/>
  <c r="J94" i="1033"/>
  <c r="I94" i="1033"/>
  <c r="H94" i="1033"/>
  <c r="G94" i="1033"/>
  <c r="F94" i="1033"/>
  <c r="E94" i="1033"/>
  <c r="D94" i="1033"/>
  <c r="C94" i="1033"/>
  <c r="B94" i="1033"/>
  <c r="E39" i="1033"/>
  <c r="C39" i="1033"/>
  <c r="D39" i="1033" s="1"/>
  <c r="G39" i="1033" s="1"/>
  <c r="B39" i="1033"/>
  <c r="E38" i="1033"/>
  <c r="C38" i="1033"/>
  <c r="B38" i="1033"/>
  <c r="E37" i="1033"/>
  <c r="C37" i="1033"/>
  <c r="B37" i="1033"/>
  <c r="E36" i="1033"/>
  <c r="C36" i="1033"/>
  <c r="B36" i="1033"/>
  <c r="D34" i="1033"/>
  <c r="B34" i="1033"/>
  <c r="E13" i="1033" s="1"/>
  <c r="D33" i="1033"/>
  <c r="D32" i="1033"/>
  <c r="B32" i="1033"/>
  <c r="F32" i="1033" s="1"/>
  <c r="D31" i="1033"/>
  <c r="B31" i="1033"/>
  <c r="F31" i="1033" s="1"/>
  <c r="D30" i="1033"/>
  <c r="B30" i="1033"/>
  <c r="F30" i="1033" s="1"/>
  <c r="C27" i="1033"/>
  <c r="D27" i="1033" s="1"/>
  <c r="B27" i="1033"/>
  <c r="C26" i="1033"/>
  <c r="D26" i="1033" s="1"/>
  <c r="B26" i="1033"/>
  <c r="B22" i="1033"/>
  <c r="F22" i="1033" s="1"/>
  <c r="D21" i="1033"/>
  <c r="B21" i="1033"/>
  <c r="F21" i="1033" s="1"/>
  <c r="B20" i="1033"/>
  <c r="D19" i="1033"/>
  <c r="B19" i="1033"/>
  <c r="K15" i="1033"/>
  <c r="N14" i="1033"/>
  <c r="B13" i="1033"/>
  <c r="M11" i="1033"/>
  <c r="M10" i="1033"/>
  <c r="F10" i="1033"/>
  <c r="E10" i="1033"/>
  <c r="D10" i="1033"/>
  <c r="C10" i="1033"/>
  <c r="B10" i="1033"/>
  <c r="M9" i="1033"/>
  <c r="D4" i="1033"/>
  <c r="E4" i="1033" s="1"/>
  <c r="N2" i="1033"/>
  <c r="N1" i="1033"/>
  <c r="L17" i="1033" s="1"/>
  <c r="K1" i="1033"/>
  <c r="D1" i="1033"/>
  <c r="C1" i="1033"/>
  <c r="F143" i="1032"/>
  <c r="E143" i="1032"/>
  <c r="D143" i="1032"/>
  <c r="C143" i="1032"/>
  <c r="B143" i="1032"/>
  <c r="B142" i="1032"/>
  <c r="F137" i="1032"/>
  <c r="E137" i="1032"/>
  <c r="D137" i="1032"/>
  <c r="C137" i="1032"/>
  <c r="B137" i="1032"/>
  <c r="F103" i="1032"/>
  <c r="E103" i="1032"/>
  <c r="D103" i="1032"/>
  <c r="C103" i="1032"/>
  <c r="B103" i="1032"/>
  <c r="Y94" i="1032"/>
  <c r="X94" i="1032"/>
  <c r="W94" i="1032"/>
  <c r="V94" i="1032"/>
  <c r="U94" i="1032"/>
  <c r="T94" i="1032"/>
  <c r="S94" i="1032"/>
  <c r="R94" i="1032"/>
  <c r="Q94" i="1032"/>
  <c r="P94" i="1032"/>
  <c r="O94" i="1032"/>
  <c r="N94" i="1032"/>
  <c r="M94" i="1032"/>
  <c r="L94" i="1032"/>
  <c r="K94" i="1032"/>
  <c r="J94" i="1032"/>
  <c r="I94" i="1032"/>
  <c r="H94" i="1032"/>
  <c r="G94" i="1032"/>
  <c r="F94" i="1032"/>
  <c r="E94" i="1032"/>
  <c r="D94" i="1032"/>
  <c r="C94" i="1032"/>
  <c r="B94" i="1032"/>
  <c r="E39" i="1032"/>
  <c r="C39" i="1032"/>
  <c r="B39" i="1032"/>
  <c r="E38" i="1032"/>
  <c r="C38" i="1032"/>
  <c r="D38" i="1032" s="1"/>
  <c r="G38" i="1032" s="1"/>
  <c r="B38" i="1032"/>
  <c r="E37" i="1032"/>
  <c r="C37" i="1032"/>
  <c r="B37" i="1032"/>
  <c r="E36" i="1032"/>
  <c r="C36" i="1032"/>
  <c r="D36" i="1032" s="1"/>
  <c r="G36" i="1032" s="1"/>
  <c r="B36" i="1032"/>
  <c r="D34" i="1032"/>
  <c r="B34" i="1032"/>
  <c r="B13" i="1032" s="1"/>
  <c r="D33" i="1032"/>
  <c r="D32" i="1032"/>
  <c r="B32" i="1032"/>
  <c r="F32" i="1032" s="1"/>
  <c r="D31" i="1032"/>
  <c r="B31" i="1032"/>
  <c r="F31" i="1032" s="1"/>
  <c r="D30" i="1032"/>
  <c r="B30" i="1032"/>
  <c r="F30" i="1032" s="1"/>
  <c r="C27" i="1032"/>
  <c r="D27" i="1032" s="1"/>
  <c r="B27" i="1032"/>
  <c r="C26" i="1032"/>
  <c r="D26" i="1032" s="1"/>
  <c r="B26" i="1032"/>
  <c r="B22" i="1032"/>
  <c r="F22" i="1032" s="1"/>
  <c r="D21" i="1032"/>
  <c r="F21" i="1032" s="1"/>
  <c r="B21" i="1032"/>
  <c r="B20" i="1032"/>
  <c r="D19" i="1032"/>
  <c r="B19" i="1032"/>
  <c r="F19" i="1032" s="1"/>
  <c r="K15" i="1032"/>
  <c r="N14" i="1032"/>
  <c r="F13" i="1032"/>
  <c r="E13" i="1032"/>
  <c r="M11" i="1032"/>
  <c r="M10" i="1032"/>
  <c r="F10" i="1032"/>
  <c r="E10" i="1032"/>
  <c r="D10" i="1032"/>
  <c r="C10" i="1032"/>
  <c r="B10" i="1032"/>
  <c r="M9" i="1032"/>
  <c r="D4" i="1032"/>
  <c r="E4" i="1032" s="1"/>
  <c r="N2" i="1032"/>
  <c r="N1" i="1032"/>
  <c r="I17" i="1032" s="1"/>
  <c r="J17" i="1032" s="1"/>
  <c r="K1" i="1032"/>
  <c r="D1" i="1032"/>
  <c r="C1" i="1032"/>
  <c r="F143" i="1031"/>
  <c r="E143" i="1031"/>
  <c r="D143" i="1031"/>
  <c r="C143" i="1031"/>
  <c r="B143" i="1031"/>
  <c r="B142" i="1031"/>
  <c r="F137" i="1031"/>
  <c r="E137" i="1031"/>
  <c r="D137" i="1031"/>
  <c r="C137" i="1031"/>
  <c r="B137" i="1031"/>
  <c r="F103" i="1031"/>
  <c r="E103" i="1031"/>
  <c r="D103" i="1031"/>
  <c r="C103" i="1031"/>
  <c r="B103" i="1031"/>
  <c r="Y94" i="1031"/>
  <c r="X94" i="1031"/>
  <c r="W94" i="1031"/>
  <c r="V94" i="1031"/>
  <c r="U94" i="1031"/>
  <c r="T94" i="1031"/>
  <c r="S94" i="1031"/>
  <c r="R94" i="1031"/>
  <c r="Q94" i="1031"/>
  <c r="P94" i="1031"/>
  <c r="O94" i="1031"/>
  <c r="N94" i="1031"/>
  <c r="M94" i="1031"/>
  <c r="L94" i="1031"/>
  <c r="K94" i="1031"/>
  <c r="J94" i="1031"/>
  <c r="I94" i="1031"/>
  <c r="H94" i="1031"/>
  <c r="G94" i="1031"/>
  <c r="F94" i="1031"/>
  <c r="E94" i="1031"/>
  <c r="D94" i="1031"/>
  <c r="C94" i="1031"/>
  <c r="B94" i="1031"/>
  <c r="E39" i="1031"/>
  <c r="C39" i="1031"/>
  <c r="D39" i="1031" s="1"/>
  <c r="G39" i="1031" s="1"/>
  <c r="B39" i="1031"/>
  <c r="E38" i="1031"/>
  <c r="C38" i="1031"/>
  <c r="B38" i="1031"/>
  <c r="E37" i="1031"/>
  <c r="C37" i="1031"/>
  <c r="D37" i="1031" s="1"/>
  <c r="B37" i="1031"/>
  <c r="E36" i="1031"/>
  <c r="C36" i="1031"/>
  <c r="B36" i="1031"/>
  <c r="D34" i="1031"/>
  <c r="B34" i="1031"/>
  <c r="F13" i="1031" s="1"/>
  <c r="D33" i="1031"/>
  <c r="D32" i="1031"/>
  <c r="B32" i="1031"/>
  <c r="F32" i="1031" s="1"/>
  <c r="D31" i="1031"/>
  <c r="B31" i="1031"/>
  <c r="F31" i="1031" s="1"/>
  <c r="D30" i="1031"/>
  <c r="B30" i="1031"/>
  <c r="F30" i="1031" s="1"/>
  <c r="C27" i="1031"/>
  <c r="D27" i="1031" s="1"/>
  <c r="B27" i="1031"/>
  <c r="C26" i="1031"/>
  <c r="D26" i="1031" s="1"/>
  <c r="B26" i="1031"/>
  <c r="C25" i="1031"/>
  <c r="B22" i="1031"/>
  <c r="F22" i="1031" s="1"/>
  <c r="D21" i="1031"/>
  <c r="B21" i="1031"/>
  <c r="F21" i="1031" s="1"/>
  <c r="B20" i="1031"/>
  <c r="D19" i="1031"/>
  <c r="B19" i="1031"/>
  <c r="K15" i="1031"/>
  <c r="N14" i="1031"/>
  <c r="B13" i="1031"/>
  <c r="M11" i="1031"/>
  <c r="K11" i="1031"/>
  <c r="M10" i="1031"/>
  <c r="F10" i="1031"/>
  <c r="E10" i="1031"/>
  <c r="D10" i="1031"/>
  <c r="C10" i="1031"/>
  <c r="B10" i="1031"/>
  <c r="M9" i="1031"/>
  <c r="D4" i="1031"/>
  <c r="E4" i="1031" s="1"/>
  <c r="N2" i="1031"/>
  <c r="N1" i="1031"/>
  <c r="I17" i="1031" s="1"/>
  <c r="J17" i="1031" s="1"/>
  <c r="K1" i="1031"/>
  <c r="D1" i="1031"/>
  <c r="C1" i="1031"/>
  <c r="J20" i="1031" s="1"/>
  <c r="F143" i="1030"/>
  <c r="E143" i="1030"/>
  <c r="D143" i="1030"/>
  <c r="C143" i="1030"/>
  <c r="B143" i="1030"/>
  <c r="B142" i="1030"/>
  <c r="F137" i="1030"/>
  <c r="E137" i="1030"/>
  <c r="D137" i="1030"/>
  <c r="C137" i="1030"/>
  <c r="B137" i="1030"/>
  <c r="F103" i="1030"/>
  <c r="E103" i="1030"/>
  <c r="D103" i="1030"/>
  <c r="C103" i="1030"/>
  <c r="B103" i="1030"/>
  <c r="Y94" i="1030"/>
  <c r="X94" i="1030"/>
  <c r="W94" i="1030"/>
  <c r="V94" i="1030"/>
  <c r="U94" i="1030"/>
  <c r="T94" i="1030"/>
  <c r="S94" i="1030"/>
  <c r="R94" i="1030"/>
  <c r="Q94" i="1030"/>
  <c r="P94" i="1030"/>
  <c r="O94" i="1030"/>
  <c r="N94" i="1030"/>
  <c r="M94" i="1030"/>
  <c r="L94" i="1030"/>
  <c r="K94" i="1030"/>
  <c r="J94" i="1030"/>
  <c r="I94" i="1030"/>
  <c r="H94" i="1030"/>
  <c r="G94" i="1030"/>
  <c r="F94" i="1030"/>
  <c r="E94" i="1030"/>
  <c r="D94" i="1030"/>
  <c r="C94" i="1030"/>
  <c r="B94" i="1030"/>
  <c r="C25" i="1030" s="1"/>
  <c r="E39" i="1030"/>
  <c r="C39" i="1030"/>
  <c r="B39" i="1030"/>
  <c r="E38" i="1030"/>
  <c r="C38" i="1030"/>
  <c r="D38" i="1030" s="1"/>
  <c r="G38" i="1030" s="1"/>
  <c r="B38" i="1030"/>
  <c r="E37" i="1030"/>
  <c r="C37" i="1030"/>
  <c r="B37" i="1030"/>
  <c r="D37" i="1030" s="1"/>
  <c r="E36" i="1030"/>
  <c r="C36" i="1030"/>
  <c r="D36" i="1030" s="1"/>
  <c r="G36" i="1030" s="1"/>
  <c r="B36" i="1030"/>
  <c r="D34" i="1030"/>
  <c r="B34" i="1030"/>
  <c r="D13" i="1030" s="1"/>
  <c r="D33" i="1030"/>
  <c r="D32" i="1030"/>
  <c r="B32" i="1030"/>
  <c r="F32" i="1030" s="1"/>
  <c r="D31" i="1030"/>
  <c r="B31" i="1030"/>
  <c r="F31" i="1030" s="1"/>
  <c r="D30" i="1030"/>
  <c r="B30" i="1030"/>
  <c r="F30" i="1030" s="1"/>
  <c r="C27" i="1030"/>
  <c r="D27" i="1030" s="1"/>
  <c r="B27" i="1030"/>
  <c r="C26" i="1030"/>
  <c r="D26" i="1030" s="1"/>
  <c r="B26" i="1030"/>
  <c r="B22" i="1030"/>
  <c r="F22" i="1030" s="1"/>
  <c r="D21" i="1030"/>
  <c r="F21" i="1030" s="1"/>
  <c r="B21" i="1030"/>
  <c r="B20" i="1030"/>
  <c r="D19" i="1030"/>
  <c r="B19" i="1030"/>
  <c r="K15" i="1030"/>
  <c r="N14" i="1030"/>
  <c r="F13" i="1030"/>
  <c r="E13" i="1030"/>
  <c r="M11" i="1030"/>
  <c r="M10" i="1030"/>
  <c r="F10" i="1030"/>
  <c r="E10" i="1030"/>
  <c r="D10" i="1030"/>
  <c r="C10" i="1030"/>
  <c r="B10" i="1030"/>
  <c r="M9" i="1030"/>
  <c r="D4" i="1030"/>
  <c r="E4" i="1030" s="1"/>
  <c r="N2" i="1030"/>
  <c r="N1" i="1030"/>
  <c r="I17" i="1030" s="1"/>
  <c r="J17" i="1030" s="1"/>
  <c r="K1" i="1030"/>
  <c r="D1" i="1030"/>
  <c r="C1" i="1030"/>
  <c r="P94" i="982"/>
  <c r="Q94" i="982"/>
  <c r="F143" i="1029"/>
  <c r="E143" i="1029"/>
  <c r="D143" i="1029"/>
  <c r="C143" i="1029"/>
  <c r="B143" i="1029"/>
  <c r="B142" i="1029"/>
  <c r="F137" i="1029"/>
  <c r="E137" i="1029"/>
  <c r="D137" i="1029"/>
  <c r="C137" i="1029"/>
  <c r="B137" i="1029"/>
  <c r="F103" i="1029"/>
  <c r="C24" i="1029" s="1"/>
  <c r="E103" i="1029"/>
  <c r="D103" i="1029"/>
  <c r="C103" i="1029"/>
  <c r="B103" i="1029"/>
  <c r="Y94" i="1029"/>
  <c r="X94" i="1029"/>
  <c r="W94" i="1029"/>
  <c r="V94" i="1029"/>
  <c r="U94" i="1029"/>
  <c r="T94" i="1029"/>
  <c r="S94" i="1029"/>
  <c r="R94" i="1029"/>
  <c r="Q94" i="1029"/>
  <c r="P94" i="1029"/>
  <c r="O94" i="1029"/>
  <c r="N94" i="1029"/>
  <c r="M94" i="1029"/>
  <c r="L94" i="1029"/>
  <c r="K94" i="1029"/>
  <c r="J94" i="1029"/>
  <c r="I94" i="1029"/>
  <c r="H94" i="1029"/>
  <c r="G94" i="1029"/>
  <c r="F94" i="1029"/>
  <c r="E94" i="1029"/>
  <c r="D94" i="1029"/>
  <c r="C94" i="1029"/>
  <c r="B94" i="1029"/>
  <c r="C25" i="1029" s="1"/>
  <c r="E39" i="1029"/>
  <c r="C39" i="1029"/>
  <c r="B39" i="1029"/>
  <c r="D39" i="1029" s="1"/>
  <c r="G39" i="1029" s="1"/>
  <c r="E38" i="1029"/>
  <c r="C38" i="1029"/>
  <c r="B38" i="1029"/>
  <c r="D38" i="1029" s="1"/>
  <c r="E37" i="1029"/>
  <c r="C37" i="1029"/>
  <c r="D37" i="1029" s="1"/>
  <c r="G37" i="1029" s="1"/>
  <c r="B37" i="1029"/>
  <c r="E36" i="1029"/>
  <c r="C36" i="1029"/>
  <c r="B36" i="1029"/>
  <c r="D34" i="1029"/>
  <c r="B34" i="1029"/>
  <c r="D13" i="1029" s="1"/>
  <c r="D33" i="1029"/>
  <c r="D32" i="1029"/>
  <c r="B32" i="1029"/>
  <c r="F32" i="1029" s="1"/>
  <c r="D31" i="1029"/>
  <c r="B31" i="1029"/>
  <c r="F31" i="1029" s="1"/>
  <c r="D30" i="1029"/>
  <c r="B30" i="1029"/>
  <c r="F30" i="1029" s="1"/>
  <c r="C27" i="1029"/>
  <c r="D27" i="1029" s="1"/>
  <c r="B27" i="1029"/>
  <c r="C26" i="1029"/>
  <c r="D26" i="1029" s="1"/>
  <c r="B26" i="1029"/>
  <c r="B22" i="1029"/>
  <c r="F22" i="1029" s="1"/>
  <c r="D21" i="1029"/>
  <c r="B21" i="1029"/>
  <c r="F21" i="1029" s="1"/>
  <c r="B20" i="1029"/>
  <c r="D19" i="1029"/>
  <c r="B19" i="1029"/>
  <c r="K15" i="1029"/>
  <c r="N14" i="1029"/>
  <c r="E13" i="1029"/>
  <c r="M11" i="1029"/>
  <c r="M10" i="1029"/>
  <c r="F10" i="1029"/>
  <c r="E10" i="1029"/>
  <c r="D10" i="1029"/>
  <c r="C10" i="1029"/>
  <c r="B10" i="1029"/>
  <c r="M9" i="1029"/>
  <c r="D4" i="1029"/>
  <c r="E4" i="1029" s="1"/>
  <c r="N2" i="1029"/>
  <c r="N1" i="1029"/>
  <c r="I17" i="1029" s="1"/>
  <c r="J17" i="1029" s="1"/>
  <c r="K1" i="1029"/>
  <c r="D1" i="1029"/>
  <c r="C1" i="1029"/>
  <c r="F143" i="1028"/>
  <c r="E143" i="1028"/>
  <c r="D143" i="1028"/>
  <c r="C143" i="1028"/>
  <c r="B143" i="1028"/>
  <c r="B142" i="1028"/>
  <c r="F137" i="1028"/>
  <c r="E137" i="1028"/>
  <c r="D137" i="1028"/>
  <c r="C137" i="1028"/>
  <c r="B137" i="1028"/>
  <c r="F103" i="1028"/>
  <c r="E103" i="1028"/>
  <c r="D103" i="1028"/>
  <c r="C103" i="1028"/>
  <c r="C24" i="1028" s="1"/>
  <c r="B103" i="1028"/>
  <c r="Y94" i="1028"/>
  <c r="X94" i="1028"/>
  <c r="W94" i="1028"/>
  <c r="V94" i="1028"/>
  <c r="U94" i="1028"/>
  <c r="T94" i="1028"/>
  <c r="S94" i="1028"/>
  <c r="R94" i="1028"/>
  <c r="Q94" i="1028"/>
  <c r="P94" i="1028"/>
  <c r="O94" i="1028"/>
  <c r="N94" i="1028"/>
  <c r="M94" i="1028"/>
  <c r="L94" i="1028"/>
  <c r="K94" i="1028"/>
  <c r="J94" i="1028"/>
  <c r="I94" i="1028"/>
  <c r="H94" i="1028"/>
  <c r="G94" i="1028"/>
  <c r="F94" i="1028"/>
  <c r="E94" i="1028"/>
  <c r="D94" i="1028"/>
  <c r="C94" i="1028"/>
  <c r="B94" i="1028"/>
  <c r="E39" i="1028"/>
  <c r="C39" i="1028"/>
  <c r="B39" i="1028"/>
  <c r="E38" i="1028"/>
  <c r="C38" i="1028"/>
  <c r="D38" i="1028" s="1"/>
  <c r="B38" i="1028"/>
  <c r="E37" i="1028"/>
  <c r="C37" i="1028"/>
  <c r="B37" i="1028"/>
  <c r="D37" i="1028" s="1"/>
  <c r="E36" i="1028"/>
  <c r="C36" i="1028"/>
  <c r="D36" i="1028" s="1"/>
  <c r="G36" i="1028" s="1"/>
  <c r="B36" i="1028"/>
  <c r="D34" i="1028"/>
  <c r="B34" i="1028"/>
  <c r="G13" i="1028" s="1"/>
  <c r="D33" i="1028"/>
  <c r="D32" i="1028"/>
  <c r="B32" i="1028"/>
  <c r="F32" i="1028" s="1"/>
  <c r="F31" i="1028"/>
  <c r="D31" i="1028"/>
  <c r="B31" i="1028"/>
  <c r="D30" i="1028"/>
  <c r="B30" i="1028"/>
  <c r="F30" i="1028" s="1"/>
  <c r="C27" i="1028"/>
  <c r="D27" i="1028" s="1"/>
  <c r="B27" i="1028"/>
  <c r="C26" i="1028"/>
  <c r="D26" i="1028" s="1"/>
  <c r="B26" i="1028"/>
  <c r="B22" i="1028"/>
  <c r="F22" i="1028" s="1"/>
  <c r="D21" i="1028"/>
  <c r="F21" i="1028" s="1"/>
  <c r="B21" i="1028"/>
  <c r="B20" i="1028"/>
  <c r="D19" i="1028"/>
  <c r="B19" i="1028"/>
  <c r="F19" i="1028" s="1"/>
  <c r="K15" i="1028"/>
  <c r="N14" i="1028"/>
  <c r="F13" i="1028"/>
  <c r="E13" i="1028"/>
  <c r="C13" i="1028"/>
  <c r="M11" i="1028"/>
  <c r="M10" i="1028"/>
  <c r="F10" i="1028"/>
  <c r="E10" i="1028"/>
  <c r="D10" i="1028"/>
  <c r="C10" i="1028"/>
  <c r="B10" i="1028"/>
  <c r="M9" i="1028"/>
  <c r="D4" i="1028"/>
  <c r="E4" i="1028" s="1"/>
  <c r="N2" i="1028"/>
  <c r="N1" i="1028"/>
  <c r="I17" i="1028" s="1"/>
  <c r="J17" i="1028" s="1"/>
  <c r="K1" i="1028"/>
  <c r="D1" i="1028"/>
  <c r="C1" i="1028"/>
  <c r="F143" i="1027"/>
  <c r="E143" i="1027"/>
  <c r="D143" i="1027"/>
  <c r="C143" i="1027"/>
  <c r="B143" i="1027"/>
  <c r="B142" i="1027"/>
  <c r="F137" i="1027"/>
  <c r="E137" i="1027"/>
  <c r="D137" i="1027"/>
  <c r="C137" i="1027"/>
  <c r="B137" i="1027"/>
  <c r="F103" i="1027"/>
  <c r="E103" i="1027"/>
  <c r="B24" i="1027" s="1"/>
  <c r="F24" i="1027" s="1"/>
  <c r="D103" i="1027"/>
  <c r="C103" i="1027"/>
  <c r="B103" i="1027"/>
  <c r="Y94" i="1027"/>
  <c r="X94" i="1027"/>
  <c r="W94" i="1027"/>
  <c r="V94" i="1027"/>
  <c r="U94" i="1027"/>
  <c r="T94" i="1027"/>
  <c r="S94" i="1027"/>
  <c r="R94" i="1027"/>
  <c r="Q94" i="1027"/>
  <c r="P94" i="1027"/>
  <c r="O94" i="1027"/>
  <c r="N94" i="1027"/>
  <c r="M94" i="1027"/>
  <c r="L94" i="1027"/>
  <c r="K94" i="1027"/>
  <c r="J94" i="1027"/>
  <c r="I94" i="1027"/>
  <c r="H94" i="1027"/>
  <c r="G94" i="1027"/>
  <c r="F94" i="1027"/>
  <c r="E94" i="1027"/>
  <c r="D94" i="1027"/>
  <c r="C94" i="1027"/>
  <c r="B94" i="1027"/>
  <c r="E39" i="1027"/>
  <c r="C39" i="1027"/>
  <c r="B39" i="1027"/>
  <c r="E38" i="1027"/>
  <c r="C38" i="1027"/>
  <c r="D38" i="1027" s="1"/>
  <c r="G38" i="1027" s="1"/>
  <c r="B38" i="1027"/>
  <c r="E37" i="1027"/>
  <c r="C37" i="1027"/>
  <c r="B37" i="1027"/>
  <c r="D37" i="1027" s="1"/>
  <c r="E36" i="1027"/>
  <c r="C36" i="1027"/>
  <c r="B36" i="1027"/>
  <c r="D34" i="1027"/>
  <c r="B34" i="1027"/>
  <c r="G13" i="1027" s="1"/>
  <c r="D33" i="1027"/>
  <c r="D32" i="1027"/>
  <c r="B32" i="1027"/>
  <c r="F32" i="1027" s="1"/>
  <c r="D31" i="1027"/>
  <c r="B31" i="1027"/>
  <c r="F31" i="1027" s="1"/>
  <c r="D30" i="1027"/>
  <c r="B30" i="1027"/>
  <c r="F30" i="1027" s="1"/>
  <c r="C27" i="1027"/>
  <c r="D27" i="1027" s="1"/>
  <c r="B27" i="1027"/>
  <c r="C26" i="1027"/>
  <c r="D26" i="1027" s="1"/>
  <c r="B26" i="1027"/>
  <c r="B22" i="1027"/>
  <c r="F22" i="1027" s="1"/>
  <c r="D21" i="1027"/>
  <c r="F21" i="1027" s="1"/>
  <c r="B21" i="1027"/>
  <c r="B20" i="1027"/>
  <c r="D19" i="1027"/>
  <c r="B19" i="1027"/>
  <c r="K15" i="1027"/>
  <c r="N14" i="1027"/>
  <c r="E13" i="1027"/>
  <c r="C13" i="1027"/>
  <c r="M11" i="1027"/>
  <c r="M10" i="1027"/>
  <c r="F10" i="1027"/>
  <c r="E10" i="1027"/>
  <c r="D10" i="1027"/>
  <c r="C10" i="1027"/>
  <c r="B10" i="1027"/>
  <c r="M9" i="1027"/>
  <c r="D4" i="1027"/>
  <c r="E4" i="1027" s="1"/>
  <c r="N2" i="1027"/>
  <c r="N1" i="1027"/>
  <c r="M1" i="1027" s="1"/>
  <c r="K1" i="1027"/>
  <c r="D1" i="1027"/>
  <c r="C1" i="1027"/>
  <c r="F143" i="1026"/>
  <c r="E143" i="1026"/>
  <c r="D143" i="1026"/>
  <c r="C143" i="1026"/>
  <c r="B143" i="1026"/>
  <c r="B142" i="1026"/>
  <c r="F137" i="1026"/>
  <c r="E137" i="1026"/>
  <c r="D137" i="1026"/>
  <c r="C137" i="1026"/>
  <c r="B137" i="1026"/>
  <c r="F103" i="1026"/>
  <c r="B24" i="1026" s="1"/>
  <c r="F24" i="1026" s="1"/>
  <c r="E103" i="1026"/>
  <c r="C24" i="1026" s="1"/>
  <c r="D103" i="1026"/>
  <c r="C103" i="1026"/>
  <c r="B103" i="1026"/>
  <c r="Y94" i="1026"/>
  <c r="X94" i="1026"/>
  <c r="W94" i="1026"/>
  <c r="V94" i="1026"/>
  <c r="U94" i="1026"/>
  <c r="T94" i="1026"/>
  <c r="S94" i="1026"/>
  <c r="R94" i="1026"/>
  <c r="Q94" i="1026"/>
  <c r="P94" i="1026"/>
  <c r="O94" i="1026"/>
  <c r="N94" i="1026"/>
  <c r="M94" i="1026"/>
  <c r="L94" i="1026"/>
  <c r="K94" i="1026"/>
  <c r="J94" i="1026"/>
  <c r="I94" i="1026"/>
  <c r="H94" i="1026"/>
  <c r="G94" i="1026"/>
  <c r="F94" i="1026"/>
  <c r="E94" i="1026"/>
  <c r="D94" i="1026"/>
  <c r="C94" i="1026"/>
  <c r="B94" i="1026"/>
  <c r="E39" i="1026"/>
  <c r="C39" i="1026"/>
  <c r="B39" i="1026"/>
  <c r="D39" i="1026" s="1"/>
  <c r="E38" i="1026"/>
  <c r="C38" i="1026"/>
  <c r="D38" i="1026" s="1"/>
  <c r="B38" i="1026"/>
  <c r="E37" i="1026"/>
  <c r="C37" i="1026"/>
  <c r="D37" i="1026" s="1"/>
  <c r="G37" i="1026" s="1"/>
  <c r="B37" i="1026"/>
  <c r="E36" i="1026"/>
  <c r="C36" i="1026"/>
  <c r="B36" i="1026"/>
  <c r="D34" i="1026"/>
  <c r="B34" i="1026"/>
  <c r="D33" i="1026"/>
  <c r="D32" i="1026"/>
  <c r="B32" i="1026"/>
  <c r="F32" i="1026" s="1"/>
  <c r="D31" i="1026"/>
  <c r="B31" i="1026"/>
  <c r="F31" i="1026" s="1"/>
  <c r="D30" i="1026"/>
  <c r="B30" i="1026"/>
  <c r="F30" i="1026" s="1"/>
  <c r="C27" i="1026"/>
  <c r="D27" i="1026" s="1"/>
  <c r="B27" i="1026"/>
  <c r="C26" i="1026"/>
  <c r="D26" i="1026" s="1"/>
  <c r="B26" i="1026"/>
  <c r="B22" i="1026"/>
  <c r="F22" i="1026" s="1"/>
  <c r="D21" i="1026"/>
  <c r="B21" i="1026"/>
  <c r="B20" i="1026"/>
  <c r="D19" i="1026"/>
  <c r="B19" i="1026"/>
  <c r="K15" i="1026"/>
  <c r="N14" i="1026"/>
  <c r="G13" i="1026"/>
  <c r="F13" i="1026"/>
  <c r="E13" i="1026"/>
  <c r="D13" i="1026"/>
  <c r="C13" i="1026"/>
  <c r="B13" i="1026"/>
  <c r="M11" i="1026"/>
  <c r="M10" i="1026"/>
  <c r="F10" i="1026"/>
  <c r="E10" i="1026"/>
  <c r="D10" i="1026"/>
  <c r="C10" i="1026"/>
  <c r="B10" i="1026"/>
  <c r="M9" i="1026"/>
  <c r="D4" i="1026"/>
  <c r="E4" i="1026" s="1"/>
  <c r="N2" i="1026"/>
  <c r="N1" i="1026"/>
  <c r="I17" i="1026" s="1"/>
  <c r="J17" i="1026" s="1"/>
  <c r="K1" i="1026"/>
  <c r="D1" i="1026"/>
  <c r="C1" i="1026"/>
  <c r="B1" i="1026" s="1"/>
  <c r="M4" i="1026" s="1"/>
  <c r="G69" i="1028"/>
  <c r="G69" i="1033"/>
  <c r="G69" i="1027"/>
  <c r="G69" i="1026"/>
  <c r="G69" i="1032"/>
  <c r="G69" i="1031"/>
  <c r="G69" i="1029"/>
  <c r="G69" i="1030"/>
  <c r="H99" i="1"/>
  <c r="H95" i="1"/>
  <c r="H56" i="1"/>
  <c r="H73" i="1"/>
  <c r="H40" i="1"/>
  <c r="H91" i="1"/>
  <c r="H64" i="1"/>
  <c r="H93" i="1"/>
  <c r="D36" i="1026" l="1"/>
  <c r="G39" i="1026"/>
  <c r="B25" i="1027"/>
  <c r="B45" i="1028"/>
  <c r="B1" i="1028"/>
  <c r="M4" i="1028" s="1"/>
  <c r="B56" i="1029"/>
  <c r="C24" i="1030"/>
  <c r="D20" i="1030"/>
  <c r="B24" i="1032"/>
  <c r="F24" i="1032" s="1"/>
  <c r="D20" i="1032"/>
  <c r="D37" i="1033"/>
  <c r="B58" i="1038"/>
  <c r="B69" i="1055"/>
  <c r="G68" i="1062"/>
  <c r="D59" i="1063"/>
  <c r="B13" i="1027"/>
  <c r="B56" i="1028"/>
  <c r="B24" i="1028"/>
  <c r="F24" i="1028" s="1"/>
  <c r="G38" i="1028"/>
  <c r="G38" i="1029"/>
  <c r="I24" i="1030"/>
  <c r="B1" i="1030"/>
  <c r="B25" i="1031"/>
  <c r="H45" i="1032"/>
  <c r="B1" i="1032"/>
  <c r="B57" i="1044"/>
  <c r="G68" i="1071"/>
  <c r="D20" i="1028"/>
  <c r="B56" i="1030"/>
  <c r="D39" i="1030"/>
  <c r="G39" i="1030" s="1"/>
  <c r="B56" i="1032"/>
  <c r="D39" i="1032"/>
  <c r="G39" i="1032" s="1"/>
  <c r="B58" i="1044"/>
  <c r="G65" i="1054"/>
  <c r="G68" i="1057"/>
  <c r="D69" i="1062"/>
  <c r="G67" i="1062"/>
  <c r="F67" i="1062" s="1"/>
  <c r="I21" i="1029"/>
  <c r="B1" i="1029"/>
  <c r="B57" i="1036"/>
  <c r="B57" i="1037"/>
  <c r="J19" i="1041"/>
  <c r="E53" i="1055"/>
  <c r="G67" i="1057"/>
  <c r="E40" i="1067"/>
  <c r="F6" i="1067" s="1"/>
  <c r="B40" i="1069"/>
  <c r="C25" i="1026"/>
  <c r="H45" i="1027"/>
  <c r="B1" i="1027"/>
  <c r="M4" i="1027" s="1"/>
  <c r="B56" i="1027"/>
  <c r="F13" i="1027"/>
  <c r="D20" i="1027"/>
  <c r="D39" i="1028"/>
  <c r="G39" i="1028" s="1"/>
  <c r="D36" i="1029"/>
  <c r="B25" i="1030"/>
  <c r="B45" i="1031"/>
  <c r="B1" i="1031"/>
  <c r="E13" i="1031"/>
  <c r="B25" i="1032"/>
  <c r="C13" i="1033"/>
  <c r="B58" i="1036"/>
  <c r="B58" i="1037"/>
  <c r="D24" i="1043"/>
  <c r="D59" i="1054"/>
  <c r="E69" i="1055"/>
  <c r="B33" i="1058"/>
  <c r="G68" i="1061"/>
  <c r="D69" i="1063"/>
  <c r="G68" i="1066"/>
  <c r="F68" i="1066" s="1"/>
  <c r="B56" i="1026"/>
  <c r="B24" i="1030"/>
  <c r="F24" i="1030" s="1"/>
  <c r="B56" i="1031"/>
  <c r="I21" i="1031"/>
  <c r="C24" i="1031"/>
  <c r="D20" i="1031"/>
  <c r="K11" i="1033"/>
  <c r="B1" i="1033"/>
  <c r="E64" i="1033" s="1"/>
  <c r="F13" i="1033"/>
  <c r="C24" i="1033"/>
  <c r="G66" i="1057"/>
  <c r="F66" i="1057" s="1"/>
  <c r="E53" i="1071"/>
  <c r="G38" i="1026"/>
  <c r="I22" i="1027"/>
  <c r="D39" i="1027"/>
  <c r="G39" i="1027" s="1"/>
  <c r="B25" i="1028"/>
  <c r="D36" i="1031"/>
  <c r="G36" i="1031" s="1"/>
  <c r="C24" i="1032"/>
  <c r="B56" i="1033"/>
  <c r="G13" i="1033"/>
  <c r="D36" i="1033"/>
  <c r="G36" i="1033" s="1"/>
  <c r="D25" i="1040"/>
  <c r="J19" i="1043"/>
  <c r="C59" i="1046"/>
  <c r="G67" i="1059"/>
  <c r="F67" i="1059" s="1"/>
  <c r="F68" i="1057"/>
  <c r="D69" i="1056"/>
  <c r="F68" i="1060"/>
  <c r="E69" i="1060"/>
  <c r="C40" i="1069"/>
  <c r="E142" i="1069"/>
  <c r="E40" i="1069"/>
  <c r="F6" i="1069" s="1"/>
  <c r="B33" i="1069"/>
  <c r="F34" i="1069" s="1"/>
  <c r="C69" i="1053"/>
  <c r="E40" i="1064"/>
  <c r="F6" i="1064" s="1"/>
  <c r="C40" i="1064"/>
  <c r="E40" i="1058"/>
  <c r="F6" i="1058" s="1"/>
  <c r="B33" i="1067"/>
  <c r="F33" i="1067" s="1"/>
  <c r="B5" i="1067" s="1"/>
  <c r="B69" i="1061"/>
  <c r="B69" i="1054"/>
  <c r="C51" i="1071"/>
  <c r="L69" i="1071"/>
  <c r="F68" i="1071"/>
  <c r="E69" i="1071"/>
  <c r="B69" i="1071"/>
  <c r="C142" i="1071" s="1"/>
  <c r="C69" i="1071"/>
  <c r="D69" i="1071"/>
  <c r="D59" i="1071"/>
  <c r="G67" i="1071"/>
  <c r="F67" i="1071" s="1"/>
  <c r="G66" i="1071"/>
  <c r="F66" i="1071" s="1"/>
  <c r="I50" i="1071"/>
  <c r="I44" i="1071" s="1"/>
  <c r="I49" i="1071"/>
  <c r="E142" i="1071"/>
  <c r="B76" i="1071"/>
  <c r="C76" i="1071"/>
  <c r="K45" i="1071"/>
  <c r="J48" i="1071"/>
  <c r="J47" i="1071"/>
  <c r="J46" i="1071"/>
  <c r="D76" i="1071"/>
  <c r="D50" i="1071"/>
  <c r="D51" i="1071" s="1"/>
  <c r="D49" i="1071"/>
  <c r="M14" i="1071"/>
  <c r="E52" i="1071"/>
  <c r="E54" i="1071" s="1"/>
  <c r="D54" i="1071"/>
  <c r="I51" i="1071"/>
  <c r="E76" i="1071"/>
  <c r="F56" i="1071"/>
  <c r="E58" i="1071"/>
  <c r="E57" i="1071"/>
  <c r="E59" i="1071" s="1"/>
  <c r="E48" i="1071"/>
  <c r="E47" i="1071"/>
  <c r="G62" i="1071" s="1"/>
  <c r="E46" i="1071"/>
  <c r="D62" i="1071" s="1"/>
  <c r="D142" i="1071"/>
  <c r="F142" i="1071"/>
  <c r="J15" i="1071" s="1"/>
  <c r="I13" i="1071" s="1"/>
  <c r="L69" i="1070"/>
  <c r="C69" i="1070"/>
  <c r="D142" i="1070" s="1"/>
  <c r="B69" i="1070"/>
  <c r="B33" i="1070" s="1"/>
  <c r="B44" i="1070"/>
  <c r="E69" i="1070"/>
  <c r="D69" i="1070"/>
  <c r="D59" i="1070"/>
  <c r="G68" i="1070"/>
  <c r="F68" i="1070" s="1"/>
  <c r="G65" i="1070"/>
  <c r="F65" i="1070" s="1"/>
  <c r="D76" i="1070"/>
  <c r="E76" i="1070"/>
  <c r="G67" i="1070"/>
  <c r="F67" i="1070" s="1"/>
  <c r="G66" i="1070"/>
  <c r="F66" i="1070" s="1"/>
  <c r="C142" i="1070"/>
  <c r="C76" i="1070"/>
  <c r="F56" i="1070"/>
  <c r="E58" i="1070"/>
  <c r="E57" i="1070"/>
  <c r="E59" i="1070" s="1"/>
  <c r="H44" i="1070"/>
  <c r="B76" i="1070"/>
  <c r="I50" i="1070"/>
  <c r="I44" i="1070" s="1"/>
  <c r="I49" i="1070"/>
  <c r="I51" i="1070" s="1"/>
  <c r="C50" i="1070"/>
  <c r="C49" i="1070"/>
  <c r="C44" i="1070" s="1"/>
  <c r="F142" i="1070"/>
  <c r="J15" i="1070" s="1"/>
  <c r="I13" i="1070" s="1"/>
  <c r="H51" i="1070"/>
  <c r="K45" i="1070"/>
  <c r="J48" i="1070"/>
  <c r="J47" i="1070"/>
  <c r="J46" i="1070"/>
  <c r="E45" i="1070"/>
  <c r="D48" i="1070"/>
  <c r="D47" i="1070"/>
  <c r="D46" i="1070"/>
  <c r="B40" i="1070"/>
  <c r="C40" i="1070"/>
  <c r="C54" i="1070"/>
  <c r="D52" i="1070"/>
  <c r="E53" i="1070"/>
  <c r="B51" i="1070"/>
  <c r="H51" i="1069"/>
  <c r="D40" i="1069"/>
  <c r="G40" i="1069" s="1"/>
  <c r="B4" i="1069" s="1"/>
  <c r="D59" i="1069"/>
  <c r="G65" i="1069"/>
  <c r="F65" i="1069" s="1"/>
  <c r="G66" i="1069"/>
  <c r="F66" i="1069" s="1"/>
  <c r="G67" i="1069"/>
  <c r="F67" i="1069" s="1"/>
  <c r="G68" i="1069"/>
  <c r="F68" i="1069" s="1"/>
  <c r="F56" i="1069"/>
  <c r="E58" i="1069"/>
  <c r="E57" i="1069"/>
  <c r="E59" i="1069" s="1"/>
  <c r="I50" i="1069"/>
  <c r="I49" i="1069"/>
  <c r="I51" i="1069" s="1"/>
  <c r="E45" i="1069"/>
  <c r="D48" i="1069"/>
  <c r="D47" i="1069"/>
  <c r="D46" i="1069"/>
  <c r="K45" i="1069"/>
  <c r="J48" i="1069"/>
  <c r="J47" i="1069"/>
  <c r="J46" i="1069"/>
  <c r="E53" i="1069"/>
  <c r="B51" i="1069"/>
  <c r="E14" i="1069"/>
  <c r="D14" i="1069"/>
  <c r="C14" i="1069"/>
  <c r="F14" i="1069"/>
  <c r="B14" i="1069"/>
  <c r="F33" i="1069"/>
  <c r="I44" i="1069"/>
  <c r="B44" i="1069"/>
  <c r="H44" i="1069"/>
  <c r="C50" i="1069"/>
  <c r="C51" i="1069" s="1"/>
  <c r="C49" i="1069"/>
  <c r="C44" i="1069" s="1"/>
  <c r="C54" i="1069"/>
  <c r="D52" i="1069"/>
  <c r="M14" i="1067"/>
  <c r="B44" i="1067"/>
  <c r="D40" i="1067"/>
  <c r="G40" i="1067" s="1"/>
  <c r="B4" i="1067" s="1"/>
  <c r="G67" i="1067"/>
  <c r="F67" i="1067" s="1"/>
  <c r="D59" i="1067"/>
  <c r="G66" i="1067"/>
  <c r="F66" i="1067" s="1"/>
  <c r="G68" i="1067"/>
  <c r="F68" i="1067" s="1"/>
  <c r="E53" i="1067"/>
  <c r="B51" i="1067"/>
  <c r="E14" i="1067"/>
  <c r="C14" i="1067"/>
  <c r="B14" i="1067"/>
  <c r="F14" i="1067"/>
  <c r="D14" i="1067"/>
  <c r="F34" i="1067"/>
  <c r="F142" i="1067"/>
  <c r="J15" i="1067" s="1"/>
  <c r="I13" i="1067" s="1"/>
  <c r="D142" i="1067"/>
  <c r="C142" i="1067"/>
  <c r="E142" i="1067"/>
  <c r="E45" i="1067"/>
  <c r="D48" i="1067"/>
  <c r="D47" i="1067"/>
  <c r="D46" i="1067"/>
  <c r="K45" i="1067"/>
  <c r="J48" i="1067"/>
  <c r="J47" i="1067"/>
  <c r="J46" i="1067"/>
  <c r="C50" i="1067"/>
  <c r="C49" i="1067"/>
  <c r="C44" i="1067" s="1"/>
  <c r="H51" i="1067"/>
  <c r="C54" i="1067"/>
  <c r="D52" i="1067"/>
  <c r="I50" i="1067"/>
  <c r="I44" i="1067" s="1"/>
  <c r="I49" i="1067"/>
  <c r="I51" i="1067" s="1"/>
  <c r="F56" i="1067"/>
  <c r="E58" i="1067"/>
  <c r="E57" i="1067"/>
  <c r="B51" i="1066"/>
  <c r="B33" i="1066"/>
  <c r="E14" i="1066" s="1"/>
  <c r="E40" i="1066"/>
  <c r="F6" i="1066" s="1"/>
  <c r="B40" i="1066"/>
  <c r="C40" i="1066"/>
  <c r="M14" i="1066"/>
  <c r="D59" i="1066"/>
  <c r="G65" i="1066"/>
  <c r="F65" i="1066" s="1"/>
  <c r="G66" i="1066"/>
  <c r="F66" i="1066" s="1"/>
  <c r="G67" i="1066"/>
  <c r="F67" i="1066" s="1"/>
  <c r="B44" i="1066"/>
  <c r="E45" i="1066"/>
  <c r="D48" i="1066"/>
  <c r="D47" i="1066"/>
  <c r="D46" i="1066"/>
  <c r="C54" i="1066"/>
  <c r="D52" i="1066"/>
  <c r="C50" i="1066"/>
  <c r="C49" i="1066"/>
  <c r="C44" i="1066" s="1"/>
  <c r="K45" i="1066"/>
  <c r="J48" i="1066"/>
  <c r="J47" i="1066"/>
  <c r="J46" i="1066"/>
  <c r="E53" i="1066"/>
  <c r="C14" i="1066"/>
  <c r="G14" i="1066"/>
  <c r="B14" i="1066"/>
  <c r="D14" i="1066"/>
  <c r="F34" i="1066"/>
  <c r="F33" i="1066"/>
  <c r="I50" i="1066"/>
  <c r="I44" i="1066" s="1"/>
  <c r="I49" i="1066"/>
  <c r="I51" i="1066" s="1"/>
  <c r="H51" i="1066"/>
  <c r="F56" i="1066"/>
  <c r="E58" i="1066"/>
  <c r="E57" i="1066"/>
  <c r="E59" i="1066" s="1"/>
  <c r="L69" i="1065"/>
  <c r="E69" i="1065"/>
  <c r="M14" i="1065" s="1"/>
  <c r="B69" i="1065"/>
  <c r="C69" i="1065"/>
  <c r="D69" i="1065"/>
  <c r="G66" i="1065"/>
  <c r="F66" i="1065" s="1"/>
  <c r="D59" i="1065"/>
  <c r="G67" i="1065"/>
  <c r="F67" i="1065" s="1"/>
  <c r="G68" i="1065"/>
  <c r="F68" i="1065" s="1"/>
  <c r="E76" i="1065"/>
  <c r="C54" i="1065"/>
  <c r="D52" i="1065"/>
  <c r="C50" i="1065"/>
  <c r="C51" i="1065" s="1"/>
  <c r="C49" i="1065"/>
  <c r="C44" i="1065" s="1"/>
  <c r="B44" i="1065"/>
  <c r="E45" i="1065"/>
  <c r="D48" i="1065"/>
  <c r="D47" i="1065"/>
  <c r="D46" i="1065"/>
  <c r="K45" i="1065"/>
  <c r="J48" i="1065"/>
  <c r="J47" i="1065"/>
  <c r="J46" i="1065"/>
  <c r="H51" i="1065"/>
  <c r="C76" i="1065"/>
  <c r="F56" i="1065"/>
  <c r="E58" i="1065"/>
  <c r="E57" i="1065"/>
  <c r="E53" i="1065"/>
  <c r="B51" i="1065"/>
  <c r="I50" i="1065"/>
  <c r="I44" i="1065" s="1"/>
  <c r="I49" i="1065"/>
  <c r="I51" i="1065" s="1"/>
  <c r="F65" i="1065"/>
  <c r="B76" i="1065"/>
  <c r="H44" i="1065"/>
  <c r="D76" i="1065"/>
  <c r="J48" i="1064"/>
  <c r="J47" i="1064"/>
  <c r="J46" i="1064"/>
  <c r="K45" i="1064"/>
  <c r="H44" i="1064"/>
  <c r="I49" i="1064"/>
  <c r="I51" i="1064" s="1"/>
  <c r="I50" i="1064"/>
  <c r="I44" i="1064" s="1"/>
  <c r="H51" i="1064"/>
  <c r="B40" i="1064"/>
  <c r="D40" i="1064" s="1"/>
  <c r="G40" i="1064" s="1"/>
  <c r="B4" i="1064" s="1"/>
  <c r="D59" i="1064"/>
  <c r="G65" i="1064"/>
  <c r="F65" i="1064" s="1"/>
  <c r="G66" i="1064"/>
  <c r="F66" i="1064" s="1"/>
  <c r="G68" i="1064"/>
  <c r="F68" i="1064" s="1"/>
  <c r="E53" i="1064"/>
  <c r="F56" i="1064"/>
  <c r="E58" i="1064"/>
  <c r="E57" i="1064"/>
  <c r="E59" i="1064" s="1"/>
  <c r="E14" i="1064"/>
  <c r="D14" i="1064"/>
  <c r="F14" i="1064"/>
  <c r="C14" i="1064"/>
  <c r="B14" i="1064"/>
  <c r="G14" i="1064"/>
  <c r="F33" i="1064"/>
  <c r="F34" i="1064"/>
  <c r="C50" i="1064"/>
  <c r="C51" i="1064" s="1"/>
  <c r="C49" i="1064"/>
  <c r="C44" i="1064" s="1"/>
  <c r="C54" i="1064"/>
  <c r="D52" i="1064"/>
  <c r="E45" i="1064"/>
  <c r="D48" i="1064"/>
  <c r="D47" i="1064"/>
  <c r="D46" i="1064"/>
  <c r="B76" i="1063"/>
  <c r="E69" i="1063"/>
  <c r="B69" i="1063"/>
  <c r="B33" i="1063" s="1"/>
  <c r="C69" i="1063"/>
  <c r="G67" i="1063"/>
  <c r="G66" i="1063"/>
  <c r="F66" i="1063" s="1"/>
  <c r="G68" i="1063"/>
  <c r="F68" i="1063" s="1"/>
  <c r="F67" i="1063"/>
  <c r="I50" i="1063"/>
  <c r="I49" i="1063"/>
  <c r="E53" i="1063"/>
  <c r="D76" i="1063"/>
  <c r="K45" i="1063"/>
  <c r="J48" i="1063"/>
  <c r="J47" i="1063"/>
  <c r="J46" i="1063"/>
  <c r="C76" i="1063"/>
  <c r="C54" i="1063"/>
  <c r="D52" i="1063"/>
  <c r="H51" i="1063"/>
  <c r="E40" i="1063"/>
  <c r="F6" i="1063" s="1"/>
  <c r="M14" i="1063"/>
  <c r="E76" i="1063"/>
  <c r="I51" i="1063"/>
  <c r="B51" i="1063"/>
  <c r="C50" i="1063"/>
  <c r="C51" i="1063" s="1"/>
  <c r="C49" i="1063"/>
  <c r="C44" i="1063" s="1"/>
  <c r="F65" i="1063"/>
  <c r="B40" i="1063"/>
  <c r="I44" i="1063"/>
  <c r="E45" i="1063"/>
  <c r="D48" i="1063"/>
  <c r="D47" i="1063"/>
  <c r="D46" i="1063"/>
  <c r="F56" i="1063"/>
  <c r="E58" i="1063"/>
  <c r="E57" i="1063"/>
  <c r="E59" i="1063" s="1"/>
  <c r="B76" i="1062"/>
  <c r="L69" i="1062"/>
  <c r="C69" i="1062"/>
  <c r="E69" i="1062"/>
  <c r="B33" i="1062" s="1"/>
  <c r="B69" i="1062"/>
  <c r="C142" i="1062" s="1"/>
  <c r="F68" i="1062"/>
  <c r="F69" i="1062" s="1"/>
  <c r="D59" i="1062"/>
  <c r="E142" i="1062"/>
  <c r="D142" i="1062"/>
  <c r="E45" i="1062"/>
  <c r="D48" i="1062"/>
  <c r="D47" i="1062"/>
  <c r="D46" i="1062"/>
  <c r="C76" i="1062"/>
  <c r="D76" i="1062"/>
  <c r="E53" i="1062"/>
  <c r="J50" i="1062"/>
  <c r="J44" i="1062" s="1"/>
  <c r="J49" i="1062"/>
  <c r="J51" i="1062" s="1"/>
  <c r="C50" i="1062"/>
  <c r="C51" i="1062" s="1"/>
  <c r="C49" i="1062"/>
  <c r="C44" i="1062" s="1"/>
  <c r="E76" i="1062"/>
  <c r="K48" i="1062"/>
  <c r="K47" i="1062"/>
  <c r="M62" i="1062" s="1"/>
  <c r="K46" i="1062"/>
  <c r="J62" i="1062" s="1"/>
  <c r="C54" i="1062"/>
  <c r="D52" i="1062"/>
  <c r="F56" i="1062"/>
  <c r="E58" i="1062"/>
  <c r="E57" i="1062"/>
  <c r="L69" i="1061"/>
  <c r="B51" i="1061"/>
  <c r="C69" i="1061"/>
  <c r="B44" i="1061"/>
  <c r="E69" i="1061"/>
  <c r="B40" i="1061" s="1"/>
  <c r="D69" i="1061"/>
  <c r="G65" i="1061"/>
  <c r="G66" i="1061"/>
  <c r="F66" i="1061" s="1"/>
  <c r="F68" i="1061"/>
  <c r="G67" i="1061"/>
  <c r="F67" i="1061" s="1"/>
  <c r="E45" i="1061"/>
  <c r="D48" i="1061"/>
  <c r="D47" i="1061"/>
  <c r="D46" i="1061"/>
  <c r="C54" i="1061"/>
  <c r="D52" i="1061"/>
  <c r="J50" i="1061"/>
  <c r="J44" i="1061" s="1"/>
  <c r="J49" i="1061"/>
  <c r="J51" i="1061" s="1"/>
  <c r="E53" i="1061"/>
  <c r="C76" i="1061"/>
  <c r="F56" i="1061"/>
  <c r="E58" i="1061"/>
  <c r="E57" i="1061"/>
  <c r="D76" i="1061"/>
  <c r="K48" i="1061"/>
  <c r="K47" i="1061"/>
  <c r="M62" i="1061" s="1"/>
  <c r="K46" i="1061"/>
  <c r="J62" i="1061" s="1"/>
  <c r="F65" i="1061"/>
  <c r="E76" i="1061"/>
  <c r="B76" i="1061"/>
  <c r="C50" i="1061"/>
  <c r="C51" i="1061" s="1"/>
  <c r="C49" i="1061"/>
  <c r="C44" i="1061" s="1"/>
  <c r="B69" i="1060"/>
  <c r="B33" i="1060" s="1"/>
  <c r="C69" i="1060"/>
  <c r="D69" i="1060"/>
  <c r="B44" i="1060"/>
  <c r="F66" i="1060"/>
  <c r="F69" i="1060" s="1"/>
  <c r="E59" i="1060"/>
  <c r="F142" i="1060"/>
  <c r="J15" i="1060" s="1"/>
  <c r="I13" i="1060" s="1"/>
  <c r="E53" i="1060"/>
  <c r="D52" i="1060"/>
  <c r="C54" i="1060"/>
  <c r="F58" i="1060"/>
  <c r="F57" i="1060"/>
  <c r="G56" i="1060"/>
  <c r="B51" i="1060"/>
  <c r="B40" i="1060"/>
  <c r="C142" i="1060"/>
  <c r="C76" i="1060"/>
  <c r="C50" i="1060"/>
  <c r="C51" i="1060" s="1"/>
  <c r="C49" i="1060"/>
  <c r="C44" i="1060" s="1"/>
  <c r="B76" i="1060"/>
  <c r="J50" i="1060"/>
  <c r="J44" i="1060" s="1"/>
  <c r="J49" i="1060"/>
  <c r="E40" i="1060"/>
  <c r="F6" i="1060" s="1"/>
  <c r="M14" i="1060"/>
  <c r="E76" i="1060"/>
  <c r="E142" i="1060"/>
  <c r="D76" i="1060"/>
  <c r="D48" i="1060"/>
  <c r="D47" i="1060"/>
  <c r="D46" i="1060"/>
  <c r="E45" i="1060"/>
  <c r="K48" i="1060"/>
  <c r="K47" i="1060"/>
  <c r="M62" i="1060" s="1"/>
  <c r="K46" i="1060"/>
  <c r="J62" i="1060" s="1"/>
  <c r="H44" i="1059"/>
  <c r="M14" i="1059"/>
  <c r="B40" i="1059"/>
  <c r="B33" i="1059"/>
  <c r="G14" i="1059" s="1"/>
  <c r="C40" i="1059"/>
  <c r="D40" i="1059" s="1"/>
  <c r="G40" i="1059" s="1"/>
  <c r="B4" i="1059" s="1"/>
  <c r="E40" i="1059"/>
  <c r="F6" i="1059" s="1"/>
  <c r="D59" i="1059"/>
  <c r="G66" i="1059"/>
  <c r="F66" i="1059" s="1"/>
  <c r="G68" i="1059"/>
  <c r="F68" i="1059" s="1"/>
  <c r="G65" i="1059"/>
  <c r="F65" i="1059" s="1"/>
  <c r="B44" i="1059"/>
  <c r="E53" i="1059"/>
  <c r="B51" i="1059"/>
  <c r="K45" i="1059"/>
  <c r="J48" i="1059"/>
  <c r="J47" i="1059"/>
  <c r="J46" i="1059"/>
  <c r="F56" i="1059"/>
  <c r="E58" i="1059"/>
  <c r="E57" i="1059"/>
  <c r="E45" i="1059"/>
  <c r="D48" i="1059"/>
  <c r="D47" i="1059"/>
  <c r="D46" i="1059"/>
  <c r="E14" i="1059"/>
  <c r="C14" i="1059"/>
  <c r="B14" i="1059"/>
  <c r="F14" i="1059"/>
  <c r="D14" i="1059"/>
  <c r="F33" i="1059"/>
  <c r="I50" i="1059"/>
  <c r="I44" i="1059" s="1"/>
  <c r="I49" i="1059"/>
  <c r="C54" i="1059"/>
  <c r="D52" i="1059"/>
  <c r="C50" i="1059"/>
  <c r="C51" i="1059" s="1"/>
  <c r="C49" i="1059"/>
  <c r="C44" i="1059" s="1"/>
  <c r="M14" i="1058"/>
  <c r="B40" i="1058"/>
  <c r="D40" i="1058" s="1"/>
  <c r="G40" i="1058" s="1"/>
  <c r="B4" i="1058" s="1"/>
  <c r="H51" i="1058"/>
  <c r="B44" i="1058"/>
  <c r="D59" i="1058"/>
  <c r="G67" i="1058"/>
  <c r="F67" i="1058" s="1"/>
  <c r="G68" i="1058"/>
  <c r="F68" i="1058" s="1"/>
  <c r="G66" i="1058"/>
  <c r="F66" i="1058" s="1"/>
  <c r="G65" i="1058"/>
  <c r="F65" i="1058" s="1"/>
  <c r="C54" i="1058"/>
  <c r="D52" i="1058"/>
  <c r="I50" i="1058"/>
  <c r="I44" i="1058" s="1"/>
  <c r="I49" i="1058"/>
  <c r="I51" i="1058" s="1"/>
  <c r="C50" i="1058"/>
  <c r="C51" i="1058" s="1"/>
  <c r="C49" i="1058"/>
  <c r="K45" i="1058"/>
  <c r="J48" i="1058"/>
  <c r="J47" i="1058"/>
  <c r="J46" i="1058"/>
  <c r="E14" i="1058"/>
  <c r="C14" i="1058"/>
  <c r="D14" i="1058"/>
  <c r="G14" i="1058"/>
  <c r="B14" i="1058"/>
  <c r="F14" i="1058"/>
  <c r="F34" i="1058"/>
  <c r="F33" i="1058"/>
  <c r="B5" i="1058" s="1"/>
  <c r="F142" i="1058"/>
  <c r="J15" i="1058" s="1"/>
  <c r="I13" i="1058" s="1"/>
  <c r="D142" i="1058"/>
  <c r="E142" i="1058"/>
  <c r="C142" i="1058"/>
  <c r="E45" i="1058"/>
  <c r="D48" i="1058"/>
  <c r="D47" i="1058"/>
  <c r="D46" i="1058"/>
  <c r="B51" i="1058"/>
  <c r="F56" i="1058"/>
  <c r="E58" i="1058"/>
  <c r="E57" i="1058"/>
  <c r="C44" i="1058"/>
  <c r="E53" i="1058"/>
  <c r="D76" i="1057"/>
  <c r="E69" i="1057"/>
  <c r="H51" i="1057"/>
  <c r="C69" i="1057"/>
  <c r="D142" i="1057" s="1"/>
  <c r="B69" i="1057"/>
  <c r="C142" i="1057" s="1"/>
  <c r="D69" i="1057"/>
  <c r="F67" i="1057"/>
  <c r="F69" i="1057" s="1"/>
  <c r="L69" i="1057"/>
  <c r="D59" i="1057"/>
  <c r="B76" i="1057"/>
  <c r="I50" i="1057"/>
  <c r="I49" i="1057"/>
  <c r="I51" i="1057" s="1"/>
  <c r="D50" i="1057"/>
  <c r="D51" i="1057" s="1"/>
  <c r="D49" i="1057"/>
  <c r="D44" i="1057" s="1"/>
  <c r="K6" i="1057" s="1"/>
  <c r="E52" i="1057"/>
  <c r="E54" i="1057" s="1"/>
  <c r="D54" i="1057"/>
  <c r="F56" i="1057"/>
  <c r="E58" i="1057"/>
  <c r="E57" i="1057"/>
  <c r="E59" i="1057" s="1"/>
  <c r="K45" i="1057"/>
  <c r="J48" i="1057"/>
  <c r="J47" i="1057"/>
  <c r="J46" i="1057"/>
  <c r="D53" i="1057" s="1"/>
  <c r="E48" i="1057"/>
  <c r="E47" i="1057"/>
  <c r="G62" i="1057" s="1"/>
  <c r="E46" i="1057"/>
  <c r="D62" i="1057" s="1"/>
  <c r="E76" i="1057"/>
  <c r="E142" i="1057"/>
  <c r="I44" i="1057"/>
  <c r="C76" i="1057"/>
  <c r="M14" i="1057"/>
  <c r="H44" i="1057"/>
  <c r="E69" i="1056"/>
  <c r="B44" i="1056"/>
  <c r="B69" i="1056"/>
  <c r="B33" i="1056" s="1"/>
  <c r="C69" i="1056"/>
  <c r="E40" i="1056" s="1"/>
  <c r="F6" i="1056" s="1"/>
  <c r="G68" i="1056"/>
  <c r="F68" i="1056" s="1"/>
  <c r="D59" i="1056"/>
  <c r="G65" i="1056"/>
  <c r="F65" i="1056" s="1"/>
  <c r="L69" i="1056"/>
  <c r="G66" i="1056"/>
  <c r="F66" i="1056" s="1"/>
  <c r="G67" i="1056"/>
  <c r="F67" i="1056" s="1"/>
  <c r="C50" i="1056"/>
  <c r="C51" i="1056" s="1"/>
  <c r="C49" i="1056"/>
  <c r="C44" i="1056" s="1"/>
  <c r="M14" i="1056"/>
  <c r="C54" i="1056"/>
  <c r="D52" i="1056"/>
  <c r="B76" i="1056"/>
  <c r="C76" i="1056"/>
  <c r="F56" i="1056"/>
  <c r="E58" i="1056"/>
  <c r="E57" i="1056"/>
  <c r="E45" i="1056"/>
  <c r="D48" i="1056"/>
  <c r="D47" i="1056"/>
  <c r="D46" i="1056"/>
  <c r="D142" i="1056"/>
  <c r="F142" i="1056"/>
  <c r="J15" i="1056" s="1"/>
  <c r="I13" i="1056" s="1"/>
  <c r="E53" i="1056"/>
  <c r="J50" i="1056"/>
  <c r="J44" i="1056" s="1"/>
  <c r="J49" i="1056"/>
  <c r="J51" i="1056" s="1"/>
  <c r="D76" i="1056"/>
  <c r="B40" i="1056"/>
  <c r="C40" i="1056"/>
  <c r="K48" i="1056"/>
  <c r="K47" i="1056"/>
  <c r="M62" i="1056" s="1"/>
  <c r="K46" i="1056"/>
  <c r="J62" i="1056" s="1"/>
  <c r="E76" i="1056"/>
  <c r="E142" i="1056"/>
  <c r="C142" i="1056"/>
  <c r="L69" i="1055"/>
  <c r="C69" i="1055"/>
  <c r="B40" i="1055" s="1"/>
  <c r="D69" i="1055"/>
  <c r="G68" i="1055"/>
  <c r="F68" i="1055" s="1"/>
  <c r="G67" i="1055"/>
  <c r="F67" i="1055" s="1"/>
  <c r="D59" i="1055"/>
  <c r="G65" i="1055"/>
  <c r="F65" i="1055" s="1"/>
  <c r="F66" i="1055"/>
  <c r="F142" i="1055"/>
  <c r="J15" i="1055" s="1"/>
  <c r="I13" i="1055" s="1"/>
  <c r="D142" i="1055"/>
  <c r="C142" i="1055"/>
  <c r="E142" i="1055"/>
  <c r="C40" i="1055"/>
  <c r="D50" i="1055"/>
  <c r="D49" i="1055"/>
  <c r="E52" i="1055"/>
  <c r="E54" i="1055" s="1"/>
  <c r="D54" i="1055"/>
  <c r="F56" i="1055"/>
  <c r="E58" i="1055"/>
  <c r="E57" i="1055"/>
  <c r="K45" i="1055"/>
  <c r="J48" i="1055"/>
  <c r="J47" i="1055"/>
  <c r="J46" i="1055"/>
  <c r="E48" i="1055"/>
  <c r="E47" i="1055"/>
  <c r="G62" i="1055" s="1"/>
  <c r="E46" i="1055"/>
  <c r="D62" i="1055" s="1"/>
  <c r="D76" i="1055"/>
  <c r="C76" i="1055"/>
  <c r="E40" i="1055"/>
  <c r="F6" i="1055" s="1"/>
  <c r="M14" i="1055"/>
  <c r="D53" i="1055"/>
  <c r="D44" i="1055"/>
  <c r="K6" i="1055" s="1"/>
  <c r="E76" i="1055"/>
  <c r="H51" i="1055"/>
  <c r="I50" i="1055"/>
  <c r="I44" i="1055" s="1"/>
  <c r="I49" i="1055"/>
  <c r="I51" i="1055" s="1"/>
  <c r="B76" i="1055"/>
  <c r="C44" i="1054"/>
  <c r="C69" i="1054"/>
  <c r="D142" i="1054" s="1"/>
  <c r="D69" i="1054"/>
  <c r="E69" i="1054"/>
  <c r="E40" i="1054" s="1"/>
  <c r="F6" i="1054" s="1"/>
  <c r="F68" i="1054"/>
  <c r="F65" i="1054"/>
  <c r="F66" i="1054"/>
  <c r="D76" i="1054"/>
  <c r="E53" i="1054"/>
  <c r="C142" i="1054"/>
  <c r="E142" i="1054"/>
  <c r="F142" i="1054"/>
  <c r="J15" i="1054" s="1"/>
  <c r="I13" i="1054" s="1"/>
  <c r="I50" i="1054"/>
  <c r="I44" i="1054" s="1"/>
  <c r="I49" i="1054"/>
  <c r="I51" i="1054" s="1"/>
  <c r="B76" i="1054"/>
  <c r="D50" i="1054"/>
  <c r="D49" i="1054"/>
  <c r="K45" i="1054"/>
  <c r="J48" i="1054"/>
  <c r="J47" i="1054"/>
  <c r="J46" i="1054"/>
  <c r="D53" i="1054" s="1"/>
  <c r="H44" i="1054"/>
  <c r="B40" i="1054"/>
  <c r="C40" i="1054"/>
  <c r="E48" i="1054"/>
  <c r="E47" i="1054"/>
  <c r="G62" i="1054" s="1"/>
  <c r="E46" i="1054"/>
  <c r="D62" i="1054" s="1"/>
  <c r="F56" i="1054"/>
  <c r="E58" i="1054"/>
  <c r="E57" i="1054"/>
  <c r="M14" i="1054"/>
  <c r="E76" i="1054"/>
  <c r="E52" i="1054"/>
  <c r="E54" i="1054" s="1"/>
  <c r="D54" i="1054"/>
  <c r="C76" i="1054"/>
  <c r="E76" i="1053"/>
  <c r="C76" i="1053"/>
  <c r="D69" i="1053"/>
  <c r="B69" i="1053"/>
  <c r="B33" i="1053" s="1"/>
  <c r="E69" i="1053"/>
  <c r="F142" i="1053" s="1"/>
  <c r="J15" i="1053" s="1"/>
  <c r="I13" i="1053" s="1"/>
  <c r="C142" i="1053"/>
  <c r="E142" i="1053"/>
  <c r="D142" i="1053"/>
  <c r="I50" i="1053"/>
  <c r="I49" i="1053"/>
  <c r="I51" i="1053" s="1"/>
  <c r="E40" i="1053"/>
  <c r="F6" i="1053" s="1"/>
  <c r="M14" i="1053"/>
  <c r="H44" i="1053"/>
  <c r="B51" i="1053"/>
  <c r="K45" i="1053"/>
  <c r="J48" i="1053"/>
  <c r="J47" i="1053"/>
  <c r="J46" i="1053"/>
  <c r="C54" i="1053"/>
  <c r="D52" i="1053"/>
  <c r="B40" i="1053"/>
  <c r="H51" i="1053"/>
  <c r="C50" i="1053"/>
  <c r="C51" i="1053" s="1"/>
  <c r="C49" i="1053"/>
  <c r="C44" i="1053" s="1"/>
  <c r="E56" i="1053"/>
  <c r="D58" i="1053"/>
  <c r="D57" i="1053"/>
  <c r="D59" i="1053" s="1"/>
  <c r="D76" i="1053"/>
  <c r="B76" i="1053"/>
  <c r="E45" i="1053"/>
  <c r="D48" i="1053"/>
  <c r="D47" i="1053"/>
  <c r="D46" i="1053"/>
  <c r="I44" i="1053"/>
  <c r="E53" i="1053"/>
  <c r="B44" i="1053"/>
  <c r="E56" i="1052"/>
  <c r="D57" i="1052"/>
  <c r="G67" i="1052" s="1"/>
  <c r="F67" i="1052" s="1"/>
  <c r="D58" i="1052"/>
  <c r="B53" i="1052"/>
  <c r="N68" i="1052"/>
  <c r="N67" i="1052"/>
  <c r="E67" i="1052"/>
  <c r="N66" i="1052"/>
  <c r="E66" i="1052"/>
  <c r="N65" i="1052"/>
  <c r="E65" i="1052"/>
  <c r="L66" i="1052"/>
  <c r="N64" i="1052"/>
  <c r="L65" i="1052"/>
  <c r="L68" i="1052"/>
  <c r="L67" i="1052"/>
  <c r="I69" i="1052"/>
  <c r="I65" i="1052"/>
  <c r="I68" i="1052"/>
  <c r="I67" i="1052"/>
  <c r="I66" i="1052"/>
  <c r="J68" i="1052"/>
  <c r="J67" i="1052"/>
  <c r="J66" i="1052"/>
  <c r="J69" i="1052"/>
  <c r="J65" i="1052"/>
  <c r="H49" i="1052"/>
  <c r="H50" i="1052"/>
  <c r="H44" i="1052" s="1"/>
  <c r="B50" i="1052"/>
  <c r="B49" i="1052"/>
  <c r="K67" i="1052"/>
  <c r="K66" i="1052"/>
  <c r="K69" i="1052"/>
  <c r="K65" i="1052"/>
  <c r="K68" i="1052"/>
  <c r="D73" i="1052"/>
  <c r="D72" i="1052"/>
  <c r="D75" i="1052"/>
  <c r="D74" i="1052"/>
  <c r="M65" i="1052"/>
  <c r="M68" i="1052"/>
  <c r="M67" i="1052"/>
  <c r="M66" i="1052"/>
  <c r="O64" i="1052"/>
  <c r="B75" i="1052"/>
  <c r="B74" i="1052"/>
  <c r="B73" i="1052"/>
  <c r="B72" i="1052"/>
  <c r="J45" i="1052"/>
  <c r="I48" i="1052"/>
  <c r="I47" i="1052"/>
  <c r="I46" i="1052"/>
  <c r="D45" i="1052"/>
  <c r="C48" i="1052"/>
  <c r="C47" i="1052"/>
  <c r="C46" i="1052"/>
  <c r="C74" i="1052"/>
  <c r="C73" i="1052"/>
  <c r="C72" i="1052"/>
  <c r="C75" i="1052"/>
  <c r="O67" i="1052"/>
  <c r="O66" i="1052"/>
  <c r="O65" i="1052"/>
  <c r="O68" i="1052"/>
  <c r="C66" i="1052"/>
  <c r="C65" i="1052"/>
  <c r="C68" i="1052"/>
  <c r="C67" i="1052"/>
  <c r="D65" i="1052"/>
  <c r="D68" i="1052"/>
  <c r="D67" i="1052"/>
  <c r="D66" i="1052"/>
  <c r="B54" i="1052"/>
  <c r="C52" i="1052"/>
  <c r="B67" i="1052"/>
  <c r="B66" i="1052"/>
  <c r="B65" i="1052"/>
  <c r="B68" i="1052"/>
  <c r="E72" i="1052"/>
  <c r="E75" i="1052"/>
  <c r="E74" i="1052"/>
  <c r="E73" i="1052"/>
  <c r="F75" i="1052"/>
  <c r="F74" i="1052"/>
  <c r="F73" i="1052"/>
  <c r="F72" i="1052"/>
  <c r="B51" i="1051"/>
  <c r="C59" i="1051"/>
  <c r="E45" i="1051"/>
  <c r="D48" i="1051"/>
  <c r="D47" i="1051"/>
  <c r="D46" i="1051"/>
  <c r="N68" i="1051"/>
  <c r="N67" i="1051"/>
  <c r="E67" i="1051"/>
  <c r="N66" i="1051"/>
  <c r="E66" i="1051"/>
  <c r="N65" i="1051"/>
  <c r="E65" i="1051"/>
  <c r="L66" i="1051"/>
  <c r="N64" i="1051"/>
  <c r="L65" i="1051"/>
  <c r="L69" i="1051" s="1"/>
  <c r="L68" i="1051"/>
  <c r="L67" i="1051"/>
  <c r="I69" i="1051"/>
  <c r="I65" i="1051"/>
  <c r="I68" i="1051"/>
  <c r="I67" i="1051"/>
  <c r="I66" i="1051"/>
  <c r="J68" i="1051"/>
  <c r="J67" i="1051"/>
  <c r="J66" i="1051"/>
  <c r="J69" i="1051"/>
  <c r="J65" i="1051"/>
  <c r="J45" i="1051"/>
  <c r="I48" i="1051"/>
  <c r="I47" i="1051"/>
  <c r="I46" i="1051"/>
  <c r="C74" i="1051"/>
  <c r="C73" i="1051"/>
  <c r="C72" i="1051"/>
  <c r="C76" i="1051" s="1"/>
  <c r="C75" i="1051"/>
  <c r="K67" i="1051"/>
  <c r="K66" i="1051"/>
  <c r="K69" i="1051"/>
  <c r="K65" i="1051"/>
  <c r="K68" i="1051"/>
  <c r="D73" i="1051"/>
  <c r="D72" i="1051"/>
  <c r="D75" i="1051"/>
  <c r="D74" i="1051"/>
  <c r="M65" i="1051"/>
  <c r="M68" i="1051"/>
  <c r="M67" i="1051"/>
  <c r="M66" i="1051"/>
  <c r="O64" i="1051"/>
  <c r="B75" i="1051"/>
  <c r="B74" i="1051"/>
  <c r="B73" i="1051"/>
  <c r="B72" i="1051"/>
  <c r="B67" i="1051"/>
  <c r="B66" i="1051"/>
  <c r="B65" i="1051"/>
  <c r="B68" i="1051"/>
  <c r="E72" i="1051"/>
  <c r="E75" i="1051"/>
  <c r="E74" i="1051"/>
  <c r="E73" i="1051"/>
  <c r="F75" i="1051"/>
  <c r="F74" i="1051"/>
  <c r="F73" i="1051"/>
  <c r="F72" i="1051"/>
  <c r="E56" i="1051"/>
  <c r="D57" i="1051"/>
  <c r="D58" i="1051"/>
  <c r="C50" i="1051"/>
  <c r="C51" i="1051" s="1"/>
  <c r="C49" i="1051"/>
  <c r="C44" i="1051" s="1"/>
  <c r="C54" i="1051"/>
  <c r="D52" i="1051"/>
  <c r="O67" i="1051"/>
  <c r="O66" i="1051"/>
  <c r="O65" i="1051"/>
  <c r="O68" i="1051"/>
  <c r="C66" i="1051"/>
  <c r="C65" i="1051"/>
  <c r="C68" i="1051"/>
  <c r="C67" i="1051"/>
  <c r="D65" i="1051"/>
  <c r="D68" i="1051"/>
  <c r="E68" i="1051" s="1"/>
  <c r="D67" i="1051"/>
  <c r="D66" i="1051"/>
  <c r="B44" i="1051"/>
  <c r="H49" i="1051"/>
  <c r="H50" i="1051"/>
  <c r="C59" i="1050"/>
  <c r="C74" i="1050"/>
  <c r="C73" i="1050"/>
  <c r="C72" i="1050"/>
  <c r="C75" i="1050"/>
  <c r="E72" i="1050"/>
  <c r="E75" i="1050"/>
  <c r="E74" i="1050"/>
  <c r="E73" i="1050"/>
  <c r="B54" i="1050"/>
  <c r="C52" i="1050"/>
  <c r="J45" i="1050"/>
  <c r="I48" i="1050"/>
  <c r="I47" i="1050"/>
  <c r="I46" i="1050"/>
  <c r="B67" i="1050"/>
  <c r="B66" i="1050"/>
  <c r="B65" i="1050"/>
  <c r="B68" i="1050"/>
  <c r="C66" i="1050"/>
  <c r="C65" i="1050"/>
  <c r="C68" i="1050"/>
  <c r="C67" i="1050"/>
  <c r="D65" i="1050"/>
  <c r="D68" i="1050"/>
  <c r="D67" i="1050"/>
  <c r="D66" i="1050"/>
  <c r="D45" i="1050"/>
  <c r="C48" i="1050"/>
  <c r="C47" i="1050"/>
  <c r="C46" i="1050"/>
  <c r="K67" i="1050"/>
  <c r="K66" i="1050"/>
  <c r="K69" i="1050"/>
  <c r="K65" i="1050"/>
  <c r="K68" i="1050"/>
  <c r="D73" i="1050"/>
  <c r="D72" i="1050"/>
  <c r="D75" i="1050"/>
  <c r="D74" i="1050"/>
  <c r="F75" i="1050"/>
  <c r="F74" i="1050"/>
  <c r="F73" i="1050"/>
  <c r="F72" i="1050"/>
  <c r="N68" i="1050"/>
  <c r="N67" i="1050"/>
  <c r="E67" i="1050"/>
  <c r="N66" i="1050"/>
  <c r="E66" i="1050"/>
  <c r="N65" i="1050"/>
  <c r="E65" i="1050"/>
  <c r="O67" i="1050"/>
  <c r="O66" i="1050"/>
  <c r="O65" i="1050"/>
  <c r="O68" i="1050"/>
  <c r="I69" i="1050"/>
  <c r="I65" i="1050"/>
  <c r="I68" i="1050"/>
  <c r="I67" i="1050"/>
  <c r="I66" i="1050"/>
  <c r="J68" i="1050"/>
  <c r="J67" i="1050"/>
  <c r="J66" i="1050"/>
  <c r="J69" i="1050"/>
  <c r="J65" i="1050"/>
  <c r="E56" i="1050"/>
  <c r="D57" i="1050"/>
  <c r="D58" i="1050"/>
  <c r="B53" i="1050"/>
  <c r="H49" i="1050"/>
  <c r="H50" i="1050"/>
  <c r="L66" i="1050"/>
  <c r="N64" i="1050"/>
  <c r="L65" i="1050"/>
  <c r="L68" i="1050"/>
  <c r="L67" i="1050"/>
  <c r="M65" i="1050"/>
  <c r="M68" i="1050"/>
  <c r="M67" i="1050"/>
  <c r="M66" i="1050"/>
  <c r="O64" i="1050"/>
  <c r="B75" i="1050"/>
  <c r="B74" i="1050"/>
  <c r="B73" i="1050"/>
  <c r="B72" i="1050"/>
  <c r="B50" i="1050"/>
  <c r="B49" i="1050"/>
  <c r="B69" i="1049"/>
  <c r="E69" i="1049"/>
  <c r="M14" i="1049" s="1"/>
  <c r="C69" i="1049"/>
  <c r="D69" i="1049"/>
  <c r="L69" i="1049"/>
  <c r="C59" i="1049"/>
  <c r="B53" i="1049"/>
  <c r="D76" i="1049"/>
  <c r="B50" i="1049"/>
  <c r="B51" i="1049" s="1"/>
  <c r="B49" i="1049"/>
  <c r="C76" i="1049"/>
  <c r="E76" i="1049"/>
  <c r="B54" i="1049"/>
  <c r="C52" i="1049"/>
  <c r="B76" i="1049"/>
  <c r="E56" i="1049"/>
  <c r="D57" i="1049"/>
  <c r="D58" i="1049"/>
  <c r="J45" i="1049"/>
  <c r="I48" i="1049"/>
  <c r="I47" i="1049"/>
  <c r="I46" i="1049"/>
  <c r="D45" i="1049"/>
  <c r="C48" i="1049"/>
  <c r="C47" i="1049"/>
  <c r="C46" i="1049"/>
  <c r="H49" i="1049"/>
  <c r="H50" i="1049"/>
  <c r="C59" i="1048"/>
  <c r="E45" i="1048"/>
  <c r="D48" i="1048"/>
  <c r="D47" i="1048"/>
  <c r="D46" i="1048"/>
  <c r="E56" i="1048"/>
  <c r="D57" i="1048"/>
  <c r="G66" i="1048" s="1"/>
  <c r="D58" i="1048"/>
  <c r="B67" i="1048"/>
  <c r="B66" i="1048"/>
  <c r="B65" i="1048"/>
  <c r="B68" i="1048"/>
  <c r="C66" i="1048"/>
  <c r="C65" i="1048"/>
  <c r="C68" i="1048"/>
  <c r="C67" i="1048"/>
  <c r="D65" i="1048"/>
  <c r="D68" i="1048"/>
  <c r="E68" i="1048" s="1"/>
  <c r="D67" i="1048"/>
  <c r="D66" i="1048"/>
  <c r="H49" i="1048"/>
  <c r="H50" i="1048"/>
  <c r="C74" i="1048"/>
  <c r="C73" i="1048"/>
  <c r="C72" i="1048"/>
  <c r="C75" i="1048"/>
  <c r="N68" i="1048"/>
  <c r="N67" i="1048"/>
  <c r="E67" i="1048"/>
  <c r="N66" i="1048"/>
  <c r="E66" i="1048"/>
  <c r="N65" i="1048"/>
  <c r="E65" i="1048"/>
  <c r="G67" i="1048"/>
  <c r="F67" i="1048" s="1"/>
  <c r="O67" i="1048"/>
  <c r="O66" i="1048"/>
  <c r="F66" i="1048"/>
  <c r="O65" i="1048"/>
  <c r="O68" i="1048"/>
  <c r="I69" i="1048"/>
  <c r="I65" i="1048"/>
  <c r="I68" i="1048"/>
  <c r="I67" i="1048"/>
  <c r="I66" i="1048"/>
  <c r="J68" i="1048"/>
  <c r="J67" i="1048"/>
  <c r="J66" i="1048"/>
  <c r="J69" i="1048"/>
  <c r="J65" i="1048"/>
  <c r="B44" i="1048"/>
  <c r="L66" i="1048"/>
  <c r="N64" i="1048"/>
  <c r="L65" i="1048"/>
  <c r="L68" i="1048"/>
  <c r="L67" i="1048"/>
  <c r="L69" i="1048" s="1"/>
  <c r="M65" i="1048"/>
  <c r="M68" i="1048"/>
  <c r="M67" i="1048"/>
  <c r="M66" i="1048"/>
  <c r="O64" i="1048"/>
  <c r="B75" i="1048"/>
  <c r="B74" i="1048"/>
  <c r="B73" i="1048"/>
  <c r="B72" i="1048"/>
  <c r="H44" i="1048"/>
  <c r="C50" i="1048"/>
  <c r="C51" i="1048" s="1"/>
  <c r="C49" i="1048"/>
  <c r="C44" i="1048" s="1"/>
  <c r="C54" i="1048"/>
  <c r="D52" i="1048"/>
  <c r="K67" i="1048"/>
  <c r="K66" i="1048"/>
  <c r="K69" i="1048"/>
  <c r="K65" i="1048"/>
  <c r="K68" i="1048"/>
  <c r="D73" i="1048"/>
  <c r="D72" i="1048"/>
  <c r="D75" i="1048"/>
  <c r="D74" i="1048"/>
  <c r="E72" i="1048"/>
  <c r="E75" i="1048"/>
  <c r="E74" i="1048"/>
  <c r="E73" i="1048"/>
  <c r="F75" i="1048"/>
  <c r="F74" i="1048"/>
  <c r="F73" i="1048"/>
  <c r="F72" i="1048"/>
  <c r="J45" i="1048"/>
  <c r="I48" i="1048"/>
  <c r="I47" i="1048"/>
  <c r="I46" i="1048"/>
  <c r="H51" i="1047"/>
  <c r="C59" i="1047"/>
  <c r="N68" i="1047"/>
  <c r="N67" i="1047"/>
  <c r="E67" i="1047"/>
  <c r="N66" i="1047"/>
  <c r="E66" i="1047"/>
  <c r="N65" i="1047"/>
  <c r="E65" i="1047"/>
  <c r="B67" i="1047"/>
  <c r="B66" i="1047"/>
  <c r="B65" i="1047"/>
  <c r="B69" i="1047" s="1"/>
  <c r="B68" i="1047"/>
  <c r="I50" i="1047"/>
  <c r="I44" i="1047" s="1"/>
  <c r="I49" i="1047"/>
  <c r="I51" i="1047" s="1"/>
  <c r="O67" i="1047"/>
  <c r="O66" i="1047"/>
  <c r="O65" i="1047"/>
  <c r="O68" i="1047"/>
  <c r="C66" i="1047"/>
  <c r="C65" i="1047"/>
  <c r="C68" i="1047"/>
  <c r="C67" i="1047"/>
  <c r="D65" i="1047"/>
  <c r="D69" i="1047" s="1"/>
  <c r="D68" i="1047"/>
  <c r="E68" i="1047" s="1"/>
  <c r="D67" i="1047"/>
  <c r="D66" i="1047"/>
  <c r="B54" i="1047"/>
  <c r="C52" i="1047"/>
  <c r="E72" i="1047"/>
  <c r="E75" i="1047"/>
  <c r="E74" i="1047"/>
  <c r="E73" i="1047"/>
  <c r="F75" i="1047"/>
  <c r="F74" i="1047"/>
  <c r="F73" i="1047"/>
  <c r="F72" i="1047"/>
  <c r="B50" i="1047"/>
  <c r="B51" i="1047" s="1"/>
  <c r="B49" i="1047"/>
  <c r="K45" i="1047"/>
  <c r="J48" i="1047"/>
  <c r="J47" i="1047"/>
  <c r="J46" i="1047"/>
  <c r="L66" i="1047"/>
  <c r="N64" i="1047"/>
  <c r="L65" i="1047"/>
  <c r="L68" i="1047"/>
  <c r="L67" i="1047"/>
  <c r="L69" i="1047" s="1"/>
  <c r="I69" i="1047"/>
  <c r="I65" i="1047"/>
  <c r="I68" i="1047"/>
  <c r="I67" i="1047"/>
  <c r="I66" i="1047"/>
  <c r="J68" i="1047"/>
  <c r="J67" i="1047"/>
  <c r="J66" i="1047"/>
  <c r="J69" i="1047"/>
  <c r="J65" i="1047"/>
  <c r="D45" i="1047"/>
  <c r="C48" i="1047"/>
  <c r="C47" i="1047"/>
  <c r="C46" i="1047"/>
  <c r="C74" i="1047"/>
  <c r="C73" i="1047"/>
  <c r="C72" i="1047"/>
  <c r="C75" i="1047"/>
  <c r="K67" i="1047"/>
  <c r="K66" i="1047"/>
  <c r="K69" i="1047"/>
  <c r="K65" i="1047"/>
  <c r="K68" i="1047"/>
  <c r="D73" i="1047"/>
  <c r="D72" i="1047"/>
  <c r="D75" i="1047"/>
  <c r="D74" i="1047"/>
  <c r="M65" i="1047"/>
  <c r="M68" i="1047"/>
  <c r="M67" i="1047"/>
  <c r="M66" i="1047"/>
  <c r="O64" i="1047"/>
  <c r="B75" i="1047"/>
  <c r="B74" i="1047"/>
  <c r="B73" i="1047"/>
  <c r="B72" i="1047"/>
  <c r="B53" i="1047"/>
  <c r="E56" i="1047"/>
  <c r="D57" i="1047"/>
  <c r="D58" i="1047"/>
  <c r="B44" i="1046"/>
  <c r="H49" i="1046"/>
  <c r="H50" i="1046"/>
  <c r="H44" i="1046" s="1"/>
  <c r="B51" i="1046"/>
  <c r="C54" i="1046"/>
  <c r="D52" i="1046"/>
  <c r="C74" i="1046"/>
  <c r="C73" i="1046"/>
  <c r="C72" i="1046"/>
  <c r="C75" i="1046"/>
  <c r="N68" i="1046"/>
  <c r="N67" i="1046"/>
  <c r="E67" i="1046"/>
  <c r="N66" i="1046"/>
  <c r="E66" i="1046"/>
  <c r="N65" i="1046"/>
  <c r="E65" i="1046"/>
  <c r="O67" i="1046"/>
  <c r="O66" i="1046"/>
  <c r="O65" i="1046"/>
  <c r="O68" i="1046"/>
  <c r="I69" i="1046"/>
  <c r="I65" i="1046"/>
  <c r="I68" i="1046"/>
  <c r="I67" i="1046"/>
  <c r="I66" i="1046"/>
  <c r="J68" i="1046"/>
  <c r="J67" i="1046"/>
  <c r="J66" i="1046"/>
  <c r="J69" i="1046"/>
  <c r="J65" i="1046"/>
  <c r="E45" i="1046"/>
  <c r="D48" i="1046"/>
  <c r="D47" i="1046"/>
  <c r="D46" i="1046"/>
  <c r="E56" i="1046"/>
  <c r="D57" i="1046"/>
  <c r="D58" i="1046"/>
  <c r="L66" i="1046"/>
  <c r="N64" i="1046"/>
  <c r="L65" i="1046"/>
  <c r="L68" i="1046"/>
  <c r="L67" i="1046"/>
  <c r="M65" i="1046"/>
  <c r="M68" i="1046"/>
  <c r="M67" i="1046"/>
  <c r="M66" i="1046"/>
  <c r="O64" i="1046"/>
  <c r="B75" i="1046"/>
  <c r="B74" i="1046"/>
  <c r="B73" i="1046"/>
  <c r="B72" i="1046"/>
  <c r="B67" i="1046"/>
  <c r="B66" i="1046"/>
  <c r="B65" i="1046"/>
  <c r="B68" i="1046"/>
  <c r="C66" i="1046"/>
  <c r="C65" i="1046"/>
  <c r="C68" i="1046"/>
  <c r="C67" i="1046"/>
  <c r="D65" i="1046"/>
  <c r="D68" i="1046"/>
  <c r="D67" i="1046"/>
  <c r="D66" i="1046"/>
  <c r="C50" i="1046"/>
  <c r="C51" i="1046" s="1"/>
  <c r="C49" i="1046"/>
  <c r="C44" i="1046" s="1"/>
  <c r="K67" i="1046"/>
  <c r="K66" i="1046"/>
  <c r="K69" i="1046"/>
  <c r="K65" i="1046"/>
  <c r="K68" i="1046"/>
  <c r="D73" i="1046"/>
  <c r="D72" i="1046"/>
  <c r="D75" i="1046"/>
  <c r="D74" i="1046"/>
  <c r="E72" i="1046"/>
  <c r="E75" i="1046"/>
  <c r="E74" i="1046"/>
  <c r="E73" i="1046"/>
  <c r="F75" i="1046"/>
  <c r="F74" i="1046"/>
  <c r="F73" i="1046"/>
  <c r="F72" i="1046"/>
  <c r="J45" i="1046"/>
  <c r="I48" i="1046"/>
  <c r="I47" i="1046"/>
  <c r="I46" i="1046"/>
  <c r="C76" i="1045"/>
  <c r="E69" i="1045"/>
  <c r="F142" i="1045" s="1"/>
  <c r="J15" i="1045" s="1"/>
  <c r="I13" i="1045" s="1"/>
  <c r="B69" i="1045"/>
  <c r="C142" i="1045" s="1"/>
  <c r="C69" i="1045"/>
  <c r="B33" i="1045" s="1"/>
  <c r="D69" i="1045"/>
  <c r="E76" i="1045"/>
  <c r="L69" i="1045"/>
  <c r="E142" i="1045"/>
  <c r="D76" i="1045"/>
  <c r="H50" i="1045"/>
  <c r="H49" i="1045"/>
  <c r="H51" i="1045" s="1"/>
  <c r="B54" i="1045"/>
  <c r="C52" i="1045"/>
  <c r="B76" i="1045"/>
  <c r="J45" i="1045"/>
  <c r="I48" i="1045"/>
  <c r="I47" i="1045"/>
  <c r="I46" i="1045"/>
  <c r="B53" i="1045"/>
  <c r="D45" i="1045"/>
  <c r="C48" i="1045"/>
  <c r="C47" i="1045"/>
  <c r="C46" i="1045"/>
  <c r="E56" i="1045"/>
  <c r="D58" i="1045"/>
  <c r="G67" i="1045" s="1"/>
  <c r="F67" i="1045" s="1"/>
  <c r="D57" i="1045"/>
  <c r="E40" i="1045"/>
  <c r="F6" i="1045" s="1"/>
  <c r="C40" i="1045"/>
  <c r="H44" i="1045"/>
  <c r="B50" i="1045"/>
  <c r="B49" i="1045"/>
  <c r="D25" i="1044"/>
  <c r="F25" i="1044"/>
  <c r="B3" i="1044" s="1"/>
  <c r="B59" i="1044"/>
  <c r="F71" i="1044"/>
  <c r="B71" i="1044"/>
  <c r="J64" i="1044"/>
  <c r="D64" i="1044"/>
  <c r="E71" i="1044"/>
  <c r="M64" i="1044"/>
  <c r="I64" i="1044"/>
  <c r="C64" i="1044"/>
  <c r="D71" i="1044"/>
  <c r="L64" i="1044"/>
  <c r="F64" i="1044"/>
  <c r="B64" i="1044"/>
  <c r="K64" i="1044"/>
  <c r="F3" i="1044"/>
  <c r="E64" i="1044"/>
  <c r="M4" i="1044"/>
  <c r="D3" i="1044"/>
  <c r="A16" i="1044"/>
  <c r="C71" i="1044"/>
  <c r="B50" i="1044"/>
  <c r="B51" i="1044" s="1"/>
  <c r="B49" i="1044"/>
  <c r="B54" i="1044"/>
  <c r="C52" i="1044"/>
  <c r="I45" i="1044"/>
  <c r="H47" i="1044"/>
  <c r="H48" i="1044"/>
  <c r="H46" i="1044"/>
  <c r="B53" i="1044"/>
  <c r="B44" i="1044"/>
  <c r="C58" i="1044"/>
  <c r="C57" i="1044"/>
  <c r="D56" i="1044"/>
  <c r="J19" i="1044"/>
  <c r="D45" i="1044"/>
  <c r="C48" i="1044"/>
  <c r="C47" i="1044"/>
  <c r="C46" i="1044"/>
  <c r="B3" i="1043"/>
  <c r="F71" i="1043"/>
  <c r="B71" i="1043"/>
  <c r="J64" i="1043"/>
  <c r="D64" i="1043"/>
  <c r="E71" i="1043"/>
  <c r="M64" i="1043"/>
  <c r="I64" i="1043"/>
  <c r="C64" i="1043"/>
  <c r="D71" i="1043"/>
  <c r="L64" i="1043"/>
  <c r="F64" i="1043"/>
  <c r="B64" i="1043"/>
  <c r="K64" i="1043"/>
  <c r="M4" i="1043"/>
  <c r="D3" i="1043"/>
  <c r="E64" i="1043"/>
  <c r="A16" i="1043"/>
  <c r="C71" i="1043"/>
  <c r="F3" i="1043"/>
  <c r="H49" i="1043"/>
  <c r="H50" i="1043"/>
  <c r="B59" i="1043"/>
  <c r="C45" i="1043"/>
  <c r="B52" i="1043"/>
  <c r="B48" i="1043"/>
  <c r="B46" i="1043"/>
  <c r="B47" i="1043"/>
  <c r="C58" i="1043"/>
  <c r="C57" i="1043"/>
  <c r="D56" i="1043"/>
  <c r="J45" i="1043"/>
  <c r="I48" i="1043"/>
  <c r="I47" i="1043"/>
  <c r="I46" i="1043"/>
  <c r="D24" i="1042"/>
  <c r="I45" i="1042"/>
  <c r="H47" i="1042"/>
  <c r="H46" i="1042"/>
  <c r="J19" i="1042"/>
  <c r="B3" i="1042" s="1"/>
  <c r="F64" i="1042"/>
  <c r="O65" i="1042" s="1"/>
  <c r="K64" i="1042"/>
  <c r="A16" i="1042"/>
  <c r="E71" i="1042"/>
  <c r="E73" i="1042" s="1"/>
  <c r="B59" i="1042"/>
  <c r="C45" i="1042"/>
  <c r="B52" i="1042"/>
  <c r="B48" i="1042"/>
  <c r="B47" i="1042"/>
  <c r="B46" i="1042"/>
  <c r="D73" i="1042"/>
  <c r="D72" i="1042"/>
  <c r="D75" i="1042"/>
  <c r="D74" i="1042"/>
  <c r="C66" i="1042"/>
  <c r="C65" i="1042"/>
  <c r="C67" i="1042"/>
  <c r="C68" i="1042"/>
  <c r="D65" i="1042"/>
  <c r="D68" i="1042"/>
  <c r="D67" i="1042"/>
  <c r="D66" i="1042"/>
  <c r="N68" i="1042"/>
  <c r="E68" i="1042"/>
  <c r="N67" i="1042"/>
  <c r="E67" i="1042"/>
  <c r="N65" i="1042"/>
  <c r="E65" i="1042"/>
  <c r="E69" i="1042" s="1"/>
  <c r="N66" i="1042"/>
  <c r="E66" i="1042"/>
  <c r="C74" i="1042"/>
  <c r="C73" i="1042"/>
  <c r="C72" i="1042"/>
  <c r="C75" i="1042"/>
  <c r="B67" i="1042"/>
  <c r="B66" i="1042"/>
  <c r="B65" i="1042"/>
  <c r="B68" i="1042"/>
  <c r="I69" i="1042"/>
  <c r="I65" i="1042"/>
  <c r="I68" i="1042"/>
  <c r="I66" i="1042"/>
  <c r="I67" i="1042"/>
  <c r="J68" i="1042"/>
  <c r="J67" i="1042"/>
  <c r="J66" i="1042"/>
  <c r="J69" i="1042"/>
  <c r="J65" i="1042"/>
  <c r="C58" i="1042"/>
  <c r="C57" i="1042"/>
  <c r="D56" i="1042"/>
  <c r="H49" i="1042"/>
  <c r="H50" i="1042"/>
  <c r="L66" i="1042"/>
  <c r="N64" i="1042"/>
  <c r="L65" i="1042"/>
  <c r="L67" i="1042"/>
  <c r="L68" i="1042"/>
  <c r="M65" i="1042"/>
  <c r="M68" i="1042"/>
  <c r="M67" i="1042"/>
  <c r="M66" i="1042"/>
  <c r="O64" i="1042"/>
  <c r="B75" i="1042"/>
  <c r="B74" i="1042"/>
  <c r="B72" i="1042"/>
  <c r="B73" i="1042"/>
  <c r="O67" i="1042"/>
  <c r="O66" i="1042"/>
  <c r="O68" i="1042"/>
  <c r="K67" i="1042"/>
  <c r="K66" i="1042"/>
  <c r="K69" i="1042"/>
  <c r="K65" i="1042"/>
  <c r="K68" i="1042"/>
  <c r="E75" i="1042"/>
  <c r="F75" i="1042"/>
  <c r="F74" i="1042"/>
  <c r="F73" i="1042"/>
  <c r="F72" i="1042"/>
  <c r="B3" i="1041"/>
  <c r="F71" i="1041"/>
  <c r="B71" i="1041"/>
  <c r="J64" i="1041"/>
  <c r="D64" i="1041"/>
  <c r="E71" i="1041"/>
  <c r="M64" i="1041"/>
  <c r="I64" i="1041"/>
  <c r="C64" i="1041"/>
  <c r="A16" i="1041"/>
  <c r="D71" i="1041"/>
  <c r="L64" i="1041"/>
  <c r="F64" i="1041"/>
  <c r="B64" i="1041"/>
  <c r="K64" i="1041"/>
  <c r="D3" i="1041"/>
  <c r="E64" i="1041"/>
  <c r="C71" i="1041"/>
  <c r="F3" i="1041"/>
  <c r="M4" i="1041"/>
  <c r="C45" i="1041"/>
  <c r="B52" i="1041"/>
  <c r="B48" i="1041"/>
  <c r="B46" i="1041"/>
  <c r="B47" i="1041"/>
  <c r="C58" i="1041"/>
  <c r="C57" i="1041"/>
  <c r="D56" i="1041"/>
  <c r="I45" i="1041"/>
  <c r="H47" i="1041"/>
  <c r="H48" i="1041"/>
  <c r="H46" i="1041"/>
  <c r="B59" i="1041"/>
  <c r="J19" i="1040"/>
  <c r="B3" i="1040" s="1"/>
  <c r="F71" i="1040"/>
  <c r="B71" i="1040"/>
  <c r="J64" i="1040"/>
  <c r="D64" i="1040"/>
  <c r="E71" i="1040"/>
  <c r="M64" i="1040"/>
  <c r="I64" i="1040"/>
  <c r="C64" i="1040"/>
  <c r="A16" i="1040"/>
  <c r="L64" i="1040"/>
  <c r="B64" i="1040"/>
  <c r="E64" i="1040"/>
  <c r="M4" i="1040"/>
  <c r="K64" i="1040"/>
  <c r="C71" i="1040"/>
  <c r="D3" i="1040"/>
  <c r="D71" i="1040"/>
  <c r="F64" i="1040"/>
  <c r="F3" i="1040"/>
  <c r="C58" i="1040"/>
  <c r="C57" i="1040"/>
  <c r="D56" i="1040"/>
  <c r="H47" i="1040"/>
  <c r="H48" i="1040"/>
  <c r="I45" i="1040"/>
  <c r="H46" i="1040"/>
  <c r="C45" i="1040"/>
  <c r="B52" i="1040"/>
  <c r="B48" i="1040"/>
  <c r="B47" i="1040"/>
  <c r="B46" i="1040"/>
  <c r="B59" i="1040"/>
  <c r="J19" i="1039"/>
  <c r="B3" i="1039" s="1"/>
  <c r="F71" i="1039"/>
  <c r="B71" i="1039"/>
  <c r="J64" i="1039"/>
  <c r="D64" i="1039"/>
  <c r="E71" i="1039"/>
  <c r="M64" i="1039"/>
  <c r="I64" i="1039"/>
  <c r="C64" i="1039"/>
  <c r="D71" i="1039"/>
  <c r="L64" i="1039"/>
  <c r="F64" i="1039"/>
  <c r="B64" i="1039"/>
  <c r="K64" i="1039"/>
  <c r="A16" i="1039"/>
  <c r="E64" i="1039"/>
  <c r="C71" i="1039"/>
  <c r="F3" i="1039"/>
  <c r="M4" i="1039"/>
  <c r="D3" i="1039"/>
  <c r="C45" i="1039"/>
  <c r="B52" i="1039"/>
  <c r="B48" i="1039"/>
  <c r="B46" i="1039"/>
  <c r="B47" i="1039"/>
  <c r="C58" i="1039"/>
  <c r="C57" i="1039"/>
  <c r="D56" i="1039"/>
  <c r="J45" i="1039"/>
  <c r="I48" i="1039"/>
  <c r="I47" i="1039"/>
  <c r="I46" i="1039"/>
  <c r="H49" i="1039"/>
  <c r="H51" i="1039" s="1"/>
  <c r="H50" i="1039"/>
  <c r="B59" i="1039"/>
  <c r="J19" i="1038"/>
  <c r="B3" i="1038" s="1"/>
  <c r="O67" i="1038"/>
  <c r="O66" i="1038"/>
  <c r="O65" i="1038"/>
  <c r="O68" i="1038"/>
  <c r="C66" i="1038"/>
  <c r="C65" i="1038"/>
  <c r="C68" i="1038"/>
  <c r="C67" i="1038"/>
  <c r="D65" i="1038"/>
  <c r="D68" i="1038"/>
  <c r="D67" i="1038"/>
  <c r="D66" i="1038"/>
  <c r="K67" i="1038"/>
  <c r="K66" i="1038"/>
  <c r="K69" i="1038"/>
  <c r="K65" i="1038"/>
  <c r="K68" i="1038"/>
  <c r="N68" i="1038"/>
  <c r="E68" i="1038" s="1"/>
  <c r="N67" i="1038"/>
  <c r="E67" i="1038"/>
  <c r="N66" i="1038"/>
  <c r="E66" i="1038"/>
  <c r="N65" i="1038"/>
  <c r="E65" i="1038"/>
  <c r="C58" i="1038"/>
  <c r="C57" i="1038"/>
  <c r="C59" i="1038" s="1"/>
  <c r="D56" i="1038"/>
  <c r="L66" i="1038"/>
  <c r="N64" i="1038"/>
  <c r="L65" i="1038"/>
  <c r="L69" i="1038" s="1"/>
  <c r="L68" i="1038"/>
  <c r="L67" i="1038"/>
  <c r="I69" i="1038"/>
  <c r="I65" i="1038"/>
  <c r="I68" i="1038"/>
  <c r="I67" i="1038"/>
  <c r="I66" i="1038"/>
  <c r="J68" i="1038"/>
  <c r="J67" i="1038"/>
  <c r="J66" i="1038"/>
  <c r="J69" i="1038"/>
  <c r="J65" i="1038"/>
  <c r="I45" i="1038"/>
  <c r="H47" i="1038"/>
  <c r="H48" i="1038"/>
  <c r="H46" i="1038"/>
  <c r="C45" i="1038"/>
  <c r="B52" i="1038"/>
  <c r="B48" i="1038"/>
  <c r="B46" i="1038"/>
  <c r="B47" i="1038"/>
  <c r="C74" i="1038"/>
  <c r="C73" i="1038"/>
  <c r="C72" i="1038"/>
  <c r="C75" i="1038"/>
  <c r="D73" i="1038"/>
  <c r="D72" i="1038"/>
  <c r="D75" i="1038"/>
  <c r="D74" i="1038"/>
  <c r="M65" i="1038"/>
  <c r="M68" i="1038"/>
  <c r="M67" i="1038"/>
  <c r="M66" i="1038"/>
  <c r="O64" i="1038"/>
  <c r="B75" i="1038"/>
  <c r="B74" i="1038"/>
  <c r="B73" i="1038"/>
  <c r="B72" i="1038"/>
  <c r="B59" i="1038"/>
  <c r="B67" i="1038"/>
  <c r="B66" i="1038"/>
  <c r="B65" i="1038"/>
  <c r="B68" i="1038"/>
  <c r="E72" i="1038"/>
  <c r="E75" i="1038"/>
  <c r="E74" i="1038"/>
  <c r="E73" i="1038"/>
  <c r="F75" i="1038"/>
  <c r="F74" i="1038"/>
  <c r="F73" i="1038"/>
  <c r="F72" i="1038"/>
  <c r="J19" i="1037"/>
  <c r="B3" i="1037" s="1"/>
  <c r="F71" i="1037"/>
  <c r="B71" i="1037"/>
  <c r="J64" i="1037"/>
  <c r="D64" i="1037"/>
  <c r="E71" i="1037"/>
  <c r="M64" i="1037"/>
  <c r="I64" i="1037"/>
  <c r="C64" i="1037"/>
  <c r="D71" i="1037"/>
  <c r="L64" i="1037"/>
  <c r="F64" i="1037"/>
  <c r="B64" i="1037"/>
  <c r="K64" i="1037"/>
  <c r="M4" i="1037"/>
  <c r="D3" i="1037"/>
  <c r="F3" i="1037"/>
  <c r="E64" i="1037"/>
  <c r="A16" i="1037"/>
  <c r="C71" i="1037"/>
  <c r="B59" i="1037"/>
  <c r="H50" i="1037"/>
  <c r="H44" i="1037" s="1"/>
  <c r="H49" i="1037"/>
  <c r="C45" i="1037"/>
  <c r="B52" i="1037"/>
  <c r="B48" i="1037"/>
  <c r="B46" i="1037"/>
  <c r="B47" i="1037"/>
  <c r="C58" i="1037"/>
  <c r="C57" i="1037"/>
  <c r="C59" i="1037" s="1"/>
  <c r="D56" i="1037"/>
  <c r="J45" i="1037"/>
  <c r="I48" i="1037"/>
  <c r="I47" i="1037"/>
  <c r="I46" i="1037"/>
  <c r="J19" i="1036"/>
  <c r="B3" i="1036" s="1"/>
  <c r="C45" i="1036"/>
  <c r="B52" i="1036"/>
  <c r="B48" i="1036"/>
  <c r="B46" i="1036"/>
  <c r="B47" i="1036"/>
  <c r="C58" i="1036"/>
  <c r="C57" i="1036"/>
  <c r="D56" i="1036"/>
  <c r="F71" i="1036"/>
  <c r="B71" i="1036"/>
  <c r="J64" i="1036"/>
  <c r="D64" i="1036"/>
  <c r="E71" i="1036"/>
  <c r="M64" i="1036"/>
  <c r="I64" i="1036"/>
  <c r="C64" i="1036"/>
  <c r="D71" i="1036"/>
  <c r="L64" i="1036"/>
  <c r="F64" i="1036"/>
  <c r="B64" i="1036"/>
  <c r="K64" i="1036"/>
  <c r="A16" i="1036"/>
  <c r="E64" i="1036"/>
  <c r="C71" i="1036"/>
  <c r="M4" i="1036"/>
  <c r="F3" i="1036"/>
  <c r="D3" i="1036"/>
  <c r="L14" i="1036"/>
  <c r="I45" i="1036"/>
  <c r="H47" i="1036"/>
  <c r="H48" i="1036"/>
  <c r="H46" i="1036"/>
  <c r="B59" i="1036"/>
  <c r="D24" i="1035"/>
  <c r="F25" i="1035"/>
  <c r="B3" i="1035" s="1"/>
  <c r="D25" i="1035"/>
  <c r="J19" i="1035"/>
  <c r="B53" i="1035"/>
  <c r="B50" i="1035"/>
  <c r="B51" i="1035" s="1"/>
  <c r="B49" i="1035"/>
  <c r="F71" i="1035"/>
  <c r="B71" i="1035"/>
  <c r="J64" i="1035"/>
  <c r="D64" i="1035"/>
  <c r="E71" i="1035"/>
  <c r="M64" i="1035"/>
  <c r="I64" i="1035"/>
  <c r="C64" i="1035"/>
  <c r="A16" i="1035"/>
  <c r="D71" i="1035"/>
  <c r="L64" i="1035"/>
  <c r="F64" i="1035"/>
  <c r="B64" i="1035"/>
  <c r="K64" i="1035"/>
  <c r="F3" i="1035"/>
  <c r="E64" i="1035"/>
  <c r="M4" i="1035"/>
  <c r="D3" i="1035"/>
  <c r="C71" i="1035"/>
  <c r="C58" i="1035"/>
  <c r="C57" i="1035"/>
  <c r="D56" i="1035"/>
  <c r="B54" i="1035"/>
  <c r="C52" i="1035"/>
  <c r="B59" i="1035"/>
  <c r="I45" i="1035"/>
  <c r="H47" i="1035"/>
  <c r="H48" i="1035"/>
  <c r="H46" i="1035"/>
  <c r="D45" i="1035"/>
  <c r="C48" i="1035"/>
  <c r="C47" i="1035"/>
  <c r="C46" i="1035"/>
  <c r="B3" i="1034"/>
  <c r="C45" i="1034"/>
  <c r="B52" i="1034"/>
  <c r="B48" i="1034"/>
  <c r="B47" i="1034"/>
  <c r="B46" i="1034"/>
  <c r="I45" i="1034"/>
  <c r="H48" i="1034"/>
  <c r="H47" i="1034"/>
  <c r="H46" i="1034"/>
  <c r="B59" i="1034"/>
  <c r="J19" i="1034"/>
  <c r="F71" i="1034"/>
  <c r="B71" i="1034"/>
  <c r="J64" i="1034"/>
  <c r="D64" i="1034"/>
  <c r="E71" i="1034"/>
  <c r="M64" i="1034"/>
  <c r="I64" i="1034"/>
  <c r="C64" i="1034"/>
  <c r="D71" i="1034"/>
  <c r="L64" i="1034"/>
  <c r="F64" i="1034"/>
  <c r="B64" i="1034"/>
  <c r="C71" i="1034"/>
  <c r="K64" i="1034"/>
  <c r="E64" i="1034"/>
  <c r="M4" i="1034"/>
  <c r="D3" i="1034"/>
  <c r="F3" i="1034"/>
  <c r="A16" i="1034"/>
  <c r="C58" i="1034"/>
  <c r="C57" i="1034"/>
  <c r="C59" i="1034" s="1"/>
  <c r="D56" i="1034"/>
  <c r="G37" i="1033"/>
  <c r="D38" i="1033"/>
  <c r="G38" i="1033" s="1"/>
  <c r="F19" i="1033"/>
  <c r="B24" i="1033"/>
  <c r="F24" i="1033" s="1"/>
  <c r="B25" i="1033"/>
  <c r="C25" i="1033"/>
  <c r="D25" i="1033" s="1"/>
  <c r="I23" i="1033"/>
  <c r="N68" i="1033"/>
  <c r="N67" i="1033"/>
  <c r="E67" i="1033"/>
  <c r="N66" i="1033"/>
  <c r="E66" i="1033"/>
  <c r="N65" i="1033"/>
  <c r="E65" i="1033"/>
  <c r="F25" i="1033"/>
  <c r="C71" i="1033"/>
  <c r="I25" i="1033"/>
  <c r="F27" i="1033" s="1"/>
  <c r="N23" i="1033"/>
  <c r="L22" i="1033"/>
  <c r="N21" i="1033"/>
  <c r="L14" i="1033"/>
  <c r="N24" i="1033"/>
  <c r="L24" i="1033"/>
  <c r="M1" i="1033"/>
  <c r="D3" i="1033"/>
  <c r="M4" i="1033"/>
  <c r="L23" i="1033"/>
  <c r="B45" i="1033"/>
  <c r="C56" i="1033"/>
  <c r="B58" i="1033"/>
  <c r="B57" i="1033"/>
  <c r="F3" i="1033"/>
  <c r="I17" i="1033"/>
  <c r="J17" i="1033" s="1"/>
  <c r="J20" i="1033"/>
  <c r="I21" i="1033"/>
  <c r="I22" i="1033"/>
  <c r="D13" i="1033"/>
  <c r="H45" i="1033"/>
  <c r="F71" i="1033"/>
  <c r="B71" i="1033"/>
  <c r="J64" i="1033"/>
  <c r="D64" i="1033"/>
  <c r="E71" i="1033"/>
  <c r="M64" i="1033"/>
  <c r="I64" i="1033"/>
  <c r="C64" i="1033"/>
  <c r="D71" i="1033"/>
  <c r="L64" i="1033"/>
  <c r="F64" i="1033"/>
  <c r="B64" i="1033"/>
  <c r="A16" i="1033"/>
  <c r="F20" i="1033"/>
  <c r="L21" i="1033"/>
  <c r="N22" i="1033"/>
  <c r="I20" i="1033" s="1"/>
  <c r="J19" i="1033" s="1"/>
  <c r="I24" i="1033"/>
  <c r="F26" i="1033" s="1"/>
  <c r="K64" i="1033"/>
  <c r="D24" i="1033"/>
  <c r="D37" i="1032"/>
  <c r="G37" i="1032" s="1"/>
  <c r="F20" i="1032"/>
  <c r="D24" i="1032"/>
  <c r="C25" i="1032"/>
  <c r="I45" i="1032"/>
  <c r="H47" i="1032"/>
  <c r="H48" i="1032"/>
  <c r="H46" i="1032"/>
  <c r="C56" i="1032"/>
  <c r="B58" i="1032"/>
  <c r="B57" i="1032"/>
  <c r="L17" i="1032"/>
  <c r="K11" i="1032"/>
  <c r="N22" i="1032"/>
  <c r="I20" i="1032" s="1"/>
  <c r="I24" i="1032"/>
  <c r="F26" i="1032" s="1"/>
  <c r="B45" i="1032"/>
  <c r="J20" i="1032"/>
  <c r="I21" i="1032"/>
  <c r="I23" i="1032"/>
  <c r="L24" i="1032"/>
  <c r="D13" i="1032"/>
  <c r="G13" i="1032"/>
  <c r="C13" i="1032"/>
  <c r="I25" i="1032"/>
  <c r="F27" i="1032" s="1"/>
  <c r="N23" i="1032"/>
  <c r="L22" i="1032"/>
  <c r="N21" i="1032"/>
  <c r="L14" i="1032"/>
  <c r="N24" i="1032"/>
  <c r="L23" i="1032"/>
  <c r="I22" i="1032"/>
  <c r="L21" i="1032"/>
  <c r="M1" i="1032"/>
  <c r="D38" i="1031"/>
  <c r="G38" i="1031" s="1"/>
  <c r="G37" i="1031"/>
  <c r="F19" i="1031"/>
  <c r="B24" i="1031"/>
  <c r="F24" i="1031" s="1"/>
  <c r="I24" i="1031"/>
  <c r="F26" i="1031" s="1"/>
  <c r="C45" i="1031"/>
  <c r="B52" i="1031"/>
  <c r="B48" i="1031"/>
  <c r="B46" i="1031"/>
  <c r="B47" i="1031"/>
  <c r="F25" i="1031"/>
  <c r="D25" i="1031"/>
  <c r="I25" i="1031"/>
  <c r="F27" i="1031" s="1"/>
  <c r="N23" i="1031"/>
  <c r="L22" i="1031"/>
  <c r="N21" i="1031"/>
  <c r="L14" i="1031"/>
  <c r="N24" i="1031"/>
  <c r="L23" i="1031"/>
  <c r="I22" i="1031"/>
  <c r="L21" i="1031"/>
  <c r="L24" i="1031"/>
  <c r="I23" i="1031"/>
  <c r="M1" i="1031"/>
  <c r="L17" i="1031"/>
  <c r="F20" i="1031"/>
  <c r="N22" i="1031"/>
  <c r="I20" i="1031" s="1"/>
  <c r="D13" i="1031"/>
  <c r="G13" i="1031"/>
  <c r="C13" i="1031"/>
  <c r="H45" i="1031"/>
  <c r="C56" i="1031"/>
  <c r="B58" i="1031"/>
  <c r="B57" i="1031"/>
  <c r="D24" i="1031"/>
  <c r="F26" i="1030"/>
  <c r="G37" i="1030"/>
  <c r="B13" i="1030"/>
  <c r="F20" i="1030"/>
  <c r="F19" i="1030"/>
  <c r="L17" i="1030"/>
  <c r="F71" i="1030"/>
  <c r="B71" i="1030"/>
  <c r="J64" i="1030"/>
  <c r="D64" i="1030"/>
  <c r="E71" i="1030"/>
  <c r="M64" i="1030"/>
  <c r="I64" i="1030"/>
  <c r="C64" i="1030"/>
  <c r="A16" i="1030"/>
  <c r="D71" i="1030"/>
  <c r="L64" i="1030"/>
  <c r="F64" i="1030"/>
  <c r="B64" i="1030"/>
  <c r="I25" i="1030"/>
  <c r="F27" i="1030" s="1"/>
  <c r="N23" i="1030"/>
  <c r="L22" i="1030"/>
  <c r="N21" i="1030"/>
  <c r="N24" i="1030"/>
  <c r="L23" i="1030"/>
  <c r="I22" i="1030"/>
  <c r="L21" i="1030"/>
  <c r="L24" i="1030"/>
  <c r="M1" i="1030"/>
  <c r="D3" i="1030"/>
  <c r="M4" i="1030"/>
  <c r="N22" i="1030"/>
  <c r="I20" i="1030" s="1"/>
  <c r="F25" i="1030"/>
  <c r="D25" i="1030"/>
  <c r="B45" i="1030"/>
  <c r="C71" i="1030"/>
  <c r="F3" i="1030"/>
  <c r="K11" i="1030"/>
  <c r="L14" i="1030" s="1"/>
  <c r="J20" i="1030"/>
  <c r="I21" i="1030"/>
  <c r="I23" i="1030"/>
  <c r="G13" i="1030"/>
  <c r="C13" i="1030"/>
  <c r="H45" i="1030"/>
  <c r="E64" i="1030"/>
  <c r="C56" i="1030"/>
  <c r="B58" i="1030"/>
  <c r="B57" i="1030"/>
  <c r="K64" i="1030"/>
  <c r="D24" i="1030"/>
  <c r="D20" i="1029"/>
  <c r="B13" i="1029"/>
  <c r="F13" i="1029"/>
  <c r="F19" i="1029"/>
  <c r="B24" i="1029"/>
  <c r="F24" i="1029" s="1"/>
  <c r="G36" i="1029"/>
  <c r="F25" i="1029"/>
  <c r="D25" i="1029"/>
  <c r="B25" i="1029"/>
  <c r="L24" i="1029"/>
  <c r="I23" i="1029"/>
  <c r="J20" i="1029"/>
  <c r="C71" i="1029"/>
  <c r="I25" i="1029"/>
  <c r="F27" i="1029" s="1"/>
  <c r="N23" i="1029"/>
  <c r="L22" i="1029"/>
  <c r="N21" i="1029"/>
  <c r="N24" i="1029"/>
  <c r="L23" i="1029"/>
  <c r="I22" i="1029"/>
  <c r="L21" i="1029"/>
  <c r="M1" i="1029"/>
  <c r="G13" i="1029"/>
  <c r="C13" i="1029"/>
  <c r="B45" i="1029"/>
  <c r="F71" i="1029"/>
  <c r="B71" i="1029"/>
  <c r="J64" i="1029"/>
  <c r="D64" i="1029"/>
  <c r="E71" i="1029"/>
  <c r="M64" i="1029"/>
  <c r="I64" i="1029"/>
  <c r="C64" i="1029"/>
  <c r="A16" i="1029"/>
  <c r="D71" i="1029"/>
  <c r="L64" i="1029"/>
  <c r="F64" i="1029"/>
  <c r="B64" i="1029"/>
  <c r="F3" i="1029"/>
  <c r="K11" i="1029"/>
  <c r="L17" i="1029"/>
  <c r="F20" i="1029"/>
  <c r="H45" i="1029"/>
  <c r="E64" i="1029"/>
  <c r="C56" i="1029"/>
  <c r="B58" i="1029"/>
  <c r="B57" i="1029"/>
  <c r="N22" i="1029"/>
  <c r="I20" i="1029" s="1"/>
  <c r="I24" i="1029"/>
  <c r="F26" i="1029" s="1"/>
  <c r="K64" i="1029"/>
  <c r="G37" i="1028"/>
  <c r="F20" i="1028"/>
  <c r="B13" i="1028"/>
  <c r="C25" i="1028"/>
  <c r="K11" i="1028"/>
  <c r="C45" i="1028"/>
  <c r="B52" i="1028"/>
  <c r="B48" i="1028"/>
  <c r="B46" i="1028"/>
  <c r="B47" i="1028"/>
  <c r="C56" i="1028"/>
  <c r="B58" i="1028"/>
  <c r="B57" i="1028"/>
  <c r="L17" i="1028"/>
  <c r="N22" i="1028"/>
  <c r="I20" i="1028" s="1"/>
  <c r="I24" i="1028"/>
  <c r="F26" i="1028" s="1"/>
  <c r="I25" i="1028"/>
  <c r="F27" i="1028" s="1"/>
  <c r="N23" i="1028"/>
  <c r="L22" i="1028"/>
  <c r="N21" i="1028"/>
  <c r="L14" i="1028"/>
  <c r="N24" i="1028"/>
  <c r="L23" i="1028"/>
  <c r="I22" i="1028"/>
  <c r="L21" i="1028"/>
  <c r="M1" i="1028"/>
  <c r="J20" i="1028"/>
  <c r="I21" i="1028"/>
  <c r="I23" i="1028"/>
  <c r="L24" i="1028"/>
  <c r="D13" i="1028"/>
  <c r="H45" i="1028"/>
  <c r="G37" i="1027"/>
  <c r="D36" i="1027"/>
  <c r="G36" i="1027" s="1"/>
  <c r="C24" i="1027"/>
  <c r="D24" i="1027" s="1"/>
  <c r="C25" i="1027"/>
  <c r="F25" i="1027" s="1"/>
  <c r="J20" i="1027"/>
  <c r="I21" i="1027"/>
  <c r="I45" i="1027"/>
  <c r="H47" i="1027"/>
  <c r="H48" i="1027"/>
  <c r="H46" i="1027"/>
  <c r="I17" i="1027"/>
  <c r="J17" i="1027" s="1"/>
  <c r="K11" i="1027"/>
  <c r="L17" i="1027"/>
  <c r="F20" i="1027"/>
  <c r="L21" i="1027"/>
  <c r="N22" i="1027"/>
  <c r="I20" i="1027" s="1"/>
  <c r="B45" i="1027"/>
  <c r="F19" i="1027"/>
  <c r="I23" i="1027"/>
  <c r="I24" i="1027"/>
  <c r="F26" i="1027" s="1"/>
  <c r="D13" i="1027"/>
  <c r="C56" i="1027"/>
  <c r="B58" i="1027"/>
  <c r="B57" i="1027"/>
  <c r="I25" i="1027"/>
  <c r="F27" i="1027" s="1"/>
  <c r="N23" i="1027"/>
  <c r="L22" i="1027"/>
  <c r="N21" i="1027"/>
  <c r="L14" i="1027"/>
  <c r="N24" i="1027"/>
  <c r="L24" i="1027"/>
  <c r="L23" i="1027"/>
  <c r="D25" i="1027"/>
  <c r="F21" i="1026"/>
  <c r="D20" i="1026"/>
  <c r="F20" i="1026" s="1"/>
  <c r="D24" i="1026"/>
  <c r="F25" i="1026"/>
  <c r="D25" i="1026"/>
  <c r="B25" i="1026"/>
  <c r="C56" i="1026"/>
  <c r="B57" i="1026"/>
  <c r="B58" i="1026"/>
  <c r="F71" i="1026"/>
  <c r="B71" i="1026"/>
  <c r="J64" i="1026"/>
  <c r="D64" i="1026"/>
  <c r="E71" i="1026"/>
  <c r="D71" i="1026"/>
  <c r="L64" i="1026"/>
  <c r="F64" i="1026"/>
  <c r="B64" i="1026"/>
  <c r="C71" i="1026"/>
  <c r="K64" i="1026"/>
  <c r="E64" i="1026"/>
  <c r="L17" i="1026"/>
  <c r="I64" i="1026"/>
  <c r="M1" i="1026"/>
  <c r="D3" i="1026"/>
  <c r="F19" i="1026"/>
  <c r="M64" i="1026"/>
  <c r="F3" i="1026"/>
  <c r="I25" i="1026"/>
  <c r="F27" i="1026" s="1"/>
  <c r="N23" i="1026"/>
  <c r="L22" i="1026"/>
  <c r="N21" i="1026"/>
  <c r="K11" i="1026"/>
  <c r="L14" i="1026" s="1"/>
  <c r="L24" i="1026"/>
  <c r="I23" i="1026"/>
  <c r="I21" i="1026"/>
  <c r="J20" i="1026"/>
  <c r="H45" i="1026"/>
  <c r="B45" i="1026"/>
  <c r="I24" i="1026"/>
  <c r="F26" i="1026" s="1"/>
  <c r="N22" i="1026"/>
  <c r="I20" i="1026" s="1"/>
  <c r="I22" i="1026"/>
  <c r="A16" i="1026"/>
  <c r="L21" i="1026"/>
  <c r="L23" i="1026"/>
  <c r="N24" i="1026"/>
  <c r="G36" i="1026"/>
  <c r="C64" i="1026"/>
  <c r="F143" i="1025"/>
  <c r="E143" i="1025"/>
  <c r="D143" i="1025"/>
  <c r="C143" i="1025"/>
  <c r="D20" i="1025" s="1"/>
  <c r="B143" i="1025"/>
  <c r="B142" i="1025"/>
  <c r="F137" i="1025"/>
  <c r="E137" i="1025"/>
  <c r="D137" i="1025"/>
  <c r="C137" i="1025"/>
  <c r="B137" i="1025"/>
  <c r="F103" i="1025"/>
  <c r="E103" i="1025"/>
  <c r="D103" i="1025"/>
  <c r="C103" i="1025"/>
  <c r="B103" i="1025"/>
  <c r="Y94" i="1025"/>
  <c r="X94" i="1025"/>
  <c r="W94" i="1025"/>
  <c r="V94" i="1025"/>
  <c r="U94" i="1025"/>
  <c r="T94" i="1025"/>
  <c r="S94" i="1025"/>
  <c r="R94" i="1025"/>
  <c r="Q94" i="1025"/>
  <c r="P94" i="1025"/>
  <c r="O94" i="1025"/>
  <c r="N94" i="1025"/>
  <c r="M94" i="1025"/>
  <c r="L94" i="1025"/>
  <c r="K94" i="1025"/>
  <c r="J94" i="1025"/>
  <c r="I94" i="1025"/>
  <c r="H94" i="1025"/>
  <c r="G94" i="1025"/>
  <c r="F94" i="1025"/>
  <c r="E94" i="1025"/>
  <c r="D94" i="1025"/>
  <c r="C94" i="1025"/>
  <c r="B94" i="1025"/>
  <c r="E39" i="1025"/>
  <c r="C39" i="1025"/>
  <c r="D39" i="1025" s="1"/>
  <c r="G39" i="1025" s="1"/>
  <c r="B39" i="1025"/>
  <c r="E38" i="1025"/>
  <c r="C38" i="1025"/>
  <c r="B38" i="1025"/>
  <c r="E37" i="1025"/>
  <c r="C37" i="1025"/>
  <c r="B37" i="1025"/>
  <c r="E36" i="1025"/>
  <c r="C36" i="1025"/>
  <c r="B36" i="1025"/>
  <c r="D34" i="1025"/>
  <c r="B34" i="1025"/>
  <c r="C13" i="1025" s="1"/>
  <c r="D33" i="1025"/>
  <c r="D32" i="1025"/>
  <c r="B32" i="1025"/>
  <c r="F32" i="1025" s="1"/>
  <c r="D31" i="1025"/>
  <c r="B31" i="1025"/>
  <c r="F31" i="1025" s="1"/>
  <c r="D30" i="1025"/>
  <c r="B30" i="1025"/>
  <c r="F30" i="1025" s="1"/>
  <c r="C27" i="1025"/>
  <c r="D27" i="1025" s="1"/>
  <c r="B27" i="1025"/>
  <c r="C26" i="1025"/>
  <c r="D26" i="1025" s="1"/>
  <c r="B26" i="1025"/>
  <c r="B22" i="1025"/>
  <c r="F22" i="1025" s="1"/>
  <c r="D21" i="1025"/>
  <c r="B21" i="1025"/>
  <c r="F21" i="1025" s="1"/>
  <c r="B20" i="1025"/>
  <c r="D19" i="1025"/>
  <c r="B19" i="1025"/>
  <c r="F19" i="1025" s="1"/>
  <c r="K15" i="1025"/>
  <c r="N14" i="1025"/>
  <c r="G13" i="1025"/>
  <c r="F13" i="1025"/>
  <c r="E13" i="1025"/>
  <c r="B13" i="1025"/>
  <c r="M11" i="1025"/>
  <c r="M10" i="1025"/>
  <c r="F10" i="1025"/>
  <c r="E10" i="1025"/>
  <c r="D10" i="1025"/>
  <c r="C10" i="1025"/>
  <c r="B10" i="1025"/>
  <c r="M9" i="1025"/>
  <c r="D4" i="1025"/>
  <c r="E4" i="1025" s="1"/>
  <c r="N2" i="1025"/>
  <c r="N1" i="1025"/>
  <c r="M1" i="1025" s="1"/>
  <c r="K1" i="1025"/>
  <c r="D1" i="1025"/>
  <c r="C1" i="1025"/>
  <c r="F143" i="1024"/>
  <c r="E143" i="1024"/>
  <c r="D143" i="1024"/>
  <c r="C143" i="1024"/>
  <c r="B143" i="1024"/>
  <c r="B142" i="1024"/>
  <c r="F137" i="1024"/>
  <c r="E137" i="1024"/>
  <c r="D137" i="1024"/>
  <c r="C137" i="1024"/>
  <c r="B137" i="1024"/>
  <c r="F103" i="1024"/>
  <c r="E103" i="1024"/>
  <c r="D103" i="1024"/>
  <c r="C103" i="1024"/>
  <c r="B103" i="1024"/>
  <c r="Y94" i="1024"/>
  <c r="X94" i="1024"/>
  <c r="W94" i="1024"/>
  <c r="V94" i="1024"/>
  <c r="U94" i="1024"/>
  <c r="T94" i="1024"/>
  <c r="S94" i="1024"/>
  <c r="R94" i="1024"/>
  <c r="Q94" i="1024"/>
  <c r="P94" i="1024"/>
  <c r="O94" i="1024"/>
  <c r="N94" i="1024"/>
  <c r="M94" i="1024"/>
  <c r="L94" i="1024"/>
  <c r="K94" i="1024"/>
  <c r="J94" i="1024"/>
  <c r="I94" i="1024"/>
  <c r="H94" i="1024"/>
  <c r="G94" i="1024"/>
  <c r="F94" i="1024"/>
  <c r="E94" i="1024"/>
  <c r="D94" i="1024"/>
  <c r="C94" i="1024"/>
  <c r="B94" i="1024"/>
  <c r="E39" i="1024"/>
  <c r="C39" i="1024"/>
  <c r="B39" i="1024"/>
  <c r="E38" i="1024"/>
  <c r="C38" i="1024"/>
  <c r="B38" i="1024"/>
  <c r="E37" i="1024"/>
  <c r="C37" i="1024"/>
  <c r="B37" i="1024"/>
  <c r="E36" i="1024"/>
  <c r="C36" i="1024"/>
  <c r="D36" i="1024" s="1"/>
  <c r="G36" i="1024" s="1"/>
  <c r="B36" i="1024"/>
  <c r="D34" i="1024"/>
  <c r="B34" i="1024"/>
  <c r="E13" i="1024" s="1"/>
  <c r="D33" i="1024"/>
  <c r="D32" i="1024"/>
  <c r="B32" i="1024"/>
  <c r="F32" i="1024" s="1"/>
  <c r="D31" i="1024"/>
  <c r="B31" i="1024"/>
  <c r="F31" i="1024" s="1"/>
  <c r="D30" i="1024"/>
  <c r="B30" i="1024"/>
  <c r="F30" i="1024" s="1"/>
  <c r="C27" i="1024"/>
  <c r="D27" i="1024" s="1"/>
  <c r="B27" i="1024"/>
  <c r="C26" i="1024"/>
  <c r="D26" i="1024" s="1"/>
  <c r="B26" i="1024"/>
  <c r="B22" i="1024"/>
  <c r="F22" i="1024" s="1"/>
  <c r="D21" i="1024"/>
  <c r="F21" i="1024" s="1"/>
  <c r="B21" i="1024"/>
  <c r="B20" i="1024"/>
  <c r="D19" i="1024"/>
  <c r="B19" i="1024"/>
  <c r="F19" i="1024" s="1"/>
  <c r="K15" i="1024"/>
  <c r="N14" i="1024"/>
  <c r="M11" i="1024"/>
  <c r="M10" i="1024"/>
  <c r="F10" i="1024"/>
  <c r="E10" i="1024"/>
  <c r="D10" i="1024"/>
  <c r="C10" i="1024"/>
  <c r="B10" i="1024"/>
  <c r="M9" i="1024"/>
  <c r="D4" i="1024"/>
  <c r="E4" i="1024" s="1"/>
  <c r="N2" i="1024"/>
  <c r="N1" i="1024"/>
  <c r="I17" i="1024" s="1"/>
  <c r="J17" i="1024" s="1"/>
  <c r="K1" i="1024"/>
  <c r="D1" i="1024"/>
  <c r="C1" i="1024"/>
  <c r="F143" i="1023"/>
  <c r="E143" i="1023"/>
  <c r="D143" i="1023"/>
  <c r="C143" i="1023"/>
  <c r="B143" i="1023"/>
  <c r="B142" i="1023"/>
  <c r="F137" i="1023"/>
  <c r="E137" i="1023"/>
  <c r="D137" i="1023"/>
  <c r="C137" i="1023"/>
  <c r="B137" i="1023"/>
  <c r="F103" i="1023"/>
  <c r="E103" i="1023"/>
  <c r="D103" i="1023"/>
  <c r="C103" i="1023"/>
  <c r="B103" i="1023"/>
  <c r="Y94" i="1023"/>
  <c r="X94" i="1023"/>
  <c r="W94" i="1023"/>
  <c r="V94" i="1023"/>
  <c r="U94" i="1023"/>
  <c r="T94" i="1023"/>
  <c r="S94" i="1023"/>
  <c r="R94" i="1023"/>
  <c r="Q94" i="1023"/>
  <c r="P94" i="1023"/>
  <c r="O94" i="1023"/>
  <c r="N94" i="1023"/>
  <c r="M94" i="1023"/>
  <c r="L94" i="1023"/>
  <c r="K94" i="1023"/>
  <c r="J94" i="1023"/>
  <c r="I94" i="1023"/>
  <c r="H94" i="1023"/>
  <c r="G94" i="1023"/>
  <c r="F94" i="1023"/>
  <c r="E94" i="1023"/>
  <c r="D94" i="1023"/>
  <c r="C94" i="1023"/>
  <c r="B94" i="1023"/>
  <c r="E39" i="1023"/>
  <c r="C39" i="1023"/>
  <c r="B39" i="1023"/>
  <c r="E38" i="1023"/>
  <c r="C38" i="1023"/>
  <c r="D38" i="1023" s="1"/>
  <c r="G38" i="1023" s="1"/>
  <c r="B38" i="1023"/>
  <c r="E37" i="1023"/>
  <c r="C37" i="1023"/>
  <c r="B37" i="1023"/>
  <c r="E36" i="1023"/>
  <c r="C36" i="1023"/>
  <c r="D36" i="1023" s="1"/>
  <c r="G36" i="1023" s="1"/>
  <c r="B36" i="1023"/>
  <c r="D34" i="1023"/>
  <c r="B34" i="1023"/>
  <c r="E13" i="1023" s="1"/>
  <c r="D33" i="1023"/>
  <c r="F32" i="1023"/>
  <c r="D32" i="1023"/>
  <c r="B32" i="1023"/>
  <c r="D31" i="1023"/>
  <c r="B31" i="1023"/>
  <c r="F31" i="1023" s="1"/>
  <c r="F30" i="1023"/>
  <c r="D30" i="1023"/>
  <c r="B30" i="1023"/>
  <c r="D27" i="1023"/>
  <c r="C27" i="1023"/>
  <c r="B27" i="1023"/>
  <c r="C26" i="1023"/>
  <c r="D26" i="1023" s="1"/>
  <c r="B26" i="1023"/>
  <c r="C25" i="1023"/>
  <c r="D25" i="1023" s="1"/>
  <c r="B22" i="1023"/>
  <c r="F22" i="1023" s="1"/>
  <c r="D21" i="1023"/>
  <c r="F21" i="1023" s="1"/>
  <c r="B21" i="1023"/>
  <c r="B20" i="1023"/>
  <c r="D19" i="1023"/>
  <c r="B19" i="1023"/>
  <c r="K15" i="1023"/>
  <c r="N14" i="1023"/>
  <c r="G13" i="1023"/>
  <c r="F13" i="1023"/>
  <c r="B13" i="1023"/>
  <c r="M11" i="1023"/>
  <c r="M10" i="1023"/>
  <c r="F10" i="1023"/>
  <c r="E10" i="1023"/>
  <c r="D10" i="1023"/>
  <c r="C10" i="1023"/>
  <c r="B10" i="1023"/>
  <c r="M9" i="1023"/>
  <c r="D4" i="1023"/>
  <c r="E4" i="1023" s="1"/>
  <c r="N2" i="1023"/>
  <c r="N1" i="1023"/>
  <c r="K1" i="1023"/>
  <c r="D1" i="1023"/>
  <c r="C1" i="1023"/>
  <c r="B1" i="1023" s="1"/>
  <c r="M4" i="1023" s="1"/>
  <c r="F143" i="1022"/>
  <c r="E143" i="1022"/>
  <c r="D143" i="1022"/>
  <c r="C143" i="1022"/>
  <c r="B143" i="1022"/>
  <c r="B142" i="1022"/>
  <c r="F137" i="1022"/>
  <c r="E137" i="1022"/>
  <c r="D137" i="1022"/>
  <c r="C137" i="1022"/>
  <c r="B137" i="1022"/>
  <c r="F103" i="1022"/>
  <c r="E103" i="1022"/>
  <c r="D103" i="1022"/>
  <c r="C103" i="1022"/>
  <c r="B103" i="1022"/>
  <c r="Y94" i="1022"/>
  <c r="X94" i="1022"/>
  <c r="W94" i="1022"/>
  <c r="V94" i="1022"/>
  <c r="U94" i="1022"/>
  <c r="T94" i="1022"/>
  <c r="S94" i="1022"/>
  <c r="R94" i="1022"/>
  <c r="Q94" i="1022"/>
  <c r="P94" i="1022"/>
  <c r="O94" i="1022"/>
  <c r="N94" i="1022"/>
  <c r="M94" i="1022"/>
  <c r="L94" i="1022"/>
  <c r="K94" i="1022"/>
  <c r="J94" i="1022"/>
  <c r="I94" i="1022"/>
  <c r="H94" i="1022"/>
  <c r="G94" i="1022"/>
  <c r="F94" i="1022"/>
  <c r="E94" i="1022"/>
  <c r="D94" i="1022"/>
  <c r="C94" i="1022"/>
  <c r="B94" i="1022"/>
  <c r="E39" i="1022"/>
  <c r="C39" i="1022"/>
  <c r="D39" i="1022" s="1"/>
  <c r="B39" i="1022"/>
  <c r="E38" i="1022"/>
  <c r="C38" i="1022"/>
  <c r="B38" i="1022"/>
  <c r="E37" i="1022"/>
  <c r="C37" i="1022"/>
  <c r="B37" i="1022"/>
  <c r="E36" i="1022"/>
  <c r="C36" i="1022"/>
  <c r="B36" i="1022"/>
  <c r="D34" i="1022"/>
  <c r="B34" i="1022"/>
  <c r="D13" i="1022" s="1"/>
  <c r="D33" i="1022"/>
  <c r="D32" i="1022"/>
  <c r="B32" i="1022"/>
  <c r="F32" i="1022" s="1"/>
  <c r="D31" i="1022"/>
  <c r="B31" i="1022"/>
  <c r="F31" i="1022" s="1"/>
  <c r="D30" i="1022"/>
  <c r="B30" i="1022"/>
  <c r="F30" i="1022" s="1"/>
  <c r="C27" i="1022"/>
  <c r="D27" i="1022" s="1"/>
  <c r="B27" i="1022"/>
  <c r="C26" i="1022"/>
  <c r="D26" i="1022" s="1"/>
  <c r="B26" i="1022"/>
  <c r="B22" i="1022"/>
  <c r="F22" i="1022" s="1"/>
  <c r="D21" i="1022"/>
  <c r="B21" i="1022"/>
  <c r="F21" i="1022" s="1"/>
  <c r="B20" i="1022"/>
  <c r="D19" i="1022"/>
  <c r="B19" i="1022"/>
  <c r="K15" i="1022"/>
  <c r="N14" i="1022"/>
  <c r="M11" i="1022"/>
  <c r="M10" i="1022"/>
  <c r="F10" i="1022"/>
  <c r="E10" i="1022"/>
  <c r="D10" i="1022"/>
  <c r="C10" i="1022"/>
  <c r="B10" i="1022"/>
  <c r="M9" i="1022"/>
  <c r="D4" i="1022"/>
  <c r="E4" i="1022" s="1"/>
  <c r="N2" i="1022"/>
  <c r="N1" i="1022"/>
  <c r="I17" i="1022" s="1"/>
  <c r="J17" i="1022" s="1"/>
  <c r="K1" i="1022"/>
  <c r="D1" i="1022"/>
  <c r="C1" i="1022"/>
  <c r="F143" i="1021"/>
  <c r="E143" i="1021"/>
  <c r="D143" i="1021"/>
  <c r="C143" i="1021"/>
  <c r="B143" i="1021"/>
  <c r="B142" i="1021"/>
  <c r="F137" i="1021"/>
  <c r="E137" i="1021"/>
  <c r="D137" i="1021"/>
  <c r="C137" i="1021"/>
  <c r="B137" i="1021"/>
  <c r="F103" i="1021"/>
  <c r="E103" i="1021"/>
  <c r="D103" i="1021"/>
  <c r="C103" i="1021"/>
  <c r="B103" i="1021"/>
  <c r="Y94" i="1021"/>
  <c r="X94" i="1021"/>
  <c r="W94" i="1021"/>
  <c r="V94" i="1021"/>
  <c r="U94" i="1021"/>
  <c r="T94" i="1021"/>
  <c r="S94" i="1021"/>
  <c r="R94" i="1021"/>
  <c r="Q94" i="1021"/>
  <c r="P94" i="1021"/>
  <c r="O94" i="1021"/>
  <c r="N94" i="1021"/>
  <c r="M94" i="1021"/>
  <c r="L94" i="1021"/>
  <c r="K94" i="1021"/>
  <c r="J94" i="1021"/>
  <c r="I94" i="1021"/>
  <c r="H94" i="1021"/>
  <c r="G94" i="1021"/>
  <c r="F94" i="1021"/>
  <c r="E94" i="1021"/>
  <c r="D94" i="1021"/>
  <c r="C94" i="1021"/>
  <c r="B94" i="1021"/>
  <c r="E39" i="1021"/>
  <c r="C39" i="1021"/>
  <c r="B39" i="1021"/>
  <c r="D39" i="1021" s="1"/>
  <c r="G39" i="1021" s="1"/>
  <c r="E38" i="1021"/>
  <c r="C38" i="1021"/>
  <c r="B38" i="1021"/>
  <c r="E37" i="1021"/>
  <c r="C37" i="1021"/>
  <c r="B37" i="1021"/>
  <c r="D37" i="1021" s="1"/>
  <c r="E36" i="1021"/>
  <c r="C36" i="1021"/>
  <c r="D36" i="1021" s="1"/>
  <c r="G36" i="1021" s="1"/>
  <c r="B36" i="1021"/>
  <c r="D34" i="1021"/>
  <c r="B34" i="1021"/>
  <c r="C13" i="1021" s="1"/>
  <c r="D33" i="1021"/>
  <c r="D32" i="1021"/>
  <c r="B32" i="1021"/>
  <c r="F32" i="1021" s="1"/>
  <c r="D31" i="1021"/>
  <c r="B31" i="1021"/>
  <c r="F31" i="1021" s="1"/>
  <c r="D30" i="1021"/>
  <c r="B30" i="1021"/>
  <c r="F30" i="1021" s="1"/>
  <c r="C27" i="1021"/>
  <c r="D27" i="1021" s="1"/>
  <c r="B27" i="1021"/>
  <c r="C26" i="1021"/>
  <c r="D26" i="1021" s="1"/>
  <c r="B26" i="1021"/>
  <c r="B22" i="1021"/>
  <c r="F22" i="1021" s="1"/>
  <c r="D21" i="1021"/>
  <c r="B21" i="1021"/>
  <c r="B20" i="1021"/>
  <c r="D19" i="1021"/>
  <c r="B19" i="1021"/>
  <c r="K15" i="1021"/>
  <c r="N14" i="1021"/>
  <c r="E13" i="1021"/>
  <c r="M11" i="1021"/>
  <c r="M10" i="1021"/>
  <c r="F10" i="1021"/>
  <c r="E10" i="1021"/>
  <c r="D10" i="1021"/>
  <c r="C10" i="1021"/>
  <c r="B10" i="1021"/>
  <c r="M9" i="1021"/>
  <c r="D4" i="1021"/>
  <c r="E4" i="1021" s="1"/>
  <c r="N2" i="1021"/>
  <c r="N1" i="1021"/>
  <c r="M1" i="1021" s="1"/>
  <c r="K1" i="1021"/>
  <c r="D1" i="1021"/>
  <c r="C1" i="1021"/>
  <c r="G69" i="1024"/>
  <c r="G69" i="1023"/>
  <c r="G69" i="1022"/>
  <c r="G69" i="1021"/>
  <c r="G69" i="1025"/>
  <c r="H15" i="1"/>
  <c r="H14" i="1"/>
  <c r="H18" i="1"/>
  <c r="H3" i="1"/>
  <c r="H42" i="1"/>
  <c r="H45" i="1021" l="1"/>
  <c r="B1" i="1021"/>
  <c r="M4" i="1021" s="1"/>
  <c r="G37" i="1021"/>
  <c r="B56" i="1021"/>
  <c r="H45" i="1022"/>
  <c r="B1" i="1022"/>
  <c r="M4" i="1022" s="1"/>
  <c r="D36" i="1022"/>
  <c r="G36" i="1022" s="1"/>
  <c r="D39" i="1023"/>
  <c r="G39" i="1023" s="1"/>
  <c r="B13" i="1024"/>
  <c r="D38" i="1024"/>
  <c r="G38" i="1024" s="1"/>
  <c r="D37" i="1025"/>
  <c r="G37" i="1025" s="1"/>
  <c r="C59" i="1042"/>
  <c r="D59" i="1050"/>
  <c r="G67" i="1050"/>
  <c r="F67" i="1050" s="1"/>
  <c r="G65" i="1051"/>
  <c r="F65" i="1051" s="1"/>
  <c r="B33" i="1054"/>
  <c r="B40" i="1057"/>
  <c r="F34" i="1059"/>
  <c r="B5" i="1059" s="1"/>
  <c r="F14" i="1066"/>
  <c r="G14" i="1067"/>
  <c r="G14" i="1069"/>
  <c r="E40" i="1070"/>
  <c r="F6" i="1070" s="1"/>
  <c r="A54" i="1071"/>
  <c r="C25" i="1021"/>
  <c r="B56" i="1022"/>
  <c r="G39" i="1022"/>
  <c r="D37" i="1023"/>
  <c r="G37" i="1023" s="1"/>
  <c r="F13" i="1024"/>
  <c r="C24" i="1024"/>
  <c r="D20" i="1024"/>
  <c r="B25" i="1025"/>
  <c r="E76" i="1051"/>
  <c r="D76" i="1051"/>
  <c r="B25" i="1023"/>
  <c r="B45" i="1024"/>
  <c r="B1" i="1024"/>
  <c r="M4" i="1024" s="1"/>
  <c r="G13" i="1024"/>
  <c r="D142" i="1045"/>
  <c r="B69" i="1050"/>
  <c r="B25" i="1022"/>
  <c r="B24" i="1023"/>
  <c r="B56" i="1024"/>
  <c r="D39" i="1024"/>
  <c r="G39" i="1024" s="1"/>
  <c r="G67" i="1049"/>
  <c r="F67" i="1049" s="1"/>
  <c r="C40" i="1053"/>
  <c r="B33" i="1055"/>
  <c r="C40" i="1060"/>
  <c r="B40" i="1062"/>
  <c r="C40" i="1063"/>
  <c r="D38" i="1021"/>
  <c r="G38" i="1021" s="1"/>
  <c r="F21" i="1021"/>
  <c r="C24" i="1021"/>
  <c r="D20" i="1021"/>
  <c r="B56" i="1023"/>
  <c r="D37" i="1024"/>
  <c r="D38" i="1025"/>
  <c r="G38" i="1025" s="1"/>
  <c r="C59" i="1039"/>
  <c r="C59" i="1043"/>
  <c r="A54" i="1054"/>
  <c r="E59" i="1056"/>
  <c r="M14" i="1061"/>
  <c r="E59" i="1062"/>
  <c r="B25" i="1024"/>
  <c r="H45" i="1025"/>
  <c r="B1" i="1025"/>
  <c r="M4" i="1025" s="1"/>
  <c r="C24" i="1025"/>
  <c r="B69" i="1052"/>
  <c r="A54" i="1057"/>
  <c r="F13" i="1021"/>
  <c r="E13" i="1022"/>
  <c r="D38" i="1022"/>
  <c r="G38" i="1022" s="1"/>
  <c r="C24" i="1023"/>
  <c r="D20" i="1023"/>
  <c r="B56" i="1025"/>
  <c r="D36" i="1025"/>
  <c r="G36" i="1025" s="1"/>
  <c r="C59" i="1035"/>
  <c r="C59" i="1041"/>
  <c r="A54" i="1055"/>
  <c r="I14" i="1071"/>
  <c r="D3" i="1029"/>
  <c r="M4" i="1029"/>
  <c r="F13" i="1022"/>
  <c r="C24" i="1022"/>
  <c r="D20" i="1022"/>
  <c r="D40" i="1056"/>
  <c r="G40" i="1056" s="1"/>
  <c r="B4" i="1056" s="1"/>
  <c r="D24" i="1028"/>
  <c r="B76" i="1048"/>
  <c r="B69" i="1051"/>
  <c r="C69" i="1051"/>
  <c r="B5" i="1069"/>
  <c r="B5" i="1066"/>
  <c r="C40" i="1071"/>
  <c r="E40" i="1071"/>
  <c r="F6" i="1071" s="1"/>
  <c r="B5" i="1064"/>
  <c r="B40" i="1049"/>
  <c r="C40" i="1049"/>
  <c r="B76" i="1038"/>
  <c r="E40" i="1049"/>
  <c r="F6" i="1049" s="1"/>
  <c r="B33" i="1049"/>
  <c r="F69" i="1071"/>
  <c r="N3" i="1071" s="1"/>
  <c r="N5" i="1071"/>
  <c r="F15" i="1071"/>
  <c r="C15" i="1071"/>
  <c r="D15" i="1071"/>
  <c r="E15" i="1071"/>
  <c r="B15" i="1071"/>
  <c r="D44" i="1071"/>
  <c r="K6" i="1071" s="1"/>
  <c r="E16" i="1071"/>
  <c r="B33" i="1071"/>
  <c r="F14" i="1071" s="1"/>
  <c r="B40" i="1071"/>
  <c r="G56" i="1071"/>
  <c r="F58" i="1071"/>
  <c r="F57" i="1071"/>
  <c r="E50" i="1071"/>
  <c r="E51" i="1071" s="1"/>
  <c r="E49" i="1071"/>
  <c r="E44" i="1071" s="1"/>
  <c r="J50" i="1071"/>
  <c r="J44" i="1071" s="1"/>
  <c r="J49" i="1071"/>
  <c r="J51" i="1071" s="1"/>
  <c r="D53" i="1071"/>
  <c r="K48" i="1071"/>
  <c r="K47" i="1071"/>
  <c r="M62" i="1071" s="1"/>
  <c r="K46" i="1071"/>
  <c r="J62" i="1071" s="1"/>
  <c r="C51" i="1070"/>
  <c r="M14" i="1070"/>
  <c r="F69" i="1070"/>
  <c r="N3" i="1070" s="1"/>
  <c r="E52" i="1070"/>
  <c r="E54" i="1070" s="1"/>
  <c r="D54" i="1070"/>
  <c r="D50" i="1070"/>
  <c r="D51" i="1070" s="1"/>
  <c r="D49" i="1070"/>
  <c r="D44" i="1070" s="1"/>
  <c r="K6" i="1070" s="1"/>
  <c r="J50" i="1070"/>
  <c r="J44" i="1070" s="1"/>
  <c r="J49" i="1070"/>
  <c r="J51" i="1070" s="1"/>
  <c r="D40" i="1070"/>
  <c r="E48" i="1070"/>
  <c r="E47" i="1070"/>
  <c r="G62" i="1070" s="1"/>
  <c r="I14" i="1070" s="1"/>
  <c r="E46" i="1070"/>
  <c r="D62" i="1070" s="1"/>
  <c r="K48" i="1070"/>
  <c r="K47" i="1070"/>
  <c r="M62" i="1070" s="1"/>
  <c r="K46" i="1070"/>
  <c r="J62" i="1070" s="1"/>
  <c r="D14" i="1070"/>
  <c r="F14" i="1070"/>
  <c r="E14" i="1070"/>
  <c r="G14" i="1070"/>
  <c r="C14" i="1070"/>
  <c r="B14" i="1070"/>
  <c r="F34" i="1070"/>
  <c r="F33" i="1070"/>
  <c r="B5" i="1070" s="1"/>
  <c r="D53" i="1070"/>
  <c r="G56" i="1070"/>
  <c r="F58" i="1070"/>
  <c r="F57" i="1070"/>
  <c r="F69" i="1069"/>
  <c r="N3" i="1069" s="1"/>
  <c r="D62" i="1069"/>
  <c r="K48" i="1069"/>
  <c r="K47" i="1069"/>
  <c r="M62" i="1069" s="1"/>
  <c r="K46" i="1069"/>
  <c r="J62" i="1069" s="1"/>
  <c r="E48" i="1069"/>
  <c r="E47" i="1069"/>
  <c r="G62" i="1069" s="1"/>
  <c r="I14" i="1069" s="1"/>
  <c r="E46" i="1069"/>
  <c r="D53" i="1069"/>
  <c r="E52" i="1069"/>
  <c r="E54" i="1069" s="1"/>
  <c r="A54" i="1069" s="1"/>
  <c r="D54" i="1069"/>
  <c r="J50" i="1069"/>
  <c r="J44" i="1069" s="1"/>
  <c r="J49" i="1069"/>
  <c r="J51" i="1069" s="1"/>
  <c r="D50" i="1069"/>
  <c r="D51" i="1069" s="1"/>
  <c r="D49" i="1069"/>
  <c r="D44" i="1069" s="1"/>
  <c r="K6" i="1069" s="1"/>
  <c r="G56" i="1069"/>
  <c r="F58" i="1069"/>
  <c r="F57" i="1069"/>
  <c r="C51" i="1067"/>
  <c r="J62" i="1067"/>
  <c r="F69" i="1067"/>
  <c r="C16" i="1067" s="1"/>
  <c r="E59" i="1067"/>
  <c r="I6" i="1067" s="1"/>
  <c r="G56" i="1067"/>
  <c r="F58" i="1067"/>
  <c r="F57" i="1067"/>
  <c r="F59" i="1067" s="1"/>
  <c r="J50" i="1067"/>
  <c r="J44" i="1067" s="1"/>
  <c r="J49" i="1067"/>
  <c r="D50" i="1067"/>
  <c r="D51" i="1067" s="1"/>
  <c r="D49" i="1067"/>
  <c r="D44" i="1067" s="1"/>
  <c r="K6" i="1067" s="1"/>
  <c r="K48" i="1067"/>
  <c r="K47" i="1067"/>
  <c r="M62" i="1067" s="1"/>
  <c r="K46" i="1067"/>
  <c r="E48" i="1067"/>
  <c r="E47" i="1067"/>
  <c r="G62" i="1067" s="1"/>
  <c r="I14" i="1067" s="1"/>
  <c r="E46" i="1067"/>
  <c r="D62" i="1067" s="1"/>
  <c r="D53" i="1067"/>
  <c r="E52" i="1067"/>
  <c r="E54" i="1067" s="1"/>
  <c r="D54" i="1067"/>
  <c r="C51" i="1066"/>
  <c r="D40" i="1066"/>
  <c r="G40" i="1066" s="1"/>
  <c r="B4" i="1066" s="1"/>
  <c r="F69" i="1066"/>
  <c r="B16" i="1066" s="1"/>
  <c r="F142" i="1066"/>
  <c r="J15" i="1066" s="1"/>
  <c r="I13" i="1066" s="1"/>
  <c r="G56" i="1066"/>
  <c r="F58" i="1066"/>
  <c r="F57" i="1066"/>
  <c r="E52" i="1066"/>
  <c r="E54" i="1066" s="1"/>
  <c r="D54" i="1066"/>
  <c r="J50" i="1066"/>
  <c r="J44" i="1066" s="1"/>
  <c r="J49" i="1066"/>
  <c r="J51" i="1066" s="1"/>
  <c r="D50" i="1066"/>
  <c r="D49" i="1066"/>
  <c r="D44" i="1066" s="1"/>
  <c r="K6" i="1066" s="1"/>
  <c r="K48" i="1066"/>
  <c r="K47" i="1066"/>
  <c r="M62" i="1066" s="1"/>
  <c r="K46" i="1066"/>
  <c r="J62" i="1066" s="1"/>
  <c r="E48" i="1066"/>
  <c r="E47" i="1066"/>
  <c r="G62" i="1066" s="1"/>
  <c r="E46" i="1066"/>
  <c r="D62" i="1066" s="1"/>
  <c r="D53" i="1066"/>
  <c r="E40" i="1065"/>
  <c r="F6" i="1065" s="1"/>
  <c r="B40" i="1065"/>
  <c r="C40" i="1065"/>
  <c r="B33" i="1065"/>
  <c r="C14" i="1065" s="1"/>
  <c r="F69" i="1065"/>
  <c r="E16" i="1065" s="1"/>
  <c r="E59" i="1065"/>
  <c r="I6" i="1065" s="1"/>
  <c r="D14" i="1065"/>
  <c r="G14" i="1065"/>
  <c r="F34" i="1065"/>
  <c r="F33" i="1065"/>
  <c r="B5" i="1065" s="1"/>
  <c r="G56" i="1065"/>
  <c r="F58" i="1065"/>
  <c r="F57" i="1065"/>
  <c r="F59" i="1065" s="1"/>
  <c r="K48" i="1065"/>
  <c r="K47" i="1065"/>
  <c r="M62" i="1065" s="1"/>
  <c r="K46" i="1065"/>
  <c r="J62" i="1065" s="1"/>
  <c r="E48" i="1065"/>
  <c r="E47" i="1065"/>
  <c r="G62" i="1065" s="1"/>
  <c r="E46" i="1065"/>
  <c r="D62" i="1065" s="1"/>
  <c r="D53" i="1065"/>
  <c r="F142" i="1065"/>
  <c r="J15" i="1065" s="1"/>
  <c r="I13" i="1065" s="1"/>
  <c r="D142" i="1065"/>
  <c r="C142" i="1065"/>
  <c r="E142" i="1065"/>
  <c r="E52" i="1065"/>
  <c r="E54" i="1065" s="1"/>
  <c r="D54" i="1065"/>
  <c r="J50" i="1065"/>
  <c r="J44" i="1065" s="1"/>
  <c r="J49" i="1065"/>
  <c r="J51" i="1065" s="1"/>
  <c r="D50" i="1065"/>
  <c r="D51" i="1065" s="1"/>
  <c r="D49" i="1065"/>
  <c r="D44" i="1065" s="1"/>
  <c r="K6" i="1065" s="1"/>
  <c r="J49" i="1064"/>
  <c r="J50" i="1064"/>
  <c r="J44" i="1064" s="1"/>
  <c r="K48" i="1064"/>
  <c r="K47" i="1064"/>
  <c r="M62" i="1064" s="1"/>
  <c r="K46" i="1064"/>
  <c r="J62" i="1064" s="1"/>
  <c r="F69" i="1064"/>
  <c r="B16" i="1064" s="1"/>
  <c r="C142" i="1064"/>
  <c r="D50" i="1064"/>
  <c r="D51" i="1064" s="1"/>
  <c r="D49" i="1064"/>
  <c r="E48" i="1064"/>
  <c r="E47" i="1064"/>
  <c r="G62" i="1064" s="1"/>
  <c r="I14" i="1064" s="1"/>
  <c r="E46" i="1064"/>
  <c r="D62" i="1064" s="1"/>
  <c r="G56" i="1064"/>
  <c r="F58" i="1064"/>
  <c r="F57" i="1064"/>
  <c r="D53" i="1064"/>
  <c r="D44" i="1064"/>
  <c r="K6" i="1064" s="1"/>
  <c r="E52" i="1064"/>
  <c r="E54" i="1064" s="1"/>
  <c r="D54" i="1064"/>
  <c r="A54" i="1064" s="1"/>
  <c r="M14" i="1062"/>
  <c r="J62" i="1063"/>
  <c r="F69" i="1063"/>
  <c r="E16" i="1063" s="1"/>
  <c r="D40" i="1063"/>
  <c r="G40" i="1063" s="1"/>
  <c r="B4" i="1063" s="1"/>
  <c r="E52" i="1063"/>
  <c r="E54" i="1063" s="1"/>
  <c r="D54" i="1063"/>
  <c r="A54" i="1063" s="1"/>
  <c r="J50" i="1063"/>
  <c r="J44" i="1063" s="1"/>
  <c r="J49" i="1063"/>
  <c r="D50" i="1063"/>
  <c r="D51" i="1063" s="1"/>
  <c r="D49" i="1063"/>
  <c r="E14" i="1063"/>
  <c r="D14" i="1063"/>
  <c r="C14" i="1063"/>
  <c r="G14" i="1063"/>
  <c r="B14" i="1063"/>
  <c r="F14" i="1063"/>
  <c r="F34" i="1063"/>
  <c r="F33" i="1063"/>
  <c r="B5" i="1063" s="1"/>
  <c r="K48" i="1063"/>
  <c r="K47" i="1063"/>
  <c r="M62" i="1063" s="1"/>
  <c r="K46" i="1063"/>
  <c r="G56" i="1063"/>
  <c r="F58" i="1063"/>
  <c r="F57" i="1063"/>
  <c r="E48" i="1063"/>
  <c r="E47" i="1063"/>
  <c r="G62" i="1063" s="1"/>
  <c r="E46" i="1063"/>
  <c r="D62" i="1063" s="1"/>
  <c r="J51" i="1063"/>
  <c r="D53" i="1063"/>
  <c r="D44" i="1063"/>
  <c r="K6" i="1063" s="1"/>
  <c r="C142" i="1063"/>
  <c r="E142" i="1063"/>
  <c r="F142" i="1063"/>
  <c r="J15" i="1063" s="1"/>
  <c r="I13" i="1063" s="1"/>
  <c r="D142" i="1063"/>
  <c r="N62" i="1062"/>
  <c r="E40" i="1062"/>
  <c r="F6" i="1062" s="1"/>
  <c r="C40" i="1062"/>
  <c r="F142" i="1062"/>
  <c r="J15" i="1062" s="1"/>
  <c r="I13" i="1062" s="1"/>
  <c r="C16" i="1062"/>
  <c r="N3" i="1062"/>
  <c r="D16" i="1062"/>
  <c r="F16" i="1062"/>
  <c r="E16" i="1062"/>
  <c r="B16" i="1062"/>
  <c r="N4" i="1062"/>
  <c r="E52" i="1062"/>
  <c r="E54" i="1062" s="1"/>
  <c r="D54" i="1062"/>
  <c r="D53" i="1062"/>
  <c r="D40" i="1062"/>
  <c r="G40" i="1062" s="1"/>
  <c r="B4" i="1062" s="1"/>
  <c r="K50" i="1062"/>
  <c r="K44" i="1062" s="1"/>
  <c r="K49" i="1062"/>
  <c r="K51" i="1062" s="1"/>
  <c r="E14" i="1062"/>
  <c r="F14" i="1062"/>
  <c r="G14" i="1062"/>
  <c r="D14" i="1062"/>
  <c r="C14" i="1062"/>
  <c r="B14" i="1062"/>
  <c r="F33" i="1062"/>
  <c r="F34" i="1062"/>
  <c r="D50" i="1062"/>
  <c r="D51" i="1062" s="1"/>
  <c r="D49" i="1062"/>
  <c r="D44" i="1062" s="1"/>
  <c r="K6" i="1062" s="1"/>
  <c r="G56" i="1062"/>
  <c r="F58" i="1062"/>
  <c r="F57" i="1062"/>
  <c r="F59" i="1062" s="1"/>
  <c r="I6" i="1062" s="1"/>
  <c r="E48" i="1062"/>
  <c r="E47" i="1062"/>
  <c r="G62" i="1062" s="1"/>
  <c r="E46" i="1062"/>
  <c r="D62" i="1062" s="1"/>
  <c r="C40" i="1061"/>
  <c r="E40" i="1061"/>
  <c r="F6" i="1061" s="1"/>
  <c r="B33" i="1061"/>
  <c r="E14" i="1061" s="1"/>
  <c r="F69" i="1061"/>
  <c r="B16" i="1061" s="1"/>
  <c r="D40" i="1061"/>
  <c r="E59" i="1061"/>
  <c r="G56" i="1061"/>
  <c r="F58" i="1061"/>
  <c r="F57" i="1061"/>
  <c r="E52" i="1061"/>
  <c r="E54" i="1061" s="1"/>
  <c r="D54" i="1061"/>
  <c r="F14" i="1061"/>
  <c r="D14" i="1061"/>
  <c r="B14" i="1061"/>
  <c r="F34" i="1061"/>
  <c r="F33" i="1061"/>
  <c r="D50" i="1061"/>
  <c r="D51" i="1061" s="1"/>
  <c r="D49" i="1061"/>
  <c r="D44" i="1061" s="1"/>
  <c r="K6" i="1061" s="1"/>
  <c r="F16" i="1061"/>
  <c r="F142" i="1061"/>
  <c r="J15" i="1061" s="1"/>
  <c r="I13" i="1061" s="1"/>
  <c r="D142" i="1061"/>
  <c r="C142" i="1061"/>
  <c r="E142" i="1061"/>
  <c r="K50" i="1061"/>
  <c r="K44" i="1061" s="1"/>
  <c r="K49" i="1061"/>
  <c r="K51" i="1061" s="1"/>
  <c r="E48" i="1061"/>
  <c r="E47" i="1061"/>
  <c r="G62" i="1061" s="1"/>
  <c r="E46" i="1061"/>
  <c r="D62" i="1061" s="1"/>
  <c r="D53" i="1061"/>
  <c r="J51" i="1060"/>
  <c r="D142" i="1060"/>
  <c r="F16" i="1060"/>
  <c r="B16" i="1060"/>
  <c r="N4" i="1060"/>
  <c r="C16" i="1060"/>
  <c r="N3" i="1060"/>
  <c r="E16" i="1060"/>
  <c r="D16" i="1060"/>
  <c r="D40" i="1060"/>
  <c r="G40" i="1060" s="1"/>
  <c r="B4" i="1060" s="1"/>
  <c r="F59" i="1060"/>
  <c r="I6" i="1060" s="1"/>
  <c r="E47" i="1060"/>
  <c r="G62" i="1060" s="1"/>
  <c r="I14" i="1060" s="1"/>
  <c r="E46" i="1060"/>
  <c r="D62" i="1060" s="1"/>
  <c r="E48" i="1060"/>
  <c r="D14" i="1060"/>
  <c r="C14" i="1060"/>
  <c r="G14" i="1060"/>
  <c r="B14" i="1060"/>
  <c r="F33" i="1060"/>
  <c r="B5" i="1060" s="1"/>
  <c r="F14" i="1060"/>
  <c r="E14" i="1060"/>
  <c r="F34" i="1060"/>
  <c r="D53" i="1060"/>
  <c r="G57" i="1060"/>
  <c r="G59" i="1060" s="1"/>
  <c r="G58" i="1060"/>
  <c r="H56" i="1060"/>
  <c r="K50" i="1060"/>
  <c r="K44" i="1060" s="1"/>
  <c r="K49" i="1060"/>
  <c r="K51" i="1060" s="1"/>
  <c r="D50" i="1060"/>
  <c r="D51" i="1060" s="1"/>
  <c r="D49" i="1060"/>
  <c r="D44" i="1060" s="1"/>
  <c r="K6" i="1060" s="1"/>
  <c r="E52" i="1060"/>
  <c r="E54" i="1060" s="1"/>
  <c r="D54" i="1060"/>
  <c r="I51" i="1059"/>
  <c r="F69" i="1059"/>
  <c r="N4" i="1059" s="1"/>
  <c r="A54" i="1059"/>
  <c r="E59" i="1059"/>
  <c r="E48" i="1059"/>
  <c r="E47" i="1059"/>
  <c r="G62" i="1059" s="1"/>
  <c r="I14" i="1059" s="1"/>
  <c r="E46" i="1059"/>
  <c r="D62" i="1059" s="1"/>
  <c r="E52" i="1059"/>
  <c r="E54" i="1059" s="1"/>
  <c r="D54" i="1059"/>
  <c r="D53" i="1059"/>
  <c r="J50" i="1059"/>
  <c r="J49" i="1059"/>
  <c r="J51" i="1059" s="1"/>
  <c r="D50" i="1059"/>
  <c r="D51" i="1059" s="1"/>
  <c r="D49" i="1059"/>
  <c r="D44" i="1059" s="1"/>
  <c r="K6" i="1059" s="1"/>
  <c r="G56" i="1059"/>
  <c r="F58" i="1059"/>
  <c r="F57" i="1059"/>
  <c r="K48" i="1059"/>
  <c r="K47" i="1059"/>
  <c r="M62" i="1059" s="1"/>
  <c r="K46" i="1059"/>
  <c r="J62" i="1059" s="1"/>
  <c r="F69" i="1058"/>
  <c r="N4" i="1058" s="1"/>
  <c r="E59" i="1058"/>
  <c r="D53" i="1058"/>
  <c r="E52" i="1058"/>
  <c r="E54" i="1058" s="1"/>
  <c r="D54" i="1058"/>
  <c r="G56" i="1058"/>
  <c r="F58" i="1058"/>
  <c r="F57" i="1058"/>
  <c r="F59" i="1058" s="1"/>
  <c r="J50" i="1058"/>
  <c r="J44" i="1058" s="1"/>
  <c r="J49" i="1058"/>
  <c r="J51" i="1058" s="1"/>
  <c r="D50" i="1058"/>
  <c r="D51" i="1058" s="1"/>
  <c r="D49" i="1058"/>
  <c r="D44" i="1058" s="1"/>
  <c r="K6" i="1058" s="1"/>
  <c r="K48" i="1058"/>
  <c r="K47" i="1058"/>
  <c r="M62" i="1058" s="1"/>
  <c r="K46" i="1058"/>
  <c r="J62" i="1058" s="1"/>
  <c r="E48" i="1058"/>
  <c r="E47" i="1058"/>
  <c r="G62" i="1058" s="1"/>
  <c r="I14" i="1058" s="1"/>
  <c r="E46" i="1058"/>
  <c r="D62" i="1058" s="1"/>
  <c r="F15" i="1057"/>
  <c r="D15" i="1057"/>
  <c r="B15" i="1057"/>
  <c r="N5" i="1057"/>
  <c r="C15" i="1057"/>
  <c r="E15" i="1057"/>
  <c r="F142" i="1057"/>
  <c r="J15" i="1057" s="1"/>
  <c r="I13" i="1057" s="1"/>
  <c r="I14" i="1057" s="1"/>
  <c r="D16" i="1057"/>
  <c r="J3" i="1057" s="1"/>
  <c r="F16" i="1057"/>
  <c r="C16" i="1057"/>
  <c r="E16" i="1057"/>
  <c r="K3" i="1057" s="1"/>
  <c r="B16" i="1057"/>
  <c r="N4" i="1057"/>
  <c r="N3" i="1057"/>
  <c r="C40" i="1057"/>
  <c r="D40" i="1057" s="1"/>
  <c r="G40" i="1057" s="1"/>
  <c r="B4" i="1057" s="1"/>
  <c r="B33" i="1057"/>
  <c r="B14" i="1057" s="1"/>
  <c r="E40" i="1057"/>
  <c r="F6" i="1057" s="1"/>
  <c r="I3" i="1057"/>
  <c r="J50" i="1057"/>
  <c r="J44" i="1057" s="1"/>
  <c r="J49" i="1057"/>
  <c r="J51" i="1057" s="1"/>
  <c r="E50" i="1057"/>
  <c r="E51" i="1057" s="1"/>
  <c r="E49" i="1057"/>
  <c r="E44" i="1057" s="1"/>
  <c r="K48" i="1057"/>
  <c r="K47" i="1057"/>
  <c r="M62" i="1057" s="1"/>
  <c r="K46" i="1057"/>
  <c r="J62" i="1057" s="1"/>
  <c r="G56" i="1057"/>
  <c r="F58" i="1057"/>
  <c r="F57" i="1057"/>
  <c r="F14" i="1057"/>
  <c r="F33" i="1057"/>
  <c r="F69" i="1056"/>
  <c r="N3" i="1056" s="1"/>
  <c r="K50" i="1056"/>
  <c r="N62" i="1056" s="1"/>
  <c r="K49" i="1056"/>
  <c r="K51" i="1056" s="1"/>
  <c r="E48" i="1056"/>
  <c r="E47" i="1056"/>
  <c r="G62" i="1056" s="1"/>
  <c r="I14" i="1056" s="1"/>
  <c r="E46" i="1056"/>
  <c r="D62" i="1056" s="1"/>
  <c r="E52" i="1056"/>
  <c r="E54" i="1056" s="1"/>
  <c r="D54" i="1056"/>
  <c r="D53" i="1056"/>
  <c r="K44" i="1056"/>
  <c r="E14" i="1056"/>
  <c r="F14" i="1056"/>
  <c r="D14" i="1056"/>
  <c r="C14" i="1056"/>
  <c r="G14" i="1056"/>
  <c r="B14" i="1056"/>
  <c r="F34" i="1056"/>
  <c r="F33" i="1056"/>
  <c r="D50" i="1056"/>
  <c r="D51" i="1056" s="1"/>
  <c r="D49" i="1056"/>
  <c r="D44" i="1056" s="1"/>
  <c r="K6" i="1056" s="1"/>
  <c r="G56" i="1056"/>
  <c r="F58" i="1056"/>
  <c r="F57" i="1056"/>
  <c r="D51" i="1055"/>
  <c r="I14" i="1055"/>
  <c r="M62" i="1055"/>
  <c r="C15" i="1055"/>
  <c r="E15" i="1055"/>
  <c r="B15" i="1055"/>
  <c r="N5" i="1055"/>
  <c r="D15" i="1055"/>
  <c r="F15" i="1055"/>
  <c r="F69" i="1055"/>
  <c r="N4" i="1055" s="1"/>
  <c r="D40" i="1055"/>
  <c r="G40" i="1055" s="1"/>
  <c r="B4" i="1055" s="1"/>
  <c r="E59" i="1055"/>
  <c r="E50" i="1055"/>
  <c r="E51" i="1055" s="1"/>
  <c r="E49" i="1055"/>
  <c r="E44" i="1055" s="1"/>
  <c r="K48" i="1055"/>
  <c r="K47" i="1055"/>
  <c r="K46" i="1055"/>
  <c r="C53" i="1055" s="1"/>
  <c r="A53" i="1055" s="1"/>
  <c r="E14" i="1055"/>
  <c r="G14" i="1055"/>
  <c r="B14" i="1055"/>
  <c r="C14" i="1055"/>
  <c r="F14" i="1055"/>
  <c r="D14" i="1055"/>
  <c r="F34" i="1055"/>
  <c r="F33" i="1055"/>
  <c r="B5" i="1055" s="1"/>
  <c r="J50" i="1055"/>
  <c r="J44" i="1055" s="1"/>
  <c r="J49" i="1055"/>
  <c r="J51" i="1055" s="1"/>
  <c r="G56" i="1055"/>
  <c r="F58" i="1055"/>
  <c r="F57" i="1055"/>
  <c r="D51" i="1054"/>
  <c r="I14" i="1054"/>
  <c r="F69" i="1054"/>
  <c r="D16" i="1054" s="1"/>
  <c r="B15" i="1054"/>
  <c r="C15" i="1054"/>
  <c r="E15" i="1054"/>
  <c r="N5" i="1054"/>
  <c r="D15" i="1054"/>
  <c r="F15" i="1054"/>
  <c r="D44" i="1054"/>
  <c r="K6" i="1054" s="1"/>
  <c r="N4" i="1054"/>
  <c r="D40" i="1054"/>
  <c r="G40" i="1054" s="1"/>
  <c r="B4" i="1054" s="1"/>
  <c r="E59" i="1054"/>
  <c r="E50" i="1054"/>
  <c r="H62" i="1054" s="1"/>
  <c r="E49" i="1054"/>
  <c r="E44" i="1054" s="1"/>
  <c r="K48" i="1054"/>
  <c r="K47" i="1054"/>
  <c r="M62" i="1054" s="1"/>
  <c r="K46" i="1054"/>
  <c r="J62" i="1054" s="1"/>
  <c r="E14" i="1054"/>
  <c r="D14" i="1054"/>
  <c r="C14" i="1054"/>
  <c r="B14" i="1054"/>
  <c r="G14" i="1054"/>
  <c r="F14" i="1054"/>
  <c r="F33" i="1054"/>
  <c r="B5" i="1054" s="1"/>
  <c r="F34" i="1054"/>
  <c r="G56" i="1054"/>
  <c r="F58" i="1054"/>
  <c r="F57" i="1054"/>
  <c r="E51" i="1054"/>
  <c r="J50" i="1054"/>
  <c r="J44" i="1054" s="1"/>
  <c r="J49" i="1054"/>
  <c r="J51" i="1054" s="1"/>
  <c r="G68" i="1053"/>
  <c r="F68" i="1053" s="1"/>
  <c r="G66" i="1053"/>
  <c r="F66" i="1053" s="1"/>
  <c r="G65" i="1053"/>
  <c r="F65" i="1053" s="1"/>
  <c r="G67" i="1053"/>
  <c r="F67" i="1053" s="1"/>
  <c r="D40" i="1053"/>
  <c r="G40" i="1053" s="1"/>
  <c r="B4" i="1053" s="1"/>
  <c r="D53" i="1053"/>
  <c r="F56" i="1053"/>
  <c r="E58" i="1053"/>
  <c r="E57" i="1053"/>
  <c r="E52" i="1053"/>
  <c r="E54" i="1053" s="1"/>
  <c r="D54" i="1053"/>
  <c r="A54" i="1053" s="1"/>
  <c r="J50" i="1053"/>
  <c r="J44" i="1053" s="1"/>
  <c r="J49" i="1053"/>
  <c r="J51" i="1053" s="1"/>
  <c r="D50" i="1053"/>
  <c r="D51" i="1053" s="1"/>
  <c r="D49" i="1053"/>
  <c r="D44" i="1053" s="1"/>
  <c r="K6" i="1053" s="1"/>
  <c r="K48" i="1053"/>
  <c r="K47" i="1053"/>
  <c r="M62" i="1053" s="1"/>
  <c r="K46" i="1053"/>
  <c r="J62" i="1053" s="1"/>
  <c r="E48" i="1053"/>
  <c r="E47" i="1053"/>
  <c r="G62" i="1053" s="1"/>
  <c r="I14" i="1053" s="1"/>
  <c r="E46" i="1053"/>
  <c r="D62" i="1053" s="1"/>
  <c r="E14" i="1053"/>
  <c r="F34" i="1053"/>
  <c r="G14" i="1053"/>
  <c r="C14" i="1053"/>
  <c r="F14" i="1053"/>
  <c r="B14" i="1053"/>
  <c r="D14" i="1053"/>
  <c r="F33" i="1053"/>
  <c r="B51" i="1052"/>
  <c r="C69" i="1052"/>
  <c r="D142" i="1052" s="1"/>
  <c r="D69" i="1052"/>
  <c r="E142" i="1052" s="1"/>
  <c r="D59" i="1052"/>
  <c r="B76" i="1052"/>
  <c r="L69" i="1052"/>
  <c r="G66" i="1052"/>
  <c r="F66" i="1052" s="1"/>
  <c r="E68" i="1052"/>
  <c r="E69" i="1052" s="1"/>
  <c r="F142" i="1052" s="1"/>
  <c r="J15" i="1052" s="1"/>
  <c r="I13" i="1052" s="1"/>
  <c r="G68" i="1052"/>
  <c r="G65" i="1052"/>
  <c r="F65" i="1052" s="1"/>
  <c r="C76" i="1052"/>
  <c r="K45" i="1052"/>
  <c r="J48" i="1052"/>
  <c r="J47" i="1052"/>
  <c r="J46" i="1052"/>
  <c r="D76" i="1052"/>
  <c r="B44" i="1052"/>
  <c r="C50" i="1052"/>
  <c r="C51" i="1052" s="1"/>
  <c r="C49" i="1052"/>
  <c r="F56" i="1052"/>
  <c r="E58" i="1052"/>
  <c r="E57" i="1052"/>
  <c r="E76" i="1052"/>
  <c r="C142" i="1052"/>
  <c r="E45" i="1052"/>
  <c r="D48" i="1052"/>
  <c r="D47" i="1052"/>
  <c r="D46" i="1052"/>
  <c r="H51" i="1052"/>
  <c r="C54" i="1052"/>
  <c r="D52" i="1052"/>
  <c r="E53" i="1052"/>
  <c r="I50" i="1052"/>
  <c r="I44" i="1052" s="1"/>
  <c r="I49" i="1052"/>
  <c r="I51" i="1052" s="1"/>
  <c r="E69" i="1051"/>
  <c r="M14" i="1051" s="1"/>
  <c r="D69" i="1051"/>
  <c r="G67" i="1051"/>
  <c r="F67" i="1051" s="1"/>
  <c r="G66" i="1051"/>
  <c r="F66" i="1051" s="1"/>
  <c r="D59" i="1051"/>
  <c r="E53" i="1051"/>
  <c r="G68" i="1051"/>
  <c r="F68" i="1051" s="1"/>
  <c r="E52" i="1051"/>
  <c r="E54" i="1051" s="1"/>
  <c r="A54" i="1051" s="1"/>
  <c r="D54" i="1051"/>
  <c r="H44" i="1051"/>
  <c r="F56" i="1051"/>
  <c r="E58" i="1051"/>
  <c r="E57" i="1051"/>
  <c r="E142" i="1051"/>
  <c r="D142" i="1051"/>
  <c r="F142" i="1051"/>
  <c r="J15" i="1051" s="1"/>
  <c r="I13" i="1051" s="1"/>
  <c r="H51" i="1051"/>
  <c r="I50" i="1051"/>
  <c r="I44" i="1051" s="1"/>
  <c r="I49" i="1051"/>
  <c r="I51" i="1051" s="1"/>
  <c r="D50" i="1051"/>
  <c r="D51" i="1051" s="1"/>
  <c r="D49" i="1051"/>
  <c r="D44" i="1051" s="1"/>
  <c r="K6" i="1051" s="1"/>
  <c r="B33" i="1051"/>
  <c r="B76" i="1051"/>
  <c r="K45" i="1051"/>
  <c r="J48" i="1051"/>
  <c r="J47" i="1051"/>
  <c r="J46" i="1051"/>
  <c r="D53" i="1051" s="1"/>
  <c r="E48" i="1051"/>
  <c r="E47" i="1051"/>
  <c r="G62" i="1051" s="1"/>
  <c r="E46" i="1051"/>
  <c r="D62" i="1051" s="1"/>
  <c r="D69" i="1050"/>
  <c r="E142" i="1050" s="1"/>
  <c r="C69" i="1050"/>
  <c r="D142" i="1050" s="1"/>
  <c r="G68" i="1050"/>
  <c r="E68" i="1050"/>
  <c r="E69" i="1050" s="1"/>
  <c r="L69" i="1050"/>
  <c r="G65" i="1050"/>
  <c r="F65" i="1050" s="1"/>
  <c r="G66" i="1050"/>
  <c r="F66" i="1050" s="1"/>
  <c r="F56" i="1050"/>
  <c r="E58" i="1050"/>
  <c r="E57" i="1050"/>
  <c r="E53" i="1050"/>
  <c r="I50" i="1050"/>
  <c r="I44" i="1050" s="1"/>
  <c r="I49" i="1050"/>
  <c r="I51" i="1050" s="1"/>
  <c r="B76" i="1050"/>
  <c r="C142" i="1050"/>
  <c r="K45" i="1050"/>
  <c r="J48" i="1050"/>
  <c r="J47" i="1050"/>
  <c r="J46" i="1050"/>
  <c r="C76" i="1050"/>
  <c r="H44" i="1050"/>
  <c r="C50" i="1050"/>
  <c r="C51" i="1050" s="1"/>
  <c r="C49" i="1050"/>
  <c r="C44" i="1050" s="1"/>
  <c r="C54" i="1050"/>
  <c r="D52" i="1050"/>
  <c r="B51" i="1050"/>
  <c r="B44" i="1050"/>
  <c r="H51" i="1050"/>
  <c r="D76" i="1050"/>
  <c r="E45" i="1050"/>
  <c r="D48" i="1050"/>
  <c r="D47" i="1050"/>
  <c r="D46" i="1050"/>
  <c r="F142" i="1050"/>
  <c r="J15" i="1050" s="1"/>
  <c r="I13" i="1050" s="1"/>
  <c r="E76" i="1050"/>
  <c r="D40" i="1049"/>
  <c r="D59" i="1049"/>
  <c r="G68" i="1049"/>
  <c r="F68" i="1049" s="1"/>
  <c r="G66" i="1049"/>
  <c r="F66" i="1049" s="1"/>
  <c r="G65" i="1049"/>
  <c r="F65" i="1049" s="1"/>
  <c r="E45" i="1049"/>
  <c r="D48" i="1049"/>
  <c r="D47" i="1049"/>
  <c r="D46" i="1049"/>
  <c r="C54" i="1049"/>
  <c r="D52" i="1049"/>
  <c r="E53" i="1049"/>
  <c r="F142" i="1049"/>
  <c r="J15" i="1049" s="1"/>
  <c r="I13" i="1049" s="1"/>
  <c r="D142" i="1049"/>
  <c r="C142" i="1049"/>
  <c r="E142" i="1049"/>
  <c r="B44" i="1049"/>
  <c r="E14" i="1049"/>
  <c r="C14" i="1049"/>
  <c r="G14" i="1049"/>
  <c r="B14" i="1049"/>
  <c r="D14" i="1049"/>
  <c r="F14" i="1049"/>
  <c r="F33" i="1049"/>
  <c r="F34" i="1049"/>
  <c r="I50" i="1049"/>
  <c r="I44" i="1049" s="1"/>
  <c r="I49" i="1049"/>
  <c r="I51" i="1049" s="1"/>
  <c r="F56" i="1049"/>
  <c r="E58" i="1049"/>
  <c r="E57" i="1049"/>
  <c r="C50" i="1049"/>
  <c r="C51" i="1049" s="1"/>
  <c r="C49" i="1049"/>
  <c r="C44" i="1049" s="1"/>
  <c r="K45" i="1049"/>
  <c r="J48" i="1049"/>
  <c r="J47" i="1049"/>
  <c r="J46" i="1049"/>
  <c r="H51" i="1049"/>
  <c r="H44" i="1049"/>
  <c r="E76" i="1048"/>
  <c r="H51" i="1048"/>
  <c r="B69" i="1048"/>
  <c r="C69" i="1048"/>
  <c r="D142" i="1048" s="1"/>
  <c r="E69" i="1048"/>
  <c r="E40" i="1048" s="1"/>
  <c r="F6" i="1048" s="1"/>
  <c r="D69" i="1048"/>
  <c r="C40" i="1048" s="1"/>
  <c r="D59" i="1048"/>
  <c r="G68" i="1048"/>
  <c r="F68" i="1048" s="1"/>
  <c r="G65" i="1048"/>
  <c r="F65" i="1048" s="1"/>
  <c r="C142" i="1048"/>
  <c r="E52" i="1048"/>
  <c r="E54" i="1048" s="1"/>
  <c r="D54" i="1048"/>
  <c r="A54" i="1048" s="1"/>
  <c r="E53" i="1048"/>
  <c r="I50" i="1048"/>
  <c r="I49" i="1048"/>
  <c r="I51" i="1048" s="1"/>
  <c r="D76" i="1048"/>
  <c r="C76" i="1048"/>
  <c r="D50" i="1048"/>
  <c r="D51" i="1048" s="1"/>
  <c r="D49" i="1048"/>
  <c r="D44" i="1048" s="1"/>
  <c r="K6" i="1048" s="1"/>
  <c r="K45" i="1048"/>
  <c r="J48" i="1048"/>
  <c r="J47" i="1048"/>
  <c r="J46" i="1048"/>
  <c r="D53" i="1048" s="1"/>
  <c r="F56" i="1048"/>
  <c r="E58" i="1048"/>
  <c r="E57" i="1048"/>
  <c r="E48" i="1048"/>
  <c r="E47" i="1048"/>
  <c r="G62" i="1048" s="1"/>
  <c r="E46" i="1048"/>
  <c r="D62" i="1048" s="1"/>
  <c r="B44" i="1047"/>
  <c r="C69" i="1047"/>
  <c r="D142" i="1047" s="1"/>
  <c r="E69" i="1047"/>
  <c r="E40" i="1047" s="1"/>
  <c r="F6" i="1047" s="1"/>
  <c r="D59" i="1047"/>
  <c r="G67" i="1047"/>
  <c r="F67" i="1047" s="1"/>
  <c r="B76" i="1047"/>
  <c r="G66" i="1047"/>
  <c r="F66" i="1047" s="1"/>
  <c r="E76" i="1047"/>
  <c r="G68" i="1047"/>
  <c r="F68" i="1047" s="1"/>
  <c r="G65" i="1047"/>
  <c r="F65" i="1047" s="1"/>
  <c r="C50" i="1047"/>
  <c r="C49" i="1047"/>
  <c r="E45" i="1047"/>
  <c r="D48" i="1047"/>
  <c r="D47" i="1047"/>
  <c r="D46" i="1047"/>
  <c r="B40" i="1047"/>
  <c r="D76" i="1047"/>
  <c r="C76" i="1047"/>
  <c r="E53" i="1047"/>
  <c r="J50" i="1047"/>
  <c r="J44" i="1047" s="1"/>
  <c r="J49" i="1047"/>
  <c r="J51" i="1047" s="1"/>
  <c r="C54" i="1047"/>
  <c r="D52" i="1047"/>
  <c r="E142" i="1047"/>
  <c r="F56" i="1047"/>
  <c r="E58" i="1047"/>
  <c r="E57" i="1047"/>
  <c r="C51" i="1047"/>
  <c r="K48" i="1047"/>
  <c r="K47" i="1047"/>
  <c r="M62" i="1047" s="1"/>
  <c r="K46" i="1047"/>
  <c r="J62" i="1047" s="1"/>
  <c r="M14" i="1047"/>
  <c r="L69" i="1046"/>
  <c r="H51" i="1046"/>
  <c r="C69" i="1046"/>
  <c r="D142" i="1046" s="1"/>
  <c r="B69" i="1046"/>
  <c r="C142" i="1046" s="1"/>
  <c r="D69" i="1046"/>
  <c r="E142" i="1046" s="1"/>
  <c r="G65" i="1046"/>
  <c r="F65" i="1046" s="1"/>
  <c r="E68" i="1046"/>
  <c r="E69" i="1046" s="1"/>
  <c r="F142" i="1046" s="1"/>
  <c r="J15" i="1046" s="1"/>
  <c r="I13" i="1046" s="1"/>
  <c r="B76" i="1046"/>
  <c r="D59" i="1046"/>
  <c r="G66" i="1046"/>
  <c r="F66" i="1046" s="1"/>
  <c r="D76" i="1046"/>
  <c r="G67" i="1046"/>
  <c r="F67" i="1046" s="1"/>
  <c r="G68" i="1046"/>
  <c r="E53" i="1046"/>
  <c r="E52" i="1046"/>
  <c r="E54" i="1046" s="1"/>
  <c r="D54" i="1046"/>
  <c r="I50" i="1046"/>
  <c r="I44" i="1046" s="1"/>
  <c r="I49" i="1046"/>
  <c r="I51" i="1046" s="1"/>
  <c r="E76" i="1046"/>
  <c r="F56" i="1046"/>
  <c r="E58" i="1046"/>
  <c r="E57" i="1046"/>
  <c r="D50" i="1046"/>
  <c r="D51" i="1046" s="1"/>
  <c r="D49" i="1046"/>
  <c r="D44" i="1046" s="1"/>
  <c r="K6" i="1046" s="1"/>
  <c r="C76" i="1046"/>
  <c r="K45" i="1046"/>
  <c r="J48" i="1046"/>
  <c r="J47" i="1046"/>
  <c r="J46" i="1046"/>
  <c r="E48" i="1046"/>
  <c r="E47" i="1046"/>
  <c r="G62" i="1046" s="1"/>
  <c r="E46" i="1046"/>
  <c r="D62" i="1046" s="1"/>
  <c r="B40" i="1045"/>
  <c r="D40" i="1045" s="1"/>
  <c r="G40" i="1045" s="1"/>
  <c r="B4" i="1045" s="1"/>
  <c r="M14" i="1045"/>
  <c r="B51" i="1045"/>
  <c r="G68" i="1045"/>
  <c r="F68" i="1045" s="1"/>
  <c r="D59" i="1045"/>
  <c r="G66" i="1045"/>
  <c r="F66" i="1045" s="1"/>
  <c r="G65" i="1045"/>
  <c r="F65" i="1045" s="1"/>
  <c r="F34" i="1045"/>
  <c r="D14" i="1045"/>
  <c r="G14" i="1045"/>
  <c r="B14" i="1045"/>
  <c r="C14" i="1045"/>
  <c r="F14" i="1045"/>
  <c r="E14" i="1045"/>
  <c r="F33" i="1045"/>
  <c r="E53" i="1045"/>
  <c r="B44" i="1045"/>
  <c r="C54" i="1045"/>
  <c r="D52" i="1045"/>
  <c r="I50" i="1045"/>
  <c r="I44" i="1045" s="1"/>
  <c r="I49" i="1045"/>
  <c r="C50" i="1045"/>
  <c r="C49" i="1045"/>
  <c r="C44" i="1045" s="1"/>
  <c r="K45" i="1045"/>
  <c r="J48" i="1045"/>
  <c r="J47" i="1045"/>
  <c r="J46" i="1045"/>
  <c r="F56" i="1045"/>
  <c r="E58" i="1045"/>
  <c r="E57" i="1045"/>
  <c r="E45" i="1045"/>
  <c r="D48" i="1045"/>
  <c r="D47" i="1045"/>
  <c r="D46" i="1045"/>
  <c r="I51" i="1045"/>
  <c r="C59" i="1044"/>
  <c r="E45" i="1044"/>
  <c r="D48" i="1044"/>
  <c r="D47" i="1044"/>
  <c r="D46" i="1044"/>
  <c r="E56" i="1044"/>
  <c r="D57" i="1044"/>
  <c r="D58" i="1044"/>
  <c r="G65" i="1044" s="1"/>
  <c r="L66" i="1044"/>
  <c r="N64" i="1044"/>
  <c r="L65" i="1044"/>
  <c r="L68" i="1044"/>
  <c r="L67" i="1044"/>
  <c r="M65" i="1044"/>
  <c r="M68" i="1044"/>
  <c r="M67" i="1044"/>
  <c r="M66" i="1044"/>
  <c r="O64" i="1044"/>
  <c r="B75" i="1044"/>
  <c r="B74" i="1044"/>
  <c r="B73" i="1044"/>
  <c r="B72" i="1044"/>
  <c r="J45" i="1044"/>
  <c r="I48" i="1044"/>
  <c r="I47" i="1044"/>
  <c r="I46" i="1044"/>
  <c r="K67" i="1044"/>
  <c r="K66" i="1044"/>
  <c r="K69" i="1044"/>
  <c r="K65" i="1044"/>
  <c r="K68" i="1044"/>
  <c r="D73" i="1044"/>
  <c r="D72" i="1044"/>
  <c r="D75" i="1044"/>
  <c r="D74" i="1044"/>
  <c r="E72" i="1044"/>
  <c r="E75" i="1044"/>
  <c r="E74" i="1044"/>
  <c r="E73" i="1044"/>
  <c r="F75" i="1044"/>
  <c r="F74" i="1044"/>
  <c r="F73" i="1044"/>
  <c r="F72" i="1044"/>
  <c r="C54" i="1044"/>
  <c r="D52" i="1044"/>
  <c r="B67" i="1044"/>
  <c r="B66" i="1044"/>
  <c r="B65" i="1044"/>
  <c r="B68" i="1044"/>
  <c r="C66" i="1044"/>
  <c r="C65" i="1044"/>
  <c r="C68" i="1044"/>
  <c r="C67" i="1044"/>
  <c r="D65" i="1044"/>
  <c r="D68" i="1044"/>
  <c r="D67" i="1044"/>
  <c r="D66" i="1044"/>
  <c r="C50" i="1044"/>
  <c r="C51" i="1044" s="1"/>
  <c r="C49" i="1044"/>
  <c r="C44" i="1044" s="1"/>
  <c r="H49" i="1044"/>
  <c r="H50" i="1044"/>
  <c r="C74" i="1044"/>
  <c r="C73" i="1044"/>
  <c r="C72" i="1044"/>
  <c r="C75" i="1044"/>
  <c r="N68" i="1044"/>
  <c r="E68" i="1044"/>
  <c r="N67" i="1044"/>
  <c r="E67" i="1044"/>
  <c r="N66" i="1044"/>
  <c r="E66" i="1044"/>
  <c r="N65" i="1044"/>
  <c r="E65" i="1044"/>
  <c r="G66" i="1044"/>
  <c r="G67" i="1044"/>
  <c r="F67" i="1044" s="1"/>
  <c r="G68" i="1044"/>
  <c r="O67" i="1044"/>
  <c r="O66" i="1044"/>
  <c r="F66" i="1044"/>
  <c r="O65" i="1044"/>
  <c r="O68" i="1044"/>
  <c r="I69" i="1044"/>
  <c r="I65" i="1044"/>
  <c r="I68" i="1044"/>
  <c r="I67" i="1044"/>
  <c r="I66" i="1044"/>
  <c r="J68" i="1044"/>
  <c r="J67" i="1044"/>
  <c r="J66" i="1044"/>
  <c r="J69" i="1044"/>
  <c r="J65" i="1044"/>
  <c r="H44" i="1043"/>
  <c r="E56" i="1043"/>
  <c r="D57" i="1043"/>
  <c r="D58" i="1043"/>
  <c r="G68" i="1043" s="1"/>
  <c r="B54" i="1043"/>
  <c r="C52" i="1043"/>
  <c r="C74" i="1043"/>
  <c r="C73" i="1043"/>
  <c r="C72" i="1043"/>
  <c r="C75" i="1043"/>
  <c r="L66" i="1043"/>
  <c r="N64" i="1043"/>
  <c r="L65" i="1043"/>
  <c r="L68" i="1043"/>
  <c r="L67" i="1043"/>
  <c r="L69" i="1043" s="1"/>
  <c r="M65" i="1043"/>
  <c r="M68" i="1043"/>
  <c r="M67" i="1043"/>
  <c r="M66" i="1043"/>
  <c r="O64" i="1043"/>
  <c r="B75" i="1043"/>
  <c r="B74" i="1043"/>
  <c r="B73" i="1043"/>
  <c r="B72" i="1043"/>
  <c r="D45" i="1043"/>
  <c r="C48" i="1043"/>
  <c r="C47" i="1043"/>
  <c r="C46" i="1043"/>
  <c r="K67" i="1043"/>
  <c r="K66" i="1043"/>
  <c r="K69" i="1043"/>
  <c r="K65" i="1043"/>
  <c r="K68" i="1043"/>
  <c r="D73" i="1043"/>
  <c r="D72" i="1043"/>
  <c r="D75" i="1043"/>
  <c r="D74" i="1043"/>
  <c r="E72" i="1043"/>
  <c r="E75" i="1043"/>
  <c r="E74" i="1043"/>
  <c r="E73" i="1043"/>
  <c r="F75" i="1043"/>
  <c r="F74" i="1043"/>
  <c r="F73" i="1043"/>
  <c r="F72" i="1043"/>
  <c r="I50" i="1043"/>
  <c r="I44" i="1043" s="1"/>
  <c r="I49" i="1043"/>
  <c r="I51" i="1043" s="1"/>
  <c r="B53" i="1043"/>
  <c r="N68" i="1043"/>
  <c r="N67" i="1043"/>
  <c r="E67" i="1043"/>
  <c r="N66" i="1043"/>
  <c r="E66" i="1043"/>
  <c r="N65" i="1043"/>
  <c r="E65" i="1043"/>
  <c r="G66" i="1043"/>
  <c r="G65" i="1043"/>
  <c r="G67" i="1043"/>
  <c r="B67" i="1043"/>
  <c r="B66" i="1043"/>
  <c r="B65" i="1043"/>
  <c r="B68" i="1043"/>
  <c r="C66" i="1043"/>
  <c r="C65" i="1043"/>
  <c r="C68" i="1043"/>
  <c r="C67" i="1043"/>
  <c r="D65" i="1043"/>
  <c r="D68" i="1043"/>
  <c r="E68" i="1043" s="1"/>
  <c r="D67" i="1043"/>
  <c r="D66" i="1043"/>
  <c r="H51" i="1043"/>
  <c r="K45" i="1043"/>
  <c r="J48" i="1043"/>
  <c r="J47" i="1043"/>
  <c r="J46" i="1043"/>
  <c r="B50" i="1043"/>
  <c r="B49" i="1043"/>
  <c r="O67" i="1043"/>
  <c r="F67" i="1043"/>
  <c r="O66" i="1043"/>
  <c r="F66" i="1043"/>
  <c r="O65" i="1043"/>
  <c r="F65" i="1043"/>
  <c r="O68" i="1043"/>
  <c r="I69" i="1043"/>
  <c r="I65" i="1043"/>
  <c r="I68" i="1043"/>
  <c r="I67" i="1043"/>
  <c r="I66" i="1043"/>
  <c r="J68" i="1043"/>
  <c r="J67" i="1043"/>
  <c r="J66" i="1043"/>
  <c r="J69" i="1043"/>
  <c r="J65" i="1043"/>
  <c r="L69" i="1042"/>
  <c r="I48" i="1042"/>
  <c r="I47" i="1042"/>
  <c r="J45" i="1042"/>
  <c r="I46" i="1042"/>
  <c r="C69" i="1042"/>
  <c r="B40" i="1042" s="1"/>
  <c r="D69" i="1042"/>
  <c r="B69" i="1042"/>
  <c r="E72" i="1042"/>
  <c r="E74" i="1042"/>
  <c r="E56" i="1042"/>
  <c r="D58" i="1042"/>
  <c r="D57" i="1042"/>
  <c r="D142" i="1042"/>
  <c r="M14" i="1042"/>
  <c r="B54" i="1042"/>
  <c r="C52" i="1042"/>
  <c r="H44" i="1042"/>
  <c r="E142" i="1042"/>
  <c r="D76" i="1042"/>
  <c r="B53" i="1042"/>
  <c r="D45" i="1042"/>
  <c r="C48" i="1042"/>
  <c r="C47" i="1042"/>
  <c r="C46" i="1042"/>
  <c r="H51" i="1042"/>
  <c r="B76" i="1042"/>
  <c r="B33" i="1042"/>
  <c r="F142" i="1042"/>
  <c r="J15" i="1042" s="1"/>
  <c r="I13" i="1042" s="1"/>
  <c r="C76" i="1042"/>
  <c r="B50" i="1042"/>
  <c r="B49" i="1042"/>
  <c r="D45" i="1041"/>
  <c r="C48" i="1041"/>
  <c r="C47" i="1041"/>
  <c r="C46" i="1041"/>
  <c r="N68" i="1041"/>
  <c r="N67" i="1041"/>
  <c r="E67" i="1041"/>
  <c r="N66" i="1041"/>
  <c r="E66" i="1041"/>
  <c r="N65" i="1041"/>
  <c r="E65" i="1041"/>
  <c r="O67" i="1041"/>
  <c r="O66" i="1041"/>
  <c r="O65" i="1041"/>
  <c r="O68" i="1041"/>
  <c r="C66" i="1041"/>
  <c r="C65" i="1041"/>
  <c r="C68" i="1041"/>
  <c r="C67" i="1041"/>
  <c r="D65" i="1041"/>
  <c r="D68" i="1041"/>
  <c r="D67" i="1041"/>
  <c r="D66" i="1041"/>
  <c r="H49" i="1041"/>
  <c r="H50" i="1041"/>
  <c r="E56" i="1041"/>
  <c r="D57" i="1041"/>
  <c r="D58" i="1041"/>
  <c r="B53" i="1041"/>
  <c r="L66" i="1041"/>
  <c r="N64" i="1041"/>
  <c r="L65" i="1041"/>
  <c r="L68" i="1041"/>
  <c r="L67" i="1041"/>
  <c r="I69" i="1041"/>
  <c r="I65" i="1041"/>
  <c r="I68" i="1041"/>
  <c r="I67" i="1041"/>
  <c r="I66" i="1041"/>
  <c r="J68" i="1041"/>
  <c r="J67" i="1041"/>
  <c r="J66" i="1041"/>
  <c r="J69" i="1041"/>
  <c r="J65" i="1041"/>
  <c r="H44" i="1041"/>
  <c r="B50" i="1041"/>
  <c r="B49" i="1041"/>
  <c r="K67" i="1041"/>
  <c r="K66" i="1041"/>
  <c r="K69" i="1041"/>
  <c r="K65" i="1041"/>
  <c r="K68" i="1041"/>
  <c r="D73" i="1041"/>
  <c r="D72" i="1041"/>
  <c r="D75" i="1041"/>
  <c r="D74" i="1041"/>
  <c r="M65" i="1041"/>
  <c r="M68" i="1041"/>
  <c r="M67" i="1041"/>
  <c r="M66" i="1041"/>
  <c r="O64" i="1041"/>
  <c r="B75" i="1041"/>
  <c r="B74" i="1041"/>
  <c r="B73" i="1041"/>
  <c r="B72" i="1041"/>
  <c r="J45" i="1041"/>
  <c r="I48" i="1041"/>
  <c r="I47" i="1041"/>
  <c r="I46" i="1041"/>
  <c r="B54" i="1041"/>
  <c r="C52" i="1041"/>
  <c r="C74" i="1041"/>
  <c r="C73" i="1041"/>
  <c r="C72" i="1041"/>
  <c r="C75" i="1041"/>
  <c r="B67" i="1041"/>
  <c r="B66" i="1041"/>
  <c r="B65" i="1041"/>
  <c r="B68" i="1041"/>
  <c r="E72" i="1041"/>
  <c r="E75" i="1041"/>
  <c r="E74" i="1041"/>
  <c r="E73" i="1041"/>
  <c r="F75" i="1041"/>
  <c r="F74" i="1041"/>
  <c r="F73" i="1041"/>
  <c r="F72" i="1041"/>
  <c r="C59" i="1040"/>
  <c r="B54" i="1040"/>
  <c r="C52" i="1040"/>
  <c r="H49" i="1040"/>
  <c r="H50" i="1040"/>
  <c r="H44" i="1040" s="1"/>
  <c r="N68" i="1040"/>
  <c r="N67" i="1040"/>
  <c r="E67" i="1040"/>
  <c r="N65" i="1040"/>
  <c r="E65" i="1040"/>
  <c r="N66" i="1040"/>
  <c r="E66" i="1040"/>
  <c r="G65" i="1040"/>
  <c r="C66" i="1040"/>
  <c r="C65" i="1040"/>
  <c r="C67" i="1040"/>
  <c r="C68" i="1040"/>
  <c r="D65" i="1040"/>
  <c r="D68" i="1040"/>
  <c r="E68" i="1040" s="1"/>
  <c r="D67" i="1040"/>
  <c r="D66" i="1040"/>
  <c r="B53" i="1040"/>
  <c r="D45" i="1040"/>
  <c r="C48" i="1040"/>
  <c r="C47" i="1040"/>
  <c r="C46" i="1040"/>
  <c r="C74" i="1040"/>
  <c r="C73" i="1040"/>
  <c r="C72" i="1040"/>
  <c r="C75" i="1040"/>
  <c r="B67" i="1040"/>
  <c r="B66" i="1040"/>
  <c r="B68" i="1040"/>
  <c r="B65" i="1040"/>
  <c r="I69" i="1040"/>
  <c r="I65" i="1040"/>
  <c r="I68" i="1040"/>
  <c r="I66" i="1040"/>
  <c r="I67" i="1040"/>
  <c r="J68" i="1040"/>
  <c r="J67" i="1040"/>
  <c r="J66" i="1040"/>
  <c r="J65" i="1040"/>
  <c r="J69" i="1040"/>
  <c r="H51" i="1040"/>
  <c r="E56" i="1040"/>
  <c r="D57" i="1040"/>
  <c r="D58" i="1040"/>
  <c r="O67" i="1040"/>
  <c r="O66" i="1040"/>
  <c r="O65" i="1040"/>
  <c r="F65" i="1040"/>
  <c r="O68" i="1040"/>
  <c r="K67" i="1040"/>
  <c r="K66" i="1040"/>
  <c r="K69" i="1040"/>
  <c r="K68" i="1040"/>
  <c r="K65" i="1040"/>
  <c r="L66" i="1040"/>
  <c r="N64" i="1040"/>
  <c r="L65" i="1040"/>
  <c r="L67" i="1040"/>
  <c r="L68" i="1040"/>
  <c r="M65" i="1040"/>
  <c r="M68" i="1040"/>
  <c r="M67" i="1040"/>
  <c r="M66" i="1040"/>
  <c r="O64" i="1040"/>
  <c r="B75" i="1040"/>
  <c r="B74" i="1040"/>
  <c r="B72" i="1040"/>
  <c r="B73" i="1040"/>
  <c r="B50" i="1040"/>
  <c r="B49" i="1040"/>
  <c r="J45" i="1040"/>
  <c r="I48" i="1040"/>
  <c r="I47" i="1040"/>
  <c r="I46" i="1040"/>
  <c r="D73" i="1040"/>
  <c r="D72" i="1040"/>
  <c r="D75" i="1040"/>
  <c r="D74" i="1040"/>
  <c r="E72" i="1040"/>
  <c r="E75" i="1040"/>
  <c r="E73" i="1040"/>
  <c r="E74" i="1040"/>
  <c r="F75" i="1040"/>
  <c r="F74" i="1040"/>
  <c r="F73" i="1040"/>
  <c r="F72" i="1040"/>
  <c r="K45" i="1039"/>
  <c r="J48" i="1039"/>
  <c r="J47" i="1039"/>
  <c r="J46" i="1039"/>
  <c r="E56" i="1039"/>
  <c r="D57" i="1039"/>
  <c r="G65" i="1039" s="1"/>
  <c r="F65" i="1039" s="1"/>
  <c r="D58" i="1039"/>
  <c r="B53" i="1039"/>
  <c r="N68" i="1039"/>
  <c r="N67" i="1039"/>
  <c r="E67" i="1039"/>
  <c r="N66" i="1039"/>
  <c r="E66" i="1039"/>
  <c r="N65" i="1039"/>
  <c r="E65" i="1039"/>
  <c r="O67" i="1039"/>
  <c r="F67" i="1039"/>
  <c r="O66" i="1039"/>
  <c r="O65" i="1039"/>
  <c r="O68" i="1039"/>
  <c r="I69" i="1039"/>
  <c r="I65" i="1039"/>
  <c r="I68" i="1039"/>
  <c r="I67" i="1039"/>
  <c r="I66" i="1039"/>
  <c r="J68" i="1039"/>
  <c r="J67" i="1039"/>
  <c r="J66" i="1039"/>
  <c r="J69" i="1039"/>
  <c r="J65" i="1039"/>
  <c r="I50" i="1039"/>
  <c r="I49" i="1039"/>
  <c r="I51" i="1039" s="1"/>
  <c r="C66" i="1039"/>
  <c r="C65" i="1039"/>
  <c r="C68" i="1039"/>
  <c r="C67" i="1039"/>
  <c r="B50" i="1039"/>
  <c r="B49" i="1039"/>
  <c r="L66" i="1039"/>
  <c r="N64" i="1039"/>
  <c r="L65" i="1039"/>
  <c r="L68" i="1039"/>
  <c r="L67" i="1039"/>
  <c r="M65" i="1039"/>
  <c r="M68" i="1039"/>
  <c r="M67" i="1039"/>
  <c r="M66" i="1039"/>
  <c r="O64" i="1039"/>
  <c r="B75" i="1039"/>
  <c r="B74" i="1039"/>
  <c r="B73" i="1039"/>
  <c r="B72" i="1039"/>
  <c r="B51" i="1039"/>
  <c r="D45" i="1039"/>
  <c r="C48" i="1039"/>
  <c r="C47" i="1039"/>
  <c r="C46" i="1039"/>
  <c r="C74" i="1039"/>
  <c r="C73" i="1039"/>
  <c r="C72" i="1039"/>
  <c r="C75" i="1039"/>
  <c r="B67" i="1039"/>
  <c r="B66" i="1039"/>
  <c r="B65" i="1039"/>
  <c r="B68" i="1039"/>
  <c r="D65" i="1039"/>
  <c r="D68" i="1039"/>
  <c r="E68" i="1039" s="1"/>
  <c r="D67" i="1039"/>
  <c r="D66" i="1039"/>
  <c r="I44" i="1039"/>
  <c r="H44" i="1039"/>
  <c r="B54" i="1039"/>
  <c r="C52" i="1039"/>
  <c r="K67" i="1039"/>
  <c r="K66" i="1039"/>
  <c r="K69" i="1039"/>
  <c r="K65" i="1039"/>
  <c r="K68" i="1039"/>
  <c r="D73" i="1039"/>
  <c r="D72" i="1039"/>
  <c r="D75" i="1039"/>
  <c r="D74" i="1039"/>
  <c r="E72" i="1039"/>
  <c r="E75" i="1039"/>
  <c r="E74" i="1039"/>
  <c r="E73" i="1039"/>
  <c r="F75" i="1039"/>
  <c r="F74" i="1039"/>
  <c r="F73" i="1039"/>
  <c r="F72" i="1039"/>
  <c r="E76" i="1038"/>
  <c r="D69" i="1038"/>
  <c r="E142" i="1038" s="1"/>
  <c r="B69" i="1038"/>
  <c r="C40" i="1038" s="1"/>
  <c r="E69" i="1038"/>
  <c r="M14" i="1038" s="1"/>
  <c r="C69" i="1038"/>
  <c r="C76" i="1038"/>
  <c r="C142" i="1038"/>
  <c r="D142" i="1038"/>
  <c r="D45" i="1038"/>
  <c r="C48" i="1038"/>
  <c r="C47" i="1038"/>
  <c r="C46" i="1038"/>
  <c r="J45" i="1038"/>
  <c r="I48" i="1038"/>
  <c r="I47" i="1038"/>
  <c r="I46" i="1038"/>
  <c r="B53" i="1038"/>
  <c r="D76" i="1038"/>
  <c r="B50" i="1038"/>
  <c r="B49" i="1038"/>
  <c r="H49" i="1038"/>
  <c r="H50" i="1038"/>
  <c r="E56" i="1038"/>
  <c r="D57" i="1038"/>
  <c r="D58" i="1038"/>
  <c r="B54" i="1038"/>
  <c r="C52" i="1038"/>
  <c r="D45" i="1037"/>
  <c r="C48" i="1037"/>
  <c r="C47" i="1037"/>
  <c r="C46" i="1037"/>
  <c r="B67" i="1037"/>
  <c r="B66" i="1037"/>
  <c r="B65" i="1037"/>
  <c r="B68" i="1037"/>
  <c r="C66" i="1037"/>
  <c r="C65" i="1037"/>
  <c r="C68" i="1037"/>
  <c r="C67" i="1037"/>
  <c r="D65" i="1037"/>
  <c r="D68" i="1037"/>
  <c r="D67" i="1037"/>
  <c r="D66" i="1037"/>
  <c r="I50" i="1037"/>
  <c r="I44" i="1037" s="1"/>
  <c r="I49" i="1037"/>
  <c r="I51" i="1037" s="1"/>
  <c r="B53" i="1037"/>
  <c r="C74" i="1037"/>
  <c r="C73" i="1037"/>
  <c r="C72" i="1037"/>
  <c r="C75" i="1037"/>
  <c r="O67" i="1037"/>
  <c r="O66" i="1037"/>
  <c r="O65" i="1037"/>
  <c r="O68" i="1037"/>
  <c r="I69" i="1037"/>
  <c r="I65" i="1037"/>
  <c r="I68" i="1037"/>
  <c r="I67" i="1037"/>
  <c r="I66" i="1037"/>
  <c r="J68" i="1037"/>
  <c r="J67" i="1037"/>
  <c r="J66" i="1037"/>
  <c r="J69" i="1037"/>
  <c r="J65" i="1037"/>
  <c r="H51" i="1037"/>
  <c r="K45" i="1037"/>
  <c r="J48" i="1037"/>
  <c r="J47" i="1037"/>
  <c r="J46" i="1037"/>
  <c r="B50" i="1037"/>
  <c r="B49" i="1037"/>
  <c r="L66" i="1037"/>
  <c r="N64" i="1037"/>
  <c r="L65" i="1037"/>
  <c r="L68" i="1037"/>
  <c r="L67" i="1037"/>
  <c r="M65" i="1037"/>
  <c r="M68" i="1037"/>
  <c r="M67" i="1037"/>
  <c r="M66" i="1037"/>
  <c r="O64" i="1037"/>
  <c r="B75" i="1037"/>
  <c r="B74" i="1037"/>
  <c r="B73" i="1037"/>
  <c r="B72" i="1037"/>
  <c r="E56" i="1037"/>
  <c r="D57" i="1037"/>
  <c r="D59" i="1037" s="1"/>
  <c r="D58" i="1037"/>
  <c r="B54" i="1037"/>
  <c r="C52" i="1037"/>
  <c r="N68" i="1037"/>
  <c r="E68" i="1037" s="1"/>
  <c r="N67" i="1037"/>
  <c r="E67" i="1037"/>
  <c r="N66" i="1037"/>
  <c r="E66" i="1037"/>
  <c r="N65" i="1037"/>
  <c r="E65" i="1037"/>
  <c r="G65" i="1037"/>
  <c r="F65" i="1037" s="1"/>
  <c r="K67" i="1037"/>
  <c r="K66" i="1037"/>
  <c r="K69" i="1037"/>
  <c r="K65" i="1037"/>
  <c r="K68" i="1037"/>
  <c r="D73" i="1037"/>
  <c r="D72" i="1037"/>
  <c r="D75" i="1037"/>
  <c r="D74" i="1037"/>
  <c r="E72" i="1037"/>
  <c r="E75" i="1037"/>
  <c r="E74" i="1037"/>
  <c r="E73" i="1037"/>
  <c r="F75" i="1037"/>
  <c r="F74" i="1037"/>
  <c r="F73" i="1037"/>
  <c r="F72" i="1037"/>
  <c r="C59" i="1036"/>
  <c r="C74" i="1036"/>
  <c r="C73" i="1036"/>
  <c r="C72" i="1036"/>
  <c r="C75" i="1036"/>
  <c r="B67" i="1036"/>
  <c r="B66" i="1036"/>
  <c r="B65" i="1036"/>
  <c r="B68" i="1036"/>
  <c r="C66" i="1036"/>
  <c r="C65" i="1036"/>
  <c r="C68" i="1036"/>
  <c r="C67" i="1036"/>
  <c r="D65" i="1036"/>
  <c r="D68" i="1036"/>
  <c r="D67" i="1036"/>
  <c r="D66" i="1036"/>
  <c r="E56" i="1036"/>
  <c r="D57" i="1036"/>
  <c r="G65" i="1036" s="1"/>
  <c r="F65" i="1036" s="1"/>
  <c r="D58" i="1036"/>
  <c r="B53" i="1036"/>
  <c r="H49" i="1036"/>
  <c r="H50" i="1036"/>
  <c r="N68" i="1036"/>
  <c r="N67" i="1036"/>
  <c r="E67" i="1036"/>
  <c r="N66" i="1036"/>
  <c r="E66" i="1036"/>
  <c r="N65" i="1036"/>
  <c r="E65" i="1036"/>
  <c r="G66" i="1036"/>
  <c r="F66" i="1036" s="1"/>
  <c r="G67" i="1036"/>
  <c r="F67" i="1036" s="1"/>
  <c r="O67" i="1036"/>
  <c r="O66" i="1036"/>
  <c r="O65" i="1036"/>
  <c r="O68" i="1036"/>
  <c r="I69" i="1036"/>
  <c r="I65" i="1036"/>
  <c r="I68" i="1036"/>
  <c r="I67" i="1036"/>
  <c r="I66" i="1036"/>
  <c r="J68" i="1036"/>
  <c r="J67" i="1036"/>
  <c r="J66" i="1036"/>
  <c r="J69" i="1036"/>
  <c r="J65" i="1036"/>
  <c r="B50" i="1036"/>
  <c r="B49" i="1036"/>
  <c r="H44" i="1036"/>
  <c r="L66" i="1036"/>
  <c r="N64" i="1036"/>
  <c r="L65" i="1036"/>
  <c r="L68" i="1036"/>
  <c r="L67" i="1036"/>
  <c r="M65" i="1036"/>
  <c r="M68" i="1036"/>
  <c r="M67" i="1036"/>
  <c r="M66" i="1036"/>
  <c r="O64" i="1036"/>
  <c r="B75" i="1036"/>
  <c r="B74" i="1036"/>
  <c r="B73" i="1036"/>
  <c r="B72" i="1036"/>
  <c r="B54" i="1036"/>
  <c r="C52" i="1036"/>
  <c r="J45" i="1036"/>
  <c r="I48" i="1036"/>
  <c r="I47" i="1036"/>
  <c r="I46" i="1036"/>
  <c r="K67" i="1036"/>
  <c r="K66" i="1036"/>
  <c r="K69" i="1036"/>
  <c r="K65" i="1036"/>
  <c r="K68" i="1036"/>
  <c r="D73" i="1036"/>
  <c r="D72" i="1036"/>
  <c r="D75" i="1036"/>
  <c r="D74" i="1036"/>
  <c r="E72" i="1036"/>
  <c r="E75" i="1036"/>
  <c r="E74" i="1036"/>
  <c r="E73" i="1036"/>
  <c r="F75" i="1036"/>
  <c r="F74" i="1036"/>
  <c r="F73" i="1036"/>
  <c r="F72" i="1036"/>
  <c r="D45" i="1036"/>
  <c r="C48" i="1036"/>
  <c r="C47" i="1036"/>
  <c r="C46" i="1036"/>
  <c r="C50" i="1035"/>
  <c r="C51" i="1035" s="1"/>
  <c r="C49" i="1035"/>
  <c r="J45" i="1035"/>
  <c r="I48" i="1035"/>
  <c r="I47" i="1035"/>
  <c r="I46" i="1035"/>
  <c r="C74" i="1035"/>
  <c r="C73" i="1035"/>
  <c r="C72" i="1035"/>
  <c r="C75" i="1035"/>
  <c r="L66" i="1035"/>
  <c r="N64" i="1035"/>
  <c r="L65" i="1035"/>
  <c r="L69" i="1035" s="1"/>
  <c r="L68" i="1035"/>
  <c r="L67" i="1035"/>
  <c r="I69" i="1035"/>
  <c r="I65" i="1035"/>
  <c r="I68" i="1035"/>
  <c r="I67" i="1035"/>
  <c r="I66" i="1035"/>
  <c r="J68" i="1035"/>
  <c r="J67" i="1035"/>
  <c r="J66" i="1035"/>
  <c r="J69" i="1035"/>
  <c r="J65" i="1035"/>
  <c r="E45" i="1035"/>
  <c r="D48" i="1035"/>
  <c r="D47" i="1035"/>
  <c r="D46" i="1035"/>
  <c r="E56" i="1035"/>
  <c r="D57" i="1035"/>
  <c r="G66" i="1035" s="1"/>
  <c r="F66" i="1035" s="1"/>
  <c r="D58" i="1035"/>
  <c r="K67" i="1035"/>
  <c r="K66" i="1035"/>
  <c r="K69" i="1035"/>
  <c r="K65" i="1035"/>
  <c r="K68" i="1035"/>
  <c r="D73" i="1035"/>
  <c r="D72" i="1035"/>
  <c r="D75" i="1035"/>
  <c r="D74" i="1035"/>
  <c r="M65" i="1035"/>
  <c r="M68" i="1035"/>
  <c r="M67" i="1035"/>
  <c r="M66" i="1035"/>
  <c r="O64" i="1035"/>
  <c r="B75" i="1035"/>
  <c r="B74" i="1035"/>
  <c r="B73" i="1035"/>
  <c r="B72" i="1035"/>
  <c r="B44" i="1035"/>
  <c r="C44" i="1035"/>
  <c r="H49" i="1035"/>
  <c r="H50" i="1035"/>
  <c r="B67" i="1035"/>
  <c r="B66" i="1035"/>
  <c r="B65" i="1035"/>
  <c r="B68" i="1035"/>
  <c r="E72" i="1035"/>
  <c r="E75" i="1035"/>
  <c r="E74" i="1035"/>
  <c r="E73" i="1035"/>
  <c r="F75" i="1035"/>
  <c r="F74" i="1035"/>
  <c r="F73" i="1035"/>
  <c r="F72" i="1035"/>
  <c r="H44" i="1035"/>
  <c r="C54" i="1035"/>
  <c r="D52" i="1035"/>
  <c r="N68" i="1035"/>
  <c r="N67" i="1035"/>
  <c r="E67" i="1035"/>
  <c r="N66" i="1035"/>
  <c r="E66" i="1035"/>
  <c r="N65" i="1035"/>
  <c r="E65" i="1035"/>
  <c r="O67" i="1035"/>
  <c r="O66" i="1035"/>
  <c r="O65" i="1035"/>
  <c r="O68" i="1035"/>
  <c r="C66" i="1035"/>
  <c r="C65" i="1035"/>
  <c r="C68" i="1035"/>
  <c r="C67" i="1035"/>
  <c r="D65" i="1035"/>
  <c r="D68" i="1035"/>
  <c r="E68" i="1035" s="1"/>
  <c r="D67" i="1035"/>
  <c r="D66" i="1035"/>
  <c r="N68" i="1034"/>
  <c r="N67" i="1034"/>
  <c r="E67" i="1034"/>
  <c r="N66" i="1034"/>
  <c r="E66" i="1034"/>
  <c r="N65" i="1034"/>
  <c r="E65" i="1034"/>
  <c r="O67" i="1034"/>
  <c r="O66" i="1034"/>
  <c r="O65" i="1034"/>
  <c r="O68" i="1034"/>
  <c r="I69" i="1034"/>
  <c r="I65" i="1034"/>
  <c r="I68" i="1034"/>
  <c r="I67" i="1034"/>
  <c r="I66" i="1034"/>
  <c r="J68" i="1034"/>
  <c r="J67" i="1034"/>
  <c r="J66" i="1034"/>
  <c r="J69" i="1034"/>
  <c r="J65" i="1034"/>
  <c r="H50" i="1034"/>
  <c r="H44" i="1034" s="1"/>
  <c r="H49" i="1034"/>
  <c r="H51" i="1034" s="1"/>
  <c r="E56" i="1034"/>
  <c r="D58" i="1034"/>
  <c r="D57" i="1034"/>
  <c r="K67" i="1034"/>
  <c r="K66" i="1034"/>
  <c r="K69" i="1034"/>
  <c r="K65" i="1034"/>
  <c r="K68" i="1034"/>
  <c r="L66" i="1034"/>
  <c r="N64" i="1034"/>
  <c r="L65" i="1034"/>
  <c r="L68" i="1034"/>
  <c r="L67" i="1034"/>
  <c r="M65" i="1034"/>
  <c r="M68" i="1034"/>
  <c r="M67" i="1034"/>
  <c r="M66" i="1034"/>
  <c r="O64" i="1034"/>
  <c r="B75" i="1034"/>
  <c r="B74" i="1034"/>
  <c r="B73" i="1034"/>
  <c r="B72" i="1034"/>
  <c r="J45" i="1034"/>
  <c r="I48" i="1034"/>
  <c r="I47" i="1034"/>
  <c r="I46" i="1034"/>
  <c r="B50" i="1034"/>
  <c r="B49" i="1034"/>
  <c r="C74" i="1034"/>
  <c r="C73" i="1034"/>
  <c r="C72" i="1034"/>
  <c r="C75" i="1034"/>
  <c r="D73" i="1034"/>
  <c r="D72" i="1034"/>
  <c r="D75" i="1034"/>
  <c r="D74" i="1034"/>
  <c r="E72" i="1034"/>
  <c r="E75" i="1034"/>
  <c r="E74" i="1034"/>
  <c r="E73" i="1034"/>
  <c r="F75" i="1034"/>
  <c r="F74" i="1034"/>
  <c r="F73" i="1034"/>
  <c r="F72" i="1034"/>
  <c r="B54" i="1034"/>
  <c r="C52" i="1034"/>
  <c r="B67" i="1034"/>
  <c r="B66" i="1034"/>
  <c r="B65" i="1034"/>
  <c r="B68" i="1034"/>
  <c r="C66" i="1034"/>
  <c r="C65" i="1034"/>
  <c r="C68" i="1034"/>
  <c r="C67" i="1034"/>
  <c r="D65" i="1034"/>
  <c r="D68" i="1034"/>
  <c r="E68" i="1034" s="1"/>
  <c r="D67" i="1034"/>
  <c r="D66" i="1034"/>
  <c r="B53" i="1034"/>
  <c r="B44" i="1034"/>
  <c r="D45" i="1034"/>
  <c r="C48" i="1034"/>
  <c r="C47" i="1034"/>
  <c r="C46" i="1034"/>
  <c r="B3" i="1033"/>
  <c r="B67" i="1033"/>
  <c r="B66" i="1033"/>
  <c r="B65" i="1033"/>
  <c r="B68" i="1033"/>
  <c r="C66" i="1033"/>
  <c r="C65" i="1033"/>
  <c r="C68" i="1033"/>
  <c r="C67" i="1033"/>
  <c r="D65" i="1033"/>
  <c r="D68" i="1033"/>
  <c r="E68" i="1033" s="1"/>
  <c r="E69" i="1033" s="1"/>
  <c r="D67" i="1033"/>
  <c r="D66" i="1033"/>
  <c r="I45" i="1033"/>
  <c r="H47" i="1033"/>
  <c r="H48" i="1033"/>
  <c r="H46" i="1033"/>
  <c r="C58" i="1033"/>
  <c r="C57" i="1033"/>
  <c r="D56" i="1033"/>
  <c r="O67" i="1033"/>
  <c r="O66" i="1033"/>
  <c r="O65" i="1033"/>
  <c r="O68" i="1033"/>
  <c r="I69" i="1033"/>
  <c r="I65" i="1033"/>
  <c r="I68" i="1033"/>
  <c r="I67" i="1033"/>
  <c r="I66" i="1033"/>
  <c r="J68" i="1033"/>
  <c r="J67" i="1033"/>
  <c r="J66" i="1033"/>
  <c r="J69" i="1033"/>
  <c r="J65" i="1033"/>
  <c r="C45" i="1033"/>
  <c r="B52" i="1033"/>
  <c r="B48" i="1033"/>
  <c r="B46" i="1033"/>
  <c r="B47" i="1033"/>
  <c r="C74" i="1033"/>
  <c r="C73" i="1033"/>
  <c r="C72" i="1033"/>
  <c r="C75" i="1033"/>
  <c r="K67" i="1033"/>
  <c r="K66" i="1033"/>
  <c r="K69" i="1033"/>
  <c r="K65" i="1033"/>
  <c r="K68" i="1033"/>
  <c r="L66" i="1033"/>
  <c r="N64" i="1033"/>
  <c r="L65" i="1033"/>
  <c r="L68" i="1033"/>
  <c r="L67" i="1033"/>
  <c r="M65" i="1033"/>
  <c r="M68" i="1033"/>
  <c r="M67" i="1033"/>
  <c r="M66" i="1033"/>
  <c r="O64" i="1033"/>
  <c r="B75" i="1033"/>
  <c r="B74" i="1033"/>
  <c r="B73" i="1033"/>
  <c r="B72" i="1033"/>
  <c r="B59" i="1033"/>
  <c r="D73" i="1033"/>
  <c r="D72" i="1033"/>
  <c r="D75" i="1033"/>
  <c r="D74" i="1033"/>
  <c r="E72" i="1033"/>
  <c r="E75" i="1033"/>
  <c r="E74" i="1033"/>
  <c r="E73" i="1033"/>
  <c r="F75" i="1033"/>
  <c r="F74" i="1033"/>
  <c r="F73" i="1033"/>
  <c r="F72" i="1033"/>
  <c r="F25" i="1032"/>
  <c r="B3" i="1032" s="1"/>
  <c r="D25" i="1032"/>
  <c r="J19" i="1032"/>
  <c r="F71" i="1032"/>
  <c r="B71" i="1032"/>
  <c r="J64" i="1032"/>
  <c r="D64" i="1032"/>
  <c r="E71" i="1032"/>
  <c r="M64" i="1032"/>
  <c r="I64" i="1032"/>
  <c r="C64" i="1032"/>
  <c r="A16" i="1032"/>
  <c r="D71" i="1032"/>
  <c r="L64" i="1032"/>
  <c r="F64" i="1032"/>
  <c r="B64" i="1032"/>
  <c r="K64" i="1032"/>
  <c r="M4" i="1032"/>
  <c r="D3" i="1032"/>
  <c r="E64" i="1032"/>
  <c r="C71" i="1032"/>
  <c r="F3" i="1032"/>
  <c r="B59" i="1032"/>
  <c r="H49" i="1032"/>
  <c r="H50" i="1032"/>
  <c r="C45" i="1032"/>
  <c r="B52" i="1032"/>
  <c r="B48" i="1032"/>
  <c r="B46" i="1032"/>
  <c r="B47" i="1032"/>
  <c r="C58" i="1032"/>
  <c r="C57" i="1032"/>
  <c r="D56" i="1032"/>
  <c r="J45" i="1032"/>
  <c r="I48" i="1032"/>
  <c r="I47" i="1032"/>
  <c r="I46" i="1032"/>
  <c r="J19" i="1031"/>
  <c r="B3" i="1031" s="1"/>
  <c r="I45" i="1031"/>
  <c r="H47" i="1031"/>
  <c r="H48" i="1031"/>
  <c r="H46" i="1031"/>
  <c r="B53" i="1031"/>
  <c r="B59" i="1031"/>
  <c r="F71" i="1031"/>
  <c r="B71" i="1031"/>
  <c r="J64" i="1031"/>
  <c r="D64" i="1031"/>
  <c r="E71" i="1031"/>
  <c r="M64" i="1031"/>
  <c r="I64" i="1031"/>
  <c r="C64" i="1031"/>
  <c r="A16" i="1031"/>
  <c r="D71" i="1031"/>
  <c r="L64" i="1031"/>
  <c r="F64" i="1031"/>
  <c r="B64" i="1031"/>
  <c r="K64" i="1031"/>
  <c r="F3" i="1031"/>
  <c r="E64" i="1031"/>
  <c r="M4" i="1031"/>
  <c r="D3" i="1031"/>
  <c r="C71" i="1031"/>
  <c r="B50" i="1031"/>
  <c r="B49" i="1031"/>
  <c r="B54" i="1031"/>
  <c r="C52" i="1031"/>
  <c r="C58" i="1031"/>
  <c r="C57" i="1031"/>
  <c r="D56" i="1031"/>
  <c r="B51" i="1031"/>
  <c r="D45" i="1031"/>
  <c r="C48" i="1031"/>
  <c r="C47" i="1031"/>
  <c r="C46" i="1031"/>
  <c r="J19" i="1030"/>
  <c r="B3" i="1030" s="1"/>
  <c r="K67" i="1030"/>
  <c r="K66" i="1030"/>
  <c r="K69" i="1030"/>
  <c r="K65" i="1030"/>
  <c r="K68" i="1030"/>
  <c r="N68" i="1030"/>
  <c r="N67" i="1030"/>
  <c r="E67" i="1030"/>
  <c r="N66" i="1030"/>
  <c r="E66" i="1030"/>
  <c r="N65" i="1030"/>
  <c r="E65" i="1030"/>
  <c r="C45" i="1030"/>
  <c r="B52" i="1030"/>
  <c r="B48" i="1030"/>
  <c r="B46" i="1030"/>
  <c r="B47" i="1030"/>
  <c r="O67" i="1030"/>
  <c r="O66" i="1030"/>
  <c r="O65" i="1030"/>
  <c r="O68" i="1030"/>
  <c r="C66" i="1030"/>
  <c r="C65" i="1030"/>
  <c r="C68" i="1030"/>
  <c r="C67" i="1030"/>
  <c r="D65" i="1030"/>
  <c r="D68" i="1030"/>
  <c r="E68" i="1030" s="1"/>
  <c r="D67" i="1030"/>
  <c r="D66" i="1030"/>
  <c r="B59" i="1030"/>
  <c r="I45" i="1030"/>
  <c r="H47" i="1030"/>
  <c r="H48" i="1030"/>
  <c r="H46" i="1030"/>
  <c r="L66" i="1030"/>
  <c r="N64" i="1030"/>
  <c r="L65" i="1030"/>
  <c r="L68" i="1030"/>
  <c r="L67" i="1030"/>
  <c r="I69" i="1030"/>
  <c r="I65" i="1030"/>
  <c r="I68" i="1030"/>
  <c r="I67" i="1030"/>
  <c r="I66" i="1030"/>
  <c r="J68" i="1030"/>
  <c r="J67" i="1030"/>
  <c r="J66" i="1030"/>
  <c r="J69" i="1030"/>
  <c r="J65" i="1030"/>
  <c r="D73" i="1030"/>
  <c r="D72" i="1030"/>
  <c r="D75" i="1030"/>
  <c r="D74" i="1030"/>
  <c r="M65" i="1030"/>
  <c r="M68" i="1030"/>
  <c r="M67" i="1030"/>
  <c r="M66" i="1030"/>
  <c r="O64" i="1030"/>
  <c r="B75" i="1030"/>
  <c r="B74" i="1030"/>
  <c r="B73" i="1030"/>
  <c r="B72" i="1030"/>
  <c r="C58" i="1030"/>
  <c r="C57" i="1030"/>
  <c r="C59" i="1030" s="1"/>
  <c r="D56" i="1030"/>
  <c r="C74" i="1030"/>
  <c r="C73" i="1030"/>
  <c r="C72" i="1030"/>
  <c r="C75" i="1030"/>
  <c r="B67" i="1030"/>
  <c r="B66" i="1030"/>
  <c r="B65" i="1030"/>
  <c r="B68" i="1030"/>
  <c r="E72" i="1030"/>
  <c r="E75" i="1030"/>
  <c r="E74" i="1030"/>
  <c r="E73" i="1030"/>
  <c r="F75" i="1030"/>
  <c r="F74" i="1030"/>
  <c r="F73" i="1030"/>
  <c r="F72" i="1030"/>
  <c r="B3" i="1029"/>
  <c r="J19" i="1029"/>
  <c r="D24" i="1029"/>
  <c r="B59" i="1029"/>
  <c r="I45" i="1029"/>
  <c r="H47" i="1029"/>
  <c r="H48" i="1029"/>
  <c r="H46" i="1029"/>
  <c r="B67" i="1029"/>
  <c r="B66" i="1029"/>
  <c r="B65" i="1029"/>
  <c r="B68" i="1029"/>
  <c r="E72" i="1029"/>
  <c r="E75" i="1029"/>
  <c r="E74" i="1029"/>
  <c r="E73" i="1029"/>
  <c r="F75" i="1029"/>
  <c r="F74" i="1029"/>
  <c r="F73" i="1029"/>
  <c r="F72" i="1029"/>
  <c r="L14" i="1029"/>
  <c r="O67" i="1029"/>
  <c r="O66" i="1029"/>
  <c r="O65" i="1029"/>
  <c r="O68" i="1029"/>
  <c r="C66" i="1029"/>
  <c r="C65" i="1029"/>
  <c r="C68" i="1029"/>
  <c r="C67" i="1029"/>
  <c r="D65" i="1029"/>
  <c r="D68" i="1029"/>
  <c r="D67" i="1029"/>
  <c r="D66" i="1029"/>
  <c r="C45" i="1029"/>
  <c r="B52" i="1029"/>
  <c r="B48" i="1029"/>
  <c r="B46" i="1029"/>
  <c r="B47" i="1029"/>
  <c r="C74" i="1029"/>
  <c r="C73" i="1029"/>
  <c r="C72" i="1029"/>
  <c r="C75" i="1029"/>
  <c r="K67" i="1029"/>
  <c r="K66" i="1029"/>
  <c r="K69" i="1029"/>
  <c r="K65" i="1029"/>
  <c r="K68" i="1029"/>
  <c r="N68" i="1029"/>
  <c r="E68" i="1029"/>
  <c r="N67" i="1029"/>
  <c r="E67" i="1029"/>
  <c r="N66" i="1029"/>
  <c r="E66" i="1029"/>
  <c r="N65" i="1029"/>
  <c r="E65" i="1029"/>
  <c r="D73" i="1029"/>
  <c r="D72" i="1029"/>
  <c r="D75" i="1029"/>
  <c r="D74" i="1029"/>
  <c r="M65" i="1029"/>
  <c r="M68" i="1029"/>
  <c r="M67" i="1029"/>
  <c r="M66" i="1029"/>
  <c r="O64" i="1029"/>
  <c r="B75" i="1029"/>
  <c r="B74" i="1029"/>
  <c r="B73" i="1029"/>
  <c r="B72" i="1029"/>
  <c r="C58" i="1029"/>
  <c r="C57" i="1029"/>
  <c r="D56" i="1029"/>
  <c r="L66" i="1029"/>
  <c r="N64" i="1029"/>
  <c r="L65" i="1029"/>
  <c r="L68" i="1029"/>
  <c r="L67" i="1029"/>
  <c r="I69" i="1029"/>
  <c r="I65" i="1029"/>
  <c r="I68" i="1029"/>
  <c r="I67" i="1029"/>
  <c r="I66" i="1029"/>
  <c r="J68" i="1029"/>
  <c r="J67" i="1029"/>
  <c r="J66" i="1029"/>
  <c r="J69" i="1029"/>
  <c r="J65" i="1029"/>
  <c r="J19" i="1028"/>
  <c r="F25" i="1028"/>
  <c r="B3" i="1028" s="1"/>
  <c r="D25" i="1028"/>
  <c r="B59" i="1028"/>
  <c r="B53" i="1028"/>
  <c r="B50" i="1028"/>
  <c r="B51" i="1028" s="1"/>
  <c r="B49" i="1028"/>
  <c r="I45" i="1028"/>
  <c r="H47" i="1028"/>
  <c r="H48" i="1028"/>
  <c r="H46" i="1028"/>
  <c r="F71" i="1028"/>
  <c r="B71" i="1028"/>
  <c r="J64" i="1028"/>
  <c r="D64" i="1028"/>
  <c r="E71" i="1028"/>
  <c r="M64" i="1028"/>
  <c r="I64" i="1028"/>
  <c r="C64" i="1028"/>
  <c r="D71" i="1028"/>
  <c r="L64" i="1028"/>
  <c r="F64" i="1028"/>
  <c r="B64" i="1028"/>
  <c r="K64" i="1028"/>
  <c r="F3" i="1028"/>
  <c r="E64" i="1028"/>
  <c r="D3" i="1028"/>
  <c r="C71" i="1028"/>
  <c r="A16" i="1028"/>
  <c r="C58" i="1028"/>
  <c r="C57" i="1028"/>
  <c r="D56" i="1028"/>
  <c r="B54" i="1028"/>
  <c r="C52" i="1028"/>
  <c r="D45" i="1028"/>
  <c r="C48" i="1028"/>
  <c r="C47" i="1028"/>
  <c r="C46" i="1028"/>
  <c r="J19" i="1027"/>
  <c r="B3" i="1027" s="1"/>
  <c r="B59" i="1027"/>
  <c r="H49" i="1027"/>
  <c r="H50" i="1027"/>
  <c r="H44" i="1027" s="1"/>
  <c r="F71" i="1027"/>
  <c r="B71" i="1027"/>
  <c r="J64" i="1027"/>
  <c r="D64" i="1027"/>
  <c r="E71" i="1027"/>
  <c r="M64" i="1027"/>
  <c r="I64" i="1027"/>
  <c r="C64" i="1027"/>
  <c r="D71" i="1027"/>
  <c r="L64" i="1027"/>
  <c r="F64" i="1027"/>
  <c r="B64" i="1027"/>
  <c r="K64" i="1027"/>
  <c r="D3" i="1027"/>
  <c r="E64" i="1027"/>
  <c r="A16" i="1027"/>
  <c r="C71" i="1027"/>
  <c r="F3" i="1027"/>
  <c r="C58" i="1027"/>
  <c r="C57" i="1027"/>
  <c r="D56" i="1027"/>
  <c r="C45" i="1027"/>
  <c r="B52" i="1027"/>
  <c r="B48" i="1027"/>
  <c r="B46" i="1027"/>
  <c r="B47" i="1027"/>
  <c r="J45" i="1027"/>
  <c r="I48" i="1027"/>
  <c r="I47" i="1027"/>
  <c r="I46" i="1027"/>
  <c r="B3" i="1026"/>
  <c r="J19" i="1026"/>
  <c r="C66" i="1026"/>
  <c r="C68" i="1026"/>
  <c r="C67" i="1026"/>
  <c r="C65" i="1026"/>
  <c r="I45" i="1026"/>
  <c r="H48" i="1026"/>
  <c r="H47" i="1026"/>
  <c r="H46" i="1026"/>
  <c r="B67" i="1026"/>
  <c r="B65" i="1026"/>
  <c r="B68" i="1026"/>
  <c r="B66" i="1026"/>
  <c r="E72" i="1026"/>
  <c r="E75" i="1026"/>
  <c r="E74" i="1026"/>
  <c r="E73" i="1026"/>
  <c r="F75" i="1026"/>
  <c r="F74" i="1026"/>
  <c r="F73" i="1026"/>
  <c r="F72" i="1026"/>
  <c r="N68" i="1026"/>
  <c r="N66" i="1026"/>
  <c r="E66" i="1026"/>
  <c r="N65" i="1026"/>
  <c r="E65" i="1026"/>
  <c r="N67" i="1026"/>
  <c r="E67" i="1026"/>
  <c r="O67" i="1026"/>
  <c r="O65" i="1026"/>
  <c r="O68" i="1026"/>
  <c r="O66" i="1026"/>
  <c r="D65" i="1026"/>
  <c r="D67" i="1026"/>
  <c r="D66" i="1026"/>
  <c r="D68" i="1026"/>
  <c r="E68" i="1026" s="1"/>
  <c r="K67" i="1026"/>
  <c r="K69" i="1026"/>
  <c r="K65" i="1026"/>
  <c r="K68" i="1026"/>
  <c r="K66" i="1026"/>
  <c r="L66" i="1026"/>
  <c r="N64" i="1026"/>
  <c r="L68" i="1026"/>
  <c r="L67" i="1026"/>
  <c r="L65" i="1026"/>
  <c r="L69" i="1026" s="1"/>
  <c r="J68" i="1026"/>
  <c r="J66" i="1026"/>
  <c r="J69" i="1026"/>
  <c r="J65" i="1026"/>
  <c r="J67" i="1026"/>
  <c r="B59" i="1026"/>
  <c r="C45" i="1026"/>
  <c r="B52" i="1026"/>
  <c r="B48" i="1026"/>
  <c r="B47" i="1026"/>
  <c r="B46" i="1026"/>
  <c r="M65" i="1026"/>
  <c r="M67" i="1026"/>
  <c r="M66" i="1026"/>
  <c r="O64" i="1026"/>
  <c r="M68" i="1026"/>
  <c r="I69" i="1026"/>
  <c r="I65" i="1026"/>
  <c r="I67" i="1026"/>
  <c r="I66" i="1026"/>
  <c r="I68" i="1026"/>
  <c r="C74" i="1026"/>
  <c r="C73" i="1026"/>
  <c r="C72" i="1026"/>
  <c r="C75" i="1026"/>
  <c r="D73" i="1026"/>
  <c r="D72" i="1026"/>
  <c r="D75" i="1026"/>
  <c r="D74" i="1026"/>
  <c r="B75" i="1026"/>
  <c r="B74" i="1026"/>
  <c r="B73" i="1026"/>
  <c r="B72" i="1026"/>
  <c r="C58" i="1026"/>
  <c r="C57" i="1026"/>
  <c r="D56" i="1026"/>
  <c r="B24" i="1025"/>
  <c r="F24" i="1025" s="1"/>
  <c r="C25" i="1025"/>
  <c r="I24" i="1025"/>
  <c r="F26" i="1025" s="1"/>
  <c r="N22" i="1025"/>
  <c r="I20" i="1025" s="1"/>
  <c r="J20" i="1025"/>
  <c r="I21" i="1025"/>
  <c r="I45" i="1025"/>
  <c r="H47" i="1025"/>
  <c r="H48" i="1025"/>
  <c r="H46" i="1025"/>
  <c r="C56" i="1025"/>
  <c r="B58" i="1025"/>
  <c r="B57" i="1025"/>
  <c r="I17" i="1025"/>
  <c r="J17" i="1025" s="1"/>
  <c r="K11" i="1025"/>
  <c r="L14" i="1025" s="1"/>
  <c r="L17" i="1025"/>
  <c r="F20" i="1025"/>
  <c r="L21" i="1025"/>
  <c r="L23" i="1025"/>
  <c r="N24" i="1025"/>
  <c r="B45" i="1025"/>
  <c r="D13" i="1025"/>
  <c r="I25" i="1025"/>
  <c r="F27" i="1025" s="1"/>
  <c r="N23" i="1025"/>
  <c r="L22" i="1025"/>
  <c r="N21" i="1025"/>
  <c r="L24" i="1025"/>
  <c r="I23" i="1025"/>
  <c r="I22" i="1025"/>
  <c r="G37" i="1024"/>
  <c r="C13" i="1024"/>
  <c r="F20" i="1024"/>
  <c r="B24" i="1024"/>
  <c r="F24" i="1024" s="1"/>
  <c r="C25" i="1024"/>
  <c r="K11" i="1024"/>
  <c r="L14" i="1024" s="1"/>
  <c r="L17" i="1024"/>
  <c r="C45" i="1024"/>
  <c r="B52" i="1024"/>
  <c r="B48" i="1024"/>
  <c r="B46" i="1024"/>
  <c r="B47" i="1024"/>
  <c r="N22" i="1024"/>
  <c r="I20" i="1024" s="1"/>
  <c r="J19" i="1024" s="1"/>
  <c r="I24" i="1024"/>
  <c r="F26" i="1024" s="1"/>
  <c r="I25" i="1024"/>
  <c r="F27" i="1024" s="1"/>
  <c r="N23" i="1024"/>
  <c r="L22" i="1024"/>
  <c r="N21" i="1024"/>
  <c r="N24" i="1024"/>
  <c r="L23" i="1024"/>
  <c r="I22" i="1024"/>
  <c r="L21" i="1024"/>
  <c r="M1" i="1024"/>
  <c r="J20" i="1024"/>
  <c r="I21" i="1024"/>
  <c r="I23" i="1024"/>
  <c r="L24" i="1024"/>
  <c r="D13" i="1024"/>
  <c r="H45" i="1024"/>
  <c r="C56" i="1024"/>
  <c r="B58" i="1024"/>
  <c r="B57" i="1024"/>
  <c r="C13" i="1023"/>
  <c r="F24" i="1023"/>
  <c r="D24" i="1023"/>
  <c r="F25" i="1023"/>
  <c r="M1" i="1023"/>
  <c r="I25" i="1023"/>
  <c r="F27" i="1023" s="1"/>
  <c r="N23" i="1023"/>
  <c r="L22" i="1023"/>
  <c r="N21" i="1023"/>
  <c r="L24" i="1023"/>
  <c r="L23" i="1023"/>
  <c r="N24" i="1023"/>
  <c r="I17" i="1023"/>
  <c r="J17" i="1023" s="1"/>
  <c r="J20" i="1023"/>
  <c r="I21" i="1023"/>
  <c r="I22" i="1023"/>
  <c r="B45" i="1023"/>
  <c r="K11" i="1023"/>
  <c r="L17" i="1023"/>
  <c r="F20" i="1023"/>
  <c r="L21" i="1023"/>
  <c r="N22" i="1023"/>
  <c r="I20" i="1023" s="1"/>
  <c r="D13" i="1023"/>
  <c r="H45" i="1023"/>
  <c r="C56" i="1023"/>
  <c r="B58" i="1023"/>
  <c r="B57" i="1023"/>
  <c r="F19" i="1023"/>
  <c r="I23" i="1023"/>
  <c r="I24" i="1023"/>
  <c r="F26" i="1023" s="1"/>
  <c r="D37" i="1022"/>
  <c r="G37" i="1022" s="1"/>
  <c r="B13" i="1022"/>
  <c r="F19" i="1022"/>
  <c r="F20" i="1022"/>
  <c r="B24" i="1022"/>
  <c r="F24" i="1022" s="1"/>
  <c r="C25" i="1022"/>
  <c r="K11" i="1022"/>
  <c r="L14" i="1022" s="1"/>
  <c r="I45" i="1022"/>
  <c r="H47" i="1022"/>
  <c r="H48" i="1022"/>
  <c r="H46" i="1022"/>
  <c r="N22" i="1022"/>
  <c r="I20" i="1022" s="1"/>
  <c r="I24" i="1022"/>
  <c r="F26" i="1022" s="1"/>
  <c r="B45" i="1022"/>
  <c r="J20" i="1022"/>
  <c r="I21" i="1022"/>
  <c r="I23" i="1022"/>
  <c r="L24" i="1022"/>
  <c r="G13" i="1022"/>
  <c r="C13" i="1022"/>
  <c r="C56" i="1022"/>
  <c r="B58" i="1022"/>
  <c r="B57" i="1022"/>
  <c r="L17" i="1022"/>
  <c r="I25" i="1022"/>
  <c r="F27" i="1022" s="1"/>
  <c r="N23" i="1022"/>
  <c r="L22" i="1022"/>
  <c r="N21" i="1022"/>
  <c r="N24" i="1022"/>
  <c r="L23" i="1022"/>
  <c r="I22" i="1022"/>
  <c r="L21" i="1022"/>
  <c r="M1" i="1022"/>
  <c r="B13" i="1021"/>
  <c r="G13" i="1021"/>
  <c r="B24" i="1021"/>
  <c r="F24" i="1021" s="1"/>
  <c r="B25" i="1021"/>
  <c r="I24" i="1021"/>
  <c r="F26" i="1021" s="1"/>
  <c r="I45" i="1021"/>
  <c r="H47" i="1021"/>
  <c r="H48" i="1021"/>
  <c r="H46" i="1021"/>
  <c r="K11" i="1021"/>
  <c r="L17" i="1021"/>
  <c r="F20" i="1021"/>
  <c r="F25" i="1021"/>
  <c r="D25" i="1021"/>
  <c r="B45" i="1021"/>
  <c r="F19" i="1021"/>
  <c r="N22" i="1021"/>
  <c r="I20" i="1021" s="1"/>
  <c r="D13" i="1021"/>
  <c r="C56" i="1021"/>
  <c r="B58" i="1021"/>
  <c r="B57" i="1021"/>
  <c r="I17" i="1021"/>
  <c r="J17" i="1021" s="1"/>
  <c r="I25" i="1021"/>
  <c r="F27" i="1021" s="1"/>
  <c r="N23" i="1021"/>
  <c r="L22" i="1021"/>
  <c r="N21" i="1021"/>
  <c r="L14" i="1021"/>
  <c r="N24" i="1021"/>
  <c r="L23" i="1021"/>
  <c r="I22" i="1021"/>
  <c r="L21" i="1021"/>
  <c r="L24" i="1021"/>
  <c r="I23" i="1021"/>
  <c r="J20" i="1021"/>
  <c r="I21" i="1021"/>
  <c r="D24" i="1021"/>
  <c r="F143" i="1020"/>
  <c r="E143" i="1020"/>
  <c r="D143" i="1020"/>
  <c r="C143" i="1020"/>
  <c r="D20" i="1020" s="1"/>
  <c r="B143" i="1020"/>
  <c r="B142" i="1020"/>
  <c r="F137" i="1020"/>
  <c r="E137" i="1020"/>
  <c r="D137" i="1020"/>
  <c r="C137" i="1020"/>
  <c r="B137" i="1020"/>
  <c r="F103" i="1020"/>
  <c r="C24" i="1020" s="1"/>
  <c r="E103" i="1020"/>
  <c r="D103" i="1020"/>
  <c r="C103" i="1020"/>
  <c r="B103" i="1020"/>
  <c r="Y94" i="1020"/>
  <c r="X94" i="1020"/>
  <c r="W94" i="1020"/>
  <c r="V94" i="1020"/>
  <c r="U94" i="1020"/>
  <c r="T94" i="1020"/>
  <c r="S94" i="1020"/>
  <c r="R94" i="1020"/>
  <c r="Q94" i="1020"/>
  <c r="P94" i="1020"/>
  <c r="O94" i="1020"/>
  <c r="N94" i="1020"/>
  <c r="M94" i="1020"/>
  <c r="L94" i="1020"/>
  <c r="K94" i="1020"/>
  <c r="J94" i="1020"/>
  <c r="I94" i="1020"/>
  <c r="H94" i="1020"/>
  <c r="G94" i="1020"/>
  <c r="F94" i="1020"/>
  <c r="E94" i="1020"/>
  <c r="D94" i="1020"/>
  <c r="C94" i="1020"/>
  <c r="B94" i="1020"/>
  <c r="E39" i="1020"/>
  <c r="C39" i="1020"/>
  <c r="B39" i="1020"/>
  <c r="E38" i="1020"/>
  <c r="C38" i="1020"/>
  <c r="D38" i="1020" s="1"/>
  <c r="B38" i="1020"/>
  <c r="E37" i="1020"/>
  <c r="C37" i="1020"/>
  <c r="B37" i="1020"/>
  <c r="E36" i="1020"/>
  <c r="C36" i="1020"/>
  <c r="B36" i="1020"/>
  <c r="D34" i="1020"/>
  <c r="B34" i="1020"/>
  <c r="D33" i="1020"/>
  <c r="D32" i="1020"/>
  <c r="B32" i="1020"/>
  <c r="F32" i="1020" s="1"/>
  <c r="D31" i="1020"/>
  <c r="B31" i="1020"/>
  <c r="F31" i="1020" s="1"/>
  <c r="D30" i="1020"/>
  <c r="B30" i="1020"/>
  <c r="F30" i="1020" s="1"/>
  <c r="C27" i="1020"/>
  <c r="D27" i="1020" s="1"/>
  <c r="B27" i="1020"/>
  <c r="C26" i="1020"/>
  <c r="D26" i="1020" s="1"/>
  <c r="B26" i="1020"/>
  <c r="B22" i="1020"/>
  <c r="F22" i="1020" s="1"/>
  <c r="D21" i="1020"/>
  <c r="B21" i="1020"/>
  <c r="B20" i="1020"/>
  <c r="D19" i="1020"/>
  <c r="B19" i="1020"/>
  <c r="K15" i="1020"/>
  <c r="N14" i="1020"/>
  <c r="G13" i="1020"/>
  <c r="F13" i="1020"/>
  <c r="E13" i="1020"/>
  <c r="C13" i="1020"/>
  <c r="B13" i="1020"/>
  <c r="M11" i="1020"/>
  <c r="M10" i="1020"/>
  <c r="F10" i="1020"/>
  <c r="E10" i="1020"/>
  <c r="D10" i="1020"/>
  <c r="C10" i="1020"/>
  <c r="B10" i="1020"/>
  <c r="M9" i="1020"/>
  <c r="D4" i="1020"/>
  <c r="E4" i="1020" s="1"/>
  <c r="N2" i="1020"/>
  <c r="N1" i="1020"/>
  <c r="L17" i="1020" s="1"/>
  <c r="K1" i="1020"/>
  <c r="D1" i="1020"/>
  <c r="C1" i="1020"/>
  <c r="F143" i="1019"/>
  <c r="E143" i="1019"/>
  <c r="D143" i="1019"/>
  <c r="C143" i="1019"/>
  <c r="B143" i="1019"/>
  <c r="B142" i="1019"/>
  <c r="F137" i="1019"/>
  <c r="E137" i="1019"/>
  <c r="D137" i="1019"/>
  <c r="C137" i="1019"/>
  <c r="B137" i="1019"/>
  <c r="F103" i="1019"/>
  <c r="E103" i="1019"/>
  <c r="D103" i="1019"/>
  <c r="C103" i="1019"/>
  <c r="B103" i="1019"/>
  <c r="Y94" i="1019"/>
  <c r="X94" i="1019"/>
  <c r="W94" i="1019"/>
  <c r="V94" i="1019"/>
  <c r="U94" i="1019"/>
  <c r="T94" i="1019"/>
  <c r="S94" i="1019"/>
  <c r="R94" i="1019"/>
  <c r="Q94" i="1019"/>
  <c r="P94" i="1019"/>
  <c r="O94" i="1019"/>
  <c r="N94" i="1019"/>
  <c r="M94" i="1019"/>
  <c r="L94" i="1019"/>
  <c r="K94" i="1019"/>
  <c r="J94" i="1019"/>
  <c r="I94" i="1019"/>
  <c r="H94" i="1019"/>
  <c r="G94" i="1019"/>
  <c r="F94" i="1019"/>
  <c r="E94" i="1019"/>
  <c r="D94" i="1019"/>
  <c r="C94" i="1019"/>
  <c r="B94" i="1019"/>
  <c r="E39" i="1019"/>
  <c r="C39" i="1019"/>
  <c r="D39" i="1019" s="1"/>
  <c r="G39" i="1019" s="1"/>
  <c r="B39" i="1019"/>
  <c r="E38" i="1019"/>
  <c r="C38" i="1019"/>
  <c r="B38" i="1019"/>
  <c r="E37" i="1019"/>
  <c r="C37" i="1019"/>
  <c r="B37" i="1019"/>
  <c r="E36" i="1019"/>
  <c r="C36" i="1019"/>
  <c r="D36" i="1019" s="1"/>
  <c r="B36" i="1019"/>
  <c r="D34" i="1019"/>
  <c r="B34" i="1019"/>
  <c r="G13" i="1019" s="1"/>
  <c r="D33" i="1019"/>
  <c r="D32" i="1019"/>
  <c r="B32" i="1019"/>
  <c r="F32" i="1019" s="1"/>
  <c r="D31" i="1019"/>
  <c r="B31" i="1019"/>
  <c r="F31" i="1019" s="1"/>
  <c r="D30" i="1019"/>
  <c r="B30" i="1019"/>
  <c r="F30" i="1019" s="1"/>
  <c r="D27" i="1019"/>
  <c r="C27" i="1019"/>
  <c r="B27" i="1019"/>
  <c r="C26" i="1019"/>
  <c r="D26" i="1019" s="1"/>
  <c r="B26" i="1019"/>
  <c r="B22" i="1019"/>
  <c r="F22" i="1019" s="1"/>
  <c r="D21" i="1019"/>
  <c r="F21" i="1019" s="1"/>
  <c r="B21" i="1019"/>
  <c r="B20" i="1019"/>
  <c r="D19" i="1019"/>
  <c r="B19" i="1019"/>
  <c r="K15" i="1019"/>
  <c r="N14" i="1019"/>
  <c r="M11" i="1019"/>
  <c r="M10" i="1019"/>
  <c r="F10" i="1019"/>
  <c r="E10" i="1019"/>
  <c r="D10" i="1019"/>
  <c r="C10" i="1019"/>
  <c r="B10" i="1019"/>
  <c r="M9" i="1019"/>
  <c r="D4" i="1019"/>
  <c r="E4" i="1019" s="1"/>
  <c r="N2" i="1019"/>
  <c r="N1" i="1019"/>
  <c r="M1" i="1019" s="1"/>
  <c r="K1" i="1019"/>
  <c r="D1" i="1019"/>
  <c r="C1" i="1019"/>
  <c r="F143" i="1018"/>
  <c r="E143" i="1018"/>
  <c r="D143" i="1018"/>
  <c r="C143" i="1018"/>
  <c r="B143" i="1018"/>
  <c r="B142" i="1018"/>
  <c r="F137" i="1018"/>
  <c r="E137" i="1018"/>
  <c r="D137" i="1018"/>
  <c r="C137" i="1018"/>
  <c r="B137" i="1018"/>
  <c r="F103" i="1018"/>
  <c r="E103" i="1018"/>
  <c r="D103" i="1018"/>
  <c r="C103" i="1018"/>
  <c r="B103" i="1018"/>
  <c r="Y94" i="1018"/>
  <c r="X94" i="1018"/>
  <c r="W94" i="1018"/>
  <c r="V94" i="1018"/>
  <c r="U94" i="1018"/>
  <c r="T94" i="1018"/>
  <c r="S94" i="1018"/>
  <c r="R94" i="1018"/>
  <c r="Q94" i="1018"/>
  <c r="P94" i="1018"/>
  <c r="O94" i="1018"/>
  <c r="N94" i="1018"/>
  <c r="M94" i="1018"/>
  <c r="L94" i="1018"/>
  <c r="K94" i="1018"/>
  <c r="J94" i="1018"/>
  <c r="I94" i="1018"/>
  <c r="H94" i="1018"/>
  <c r="G94" i="1018"/>
  <c r="F94" i="1018"/>
  <c r="E94" i="1018"/>
  <c r="D94" i="1018"/>
  <c r="C94" i="1018"/>
  <c r="B94" i="1018"/>
  <c r="E39" i="1018"/>
  <c r="C39" i="1018"/>
  <c r="D39" i="1018" s="1"/>
  <c r="B39" i="1018"/>
  <c r="E38" i="1018"/>
  <c r="C38" i="1018"/>
  <c r="D38" i="1018" s="1"/>
  <c r="G38" i="1018" s="1"/>
  <c r="B38" i="1018"/>
  <c r="E37" i="1018"/>
  <c r="C37" i="1018"/>
  <c r="B37" i="1018"/>
  <c r="E36" i="1018"/>
  <c r="C36" i="1018"/>
  <c r="B36" i="1018"/>
  <c r="D34" i="1018"/>
  <c r="B34" i="1018"/>
  <c r="D13" i="1018" s="1"/>
  <c r="D33" i="1018"/>
  <c r="D32" i="1018"/>
  <c r="B32" i="1018"/>
  <c r="F32" i="1018" s="1"/>
  <c r="D31" i="1018"/>
  <c r="B31" i="1018"/>
  <c r="F31" i="1018" s="1"/>
  <c r="D30" i="1018"/>
  <c r="B30" i="1018"/>
  <c r="F30" i="1018" s="1"/>
  <c r="C27" i="1018"/>
  <c r="D27" i="1018" s="1"/>
  <c r="B27" i="1018"/>
  <c r="C26" i="1018"/>
  <c r="D26" i="1018" s="1"/>
  <c r="B26" i="1018"/>
  <c r="B22" i="1018"/>
  <c r="F22" i="1018" s="1"/>
  <c r="D21" i="1018"/>
  <c r="B21" i="1018"/>
  <c r="F21" i="1018" s="1"/>
  <c r="B20" i="1018"/>
  <c r="D19" i="1018"/>
  <c r="B19" i="1018"/>
  <c r="K15" i="1018"/>
  <c r="N14" i="1018"/>
  <c r="M11" i="1018"/>
  <c r="M10" i="1018"/>
  <c r="F10" i="1018"/>
  <c r="E10" i="1018"/>
  <c r="D10" i="1018"/>
  <c r="C10" i="1018"/>
  <c r="B10" i="1018"/>
  <c r="M9" i="1018"/>
  <c r="D4" i="1018"/>
  <c r="E4" i="1018" s="1"/>
  <c r="N2" i="1018"/>
  <c r="N1" i="1018"/>
  <c r="I17" i="1018" s="1"/>
  <c r="J17" i="1018" s="1"/>
  <c r="K1" i="1018"/>
  <c r="D1" i="1018"/>
  <c r="C1" i="1018"/>
  <c r="F143" i="1017"/>
  <c r="E143" i="1017"/>
  <c r="D143" i="1017"/>
  <c r="C143" i="1017"/>
  <c r="B143" i="1017"/>
  <c r="B142" i="1017"/>
  <c r="F137" i="1017"/>
  <c r="E137" i="1017"/>
  <c r="D137" i="1017"/>
  <c r="C137" i="1017"/>
  <c r="B137" i="1017"/>
  <c r="F103" i="1017"/>
  <c r="E103" i="1017"/>
  <c r="D103" i="1017"/>
  <c r="C103" i="1017"/>
  <c r="B103" i="1017"/>
  <c r="Y94" i="1017"/>
  <c r="X94" i="1017"/>
  <c r="W94" i="1017"/>
  <c r="V94" i="1017"/>
  <c r="U94" i="1017"/>
  <c r="T94" i="1017"/>
  <c r="S94" i="1017"/>
  <c r="R94" i="1017"/>
  <c r="Q94" i="1017"/>
  <c r="P94" i="1017"/>
  <c r="O94" i="1017"/>
  <c r="N94" i="1017"/>
  <c r="M94" i="1017"/>
  <c r="L94" i="1017"/>
  <c r="K94" i="1017"/>
  <c r="J94" i="1017"/>
  <c r="I94" i="1017"/>
  <c r="H94" i="1017"/>
  <c r="G94" i="1017"/>
  <c r="F94" i="1017"/>
  <c r="E94" i="1017"/>
  <c r="D94" i="1017"/>
  <c r="C94" i="1017"/>
  <c r="B94" i="1017"/>
  <c r="E39" i="1017"/>
  <c r="C39" i="1017"/>
  <c r="D39" i="1017" s="1"/>
  <c r="B39" i="1017"/>
  <c r="E38" i="1017"/>
  <c r="C38" i="1017"/>
  <c r="D38" i="1017" s="1"/>
  <c r="G38" i="1017" s="1"/>
  <c r="B38" i="1017"/>
  <c r="E37" i="1017"/>
  <c r="C37" i="1017"/>
  <c r="B37" i="1017"/>
  <c r="D37" i="1017" s="1"/>
  <c r="E36" i="1017"/>
  <c r="C36" i="1017"/>
  <c r="B36" i="1017"/>
  <c r="D34" i="1017"/>
  <c r="B34" i="1017"/>
  <c r="G13" i="1017" s="1"/>
  <c r="D33" i="1017"/>
  <c r="D32" i="1017"/>
  <c r="B32" i="1017"/>
  <c r="F32" i="1017" s="1"/>
  <c r="D31" i="1017"/>
  <c r="B31" i="1017"/>
  <c r="F31" i="1017" s="1"/>
  <c r="D30" i="1017"/>
  <c r="B30" i="1017"/>
  <c r="F30" i="1017" s="1"/>
  <c r="C27" i="1017"/>
  <c r="D27" i="1017" s="1"/>
  <c r="B27" i="1017"/>
  <c r="C26" i="1017"/>
  <c r="D26" i="1017" s="1"/>
  <c r="B26" i="1017"/>
  <c r="B22" i="1017"/>
  <c r="F22" i="1017" s="1"/>
  <c r="D21" i="1017"/>
  <c r="F21" i="1017" s="1"/>
  <c r="B21" i="1017"/>
  <c r="B20" i="1017"/>
  <c r="D19" i="1017"/>
  <c r="B19" i="1017"/>
  <c r="K15" i="1017"/>
  <c r="N14" i="1017"/>
  <c r="F13" i="1017"/>
  <c r="E13" i="1017"/>
  <c r="B13" i="1017"/>
  <c r="M11" i="1017"/>
  <c r="M10" i="1017"/>
  <c r="F10" i="1017"/>
  <c r="E10" i="1017"/>
  <c r="D10" i="1017"/>
  <c r="C10" i="1017"/>
  <c r="B10" i="1017"/>
  <c r="M9" i="1017"/>
  <c r="D4" i="1017"/>
  <c r="E4" i="1017" s="1"/>
  <c r="N2" i="1017"/>
  <c r="N1" i="1017"/>
  <c r="I17" i="1017" s="1"/>
  <c r="J17" i="1017" s="1"/>
  <c r="K1" i="1017"/>
  <c r="D1" i="1017"/>
  <c r="C1" i="1017"/>
  <c r="F143" i="1016"/>
  <c r="E143" i="1016"/>
  <c r="D143" i="1016"/>
  <c r="C143" i="1016"/>
  <c r="B143" i="1016"/>
  <c r="B142" i="1016"/>
  <c r="F137" i="1016"/>
  <c r="E137" i="1016"/>
  <c r="D137" i="1016"/>
  <c r="C137" i="1016"/>
  <c r="B137" i="1016"/>
  <c r="F103" i="1016"/>
  <c r="E103" i="1016"/>
  <c r="D103" i="1016"/>
  <c r="C103" i="1016"/>
  <c r="B24" i="1016" s="1"/>
  <c r="F24" i="1016" s="1"/>
  <c r="B103" i="1016"/>
  <c r="Y94" i="1016"/>
  <c r="X94" i="1016"/>
  <c r="W94" i="1016"/>
  <c r="V94" i="1016"/>
  <c r="U94" i="1016"/>
  <c r="T94" i="1016"/>
  <c r="S94" i="1016"/>
  <c r="R94" i="1016"/>
  <c r="Q94" i="1016"/>
  <c r="P94" i="1016"/>
  <c r="O94" i="1016"/>
  <c r="N94" i="1016"/>
  <c r="M94" i="1016"/>
  <c r="L94" i="1016"/>
  <c r="K94" i="1016"/>
  <c r="J94" i="1016"/>
  <c r="I94" i="1016"/>
  <c r="H94" i="1016"/>
  <c r="G94" i="1016"/>
  <c r="F94" i="1016"/>
  <c r="E94" i="1016"/>
  <c r="D94" i="1016"/>
  <c r="C94" i="1016"/>
  <c r="B94" i="1016"/>
  <c r="E39" i="1016"/>
  <c r="C39" i="1016"/>
  <c r="B39" i="1016"/>
  <c r="E38" i="1016"/>
  <c r="C38" i="1016"/>
  <c r="B38" i="1016"/>
  <c r="E37" i="1016"/>
  <c r="C37" i="1016"/>
  <c r="D37" i="1016" s="1"/>
  <c r="B37" i="1016"/>
  <c r="E36" i="1016"/>
  <c r="C36" i="1016"/>
  <c r="B36" i="1016"/>
  <c r="D34" i="1016"/>
  <c r="B34" i="1016"/>
  <c r="D13" i="1016" s="1"/>
  <c r="D33" i="1016"/>
  <c r="D32" i="1016"/>
  <c r="B32" i="1016"/>
  <c r="F32" i="1016" s="1"/>
  <c r="D31" i="1016"/>
  <c r="B31" i="1016"/>
  <c r="F31" i="1016" s="1"/>
  <c r="D30" i="1016"/>
  <c r="B30" i="1016"/>
  <c r="F30" i="1016" s="1"/>
  <c r="C27" i="1016"/>
  <c r="D27" i="1016" s="1"/>
  <c r="B27" i="1016"/>
  <c r="C26" i="1016"/>
  <c r="D26" i="1016" s="1"/>
  <c r="B26" i="1016"/>
  <c r="B22" i="1016"/>
  <c r="F22" i="1016" s="1"/>
  <c r="D21" i="1016"/>
  <c r="B21" i="1016"/>
  <c r="B20" i="1016"/>
  <c r="D19" i="1016"/>
  <c r="B19" i="1016"/>
  <c r="K15" i="1016"/>
  <c r="N14" i="1016"/>
  <c r="F13" i="1016"/>
  <c r="M11" i="1016"/>
  <c r="M10" i="1016"/>
  <c r="F10" i="1016"/>
  <c r="E10" i="1016"/>
  <c r="D10" i="1016"/>
  <c r="C10" i="1016"/>
  <c r="B10" i="1016"/>
  <c r="M9" i="1016"/>
  <c r="D4" i="1016"/>
  <c r="E4" i="1016" s="1"/>
  <c r="N2" i="1016"/>
  <c r="N1" i="1016"/>
  <c r="K1" i="1016"/>
  <c r="D1" i="1016"/>
  <c r="C1" i="1016"/>
  <c r="F143" i="1015"/>
  <c r="E143" i="1015"/>
  <c r="D143" i="1015"/>
  <c r="C143" i="1015"/>
  <c r="B143" i="1015"/>
  <c r="B142" i="1015"/>
  <c r="F137" i="1015"/>
  <c r="E137" i="1015"/>
  <c r="D137" i="1015"/>
  <c r="C137" i="1015"/>
  <c r="B137" i="1015"/>
  <c r="F103" i="1015"/>
  <c r="E103" i="1015"/>
  <c r="D103" i="1015"/>
  <c r="C103" i="1015"/>
  <c r="B103" i="1015"/>
  <c r="Y94" i="1015"/>
  <c r="X94" i="1015"/>
  <c r="W94" i="1015"/>
  <c r="V94" i="1015"/>
  <c r="U94" i="1015"/>
  <c r="T94" i="1015"/>
  <c r="S94" i="1015"/>
  <c r="R94" i="1015"/>
  <c r="Q94" i="1015"/>
  <c r="P94" i="1015"/>
  <c r="O94" i="1015"/>
  <c r="N94" i="1015"/>
  <c r="M94" i="1015"/>
  <c r="L94" i="1015"/>
  <c r="K94" i="1015"/>
  <c r="J94" i="1015"/>
  <c r="I94" i="1015"/>
  <c r="H94" i="1015"/>
  <c r="G94" i="1015"/>
  <c r="F94" i="1015"/>
  <c r="E94" i="1015"/>
  <c r="D94" i="1015"/>
  <c r="C94" i="1015"/>
  <c r="B94" i="1015"/>
  <c r="E39" i="1015"/>
  <c r="C39" i="1015"/>
  <c r="B39" i="1015"/>
  <c r="E38" i="1015"/>
  <c r="C38" i="1015"/>
  <c r="B38" i="1015"/>
  <c r="D38" i="1015" s="1"/>
  <c r="G38" i="1015" s="1"/>
  <c r="E37" i="1015"/>
  <c r="C37" i="1015"/>
  <c r="B37" i="1015"/>
  <c r="E36" i="1015"/>
  <c r="C36" i="1015"/>
  <c r="D36" i="1015" s="1"/>
  <c r="G36" i="1015" s="1"/>
  <c r="B36" i="1015"/>
  <c r="D34" i="1015"/>
  <c r="B34" i="1015"/>
  <c r="F13" i="1015" s="1"/>
  <c r="D33" i="1015"/>
  <c r="D32" i="1015"/>
  <c r="B32" i="1015"/>
  <c r="F32" i="1015" s="1"/>
  <c r="D31" i="1015"/>
  <c r="B31" i="1015"/>
  <c r="F31" i="1015" s="1"/>
  <c r="D30" i="1015"/>
  <c r="B30" i="1015"/>
  <c r="F30" i="1015" s="1"/>
  <c r="C27" i="1015"/>
  <c r="D27" i="1015" s="1"/>
  <c r="B27" i="1015"/>
  <c r="C26" i="1015"/>
  <c r="D26" i="1015" s="1"/>
  <c r="B26" i="1015"/>
  <c r="B22" i="1015"/>
  <c r="F22" i="1015" s="1"/>
  <c r="D21" i="1015"/>
  <c r="F21" i="1015" s="1"/>
  <c r="B21" i="1015"/>
  <c r="B20" i="1015"/>
  <c r="D19" i="1015"/>
  <c r="B19" i="1015"/>
  <c r="K15" i="1015"/>
  <c r="N14" i="1015"/>
  <c r="D13" i="1015"/>
  <c r="B13" i="1015"/>
  <c r="M11" i="1015"/>
  <c r="M10" i="1015"/>
  <c r="F10" i="1015"/>
  <c r="E10" i="1015"/>
  <c r="D10" i="1015"/>
  <c r="C10" i="1015"/>
  <c r="B10" i="1015"/>
  <c r="M9" i="1015"/>
  <c r="D4" i="1015"/>
  <c r="E4" i="1015" s="1"/>
  <c r="N2" i="1015"/>
  <c r="N1" i="1015"/>
  <c r="I17" i="1015" s="1"/>
  <c r="J17" i="1015" s="1"/>
  <c r="K1" i="1015"/>
  <c r="D1" i="1015"/>
  <c r="C1" i="1015"/>
  <c r="F143" i="1014"/>
  <c r="E143" i="1014"/>
  <c r="D143" i="1014"/>
  <c r="C143" i="1014"/>
  <c r="B143" i="1014"/>
  <c r="B142" i="1014"/>
  <c r="F137" i="1014"/>
  <c r="E137" i="1014"/>
  <c r="D137" i="1014"/>
  <c r="C137" i="1014"/>
  <c r="B137" i="1014"/>
  <c r="F103" i="1014"/>
  <c r="E103" i="1014"/>
  <c r="D103" i="1014"/>
  <c r="B24" i="1014" s="1"/>
  <c r="F24" i="1014" s="1"/>
  <c r="C103" i="1014"/>
  <c r="B103" i="1014"/>
  <c r="Y94" i="1014"/>
  <c r="X94" i="1014"/>
  <c r="W94" i="1014"/>
  <c r="V94" i="1014"/>
  <c r="U94" i="1014"/>
  <c r="T94" i="1014"/>
  <c r="S94" i="1014"/>
  <c r="R94" i="1014"/>
  <c r="Q94" i="1014"/>
  <c r="P94" i="1014"/>
  <c r="O94" i="1014"/>
  <c r="N94" i="1014"/>
  <c r="M94" i="1014"/>
  <c r="L94" i="1014"/>
  <c r="K94" i="1014"/>
  <c r="J94" i="1014"/>
  <c r="I94" i="1014"/>
  <c r="H94" i="1014"/>
  <c r="G94" i="1014"/>
  <c r="F94" i="1014"/>
  <c r="E94" i="1014"/>
  <c r="D94" i="1014"/>
  <c r="C94" i="1014"/>
  <c r="B94" i="1014"/>
  <c r="E39" i="1014"/>
  <c r="C39" i="1014"/>
  <c r="B39" i="1014"/>
  <c r="E38" i="1014"/>
  <c r="C38" i="1014"/>
  <c r="B38" i="1014"/>
  <c r="E37" i="1014"/>
  <c r="C37" i="1014"/>
  <c r="B37" i="1014"/>
  <c r="D37" i="1014" s="1"/>
  <c r="E36" i="1014"/>
  <c r="C36" i="1014"/>
  <c r="D36" i="1014" s="1"/>
  <c r="B36" i="1014"/>
  <c r="D34" i="1014"/>
  <c r="B34" i="1014"/>
  <c r="G13" i="1014" s="1"/>
  <c r="D33" i="1014"/>
  <c r="D32" i="1014"/>
  <c r="B32" i="1014"/>
  <c r="F32" i="1014" s="1"/>
  <c r="D31" i="1014"/>
  <c r="B31" i="1014"/>
  <c r="F31" i="1014" s="1"/>
  <c r="D30" i="1014"/>
  <c r="B30" i="1014"/>
  <c r="F30" i="1014" s="1"/>
  <c r="C27" i="1014"/>
  <c r="D27" i="1014" s="1"/>
  <c r="B27" i="1014"/>
  <c r="C26" i="1014"/>
  <c r="D26" i="1014" s="1"/>
  <c r="B26" i="1014"/>
  <c r="I24" i="1014"/>
  <c r="B22" i="1014"/>
  <c r="F22" i="1014" s="1"/>
  <c r="D21" i="1014"/>
  <c r="B21" i="1014"/>
  <c r="B20" i="1014"/>
  <c r="D19" i="1014"/>
  <c r="B19" i="1014"/>
  <c r="K15" i="1014"/>
  <c r="N14" i="1014"/>
  <c r="E13" i="1014"/>
  <c r="C13" i="1014"/>
  <c r="M11" i="1014"/>
  <c r="M10" i="1014"/>
  <c r="F10" i="1014"/>
  <c r="E10" i="1014"/>
  <c r="D10" i="1014"/>
  <c r="C10" i="1014"/>
  <c r="B10" i="1014"/>
  <c r="M9" i="1014"/>
  <c r="D4" i="1014"/>
  <c r="E4" i="1014" s="1"/>
  <c r="N2" i="1014"/>
  <c r="N1" i="1014"/>
  <c r="L17" i="1014" s="1"/>
  <c r="K1" i="1014"/>
  <c r="D1" i="1014"/>
  <c r="C1" i="1014"/>
  <c r="K11" i="1014" s="1"/>
  <c r="F143" i="1013"/>
  <c r="E143" i="1013"/>
  <c r="D143" i="1013"/>
  <c r="C143" i="1013"/>
  <c r="B143" i="1013"/>
  <c r="B142" i="1013"/>
  <c r="F137" i="1013"/>
  <c r="E137" i="1013"/>
  <c r="D137" i="1013"/>
  <c r="C137" i="1013"/>
  <c r="B137" i="1013"/>
  <c r="F103" i="1013"/>
  <c r="E103" i="1013"/>
  <c r="D103" i="1013"/>
  <c r="C103" i="1013"/>
  <c r="B103" i="1013"/>
  <c r="Y94" i="1013"/>
  <c r="X94" i="1013"/>
  <c r="W94" i="1013"/>
  <c r="V94" i="1013"/>
  <c r="U94" i="1013"/>
  <c r="T94" i="1013"/>
  <c r="S94" i="1013"/>
  <c r="R94" i="1013"/>
  <c r="Q94" i="1013"/>
  <c r="P94" i="1013"/>
  <c r="O94" i="1013"/>
  <c r="N94" i="1013"/>
  <c r="M94" i="1013"/>
  <c r="L94" i="1013"/>
  <c r="K94" i="1013"/>
  <c r="J94" i="1013"/>
  <c r="I94" i="1013"/>
  <c r="H94" i="1013"/>
  <c r="G94" i="1013"/>
  <c r="F94" i="1013"/>
  <c r="E94" i="1013"/>
  <c r="C25" i="1013" s="1"/>
  <c r="D94" i="1013"/>
  <c r="C94" i="1013"/>
  <c r="B94" i="1013"/>
  <c r="E39" i="1013"/>
  <c r="C39" i="1013"/>
  <c r="B39" i="1013"/>
  <c r="E38" i="1013"/>
  <c r="C38" i="1013"/>
  <c r="D38" i="1013" s="1"/>
  <c r="G38" i="1013" s="1"/>
  <c r="B38" i="1013"/>
  <c r="E37" i="1013"/>
  <c r="C37" i="1013"/>
  <c r="B37" i="1013"/>
  <c r="D37" i="1013" s="1"/>
  <c r="E36" i="1013"/>
  <c r="C36" i="1013"/>
  <c r="B36" i="1013"/>
  <c r="D34" i="1013"/>
  <c r="B34" i="1013"/>
  <c r="G13" i="1013" s="1"/>
  <c r="D33" i="1013"/>
  <c r="D32" i="1013"/>
  <c r="B32" i="1013"/>
  <c r="F32" i="1013" s="1"/>
  <c r="D31" i="1013"/>
  <c r="B31" i="1013"/>
  <c r="F31" i="1013" s="1"/>
  <c r="D30" i="1013"/>
  <c r="B30" i="1013"/>
  <c r="F30" i="1013" s="1"/>
  <c r="C27" i="1013"/>
  <c r="D27" i="1013" s="1"/>
  <c r="B27" i="1013"/>
  <c r="C26" i="1013"/>
  <c r="D26" i="1013" s="1"/>
  <c r="B26" i="1013"/>
  <c r="B22" i="1013"/>
  <c r="F22" i="1013" s="1"/>
  <c r="D21" i="1013"/>
  <c r="F21" i="1013" s="1"/>
  <c r="B21" i="1013"/>
  <c r="B20" i="1013"/>
  <c r="D19" i="1013"/>
  <c r="B19" i="1013"/>
  <c r="K15" i="1013"/>
  <c r="N14" i="1013"/>
  <c r="F13" i="1013"/>
  <c r="E13" i="1013"/>
  <c r="B13" i="1013"/>
  <c r="M11" i="1013"/>
  <c r="M10" i="1013"/>
  <c r="F10" i="1013"/>
  <c r="E10" i="1013"/>
  <c r="D10" i="1013"/>
  <c r="C10" i="1013"/>
  <c r="B10" i="1013"/>
  <c r="M9" i="1013"/>
  <c r="D4" i="1013"/>
  <c r="E4" i="1013" s="1"/>
  <c r="N2" i="1013"/>
  <c r="N1" i="1013"/>
  <c r="L17" i="1013" s="1"/>
  <c r="K1" i="1013"/>
  <c r="D1" i="1013"/>
  <c r="C1" i="1013"/>
  <c r="B1" i="1013" s="1"/>
  <c r="M4" i="1013" s="1"/>
  <c r="F143" i="1012"/>
  <c r="E143" i="1012"/>
  <c r="D143" i="1012"/>
  <c r="C143" i="1012"/>
  <c r="B143" i="1012"/>
  <c r="B142" i="1012"/>
  <c r="F137" i="1012"/>
  <c r="E137" i="1012"/>
  <c r="D137" i="1012"/>
  <c r="C137" i="1012"/>
  <c r="B137" i="1012"/>
  <c r="F103" i="1012"/>
  <c r="E103" i="1012"/>
  <c r="D103" i="1012"/>
  <c r="C103" i="1012"/>
  <c r="B103" i="1012"/>
  <c r="Y94" i="1012"/>
  <c r="X94" i="1012"/>
  <c r="W94" i="1012"/>
  <c r="V94" i="1012"/>
  <c r="U94" i="1012"/>
  <c r="T94" i="1012"/>
  <c r="S94" i="1012"/>
  <c r="R94" i="1012"/>
  <c r="Q94" i="1012"/>
  <c r="P94" i="1012"/>
  <c r="O94" i="1012"/>
  <c r="N94" i="1012"/>
  <c r="M94" i="1012"/>
  <c r="L94" i="1012"/>
  <c r="K94" i="1012"/>
  <c r="J94" i="1012"/>
  <c r="I94" i="1012"/>
  <c r="H94" i="1012"/>
  <c r="G94" i="1012"/>
  <c r="F94" i="1012"/>
  <c r="E94" i="1012"/>
  <c r="D94" i="1012"/>
  <c r="C94" i="1012"/>
  <c r="C25" i="1012" s="1"/>
  <c r="B94" i="1012"/>
  <c r="E39" i="1012"/>
  <c r="C39" i="1012"/>
  <c r="B39" i="1012"/>
  <c r="E38" i="1012"/>
  <c r="C38" i="1012"/>
  <c r="D38" i="1012" s="1"/>
  <c r="G38" i="1012" s="1"/>
  <c r="B38" i="1012"/>
  <c r="E37" i="1012"/>
  <c r="C37" i="1012"/>
  <c r="B37" i="1012"/>
  <c r="E36" i="1012"/>
  <c r="C36" i="1012"/>
  <c r="D36" i="1012" s="1"/>
  <c r="G36" i="1012" s="1"/>
  <c r="B36" i="1012"/>
  <c r="D34" i="1012"/>
  <c r="B34" i="1012"/>
  <c r="E13" i="1012" s="1"/>
  <c r="D33" i="1012"/>
  <c r="F32" i="1012"/>
  <c r="D32" i="1012"/>
  <c r="B32" i="1012"/>
  <c r="D31" i="1012"/>
  <c r="B31" i="1012"/>
  <c r="F31" i="1012" s="1"/>
  <c r="D30" i="1012"/>
  <c r="B30" i="1012"/>
  <c r="F30" i="1012" s="1"/>
  <c r="C27" i="1012"/>
  <c r="D27" i="1012" s="1"/>
  <c r="B27" i="1012"/>
  <c r="C26" i="1012"/>
  <c r="D26" i="1012" s="1"/>
  <c r="B26" i="1012"/>
  <c r="B22" i="1012"/>
  <c r="F22" i="1012" s="1"/>
  <c r="D21" i="1012"/>
  <c r="B21" i="1012"/>
  <c r="B20" i="1012"/>
  <c r="D19" i="1012"/>
  <c r="B19" i="1012"/>
  <c r="K15" i="1012"/>
  <c r="N14" i="1012"/>
  <c r="F13" i="1012"/>
  <c r="C13" i="1012"/>
  <c r="B13" i="1012"/>
  <c r="M11" i="1012"/>
  <c r="M10" i="1012"/>
  <c r="F10" i="1012"/>
  <c r="E10" i="1012"/>
  <c r="D10" i="1012"/>
  <c r="C10" i="1012"/>
  <c r="B10" i="1012"/>
  <c r="M9" i="1012"/>
  <c r="D4" i="1012"/>
  <c r="E4" i="1012" s="1"/>
  <c r="N2" i="1012"/>
  <c r="N1" i="1012"/>
  <c r="I17" i="1012" s="1"/>
  <c r="J17" i="1012" s="1"/>
  <c r="K1" i="1012"/>
  <c r="D1" i="1012"/>
  <c r="C1" i="1012"/>
  <c r="F143" i="1011"/>
  <c r="E143" i="1011"/>
  <c r="D143" i="1011"/>
  <c r="C143" i="1011"/>
  <c r="B143" i="1011"/>
  <c r="B142" i="1011"/>
  <c r="F137" i="1011"/>
  <c r="E137" i="1011"/>
  <c r="D137" i="1011"/>
  <c r="C137" i="1011"/>
  <c r="B137" i="1011"/>
  <c r="F103" i="1011"/>
  <c r="E103" i="1011"/>
  <c r="D103" i="1011"/>
  <c r="B24" i="1011" s="1"/>
  <c r="F24" i="1011" s="1"/>
  <c r="C103" i="1011"/>
  <c r="B103" i="1011"/>
  <c r="Y94" i="1011"/>
  <c r="X94" i="1011"/>
  <c r="W94" i="1011"/>
  <c r="V94" i="1011"/>
  <c r="U94" i="1011"/>
  <c r="T94" i="1011"/>
  <c r="S94" i="1011"/>
  <c r="R94" i="1011"/>
  <c r="Q94" i="1011"/>
  <c r="P94" i="1011"/>
  <c r="O94" i="1011"/>
  <c r="N94" i="1011"/>
  <c r="M94" i="1011"/>
  <c r="L94" i="1011"/>
  <c r="K94" i="1011"/>
  <c r="J94" i="1011"/>
  <c r="I94" i="1011"/>
  <c r="H94" i="1011"/>
  <c r="G94" i="1011"/>
  <c r="F94" i="1011"/>
  <c r="E94" i="1011"/>
  <c r="D94" i="1011"/>
  <c r="C94" i="1011"/>
  <c r="B94" i="1011"/>
  <c r="E39" i="1011"/>
  <c r="C39" i="1011"/>
  <c r="D39" i="1011" s="1"/>
  <c r="G39" i="1011" s="1"/>
  <c r="B39" i="1011"/>
  <c r="E38" i="1011"/>
  <c r="C38" i="1011"/>
  <c r="B38" i="1011"/>
  <c r="E37" i="1011"/>
  <c r="C37" i="1011"/>
  <c r="B37" i="1011"/>
  <c r="E36" i="1011"/>
  <c r="C36" i="1011"/>
  <c r="D36" i="1011" s="1"/>
  <c r="B36" i="1011"/>
  <c r="D34" i="1011"/>
  <c r="B34" i="1011"/>
  <c r="G13" i="1011" s="1"/>
  <c r="D33" i="1011"/>
  <c r="D32" i="1011"/>
  <c r="B32" i="1011"/>
  <c r="F32" i="1011" s="1"/>
  <c r="D31" i="1011"/>
  <c r="B31" i="1011"/>
  <c r="F31" i="1011" s="1"/>
  <c r="D30" i="1011"/>
  <c r="B30" i="1011"/>
  <c r="F30" i="1011" s="1"/>
  <c r="C27" i="1011"/>
  <c r="D27" i="1011" s="1"/>
  <c r="B27" i="1011"/>
  <c r="C26" i="1011"/>
  <c r="D26" i="1011" s="1"/>
  <c r="B26" i="1011"/>
  <c r="C25" i="1011"/>
  <c r="D25" i="1011" s="1"/>
  <c r="B22" i="1011"/>
  <c r="F22" i="1011" s="1"/>
  <c r="D21" i="1011"/>
  <c r="B21" i="1011"/>
  <c r="B20" i="1011"/>
  <c r="D19" i="1011"/>
  <c r="B19" i="1011"/>
  <c r="K15" i="1011"/>
  <c r="N14" i="1011"/>
  <c r="C13" i="1011"/>
  <c r="M11" i="1011"/>
  <c r="M10" i="1011"/>
  <c r="F10" i="1011"/>
  <c r="E10" i="1011"/>
  <c r="D10" i="1011"/>
  <c r="C10" i="1011"/>
  <c r="B10" i="1011"/>
  <c r="M9" i="1011"/>
  <c r="D4" i="1011"/>
  <c r="E4" i="1011" s="1"/>
  <c r="N2" i="1011"/>
  <c r="N1" i="1011"/>
  <c r="L17" i="1011" s="1"/>
  <c r="K1" i="1011"/>
  <c r="D1" i="1011"/>
  <c r="C1" i="1011"/>
  <c r="F143" i="1010"/>
  <c r="E143" i="1010"/>
  <c r="D143" i="1010"/>
  <c r="C143" i="1010"/>
  <c r="B143" i="1010"/>
  <c r="B142" i="1010"/>
  <c r="F137" i="1010"/>
  <c r="E137" i="1010"/>
  <c r="D137" i="1010"/>
  <c r="C137" i="1010"/>
  <c r="B137" i="1010"/>
  <c r="F103" i="1010"/>
  <c r="E103" i="1010"/>
  <c r="D103" i="1010"/>
  <c r="C103" i="1010"/>
  <c r="B103" i="1010"/>
  <c r="Y94" i="1010"/>
  <c r="X94" i="1010"/>
  <c r="W94" i="1010"/>
  <c r="V94" i="1010"/>
  <c r="U94" i="1010"/>
  <c r="T94" i="1010"/>
  <c r="S94" i="1010"/>
  <c r="R94" i="1010"/>
  <c r="Q94" i="1010"/>
  <c r="P94" i="1010"/>
  <c r="O94" i="1010"/>
  <c r="N94" i="1010"/>
  <c r="M94" i="1010"/>
  <c r="L94" i="1010"/>
  <c r="K94" i="1010"/>
  <c r="J94" i="1010"/>
  <c r="I94" i="1010"/>
  <c r="H94" i="1010"/>
  <c r="G94" i="1010"/>
  <c r="F94" i="1010"/>
  <c r="E94" i="1010"/>
  <c r="D94" i="1010"/>
  <c r="C94" i="1010"/>
  <c r="B94" i="1010"/>
  <c r="E39" i="1010"/>
  <c r="C39" i="1010"/>
  <c r="D39" i="1010" s="1"/>
  <c r="G39" i="1010" s="1"/>
  <c r="B39" i="1010"/>
  <c r="E38" i="1010"/>
  <c r="C38" i="1010"/>
  <c r="B38" i="1010"/>
  <c r="E37" i="1010"/>
  <c r="C37" i="1010"/>
  <c r="B37" i="1010"/>
  <c r="E36" i="1010"/>
  <c r="C36" i="1010"/>
  <c r="B36" i="1010"/>
  <c r="D34" i="1010"/>
  <c r="B34" i="1010"/>
  <c r="D13" i="1010" s="1"/>
  <c r="D33" i="1010"/>
  <c r="D32" i="1010"/>
  <c r="B32" i="1010"/>
  <c r="F32" i="1010" s="1"/>
  <c r="D31" i="1010"/>
  <c r="B31" i="1010"/>
  <c r="F31" i="1010" s="1"/>
  <c r="D30" i="1010"/>
  <c r="B30" i="1010"/>
  <c r="F30" i="1010" s="1"/>
  <c r="C27" i="1010"/>
  <c r="D27" i="1010" s="1"/>
  <c r="B27" i="1010"/>
  <c r="C26" i="1010"/>
  <c r="D26" i="1010" s="1"/>
  <c r="B26" i="1010"/>
  <c r="B22" i="1010"/>
  <c r="F22" i="1010" s="1"/>
  <c r="D21" i="1010"/>
  <c r="B21" i="1010"/>
  <c r="F21" i="1010" s="1"/>
  <c r="B20" i="1010"/>
  <c r="D19" i="1010"/>
  <c r="B19" i="1010"/>
  <c r="K15" i="1010"/>
  <c r="N14" i="1010"/>
  <c r="M11" i="1010"/>
  <c r="M10" i="1010"/>
  <c r="F10" i="1010"/>
  <c r="E10" i="1010"/>
  <c r="D10" i="1010"/>
  <c r="C10" i="1010"/>
  <c r="B10" i="1010"/>
  <c r="M9" i="1010"/>
  <c r="D4" i="1010"/>
  <c r="E4" i="1010" s="1"/>
  <c r="N2" i="1010"/>
  <c r="N1" i="1010"/>
  <c r="I17" i="1010" s="1"/>
  <c r="J17" i="1010" s="1"/>
  <c r="K1" i="1010"/>
  <c r="D1" i="1010"/>
  <c r="C1" i="1010"/>
  <c r="F143" i="1009"/>
  <c r="E143" i="1009"/>
  <c r="D143" i="1009"/>
  <c r="C143" i="1009"/>
  <c r="D20" i="1009" s="1"/>
  <c r="B143" i="1009"/>
  <c r="B142" i="1009"/>
  <c r="F137" i="1009"/>
  <c r="E137" i="1009"/>
  <c r="D137" i="1009"/>
  <c r="C137" i="1009"/>
  <c r="B137" i="1009"/>
  <c r="F103" i="1009"/>
  <c r="C24" i="1009" s="1"/>
  <c r="E103" i="1009"/>
  <c r="D103" i="1009"/>
  <c r="C103" i="1009"/>
  <c r="B103" i="1009"/>
  <c r="Y94" i="1009"/>
  <c r="X94" i="1009"/>
  <c r="W94" i="1009"/>
  <c r="V94" i="1009"/>
  <c r="U94" i="1009"/>
  <c r="T94" i="1009"/>
  <c r="S94" i="1009"/>
  <c r="R94" i="1009"/>
  <c r="Q94" i="1009"/>
  <c r="P94" i="1009"/>
  <c r="O94" i="1009"/>
  <c r="N94" i="1009"/>
  <c r="M94" i="1009"/>
  <c r="L94" i="1009"/>
  <c r="K94" i="1009"/>
  <c r="J94" i="1009"/>
  <c r="I94" i="1009"/>
  <c r="H94" i="1009"/>
  <c r="G94" i="1009"/>
  <c r="F94" i="1009"/>
  <c r="E94" i="1009"/>
  <c r="D94" i="1009"/>
  <c r="C94" i="1009"/>
  <c r="B94" i="1009"/>
  <c r="C25" i="1009" s="1"/>
  <c r="E39" i="1009"/>
  <c r="C39" i="1009"/>
  <c r="D39" i="1009" s="1"/>
  <c r="G39" i="1009" s="1"/>
  <c r="B39" i="1009"/>
  <c r="E38" i="1009"/>
  <c r="C38" i="1009"/>
  <c r="B38" i="1009"/>
  <c r="D38" i="1009" s="1"/>
  <c r="E37" i="1009"/>
  <c r="C37" i="1009"/>
  <c r="D37" i="1009" s="1"/>
  <c r="B37" i="1009"/>
  <c r="E36" i="1009"/>
  <c r="C36" i="1009"/>
  <c r="B36" i="1009"/>
  <c r="D34" i="1009"/>
  <c r="B34" i="1009"/>
  <c r="D33" i="1009"/>
  <c r="D32" i="1009"/>
  <c r="B32" i="1009"/>
  <c r="F32" i="1009" s="1"/>
  <c r="D31" i="1009"/>
  <c r="B31" i="1009"/>
  <c r="F31" i="1009" s="1"/>
  <c r="D30" i="1009"/>
  <c r="B30" i="1009"/>
  <c r="F30" i="1009" s="1"/>
  <c r="C27" i="1009"/>
  <c r="D27" i="1009" s="1"/>
  <c r="B27" i="1009"/>
  <c r="C26" i="1009"/>
  <c r="D26" i="1009" s="1"/>
  <c r="B26" i="1009"/>
  <c r="B22" i="1009"/>
  <c r="F22" i="1009" s="1"/>
  <c r="I21" i="1009"/>
  <c r="D21" i="1009"/>
  <c r="B21" i="1009"/>
  <c r="F21" i="1009" s="1"/>
  <c r="J20" i="1009"/>
  <c r="B20" i="1009"/>
  <c r="D19" i="1009"/>
  <c r="B19" i="1009"/>
  <c r="K15" i="1009"/>
  <c r="N14" i="1009"/>
  <c r="F13" i="1009"/>
  <c r="E13" i="1009"/>
  <c r="B13" i="1009"/>
  <c r="M11" i="1009"/>
  <c r="M10" i="1009"/>
  <c r="F10" i="1009"/>
  <c r="E10" i="1009"/>
  <c r="D10" i="1009"/>
  <c r="C10" i="1009"/>
  <c r="B10" i="1009"/>
  <c r="M9" i="1009"/>
  <c r="D4" i="1009"/>
  <c r="E4" i="1009" s="1"/>
  <c r="N2" i="1009"/>
  <c r="N1" i="1009"/>
  <c r="I17" i="1009" s="1"/>
  <c r="J17" i="1009" s="1"/>
  <c r="K1" i="1009"/>
  <c r="D1" i="1009"/>
  <c r="C1" i="1009"/>
  <c r="F143" i="1008"/>
  <c r="E143" i="1008"/>
  <c r="D143" i="1008"/>
  <c r="C143" i="1008"/>
  <c r="B143" i="1008"/>
  <c r="B142" i="1008"/>
  <c r="F137" i="1008"/>
  <c r="E137" i="1008"/>
  <c r="D137" i="1008"/>
  <c r="C137" i="1008"/>
  <c r="B137" i="1008"/>
  <c r="F103" i="1008"/>
  <c r="E103" i="1008"/>
  <c r="D103" i="1008"/>
  <c r="C103" i="1008"/>
  <c r="B103" i="1008"/>
  <c r="Y94" i="1008"/>
  <c r="X94" i="1008"/>
  <c r="W94" i="1008"/>
  <c r="V94" i="1008"/>
  <c r="U94" i="1008"/>
  <c r="T94" i="1008"/>
  <c r="S94" i="1008"/>
  <c r="R94" i="1008"/>
  <c r="Q94" i="1008"/>
  <c r="P94" i="1008"/>
  <c r="O94" i="1008"/>
  <c r="N94" i="1008"/>
  <c r="M94" i="1008"/>
  <c r="L94" i="1008"/>
  <c r="K94" i="1008"/>
  <c r="J94" i="1008"/>
  <c r="I94" i="1008"/>
  <c r="H94" i="1008"/>
  <c r="G94" i="1008"/>
  <c r="F94" i="1008"/>
  <c r="E94" i="1008"/>
  <c r="D94" i="1008"/>
  <c r="C94" i="1008"/>
  <c r="B94" i="1008"/>
  <c r="E39" i="1008"/>
  <c r="C39" i="1008"/>
  <c r="B39" i="1008"/>
  <c r="E38" i="1008"/>
  <c r="C38" i="1008"/>
  <c r="B38" i="1008"/>
  <c r="E37" i="1008"/>
  <c r="C37" i="1008"/>
  <c r="B37" i="1008"/>
  <c r="E36" i="1008"/>
  <c r="C36" i="1008"/>
  <c r="B36" i="1008"/>
  <c r="D34" i="1008"/>
  <c r="B34" i="1008"/>
  <c r="G13" i="1008" s="1"/>
  <c r="D33" i="1008"/>
  <c r="D32" i="1008"/>
  <c r="B32" i="1008"/>
  <c r="F32" i="1008" s="1"/>
  <c r="D31" i="1008"/>
  <c r="B31" i="1008"/>
  <c r="F31" i="1008" s="1"/>
  <c r="D30" i="1008"/>
  <c r="B30" i="1008"/>
  <c r="F30" i="1008" s="1"/>
  <c r="C27" i="1008"/>
  <c r="D27" i="1008" s="1"/>
  <c r="B27" i="1008"/>
  <c r="C26" i="1008"/>
  <c r="D26" i="1008" s="1"/>
  <c r="B26" i="1008"/>
  <c r="B22" i="1008"/>
  <c r="F22" i="1008" s="1"/>
  <c r="D21" i="1008"/>
  <c r="B21" i="1008"/>
  <c r="B20" i="1008"/>
  <c r="D19" i="1008"/>
  <c r="B19" i="1008"/>
  <c r="K15" i="1008"/>
  <c r="N14" i="1008"/>
  <c r="E13" i="1008"/>
  <c r="M11" i="1008"/>
  <c r="M10" i="1008"/>
  <c r="F10" i="1008"/>
  <c r="E10" i="1008"/>
  <c r="D10" i="1008"/>
  <c r="C10" i="1008"/>
  <c r="B10" i="1008"/>
  <c r="M9" i="1008"/>
  <c r="D4" i="1008"/>
  <c r="E4" i="1008" s="1"/>
  <c r="N2" i="1008"/>
  <c r="N1" i="1008"/>
  <c r="K1" i="1008"/>
  <c r="D1" i="1008"/>
  <c r="C1" i="1008"/>
  <c r="F143" i="1007"/>
  <c r="E143" i="1007"/>
  <c r="D143" i="1007"/>
  <c r="C143" i="1007"/>
  <c r="B143" i="1007"/>
  <c r="B142" i="1007"/>
  <c r="F137" i="1007"/>
  <c r="E137" i="1007"/>
  <c r="D137" i="1007"/>
  <c r="C137" i="1007"/>
  <c r="B137" i="1007"/>
  <c r="F103" i="1007"/>
  <c r="E103" i="1007"/>
  <c r="B24" i="1007" s="1"/>
  <c r="F24" i="1007" s="1"/>
  <c r="D103" i="1007"/>
  <c r="C103" i="1007"/>
  <c r="C24" i="1007" s="1"/>
  <c r="B103" i="1007"/>
  <c r="Y94" i="1007"/>
  <c r="X94" i="1007"/>
  <c r="W94" i="1007"/>
  <c r="V94" i="1007"/>
  <c r="U94" i="1007"/>
  <c r="T94" i="1007"/>
  <c r="S94" i="1007"/>
  <c r="R94" i="1007"/>
  <c r="Q94" i="1007"/>
  <c r="P94" i="1007"/>
  <c r="O94" i="1007"/>
  <c r="N94" i="1007"/>
  <c r="M94" i="1007"/>
  <c r="L94" i="1007"/>
  <c r="K94" i="1007"/>
  <c r="J94" i="1007"/>
  <c r="I94" i="1007"/>
  <c r="H94" i="1007"/>
  <c r="G94" i="1007"/>
  <c r="F94" i="1007"/>
  <c r="E94" i="1007"/>
  <c r="D94" i="1007"/>
  <c r="C94" i="1007"/>
  <c r="B94" i="1007"/>
  <c r="E39" i="1007"/>
  <c r="C39" i="1007"/>
  <c r="B39" i="1007"/>
  <c r="D39" i="1007" s="1"/>
  <c r="E38" i="1007"/>
  <c r="C38" i="1007"/>
  <c r="D38" i="1007" s="1"/>
  <c r="G38" i="1007" s="1"/>
  <c r="B38" i="1007"/>
  <c r="E37" i="1007"/>
  <c r="C37" i="1007"/>
  <c r="B37" i="1007"/>
  <c r="E36" i="1007"/>
  <c r="C36" i="1007"/>
  <c r="B36" i="1007"/>
  <c r="D34" i="1007"/>
  <c r="B34" i="1007"/>
  <c r="D33" i="1007"/>
  <c r="D32" i="1007"/>
  <c r="B32" i="1007"/>
  <c r="F32" i="1007" s="1"/>
  <c r="D31" i="1007"/>
  <c r="B31" i="1007"/>
  <c r="F31" i="1007" s="1"/>
  <c r="D30" i="1007"/>
  <c r="B30" i="1007"/>
  <c r="F30" i="1007" s="1"/>
  <c r="C27" i="1007"/>
  <c r="D27" i="1007" s="1"/>
  <c r="B27" i="1007"/>
  <c r="C26" i="1007"/>
  <c r="D26" i="1007" s="1"/>
  <c r="B26" i="1007"/>
  <c r="B22" i="1007"/>
  <c r="F22" i="1007" s="1"/>
  <c r="D21" i="1007"/>
  <c r="B21" i="1007"/>
  <c r="B20" i="1007"/>
  <c r="D19" i="1007"/>
  <c r="B19" i="1007"/>
  <c r="K15" i="1007"/>
  <c r="N14" i="1007"/>
  <c r="G13" i="1007"/>
  <c r="F13" i="1007"/>
  <c r="E13" i="1007"/>
  <c r="D13" i="1007"/>
  <c r="C13" i="1007"/>
  <c r="B13" i="1007"/>
  <c r="M11" i="1007"/>
  <c r="M10" i="1007"/>
  <c r="F10" i="1007"/>
  <c r="E10" i="1007"/>
  <c r="D10" i="1007"/>
  <c r="C10" i="1007"/>
  <c r="B10" i="1007"/>
  <c r="M9" i="1007"/>
  <c r="D4" i="1007"/>
  <c r="E4" i="1007" s="1"/>
  <c r="N2" i="1007"/>
  <c r="N1" i="1007"/>
  <c r="M1" i="1007" s="1"/>
  <c r="K1" i="1007"/>
  <c r="D1" i="1007"/>
  <c r="C1" i="1007"/>
  <c r="G69" i="1012"/>
  <c r="G69" i="1019"/>
  <c r="G69" i="1011"/>
  <c r="G69" i="1018"/>
  <c r="G69" i="1010"/>
  <c r="G69" i="1009"/>
  <c r="G69" i="1007"/>
  <c r="G69" i="1017"/>
  <c r="G69" i="1016"/>
  <c r="G69" i="1008"/>
  <c r="G69" i="1015"/>
  <c r="G69" i="1014"/>
  <c r="G69" i="1013"/>
  <c r="G69" i="1020"/>
  <c r="Q65" i="1"/>
  <c r="Q67" i="1"/>
  <c r="H96" i="1"/>
  <c r="H66" i="1"/>
  <c r="H31" i="1"/>
  <c r="H79" i="1"/>
  <c r="Q59" i="1"/>
  <c r="Q46" i="1"/>
  <c r="H87" i="1"/>
  <c r="H86" i="1"/>
  <c r="H8" i="1"/>
  <c r="H72" i="1"/>
  <c r="H7" i="1"/>
  <c r="H78" i="1"/>
  <c r="H47" i="1"/>
  <c r="Q77" i="1"/>
  <c r="Q54" i="1"/>
  <c r="H35" i="1"/>
  <c r="H49" i="1"/>
  <c r="H10" i="1"/>
  <c r="Q41" i="1"/>
  <c r="B56" i="1008" l="1"/>
  <c r="G38" i="1009"/>
  <c r="B56" i="1010"/>
  <c r="B25" i="1010"/>
  <c r="I24" i="1011"/>
  <c r="B1" i="1011"/>
  <c r="M4" i="1011" s="1"/>
  <c r="F13" i="1011"/>
  <c r="C24" i="1011"/>
  <c r="D24" i="1011" s="1"/>
  <c r="D20" i="1011"/>
  <c r="F19" i="1012"/>
  <c r="D37" i="1012"/>
  <c r="C13" i="1013"/>
  <c r="B56" i="1014"/>
  <c r="F13" i="1014"/>
  <c r="C24" i="1014"/>
  <c r="D24" i="1014" s="1"/>
  <c r="D20" i="1014"/>
  <c r="F19" i="1015"/>
  <c r="C13" i="1017"/>
  <c r="C24" i="1017"/>
  <c r="B56" i="1018"/>
  <c r="F19" i="1018"/>
  <c r="B24" i="1018"/>
  <c r="F24" i="1018" s="1"/>
  <c r="B56" i="1019"/>
  <c r="B25" i="1019"/>
  <c r="I23" i="1020"/>
  <c r="B1" i="1020"/>
  <c r="M4" i="1020" s="1"/>
  <c r="B24" i="1020"/>
  <c r="F24" i="1020" s="1"/>
  <c r="C59" i="1033"/>
  <c r="G68" i="1036"/>
  <c r="F142" i="1038"/>
  <c r="J15" i="1038" s="1"/>
  <c r="I13" i="1038" s="1"/>
  <c r="C69" i="1044"/>
  <c r="E59" i="1045"/>
  <c r="E59" i="1046"/>
  <c r="B33" i="1048"/>
  <c r="B5" i="1053"/>
  <c r="D14" i="1057"/>
  <c r="F16" i="1059"/>
  <c r="I14" i="1061"/>
  <c r="C14" i="1061"/>
  <c r="B5" i="1062"/>
  <c r="F59" i="1070"/>
  <c r="I6" i="1070" s="1"/>
  <c r="I21" i="1007"/>
  <c r="B1" i="1007"/>
  <c r="M4" i="1007" s="1"/>
  <c r="B56" i="1007"/>
  <c r="F21" i="1007"/>
  <c r="B25" i="1008"/>
  <c r="B45" i="1009"/>
  <c r="B1" i="1009"/>
  <c r="M4" i="1009" s="1"/>
  <c r="F19" i="1010"/>
  <c r="B56" i="1011"/>
  <c r="G36" i="1011"/>
  <c r="B25" i="1012"/>
  <c r="G36" i="1014"/>
  <c r="D39" i="1014"/>
  <c r="G39" i="1014" s="1"/>
  <c r="B25" i="1015"/>
  <c r="H45" i="1016"/>
  <c r="I45" i="1016" s="1"/>
  <c r="B1" i="1016"/>
  <c r="M4" i="1016" s="1"/>
  <c r="G37" i="1016"/>
  <c r="C25" i="1016"/>
  <c r="B45" i="1017"/>
  <c r="B1" i="1017"/>
  <c r="M4" i="1017" s="1"/>
  <c r="B56" i="1020"/>
  <c r="G38" i="1020"/>
  <c r="G67" i="1037"/>
  <c r="F67" i="1037" s="1"/>
  <c r="E40" i="1042"/>
  <c r="F6" i="1042" s="1"/>
  <c r="B40" i="1048"/>
  <c r="E142" i="1048"/>
  <c r="E59" i="1051"/>
  <c r="F59" i="1057"/>
  <c r="I6" i="1057" s="1"/>
  <c r="E16" i="1061"/>
  <c r="B56" i="1013"/>
  <c r="B56" i="1016"/>
  <c r="C56" i="1016" s="1"/>
  <c r="B56" i="1017"/>
  <c r="F68" i="1043"/>
  <c r="I14" i="1063"/>
  <c r="D20" i="1007"/>
  <c r="D36" i="1009"/>
  <c r="G36" i="1009" s="1"/>
  <c r="D38" i="1010"/>
  <c r="G38" i="1010" s="1"/>
  <c r="D37" i="1011"/>
  <c r="G37" i="1011" s="1"/>
  <c r="F21" i="1012"/>
  <c r="C24" i="1013"/>
  <c r="D20" i="1013"/>
  <c r="D20" i="1017"/>
  <c r="C24" i="1018"/>
  <c r="D20" i="1018"/>
  <c r="D38" i="1019"/>
  <c r="G38" i="1019" s="1"/>
  <c r="D36" i="1020"/>
  <c r="G36" i="1020" s="1"/>
  <c r="B69" i="1034"/>
  <c r="G66" i="1037"/>
  <c r="F66" i="1037" s="1"/>
  <c r="C40" i="1042"/>
  <c r="F142" i="1047"/>
  <c r="J15" i="1047" s="1"/>
  <c r="I13" i="1047" s="1"/>
  <c r="E62" i="1055"/>
  <c r="A54" i="1058"/>
  <c r="B14" i="1071"/>
  <c r="B56" i="1009"/>
  <c r="G39" i="1007"/>
  <c r="D38" i="1008"/>
  <c r="B24" i="1008"/>
  <c r="F24" i="1008" s="1"/>
  <c r="C24" i="1010"/>
  <c r="D20" i="1010"/>
  <c r="B25" i="1011"/>
  <c r="B45" i="1012"/>
  <c r="B1" i="1012"/>
  <c r="M4" i="1012" s="1"/>
  <c r="D36" i="1013"/>
  <c r="G36" i="1013" s="1"/>
  <c r="B25" i="1014"/>
  <c r="H45" i="1015"/>
  <c r="B1" i="1015"/>
  <c r="M4" i="1015" s="1"/>
  <c r="E13" i="1015"/>
  <c r="D36" i="1017"/>
  <c r="G36" i="1017" s="1"/>
  <c r="D36" i="1018"/>
  <c r="C24" i="1019"/>
  <c r="D20" i="1019"/>
  <c r="D39" i="1020"/>
  <c r="G39" i="1020" s="1"/>
  <c r="C59" i="1029"/>
  <c r="C69" i="1033"/>
  <c r="G67" i="1039"/>
  <c r="D59" i="1043"/>
  <c r="D59" i="1044"/>
  <c r="E59" i="1048"/>
  <c r="E59" i="1049"/>
  <c r="A54" i="1056"/>
  <c r="A54" i="1061"/>
  <c r="A54" i="1062"/>
  <c r="A54" i="1066"/>
  <c r="G40" i="1070"/>
  <c r="B4" i="1070" s="1"/>
  <c r="D14" i="1071"/>
  <c r="C13" i="1008"/>
  <c r="F21" i="1008"/>
  <c r="D20" i="1008"/>
  <c r="B13" i="1010"/>
  <c r="D36" i="1010"/>
  <c r="G36" i="1010" s="1"/>
  <c r="B56" i="1012"/>
  <c r="G13" i="1012"/>
  <c r="C24" i="1012"/>
  <c r="D20" i="1012"/>
  <c r="D39" i="1013"/>
  <c r="G39" i="1013" s="1"/>
  <c r="B56" i="1015"/>
  <c r="C24" i="1015"/>
  <c r="D20" i="1015"/>
  <c r="F21" i="1016"/>
  <c r="D20" i="1016"/>
  <c r="G39" i="1017"/>
  <c r="E13" i="1018"/>
  <c r="G39" i="1018"/>
  <c r="F19" i="1020"/>
  <c r="D37" i="1020"/>
  <c r="C69" i="1026"/>
  <c r="C59" i="1027"/>
  <c r="C59" i="1028"/>
  <c r="E59" i="1050"/>
  <c r="A54" i="1060"/>
  <c r="K62" i="1060"/>
  <c r="B16" i="1063"/>
  <c r="A54" i="1065"/>
  <c r="A54" i="1067"/>
  <c r="F59" i="1069"/>
  <c r="I6" i="1069" s="1"/>
  <c r="F19" i="1007"/>
  <c r="B25" i="1009"/>
  <c r="B25" i="1020"/>
  <c r="F16" i="1063"/>
  <c r="D37" i="1007"/>
  <c r="G37" i="1007" s="1"/>
  <c r="C25" i="1007"/>
  <c r="B45" i="1008"/>
  <c r="B1" i="1008"/>
  <c r="M4" i="1008" s="1"/>
  <c r="D39" i="1008"/>
  <c r="G39" i="1008" s="1"/>
  <c r="B24" i="1009"/>
  <c r="F24" i="1009" s="1"/>
  <c r="H45" i="1010"/>
  <c r="B1" i="1010"/>
  <c r="E13" i="1011"/>
  <c r="D38" i="1011"/>
  <c r="G38" i="1011" s="1"/>
  <c r="D39" i="1012"/>
  <c r="G39" i="1012" s="1"/>
  <c r="I23" i="1014"/>
  <c r="B1" i="1014"/>
  <c r="M4" i="1014" s="1"/>
  <c r="D38" i="1014"/>
  <c r="G38" i="1014" s="1"/>
  <c r="C25" i="1015"/>
  <c r="D39" i="1015"/>
  <c r="G39" i="1015" s="1"/>
  <c r="D39" i="1016"/>
  <c r="G39" i="1016" s="1"/>
  <c r="B25" i="1017"/>
  <c r="B45" i="1018"/>
  <c r="B1" i="1018"/>
  <c r="M4" i="1018" s="1"/>
  <c r="B25" i="1018"/>
  <c r="H45" i="1019"/>
  <c r="B1" i="1019"/>
  <c r="M4" i="1019" s="1"/>
  <c r="B69" i="1029"/>
  <c r="A54" i="1046"/>
  <c r="E40" i="1051"/>
  <c r="F6" i="1051" s="1"/>
  <c r="G14" i="1057"/>
  <c r="I6" i="1058"/>
  <c r="N4" i="1067"/>
  <c r="D69" i="1035"/>
  <c r="C69" i="1029"/>
  <c r="C69" i="1030"/>
  <c r="D69" i="1040"/>
  <c r="C14" i="1057"/>
  <c r="E14" i="1057"/>
  <c r="M14" i="1048"/>
  <c r="B5" i="1056"/>
  <c r="B69" i="1036"/>
  <c r="C40" i="1051"/>
  <c r="F34" i="1071"/>
  <c r="D40" i="1071"/>
  <c r="G40" i="1071" s="1"/>
  <c r="B4" i="1071" s="1"/>
  <c r="C14" i="1071"/>
  <c r="F14" i="1065"/>
  <c r="E14" i="1065"/>
  <c r="B14" i="1065"/>
  <c r="N3" i="1063"/>
  <c r="D16" i="1063"/>
  <c r="B5" i="1045"/>
  <c r="D16" i="1061"/>
  <c r="B5" i="1061"/>
  <c r="G40" i="1061"/>
  <c r="B4" i="1061" s="1"/>
  <c r="C69" i="1043"/>
  <c r="G40" i="1049"/>
  <c r="B4" i="1049" s="1"/>
  <c r="B5" i="1049"/>
  <c r="H62" i="1071"/>
  <c r="D16" i="1071"/>
  <c r="J3" i="1071" s="1"/>
  <c r="N62" i="1071"/>
  <c r="F16" i="1071"/>
  <c r="N4" i="1071"/>
  <c r="C16" i="1071"/>
  <c r="I3" i="1071" s="1"/>
  <c r="B16" i="1071"/>
  <c r="E62" i="1071"/>
  <c r="K3" i="1071"/>
  <c r="G14" i="1071"/>
  <c r="E14" i="1071"/>
  <c r="F33" i="1071"/>
  <c r="F59" i="1071"/>
  <c r="I6" i="1071" s="1"/>
  <c r="C53" i="1071"/>
  <c r="A53" i="1071" s="1"/>
  <c r="K50" i="1071"/>
  <c r="K44" i="1071" s="1"/>
  <c r="K49" i="1071"/>
  <c r="K51" i="1071" s="1"/>
  <c r="G58" i="1071"/>
  <c r="G57" i="1071"/>
  <c r="H56" i="1071"/>
  <c r="K62" i="1070"/>
  <c r="N62" i="1070"/>
  <c r="D16" i="1070"/>
  <c r="A54" i="1070"/>
  <c r="C15" i="1070"/>
  <c r="N5" i="1070"/>
  <c r="B15" i="1070"/>
  <c r="D15" i="1070"/>
  <c r="J3" i="1070" s="1"/>
  <c r="F15" i="1070"/>
  <c r="E15" i="1070"/>
  <c r="E142" i="1070"/>
  <c r="C16" i="1070"/>
  <c r="B16" i="1070"/>
  <c r="F16" i="1070"/>
  <c r="E16" i="1070"/>
  <c r="N4" i="1070"/>
  <c r="G58" i="1070"/>
  <c r="G57" i="1070"/>
  <c r="G59" i="1070" s="1"/>
  <c r="H56" i="1070"/>
  <c r="E50" i="1070"/>
  <c r="E51" i="1070" s="1"/>
  <c r="E49" i="1070"/>
  <c r="E62" i="1070" s="1"/>
  <c r="K50" i="1070"/>
  <c r="K44" i="1070" s="1"/>
  <c r="K49" i="1070"/>
  <c r="C53" i="1070"/>
  <c r="A53" i="1070" s="1"/>
  <c r="K51" i="1070"/>
  <c r="C16" i="1069"/>
  <c r="E16" i="1069"/>
  <c r="F16" i="1069"/>
  <c r="N4" i="1069"/>
  <c r="D16" i="1069"/>
  <c r="B16" i="1069"/>
  <c r="E15" i="1069"/>
  <c r="K3" i="1069" s="1"/>
  <c r="C15" i="1069"/>
  <c r="D15" i="1069"/>
  <c r="J3" i="1069" s="1"/>
  <c r="F15" i="1069"/>
  <c r="N5" i="1069"/>
  <c r="B15" i="1069"/>
  <c r="G58" i="1069"/>
  <c r="G57" i="1069"/>
  <c r="H56" i="1069"/>
  <c r="E50" i="1069"/>
  <c r="H62" i="1069" s="1"/>
  <c r="E49" i="1069"/>
  <c r="E44" i="1069" s="1"/>
  <c r="C53" i="1069"/>
  <c r="A53" i="1069" s="1"/>
  <c r="K50" i="1069"/>
  <c r="K44" i="1069" s="1"/>
  <c r="K49" i="1069"/>
  <c r="K51" i="1069" s="1"/>
  <c r="J51" i="1067"/>
  <c r="E16" i="1067"/>
  <c r="K3" i="1067" s="1"/>
  <c r="F16" i="1067"/>
  <c r="N3" i="1067"/>
  <c r="D16" i="1067"/>
  <c r="B16" i="1067"/>
  <c r="I3" i="1067"/>
  <c r="C15" i="1067"/>
  <c r="E15" i="1067"/>
  <c r="D15" i="1067"/>
  <c r="N5" i="1067"/>
  <c r="B15" i="1067"/>
  <c r="F15" i="1067"/>
  <c r="E50" i="1067"/>
  <c r="E51" i="1067" s="1"/>
  <c r="E49" i="1067"/>
  <c r="C53" i="1067"/>
  <c r="A53" i="1067" s="1"/>
  <c r="G58" i="1067"/>
  <c r="G57" i="1067"/>
  <c r="G59" i="1067" s="1"/>
  <c r="H56" i="1067"/>
  <c r="K50" i="1067"/>
  <c r="K44" i="1067" s="1"/>
  <c r="K49" i="1067"/>
  <c r="K51" i="1067" s="1"/>
  <c r="D51" i="1066"/>
  <c r="I14" i="1066"/>
  <c r="F16" i="1066"/>
  <c r="C16" i="1066"/>
  <c r="D16" i="1066"/>
  <c r="E16" i="1066"/>
  <c r="N4" i="1066"/>
  <c r="N3" i="1066"/>
  <c r="C15" i="1066"/>
  <c r="E15" i="1066"/>
  <c r="D15" i="1066"/>
  <c r="N5" i="1066"/>
  <c r="B15" i="1066"/>
  <c r="F15" i="1066"/>
  <c r="F59" i="1066"/>
  <c r="I6" i="1066" s="1"/>
  <c r="E50" i="1066"/>
  <c r="E51" i="1066" s="1"/>
  <c r="E49" i="1066"/>
  <c r="E44" i="1066" s="1"/>
  <c r="C53" i="1066"/>
  <c r="A53" i="1066" s="1"/>
  <c r="K50" i="1066"/>
  <c r="K44" i="1066" s="1"/>
  <c r="K49" i="1066"/>
  <c r="K51" i="1066" s="1"/>
  <c r="G58" i="1066"/>
  <c r="G57" i="1066"/>
  <c r="H56" i="1066"/>
  <c r="I14" i="1065"/>
  <c r="D16" i="1065"/>
  <c r="K62" i="1065"/>
  <c r="B16" i="1065"/>
  <c r="D40" i="1065"/>
  <c r="G40" i="1065" s="1"/>
  <c r="B4" i="1065" s="1"/>
  <c r="N3" i="1065"/>
  <c r="N4" i="1065"/>
  <c r="F16" i="1065"/>
  <c r="C16" i="1065"/>
  <c r="E15" i="1065"/>
  <c r="K3" i="1065" s="1"/>
  <c r="B15" i="1065"/>
  <c r="N5" i="1065"/>
  <c r="D15" i="1065"/>
  <c r="F15" i="1065"/>
  <c r="C15" i="1065"/>
  <c r="K50" i="1065"/>
  <c r="K44" i="1065" s="1"/>
  <c r="K49" i="1065"/>
  <c r="E50" i="1065"/>
  <c r="E51" i="1065" s="1"/>
  <c r="E49" i="1065"/>
  <c r="E44" i="1065" s="1"/>
  <c r="K51" i="1065"/>
  <c r="C53" i="1065"/>
  <c r="A53" i="1065" s="1"/>
  <c r="G58" i="1065"/>
  <c r="G57" i="1065"/>
  <c r="H56" i="1065"/>
  <c r="J51" i="1064"/>
  <c r="C16" i="1064"/>
  <c r="E16" i="1064"/>
  <c r="D16" i="1064"/>
  <c r="F15" i="1064"/>
  <c r="E15" i="1064"/>
  <c r="B15" i="1064"/>
  <c r="D15" i="1064"/>
  <c r="C15" i="1064"/>
  <c r="N5" i="1064"/>
  <c r="K50" i="1064"/>
  <c r="K49" i="1064"/>
  <c r="K51" i="1064" s="1"/>
  <c r="N4" i="1064"/>
  <c r="N3" i="1064"/>
  <c r="F16" i="1064"/>
  <c r="F59" i="1064"/>
  <c r="I6" i="1064" s="1"/>
  <c r="C53" i="1064"/>
  <c r="A53" i="1064" s="1"/>
  <c r="E50" i="1064"/>
  <c r="E51" i="1064" s="1"/>
  <c r="E49" i="1064"/>
  <c r="E44" i="1064" s="1"/>
  <c r="G58" i="1064"/>
  <c r="G57" i="1064"/>
  <c r="H56" i="1064"/>
  <c r="H62" i="1063"/>
  <c r="N62" i="1063"/>
  <c r="N4" i="1063"/>
  <c r="C16" i="1063"/>
  <c r="N5" i="1063"/>
  <c r="D15" i="1063"/>
  <c r="C15" i="1063"/>
  <c r="B15" i="1063"/>
  <c r="E15" i="1063"/>
  <c r="F15" i="1063"/>
  <c r="F59" i="1063"/>
  <c r="I6" i="1063" s="1"/>
  <c r="E50" i="1063"/>
  <c r="E51" i="1063" s="1"/>
  <c r="E49" i="1063"/>
  <c r="E44" i="1063" s="1"/>
  <c r="J3" i="1063"/>
  <c r="C53" i="1063"/>
  <c r="A53" i="1063" s="1"/>
  <c r="K50" i="1063"/>
  <c r="K44" i="1063" s="1"/>
  <c r="K49" i="1063"/>
  <c r="K51" i="1063" s="1"/>
  <c r="G58" i="1063"/>
  <c r="G57" i="1063"/>
  <c r="H56" i="1063"/>
  <c r="I14" i="1062"/>
  <c r="K62" i="1062"/>
  <c r="C15" i="1062"/>
  <c r="I3" i="1062" s="1"/>
  <c r="N5" i="1062"/>
  <c r="F15" i="1062"/>
  <c r="D15" i="1062"/>
  <c r="J3" i="1062" s="1"/>
  <c r="B15" i="1062"/>
  <c r="E15" i="1062"/>
  <c r="K3" i="1062" s="1"/>
  <c r="C53" i="1062"/>
  <c r="A53" i="1062" s="1"/>
  <c r="G58" i="1062"/>
  <c r="G57" i="1062"/>
  <c r="H56" i="1062"/>
  <c r="E50" i="1062"/>
  <c r="E51" i="1062" s="1"/>
  <c r="E49" i="1062"/>
  <c r="E44" i="1062" s="1"/>
  <c r="N3" i="1061"/>
  <c r="C16" i="1061"/>
  <c r="N4" i="1061"/>
  <c r="K62" i="1061"/>
  <c r="N62" i="1061"/>
  <c r="G14" i="1061"/>
  <c r="C15" i="1061"/>
  <c r="D15" i="1061"/>
  <c r="F15" i="1061"/>
  <c r="B15" i="1061"/>
  <c r="E15" i="1061"/>
  <c r="K3" i="1061" s="1"/>
  <c r="N5" i="1061"/>
  <c r="F59" i="1061"/>
  <c r="I6" i="1061" s="1"/>
  <c r="C53" i="1061"/>
  <c r="A53" i="1061" s="1"/>
  <c r="G58" i="1061"/>
  <c r="G57" i="1061"/>
  <c r="H56" i="1061"/>
  <c r="E50" i="1061"/>
  <c r="E51" i="1061" s="1"/>
  <c r="E49" i="1061"/>
  <c r="E62" i="1061" s="1"/>
  <c r="H62" i="1060"/>
  <c r="N62" i="1060"/>
  <c r="B15" i="1060"/>
  <c r="N5" i="1060"/>
  <c r="D15" i="1060"/>
  <c r="E15" i="1060"/>
  <c r="K3" i="1060" s="1"/>
  <c r="C15" i="1060"/>
  <c r="I3" i="1060" s="1"/>
  <c r="F15" i="1060"/>
  <c r="I56" i="1060"/>
  <c r="H57" i="1060"/>
  <c r="H58" i="1060"/>
  <c r="E50" i="1060"/>
  <c r="E51" i="1060" s="1"/>
  <c r="E49" i="1060"/>
  <c r="E44" i="1060" s="1"/>
  <c r="C53" i="1060"/>
  <c r="A53" i="1060" s="1"/>
  <c r="J44" i="1059"/>
  <c r="N3" i="1059"/>
  <c r="I3" i="1059" s="1"/>
  <c r="C16" i="1059"/>
  <c r="B16" i="1059"/>
  <c r="E16" i="1059"/>
  <c r="D16" i="1059"/>
  <c r="D15" i="1059"/>
  <c r="N5" i="1059"/>
  <c r="B15" i="1059"/>
  <c r="F15" i="1059"/>
  <c r="C15" i="1059"/>
  <c r="E15" i="1059"/>
  <c r="F59" i="1059"/>
  <c r="I6" i="1059" s="1"/>
  <c r="G58" i="1059"/>
  <c r="G57" i="1059"/>
  <c r="G59" i="1059" s="1"/>
  <c r="H56" i="1059"/>
  <c r="K50" i="1059"/>
  <c r="K44" i="1059" s="1"/>
  <c r="K49" i="1059"/>
  <c r="K51" i="1059" s="1"/>
  <c r="C53" i="1059"/>
  <c r="A53" i="1059" s="1"/>
  <c r="E50" i="1059"/>
  <c r="E51" i="1059" s="1"/>
  <c r="E49" i="1059"/>
  <c r="E44" i="1059" s="1"/>
  <c r="N5" i="1058"/>
  <c r="C15" i="1058"/>
  <c r="B15" i="1058"/>
  <c r="D15" i="1058"/>
  <c r="F15" i="1058"/>
  <c r="E15" i="1058"/>
  <c r="F16" i="1058"/>
  <c r="E16" i="1058"/>
  <c r="D16" i="1058"/>
  <c r="N3" i="1058"/>
  <c r="B16" i="1058"/>
  <c r="C16" i="1058"/>
  <c r="C53" i="1058"/>
  <c r="A53" i="1058" s="1"/>
  <c r="G58" i="1058"/>
  <c r="G57" i="1058"/>
  <c r="H56" i="1058"/>
  <c r="K50" i="1058"/>
  <c r="N62" i="1058" s="1"/>
  <c r="K49" i="1058"/>
  <c r="E50" i="1058"/>
  <c r="E51" i="1058" s="1"/>
  <c r="E49" i="1058"/>
  <c r="E44" i="1058" s="1"/>
  <c r="H62" i="1057"/>
  <c r="E62" i="1057"/>
  <c r="F34" i="1057"/>
  <c r="B5" i="1057" s="1"/>
  <c r="K50" i="1057"/>
  <c r="K44" i="1057" s="1"/>
  <c r="K49" i="1057"/>
  <c r="K51" i="1057" s="1"/>
  <c r="C53" i="1057"/>
  <c r="A53" i="1057" s="1"/>
  <c r="G58" i="1057"/>
  <c r="G57" i="1057"/>
  <c r="G59" i="1057" s="1"/>
  <c r="H56" i="1057"/>
  <c r="K62" i="1056"/>
  <c r="B16" i="1056"/>
  <c r="D16" i="1056"/>
  <c r="C16" i="1056"/>
  <c r="E16" i="1056"/>
  <c r="F16" i="1056"/>
  <c r="N4" i="1056"/>
  <c r="E15" i="1056"/>
  <c r="K3" i="1056" s="1"/>
  <c r="N5" i="1056"/>
  <c r="F15" i="1056"/>
  <c r="C15" i="1056"/>
  <c r="D15" i="1056"/>
  <c r="B15" i="1056"/>
  <c r="F59" i="1056"/>
  <c r="I6" i="1056" s="1"/>
  <c r="C53" i="1056"/>
  <c r="A53" i="1056" s="1"/>
  <c r="G58" i="1056"/>
  <c r="G57" i="1056"/>
  <c r="H56" i="1056"/>
  <c r="E50" i="1056"/>
  <c r="E51" i="1056" s="1"/>
  <c r="E49" i="1056"/>
  <c r="E44" i="1056" s="1"/>
  <c r="H62" i="1055"/>
  <c r="K62" i="1055"/>
  <c r="J62" i="1055"/>
  <c r="N3" i="1055"/>
  <c r="J3" i="1055" s="1"/>
  <c r="B16" i="1055"/>
  <c r="N6" i="1055"/>
  <c r="C16" i="1055"/>
  <c r="F16" i="1055"/>
  <c r="E16" i="1055"/>
  <c r="D16" i="1055"/>
  <c r="F59" i="1055"/>
  <c r="I6" i="1055" s="1"/>
  <c r="K50" i="1055"/>
  <c r="K44" i="1055" s="1"/>
  <c r="K49" i="1055"/>
  <c r="K51" i="1055" s="1"/>
  <c r="G58" i="1055"/>
  <c r="G57" i="1055"/>
  <c r="G59" i="1055" s="1"/>
  <c r="H56" i="1055"/>
  <c r="B16" i="1054"/>
  <c r="E16" i="1054"/>
  <c r="F16" i="1054"/>
  <c r="N3" i="1054"/>
  <c r="C16" i="1054"/>
  <c r="E62" i="1054"/>
  <c r="F59" i="1054"/>
  <c r="I6" i="1054" s="1"/>
  <c r="G58" i="1054"/>
  <c r="G57" i="1054"/>
  <c r="G59" i="1054" s="1"/>
  <c r="H56" i="1054"/>
  <c r="C53" i="1054"/>
  <c r="A53" i="1054" s="1"/>
  <c r="K50" i="1054"/>
  <c r="K44" i="1054" s="1"/>
  <c r="K49" i="1054"/>
  <c r="K51" i="1054" s="1"/>
  <c r="K62" i="1053"/>
  <c r="N5" i="1053"/>
  <c r="C15" i="1053"/>
  <c r="B15" i="1053"/>
  <c r="E15" i="1053"/>
  <c r="F15" i="1053"/>
  <c r="D15" i="1053"/>
  <c r="F69" i="1053"/>
  <c r="D16" i="1053" s="1"/>
  <c r="E59" i="1053"/>
  <c r="K50" i="1053"/>
  <c r="N62" i="1053" s="1"/>
  <c r="K49" i="1053"/>
  <c r="E50" i="1053"/>
  <c r="E51" i="1053" s="1"/>
  <c r="E49" i="1053"/>
  <c r="E44" i="1053" s="1"/>
  <c r="K51" i="1053"/>
  <c r="G56" i="1053"/>
  <c r="F58" i="1053"/>
  <c r="F57" i="1053"/>
  <c r="C53" i="1053"/>
  <c r="A53" i="1053" s="1"/>
  <c r="C44" i="1052"/>
  <c r="E40" i="1052"/>
  <c r="F6" i="1052" s="1"/>
  <c r="M14" i="1052"/>
  <c r="C40" i="1052"/>
  <c r="B40" i="1052"/>
  <c r="B33" i="1052"/>
  <c r="B14" i="1052" s="1"/>
  <c r="E59" i="1052"/>
  <c r="F68" i="1052"/>
  <c r="F69" i="1052" s="1"/>
  <c r="D50" i="1052"/>
  <c r="D49" i="1052"/>
  <c r="D44" i="1052" s="1"/>
  <c r="J50" i="1052"/>
  <c r="J49" i="1052"/>
  <c r="J51" i="1052" s="1"/>
  <c r="E48" i="1052"/>
  <c r="E47" i="1052"/>
  <c r="G62" i="1052" s="1"/>
  <c r="I14" i="1052" s="1"/>
  <c r="E46" i="1052"/>
  <c r="D62" i="1052" s="1"/>
  <c r="K48" i="1052"/>
  <c r="K47" i="1052"/>
  <c r="M62" i="1052" s="1"/>
  <c r="K46" i="1052"/>
  <c r="J62" i="1052" s="1"/>
  <c r="E52" i="1052"/>
  <c r="E54" i="1052" s="1"/>
  <c r="D54" i="1052"/>
  <c r="A54" i="1052" s="1"/>
  <c r="D53" i="1052"/>
  <c r="G56" i="1052"/>
  <c r="F58" i="1052"/>
  <c r="F57" i="1052"/>
  <c r="D51" i="1052"/>
  <c r="J44" i="1052"/>
  <c r="I14" i="1051"/>
  <c r="B40" i="1051"/>
  <c r="F69" i="1051"/>
  <c r="C16" i="1051" s="1"/>
  <c r="N5" i="1051"/>
  <c r="F15" i="1051"/>
  <c r="C15" i="1051"/>
  <c r="B15" i="1051"/>
  <c r="E15" i="1051"/>
  <c r="D15" i="1051"/>
  <c r="C142" i="1051"/>
  <c r="F16" i="1051"/>
  <c r="N3" i="1051"/>
  <c r="J50" i="1051"/>
  <c r="J44" i="1051" s="1"/>
  <c r="J49" i="1051"/>
  <c r="D14" i="1051"/>
  <c r="F14" i="1051"/>
  <c r="B14" i="1051"/>
  <c r="E14" i="1051"/>
  <c r="G14" i="1051"/>
  <c r="C14" i="1051"/>
  <c r="F33" i="1051"/>
  <c r="F34" i="1051"/>
  <c r="E50" i="1051"/>
  <c r="E51" i="1051" s="1"/>
  <c r="E49" i="1051"/>
  <c r="E62" i="1051" s="1"/>
  <c r="K48" i="1051"/>
  <c r="K47" i="1051"/>
  <c r="M62" i="1051" s="1"/>
  <c r="K46" i="1051"/>
  <c r="J62" i="1051" s="1"/>
  <c r="J51" i="1051"/>
  <c r="E44" i="1051"/>
  <c r="D40" i="1051"/>
  <c r="G40" i="1051" s="1"/>
  <c r="B4" i="1051" s="1"/>
  <c r="G56" i="1051"/>
  <c r="F58" i="1051"/>
  <c r="F57" i="1051"/>
  <c r="D62" i="1050"/>
  <c r="B40" i="1050"/>
  <c r="E40" i="1050"/>
  <c r="F6" i="1050" s="1"/>
  <c r="B33" i="1050"/>
  <c r="D14" i="1050" s="1"/>
  <c r="M14" i="1050"/>
  <c r="C40" i="1050"/>
  <c r="D40" i="1050" s="1"/>
  <c r="F68" i="1050"/>
  <c r="F69" i="1050" s="1"/>
  <c r="D53" i="1050"/>
  <c r="K48" i="1050"/>
  <c r="K47" i="1050"/>
  <c r="M62" i="1050" s="1"/>
  <c r="K46" i="1050"/>
  <c r="J62" i="1050" s="1"/>
  <c r="E14" i="1050"/>
  <c r="C14" i="1050"/>
  <c r="F14" i="1050"/>
  <c r="G14" i="1050"/>
  <c r="F34" i="1050"/>
  <c r="F33" i="1050"/>
  <c r="D50" i="1050"/>
  <c r="D51" i="1050" s="1"/>
  <c r="D49" i="1050"/>
  <c r="D44" i="1050" s="1"/>
  <c r="K6" i="1050" s="1"/>
  <c r="E52" i="1050"/>
  <c r="E54" i="1050" s="1"/>
  <c r="D54" i="1050"/>
  <c r="A54" i="1050" s="1"/>
  <c r="E48" i="1050"/>
  <c r="E47" i="1050"/>
  <c r="G62" i="1050" s="1"/>
  <c r="I14" i="1050" s="1"/>
  <c r="E46" i="1050"/>
  <c r="J50" i="1050"/>
  <c r="J49" i="1050"/>
  <c r="J51" i="1050" s="1"/>
  <c r="G56" i="1050"/>
  <c r="F58" i="1050"/>
  <c r="F57" i="1050"/>
  <c r="F69" i="1049"/>
  <c r="E52" i="1049"/>
  <c r="E54" i="1049" s="1"/>
  <c r="D54" i="1049"/>
  <c r="A54" i="1049" s="1"/>
  <c r="J50" i="1049"/>
  <c r="J44" i="1049" s="1"/>
  <c r="J49" i="1049"/>
  <c r="J51" i="1049" s="1"/>
  <c r="G56" i="1049"/>
  <c r="F58" i="1049"/>
  <c r="F57" i="1049"/>
  <c r="D50" i="1049"/>
  <c r="D51" i="1049" s="1"/>
  <c r="D49" i="1049"/>
  <c r="K48" i="1049"/>
  <c r="K47" i="1049"/>
  <c r="M62" i="1049" s="1"/>
  <c r="K46" i="1049"/>
  <c r="J62" i="1049" s="1"/>
  <c r="E48" i="1049"/>
  <c r="E47" i="1049"/>
  <c r="G62" i="1049" s="1"/>
  <c r="I14" i="1049" s="1"/>
  <c r="E46" i="1049"/>
  <c r="D62" i="1049" s="1"/>
  <c r="D53" i="1049"/>
  <c r="D44" i="1049"/>
  <c r="K6" i="1049" s="1"/>
  <c r="H62" i="1048"/>
  <c r="I44" i="1048"/>
  <c r="F15" i="1048"/>
  <c r="C15" i="1048"/>
  <c r="E15" i="1048"/>
  <c r="B15" i="1048"/>
  <c r="N5" i="1048"/>
  <c r="D15" i="1048"/>
  <c r="E62" i="1048"/>
  <c r="D40" i="1048"/>
  <c r="G40" i="1048" s="1"/>
  <c r="B4" i="1048" s="1"/>
  <c r="F69" i="1048"/>
  <c r="K48" i="1048"/>
  <c r="K47" i="1048"/>
  <c r="M62" i="1048" s="1"/>
  <c r="K46" i="1048"/>
  <c r="C53" i="1048" s="1"/>
  <c r="A53" i="1048" s="1"/>
  <c r="G56" i="1048"/>
  <c r="F58" i="1048"/>
  <c r="F57" i="1048"/>
  <c r="E50" i="1048"/>
  <c r="E51" i="1048" s="1"/>
  <c r="E49" i="1048"/>
  <c r="E44" i="1048" s="1"/>
  <c r="E14" i="1048"/>
  <c r="G14" i="1048"/>
  <c r="B14" i="1048"/>
  <c r="C14" i="1048"/>
  <c r="F14" i="1048"/>
  <c r="D14" i="1048"/>
  <c r="F33" i="1048"/>
  <c r="F34" i="1048"/>
  <c r="J50" i="1048"/>
  <c r="J44" i="1048" s="1"/>
  <c r="J49" i="1048"/>
  <c r="J51" i="1048" s="1"/>
  <c r="B33" i="1047"/>
  <c r="F14" i="1047" s="1"/>
  <c r="F69" i="1047"/>
  <c r="C16" i="1047" s="1"/>
  <c r="C40" i="1047"/>
  <c r="D40" i="1047" s="1"/>
  <c r="G40" i="1047" s="1"/>
  <c r="B4" i="1047" s="1"/>
  <c r="C44" i="1047"/>
  <c r="F16" i="1047"/>
  <c r="E59" i="1047"/>
  <c r="E14" i="1047"/>
  <c r="F33" i="1047"/>
  <c r="K50" i="1047"/>
  <c r="K44" i="1047" s="1"/>
  <c r="K49" i="1047"/>
  <c r="K62" i="1047" s="1"/>
  <c r="G56" i="1047"/>
  <c r="F58" i="1047"/>
  <c r="F57" i="1047"/>
  <c r="D50" i="1047"/>
  <c r="D51" i="1047" s="1"/>
  <c r="D49" i="1047"/>
  <c r="D44" i="1047" s="1"/>
  <c r="K6" i="1047" s="1"/>
  <c r="E48" i="1047"/>
  <c r="E47" i="1047"/>
  <c r="G62" i="1047" s="1"/>
  <c r="I14" i="1047" s="1"/>
  <c r="E46" i="1047"/>
  <c r="D62" i="1047" s="1"/>
  <c r="E52" i="1047"/>
  <c r="E54" i="1047" s="1"/>
  <c r="D54" i="1047"/>
  <c r="D53" i="1047"/>
  <c r="H62" i="1046"/>
  <c r="I14" i="1046"/>
  <c r="E40" i="1046"/>
  <c r="F6" i="1046" s="1"/>
  <c r="B40" i="1046"/>
  <c r="M14" i="1046"/>
  <c r="B33" i="1046"/>
  <c r="G14" i="1046" s="1"/>
  <c r="D15" i="1046"/>
  <c r="C15" i="1046"/>
  <c r="E15" i="1046"/>
  <c r="B15" i="1046"/>
  <c r="N5" i="1046"/>
  <c r="F15" i="1046"/>
  <c r="C40" i="1046"/>
  <c r="F68" i="1046"/>
  <c r="F69" i="1046" s="1"/>
  <c r="E50" i="1046"/>
  <c r="E51" i="1046" s="1"/>
  <c r="E49" i="1046"/>
  <c r="E62" i="1046" s="1"/>
  <c r="K48" i="1046"/>
  <c r="K47" i="1046"/>
  <c r="M62" i="1046" s="1"/>
  <c r="K46" i="1046"/>
  <c r="C53" i="1046" s="1"/>
  <c r="A53" i="1046" s="1"/>
  <c r="E14" i="1046"/>
  <c r="F14" i="1046"/>
  <c r="C14" i="1046"/>
  <c r="F33" i="1046"/>
  <c r="D53" i="1046"/>
  <c r="G56" i="1046"/>
  <c r="F58" i="1046"/>
  <c r="F57" i="1046"/>
  <c r="J50" i="1046"/>
  <c r="J44" i="1046" s="1"/>
  <c r="J49" i="1046"/>
  <c r="J51" i="1046" s="1"/>
  <c r="C51" i="1045"/>
  <c r="F69" i="1045"/>
  <c r="E16" i="1045" s="1"/>
  <c r="D53" i="1045"/>
  <c r="J50" i="1045"/>
  <c r="J49" i="1045"/>
  <c r="K48" i="1045"/>
  <c r="K47" i="1045"/>
  <c r="M62" i="1045" s="1"/>
  <c r="K46" i="1045"/>
  <c r="J62" i="1045" s="1"/>
  <c r="E52" i="1045"/>
  <c r="E54" i="1045" s="1"/>
  <c r="D54" i="1045"/>
  <c r="A54" i="1045" s="1"/>
  <c r="D50" i="1045"/>
  <c r="D51" i="1045" s="1"/>
  <c r="D49" i="1045"/>
  <c r="D44" i="1045" s="1"/>
  <c r="K6" i="1045" s="1"/>
  <c r="G56" i="1045"/>
  <c r="F58" i="1045"/>
  <c r="F57" i="1045"/>
  <c r="J51" i="1045"/>
  <c r="E48" i="1045"/>
  <c r="E47" i="1045"/>
  <c r="G62" i="1045" s="1"/>
  <c r="I14" i="1045" s="1"/>
  <c r="E46" i="1045"/>
  <c r="D62" i="1045" s="1"/>
  <c r="J44" i="1045"/>
  <c r="L69" i="1044"/>
  <c r="F68" i="1044"/>
  <c r="E69" i="1044"/>
  <c r="D69" i="1044"/>
  <c r="E142" i="1044" s="1"/>
  <c r="B69" i="1044"/>
  <c r="F65" i="1044"/>
  <c r="E53" i="1044"/>
  <c r="E52" i="1044"/>
  <c r="E54" i="1044" s="1"/>
  <c r="A54" i="1044" s="1"/>
  <c r="D54" i="1044"/>
  <c r="E76" i="1044"/>
  <c r="B76" i="1044"/>
  <c r="D142" i="1044"/>
  <c r="I50" i="1044"/>
  <c r="I44" i="1044" s="1"/>
  <c r="I49" i="1044"/>
  <c r="C76" i="1044"/>
  <c r="H51" i="1044"/>
  <c r="K45" i="1044"/>
  <c r="J48" i="1044"/>
  <c r="J47" i="1044"/>
  <c r="J46" i="1044"/>
  <c r="D50" i="1044"/>
  <c r="D51" i="1044" s="1"/>
  <c r="D49" i="1044"/>
  <c r="D44" i="1044" s="1"/>
  <c r="K6" i="1044" s="1"/>
  <c r="C142" i="1044"/>
  <c r="D76" i="1044"/>
  <c r="I51" i="1044"/>
  <c r="H44" i="1044"/>
  <c r="F56" i="1044"/>
  <c r="E58" i="1044"/>
  <c r="E57" i="1044"/>
  <c r="E48" i="1044"/>
  <c r="E47" i="1044"/>
  <c r="G62" i="1044" s="1"/>
  <c r="E46" i="1044"/>
  <c r="D62" i="1044" s="1"/>
  <c r="E69" i="1043"/>
  <c r="F142" i="1043" s="1"/>
  <c r="J15" i="1043" s="1"/>
  <c r="I13" i="1043" s="1"/>
  <c r="B69" i="1043"/>
  <c r="C142" i="1043" s="1"/>
  <c r="F69" i="1043"/>
  <c r="C16" i="1043" s="1"/>
  <c r="D69" i="1043"/>
  <c r="C76" i="1043"/>
  <c r="B76" i="1043"/>
  <c r="F16" i="1043"/>
  <c r="E53" i="1043"/>
  <c r="B51" i="1043"/>
  <c r="D76" i="1043"/>
  <c r="J50" i="1043"/>
  <c r="J44" i="1043" s="1"/>
  <c r="J49" i="1043"/>
  <c r="J51" i="1043" s="1"/>
  <c r="D142" i="1043"/>
  <c r="B44" i="1043"/>
  <c r="E76" i="1043"/>
  <c r="C50" i="1043"/>
  <c r="C51" i="1043" s="1"/>
  <c r="C49" i="1043"/>
  <c r="C44" i="1043" s="1"/>
  <c r="C54" i="1043"/>
  <c r="D52" i="1043"/>
  <c r="F56" i="1043"/>
  <c r="E58" i="1043"/>
  <c r="E57" i="1043"/>
  <c r="K48" i="1043"/>
  <c r="K47" i="1043"/>
  <c r="M62" i="1043" s="1"/>
  <c r="K46" i="1043"/>
  <c r="J62" i="1043" s="1"/>
  <c r="E45" i="1043"/>
  <c r="D48" i="1043"/>
  <c r="D47" i="1043"/>
  <c r="D46" i="1043"/>
  <c r="J47" i="1042"/>
  <c r="J46" i="1042"/>
  <c r="K45" i="1042"/>
  <c r="J48" i="1042"/>
  <c r="I44" i="1042"/>
  <c r="I50" i="1042"/>
  <c r="I49" i="1042"/>
  <c r="D59" i="1042"/>
  <c r="G65" i="1042"/>
  <c r="F65" i="1042" s="1"/>
  <c r="G66" i="1042"/>
  <c r="F66" i="1042" s="1"/>
  <c r="G68" i="1042"/>
  <c r="F68" i="1042" s="1"/>
  <c r="E76" i="1042"/>
  <c r="G67" i="1042"/>
  <c r="F67" i="1042" s="1"/>
  <c r="D40" i="1042"/>
  <c r="G40" i="1042" s="1"/>
  <c r="B4" i="1042" s="1"/>
  <c r="B51" i="1042"/>
  <c r="E53" i="1042"/>
  <c r="B44" i="1042"/>
  <c r="C50" i="1042"/>
  <c r="C51" i="1042" s="1"/>
  <c r="C49" i="1042"/>
  <c r="C44" i="1042" s="1"/>
  <c r="C54" i="1042"/>
  <c r="D52" i="1042"/>
  <c r="E14" i="1042"/>
  <c r="D14" i="1042"/>
  <c r="F14" i="1042"/>
  <c r="C14" i="1042"/>
  <c r="B14" i="1042"/>
  <c r="G14" i="1042"/>
  <c r="F34" i="1042"/>
  <c r="F33" i="1042"/>
  <c r="B5" i="1042" s="1"/>
  <c r="E45" i="1042"/>
  <c r="D48" i="1042"/>
  <c r="D47" i="1042"/>
  <c r="D46" i="1042"/>
  <c r="F56" i="1042"/>
  <c r="E58" i="1042"/>
  <c r="E57" i="1042"/>
  <c r="C69" i="1041"/>
  <c r="B69" i="1041"/>
  <c r="D69" i="1041"/>
  <c r="G65" i="1041"/>
  <c r="D59" i="1041"/>
  <c r="G66" i="1041"/>
  <c r="F66" i="1041" s="1"/>
  <c r="G67" i="1041"/>
  <c r="F67" i="1041" s="1"/>
  <c r="L69" i="1041"/>
  <c r="E68" i="1041"/>
  <c r="G68" i="1041"/>
  <c r="C76" i="1041"/>
  <c r="K45" i="1041"/>
  <c r="J48" i="1041"/>
  <c r="J47" i="1041"/>
  <c r="J46" i="1041"/>
  <c r="B44" i="1041"/>
  <c r="E53" i="1041"/>
  <c r="B51" i="1041"/>
  <c r="D76" i="1041"/>
  <c r="F56" i="1041"/>
  <c r="E58" i="1041"/>
  <c r="E57" i="1041"/>
  <c r="E76" i="1041"/>
  <c r="B76" i="1041"/>
  <c r="F65" i="1041"/>
  <c r="C50" i="1041"/>
  <c r="C51" i="1041" s="1"/>
  <c r="C49" i="1041"/>
  <c r="C44" i="1041" s="1"/>
  <c r="H51" i="1041"/>
  <c r="C54" i="1041"/>
  <c r="D52" i="1041"/>
  <c r="I50" i="1041"/>
  <c r="I44" i="1041" s="1"/>
  <c r="I49" i="1041"/>
  <c r="I51" i="1041" s="1"/>
  <c r="E45" i="1041"/>
  <c r="D48" i="1041"/>
  <c r="D47" i="1041"/>
  <c r="D46" i="1041"/>
  <c r="E69" i="1040"/>
  <c r="F142" i="1040" s="1"/>
  <c r="J15" i="1040" s="1"/>
  <c r="I13" i="1040" s="1"/>
  <c r="C69" i="1040"/>
  <c r="B69" i="1040"/>
  <c r="B40" i="1040" s="1"/>
  <c r="D59" i="1040"/>
  <c r="C76" i="1040"/>
  <c r="G68" i="1040"/>
  <c r="F68" i="1040" s="1"/>
  <c r="L69" i="1040"/>
  <c r="G66" i="1040"/>
  <c r="F66" i="1040" s="1"/>
  <c r="G67" i="1040"/>
  <c r="F67" i="1040" s="1"/>
  <c r="F56" i="1040"/>
  <c r="E58" i="1040"/>
  <c r="E57" i="1040"/>
  <c r="D142" i="1040"/>
  <c r="E45" i="1040"/>
  <c r="D48" i="1040"/>
  <c r="D47" i="1040"/>
  <c r="D46" i="1040"/>
  <c r="D76" i="1040"/>
  <c r="I50" i="1040"/>
  <c r="I44" i="1040" s="1"/>
  <c r="I49" i="1040"/>
  <c r="I51" i="1040" s="1"/>
  <c r="E53" i="1040"/>
  <c r="E76" i="1040"/>
  <c r="K45" i="1040"/>
  <c r="J48" i="1040"/>
  <c r="J47" i="1040"/>
  <c r="J46" i="1040"/>
  <c r="E142" i="1040"/>
  <c r="C142" i="1040"/>
  <c r="B44" i="1040"/>
  <c r="C54" i="1040"/>
  <c r="D52" i="1040"/>
  <c r="B76" i="1040"/>
  <c r="B51" i="1040"/>
  <c r="C40" i="1040"/>
  <c r="C50" i="1040"/>
  <c r="C51" i="1040" s="1"/>
  <c r="C49" i="1040"/>
  <c r="C44" i="1040" s="1"/>
  <c r="E69" i="1039"/>
  <c r="M14" i="1039" s="1"/>
  <c r="B69" i="1039"/>
  <c r="C142" i="1039" s="1"/>
  <c r="D69" i="1039"/>
  <c r="E142" i="1039" s="1"/>
  <c r="C69" i="1039"/>
  <c r="D142" i="1039" s="1"/>
  <c r="G66" i="1039"/>
  <c r="D59" i="1039"/>
  <c r="L69" i="1039"/>
  <c r="G68" i="1039"/>
  <c r="F68" i="1039" s="1"/>
  <c r="F66" i="1039"/>
  <c r="C54" i="1039"/>
  <c r="D52" i="1039"/>
  <c r="E53" i="1039"/>
  <c r="D76" i="1039"/>
  <c r="C76" i="1039"/>
  <c r="B44" i="1039"/>
  <c r="J50" i="1039"/>
  <c r="J44" i="1039" s="1"/>
  <c r="J49" i="1039"/>
  <c r="J51" i="1039" s="1"/>
  <c r="E45" i="1039"/>
  <c r="D48" i="1039"/>
  <c r="D47" i="1039"/>
  <c r="D46" i="1039"/>
  <c r="E76" i="1039"/>
  <c r="B40" i="1039"/>
  <c r="C50" i="1039"/>
  <c r="C51" i="1039" s="1"/>
  <c r="C49" i="1039"/>
  <c r="C44" i="1039" s="1"/>
  <c r="B76" i="1039"/>
  <c r="F56" i="1039"/>
  <c r="E58" i="1039"/>
  <c r="E57" i="1039"/>
  <c r="K48" i="1039"/>
  <c r="K47" i="1039"/>
  <c r="M62" i="1039" s="1"/>
  <c r="K46" i="1039"/>
  <c r="J62" i="1039" s="1"/>
  <c r="B40" i="1038"/>
  <c r="D40" i="1038" s="1"/>
  <c r="E40" i="1038"/>
  <c r="F6" i="1038" s="1"/>
  <c r="B33" i="1038"/>
  <c r="E14" i="1038" s="1"/>
  <c r="H44" i="1038"/>
  <c r="G67" i="1038"/>
  <c r="F67" i="1038" s="1"/>
  <c r="D59" i="1038"/>
  <c r="G65" i="1038"/>
  <c r="F65" i="1038" s="1"/>
  <c r="G66" i="1038"/>
  <c r="F66" i="1038" s="1"/>
  <c r="G68" i="1038"/>
  <c r="F68" i="1038" s="1"/>
  <c r="I50" i="1038"/>
  <c r="I44" i="1038" s="1"/>
  <c r="I49" i="1038"/>
  <c r="I51" i="1038" s="1"/>
  <c r="C50" i="1038"/>
  <c r="C49" i="1038"/>
  <c r="F34" i="1038"/>
  <c r="H51" i="1038"/>
  <c r="K45" i="1038"/>
  <c r="J48" i="1038"/>
  <c r="J47" i="1038"/>
  <c r="J46" i="1038"/>
  <c r="E45" i="1038"/>
  <c r="D48" i="1038"/>
  <c r="D47" i="1038"/>
  <c r="D46" i="1038"/>
  <c r="C54" i="1038"/>
  <c r="D52" i="1038"/>
  <c r="F56" i="1038"/>
  <c r="E58" i="1038"/>
  <c r="E57" i="1038"/>
  <c r="E59" i="1038" s="1"/>
  <c r="C44" i="1038"/>
  <c r="E53" i="1038"/>
  <c r="B51" i="1038"/>
  <c r="B44" i="1038"/>
  <c r="C51" i="1038"/>
  <c r="E69" i="1037"/>
  <c r="F142" i="1037" s="1"/>
  <c r="J15" i="1037" s="1"/>
  <c r="I13" i="1037" s="1"/>
  <c r="B69" i="1037"/>
  <c r="C142" i="1037" s="1"/>
  <c r="C69" i="1037"/>
  <c r="D69" i="1037"/>
  <c r="B33" i="1037" s="1"/>
  <c r="D76" i="1037"/>
  <c r="G68" i="1037"/>
  <c r="F68" i="1037" s="1"/>
  <c r="F69" i="1037" s="1"/>
  <c r="L69" i="1037"/>
  <c r="D142" i="1037"/>
  <c r="B76" i="1037"/>
  <c r="K48" i="1037"/>
  <c r="K47" i="1037"/>
  <c r="M62" i="1037" s="1"/>
  <c r="K46" i="1037"/>
  <c r="J62" i="1037" s="1"/>
  <c r="B44" i="1037"/>
  <c r="E45" i="1037"/>
  <c r="D48" i="1037"/>
  <c r="D47" i="1037"/>
  <c r="D46" i="1037"/>
  <c r="M14" i="1037"/>
  <c r="C76" i="1037"/>
  <c r="E53" i="1037"/>
  <c r="B51" i="1037"/>
  <c r="C54" i="1037"/>
  <c r="D52" i="1037"/>
  <c r="F56" i="1037"/>
  <c r="E58" i="1037"/>
  <c r="E57" i="1037"/>
  <c r="E76" i="1037"/>
  <c r="J50" i="1037"/>
  <c r="J44" i="1037" s="1"/>
  <c r="J49" i="1037"/>
  <c r="J51" i="1037" s="1"/>
  <c r="C50" i="1037"/>
  <c r="C51" i="1037" s="1"/>
  <c r="C49" i="1037"/>
  <c r="C44" i="1037" s="1"/>
  <c r="B51" i="1036"/>
  <c r="D76" i="1036"/>
  <c r="L69" i="1036"/>
  <c r="C69" i="1036"/>
  <c r="D69" i="1036"/>
  <c r="E142" i="1036" s="1"/>
  <c r="E68" i="1036"/>
  <c r="F68" i="1036" s="1"/>
  <c r="F69" i="1036" s="1"/>
  <c r="C76" i="1036"/>
  <c r="D59" i="1036"/>
  <c r="E76" i="1036"/>
  <c r="I50" i="1036"/>
  <c r="I44" i="1036" s="1"/>
  <c r="I49" i="1036"/>
  <c r="B76" i="1036"/>
  <c r="B44" i="1036"/>
  <c r="C50" i="1036"/>
  <c r="C51" i="1036" s="1"/>
  <c r="C49" i="1036"/>
  <c r="K45" i="1036"/>
  <c r="J48" i="1036"/>
  <c r="J47" i="1036"/>
  <c r="J46" i="1036"/>
  <c r="F56" i="1036"/>
  <c r="E58" i="1036"/>
  <c r="E57" i="1036"/>
  <c r="C142" i="1036"/>
  <c r="E45" i="1036"/>
  <c r="D48" i="1036"/>
  <c r="D47" i="1036"/>
  <c r="D46" i="1036"/>
  <c r="C54" i="1036"/>
  <c r="D52" i="1036"/>
  <c r="H51" i="1036"/>
  <c r="C44" i="1036"/>
  <c r="E53" i="1036"/>
  <c r="D142" i="1036"/>
  <c r="E69" i="1035"/>
  <c r="M14" i="1035" s="1"/>
  <c r="C69" i="1035"/>
  <c r="B69" i="1035"/>
  <c r="G65" i="1035"/>
  <c r="F65" i="1035" s="1"/>
  <c r="E53" i="1035"/>
  <c r="G68" i="1035"/>
  <c r="F68" i="1035" s="1"/>
  <c r="D59" i="1035"/>
  <c r="C76" i="1035"/>
  <c r="G67" i="1035"/>
  <c r="F67" i="1035" s="1"/>
  <c r="B76" i="1035"/>
  <c r="E52" i="1035"/>
  <c r="E54" i="1035" s="1"/>
  <c r="D54" i="1035"/>
  <c r="E76" i="1035"/>
  <c r="E142" i="1035"/>
  <c r="H51" i="1035"/>
  <c r="D50" i="1035"/>
  <c r="D49" i="1035"/>
  <c r="I50" i="1035"/>
  <c r="I49" i="1035"/>
  <c r="I51" i="1035" s="1"/>
  <c r="D76" i="1035"/>
  <c r="E48" i="1035"/>
  <c r="E47" i="1035"/>
  <c r="G62" i="1035" s="1"/>
  <c r="E46" i="1035"/>
  <c r="D62" i="1035" s="1"/>
  <c r="K45" i="1035"/>
  <c r="J48" i="1035"/>
  <c r="J47" i="1035"/>
  <c r="J46" i="1035"/>
  <c r="D142" i="1035"/>
  <c r="F142" i="1035"/>
  <c r="J15" i="1035" s="1"/>
  <c r="I13" i="1035" s="1"/>
  <c r="F56" i="1035"/>
  <c r="E58" i="1035"/>
  <c r="E57" i="1035"/>
  <c r="E59" i="1035" s="1"/>
  <c r="B40" i="1035"/>
  <c r="E69" i="1034"/>
  <c r="M14" i="1034" s="1"/>
  <c r="C69" i="1034"/>
  <c r="B33" i="1034" s="1"/>
  <c r="D69" i="1034"/>
  <c r="G68" i="1034"/>
  <c r="F68" i="1034" s="1"/>
  <c r="G65" i="1034"/>
  <c r="G66" i="1034"/>
  <c r="F66" i="1034" s="1"/>
  <c r="D59" i="1034"/>
  <c r="G67" i="1034"/>
  <c r="F67" i="1034" s="1"/>
  <c r="L69" i="1034"/>
  <c r="D76" i="1034"/>
  <c r="B76" i="1034"/>
  <c r="F65" i="1034"/>
  <c r="C54" i="1034"/>
  <c r="D52" i="1034"/>
  <c r="I50" i="1034"/>
  <c r="I44" i="1034" s="1"/>
  <c r="I49" i="1034"/>
  <c r="F56" i="1034"/>
  <c r="E58" i="1034"/>
  <c r="E57" i="1034"/>
  <c r="C50" i="1034"/>
  <c r="C51" i="1034" s="1"/>
  <c r="C49" i="1034"/>
  <c r="C76" i="1034"/>
  <c r="K45" i="1034"/>
  <c r="J48" i="1034"/>
  <c r="J47" i="1034"/>
  <c r="J46" i="1034"/>
  <c r="B51" i="1034"/>
  <c r="E45" i="1034"/>
  <c r="D48" i="1034"/>
  <c r="D47" i="1034"/>
  <c r="D46" i="1034"/>
  <c r="B40" i="1034"/>
  <c r="C44" i="1034"/>
  <c r="E53" i="1034"/>
  <c r="E76" i="1034"/>
  <c r="C76" i="1033"/>
  <c r="M14" i="1033"/>
  <c r="D69" i="1033"/>
  <c r="E40" i="1033" s="1"/>
  <c r="F6" i="1033" s="1"/>
  <c r="B69" i="1033"/>
  <c r="L69" i="1033"/>
  <c r="C142" i="1033"/>
  <c r="E142" i="1033"/>
  <c r="F142" i="1033"/>
  <c r="J15" i="1033" s="1"/>
  <c r="I13" i="1033" s="1"/>
  <c r="D142" i="1033"/>
  <c r="B53" i="1033"/>
  <c r="B50" i="1033"/>
  <c r="B49" i="1033"/>
  <c r="E56" i="1033"/>
  <c r="D57" i="1033"/>
  <c r="D58" i="1033"/>
  <c r="H49" i="1033"/>
  <c r="H50" i="1033"/>
  <c r="D76" i="1033"/>
  <c r="B54" i="1033"/>
  <c r="C52" i="1033"/>
  <c r="B40" i="1033"/>
  <c r="C40" i="1033"/>
  <c r="E76" i="1033"/>
  <c r="B76" i="1033"/>
  <c r="D45" i="1033"/>
  <c r="C48" i="1033"/>
  <c r="C47" i="1033"/>
  <c r="C46" i="1033"/>
  <c r="J45" i="1033"/>
  <c r="I48" i="1033"/>
  <c r="I47" i="1033"/>
  <c r="I46" i="1033"/>
  <c r="C59" i="1032"/>
  <c r="E56" i="1032"/>
  <c r="D57" i="1032"/>
  <c r="D58" i="1032"/>
  <c r="G65" i="1032" s="1"/>
  <c r="B54" i="1032"/>
  <c r="C52" i="1032"/>
  <c r="N68" i="1032"/>
  <c r="N67" i="1032"/>
  <c r="E67" i="1032"/>
  <c r="N66" i="1032"/>
  <c r="E66" i="1032"/>
  <c r="N65" i="1032"/>
  <c r="E65" i="1032"/>
  <c r="B67" i="1032"/>
  <c r="B66" i="1032"/>
  <c r="B65" i="1032"/>
  <c r="B68" i="1032"/>
  <c r="E72" i="1032"/>
  <c r="E75" i="1032"/>
  <c r="E74" i="1032"/>
  <c r="E73" i="1032"/>
  <c r="F75" i="1032"/>
  <c r="F74" i="1032"/>
  <c r="F73" i="1032"/>
  <c r="F72" i="1032"/>
  <c r="D45" i="1032"/>
  <c r="C48" i="1032"/>
  <c r="C47" i="1032"/>
  <c r="C46" i="1032"/>
  <c r="O67" i="1032"/>
  <c r="O66" i="1032"/>
  <c r="O65" i="1032"/>
  <c r="O68" i="1032"/>
  <c r="C66" i="1032"/>
  <c r="C65" i="1032"/>
  <c r="C68" i="1032"/>
  <c r="C67" i="1032"/>
  <c r="D65" i="1032"/>
  <c r="D68" i="1032"/>
  <c r="E68" i="1032" s="1"/>
  <c r="D67" i="1032"/>
  <c r="D66" i="1032"/>
  <c r="H51" i="1032"/>
  <c r="I50" i="1032"/>
  <c r="I44" i="1032" s="1"/>
  <c r="I49" i="1032"/>
  <c r="I51" i="1032" s="1"/>
  <c r="B53" i="1032"/>
  <c r="L66" i="1032"/>
  <c r="N64" i="1032"/>
  <c r="L65" i="1032"/>
  <c r="L68" i="1032"/>
  <c r="L67" i="1032"/>
  <c r="I69" i="1032"/>
  <c r="I65" i="1032"/>
  <c r="I68" i="1032"/>
  <c r="I67" i="1032"/>
  <c r="I66" i="1032"/>
  <c r="J68" i="1032"/>
  <c r="J67" i="1032"/>
  <c r="J66" i="1032"/>
  <c r="J69" i="1032"/>
  <c r="J65" i="1032"/>
  <c r="K45" i="1032"/>
  <c r="J48" i="1032"/>
  <c r="J47" i="1032"/>
  <c r="J46" i="1032"/>
  <c r="H44" i="1032"/>
  <c r="B50" i="1032"/>
  <c r="B49" i="1032"/>
  <c r="C74" i="1032"/>
  <c r="C73" i="1032"/>
  <c r="C72" i="1032"/>
  <c r="C75" i="1032"/>
  <c r="K67" i="1032"/>
  <c r="K66" i="1032"/>
  <c r="K69" i="1032"/>
  <c r="K65" i="1032"/>
  <c r="K68" i="1032"/>
  <c r="D73" i="1032"/>
  <c r="D72" i="1032"/>
  <c r="D75" i="1032"/>
  <c r="D74" i="1032"/>
  <c r="M65" i="1032"/>
  <c r="M68" i="1032"/>
  <c r="M67" i="1032"/>
  <c r="M66" i="1032"/>
  <c r="O64" i="1032"/>
  <c r="B75" i="1032"/>
  <c r="B74" i="1032"/>
  <c r="B73" i="1032"/>
  <c r="B72" i="1032"/>
  <c r="C59" i="1031"/>
  <c r="C54" i="1031"/>
  <c r="D52" i="1031"/>
  <c r="C74" i="1031"/>
  <c r="C73" i="1031"/>
  <c r="C72" i="1031"/>
  <c r="C75" i="1031"/>
  <c r="L66" i="1031"/>
  <c r="N64" i="1031"/>
  <c r="L65" i="1031"/>
  <c r="L68" i="1031"/>
  <c r="L67" i="1031"/>
  <c r="I69" i="1031"/>
  <c r="I65" i="1031"/>
  <c r="I68" i="1031"/>
  <c r="I67" i="1031"/>
  <c r="I66" i="1031"/>
  <c r="J68" i="1031"/>
  <c r="J67" i="1031"/>
  <c r="J66" i="1031"/>
  <c r="J69" i="1031"/>
  <c r="J65" i="1031"/>
  <c r="C50" i="1031"/>
  <c r="C51" i="1031" s="1"/>
  <c r="C49" i="1031"/>
  <c r="E56" i="1031"/>
  <c r="D57" i="1031"/>
  <c r="D58" i="1031"/>
  <c r="G66" i="1031" s="1"/>
  <c r="F66" i="1031" s="1"/>
  <c r="K67" i="1031"/>
  <c r="K66" i="1031"/>
  <c r="K69" i="1031"/>
  <c r="K65" i="1031"/>
  <c r="K68" i="1031"/>
  <c r="D73" i="1031"/>
  <c r="D72" i="1031"/>
  <c r="D75" i="1031"/>
  <c r="D74" i="1031"/>
  <c r="M65" i="1031"/>
  <c r="M68" i="1031"/>
  <c r="M67" i="1031"/>
  <c r="M66" i="1031"/>
  <c r="O64" i="1031"/>
  <c r="B75" i="1031"/>
  <c r="B74" i="1031"/>
  <c r="B73" i="1031"/>
  <c r="B72" i="1031"/>
  <c r="B44" i="1031"/>
  <c r="H49" i="1031"/>
  <c r="H50" i="1031"/>
  <c r="E45" i="1031"/>
  <c r="D48" i="1031"/>
  <c r="D47" i="1031"/>
  <c r="D46" i="1031"/>
  <c r="B67" i="1031"/>
  <c r="B66" i="1031"/>
  <c r="B65" i="1031"/>
  <c r="B68" i="1031"/>
  <c r="E72" i="1031"/>
  <c r="E75" i="1031"/>
  <c r="E74" i="1031"/>
  <c r="E73" i="1031"/>
  <c r="F75" i="1031"/>
  <c r="F74" i="1031"/>
  <c r="F73" i="1031"/>
  <c r="F72" i="1031"/>
  <c r="H44" i="1031"/>
  <c r="C44" i="1031"/>
  <c r="N68" i="1031"/>
  <c r="N67" i="1031"/>
  <c r="E67" i="1031"/>
  <c r="N66" i="1031"/>
  <c r="E66" i="1031"/>
  <c r="N65" i="1031"/>
  <c r="E65" i="1031"/>
  <c r="G65" i="1031"/>
  <c r="O67" i="1031"/>
  <c r="O66" i="1031"/>
  <c r="O65" i="1031"/>
  <c r="O68" i="1031"/>
  <c r="C66" i="1031"/>
  <c r="C65" i="1031"/>
  <c r="C68" i="1031"/>
  <c r="C67" i="1031"/>
  <c r="D65" i="1031"/>
  <c r="D68" i="1031"/>
  <c r="D67" i="1031"/>
  <c r="D66" i="1031"/>
  <c r="J45" i="1031"/>
  <c r="I48" i="1031"/>
  <c r="I47" i="1031"/>
  <c r="I46" i="1031"/>
  <c r="L69" i="1030"/>
  <c r="E69" i="1030"/>
  <c r="M14" i="1030" s="1"/>
  <c r="B69" i="1030"/>
  <c r="B40" i="1030" s="1"/>
  <c r="D69" i="1030"/>
  <c r="E40" i="1030" s="1"/>
  <c r="F6" i="1030" s="1"/>
  <c r="E76" i="1030"/>
  <c r="D76" i="1030"/>
  <c r="C142" i="1030"/>
  <c r="E142" i="1030"/>
  <c r="D142" i="1030"/>
  <c r="E56" i="1030"/>
  <c r="D57" i="1030"/>
  <c r="D58" i="1030"/>
  <c r="B76" i="1030"/>
  <c r="B54" i="1030"/>
  <c r="C52" i="1030"/>
  <c r="C76" i="1030"/>
  <c r="J45" i="1030"/>
  <c r="I48" i="1030"/>
  <c r="I47" i="1030"/>
  <c r="I46" i="1030"/>
  <c r="D45" i="1030"/>
  <c r="C48" i="1030"/>
  <c r="C47" i="1030"/>
  <c r="C46" i="1030"/>
  <c r="B53" i="1030"/>
  <c r="H49" i="1030"/>
  <c r="H50" i="1030"/>
  <c r="B50" i="1030"/>
  <c r="B49" i="1030"/>
  <c r="D76" i="1029"/>
  <c r="C76" i="1029"/>
  <c r="E69" i="1029"/>
  <c r="D69" i="1029"/>
  <c r="L69" i="1029"/>
  <c r="E56" i="1029"/>
  <c r="D57" i="1029"/>
  <c r="D58" i="1029"/>
  <c r="B76" i="1029"/>
  <c r="B50" i="1029"/>
  <c r="B51" i="1029" s="1"/>
  <c r="B49" i="1029"/>
  <c r="B44" i="1029" s="1"/>
  <c r="E76" i="1029"/>
  <c r="J45" i="1029"/>
  <c r="I48" i="1029"/>
  <c r="I47" i="1029"/>
  <c r="I46" i="1029"/>
  <c r="B53" i="1029"/>
  <c r="C40" i="1029"/>
  <c r="M14" i="1029"/>
  <c r="B54" i="1029"/>
  <c r="C52" i="1029"/>
  <c r="D45" i="1029"/>
  <c r="C48" i="1029"/>
  <c r="C47" i="1029"/>
  <c r="C46" i="1029"/>
  <c r="H50" i="1029"/>
  <c r="H49" i="1029"/>
  <c r="E45" i="1028"/>
  <c r="D48" i="1028"/>
  <c r="D47" i="1028"/>
  <c r="D46" i="1028"/>
  <c r="O67" i="1028"/>
  <c r="O66" i="1028"/>
  <c r="O65" i="1028"/>
  <c r="O68" i="1028"/>
  <c r="I69" i="1028"/>
  <c r="I65" i="1028"/>
  <c r="I68" i="1028"/>
  <c r="I67" i="1028"/>
  <c r="I66" i="1028"/>
  <c r="J68" i="1028"/>
  <c r="J67" i="1028"/>
  <c r="J66" i="1028"/>
  <c r="J69" i="1028"/>
  <c r="J65" i="1028"/>
  <c r="H49" i="1028"/>
  <c r="H50" i="1028"/>
  <c r="C50" i="1028"/>
  <c r="C51" i="1028" s="1"/>
  <c r="C49" i="1028"/>
  <c r="C44" i="1028" s="1"/>
  <c r="C54" i="1028"/>
  <c r="D52" i="1028"/>
  <c r="N68" i="1028"/>
  <c r="N67" i="1028"/>
  <c r="E67" i="1028"/>
  <c r="N66" i="1028"/>
  <c r="E66" i="1028"/>
  <c r="N65" i="1028"/>
  <c r="E65" i="1028"/>
  <c r="B67" i="1028"/>
  <c r="B66" i="1028"/>
  <c r="B65" i="1028"/>
  <c r="B68" i="1028"/>
  <c r="C66" i="1028"/>
  <c r="C65" i="1028"/>
  <c r="C68" i="1028"/>
  <c r="C67" i="1028"/>
  <c r="D65" i="1028"/>
  <c r="D68" i="1028"/>
  <c r="E68" i="1028" s="1"/>
  <c r="D67" i="1028"/>
  <c r="D66" i="1028"/>
  <c r="E56" i="1028"/>
  <c r="D57" i="1028"/>
  <c r="D59" i="1028" s="1"/>
  <c r="D58" i="1028"/>
  <c r="C74" i="1028"/>
  <c r="C73" i="1028"/>
  <c r="C72" i="1028"/>
  <c r="C75" i="1028"/>
  <c r="L66" i="1028"/>
  <c r="N64" i="1028"/>
  <c r="L65" i="1028"/>
  <c r="L68" i="1028"/>
  <c r="L67" i="1028"/>
  <c r="M65" i="1028"/>
  <c r="M68" i="1028"/>
  <c r="M67" i="1028"/>
  <c r="M66" i="1028"/>
  <c r="O64" i="1028"/>
  <c r="B75" i="1028"/>
  <c r="B74" i="1028"/>
  <c r="B73" i="1028"/>
  <c r="B72" i="1028"/>
  <c r="H51" i="1028"/>
  <c r="K67" i="1028"/>
  <c r="K66" i="1028"/>
  <c r="K69" i="1028"/>
  <c r="K65" i="1028"/>
  <c r="K68" i="1028"/>
  <c r="D73" i="1028"/>
  <c r="D72" i="1028"/>
  <c r="D75" i="1028"/>
  <c r="D74" i="1028"/>
  <c r="E72" i="1028"/>
  <c r="E75" i="1028"/>
  <c r="E74" i="1028"/>
  <c r="E73" i="1028"/>
  <c r="F75" i="1028"/>
  <c r="F74" i="1028"/>
  <c r="F73" i="1028"/>
  <c r="F72" i="1028"/>
  <c r="J45" i="1028"/>
  <c r="I48" i="1028"/>
  <c r="I47" i="1028"/>
  <c r="I46" i="1028"/>
  <c r="B44" i="1028"/>
  <c r="D45" i="1027"/>
  <c r="C48" i="1027"/>
  <c r="C47" i="1027"/>
  <c r="C46" i="1027"/>
  <c r="C74" i="1027"/>
  <c r="C73" i="1027"/>
  <c r="C72" i="1027"/>
  <c r="C75" i="1027"/>
  <c r="K67" i="1027"/>
  <c r="K66" i="1027"/>
  <c r="K69" i="1027"/>
  <c r="K65" i="1027"/>
  <c r="K68" i="1027"/>
  <c r="D73" i="1027"/>
  <c r="D72" i="1027"/>
  <c r="D75" i="1027"/>
  <c r="D74" i="1027"/>
  <c r="E72" i="1027"/>
  <c r="E75" i="1027"/>
  <c r="E74" i="1027"/>
  <c r="E73" i="1027"/>
  <c r="F75" i="1027"/>
  <c r="F74" i="1027"/>
  <c r="F73" i="1027"/>
  <c r="F72" i="1027"/>
  <c r="B53" i="1027"/>
  <c r="E56" i="1027"/>
  <c r="D57" i="1027"/>
  <c r="G66" i="1027" s="1"/>
  <c r="D58" i="1027"/>
  <c r="G65" i="1027" s="1"/>
  <c r="B67" i="1027"/>
  <c r="B66" i="1027"/>
  <c r="B65" i="1027"/>
  <c r="B68" i="1027"/>
  <c r="C66" i="1027"/>
  <c r="C65" i="1027"/>
  <c r="C68" i="1027"/>
  <c r="C67" i="1027"/>
  <c r="D65" i="1027"/>
  <c r="D68" i="1027"/>
  <c r="D67" i="1027"/>
  <c r="D66" i="1027"/>
  <c r="I50" i="1027"/>
  <c r="I44" i="1027" s="1"/>
  <c r="I49" i="1027"/>
  <c r="I51" i="1027" s="1"/>
  <c r="B50" i="1027"/>
  <c r="B49" i="1027"/>
  <c r="N68" i="1027"/>
  <c r="E68" i="1027"/>
  <c r="N67" i="1027"/>
  <c r="E67" i="1027"/>
  <c r="N66" i="1027"/>
  <c r="E66" i="1027"/>
  <c r="N65" i="1027"/>
  <c r="E65" i="1027"/>
  <c r="G67" i="1027"/>
  <c r="F67" i="1027" s="1"/>
  <c r="O67" i="1027"/>
  <c r="O66" i="1027"/>
  <c r="F66" i="1027"/>
  <c r="O65" i="1027"/>
  <c r="O68" i="1027"/>
  <c r="I69" i="1027"/>
  <c r="I65" i="1027"/>
  <c r="I68" i="1027"/>
  <c r="I67" i="1027"/>
  <c r="I66" i="1027"/>
  <c r="J68" i="1027"/>
  <c r="J67" i="1027"/>
  <c r="J66" i="1027"/>
  <c r="J69" i="1027"/>
  <c r="J65" i="1027"/>
  <c r="H51" i="1027"/>
  <c r="K45" i="1027"/>
  <c r="J48" i="1027"/>
  <c r="J47" i="1027"/>
  <c r="J46" i="1027"/>
  <c r="B54" i="1027"/>
  <c r="C52" i="1027"/>
  <c r="L66" i="1027"/>
  <c r="N64" i="1027"/>
  <c r="L65" i="1027"/>
  <c r="L68" i="1027"/>
  <c r="L67" i="1027"/>
  <c r="M65" i="1027"/>
  <c r="M68" i="1027"/>
  <c r="M67" i="1027"/>
  <c r="M66" i="1027"/>
  <c r="O64" i="1027"/>
  <c r="B75" i="1027"/>
  <c r="B74" i="1027"/>
  <c r="B73" i="1027"/>
  <c r="B72" i="1027"/>
  <c r="E69" i="1026"/>
  <c r="F142" i="1026" s="1"/>
  <c r="J15" i="1026" s="1"/>
  <c r="I13" i="1026" s="1"/>
  <c r="D69" i="1026"/>
  <c r="E142" i="1026" s="1"/>
  <c r="B69" i="1026"/>
  <c r="B33" i="1026" s="1"/>
  <c r="E76" i="1026"/>
  <c r="C59" i="1026"/>
  <c r="D76" i="1026"/>
  <c r="B76" i="1026"/>
  <c r="B50" i="1026"/>
  <c r="B49" i="1026"/>
  <c r="B44" i="1026" s="1"/>
  <c r="E56" i="1026"/>
  <c r="D58" i="1026"/>
  <c r="D57" i="1026"/>
  <c r="G66" i="1026" s="1"/>
  <c r="F66" i="1026" s="1"/>
  <c r="C76" i="1026"/>
  <c r="C52" i="1026"/>
  <c r="B54" i="1026"/>
  <c r="M14" i="1026"/>
  <c r="D142" i="1026"/>
  <c r="B53" i="1026"/>
  <c r="C48" i="1026"/>
  <c r="C47" i="1026"/>
  <c r="C46" i="1026"/>
  <c r="D45" i="1026"/>
  <c r="B40" i="1026"/>
  <c r="C40" i="1026"/>
  <c r="H50" i="1026"/>
  <c r="H49" i="1026"/>
  <c r="I48" i="1026"/>
  <c r="I47" i="1026"/>
  <c r="I46" i="1026"/>
  <c r="J45" i="1026"/>
  <c r="D24" i="1025"/>
  <c r="D25" i="1025"/>
  <c r="F25" i="1025"/>
  <c r="B3" i="1025" s="1"/>
  <c r="J19" i="1025"/>
  <c r="C45" i="1025"/>
  <c r="B52" i="1025"/>
  <c r="B48" i="1025"/>
  <c r="B46" i="1025"/>
  <c r="B47" i="1025"/>
  <c r="B59" i="1025"/>
  <c r="H49" i="1025"/>
  <c r="H50" i="1025"/>
  <c r="H44" i="1025"/>
  <c r="F71" i="1025"/>
  <c r="B71" i="1025"/>
  <c r="J64" i="1025"/>
  <c r="D64" i="1025"/>
  <c r="E71" i="1025"/>
  <c r="M64" i="1025"/>
  <c r="I64" i="1025"/>
  <c r="C64" i="1025"/>
  <c r="D71" i="1025"/>
  <c r="L64" i="1025"/>
  <c r="F64" i="1025"/>
  <c r="B64" i="1025"/>
  <c r="K64" i="1025"/>
  <c r="D3" i="1025"/>
  <c r="E64" i="1025"/>
  <c r="A16" i="1025"/>
  <c r="C71" i="1025"/>
  <c r="F3" i="1025"/>
  <c r="C58" i="1025"/>
  <c r="C57" i="1025"/>
  <c r="D56" i="1025"/>
  <c r="J45" i="1025"/>
  <c r="I48" i="1025"/>
  <c r="I47" i="1025"/>
  <c r="I46" i="1025"/>
  <c r="D24" i="1024"/>
  <c r="F25" i="1024"/>
  <c r="B3" i="1024" s="1"/>
  <c r="D25" i="1024"/>
  <c r="I45" i="1024"/>
  <c r="H46" i="1024"/>
  <c r="H47" i="1024"/>
  <c r="H48" i="1024"/>
  <c r="B53" i="1024"/>
  <c r="B59" i="1024"/>
  <c r="B50" i="1024"/>
  <c r="B49" i="1024"/>
  <c r="F71" i="1024"/>
  <c r="B71" i="1024"/>
  <c r="J64" i="1024"/>
  <c r="D64" i="1024"/>
  <c r="E71" i="1024"/>
  <c r="M64" i="1024"/>
  <c r="I64" i="1024"/>
  <c r="C64" i="1024"/>
  <c r="D71" i="1024"/>
  <c r="L64" i="1024"/>
  <c r="F64" i="1024"/>
  <c r="B64" i="1024"/>
  <c r="K64" i="1024"/>
  <c r="F3" i="1024"/>
  <c r="C71" i="1024"/>
  <c r="E64" i="1024"/>
  <c r="D3" i="1024"/>
  <c r="A16" i="1024"/>
  <c r="B54" i="1024"/>
  <c r="C52" i="1024"/>
  <c r="C58" i="1024"/>
  <c r="C57" i="1024"/>
  <c r="C59" i="1024" s="1"/>
  <c r="D56" i="1024"/>
  <c r="D45" i="1024"/>
  <c r="C48" i="1024"/>
  <c r="C47" i="1024"/>
  <c r="C46" i="1024"/>
  <c r="B3" i="1023"/>
  <c r="J19" i="1023"/>
  <c r="L14" i="1023"/>
  <c r="F71" i="1023"/>
  <c r="B71" i="1023"/>
  <c r="J64" i="1023"/>
  <c r="D64" i="1023"/>
  <c r="E71" i="1023"/>
  <c r="M64" i="1023"/>
  <c r="I64" i="1023"/>
  <c r="C64" i="1023"/>
  <c r="D71" i="1023"/>
  <c r="L64" i="1023"/>
  <c r="F64" i="1023"/>
  <c r="B64" i="1023"/>
  <c r="K64" i="1023"/>
  <c r="A16" i="1023"/>
  <c r="E64" i="1023"/>
  <c r="F3" i="1023"/>
  <c r="C71" i="1023"/>
  <c r="D3" i="1023"/>
  <c r="B59" i="1023"/>
  <c r="C45" i="1023"/>
  <c r="B52" i="1023"/>
  <c r="B48" i="1023"/>
  <c r="B46" i="1023"/>
  <c r="B47" i="1023"/>
  <c r="I45" i="1023"/>
  <c r="H47" i="1023"/>
  <c r="H48" i="1023"/>
  <c r="H46" i="1023"/>
  <c r="C58" i="1023"/>
  <c r="C57" i="1023"/>
  <c r="C59" i="1023" s="1"/>
  <c r="D56" i="1023"/>
  <c r="D24" i="1022"/>
  <c r="F25" i="1022"/>
  <c r="B3" i="1022" s="1"/>
  <c r="D25" i="1022"/>
  <c r="J19" i="1022"/>
  <c r="C58" i="1022"/>
  <c r="C57" i="1022"/>
  <c r="D56" i="1022"/>
  <c r="H49" i="1022"/>
  <c r="H50" i="1022"/>
  <c r="F71" i="1022"/>
  <c r="B71" i="1022"/>
  <c r="J64" i="1022"/>
  <c r="D64" i="1022"/>
  <c r="E71" i="1022"/>
  <c r="M64" i="1022"/>
  <c r="I64" i="1022"/>
  <c r="C64" i="1022"/>
  <c r="A16" i="1022"/>
  <c r="D71" i="1022"/>
  <c r="L64" i="1022"/>
  <c r="F64" i="1022"/>
  <c r="B64" i="1022"/>
  <c r="K64" i="1022"/>
  <c r="D3" i="1022"/>
  <c r="E64" i="1022"/>
  <c r="C71" i="1022"/>
  <c r="F3" i="1022"/>
  <c r="B59" i="1022"/>
  <c r="C45" i="1022"/>
  <c r="B52" i="1022"/>
  <c r="B48" i="1022"/>
  <c r="B46" i="1022"/>
  <c r="B47" i="1022"/>
  <c r="J45" i="1022"/>
  <c r="I48" i="1022"/>
  <c r="I47" i="1022"/>
  <c r="I46" i="1022"/>
  <c r="J19" i="1021"/>
  <c r="B3" i="1021" s="1"/>
  <c r="C58" i="1021"/>
  <c r="C57" i="1021"/>
  <c r="D56" i="1021"/>
  <c r="C45" i="1021"/>
  <c r="B52" i="1021"/>
  <c r="B48" i="1021"/>
  <c r="B46" i="1021"/>
  <c r="B47" i="1021"/>
  <c r="H49" i="1021"/>
  <c r="H50" i="1021"/>
  <c r="F71" i="1021"/>
  <c r="B71" i="1021"/>
  <c r="J64" i="1021"/>
  <c r="D64" i="1021"/>
  <c r="E71" i="1021"/>
  <c r="M64" i="1021"/>
  <c r="I64" i="1021"/>
  <c r="C64" i="1021"/>
  <c r="D71" i="1021"/>
  <c r="L64" i="1021"/>
  <c r="F64" i="1021"/>
  <c r="B64" i="1021"/>
  <c r="K64" i="1021"/>
  <c r="D3" i="1021"/>
  <c r="E64" i="1021"/>
  <c r="A16" i="1021"/>
  <c r="C71" i="1021"/>
  <c r="F3" i="1021"/>
  <c r="B59" i="1021"/>
  <c r="J45" i="1021"/>
  <c r="I48" i="1021"/>
  <c r="I47" i="1021"/>
  <c r="I46" i="1021"/>
  <c r="F21" i="1020"/>
  <c r="G37" i="1020"/>
  <c r="D24" i="1020"/>
  <c r="C25" i="1020"/>
  <c r="F71" i="1020"/>
  <c r="B71" i="1020"/>
  <c r="J64" i="1020"/>
  <c r="D64" i="1020"/>
  <c r="E71" i="1020"/>
  <c r="M64" i="1020"/>
  <c r="I64" i="1020"/>
  <c r="C64" i="1020"/>
  <c r="D71" i="1020"/>
  <c r="L64" i="1020"/>
  <c r="F64" i="1020"/>
  <c r="B64" i="1020"/>
  <c r="C71" i="1020"/>
  <c r="I25" i="1020"/>
  <c r="F27" i="1020" s="1"/>
  <c r="N23" i="1020"/>
  <c r="L22" i="1020"/>
  <c r="N21" i="1020"/>
  <c r="N24" i="1020"/>
  <c r="M1" i="1020"/>
  <c r="D3" i="1020"/>
  <c r="L23" i="1020"/>
  <c r="I24" i="1020"/>
  <c r="F26" i="1020" s="1"/>
  <c r="B45" i="1020"/>
  <c r="C56" i="1020"/>
  <c r="B58" i="1020"/>
  <c r="B57" i="1020"/>
  <c r="F3" i="1020"/>
  <c r="I17" i="1020"/>
  <c r="J17" i="1020" s="1"/>
  <c r="J20" i="1020"/>
  <c r="I21" i="1020"/>
  <c r="I22" i="1020"/>
  <c r="L24" i="1020"/>
  <c r="D13" i="1020"/>
  <c r="H45" i="1020"/>
  <c r="E64" i="1020"/>
  <c r="A16" i="1020"/>
  <c r="K11" i="1020"/>
  <c r="F20" i="1020"/>
  <c r="L21" i="1020"/>
  <c r="N22" i="1020"/>
  <c r="I20" i="1020" s="1"/>
  <c r="K64" i="1020"/>
  <c r="D37" i="1019"/>
  <c r="G37" i="1019" s="1"/>
  <c r="E13" i="1019"/>
  <c r="C13" i="1019"/>
  <c r="F13" i="1019"/>
  <c r="B13" i="1019"/>
  <c r="B24" i="1019"/>
  <c r="F24" i="1019" s="1"/>
  <c r="G36" i="1019"/>
  <c r="L21" i="1019"/>
  <c r="N24" i="1019"/>
  <c r="L23" i="1019"/>
  <c r="I45" i="1019"/>
  <c r="H47" i="1019"/>
  <c r="H46" i="1019"/>
  <c r="H48" i="1019"/>
  <c r="C56" i="1019"/>
  <c r="B58" i="1019"/>
  <c r="B57" i="1019"/>
  <c r="I17" i="1019"/>
  <c r="J17" i="1019" s="1"/>
  <c r="C25" i="1019"/>
  <c r="D13" i="1019"/>
  <c r="B45" i="1019"/>
  <c r="L17" i="1019"/>
  <c r="F20" i="1019"/>
  <c r="I22" i="1019"/>
  <c r="I25" i="1019"/>
  <c r="F27" i="1019" s="1"/>
  <c r="N23" i="1019"/>
  <c r="L22" i="1019"/>
  <c r="N21" i="1019"/>
  <c r="K11" i="1019"/>
  <c r="L14" i="1019" s="1"/>
  <c r="L24" i="1019"/>
  <c r="I23" i="1019"/>
  <c r="I21" i="1019"/>
  <c r="J20" i="1019"/>
  <c r="F19" i="1019"/>
  <c r="N22" i="1019"/>
  <c r="I20" i="1019" s="1"/>
  <c r="I24" i="1019"/>
  <c r="F26" i="1019" s="1"/>
  <c r="D37" i="1018"/>
  <c r="G37" i="1018" s="1"/>
  <c r="B13" i="1018"/>
  <c r="F13" i="1018"/>
  <c r="G36" i="1018"/>
  <c r="C25" i="1018"/>
  <c r="D25" i="1018" s="1"/>
  <c r="N22" i="1018"/>
  <c r="I20" i="1018" s="1"/>
  <c r="K11" i="1018"/>
  <c r="L14" i="1018" s="1"/>
  <c r="C45" i="1018"/>
  <c r="B52" i="1018"/>
  <c r="B48" i="1018"/>
  <c r="B46" i="1018"/>
  <c r="B47" i="1018"/>
  <c r="F25" i="1018"/>
  <c r="J20" i="1018"/>
  <c r="I21" i="1018"/>
  <c r="I23" i="1018"/>
  <c r="G13" i="1018"/>
  <c r="C13" i="1018"/>
  <c r="I25" i="1018"/>
  <c r="F27" i="1018" s="1"/>
  <c r="N23" i="1018"/>
  <c r="L22" i="1018"/>
  <c r="N21" i="1018"/>
  <c r="N24" i="1018"/>
  <c r="L23" i="1018"/>
  <c r="I22" i="1018"/>
  <c r="L21" i="1018"/>
  <c r="L24" i="1018"/>
  <c r="M1" i="1018"/>
  <c r="H45" i="1018"/>
  <c r="C56" i="1018"/>
  <c r="B58" i="1018"/>
  <c r="B57" i="1018"/>
  <c r="L17" i="1018"/>
  <c r="F20" i="1018"/>
  <c r="I24" i="1018"/>
  <c r="F26" i="1018" s="1"/>
  <c r="D24" i="1018"/>
  <c r="G37" i="1017"/>
  <c r="F20" i="1017"/>
  <c r="B24" i="1017"/>
  <c r="F24" i="1017" s="1"/>
  <c r="C25" i="1017"/>
  <c r="K11" i="1017"/>
  <c r="L17" i="1017"/>
  <c r="C45" i="1017"/>
  <c r="B52" i="1017"/>
  <c r="B48" i="1017"/>
  <c r="B46" i="1017"/>
  <c r="B47" i="1017"/>
  <c r="F19" i="1017"/>
  <c r="N22" i="1017"/>
  <c r="I20" i="1017" s="1"/>
  <c r="I24" i="1017"/>
  <c r="F26" i="1017" s="1"/>
  <c r="I25" i="1017"/>
  <c r="F27" i="1017" s="1"/>
  <c r="N23" i="1017"/>
  <c r="L22" i="1017"/>
  <c r="N21" i="1017"/>
  <c r="L14" i="1017"/>
  <c r="N24" i="1017"/>
  <c r="L23" i="1017"/>
  <c r="I22" i="1017"/>
  <c r="L21" i="1017"/>
  <c r="M1" i="1017"/>
  <c r="J20" i="1017"/>
  <c r="I21" i="1017"/>
  <c r="I23" i="1017"/>
  <c r="L24" i="1017"/>
  <c r="D13" i="1017"/>
  <c r="H45" i="1017"/>
  <c r="C56" i="1017"/>
  <c r="B58" i="1017"/>
  <c r="B57" i="1017"/>
  <c r="D38" i="1016"/>
  <c r="G38" i="1016" s="1"/>
  <c r="G13" i="1016"/>
  <c r="B13" i="1016"/>
  <c r="F19" i="1016"/>
  <c r="C24" i="1016"/>
  <c r="D36" i="1016"/>
  <c r="G36" i="1016" s="1"/>
  <c r="L17" i="1016"/>
  <c r="M1" i="1016"/>
  <c r="I17" i="1016"/>
  <c r="J17" i="1016" s="1"/>
  <c r="F71" i="1016"/>
  <c r="B71" i="1016"/>
  <c r="J64" i="1016"/>
  <c r="D64" i="1016"/>
  <c r="D71" i="1016"/>
  <c r="L64" i="1016"/>
  <c r="F64" i="1016"/>
  <c r="B64" i="1016"/>
  <c r="M64" i="1016"/>
  <c r="C64" i="1016"/>
  <c r="D3" i="1016"/>
  <c r="K64" i="1016"/>
  <c r="F3" i="1016"/>
  <c r="E71" i="1016"/>
  <c r="I64" i="1016"/>
  <c r="D25" i="1016"/>
  <c r="F25" i="1016"/>
  <c r="I48" i="1016"/>
  <c r="I47" i="1016"/>
  <c r="I46" i="1016"/>
  <c r="J45" i="1016"/>
  <c r="A16" i="1016"/>
  <c r="H46" i="1016"/>
  <c r="E64" i="1016"/>
  <c r="H47" i="1016"/>
  <c r="C71" i="1016"/>
  <c r="D24" i="1016"/>
  <c r="H48" i="1016"/>
  <c r="I25" i="1016"/>
  <c r="F27" i="1016" s="1"/>
  <c r="N23" i="1016"/>
  <c r="L22" i="1016"/>
  <c r="N21" i="1016"/>
  <c r="L24" i="1016"/>
  <c r="I23" i="1016"/>
  <c r="I21" i="1016"/>
  <c r="J20" i="1016"/>
  <c r="F20" i="1016"/>
  <c r="C58" i="1016"/>
  <c r="C57" i="1016"/>
  <c r="B58" i="1016"/>
  <c r="C13" i="1016"/>
  <c r="N22" i="1016"/>
  <c r="I24" i="1016"/>
  <c r="F26" i="1016" s="1"/>
  <c r="B45" i="1016"/>
  <c r="D56" i="1016"/>
  <c r="B25" i="1016"/>
  <c r="I22" i="1016"/>
  <c r="K11" i="1016"/>
  <c r="E13" i="1016"/>
  <c r="I20" i="1016"/>
  <c r="L21" i="1016"/>
  <c r="L23" i="1016"/>
  <c r="N24" i="1016"/>
  <c r="B57" i="1016"/>
  <c r="D37" i="1015"/>
  <c r="G37" i="1015" s="1"/>
  <c r="F20" i="1015"/>
  <c r="B24" i="1015"/>
  <c r="F24" i="1015" s="1"/>
  <c r="L17" i="1015"/>
  <c r="M1" i="1015"/>
  <c r="I45" i="1015"/>
  <c r="H47" i="1015"/>
  <c r="H48" i="1015"/>
  <c r="H46" i="1015"/>
  <c r="I24" i="1015"/>
  <c r="F26" i="1015" s="1"/>
  <c r="K11" i="1015"/>
  <c r="L14" i="1015" s="1"/>
  <c r="N22" i="1015"/>
  <c r="I20" i="1015" s="1"/>
  <c r="F25" i="1015"/>
  <c r="D25" i="1015"/>
  <c r="B45" i="1015"/>
  <c r="C56" i="1015"/>
  <c r="B58" i="1015"/>
  <c r="B57" i="1015"/>
  <c r="J20" i="1015"/>
  <c r="I21" i="1015"/>
  <c r="I23" i="1015"/>
  <c r="G13" i="1015"/>
  <c r="C13" i="1015"/>
  <c r="I25" i="1015"/>
  <c r="F27" i="1015" s="1"/>
  <c r="N23" i="1015"/>
  <c r="L22" i="1015"/>
  <c r="N21" i="1015"/>
  <c r="N24" i="1015"/>
  <c r="L23" i="1015"/>
  <c r="I22" i="1015"/>
  <c r="L21" i="1015"/>
  <c r="L24" i="1015"/>
  <c r="D24" i="1015"/>
  <c r="F21" i="1014"/>
  <c r="F26" i="1014"/>
  <c r="G37" i="1014"/>
  <c r="B13" i="1014"/>
  <c r="F19" i="1014"/>
  <c r="C25" i="1014"/>
  <c r="E64" i="1014"/>
  <c r="N66" i="1014" s="1"/>
  <c r="N68" i="1014"/>
  <c r="N67" i="1014"/>
  <c r="E67" i="1014"/>
  <c r="E66" i="1014"/>
  <c r="N65" i="1014"/>
  <c r="E65" i="1014"/>
  <c r="I25" i="1014"/>
  <c r="F27" i="1014" s="1"/>
  <c r="N23" i="1014"/>
  <c r="L22" i="1014"/>
  <c r="N21" i="1014"/>
  <c r="L14" i="1014"/>
  <c r="L24" i="1014"/>
  <c r="M1" i="1014"/>
  <c r="L23" i="1014"/>
  <c r="N24" i="1014"/>
  <c r="B45" i="1014"/>
  <c r="C56" i="1014"/>
  <c r="B58" i="1014"/>
  <c r="B57" i="1014"/>
  <c r="I17" i="1014"/>
  <c r="J17" i="1014" s="1"/>
  <c r="J20" i="1014"/>
  <c r="I21" i="1014"/>
  <c r="I22" i="1014"/>
  <c r="D13" i="1014"/>
  <c r="H45" i="1014"/>
  <c r="F71" i="1014"/>
  <c r="B71" i="1014"/>
  <c r="J64" i="1014"/>
  <c r="E71" i="1014"/>
  <c r="M64" i="1014"/>
  <c r="I64" i="1014"/>
  <c r="D71" i="1014"/>
  <c r="L64" i="1014"/>
  <c r="F64" i="1014"/>
  <c r="A16" i="1014"/>
  <c r="F20" i="1014"/>
  <c r="L21" i="1014"/>
  <c r="N22" i="1014"/>
  <c r="I20" i="1014" s="1"/>
  <c r="K64" i="1014"/>
  <c r="G37" i="1013"/>
  <c r="F19" i="1013"/>
  <c r="B24" i="1013"/>
  <c r="F24" i="1013" s="1"/>
  <c r="F25" i="1013"/>
  <c r="D25" i="1013"/>
  <c r="B25" i="1013"/>
  <c r="M1" i="1013"/>
  <c r="F71" i="1013"/>
  <c r="B71" i="1013"/>
  <c r="J64" i="1013"/>
  <c r="D64" i="1013"/>
  <c r="E71" i="1013"/>
  <c r="M64" i="1013"/>
  <c r="I64" i="1013"/>
  <c r="C64" i="1013"/>
  <c r="D71" i="1013"/>
  <c r="L64" i="1013"/>
  <c r="F64" i="1013"/>
  <c r="B64" i="1013"/>
  <c r="A16" i="1013"/>
  <c r="I25" i="1013"/>
  <c r="F27" i="1013" s="1"/>
  <c r="N23" i="1013"/>
  <c r="L22" i="1013"/>
  <c r="N21" i="1013"/>
  <c r="N24" i="1013"/>
  <c r="L23" i="1013"/>
  <c r="I22" i="1013"/>
  <c r="L21" i="1013"/>
  <c r="C56" i="1013"/>
  <c r="B58" i="1013"/>
  <c r="B57" i="1013"/>
  <c r="F3" i="1013"/>
  <c r="I17" i="1013"/>
  <c r="J17" i="1013" s="1"/>
  <c r="J20" i="1013"/>
  <c r="I21" i="1013"/>
  <c r="I23" i="1013"/>
  <c r="L24" i="1013"/>
  <c r="D13" i="1013"/>
  <c r="H45" i="1013"/>
  <c r="E64" i="1013"/>
  <c r="C71" i="1013"/>
  <c r="D3" i="1013"/>
  <c r="N22" i="1013"/>
  <c r="I20" i="1013" s="1"/>
  <c r="J19" i="1013" s="1"/>
  <c r="I24" i="1013"/>
  <c r="F26" i="1013" s="1"/>
  <c r="B45" i="1013"/>
  <c r="K11" i="1013"/>
  <c r="F20" i="1013"/>
  <c r="K64" i="1013"/>
  <c r="G37" i="1012"/>
  <c r="F20" i="1012"/>
  <c r="B24" i="1012"/>
  <c r="F24" i="1012" s="1"/>
  <c r="K11" i="1012"/>
  <c r="L14" i="1012" s="1"/>
  <c r="I24" i="1012"/>
  <c r="F26" i="1012" s="1"/>
  <c r="L17" i="1012"/>
  <c r="C45" i="1012"/>
  <c r="B52" i="1012"/>
  <c r="B48" i="1012"/>
  <c r="B46" i="1012"/>
  <c r="B47" i="1012"/>
  <c r="N22" i="1012"/>
  <c r="I20" i="1012" s="1"/>
  <c r="F25" i="1012"/>
  <c r="D25" i="1012"/>
  <c r="I25" i="1012"/>
  <c r="F27" i="1012" s="1"/>
  <c r="N23" i="1012"/>
  <c r="L22" i="1012"/>
  <c r="N21" i="1012"/>
  <c r="N24" i="1012"/>
  <c r="L23" i="1012"/>
  <c r="I22" i="1012"/>
  <c r="L21" i="1012"/>
  <c r="L24" i="1012"/>
  <c r="M1" i="1012"/>
  <c r="J20" i="1012"/>
  <c r="I21" i="1012"/>
  <c r="I23" i="1012"/>
  <c r="D13" i="1012"/>
  <c r="H45" i="1012"/>
  <c r="C56" i="1012"/>
  <c r="B58" i="1012"/>
  <c r="B57" i="1012"/>
  <c r="D24" i="1012"/>
  <c r="F21" i="1011"/>
  <c r="F26" i="1011"/>
  <c r="B13" i="1011"/>
  <c r="F19" i="1011"/>
  <c r="F25" i="1011"/>
  <c r="I23" i="1011"/>
  <c r="K11" i="1011"/>
  <c r="F71" i="1011"/>
  <c r="B71" i="1011"/>
  <c r="J64" i="1011"/>
  <c r="D64" i="1011"/>
  <c r="E71" i="1011"/>
  <c r="M64" i="1011"/>
  <c r="I64" i="1011"/>
  <c r="C64" i="1011"/>
  <c r="D71" i="1011"/>
  <c r="L64" i="1011"/>
  <c r="F64" i="1011"/>
  <c r="B64" i="1011"/>
  <c r="A16" i="1011"/>
  <c r="C71" i="1011"/>
  <c r="I25" i="1011"/>
  <c r="F27" i="1011" s="1"/>
  <c r="N23" i="1011"/>
  <c r="L22" i="1011"/>
  <c r="N21" i="1011"/>
  <c r="L14" i="1011"/>
  <c r="L24" i="1011"/>
  <c r="M1" i="1011"/>
  <c r="D3" i="1011"/>
  <c r="L23" i="1011"/>
  <c r="N24" i="1011"/>
  <c r="B45" i="1011"/>
  <c r="C56" i="1011"/>
  <c r="B58" i="1011"/>
  <c r="B57" i="1011"/>
  <c r="F3" i="1011"/>
  <c r="I17" i="1011"/>
  <c r="J17" i="1011" s="1"/>
  <c r="J20" i="1011"/>
  <c r="I21" i="1011"/>
  <c r="I22" i="1011"/>
  <c r="D13" i="1011"/>
  <c r="H45" i="1011"/>
  <c r="E64" i="1011"/>
  <c r="F20" i="1011"/>
  <c r="L21" i="1011"/>
  <c r="N22" i="1011"/>
  <c r="I20" i="1011" s="1"/>
  <c r="J19" i="1011" s="1"/>
  <c r="K64" i="1011"/>
  <c r="D37" i="1010"/>
  <c r="G37" i="1010" s="1"/>
  <c r="B24" i="1010"/>
  <c r="F24" i="1010" s="1"/>
  <c r="C25" i="1010"/>
  <c r="F25" i="1010" s="1"/>
  <c r="J20" i="1010"/>
  <c r="I21" i="1010"/>
  <c r="I23" i="1010"/>
  <c r="M1" i="1010"/>
  <c r="I45" i="1010"/>
  <c r="H47" i="1010"/>
  <c r="H48" i="1010"/>
  <c r="H46" i="1010"/>
  <c r="C71" i="1010"/>
  <c r="G13" i="1010"/>
  <c r="C13" i="1010"/>
  <c r="F3" i="1010"/>
  <c r="K11" i="1010"/>
  <c r="E13" i="1010"/>
  <c r="L17" i="1010"/>
  <c r="F20" i="1010"/>
  <c r="D24" i="1010"/>
  <c r="F71" i="1010"/>
  <c r="B71" i="1010"/>
  <c r="J64" i="1010"/>
  <c r="D64" i="1010"/>
  <c r="E71" i="1010"/>
  <c r="M64" i="1010"/>
  <c r="I64" i="1010"/>
  <c r="C64" i="1010"/>
  <c r="A16" i="1010"/>
  <c r="D71" i="1010"/>
  <c r="L64" i="1010"/>
  <c r="F64" i="1010"/>
  <c r="B64" i="1010"/>
  <c r="I25" i="1010"/>
  <c r="F27" i="1010" s="1"/>
  <c r="N23" i="1010"/>
  <c r="L22" i="1010"/>
  <c r="N21" i="1010"/>
  <c r="L14" i="1010"/>
  <c r="N24" i="1010"/>
  <c r="L23" i="1010"/>
  <c r="I22" i="1010"/>
  <c r="L21" i="1010"/>
  <c r="L24" i="1010"/>
  <c r="D3" i="1010"/>
  <c r="B45" i="1010"/>
  <c r="C56" i="1010"/>
  <c r="B58" i="1010"/>
  <c r="B57" i="1010"/>
  <c r="F13" i="1010"/>
  <c r="N22" i="1010"/>
  <c r="I20" i="1010" s="1"/>
  <c r="J19" i="1010" s="1"/>
  <c r="I24" i="1010"/>
  <c r="F26" i="1010" s="1"/>
  <c r="K64" i="1010"/>
  <c r="G37" i="1009"/>
  <c r="F19" i="1009"/>
  <c r="I24" i="1009"/>
  <c r="F26" i="1009" s="1"/>
  <c r="C45" i="1009"/>
  <c r="B52" i="1009"/>
  <c r="B48" i="1009"/>
  <c r="B46" i="1009"/>
  <c r="B47" i="1009"/>
  <c r="F25" i="1009"/>
  <c r="D25" i="1009"/>
  <c r="I25" i="1009"/>
  <c r="F27" i="1009" s="1"/>
  <c r="N23" i="1009"/>
  <c r="L22" i="1009"/>
  <c r="N21" i="1009"/>
  <c r="N24" i="1009"/>
  <c r="L23" i="1009"/>
  <c r="I22" i="1009"/>
  <c r="L21" i="1009"/>
  <c r="L24" i="1009"/>
  <c r="I23" i="1009"/>
  <c r="M1" i="1009"/>
  <c r="L17" i="1009"/>
  <c r="F20" i="1009"/>
  <c r="N22" i="1009"/>
  <c r="I20" i="1009" s="1"/>
  <c r="J19" i="1009" s="1"/>
  <c r="D13" i="1009"/>
  <c r="G13" i="1009"/>
  <c r="C13" i="1009"/>
  <c r="H45" i="1009"/>
  <c r="C56" i="1009"/>
  <c r="B58" i="1009"/>
  <c r="B57" i="1009"/>
  <c r="K11" i="1009"/>
  <c r="L14" i="1009" s="1"/>
  <c r="D24" i="1009"/>
  <c r="D37" i="1008"/>
  <c r="G37" i="1008" s="1"/>
  <c r="G38" i="1008"/>
  <c r="F13" i="1008"/>
  <c r="B13" i="1008"/>
  <c r="D36" i="1008"/>
  <c r="G36" i="1008" s="1"/>
  <c r="C24" i="1008"/>
  <c r="C25" i="1008"/>
  <c r="D25" i="1008" s="1"/>
  <c r="M1" i="1008"/>
  <c r="C45" i="1008"/>
  <c r="B52" i="1008"/>
  <c r="B48" i="1008"/>
  <c r="B46" i="1008"/>
  <c r="B47" i="1008"/>
  <c r="F3" i="1008"/>
  <c r="I17" i="1008"/>
  <c r="J17" i="1008" s="1"/>
  <c r="J20" i="1008"/>
  <c r="I21" i="1008"/>
  <c r="I22" i="1008"/>
  <c r="I25" i="1008"/>
  <c r="F27" i="1008" s="1"/>
  <c r="N23" i="1008"/>
  <c r="L22" i="1008"/>
  <c r="N21" i="1008"/>
  <c r="L24" i="1008"/>
  <c r="L23" i="1008"/>
  <c r="N24" i="1008"/>
  <c r="C71" i="1008"/>
  <c r="C56" i="1008"/>
  <c r="B58" i="1008"/>
  <c r="B57" i="1008"/>
  <c r="K11" i="1008"/>
  <c r="L14" i="1008" s="1"/>
  <c r="L17" i="1008"/>
  <c r="F20" i="1008"/>
  <c r="L21" i="1008"/>
  <c r="N22" i="1008"/>
  <c r="I20" i="1008" s="1"/>
  <c r="D24" i="1008"/>
  <c r="F25" i="1008"/>
  <c r="D13" i="1008"/>
  <c r="H45" i="1008"/>
  <c r="F71" i="1008"/>
  <c r="B71" i="1008"/>
  <c r="J64" i="1008"/>
  <c r="D64" i="1008"/>
  <c r="E71" i="1008"/>
  <c r="M64" i="1008"/>
  <c r="I64" i="1008"/>
  <c r="C64" i="1008"/>
  <c r="D71" i="1008"/>
  <c r="L64" i="1008"/>
  <c r="F64" i="1008"/>
  <c r="B64" i="1008"/>
  <c r="A16" i="1008"/>
  <c r="F19" i="1008"/>
  <c r="I23" i="1008"/>
  <c r="I24" i="1008"/>
  <c r="F26" i="1008" s="1"/>
  <c r="K64" i="1008"/>
  <c r="F20" i="1007"/>
  <c r="D36" i="1007"/>
  <c r="G36" i="1007" s="1"/>
  <c r="D24" i="1007"/>
  <c r="F25" i="1007"/>
  <c r="D25" i="1007"/>
  <c r="B25" i="1007"/>
  <c r="I23" i="1007"/>
  <c r="C56" i="1007"/>
  <c r="B58" i="1007"/>
  <c r="B57" i="1007"/>
  <c r="J20" i="1007"/>
  <c r="I25" i="1007"/>
  <c r="F27" i="1007" s="1"/>
  <c r="N23" i="1007"/>
  <c r="L22" i="1007"/>
  <c r="N21" i="1007"/>
  <c r="K11" i="1007"/>
  <c r="L14" i="1007" s="1"/>
  <c r="N24" i="1007"/>
  <c r="L23" i="1007"/>
  <c r="I22" i="1007"/>
  <c r="L21" i="1007"/>
  <c r="H45" i="1007"/>
  <c r="B45" i="1007"/>
  <c r="I24" i="1007"/>
  <c r="F26" i="1007" s="1"/>
  <c r="N22" i="1007"/>
  <c r="I20" i="1007" s="1"/>
  <c r="I17" i="1007"/>
  <c r="J17" i="1007" s="1"/>
  <c r="L17" i="1007"/>
  <c r="L24" i="1007"/>
  <c r="F143" i="1006"/>
  <c r="E143" i="1006"/>
  <c r="D143" i="1006"/>
  <c r="C143" i="1006"/>
  <c r="B143" i="1006"/>
  <c r="B142" i="1006"/>
  <c r="F137" i="1006"/>
  <c r="E137" i="1006"/>
  <c r="D137" i="1006"/>
  <c r="C137" i="1006"/>
  <c r="B137" i="1006"/>
  <c r="F103" i="1006"/>
  <c r="E103" i="1006"/>
  <c r="D103" i="1006"/>
  <c r="C103" i="1006"/>
  <c r="B103" i="1006"/>
  <c r="Y94" i="1006"/>
  <c r="X94" i="1006"/>
  <c r="W94" i="1006"/>
  <c r="V94" i="1006"/>
  <c r="U94" i="1006"/>
  <c r="T94" i="1006"/>
  <c r="S94" i="1006"/>
  <c r="R94" i="1006"/>
  <c r="Q94" i="1006"/>
  <c r="P94" i="1006"/>
  <c r="O94" i="1006"/>
  <c r="N94" i="1006"/>
  <c r="M94" i="1006"/>
  <c r="L94" i="1006"/>
  <c r="K94" i="1006"/>
  <c r="J94" i="1006"/>
  <c r="I94" i="1006"/>
  <c r="H94" i="1006"/>
  <c r="G94" i="1006"/>
  <c r="F94" i="1006"/>
  <c r="E94" i="1006"/>
  <c r="C25" i="1006" s="1"/>
  <c r="D94" i="1006"/>
  <c r="C94" i="1006"/>
  <c r="B94" i="1006"/>
  <c r="E39" i="1006"/>
  <c r="C39" i="1006"/>
  <c r="B39" i="1006"/>
  <c r="E38" i="1006"/>
  <c r="C38" i="1006"/>
  <c r="B38" i="1006"/>
  <c r="E37" i="1006"/>
  <c r="C37" i="1006"/>
  <c r="B37" i="1006"/>
  <c r="D37" i="1006" s="1"/>
  <c r="E36" i="1006"/>
  <c r="C36" i="1006"/>
  <c r="D36" i="1006" s="1"/>
  <c r="G36" i="1006" s="1"/>
  <c r="B36" i="1006"/>
  <c r="D34" i="1006"/>
  <c r="B34" i="1006"/>
  <c r="E13" i="1006" s="1"/>
  <c r="D33" i="1006"/>
  <c r="F32" i="1006"/>
  <c r="D32" i="1006"/>
  <c r="B32" i="1006"/>
  <c r="D31" i="1006"/>
  <c r="B31" i="1006"/>
  <c r="F31" i="1006" s="1"/>
  <c r="D30" i="1006"/>
  <c r="B30" i="1006"/>
  <c r="F30" i="1006" s="1"/>
  <c r="C27" i="1006"/>
  <c r="D27" i="1006" s="1"/>
  <c r="B27" i="1006"/>
  <c r="C26" i="1006"/>
  <c r="D26" i="1006" s="1"/>
  <c r="B26" i="1006"/>
  <c r="B22" i="1006"/>
  <c r="F22" i="1006" s="1"/>
  <c r="D21" i="1006"/>
  <c r="F21" i="1006" s="1"/>
  <c r="B21" i="1006"/>
  <c r="B20" i="1006"/>
  <c r="D19" i="1006"/>
  <c r="B19" i="1006"/>
  <c r="K15" i="1006"/>
  <c r="N14" i="1006"/>
  <c r="G13" i="1006"/>
  <c r="F13" i="1006"/>
  <c r="B13" i="1006"/>
  <c r="M11" i="1006"/>
  <c r="M10" i="1006"/>
  <c r="F10" i="1006"/>
  <c r="E10" i="1006"/>
  <c r="D10" i="1006"/>
  <c r="C10" i="1006"/>
  <c r="B10" i="1006"/>
  <c r="M9" i="1006"/>
  <c r="D4" i="1006"/>
  <c r="E4" i="1006" s="1"/>
  <c r="N2" i="1006"/>
  <c r="N1" i="1006"/>
  <c r="L17" i="1006" s="1"/>
  <c r="K1" i="1006"/>
  <c r="D1" i="1006"/>
  <c r="C1" i="1006"/>
  <c r="F143" i="1005"/>
  <c r="E143" i="1005"/>
  <c r="D143" i="1005"/>
  <c r="C143" i="1005"/>
  <c r="D20" i="1005" s="1"/>
  <c r="B143" i="1005"/>
  <c r="B142" i="1005"/>
  <c r="F137" i="1005"/>
  <c r="E137" i="1005"/>
  <c r="D137" i="1005"/>
  <c r="C137" i="1005"/>
  <c r="B137" i="1005"/>
  <c r="F103" i="1005"/>
  <c r="C24" i="1005" s="1"/>
  <c r="E103" i="1005"/>
  <c r="D103" i="1005"/>
  <c r="C103" i="1005"/>
  <c r="B103" i="1005"/>
  <c r="Y94" i="1005"/>
  <c r="X94" i="1005"/>
  <c r="W94" i="1005"/>
  <c r="V94" i="1005"/>
  <c r="U94" i="1005"/>
  <c r="T94" i="1005"/>
  <c r="S94" i="1005"/>
  <c r="R94" i="1005"/>
  <c r="Q94" i="1005"/>
  <c r="P94" i="1005"/>
  <c r="O94" i="1005"/>
  <c r="N94" i="1005"/>
  <c r="M94" i="1005"/>
  <c r="L94" i="1005"/>
  <c r="K94" i="1005"/>
  <c r="J94" i="1005"/>
  <c r="I94" i="1005"/>
  <c r="H94" i="1005"/>
  <c r="G94" i="1005"/>
  <c r="F94" i="1005"/>
  <c r="E94" i="1005"/>
  <c r="D94" i="1005"/>
  <c r="C94" i="1005"/>
  <c r="B94" i="1005"/>
  <c r="E39" i="1005"/>
  <c r="C39" i="1005"/>
  <c r="D39" i="1005" s="1"/>
  <c r="G39" i="1005" s="1"/>
  <c r="B39" i="1005"/>
  <c r="E38" i="1005"/>
  <c r="C38" i="1005"/>
  <c r="B38" i="1005"/>
  <c r="E37" i="1005"/>
  <c r="C37" i="1005"/>
  <c r="B37" i="1005"/>
  <c r="E36" i="1005"/>
  <c r="C36" i="1005"/>
  <c r="B36" i="1005"/>
  <c r="D34" i="1005"/>
  <c r="B34" i="1005"/>
  <c r="F13" i="1005" s="1"/>
  <c r="D33" i="1005"/>
  <c r="D32" i="1005"/>
  <c r="B32" i="1005"/>
  <c r="F32" i="1005" s="1"/>
  <c r="D31" i="1005"/>
  <c r="B31" i="1005"/>
  <c r="F31" i="1005" s="1"/>
  <c r="D30" i="1005"/>
  <c r="B30" i="1005"/>
  <c r="F30" i="1005" s="1"/>
  <c r="C27" i="1005"/>
  <c r="D27" i="1005" s="1"/>
  <c r="B27" i="1005"/>
  <c r="C26" i="1005"/>
  <c r="D26" i="1005" s="1"/>
  <c r="B26" i="1005"/>
  <c r="B22" i="1005"/>
  <c r="F22" i="1005" s="1"/>
  <c r="D21" i="1005"/>
  <c r="B21" i="1005"/>
  <c r="F21" i="1005" s="1"/>
  <c r="B20" i="1005"/>
  <c r="D19" i="1005"/>
  <c r="B19" i="1005"/>
  <c r="K15" i="1005"/>
  <c r="N14" i="1005"/>
  <c r="G13" i="1005"/>
  <c r="E13" i="1005"/>
  <c r="B13" i="1005"/>
  <c r="M11" i="1005"/>
  <c r="M10" i="1005"/>
  <c r="F10" i="1005"/>
  <c r="E10" i="1005"/>
  <c r="D10" i="1005"/>
  <c r="C10" i="1005"/>
  <c r="B10" i="1005"/>
  <c r="M9" i="1005"/>
  <c r="D4" i="1005"/>
  <c r="E4" i="1005" s="1"/>
  <c r="N2" i="1005"/>
  <c r="N1" i="1005"/>
  <c r="I17" i="1005" s="1"/>
  <c r="J17" i="1005" s="1"/>
  <c r="K1" i="1005"/>
  <c r="D1" i="1005"/>
  <c r="C1" i="1005"/>
  <c r="F143" i="1004"/>
  <c r="E143" i="1004"/>
  <c r="D143" i="1004"/>
  <c r="C143" i="1004"/>
  <c r="D20" i="1004" s="1"/>
  <c r="B143" i="1004"/>
  <c r="B142" i="1004"/>
  <c r="F137" i="1004"/>
  <c r="E137" i="1004"/>
  <c r="D137" i="1004"/>
  <c r="C137" i="1004"/>
  <c r="B137" i="1004"/>
  <c r="F103" i="1004"/>
  <c r="B24" i="1004" s="1"/>
  <c r="F24" i="1004" s="1"/>
  <c r="E103" i="1004"/>
  <c r="D103" i="1004"/>
  <c r="C24" i="1004" s="1"/>
  <c r="C103" i="1004"/>
  <c r="B103" i="1004"/>
  <c r="Y94" i="1004"/>
  <c r="X94" i="1004"/>
  <c r="W94" i="1004"/>
  <c r="V94" i="1004"/>
  <c r="U94" i="1004"/>
  <c r="T94" i="1004"/>
  <c r="S94" i="1004"/>
  <c r="R94" i="1004"/>
  <c r="Q94" i="1004"/>
  <c r="P94" i="1004"/>
  <c r="O94" i="1004"/>
  <c r="N94" i="1004"/>
  <c r="M94" i="1004"/>
  <c r="L94" i="1004"/>
  <c r="K94" i="1004"/>
  <c r="J94" i="1004"/>
  <c r="I94" i="1004"/>
  <c r="H94" i="1004"/>
  <c r="G94" i="1004"/>
  <c r="F94" i="1004"/>
  <c r="E94" i="1004"/>
  <c r="D94" i="1004"/>
  <c r="C94" i="1004"/>
  <c r="B94" i="1004"/>
  <c r="C25" i="1004" s="1"/>
  <c r="F25" i="1004" s="1"/>
  <c r="E39" i="1004"/>
  <c r="C39" i="1004"/>
  <c r="D39" i="1004" s="1"/>
  <c r="G39" i="1004" s="1"/>
  <c r="B39" i="1004"/>
  <c r="E38" i="1004"/>
  <c r="C38" i="1004"/>
  <c r="B38" i="1004"/>
  <c r="E37" i="1004"/>
  <c r="C37" i="1004"/>
  <c r="B37" i="1004"/>
  <c r="E36" i="1004"/>
  <c r="C36" i="1004"/>
  <c r="B36" i="1004"/>
  <c r="D34" i="1004"/>
  <c r="B34" i="1004"/>
  <c r="E13" i="1004" s="1"/>
  <c r="D33" i="1004"/>
  <c r="D32" i="1004"/>
  <c r="B32" i="1004"/>
  <c r="F32" i="1004" s="1"/>
  <c r="D31" i="1004"/>
  <c r="B31" i="1004"/>
  <c r="F31" i="1004" s="1"/>
  <c r="D30" i="1004"/>
  <c r="B30" i="1004"/>
  <c r="F30" i="1004" s="1"/>
  <c r="C27" i="1004"/>
  <c r="D27" i="1004" s="1"/>
  <c r="B27" i="1004"/>
  <c r="C26" i="1004"/>
  <c r="D26" i="1004" s="1"/>
  <c r="B26" i="1004"/>
  <c r="B22" i="1004"/>
  <c r="F22" i="1004" s="1"/>
  <c r="D21" i="1004"/>
  <c r="B21" i="1004"/>
  <c r="B20" i="1004"/>
  <c r="D19" i="1004"/>
  <c r="B19" i="1004"/>
  <c r="K15" i="1004"/>
  <c r="N14" i="1004"/>
  <c r="F13" i="1004"/>
  <c r="D13" i="1004"/>
  <c r="M11" i="1004"/>
  <c r="M10" i="1004"/>
  <c r="F10" i="1004"/>
  <c r="E10" i="1004"/>
  <c r="D10" i="1004"/>
  <c r="C10" i="1004"/>
  <c r="B10" i="1004"/>
  <c r="M9" i="1004"/>
  <c r="D4" i="1004"/>
  <c r="E4" i="1004" s="1"/>
  <c r="N2" i="1004"/>
  <c r="N1" i="1004"/>
  <c r="I17" i="1004" s="1"/>
  <c r="J17" i="1004" s="1"/>
  <c r="K1" i="1004"/>
  <c r="D1" i="1004"/>
  <c r="C1" i="1004"/>
  <c r="F143" i="1003"/>
  <c r="E143" i="1003"/>
  <c r="D143" i="1003"/>
  <c r="C143" i="1003"/>
  <c r="B143" i="1003"/>
  <c r="B142" i="1003"/>
  <c r="F137" i="1003"/>
  <c r="E137" i="1003"/>
  <c r="D137" i="1003"/>
  <c r="C137" i="1003"/>
  <c r="B137" i="1003"/>
  <c r="F103" i="1003"/>
  <c r="E103" i="1003"/>
  <c r="D103" i="1003"/>
  <c r="C103" i="1003"/>
  <c r="B24" i="1003" s="1"/>
  <c r="F24" i="1003" s="1"/>
  <c r="B103" i="1003"/>
  <c r="Y94" i="1003"/>
  <c r="X94" i="1003"/>
  <c r="W94" i="1003"/>
  <c r="V94" i="1003"/>
  <c r="U94" i="1003"/>
  <c r="T94" i="1003"/>
  <c r="S94" i="1003"/>
  <c r="R94" i="1003"/>
  <c r="Q94" i="1003"/>
  <c r="P94" i="1003"/>
  <c r="O94" i="1003"/>
  <c r="N94" i="1003"/>
  <c r="M94" i="1003"/>
  <c r="L94" i="1003"/>
  <c r="K94" i="1003"/>
  <c r="J94" i="1003"/>
  <c r="I94" i="1003"/>
  <c r="H94" i="1003"/>
  <c r="G94" i="1003"/>
  <c r="F94" i="1003"/>
  <c r="E94" i="1003"/>
  <c r="D94" i="1003"/>
  <c r="C94" i="1003"/>
  <c r="B94" i="1003"/>
  <c r="E39" i="1003"/>
  <c r="C39" i="1003"/>
  <c r="B39" i="1003"/>
  <c r="E38" i="1003"/>
  <c r="C38" i="1003"/>
  <c r="D38" i="1003" s="1"/>
  <c r="G38" i="1003" s="1"/>
  <c r="B38" i="1003"/>
  <c r="E37" i="1003"/>
  <c r="C37" i="1003"/>
  <c r="B37" i="1003"/>
  <c r="D37" i="1003" s="1"/>
  <c r="E36" i="1003"/>
  <c r="C36" i="1003"/>
  <c r="D36" i="1003" s="1"/>
  <c r="G36" i="1003" s="1"/>
  <c r="B36" i="1003"/>
  <c r="D34" i="1003"/>
  <c r="B34" i="1003"/>
  <c r="E13" i="1003" s="1"/>
  <c r="D33" i="1003"/>
  <c r="D32" i="1003"/>
  <c r="B32" i="1003"/>
  <c r="F32" i="1003" s="1"/>
  <c r="D31" i="1003"/>
  <c r="B31" i="1003"/>
  <c r="F31" i="1003" s="1"/>
  <c r="D30" i="1003"/>
  <c r="B30" i="1003"/>
  <c r="F30" i="1003" s="1"/>
  <c r="C27" i="1003"/>
  <c r="D27" i="1003" s="1"/>
  <c r="B27" i="1003"/>
  <c r="C26" i="1003"/>
  <c r="D26" i="1003" s="1"/>
  <c r="B26" i="1003"/>
  <c r="L24" i="1003"/>
  <c r="F22" i="1003"/>
  <c r="B22" i="1003"/>
  <c r="D21" i="1003"/>
  <c r="B21" i="1003"/>
  <c r="B20" i="1003"/>
  <c r="D19" i="1003"/>
  <c r="B19" i="1003"/>
  <c r="K15" i="1003"/>
  <c r="N14" i="1003"/>
  <c r="G13" i="1003"/>
  <c r="F13" i="1003"/>
  <c r="M11" i="1003"/>
  <c r="M10" i="1003"/>
  <c r="F10" i="1003"/>
  <c r="E10" i="1003"/>
  <c r="D10" i="1003"/>
  <c r="C10" i="1003"/>
  <c r="B10" i="1003"/>
  <c r="M9" i="1003"/>
  <c r="D4" i="1003"/>
  <c r="E4" i="1003" s="1"/>
  <c r="N2" i="1003"/>
  <c r="N1" i="1003"/>
  <c r="M1" i="1003" s="1"/>
  <c r="K1" i="1003"/>
  <c r="D1" i="1003"/>
  <c r="C1" i="1003"/>
  <c r="F143" i="1002"/>
  <c r="E143" i="1002"/>
  <c r="D143" i="1002"/>
  <c r="C143" i="1002"/>
  <c r="B143" i="1002"/>
  <c r="B142" i="1002"/>
  <c r="F137" i="1002"/>
  <c r="E137" i="1002"/>
  <c r="D137" i="1002"/>
  <c r="C137" i="1002"/>
  <c r="B137" i="1002"/>
  <c r="F103" i="1002"/>
  <c r="E103" i="1002"/>
  <c r="D103" i="1002"/>
  <c r="C103" i="1002"/>
  <c r="B103" i="1002"/>
  <c r="Y94" i="1002"/>
  <c r="X94" i="1002"/>
  <c r="W94" i="1002"/>
  <c r="V94" i="1002"/>
  <c r="U94" i="1002"/>
  <c r="T94" i="1002"/>
  <c r="S94" i="1002"/>
  <c r="R94" i="1002"/>
  <c r="Q94" i="1002"/>
  <c r="P94" i="1002"/>
  <c r="O94" i="1002"/>
  <c r="N94" i="1002"/>
  <c r="M94" i="1002"/>
  <c r="L94" i="1002"/>
  <c r="K94" i="1002"/>
  <c r="J94" i="1002"/>
  <c r="I94" i="1002"/>
  <c r="H94" i="1002"/>
  <c r="G94" i="1002"/>
  <c r="F94" i="1002"/>
  <c r="E94" i="1002"/>
  <c r="C25" i="1002" s="1"/>
  <c r="D94" i="1002"/>
  <c r="C94" i="1002"/>
  <c r="B94" i="1002"/>
  <c r="E39" i="1002"/>
  <c r="C39" i="1002"/>
  <c r="B39" i="1002"/>
  <c r="E38" i="1002"/>
  <c r="C38" i="1002"/>
  <c r="B38" i="1002"/>
  <c r="E37" i="1002"/>
  <c r="C37" i="1002"/>
  <c r="B37" i="1002"/>
  <c r="D37" i="1002" s="1"/>
  <c r="E36" i="1002"/>
  <c r="C36" i="1002"/>
  <c r="D36" i="1002" s="1"/>
  <c r="G36" i="1002" s="1"/>
  <c r="B36" i="1002"/>
  <c r="D34" i="1002"/>
  <c r="B34" i="1002"/>
  <c r="D33" i="1002"/>
  <c r="D32" i="1002"/>
  <c r="B32" i="1002"/>
  <c r="F32" i="1002" s="1"/>
  <c r="D31" i="1002"/>
  <c r="B31" i="1002"/>
  <c r="F31" i="1002" s="1"/>
  <c r="D30" i="1002"/>
  <c r="B30" i="1002"/>
  <c r="F30" i="1002" s="1"/>
  <c r="C27" i="1002"/>
  <c r="D27" i="1002" s="1"/>
  <c r="B27" i="1002"/>
  <c r="C26" i="1002"/>
  <c r="D26" i="1002" s="1"/>
  <c r="B26" i="1002"/>
  <c r="F22" i="1002"/>
  <c r="B22" i="1002"/>
  <c r="F21" i="1002"/>
  <c r="D21" i="1002"/>
  <c r="B21" i="1002"/>
  <c r="B20" i="1002"/>
  <c r="D19" i="1002"/>
  <c r="B19" i="1002"/>
  <c r="K15" i="1002"/>
  <c r="N14" i="1002"/>
  <c r="G13" i="1002"/>
  <c r="F13" i="1002"/>
  <c r="E13" i="1002"/>
  <c r="C13" i="1002"/>
  <c r="B13" i="1002"/>
  <c r="M11" i="1002"/>
  <c r="M10" i="1002"/>
  <c r="F10" i="1002"/>
  <c r="E10" i="1002"/>
  <c r="D10" i="1002"/>
  <c r="C10" i="1002"/>
  <c r="B10" i="1002"/>
  <c r="M9" i="1002"/>
  <c r="D4" i="1002"/>
  <c r="E4" i="1002" s="1"/>
  <c r="N2" i="1002"/>
  <c r="N1" i="1002"/>
  <c r="I17" i="1002" s="1"/>
  <c r="J17" i="1002" s="1"/>
  <c r="K1" i="1002"/>
  <c r="D1" i="1002"/>
  <c r="C1" i="1002"/>
  <c r="F143" i="1001"/>
  <c r="E143" i="1001"/>
  <c r="D143" i="1001"/>
  <c r="C143" i="1001"/>
  <c r="B143" i="1001"/>
  <c r="B142" i="1001"/>
  <c r="F137" i="1001"/>
  <c r="E137" i="1001"/>
  <c r="D137" i="1001"/>
  <c r="C137" i="1001"/>
  <c r="B137" i="1001"/>
  <c r="F103" i="1001"/>
  <c r="E103" i="1001"/>
  <c r="D103" i="1001"/>
  <c r="C103" i="1001"/>
  <c r="B103" i="1001"/>
  <c r="Y94" i="1001"/>
  <c r="X94" i="1001"/>
  <c r="W94" i="1001"/>
  <c r="V94" i="1001"/>
  <c r="U94" i="1001"/>
  <c r="T94" i="1001"/>
  <c r="S94" i="1001"/>
  <c r="R94" i="1001"/>
  <c r="Q94" i="1001"/>
  <c r="P94" i="1001"/>
  <c r="O94" i="1001"/>
  <c r="N94" i="1001"/>
  <c r="M94" i="1001"/>
  <c r="L94" i="1001"/>
  <c r="K94" i="1001"/>
  <c r="J94" i="1001"/>
  <c r="I94" i="1001"/>
  <c r="H94" i="1001"/>
  <c r="G94" i="1001"/>
  <c r="F94" i="1001"/>
  <c r="E94" i="1001"/>
  <c r="D94" i="1001"/>
  <c r="C94" i="1001"/>
  <c r="B94" i="1001"/>
  <c r="E39" i="1001"/>
  <c r="C39" i="1001"/>
  <c r="D39" i="1001" s="1"/>
  <c r="G39" i="1001" s="1"/>
  <c r="B39" i="1001"/>
  <c r="E38" i="1001"/>
  <c r="C38" i="1001"/>
  <c r="B38" i="1001"/>
  <c r="E37" i="1001"/>
  <c r="C37" i="1001"/>
  <c r="B37" i="1001"/>
  <c r="E36" i="1001"/>
  <c r="C36" i="1001"/>
  <c r="B36" i="1001"/>
  <c r="D34" i="1001"/>
  <c r="B34" i="1001"/>
  <c r="F13" i="1001" s="1"/>
  <c r="D33" i="1001"/>
  <c r="D32" i="1001"/>
  <c r="B32" i="1001"/>
  <c r="F32" i="1001" s="1"/>
  <c r="D31" i="1001"/>
  <c r="B31" i="1001"/>
  <c r="F31" i="1001" s="1"/>
  <c r="D30" i="1001"/>
  <c r="B30" i="1001"/>
  <c r="F30" i="1001" s="1"/>
  <c r="C27" i="1001"/>
  <c r="D27" i="1001" s="1"/>
  <c r="B27" i="1001"/>
  <c r="C26" i="1001"/>
  <c r="D26" i="1001" s="1"/>
  <c r="B26" i="1001"/>
  <c r="F22" i="1001"/>
  <c r="B22" i="1001"/>
  <c r="D21" i="1001"/>
  <c r="B21" i="1001"/>
  <c r="F21" i="1001" s="1"/>
  <c r="B20" i="1001"/>
  <c r="D19" i="1001"/>
  <c r="B19" i="1001"/>
  <c r="K15" i="1001"/>
  <c r="N14" i="1001"/>
  <c r="B13" i="1001"/>
  <c r="M11" i="1001"/>
  <c r="M10" i="1001"/>
  <c r="F10" i="1001"/>
  <c r="E10" i="1001"/>
  <c r="D10" i="1001"/>
  <c r="C10" i="1001"/>
  <c r="B10" i="1001"/>
  <c r="M9" i="1001"/>
  <c r="D4" i="1001"/>
  <c r="E4" i="1001" s="1"/>
  <c r="N2" i="1001"/>
  <c r="N1" i="1001"/>
  <c r="I17" i="1001" s="1"/>
  <c r="J17" i="1001" s="1"/>
  <c r="K1" i="1001"/>
  <c r="D1" i="1001"/>
  <c r="C1" i="1001"/>
  <c r="F143" i="1000"/>
  <c r="E143" i="1000"/>
  <c r="D143" i="1000"/>
  <c r="C143" i="1000"/>
  <c r="B143" i="1000"/>
  <c r="B142" i="1000"/>
  <c r="F137" i="1000"/>
  <c r="E137" i="1000"/>
  <c r="D137" i="1000"/>
  <c r="C137" i="1000"/>
  <c r="B137" i="1000"/>
  <c r="F103" i="1000"/>
  <c r="E103" i="1000"/>
  <c r="B24" i="1000" s="1"/>
  <c r="F24" i="1000" s="1"/>
  <c r="D103" i="1000"/>
  <c r="C103" i="1000"/>
  <c r="B103" i="1000"/>
  <c r="Y94" i="1000"/>
  <c r="X94" i="1000"/>
  <c r="W94" i="1000"/>
  <c r="V94" i="1000"/>
  <c r="U94" i="1000"/>
  <c r="T94" i="1000"/>
  <c r="S94" i="1000"/>
  <c r="R94" i="1000"/>
  <c r="Q94" i="1000"/>
  <c r="P94" i="1000"/>
  <c r="O94" i="1000"/>
  <c r="N94" i="1000"/>
  <c r="M94" i="1000"/>
  <c r="L94" i="1000"/>
  <c r="K94" i="1000"/>
  <c r="J94" i="1000"/>
  <c r="I94" i="1000"/>
  <c r="H94" i="1000"/>
  <c r="G94" i="1000"/>
  <c r="F94" i="1000"/>
  <c r="E94" i="1000"/>
  <c r="D94" i="1000"/>
  <c r="C94" i="1000"/>
  <c r="B94" i="1000"/>
  <c r="E39" i="1000"/>
  <c r="C39" i="1000"/>
  <c r="B39" i="1000"/>
  <c r="E38" i="1000"/>
  <c r="C38" i="1000"/>
  <c r="B38" i="1000"/>
  <c r="E37" i="1000"/>
  <c r="C37" i="1000"/>
  <c r="B37" i="1000"/>
  <c r="D37" i="1000" s="1"/>
  <c r="E36" i="1000"/>
  <c r="C36" i="1000"/>
  <c r="D36" i="1000" s="1"/>
  <c r="G36" i="1000" s="1"/>
  <c r="B36" i="1000"/>
  <c r="D34" i="1000"/>
  <c r="B34" i="1000"/>
  <c r="D33" i="1000"/>
  <c r="D32" i="1000"/>
  <c r="B32" i="1000"/>
  <c r="F32" i="1000" s="1"/>
  <c r="D31" i="1000"/>
  <c r="B31" i="1000"/>
  <c r="F31" i="1000" s="1"/>
  <c r="D30" i="1000"/>
  <c r="B30" i="1000"/>
  <c r="F30" i="1000" s="1"/>
  <c r="C27" i="1000"/>
  <c r="D27" i="1000" s="1"/>
  <c r="B27" i="1000"/>
  <c r="C26" i="1000"/>
  <c r="D26" i="1000" s="1"/>
  <c r="B26" i="1000"/>
  <c r="F22" i="1000"/>
  <c r="B22" i="1000"/>
  <c r="D21" i="1000"/>
  <c r="B21" i="1000"/>
  <c r="B20" i="1000"/>
  <c r="D19" i="1000"/>
  <c r="B19" i="1000"/>
  <c r="F19" i="1000" s="1"/>
  <c r="K15" i="1000"/>
  <c r="N14" i="1000"/>
  <c r="G13" i="1000"/>
  <c r="F13" i="1000"/>
  <c r="E13" i="1000"/>
  <c r="C13" i="1000"/>
  <c r="B13" i="1000"/>
  <c r="M11" i="1000"/>
  <c r="M10" i="1000"/>
  <c r="F10" i="1000"/>
  <c r="E10" i="1000"/>
  <c r="D10" i="1000"/>
  <c r="C10" i="1000"/>
  <c r="B10" i="1000"/>
  <c r="M9" i="1000"/>
  <c r="D4" i="1000"/>
  <c r="E4" i="1000" s="1"/>
  <c r="N2" i="1000"/>
  <c r="N1" i="1000"/>
  <c r="I17" i="1000" s="1"/>
  <c r="J17" i="1000" s="1"/>
  <c r="K1" i="1000"/>
  <c r="D1" i="1000"/>
  <c r="C1" i="1000"/>
  <c r="F143" i="999"/>
  <c r="E143" i="999"/>
  <c r="D143" i="999"/>
  <c r="C143" i="999"/>
  <c r="B143" i="999"/>
  <c r="B142" i="999"/>
  <c r="F137" i="999"/>
  <c r="E137" i="999"/>
  <c r="D137" i="999"/>
  <c r="C137" i="999"/>
  <c r="B137" i="999"/>
  <c r="F103" i="999"/>
  <c r="E103" i="999"/>
  <c r="D103" i="999"/>
  <c r="C103" i="999"/>
  <c r="C24" i="999" s="1"/>
  <c r="B103" i="999"/>
  <c r="Y94" i="999"/>
  <c r="X94" i="999"/>
  <c r="W94" i="999"/>
  <c r="V94" i="999"/>
  <c r="U94" i="999"/>
  <c r="T94" i="999"/>
  <c r="S94" i="999"/>
  <c r="R94" i="999"/>
  <c r="Q94" i="999"/>
  <c r="P94" i="999"/>
  <c r="O94" i="999"/>
  <c r="N94" i="999"/>
  <c r="M94" i="999"/>
  <c r="L94" i="999"/>
  <c r="K94" i="999"/>
  <c r="J94" i="999"/>
  <c r="I94" i="999"/>
  <c r="H94" i="999"/>
  <c r="G94" i="999"/>
  <c r="F94" i="999"/>
  <c r="E94" i="999"/>
  <c r="D94" i="999"/>
  <c r="C94" i="999"/>
  <c r="B94" i="999"/>
  <c r="E39" i="999"/>
  <c r="C39" i="999"/>
  <c r="B39" i="999"/>
  <c r="E38" i="999"/>
  <c r="C38" i="999"/>
  <c r="D38" i="999" s="1"/>
  <c r="B38" i="999"/>
  <c r="E37" i="999"/>
  <c r="C37" i="999"/>
  <c r="B37" i="999"/>
  <c r="E36" i="999"/>
  <c r="C36" i="999"/>
  <c r="D36" i="999" s="1"/>
  <c r="G36" i="999" s="1"/>
  <c r="B36" i="999"/>
  <c r="D34" i="999"/>
  <c r="B34" i="999"/>
  <c r="B13" i="999" s="1"/>
  <c r="D33" i="999"/>
  <c r="D32" i="999"/>
  <c r="B32" i="999"/>
  <c r="F32" i="999" s="1"/>
  <c r="D31" i="999"/>
  <c r="B31" i="999"/>
  <c r="F31" i="999" s="1"/>
  <c r="D30" i="999"/>
  <c r="B30" i="999"/>
  <c r="F30" i="999" s="1"/>
  <c r="C27" i="999"/>
  <c r="D27" i="999" s="1"/>
  <c r="B27" i="999"/>
  <c r="C26" i="999"/>
  <c r="D26" i="999" s="1"/>
  <c r="B26" i="999"/>
  <c r="C25" i="999"/>
  <c r="F25" i="999" s="1"/>
  <c r="B22" i="999"/>
  <c r="F22" i="999" s="1"/>
  <c r="D21" i="999"/>
  <c r="B21" i="999"/>
  <c r="F21" i="999" s="1"/>
  <c r="B20" i="999"/>
  <c r="D19" i="999"/>
  <c r="B19" i="999"/>
  <c r="K15" i="999"/>
  <c r="N14" i="999"/>
  <c r="F13" i="999"/>
  <c r="E13" i="999"/>
  <c r="D13" i="999"/>
  <c r="M11" i="999"/>
  <c r="M10" i="999"/>
  <c r="F10" i="999"/>
  <c r="E10" i="999"/>
  <c r="D10" i="999"/>
  <c r="C10" i="999"/>
  <c r="B10" i="999"/>
  <c r="M9" i="999"/>
  <c r="D4" i="999"/>
  <c r="E4" i="999" s="1"/>
  <c r="N2" i="999"/>
  <c r="N1" i="999"/>
  <c r="I17" i="999" s="1"/>
  <c r="J17" i="999" s="1"/>
  <c r="K1" i="999"/>
  <c r="D1" i="999"/>
  <c r="C1" i="999"/>
  <c r="B1" i="999" s="1"/>
  <c r="M4" i="999" s="1"/>
  <c r="F143" i="998"/>
  <c r="E143" i="998"/>
  <c r="D143" i="998"/>
  <c r="C143" i="998"/>
  <c r="B143" i="998"/>
  <c r="B142" i="998"/>
  <c r="F137" i="998"/>
  <c r="E137" i="998"/>
  <c r="D137" i="998"/>
  <c r="C137" i="998"/>
  <c r="B137" i="998"/>
  <c r="F103" i="998"/>
  <c r="E103" i="998"/>
  <c r="D103" i="998"/>
  <c r="C103" i="998"/>
  <c r="B24" i="998" s="1"/>
  <c r="F24" i="998" s="1"/>
  <c r="B103" i="998"/>
  <c r="Y94" i="998"/>
  <c r="X94" i="998"/>
  <c r="W94" i="998"/>
  <c r="V94" i="998"/>
  <c r="U94" i="998"/>
  <c r="T94" i="998"/>
  <c r="S94" i="998"/>
  <c r="R94" i="998"/>
  <c r="Q94" i="998"/>
  <c r="P94" i="998"/>
  <c r="O94" i="998"/>
  <c r="N94" i="998"/>
  <c r="M94" i="998"/>
  <c r="L94" i="998"/>
  <c r="K94" i="998"/>
  <c r="J94" i="998"/>
  <c r="I94" i="998"/>
  <c r="H94" i="998"/>
  <c r="G94" i="998"/>
  <c r="F94" i="998"/>
  <c r="E94" i="998"/>
  <c r="D94" i="998"/>
  <c r="C94" i="998"/>
  <c r="B94" i="998"/>
  <c r="E39" i="998"/>
  <c r="C39" i="998"/>
  <c r="B39" i="998"/>
  <c r="D39" i="998" s="1"/>
  <c r="E38" i="998"/>
  <c r="C38" i="998"/>
  <c r="B38" i="998"/>
  <c r="E37" i="998"/>
  <c r="C37" i="998"/>
  <c r="B37" i="998"/>
  <c r="E36" i="998"/>
  <c r="C36" i="998"/>
  <c r="D36" i="998" s="1"/>
  <c r="G36" i="998" s="1"/>
  <c r="B36" i="998"/>
  <c r="D34" i="998"/>
  <c r="B34" i="998"/>
  <c r="E13" i="998" s="1"/>
  <c r="D33" i="998"/>
  <c r="D32" i="998"/>
  <c r="B32" i="998"/>
  <c r="F32" i="998" s="1"/>
  <c r="D31" i="998"/>
  <c r="B31" i="998"/>
  <c r="F31" i="998" s="1"/>
  <c r="D30" i="998"/>
  <c r="B30" i="998"/>
  <c r="F30" i="998" s="1"/>
  <c r="C27" i="998"/>
  <c r="D27" i="998" s="1"/>
  <c r="B27" i="998"/>
  <c r="C26" i="998"/>
  <c r="D26" i="998" s="1"/>
  <c r="B26" i="998"/>
  <c r="B22" i="998"/>
  <c r="F22" i="998" s="1"/>
  <c r="D21" i="998"/>
  <c r="B21" i="998"/>
  <c r="B20" i="998"/>
  <c r="D19" i="998"/>
  <c r="B19" i="998"/>
  <c r="K15" i="998"/>
  <c r="N14" i="998"/>
  <c r="F13" i="998"/>
  <c r="B13" i="998"/>
  <c r="M11" i="998"/>
  <c r="M10" i="998"/>
  <c r="F10" i="998"/>
  <c r="E10" i="998"/>
  <c r="D10" i="998"/>
  <c r="C10" i="998"/>
  <c r="B10" i="998"/>
  <c r="M9" i="998"/>
  <c r="D4" i="998"/>
  <c r="E4" i="998" s="1"/>
  <c r="N2" i="998"/>
  <c r="N1" i="998"/>
  <c r="I17" i="998" s="1"/>
  <c r="J17" i="998" s="1"/>
  <c r="K1" i="998"/>
  <c r="D1" i="998"/>
  <c r="C1" i="998"/>
  <c r="F143" i="997"/>
  <c r="E143" i="997"/>
  <c r="D143" i="997"/>
  <c r="C143" i="997"/>
  <c r="B143" i="997"/>
  <c r="B142" i="997"/>
  <c r="F137" i="997"/>
  <c r="E137" i="997"/>
  <c r="D137" i="997"/>
  <c r="C137" i="997"/>
  <c r="B137" i="997"/>
  <c r="F103" i="997"/>
  <c r="E103" i="997"/>
  <c r="D103" i="997"/>
  <c r="C24" i="997" s="1"/>
  <c r="C103" i="997"/>
  <c r="B103" i="997"/>
  <c r="Y94" i="997"/>
  <c r="X94" i="997"/>
  <c r="W94" i="997"/>
  <c r="V94" i="997"/>
  <c r="U94" i="997"/>
  <c r="T94" i="997"/>
  <c r="S94" i="997"/>
  <c r="R94" i="997"/>
  <c r="Q94" i="997"/>
  <c r="P94" i="997"/>
  <c r="O94" i="997"/>
  <c r="N94" i="997"/>
  <c r="M94" i="997"/>
  <c r="L94" i="997"/>
  <c r="K94" i="997"/>
  <c r="J94" i="997"/>
  <c r="I94" i="997"/>
  <c r="H94" i="997"/>
  <c r="G94" i="997"/>
  <c r="F94" i="997"/>
  <c r="E94" i="997"/>
  <c r="D94" i="997"/>
  <c r="C94" i="997"/>
  <c r="B94" i="997"/>
  <c r="E39" i="997"/>
  <c r="C39" i="997"/>
  <c r="D39" i="997" s="1"/>
  <c r="G39" i="997" s="1"/>
  <c r="B39" i="997"/>
  <c r="E38" i="997"/>
  <c r="C38" i="997"/>
  <c r="B38" i="997"/>
  <c r="E37" i="997"/>
  <c r="C37" i="997"/>
  <c r="B37" i="997"/>
  <c r="E36" i="997"/>
  <c r="C36" i="997"/>
  <c r="B36" i="997"/>
  <c r="D34" i="997"/>
  <c r="B34" i="997"/>
  <c r="E13" i="997" s="1"/>
  <c r="D33" i="997"/>
  <c r="D32" i="997"/>
  <c r="B32" i="997"/>
  <c r="F32" i="997" s="1"/>
  <c r="D31" i="997"/>
  <c r="B31" i="997"/>
  <c r="F31" i="997" s="1"/>
  <c r="D30" i="997"/>
  <c r="B30" i="997"/>
  <c r="F30" i="997" s="1"/>
  <c r="C27" i="997"/>
  <c r="D27" i="997" s="1"/>
  <c r="B27" i="997"/>
  <c r="C26" i="997"/>
  <c r="D26" i="997" s="1"/>
  <c r="B26" i="997"/>
  <c r="B22" i="997"/>
  <c r="F22" i="997" s="1"/>
  <c r="D21" i="997"/>
  <c r="B21" i="997"/>
  <c r="B20" i="997"/>
  <c r="D19" i="997"/>
  <c r="B19" i="997"/>
  <c r="F19" i="997" s="1"/>
  <c r="K15" i="997"/>
  <c r="N14" i="997"/>
  <c r="M11" i="997"/>
  <c r="M10" i="997"/>
  <c r="F10" i="997"/>
  <c r="E10" i="997"/>
  <c r="D10" i="997"/>
  <c r="C10" i="997"/>
  <c r="B10" i="997"/>
  <c r="M9" i="997"/>
  <c r="D4" i="997"/>
  <c r="E4" i="997" s="1"/>
  <c r="N2" i="997"/>
  <c r="N1" i="997"/>
  <c r="I17" i="997" s="1"/>
  <c r="J17" i="997" s="1"/>
  <c r="K1" i="997"/>
  <c r="D1" i="997"/>
  <c r="C1" i="997"/>
  <c r="G69" i="1000"/>
  <c r="G69" i="999"/>
  <c r="G69" i="998"/>
  <c r="G69" i="1005"/>
  <c r="G69" i="997"/>
  <c r="G69" i="1004"/>
  <c r="G69" i="1002"/>
  <c r="G69" i="1003"/>
  <c r="G69" i="1001"/>
  <c r="G69" i="1006"/>
  <c r="Q20" i="1"/>
  <c r="Q53" i="1"/>
  <c r="H94" i="1"/>
  <c r="R26" i="1"/>
  <c r="Q12" i="1"/>
  <c r="Q25" i="1"/>
  <c r="H52" i="1"/>
  <c r="H63" i="1"/>
  <c r="H37" i="1"/>
  <c r="H85" i="1"/>
  <c r="H23" i="1"/>
  <c r="Q26" i="1"/>
  <c r="H28" i="1"/>
  <c r="H69" i="1"/>
  <c r="Q36" i="1"/>
  <c r="Q60" i="1"/>
  <c r="Q39" i="1"/>
  <c r="H71" i="1"/>
  <c r="Q34" i="1"/>
  <c r="Q22" i="1"/>
  <c r="Q38" i="1"/>
  <c r="H83" i="1"/>
  <c r="F13" i="997" l="1"/>
  <c r="G13" i="997"/>
  <c r="D36" i="997"/>
  <c r="G36" i="997" s="1"/>
  <c r="F21" i="998"/>
  <c r="C24" i="998"/>
  <c r="D24" i="998" s="1"/>
  <c r="B24" i="999"/>
  <c r="F24" i="999" s="1"/>
  <c r="D39" i="1000"/>
  <c r="G39" i="1000" s="1"/>
  <c r="B56" i="1002"/>
  <c r="C24" i="1003"/>
  <c r="D24" i="1003" s="1"/>
  <c r="D20" i="1003"/>
  <c r="C13" i="1005"/>
  <c r="D38" i="1005"/>
  <c r="D39" i="1006"/>
  <c r="G39" i="1006" s="1"/>
  <c r="E40" i="1026"/>
  <c r="F6" i="1026" s="1"/>
  <c r="G67" i="1032"/>
  <c r="F67" i="1032" s="1"/>
  <c r="B33" i="1040"/>
  <c r="F59" i="1046"/>
  <c r="I6" i="1046" s="1"/>
  <c r="B14" i="1046"/>
  <c r="A54" i="1047"/>
  <c r="B5" i="1048"/>
  <c r="J62" i="1048"/>
  <c r="C53" i="1051"/>
  <c r="A53" i="1051" s="1"/>
  <c r="F59" i="1052"/>
  <c r="I6" i="1052" s="1"/>
  <c r="K6" i="1052"/>
  <c r="K62" i="1054"/>
  <c r="K62" i="1069"/>
  <c r="B45" i="1005"/>
  <c r="B1" i="1005"/>
  <c r="M4" i="1005" s="1"/>
  <c r="I3" i="1069"/>
  <c r="D20" i="998"/>
  <c r="F19" i="999"/>
  <c r="D39" i="999"/>
  <c r="G39" i="999" s="1"/>
  <c r="B25" i="1000"/>
  <c r="H45" i="1001"/>
  <c r="B1" i="1001"/>
  <c r="M4" i="1001" s="1"/>
  <c r="E13" i="1001"/>
  <c r="D38" i="1001"/>
  <c r="G38" i="1001" s="1"/>
  <c r="C24" i="1002"/>
  <c r="D20" i="1002"/>
  <c r="D39" i="1003"/>
  <c r="G39" i="1003" s="1"/>
  <c r="B13" i="1004"/>
  <c r="B56" i="1005"/>
  <c r="D36" i="1005"/>
  <c r="G36" i="1005" s="1"/>
  <c r="B25" i="1006"/>
  <c r="D25" i="1010"/>
  <c r="B3" i="1010"/>
  <c r="D24" i="1017"/>
  <c r="D59" i="1027"/>
  <c r="D59" i="1031"/>
  <c r="B33" i="1033"/>
  <c r="E40" i="1034"/>
  <c r="F6" i="1034" s="1"/>
  <c r="F69" i="1034"/>
  <c r="B16" i="1034" s="1"/>
  <c r="F33" i="1038"/>
  <c r="B5" i="1038" s="1"/>
  <c r="E59" i="1040"/>
  <c r="E59" i="1042"/>
  <c r="B40" i="1043"/>
  <c r="B25" i="997"/>
  <c r="B56" i="1001"/>
  <c r="C24" i="1001"/>
  <c r="D20" i="1001"/>
  <c r="E142" i="1037"/>
  <c r="C14" i="1038"/>
  <c r="M14" i="1043"/>
  <c r="F69" i="1044"/>
  <c r="J62" i="1046"/>
  <c r="K62" i="1066"/>
  <c r="B45" i="998"/>
  <c r="B1" i="998"/>
  <c r="M4" i="998" s="1"/>
  <c r="G39" i="998"/>
  <c r="B13" i="997"/>
  <c r="B56" i="998"/>
  <c r="B25" i="999"/>
  <c r="K11" i="1000"/>
  <c r="B1" i="1000"/>
  <c r="M4" i="1000" s="1"/>
  <c r="F21" i="1000"/>
  <c r="D36" i="1001"/>
  <c r="G36" i="1001" s="1"/>
  <c r="F19" i="1002"/>
  <c r="D39" i="1002"/>
  <c r="G39" i="1002" s="1"/>
  <c r="B13" i="1003"/>
  <c r="F21" i="1003"/>
  <c r="B25" i="1003"/>
  <c r="I23" i="1004"/>
  <c r="B1" i="1004"/>
  <c r="M4" i="1004" s="1"/>
  <c r="F21" i="1004"/>
  <c r="D38" i="1004"/>
  <c r="C59" i="1022"/>
  <c r="G14" i="1038"/>
  <c r="E59" i="1041"/>
  <c r="F34" i="1046"/>
  <c r="B14" i="1047"/>
  <c r="G59" i="1056"/>
  <c r="H62" i="1058"/>
  <c r="J3" i="1061"/>
  <c r="I3" i="1065"/>
  <c r="H62" i="1065"/>
  <c r="B56" i="1000"/>
  <c r="B56" i="1004"/>
  <c r="B25" i="1005"/>
  <c r="B14" i="1038"/>
  <c r="B5" i="1046"/>
  <c r="C13" i="997"/>
  <c r="B25" i="998"/>
  <c r="C24" i="1000"/>
  <c r="D24" i="1000" s="1"/>
  <c r="D20" i="1000"/>
  <c r="F19" i="1001"/>
  <c r="H45" i="1003"/>
  <c r="B1" i="1003"/>
  <c r="M4" i="1003" s="1"/>
  <c r="I24" i="1006"/>
  <c r="F26" i="1006" s="1"/>
  <c r="B1" i="1006"/>
  <c r="C24" i="1006"/>
  <c r="D20" i="1006"/>
  <c r="G68" i="1027"/>
  <c r="E40" i="1029"/>
  <c r="F6" i="1029" s="1"/>
  <c r="D59" i="1030"/>
  <c r="A54" i="1035"/>
  <c r="D14" i="1038"/>
  <c r="E142" i="1043"/>
  <c r="E40" i="1044"/>
  <c r="F6" i="1044" s="1"/>
  <c r="F59" i="1045"/>
  <c r="I6" i="1045" s="1"/>
  <c r="F59" i="1049"/>
  <c r="I6" i="1049" s="1"/>
  <c r="G40" i="1050"/>
  <c r="B4" i="1050" s="1"/>
  <c r="K62" i="1057"/>
  <c r="J3" i="1059"/>
  <c r="H62" i="1066"/>
  <c r="I3" i="1063"/>
  <c r="M4" i="1010"/>
  <c r="E64" i="1010"/>
  <c r="B45" i="997"/>
  <c r="B1" i="997"/>
  <c r="M4" i="997" s="1"/>
  <c r="B56" i="997"/>
  <c r="F21" i="997"/>
  <c r="D20" i="997"/>
  <c r="B56" i="999"/>
  <c r="B25" i="1001"/>
  <c r="B45" i="1002"/>
  <c r="B1" i="1002"/>
  <c r="M4" i="1002" s="1"/>
  <c r="B56" i="1003"/>
  <c r="B25" i="1004"/>
  <c r="B56" i="1006"/>
  <c r="F142" i="1039"/>
  <c r="J15" i="1039" s="1"/>
  <c r="I13" i="1039" s="1"/>
  <c r="K3" i="1059"/>
  <c r="B33" i="1029"/>
  <c r="B40" i="1029"/>
  <c r="F69" i="1041"/>
  <c r="F68" i="1041"/>
  <c r="E40" i="1040"/>
  <c r="F6" i="1040" s="1"/>
  <c r="B5" i="1050"/>
  <c r="B14" i="1050"/>
  <c r="E16" i="1047"/>
  <c r="N4" i="1047"/>
  <c r="N3" i="1047"/>
  <c r="D69" i="1027"/>
  <c r="I3" i="1056"/>
  <c r="D69" i="1032"/>
  <c r="E40" i="1039"/>
  <c r="F6" i="1039" s="1"/>
  <c r="C40" i="1039"/>
  <c r="D40" i="1039" s="1"/>
  <c r="B33" i="1039"/>
  <c r="D16" i="1051"/>
  <c r="J3" i="1051" s="1"/>
  <c r="B5" i="1051"/>
  <c r="C40" i="1037"/>
  <c r="J3" i="1066"/>
  <c r="K3" i="1070"/>
  <c r="I3" i="1070"/>
  <c r="B5" i="1071"/>
  <c r="K3" i="1063"/>
  <c r="D14" i="1046"/>
  <c r="D40" i="1046"/>
  <c r="G40" i="1046" s="1"/>
  <c r="B4" i="1046" s="1"/>
  <c r="D16" i="1044"/>
  <c r="F16" i="1044"/>
  <c r="B33" i="1044"/>
  <c r="G40" i="1038"/>
  <c r="B4" i="1038" s="1"/>
  <c r="K62" i="1071"/>
  <c r="N6" i="1071"/>
  <c r="G59" i="1071"/>
  <c r="I56" i="1071"/>
  <c r="H57" i="1071"/>
  <c r="H59" i="1071" s="1"/>
  <c r="H58" i="1071"/>
  <c r="H62" i="1070"/>
  <c r="E44" i="1070"/>
  <c r="N6" i="1070"/>
  <c r="I56" i="1070"/>
  <c r="H57" i="1070"/>
  <c r="H58" i="1070"/>
  <c r="E51" i="1069"/>
  <c r="N62" i="1069"/>
  <c r="N6" i="1069"/>
  <c r="E62" i="1069"/>
  <c r="G59" i="1069"/>
  <c r="I56" i="1069"/>
  <c r="H57" i="1069"/>
  <c r="H58" i="1069"/>
  <c r="H62" i="1067"/>
  <c r="J3" i="1067"/>
  <c r="N62" i="1067"/>
  <c r="K62" i="1067"/>
  <c r="N6" i="1067"/>
  <c r="E44" i="1067"/>
  <c r="E62" i="1067"/>
  <c r="I56" i="1067"/>
  <c r="H57" i="1067"/>
  <c r="H59" i="1067" s="1"/>
  <c r="H58" i="1067"/>
  <c r="N62" i="1066"/>
  <c r="K3" i="1066"/>
  <c r="E62" i="1066"/>
  <c r="I3" i="1066"/>
  <c r="N6" i="1066"/>
  <c r="G59" i="1066"/>
  <c r="I56" i="1066"/>
  <c r="H57" i="1066"/>
  <c r="H59" i="1066" s="1"/>
  <c r="H58" i="1066"/>
  <c r="J3" i="1065"/>
  <c r="N62" i="1065"/>
  <c r="N6" i="1065"/>
  <c r="E62" i="1065"/>
  <c r="G59" i="1065"/>
  <c r="I56" i="1065"/>
  <c r="H57" i="1065"/>
  <c r="H59" i="1065" s="1"/>
  <c r="H58" i="1065"/>
  <c r="K3" i="1064"/>
  <c r="H62" i="1064"/>
  <c r="K44" i="1064"/>
  <c r="N62" i="1064"/>
  <c r="K62" i="1064"/>
  <c r="I3" i="1064"/>
  <c r="N6" i="1064"/>
  <c r="E62" i="1064"/>
  <c r="J3" i="1064"/>
  <c r="G59" i="1064"/>
  <c r="I56" i="1064"/>
  <c r="H57" i="1064"/>
  <c r="H58" i="1064"/>
  <c r="K62" i="1063"/>
  <c r="N6" i="1063"/>
  <c r="E62" i="1063"/>
  <c r="G59" i="1063"/>
  <c r="I56" i="1063"/>
  <c r="H57" i="1063"/>
  <c r="H59" i="1063" s="1"/>
  <c r="H58" i="1063"/>
  <c r="H62" i="1062"/>
  <c r="N6" i="1062"/>
  <c r="E62" i="1062"/>
  <c r="G59" i="1062"/>
  <c r="I56" i="1062"/>
  <c r="H57" i="1062"/>
  <c r="H58" i="1062"/>
  <c r="H62" i="1061"/>
  <c r="I3" i="1061"/>
  <c r="N6" i="1061"/>
  <c r="E44" i="1061"/>
  <c r="G59" i="1061"/>
  <c r="I56" i="1061"/>
  <c r="H57" i="1061"/>
  <c r="H58" i="1061"/>
  <c r="J3" i="1060"/>
  <c r="N6" i="1060"/>
  <c r="E62" i="1060"/>
  <c r="H59" i="1060"/>
  <c r="J56" i="1060"/>
  <c r="I58" i="1060"/>
  <c r="I57" i="1060"/>
  <c r="I59" i="1060" s="1"/>
  <c r="H62" i="1059"/>
  <c r="K62" i="1059"/>
  <c r="N62" i="1059"/>
  <c r="N6" i="1059"/>
  <c r="E62" i="1059"/>
  <c r="I56" i="1059"/>
  <c r="H57" i="1059"/>
  <c r="H58" i="1059"/>
  <c r="K51" i="1058"/>
  <c r="K62" i="1058"/>
  <c r="K44" i="1058"/>
  <c r="N6" i="1058"/>
  <c r="E62" i="1058"/>
  <c r="K3" i="1058"/>
  <c r="I3" i="1058"/>
  <c r="J3" i="1058"/>
  <c r="G59" i="1058"/>
  <c r="I56" i="1058"/>
  <c r="H57" i="1058"/>
  <c r="H59" i="1058" s="1"/>
  <c r="H58" i="1058"/>
  <c r="N62" i="1057"/>
  <c r="N6" i="1057"/>
  <c r="I56" i="1057"/>
  <c r="H57" i="1057"/>
  <c r="H58" i="1057"/>
  <c r="J3" i="1056"/>
  <c r="H62" i="1056"/>
  <c r="N6" i="1056"/>
  <c r="E62" i="1056"/>
  <c r="I56" i="1056"/>
  <c r="H57" i="1056"/>
  <c r="H58" i="1056"/>
  <c r="N62" i="1055"/>
  <c r="K3" i="1055"/>
  <c r="I3" i="1055"/>
  <c r="I56" i="1055"/>
  <c r="H57" i="1055"/>
  <c r="H59" i="1055" s="1"/>
  <c r="H58" i="1055"/>
  <c r="N62" i="1054"/>
  <c r="K3" i="1054"/>
  <c r="I3" i="1054"/>
  <c r="J3" i="1054"/>
  <c r="N6" i="1054"/>
  <c r="I56" i="1054"/>
  <c r="H57" i="1054"/>
  <c r="H59" i="1054" s="1"/>
  <c r="H58" i="1054"/>
  <c r="H62" i="1053"/>
  <c r="K44" i="1053"/>
  <c r="N3" i="1053"/>
  <c r="J3" i="1053" s="1"/>
  <c r="F16" i="1053"/>
  <c r="N6" i="1053"/>
  <c r="E62" i="1053"/>
  <c r="E16" i="1053"/>
  <c r="K3" i="1053" s="1"/>
  <c r="C16" i="1053"/>
  <c r="B16" i="1053"/>
  <c r="N4" i="1053"/>
  <c r="F59" i="1053"/>
  <c r="I6" i="1053" s="1"/>
  <c r="G58" i="1053"/>
  <c r="G57" i="1053"/>
  <c r="H56" i="1053"/>
  <c r="H62" i="1052"/>
  <c r="F33" i="1052"/>
  <c r="C14" i="1052"/>
  <c r="D14" i="1052"/>
  <c r="G14" i="1052"/>
  <c r="D40" i="1052"/>
  <c r="G40" i="1052" s="1"/>
  <c r="B4" i="1052" s="1"/>
  <c r="F15" i="1052"/>
  <c r="E15" i="1052"/>
  <c r="B15" i="1052"/>
  <c r="N5" i="1052"/>
  <c r="C15" i="1052"/>
  <c r="D15" i="1052"/>
  <c r="B16" i="1052"/>
  <c r="C16" i="1052"/>
  <c r="D16" i="1052"/>
  <c r="F16" i="1052"/>
  <c r="N3" i="1052"/>
  <c r="E16" i="1052"/>
  <c r="N4" i="1052"/>
  <c r="F14" i="1052"/>
  <c r="E14" i="1052"/>
  <c r="F34" i="1052"/>
  <c r="K50" i="1052"/>
  <c r="K44" i="1052" s="1"/>
  <c r="K49" i="1052"/>
  <c r="K51" i="1052" s="1"/>
  <c r="G58" i="1052"/>
  <c r="G57" i="1052"/>
  <c r="H56" i="1052"/>
  <c r="C53" i="1052"/>
  <c r="A53" i="1052" s="1"/>
  <c r="E50" i="1052"/>
  <c r="E51" i="1052" s="1"/>
  <c r="E49" i="1052"/>
  <c r="H62" i="1051"/>
  <c r="E16" i="1051"/>
  <c r="K3" i="1051" s="1"/>
  <c r="N4" i="1051"/>
  <c r="B16" i="1051"/>
  <c r="I3" i="1051"/>
  <c r="N6" i="1051"/>
  <c r="F59" i="1051"/>
  <c r="I6" i="1051" s="1"/>
  <c r="K50" i="1051"/>
  <c r="K44" i="1051" s="1"/>
  <c r="K49" i="1051"/>
  <c r="K62" i="1051" s="1"/>
  <c r="G58" i="1051"/>
  <c r="G57" i="1051"/>
  <c r="H56" i="1051"/>
  <c r="K51" i="1051"/>
  <c r="K62" i="1050"/>
  <c r="J44" i="1050"/>
  <c r="D15" i="1050"/>
  <c r="C15" i="1050"/>
  <c r="F15" i="1050"/>
  <c r="E15" i="1050"/>
  <c r="B15" i="1050"/>
  <c r="N5" i="1050"/>
  <c r="B16" i="1050"/>
  <c r="E16" i="1050"/>
  <c r="N3" i="1050"/>
  <c r="C16" i="1050"/>
  <c r="D16" i="1050"/>
  <c r="N4" i="1050"/>
  <c r="F16" i="1050"/>
  <c r="F59" i="1050"/>
  <c r="I6" i="1050" s="1"/>
  <c r="G58" i="1050"/>
  <c r="G57" i="1050"/>
  <c r="G59" i="1050" s="1"/>
  <c r="H56" i="1050"/>
  <c r="K50" i="1050"/>
  <c r="K44" i="1050" s="1"/>
  <c r="K49" i="1050"/>
  <c r="E50" i="1050"/>
  <c r="E51" i="1050" s="1"/>
  <c r="E49" i="1050"/>
  <c r="E62" i="1050" s="1"/>
  <c r="K51" i="1050"/>
  <c r="C53" i="1050"/>
  <c r="A53" i="1050" s="1"/>
  <c r="K62" i="1049"/>
  <c r="C15" i="1049"/>
  <c r="F15" i="1049"/>
  <c r="D15" i="1049"/>
  <c r="N5" i="1049"/>
  <c r="B15" i="1049"/>
  <c r="E15" i="1049"/>
  <c r="D16" i="1049"/>
  <c r="B16" i="1049"/>
  <c r="C16" i="1049"/>
  <c r="E16" i="1049"/>
  <c r="N4" i="1049"/>
  <c r="F16" i="1049"/>
  <c r="N3" i="1049"/>
  <c r="G58" i="1049"/>
  <c r="G57" i="1049"/>
  <c r="H56" i="1049"/>
  <c r="C53" i="1049"/>
  <c r="A53" i="1049" s="1"/>
  <c r="K50" i="1049"/>
  <c r="K44" i="1049" s="1"/>
  <c r="K49" i="1049"/>
  <c r="K51" i="1049" s="1"/>
  <c r="E50" i="1049"/>
  <c r="E51" i="1049" s="1"/>
  <c r="E49" i="1049"/>
  <c r="N6" i="1048"/>
  <c r="F142" i="1048"/>
  <c r="J15" i="1048" s="1"/>
  <c r="D16" i="1048"/>
  <c r="E16" i="1048"/>
  <c r="N4" i="1048"/>
  <c r="F16" i="1048"/>
  <c r="N3" i="1048"/>
  <c r="B16" i="1048"/>
  <c r="C16" i="1048"/>
  <c r="F59" i="1048"/>
  <c r="I6" i="1048" s="1"/>
  <c r="G58" i="1048"/>
  <c r="G57" i="1048"/>
  <c r="H56" i="1048"/>
  <c r="K50" i="1048"/>
  <c r="K49" i="1048"/>
  <c r="K51" i="1048" s="1"/>
  <c r="K51" i="1047"/>
  <c r="N62" i="1047"/>
  <c r="C14" i="1047"/>
  <c r="G14" i="1047"/>
  <c r="D14" i="1047"/>
  <c r="F34" i="1047"/>
  <c r="B5" i="1047" s="1"/>
  <c r="C142" i="1047"/>
  <c r="D16" i="1047"/>
  <c r="J3" i="1047" s="1"/>
  <c r="B16" i="1047"/>
  <c r="B15" i="1047"/>
  <c r="N5" i="1047"/>
  <c r="C15" i="1047"/>
  <c r="D15" i="1047"/>
  <c r="F15" i="1047"/>
  <c r="E15" i="1047"/>
  <c r="K3" i="1047" s="1"/>
  <c r="I3" i="1047"/>
  <c r="F59" i="1047"/>
  <c r="I6" i="1047" s="1"/>
  <c r="E50" i="1047"/>
  <c r="E51" i="1047" s="1"/>
  <c r="E49" i="1047"/>
  <c r="E62" i="1047" s="1"/>
  <c r="G58" i="1047"/>
  <c r="G57" i="1047"/>
  <c r="H56" i="1047"/>
  <c r="E44" i="1047"/>
  <c r="C53" i="1047"/>
  <c r="A53" i="1047" s="1"/>
  <c r="N6" i="1046"/>
  <c r="E44" i="1046"/>
  <c r="D16" i="1046"/>
  <c r="E16" i="1046"/>
  <c r="N4" i="1046"/>
  <c r="F16" i="1046"/>
  <c r="N3" i="1046"/>
  <c r="B16" i="1046"/>
  <c r="C16" i="1046"/>
  <c r="G58" i="1046"/>
  <c r="G57" i="1046"/>
  <c r="H56" i="1046"/>
  <c r="K50" i="1046"/>
  <c r="K44" i="1046" s="1"/>
  <c r="K49" i="1046"/>
  <c r="K51" i="1046" s="1"/>
  <c r="N3" i="1045"/>
  <c r="K3" i="1045" s="1"/>
  <c r="B16" i="1045"/>
  <c r="N4" i="1045"/>
  <c r="D16" i="1045"/>
  <c r="F16" i="1045"/>
  <c r="C16" i="1045"/>
  <c r="D15" i="1045"/>
  <c r="F15" i="1045"/>
  <c r="B15" i="1045"/>
  <c r="N5" i="1045"/>
  <c r="C15" i="1045"/>
  <c r="E15" i="1045"/>
  <c r="K50" i="1045"/>
  <c r="N62" i="1045" s="1"/>
  <c r="K49" i="1045"/>
  <c r="E50" i="1045"/>
  <c r="E49" i="1045"/>
  <c r="E44" i="1045" s="1"/>
  <c r="G58" i="1045"/>
  <c r="G57" i="1045"/>
  <c r="H56" i="1045"/>
  <c r="C53" i="1045"/>
  <c r="A53" i="1045" s="1"/>
  <c r="K44" i="1045"/>
  <c r="F142" i="1044"/>
  <c r="J15" i="1044" s="1"/>
  <c r="I13" i="1044" s="1"/>
  <c r="I14" i="1044" s="1"/>
  <c r="C40" i="1044"/>
  <c r="N3" i="1044"/>
  <c r="J3" i="1044" s="1"/>
  <c r="M14" i="1044"/>
  <c r="C15" i="1044"/>
  <c r="E15" i="1044"/>
  <c r="B15" i="1044"/>
  <c r="N5" i="1044"/>
  <c r="D15" i="1044"/>
  <c r="F15" i="1044"/>
  <c r="B40" i="1044"/>
  <c r="D40" i="1044" s="1"/>
  <c r="G40" i="1044" s="1"/>
  <c r="B4" i="1044" s="1"/>
  <c r="N4" i="1044"/>
  <c r="E59" i="1044"/>
  <c r="K48" i="1044"/>
  <c r="K47" i="1044"/>
  <c r="M62" i="1044" s="1"/>
  <c r="K46" i="1044"/>
  <c r="J62" i="1044" s="1"/>
  <c r="D53" i="1044"/>
  <c r="G56" i="1044"/>
  <c r="F58" i="1044"/>
  <c r="F57" i="1044"/>
  <c r="E50" i="1044"/>
  <c r="E51" i="1044" s="1"/>
  <c r="E49" i="1044"/>
  <c r="E44" i="1044" s="1"/>
  <c r="J50" i="1044"/>
  <c r="J49" i="1044"/>
  <c r="J51" i="1044" s="1"/>
  <c r="E14" i="1044"/>
  <c r="G14" i="1044"/>
  <c r="B14" i="1044"/>
  <c r="C14" i="1044"/>
  <c r="F14" i="1044"/>
  <c r="D14" i="1044"/>
  <c r="F33" i="1044"/>
  <c r="F34" i="1044"/>
  <c r="B16" i="1043"/>
  <c r="N4" i="1043"/>
  <c r="D16" i="1043"/>
  <c r="C40" i="1043"/>
  <c r="D40" i="1043" s="1"/>
  <c r="B33" i="1043"/>
  <c r="D14" i="1043" s="1"/>
  <c r="E40" i="1043"/>
  <c r="F6" i="1043" s="1"/>
  <c r="E16" i="1043"/>
  <c r="N3" i="1043"/>
  <c r="E59" i="1043"/>
  <c r="E48" i="1043"/>
  <c r="E47" i="1043"/>
  <c r="G62" i="1043" s="1"/>
  <c r="I14" i="1043" s="1"/>
  <c r="E46" i="1043"/>
  <c r="D62" i="1043" s="1"/>
  <c r="E14" i="1043"/>
  <c r="F14" i="1043"/>
  <c r="F33" i="1043"/>
  <c r="B5" i="1043" s="1"/>
  <c r="F34" i="1043"/>
  <c r="K50" i="1043"/>
  <c r="K44" i="1043" s="1"/>
  <c r="K49" i="1043"/>
  <c r="K62" i="1043" s="1"/>
  <c r="E52" i="1043"/>
  <c r="E54" i="1043" s="1"/>
  <c r="A54" i="1043" s="1"/>
  <c r="D54" i="1043"/>
  <c r="D53" i="1043"/>
  <c r="D50" i="1043"/>
  <c r="D51" i="1043" s="1"/>
  <c r="D49" i="1043"/>
  <c r="G56" i="1043"/>
  <c r="F58" i="1043"/>
  <c r="F57" i="1043"/>
  <c r="F59" i="1043" s="1"/>
  <c r="I6" i="1043" s="1"/>
  <c r="I51" i="1042"/>
  <c r="J50" i="1042"/>
  <c r="J49" i="1042"/>
  <c r="K48" i="1042"/>
  <c r="K47" i="1042"/>
  <c r="M62" i="1042" s="1"/>
  <c r="K46" i="1042"/>
  <c r="J62" i="1042" s="1"/>
  <c r="J51" i="1042"/>
  <c r="J44" i="1042"/>
  <c r="F69" i="1042"/>
  <c r="N3" i="1042" s="1"/>
  <c r="C142" i="1042"/>
  <c r="G56" i="1042"/>
  <c r="F58" i="1042"/>
  <c r="F57" i="1042"/>
  <c r="E48" i="1042"/>
  <c r="E47" i="1042"/>
  <c r="G62" i="1042" s="1"/>
  <c r="I14" i="1042" s="1"/>
  <c r="E46" i="1042"/>
  <c r="D62" i="1042" s="1"/>
  <c r="D53" i="1042"/>
  <c r="E52" i="1042"/>
  <c r="E54" i="1042" s="1"/>
  <c r="D54" i="1042"/>
  <c r="D50" i="1042"/>
  <c r="D51" i="1042" s="1"/>
  <c r="D49" i="1042"/>
  <c r="D44" i="1042" s="1"/>
  <c r="K6" i="1042" s="1"/>
  <c r="E69" i="1041"/>
  <c r="B33" i="1041" s="1"/>
  <c r="D50" i="1041"/>
  <c r="D51" i="1041" s="1"/>
  <c r="D49" i="1041"/>
  <c r="D44" i="1041" s="1"/>
  <c r="K6" i="1041" s="1"/>
  <c r="E52" i="1041"/>
  <c r="E54" i="1041" s="1"/>
  <c r="D54" i="1041"/>
  <c r="A54" i="1041" s="1"/>
  <c r="G56" i="1041"/>
  <c r="F58" i="1041"/>
  <c r="F57" i="1041"/>
  <c r="J50" i="1041"/>
  <c r="J44" i="1041" s="1"/>
  <c r="J49" i="1041"/>
  <c r="J51" i="1041" s="1"/>
  <c r="E48" i="1041"/>
  <c r="E47" i="1041"/>
  <c r="G62" i="1041" s="1"/>
  <c r="E46" i="1041"/>
  <c r="D62" i="1041" s="1"/>
  <c r="F16" i="1041"/>
  <c r="B16" i="1041"/>
  <c r="E16" i="1041"/>
  <c r="C16" i="1041"/>
  <c r="D16" i="1041"/>
  <c r="N4" i="1041"/>
  <c r="C142" i="1041"/>
  <c r="E142" i="1041"/>
  <c r="D142" i="1041"/>
  <c r="K48" i="1041"/>
  <c r="K47" i="1041"/>
  <c r="M62" i="1041" s="1"/>
  <c r="K46" i="1041"/>
  <c r="J62" i="1041" s="1"/>
  <c r="D53" i="1041"/>
  <c r="M14" i="1040"/>
  <c r="F69" i="1040"/>
  <c r="B16" i="1040" s="1"/>
  <c r="D40" i="1040"/>
  <c r="G40" i="1040" s="1"/>
  <c r="B4" i="1040" s="1"/>
  <c r="E14" i="1040"/>
  <c r="D14" i="1040"/>
  <c r="F14" i="1040"/>
  <c r="C14" i="1040"/>
  <c r="B14" i="1040"/>
  <c r="G14" i="1040"/>
  <c r="F33" i="1040"/>
  <c r="F34" i="1040"/>
  <c r="J50" i="1040"/>
  <c r="J44" i="1040" s="1"/>
  <c r="J49" i="1040"/>
  <c r="D50" i="1040"/>
  <c r="D49" i="1040"/>
  <c r="D44" i="1040" s="1"/>
  <c r="K6" i="1040" s="1"/>
  <c r="K48" i="1040"/>
  <c r="K47" i="1040"/>
  <c r="M62" i="1040" s="1"/>
  <c r="K46" i="1040"/>
  <c r="J62" i="1040" s="1"/>
  <c r="E48" i="1040"/>
  <c r="E47" i="1040"/>
  <c r="G62" i="1040" s="1"/>
  <c r="I14" i="1040" s="1"/>
  <c r="E46" i="1040"/>
  <c r="D62" i="1040" s="1"/>
  <c r="E52" i="1040"/>
  <c r="E54" i="1040" s="1"/>
  <c r="D54" i="1040"/>
  <c r="A54" i="1040" s="1"/>
  <c r="J51" i="1040"/>
  <c r="D53" i="1040"/>
  <c r="G56" i="1040"/>
  <c r="F58" i="1040"/>
  <c r="F57" i="1040"/>
  <c r="F69" i="1039"/>
  <c r="E16" i="1039" s="1"/>
  <c r="E59" i="1039"/>
  <c r="K50" i="1039"/>
  <c r="N62" i="1039" s="1"/>
  <c r="K49" i="1039"/>
  <c r="K51" i="1039" s="1"/>
  <c r="E48" i="1039"/>
  <c r="E47" i="1039"/>
  <c r="G62" i="1039" s="1"/>
  <c r="I14" i="1039" s="1"/>
  <c r="E46" i="1039"/>
  <c r="D62" i="1039" s="1"/>
  <c r="D53" i="1039"/>
  <c r="E14" i="1039"/>
  <c r="D14" i="1039"/>
  <c r="C14" i="1039"/>
  <c r="G14" i="1039"/>
  <c r="B14" i="1039"/>
  <c r="F14" i="1039"/>
  <c r="F34" i="1039"/>
  <c r="F33" i="1039"/>
  <c r="G56" i="1039"/>
  <c r="F58" i="1039"/>
  <c r="F57" i="1039"/>
  <c r="F59" i="1039" s="1"/>
  <c r="I6" i="1039" s="1"/>
  <c r="D50" i="1039"/>
  <c r="D49" i="1039"/>
  <c r="D44" i="1039" s="1"/>
  <c r="K6" i="1039" s="1"/>
  <c r="E52" i="1039"/>
  <c r="E54" i="1039" s="1"/>
  <c r="D54" i="1039"/>
  <c r="F14" i="1038"/>
  <c r="F69" i="1038"/>
  <c r="F16" i="1038" s="1"/>
  <c r="D53" i="1038"/>
  <c r="G56" i="1038"/>
  <c r="F58" i="1038"/>
  <c r="F57" i="1038"/>
  <c r="F59" i="1038" s="1"/>
  <c r="I6" i="1038" s="1"/>
  <c r="E52" i="1038"/>
  <c r="E54" i="1038" s="1"/>
  <c r="A54" i="1038" s="1"/>
  <c r="D54" i="1038"/>
  <c r="D50" i="1038"/>
  <c r="D51" i="1038" s="1"/>
  <c r="D49" i="1038"/>
  <c r="D44" i="1038" s="1"/>
  <c r="K6" i="1038" s="1"/>
  <c r="J50" i="1038"/>
  <c r="J44" i="1038" s="1"/>
  <c r="J49" i="1038"/>
  <c r="J51" i="1038" s="1"/>
  <c r="E48" i="1038"/>
  <c r="E47" i="1038"/>
  <c r="G62" i="1038" s="1"/>
  <c r="I14" i="1038" s="1"/>
  <c r="E46" i="1038"/>
  <c r="D62" i="1038" s="1"/>
  <c r="K48" i="1038"/>
  <c r="K47" i="1038"/>
  <c r="M62" i="1038" s="1"/>
  <c r="K46" i="1038"/>
  <c r="J62" i="1038" s="1"/>
  <c r="E40" i="1037"/>
  <c r="F6" i="1037" s="1"/>
  <c r="B16" i="1037"/>
  <c r="E16" i="1037"/>
  <c r="C16" i="1037"/>
  <c r="N3" i="1037"/>
  <c r="D16" i="1037"/>
  <c r="F16" i="1037"/>
  <c r="N4" i="1037"/>
  <c r="B40" i="1037"/>
  <c r="D40" i="1037" s="1"/>
  <c r="G40" i="1037" s="1"/>
  <c r="B4" i="1037" s="1"/>
  <c r="E59" i="1037"/>
  <c r="G56" i="1037"/>
  <c r="F58" i="1037"/>
  <c r="F57" i="1037"/>
  <c r="D53" i="1037"/>
  <c r="E52" i="1037"/>
  <c r="E54" i="1037" s="1"/>
  <c r="D54" i="1037"/>
  <c r="D50" i="1037"/>
  <c r="D49" i="1037"/>
  <c r="D44" i="1037" s="1"/>
  <c r="K6" i="1037" s="1"/>
  <c r="E14" i="1037"/>
  <c r="F14" i="1037"/>
  <c r="G14" i="1037"/>
  <c r="B14" i="1037"/>
  <c r="D14" i="1037"/>
  <c r="C14" i="1037"/>
  <c r="F33" i="1037"/>
  <c r="F34" i="1037"/>
  <c r="E48" i="1037"/>
  <c r="E47" i="1037"/>
  <c r="G62" i="1037" s="1"/>
  <c r="I14" i="1037" s="1"/>
  <c r="E46" i="1037"/>
  <c r="D62" i="1037" s="1"/>
  <c r="K50" i="1037"/>
  <c r="K44" i="1037" s="1"/>
  <c r="K49" i="1037"/>
  <c r="I51" i="1036"/>
  <c r="B16" i="1036"/>
  <c r="N4" i="1036"/>
  <c r="E16" i="1036"/>
  <c r="C16" i="1036"/>
  <c r="F16" i="1036"/>
  <c r="D16" i="1036"/>
  <c r="E69" i="1036"/>
  <c r="F142" i="1036" s="1"/>
  <c r="J15" i="1036" s="1"/>
  <c r="I13" i="1036" s="1"/>
  <c r="E59" i="1036"/>
  <c r="E52" i="1036"/>
  <c r="E54" i="1036" s="1"/>
  <c r="D54" i="1036"/>
  <c r="J50" i="1036"/>
  <c r="J44" i="1036" s="1"/>
  <c r="J49" i="1036"/>
  <c r="J51" i="1036" s="1"/>
  <c r="D50" i="1036"/>
  <c r="D51" i="1036" s="1"/>
  <c r="D49" i="1036"/>
  <c r="D44" i="1036" s="1"/>
  <c r="K6" i="1036" s="1"/>
  <c r="K48" i="1036"/>
  <c r="K47" i="1036"/>
  <c r="M62" i="1036" s="1"/>
  <c r="K46" i="1036"/>
  <c r="J62" i="1036" s="1"/>
  <c r="E48" i="1036"/>
  <c r="E47" i="1036"/>
  <c r="G62" i="1036" s="1"/>
  <c r="E46" i="1036"/>
  <c r="D62" i="1036" s="1"/>
  <c r="D53" i="1036"/>
  <c r="G56" i="1036"/>
  <c r="F58" i="1036"/>
  <c r="F57" i="1036"/>
  <c r="D51" i="1035"/>
  <c r="I14" i="1035"/>
  <c r="I44" i="1035"/>
  <c r="D53" i="1035"/>
  <c r="C40" i="1035"/>
  <c r="D40" i="1035" s="1"/>
  <c r="B33" i="1035"/>
  <c r="E14" i="1035" s="1"/>
  <c r="E40" i="1035"/>
  <c r="F6" i="1035" s="1"/>
  <c r="N5" i="1035"/>
  <c r="C15" i="1035"/>
  <c r="E15" i="1035"/>
  <c r="F15" i="1035"/>
  <c r="D15" i="1035"/>
  <c r="B15" i="1035"/>
  <c r="D44" i="1035"/>
  <c r="K6" i="1035" s="1"/>
  <c r="F69" i="1035"/>
  <c r="G56" i="1035"/>
  <c r="F58" i="1035"/>
  <c r="F57" i="1035"/>
  <c r="J50" i="1035"/>
  <c r="J49" i="1035"/>
  <c r="J51" i="1035" s="1"/>
  <c r="E50" i="1035"/>
  <c r="E51" i="1035" s="1"/>
  <c r="E49" i="1035"/>
  <c r="E44" i="1035" s="1"/>
  <c r="D14" i="1035"/>
  <c r="B14" i="1035"/>
  <c r="F14" i="1035"/>
  <c r="K48" i="1035"/>
  <c r="K47" i="1035"/>
  <c r="M62" i="1035" s="1"/>
  <c r="K46" i="1035"/>
  <c r="J62" i="1035" s="1"/>
  <c r="I51" i="1034"/>
  <c r="C40" i="1034"/>
  <c r="F16" i="1034"/>
  <c r="E16" i="1034"/>
  <c r="N4" i="1034"/>
  <c r="E59" i="1034"/>
  <c r="D16" i="1034"/>
  <c r="C142" i="1034"/>
  <c r="E142" i="1034"/>
  <c r="F142" i="1034"/>
  <c r="J15" i="1034" s="1"/>
  <c r="I13" i="1034" s="1"/>
  <c r="D142" i="1034"/>
  <c r="C16" i="1034"/>
  <c r="N3" i="1034"/>
  <c r="E14" i="1034"/>
  <c r="G14" i="1034"/>
  <c r="B14" i="1034"/>
  <c r="C14" i="1034"/>
  <c r="F14" i="1034"/>
  <c r="D14" i="1034"/>
  <c r="F34" i="1034"/>
  <c r="F33" i="1034"/>
  <c r="B5" i="1034" s="1"/>
  <c r="D40" i="1034"/>
  <c r="G40" i="1034" s="1"/>
  <c r="B4" i="1034" s="1"/>
  <c r="D50" i="1034"/>
  <c r="D51" i="1034" s="1"/>
  <c r="D49" i="1034"/>
  <c r="E48" i="1034"/>
  <c r="E47" i="1034"/>
  <c r="G62" i="1034" s="1"/>
  <c r="E46" i="1034"/>
  <c r="D62" i="1034" s="1"/>
  <c r="J50" i="1034"/>
  <c r="J44" i="1034" s="1"/>
  <c r="J49" i="1034"/>
  <c r="J51" i="1034" s="1"/>
  <c r="E52" i="1034"/>
  <c r="E54" i="1034" s="1"/>
  <c r="D54" i="1034"/>
  <c r="A54" i="1034" s="1"/>
  <c r="D53" i="1034"/>
  <c r="K48" i="1034"/>
  <c r="K47" i="1034"/>
  <c r="M62" i="1034" s="1"/>
  <c r="K46" i="1034"/>
  <c r="J62" i="1034" s="1"/>
  <c r="G56" i="1034"/>
  <c r="F58" i="1034"/>
  <c r="F57" i="1034"/>
  <c r="F59" i="1034" s="1"/>
  <c r="I6" i="1034" s="1"/>
  <c r="H44" i="1033"/>
  <c r="B51" i="1033"/>
  <c r="D40" i="1033"/>
  <c r="G40" i="1033" s="1"/>
  <c r="B4" i="1033" s="1"/>
  <c r="D59" i="1033"/>
  <c r="G67" i="1033"/>
  <c r="F67" i="1033" s="1"/>
  <c r="G66" i="1033"/>
  <c r="F66" i="1033" s="1"/>
  <c r="G65" i="1033"/>
  <c r="F65" i="1033" s="1"/>
  <c r="G68" i="1033"/>
  <c r="F68" i="1033" s="1"/>
  <c r="E53" i="1033"/>
  <c r="F56" i="1033"/>
  <c r="E58" i="1033"/>
  <c r="E57" i="1033"/>
  <c r="H51" i="1033"/>
  <c r="E14" i="1033"/>
  <c r="C14" i="1033"/>
  <c r="D14" i="1033"/>
  <c r="G14" i="1033"/>
  <c r="B14" i="1033"/>
  <c r="F14" i="1033"/>
  <c r="F33" i="1033"/>
  <c r="F34" i="1033"/>
  <c r="C54" i="1033"/>
  <c r="D52" i="1033"/>
  <c r="I50" i="1033"/>
  <c r="I44" i="1033" s="1"/>
  <c r="I49" i="1033"/>
  <c r="I51" i="1033" s="1"/>
  <c r="C50" i="1033"/>
  <c r="C49" i="1033"/>
  <c r="C44" i="1033" s="1"/>
  <c r="B44" i="1033"/>
  <c r="K45" i="1033"/>
  <c r="J48" i="1033"/>
  <c r="J47" i="1033"/>
  <c r="J46" i="1033"/>
  <c r="E45" i="1033"/>
  <c r="D48" i="1033"/>
  <c r="D47" i="1033"/>
  <c r="D46" i="1033"/>
  <c r="C69" i="1032"/>
  <c r="B33" i="1032" s="1"/>
  <c r="B69" i="1032"/>
  <c r="E69" i="1032"/>
  <c r="M14" i="1032" s="1"/>
  <c r="L69" i="1032"/>
  <c r="D59" i="1032"/>
  <c r="B76" i="1032"/>
  <c r="G66" i="1032"/>
  <c r="F66" i="1032" s="1"/>
  <c r="F65" i="1032"/>
  <c r="G68" i="1032"/>
  <c r="F68" i="1032" s="1"/>
  <c r="B44" i="1032"/>
  <c r="C50" i="1032"/>
  <c r="C51" i="1032" s="1"/>
  <c r="C49" i="1032"/>
  <c r="C44" i="1032" s="1"/>
  <c r="E76" i="1032"/>
  <c r="E142" i="1032"/>
  <c r="C142" i="1032"/>
  <c r="E45" i="1032"/>
  <c r="D48" i="1032"/>
  <c r="D47" i="1032"/>
  <c r="D46" i="1032"/>
  <c r="D76" i="1032"/>
  <c r="C76" i="1032"/>
  <c r="J50" i="1032"/>
  <c r="J44" i="1032" s="1"/>
  <c r="J49" i="1032"/>
  <c r="J51" i="1032" s="1"/>
  <c r="E53" i="1032"/>
  <c r="B51" i="1032"/>
  <c r="D142" i="1032"/>
  <c r="C54" i="1032"/>
  <c r="D52" i="1032"/>
  <c r="F56" i="1032"/>
  <c r="E58" i="1032"/>
  <c r="E57" i="1032"/>
  <c r="K48" i="1032"/>
  <c r="K47" i="1032"/>
  <c r="M62" i="1032" s="1"/>
  <c r="K46" i="1032"/>
  <c r="J62" i="1032" s="1"/>
  <c r="B40" i="1032"/>
  <c r="D76" i="1031"/>
  <c r="D69" i="1031"/>
  <c r="B69" i="1031"/>
  <c r="C69" i="1031"/>
  <c r="C76" i="1031"/>
  <c r="G67" i="1031"/>
  <c r="F67" i="1031" s="1"/>
  <c r="E68" i="1031"/>
  <c r="G68" i="1031"/>
  <c r="L69" i="1031"/>
  <c r="I50" i="1031"/>
  <c r="I49" i="1031"/>
  <c r="E76" i="1031"/>
  <c r="E48" i="1031"/>
  <c r="E47" i="1031"/>
  <c r="G62" i="1031" s="1"/>
  <c r="E46" i="1031"/>
  <c r="D62" i="1031" s="1"/>
  <c r="B76" i="1031"/>
  <c r="F56" i="1031"/>
  <c r="E58" i="1031"/>
  <c r="E57" i="1031"/>
  <c r="K45" i="1031"/>
  <c r="J48" i="1031"/>
  <c r="J47" i="1031"/>
  <c r="J46" i="1031"/>
  <c r="D53" i="1031" s="1"/>
  <c r="F65" i="1031"/>
  <c r="E52" i="1031"/>
  <c r="E54" i="1031" s="1"/>
  <c r="D54" i="1031"/>
  <c r="I51" i="1031"/>
  <c r="E53" i="1031"/>
  <c r="D50" i="1031"/>
  <c r="D51" i="1031" s="1"/>
  <c r="D49" i="1031"/>
  <c r="D44" i="1031" s="1"/>
  <c r="K6" i="1031" s="1"/>
  <c r="H51" i="1031"/>
  <c r="F142" i="1030"/>
  <c r="J15" i="1030" s="1"/>
  <c r="I13" i="1030" s="1"/>
  <c r="C40" i="1030"/>
  <c r="D40" i="1030" s="1"/>
  <c r="G40" i="1030" s="1"/>
  <c r="B4" i="1030" s="1"/>
  <c r="B33" i="1030"/>
  <c r="E14" i="1030" s="1"/>
  <c r="G68" i="1030"/>
  <c r="F68" i="1030" s="1"/>
  <c r="G65" i="1030"/>
  <c r="F65" i="1030" s="1"/>
  <c r="G66" i="1030"/>
  <c r="F66" i="1030" s="1"/>
  <c r="G67" i="1030"/>
  <c r="F67" i="1030" s="1"/>
  <c r="B44" i="1030"/>
  <c r="H51" i="1030"/>
  <c r="E45" i="1030"/>
  <c r="D48" i="1030"/>
  <c r="D47" i="1030"/>
  <c r="D46" i="1030"/>
  <c r="C54" i="1030"/>
  <c r="D52" i="1030"/>
  <c r="E53" i="1030"/>
  <c r="B51" i="1030"/>
  <c r="I50" i="1030"/>
  <c r="I44" i="1030" s="1"/>
  <c r="I49" i="1030"/>
  <c r="K45" i="1030"/>
  <c r="J48" i="1030"/>
  <c r="J47" i="1030"/>
  <c r="J46" i="1030"/>
  <c r="H44" i="1030"/>
  <c r="D14" i="1030"/>
  <c r="G14" i="1030"/>
  <c r="F34" i="1030"/>
  <c r="C50" i="1030"/>
  <c r="C51" i="1030" s="1"/>
  <c r="C49" i="1030"/>
  <c r="C44" i="1030" s="1"/>
  <c r="I51" i="1030"/>
  <c r="F56" i="1030"/>
  <c r="E58" i="1030"/>
  <c r="E57" i="1030"/>
  <c r="D59" i="1029"/>
  <c r="G66" i="1029"/>
  <c r="F66" i="1029" s="1"/>
  <c r="G68" i="1029"/>
  <c r="F68" i="1029" s="1"/>
  <c r="G67" i="1029"/>
  <c r="F67" i="1029" s="1"/>
  <c r="G65" i="1029"/>
  <c r="F65" i="1029" s="1"/>
  <c r="E45" i="1029"/>
  <c r="D48" i="1029"/>
  <c r="D47" i="1029"/>
  <c r="D46" i="1029"/>
  <c r="H51" i="1029"/>
  <c r="H44" i="1029"/>
  <c r="E14" i="1029"/>
  <c r="D14" i="1029"/>
  <c r="G14" i="1029"/>
  <c r="F14" i="1029"/>
  <c r="B14" i="1029"/>
  <c r="C14" i="1029"/>
  <c r="F33" i="1029"/>
  <c r="F34" i="1029"/>
  <c r="E53" i="1029"/>
  <c r="C50" i="1029"/>
  <c r="C49" i="1029"/>
  <c r="C44" i="1029" s="1"/>
  <c r="C54" i="1029"/>
  <c r="D52" i="1029"/>
  <c r="K45" i="1029"/>
  <c r="J48" i="1029"/>
  <c r="J47" i="1029"/>
  <c r="J46" i="1029"/>
  <c r="C51" i="1029"/>
  <c r="F142" i="1029"/>
  <c r="J15" i="1029" s="1"/>
  <c r="I13" i="1029" s="1"/>
  <c r="D142" i="1029"/>
  <c r="C142" i="1029"/>
  <c r="E142" i="1029"/>
  <c r="D40" i="1029"/>
  <c r="G40" i="1029" s="1"/>
  <c r="B4" i="1029" s="1"/>
  <c r="I50" i="1029"/>
  <c r="I44" i="1029" s="1"/>
  <c r="I49" i="1029"/>
  <c r="I51" i="1029" s="1"/>
  <c r="F56" i="1029"/>
  <c r="E58" i="1029"/>
  <c r="E57" i="1029"/>
  <c r="H44" i="1028"/>
  <c r="L69" i="1028"/>
  <c r="B69" i="1028"/>
  <c r="C69" i="1028"/>
  <c r="D69" i="1028"/>
  <c r="E69" i="1028"/>
  <c r="G68" i="1028"/>
  <c r="F68" i="1028" s="1"/>
  <c r="G65" i="1028"/>
  <c r="F65" i="1028" s="1"/>
  <c r="E53" i="1028"/>
  <c r="G66" i="1028"/>
  <c r="F66" i="1028" s="1"/>
  <c r="G67" i="1028"/>
  <c r="F67" i="1028" s="1"/>
  <c r="I50" i="1028"/>
  <c r="I44" i="1028" s="1"/>
  <c r="I49" i="1028"/>
  <c r="D76" i="1028"/>
  <c r="E142" i="1028"/>
  <c r="E48" i="1028"/>
  <c r="E47" i="1028"/>
  <c r="G62" i="1028" s="1"/>
  <c r="E46" i="1028"/>
  <c r="D62" i="1028" s="1"/>
  <c r="N5" i="1028" s="1"/>
  <c r="D50" i="1028"/>
  <c r="D51" i="1028" s="1"/>
  <c r="D49" i="1028"/>
  <c r="D44" i="1028" s="1"/>
  <c r="K6" i="1028" s="1"/>
  <c r="K45" i="1028"/>
  <c r="J48" i="1028"/>
  <c r="J47" i="1028"/>
  <c r="J46" i="1028"/>
  <c r="E76" i="1028"/>
  <c r="B76" i="1028"/>
  <c r="C76" i="1028"/>
  <c r="E52" i="1028"/>
  <c r="E54" i="1028" s="1"/>
  <c r="D54" i="1028"/>
  <c r="A54" i="1028" s="1"/>
  <c r="F56" i="1028"/>
  <c r="E58" i="1028"/>
  <c r="E57" i="1028"/>
  <c r="D142" i="1028"/>
  <c r="L69" i="1027"/>
  <c r="F68" i="1027"/>
  <c r="E69" i="1027"/>
  <c r="M14" i="1027" s="1"/>
  <c r="B69" i="1027"/>
  <c r="C69" i="1027"/>
  <c r="E40" i="1027" s="1"/>
  <c r="F6" i="1027" s="1"/>
  <c r="B76" i="1027"/>
  <c r="E45" i="1027"/>
  <c r="D48" i="1027"/>
  <c r="D47" i="1027"/>
  <c r="D46" i="1027"/>
  <c r="E53" i="1027"/>
  <c r="B51" i="1027"/>
  <c r="K48" i="1027"/>
  <c r="K47" i="1027"/>
  <c r="M62" i="1027" s="1"/>
  <c r="K46" i="1027"/>
  <c r="J62" i="1027" s="1"/>
  <c r="F65" i="1027"/>
  <c r="F56" i="1027"/>
  <c r="E58" i="1027"/>
  <c r="E57" i="1027"/>
  <c r="D76" i="1027"/>
  <c r="C76" i="1027"/>
  <c r="C54" i="1027"/>
  <c r="D52" i="1027"/>
  <c r="J50" i="1027"/>
  <c r="J49" i="1027"/>
  <c r="J51" i="1027" s="1"/>
  <c r="B44" i="1027"/>
  <c r="E76" i="1027"/>
  <c r="C50" i="1027"/>
  <c r="C51" i="1027" s="1"/>
  <c r="C49" i="1027"/>
  <c r="C44" i="1027" s="1"/>
  <c r="B51" i="1026"/>
  <c r="G65" i="1026"/>
  <c r="F65" i="1026" s="1"/>
  <c r="D40" i="1026"/>
  <c r="G40" i="1026" s="1"/>
  <c r="B4" i="1026" s="1"/>
  <c r="D59" i="1026"/>
  <c r="G68" i="1026"/>
  <c r="F68" i="1026" s="1"/>
  <c r="G67" i="1026"/>
  <c r="F67" i="1026" s="1"/>
  <c r="C50" i="1026"/>
  <c r="C49" i="1026"/>
  <c r="C44" i="1026" s="1"/>
  <c r="H44" i="1026"/>
  <c r="C54" i="1026"/>
  <c r="D52" i="1026"/>
  <c r="E58" i="1026"/>
  <c r="E57" i="1026"/>
  <c r="F56" i="1026"/>
  <c r="E45" i="1026"/>
  <c r="D47" i="1026"/>
  <c r="D48" i="1026"/>
  <c r="D46" i="1026"/>
  <c r="H51" i="1026"/>
  <c r="I50" i="1026"/>
  <c r="I44" i="1026" s="1"/>
  <c r="I49" i="1026"/>
  <c r="I51" i="1026" s="1"/>
  <c r="E53" i="1026"/>
  <c r="K45" i="1026"/>
  <c r="J48" i="1026"/>
  <c r="J46" i="1026"/>
  <c r="J47" i="1026"/>
  <c r="E14" i="1026"/>
  <c r="D14" i="1026"/>
  <c r="C14" i="1026"/>
  <c r="F34" i="1026"/>
  <c r="G14" i="1026"/>
  <c r="B14" i="1026"/>
  <c r="F14" i="1026"/>
  <c r="F33" i="1026"/>
  <c r="C59" i="1025"/>
  <c r="E56" i="1025"/>
  <c r="D57" i="1025"/>
  <c r="D58" i="1025"/>
  <c r="G68" i="1025" s="1"/>
  <c r="L66" i="1025"/>
  <c r="N64" i="1025"/>
  <c r="L65" i="1025"/>
  <c r="L68" i="1025"/>
  <c r="L67" i="1025"/>
  <c r="M65" i="1025"/>
  <c r="M68" i="1025"/>
  <c r="M67" i="1025"/>
  <c r="M66" i="1025"/>
  <c r="O64" i="1025"/>
  <c r="B75" i="1025"/>
  <c r="B74" i="1025"/>
  <c r="B73" i="1025"/>
  <c r="B72" i="1025"/>
  <c r="B53" i="1025"/>
  <c r="C74" i="1025"/>
  <c r="C73" i="1025"/>
  <c r="C72" i="1025"/>
  <c r="C75" i="1025"/>
  <c r="K67" i="1025"/>
  <c r="K66" i="1025"/>
  <c r="K69" i="1025"/>
  <c r="K65" i="1025"/>
  <c r="K68" i="1025"/>
  <c r="D73" i="1025"/>
  <c r="D72" i="1025"/>
  <c r="D75" i="1025"/>
  <c r="D74" i="1025"/>
  <c r="E72" i="1025"/>
  <c r="E75" i="1025"/>
  <c r="E74" i="1025"/>
  <c r="E73" i="1025"/>
  <c r="F75" i="1025"/>
  <c r="F74" i="1025"/>
  <c r="F73" i="1025"/>
  <c r="F72" i="1025"/>
  <c r="H51" i="1025"/>
  <c r="B50" i="1025"/>
  <c r="B51" i="1025" s="1"/>
  <c r="B49" i="1025"/>
  <c r="I50" i="1025"/>
  <c r="I44" i="1025" s="1"/>
  <c r="I49" i="1025"/>
  <c r="I51" i="1025" s="1"/>
  <c r="B67" i="1025"/>
  <c r="B66" i="1025"/>
  <c r="B65" i="1025"/>
  <c r="B68" i="1025"/>
  <c r="C66" i="1025"/>
  <c r="C65" i="1025"/>
  <c r="C68" i="1025"/>
  <c r="C67" i="1025"/>
  <c r="D65" i="1025"/>
  <c r="D68" i="1025"/>
  <c r="D67" i="1025"/>
  <c r="D66" i="1025"/>
  <c r="B54" i="1025"/>
  <c r="C52" i="1025"/>
  <c r="K45" i="1025"/>
  <c r="J48" i="1025"/>
  <c r="J47" i="1025"/>
  <c r="J46" i="1025"/>
  <c r="N68" i="1025"/>
  <c r="E68" i="1025" s="1"/>
  <c r="N67" i="1025"/>
  <c r="E67" i="1025"/>
  <c r="N66" i="1025"/>
  <c r="E66" i="1025"/>
  <c r="N65" i="1025"/>
  <c r="E65" i="1025"/>
  <c r="O67" i="1025"/>
  <c r="O66" i="1025"/>
  <c r="O65" i="1025"/>
  <c r="O68" i="1025"/>
  <c r="I69" i="1025"/>
  <c r="I65" i="1025"/>
  <c r="I68" i="1025"/>
  <c r="I67" i="1025"/>
  <c r="I66" i="1025"/>
  <c r="J68" i="1025"/>
  <c r="J67" i="1025"/>
  <c r="J66" i="1025"/>
  <c r="J69" i="1025"/>
  <c r="J65" i="1025"/>
  <c r="D45" i="1025"/>
  <c r="C48" i="1025"/>
  <c r="C47" i="1025"/>
  <c r="C46" i="1025"/>
  <c r="B51" i="1024"/>
  <c r="E45" i="1024"/>
  <c r="D48" i="1024"/>
  <c r="D47" i="1024"/>
  <c r="D46" i="1024"/>
  <c r="O67" i="1024"/>
  <c r="O66" i="1024"/>
  <c r="O65" i="1024"/>
  <c r="O68" i="1024"/>
  <c r="I69" i="1024"/>
  <c r="I65" i="1024"/>
  <c r="I68" i="1024"/>
  <c r="I67" i="1024"/>
  <c r="I66" i="1024"/>
  <c r="J68" i="1024"/>
  <c r="J67" i="1024"/>
  <c r="J66" i="1024"/>
  <c r="J69" i="1024"/>
  <c r="J65" i="1024"/>
  <c r="B44" i="1024"/>
  <c r="L66" i="1024"/>
  <c r="N64" i="1024"/>
  <c r="L65" i="1024"/>
  <c r="L68" i="1024"/>
  <c r="L67" i="1024"/>
  <c r="M65" i="1024"/>
  <c r="M68" i="1024"/>
  <c r="M67" i="1024"/>
  <c r="O64" i="1024"/>
  <c r="M66" i="1024"/>
  <c r="B75" i="1024"/>
  <c r="B74" i="1024"/>
  <c r="B73" i="1024"/>
  <c r="B72" i="1024"/>
  <c r="C50" i="1024"/>
  <c r="C51" i="1024" s="1"/>
  <c r="C49" i="1024"/>
  <c r="C44" i="1024" s="1"/>
  <c r="E56" i="1024"/>
  <c r="D57" i="1024"/>
  <c r="G65" i="1024" s="1"/>
  <c r="F65" i="1024" s="1"/>
  <c r="D58" i="1024"/>
  <c r="G68" i="1024" s="1"/>
  <c r="C74" i="1024"/>
  <c r="C73" i="1024"/>
  <c r="C72" i="1024"/>
  <c r="C75" i="1024"/>
  <c r="B67" i="1024"/>
  <c r="B66" i="1024"/>
  <c r="B65" i="1024"/>
  <c r="B68" i="1024"/>
  <c r="C66" i="1024"/>
  <c r="C65" i="1024"/>
  <c r="C68" i="1024"/>
  <c r="C67" i="1024"/>
  <c r="D65" i="1024"/>
  <c r="D68" i="1024"/>
  <c r="D67" i="1024"/>
  <c r="D66" i="1024"/>
  <c r="H50" i="1024"/>
  <c r="H49" i="1024"/>
  <c r="C54" i="1024"/>
  <c r="D52" i="1024"/>
  <c r="N68" i="1024"/>
  <c r="E68" i="1024"/>
  <c r="N67" i="1024"/>
  <c r="E67" i="1024"/>
  <c r="N66" i="1024"/>
  <c r="E66" i="1024"/>
  <c r="F66" i="1024" s="1"/>
  <c r="N65" i="1024"/>
  <c r="E65" i="1024"/>
  <c r="G66" i="1024"/>
  <c r="G67" i="1024"/>
  <c r="F67" i="1024" s="1"/>
  <c r="K67" i="1024"/>
  <c r="K66" i="1024"/>
  <c r="K69" i="1024"/>
  <c r="K65" i="1024"/>
  <c r="K68" i="1024"/>
  <c r="D73" i="1024"/>
  <c r="D72" i="1024"/>
  <c r="D75" i="1024"/>
  <c r="D74" i="1024"/>
  <c r="E72" i="1024"/>
  <c r="E75" i="1024"/>
  <c r="E74" i="1024"/>
  <c r="E73" i="1024"/>
  <c r="F75" i="1024"/>
  <c r="F74" i="1024"/>
  <c r="F73" i="1024"/>
  <c r="F72" i="1024"/>
  <c r="J45" i="1024"/>
  <c r="I48" i="1024"/>
  <c r="I47" i="1024"/>
  <c r="I46" i="1024"/>
  <c r="E53" i="1024" s="1"/>
  <c r="J45" i="1023"/>
  <c r="I48" i="1023"/>
  <c r="I47" i="1023"/>
  <c r="I46" i="1023"/>
  <c r="B50" i="1023"/>
  <c r="B51" i="1023" s="1"/>
  <c r="B49" i="1023"/>
  <c r="B44" i="1023" s="1"/>
  <c r="B67" i="1023"/>
  <c r="B66" i="1023"/>
  <c r="B65" i="1023"/>
  <c r="B68" i="1023"/>
  <c r="C66" i="1023"/>
  <c r="C65" i="1023"/>
  <c r="C68" i="1023"/>
  <c r="C67" i="1023"/>
  <c r="D65" i="1023"/>
  <c r="D68" i="1023"/>
  <c r="D67" i="1023"/>
  <c r="D66" i="1023"/>
  <c r="B54" i="1023"/>
  <c r="C52" i="1023"/>
  <c r="N68" i="1023"/>
  <c r="E68" i="1023" s="1"/>
  <c r="N67" i="1023"/>
  <c r="E67" i="1023"/>
  <c r="N66" i="1023"/>
  <c r="E66" i="1023"/>
  <c r="N65" i="1023"/>
  <c r="E65" i="1023"/>
  <c r="G65" i="1023"/>
  <c r="O67" i="1023"/>
  <c r="O66" i="1023"/>
  <c r="O65" i="1023"/>
  <c r="F65" i="1023"/>
  <c r="O68" i="1023"/>
  <c r="I69" i="1023"/>
  <c r="I65" i="1023"/>
  <c r="I68" i="1023"/>
  <c r="I67" i="1023"/>
  <c r="I66" i="1023"/>
  <c r="J68" i="1023"/>
  <c r="J67" i="1023"/>
  <c r="J66" i="1023"/>
  <c r="J69" i="1023"/>
  <c r="J65" i="1023"/>
  <c r="E56" i="1023"/>
  <c r="D57" i="1023"/>
  <c r="D58" i="1023"/>
  <c r="H49" i="1023"/>
  <c r="H50" i="1023"/>
  <c r="H44" i="1023" s="1"/>
  <c r="D45" i="1023"/>
  <c r="C48" i="1023"/>
  <c r="C47" i="1023"/>
  <c r="C46" i="1023"/>
  <c r="C74" i="1023"/>
  <c r="C73" i="1023"/>
  <c r="C72" i="1023"/>
  <c r="C75" i="1023"/>
  <c r="L66" i="1023"/>
  <c r="N64" i="1023"/>
  <c r="L65" i="1023"/>
  <c r="L68" i="1023"/>
  <c r="L67" i="1023"/>
  <c r="M65" i="1023"/>
  <c r="M68" i="1023"/>
  <c r="M67" i="1023"/>
  <c r="M66" i="1023"/>
  <c r="O64" i="1023"/>
  <c r="B75" i="1023"/>
  <c r="B74" i="1023"/>
  <c r="B73" i="1023"/>
  <c r="B72" i="1023"/>
  <c r="B53" i="1023"/>
  <c r="K67" i="1023"/>
  <c r="K66" i="1023"/>
  <c r="K69" i="1023"/>
  <c r="K65" i="1023"/>
  <c r="K68" i="1023"/>
  <c r="D73" i="1023"/>
  <c r="D72" i="1023"/>
  <c r="D75" i="1023"/>
  <c r="D74" i="1023"/>
  <c r="E72" i="1023"/>
  <c r="E75" i="1023"/>
  <c r="E74" i="1023"/>
  <c r="E73" i="1023"/>
  <c r="F75" i="1023"/>
  <c r="F74" i="1023"/>
  <c r="F73" i="1023"/>
  <c r="F72" i="1023"/>
  <c r="B53" i="1022"/>
  <c r="L66" i="1022"/>
  <c r="N64" i="1022"/>
  <c r="L65" i="1022"/>
  <c r="L69" i="1022" s="1"/>
  <c r="L68" i="1022"/>
  <c r="L67" i="1022"/>
  <c r="I69" i="1022"/>
  <c r="I65" i="1022"/>
  <c r="I68" i="1022"/>
  <c r="I67" i="1022"/>
  <c r="I66" i="1022"/>
  <c r="J68" i="1022"/>
  <c r="J67" i="1022"/>
  <c r="J66" i="1022"/>
  <c r="J69" i="1022"/>
  <c r="J65" i="1022"/>
  <c r="D65" i="1022"/>
  <c r="D68" i="1022"/>
  <c r="D67" i="1022"/>
  <c r="D66" i="1022"/>
  <c r="I50" i="1022"/>
  <c r="I44" i="1022" s="1"/>
  <c r="I49" i="1022"/>
  <c r="I51" i="1022" s="1"/>
  <c r="B50" i="1022"/>
  <c r="B49" i="1022"/>
  <c r="K67" i="1022"/>
  <c r="K66" i="1022"/>
  <c r="K69" i="1022"/>
  <c r="K65" i="1022"/>
  <c r="K68" i="1022"/>
  <c r="D73" i="1022"/>
  <c r="D72" i="1022"/>
  <c r="D75" i="1022"/>
  <c r="D74" i="1022"/>
  <c r="M65" i="1022"/>
  <c r="M68" i="1022"/>
  <c r="M67" i="1022"/>
  <c r="M66" i="1022"/>
  <c r="O64" i="1022"/>
  <c r="B75" i="1022"/>
  <c r="B74" i="1022"/>
  <c r="B73" i="1022"/>
  <c r="B72" i="1022"/>
  <c r="H51" i="1022"/>
  <c r="D45" i="1022"/>
  <c r="C48" i="1022"/>
  <c r="C47" i="1022"/>
  <c r="C46" i="1022"/>
  <c r="N68" i="1022"/>
  <c r="E68" i="1022" s="1"/>
  <c r="N67" i="1022"/>
  <c r="E67" i="1022"/>
  <c r="N66" i="1022"/>
  <c r="E66" i="1022"/>
  <c r="N65" i="1022"/>
  <c r="E65" i="1022"/>
  <c r="O67" i="1022"/>
  <c r="O66" i="1022"/>
  <c r="O65" i="1022"/>
  <c r="O68" i="1022"/>
  <c r="C66" i="1022"/>
  <c r="C65" i="1022"/>
  <c r="C68" i="1022"/>
  <c r="C67" i="1022"/>
  <c r="K45" i="1022"/>
  <c r="J48" i="1022"/>
  <c r="J47" i="1022"/>
  <c r="J46" i="1022"/>
  <c r="B54" i="1022"/>
  <c r="C52" i="1022"/>
  <c r="H44" i="1022"/>
  <c r="C74" i="1022"/>
  <c r="C73" i="1022"/>
  <c r="C72" i="1022"/>
  <c r="C75" i="1022"/>
  <c r="B67" i="1022"/>
  <c r="B66" i="1022"/>
  <c r="B65" i="1022"/>
  <c r="B68" i="1022"/>
  <c r="E72" i="1022"/>
  <c r="E75" i="1022"/>
  <c r="E74" i="1022"/>
  <c r="E73" i="1022"/>
  <c r="F75" i="1022"/>
  <c r="F74" i="1022"/>
  <c r="F73" i="1022"/>
  <c r="F72" i="1022"/>
  <c r="E56" i="1022"/>
  <c r="D57" i="1022"/>
  <c r="D58" i="1022"/>
  <c r="H51" i="1021"/>
  <c r="H44" i="1021"/>
  <c r="C59" i="1021"/>
  <c r="C74" i="1021"/>
  <c r="C73" i="1021"/>
  <c r="C72" i="1021"/>
  <c r="C75" i="1021"/>
  <c r="K67" i="1021"/>
  <c r="K66" i="1021"/>
  <c r="K69" i="1021"/>
  <c r="K65" i="1021"/>
  <c r="K68" i="1021"/>
  <c r="D73" i="1021"/>
  <c r="D72" i="1021"/>
  <c r="D75" i="1021"/>
  <c r="D74" i="1021"/>
  <c r="E72" i="1021"/>
  <c r="E75" i="1021"/>
  <c r="E74" i="1021"/>
  <c r="E73" i="1021"/>
  <c r="F75" i="1021"/>
  <c r="F74" i="1021"/>
  <c r="F73" i="1021"/>
  <c r="F72" i="1021"/>
  <c r="B53" i="1021"/>
  <c r="E56" i="1021"/>
  <c r="D57" i="1021"/>
  <c r="D58" i="1021"/>
  <c r="G67" i="1021" s="1"/>
  <c r="F67" i="1021" s="1"/>
  <c r="L66" i="1021"/>
  <c r="N64" i="1021"/>
  <c r="L65" i="1021"/>
  <c r="L68" i="1021"/>
  <c r="L67" i="1021"/>
  <c r="M65" i="1021"/>
  <c r="M68" i="1021"/>
  <c r="M67" i="1021"/>
  <c r="M66" i="1021"/>
  <c r="O64" i="1021"/>
  <c r="D45" i="1021"/>
  <c r="C48" i="1021"/>
  <c r="C47" i="1021"/>
  <c r="C46" i="1021"/>
  <c r="I50" i="1021"/>
  <c r="I44" i="1021" s="1"/>
  <c r="I49" i="1021"/>
  <c r="I51" i="1021" s="1"/>
  <c r="N68" i="1021"/>
  <c r="N67" i="1021"/>
  <c r="E67" i="1021"/>
  <c r="N66" i="1021"/>
  <c r="E66" i="1021"/>
  <c r="F66" i="1021" s="1"/>
  <c r="N65" i="1021"/>
  <c r="E65" i="1021"/>
  <c r="G66" i="1021"/>
  <c r="G65" i="1021"/>
  <c r="F65" i="1021" s="1"/>
  <c r="G68" i="1021"/>
  <c r="B67" i="1021"/>
  <c r="B66" i="1021"/>
  <c r="B65" i="1021"/>
  <c r="B68" i="1021"/>
  <c r="C66" i="1021"/>
  <c r="C65" i="1021"/>
  <c r="C68" i="1021"/>
  <c r="C67" i="1021"/>
  <c r="D65" i="1021"/>
  <c r="D68" i="1021"/>
  <c r="D67" i="1021"/>
  <c r="D66" i="1021"/>
  <c r="B50" i="1021"/>
  <c r="B49" i="1021"/>
  <c r="B75" i="1021"/>
  <c r="B74" i="1021"/>
  <c r="B73" i="1021"/>
  <c r="B72" i="1021"/>
  <c r="K45" i="1021"/>
  <c r="J48" i="1021"/>
  <c r="J47" i="1021"/>
  <c r="J46" i="1021"/>
  <c r="O67" i="1021"/>
  <c r="O66" i="1021"/>
  <c r="O65" i="1021"/>
  <c r="O68" i="1021"/>
  <c r="I69" i="1021"/>
  <c r="I65" i="1021"/>
  <c r="I68" i="1021"/>
  <c r="I67" i="1021"/>
  <c r="I66" i="1021"/>
  <c r="J68" i="1021"/>
  <c r="J67" i="1021"/>
  <c r="J66" i="1021"/>
  <c r="J69" i="1021"/>
  <c r="J65" i="1021"/>
  <c r="B54" i="1021"/>
  <c r="C52" i="1021"/>
  <c r="F25" i="1020"/>
  <c r="B3" i="1020" s="1"/>
  <c r="D25" i="1020"/>
  <c r="J19" i="1020"/>
  <c r="K67" i="1020"/>
  <c r="K66" i="1020"/>
  <c r="K69" i="1020"/>
  <c r="K65" i="1020"/>
  <c r="K68" i="1020"/>
  <c r="L14" i="1020"/>
  <c r="L66" i="1020"/>
  <c r="N64" i="1020"/>
  <c r="L65" i="1020"/>
  <c r="L69" i="1020" s="1"/>
  <c r="L68" i="1020"/>
  <c r="L67" i="1020"/>
  <c r="M65" i="1020"/>
  <c r="M68" i="1020"/>
  <c r="M67" i="1020"/>
  <c r="M66" i="1020"/>
  <c r="O64" i="1020"/>
  <c r="B75" i="1020"/>
  <c r="B74" i="1020"/>
  <c r="B73" i="1020"/>
  <c r="B72" i="1020"/>
  <c r="B59" i="1020"/>
  <c r="O67" i="1020"/>
  <c r="O66" i="1020"/>
  <c r="O65" i="1020"/>
  <c r="O68" i="1020"/>
  <c r="I69" i="1020"/>
  <c r="I65" i="1020"/>
  <c r="I68" i="1020"/>
  <c r="I67" i="1020"/>
  <c r="I66" i="1020"/>
  <c r="C58" i="1020"/>
  <c r="C57" i="1020"/>
  <c r="C59" i="1020" s="1"/>
  <c r="D56" i="1020"/>
  <c r="C74" i="1020"/>
  <c r="C73" i="1020"/>
  <c r="C72" i="1020"/>
  <c r="C75" i="1020"/>
  <c r="D73" i="1020"/>
  <c r="D72" i="1020"/>
  <c r="D75" i="1020"/>
  <c r="D74" i="1020"/>
  <c r="E72" i="1020"/>
  <c r="E75" i="1020"/>
  <c r="E74" i="1020"/>
  <c r="E73" i="1020"/>
  <c r="F75" i="1020"/>
  <c r="F74" i="1020"/>
  <c r="F73" i="1020"/>
  <c r="F72" i="1020"/>
  <c r="I45" i="1020"/>
  <c r="H47" i="1020"/>
  <c r="H48" i="1020"/>
  <c r="H46" i="1020"/>
  <c r="J68" i="1020"/>
  <c r="J67" i="1020"/>
  <c r="J66" i="1020"/>
  <c r="J69" i="1020"/>
  <c r="J65" i="1020"/>
  <c r="N68" i="1020"/>
  <c r="N67" i="1020"/>
  <c r="E67" i="1020"/>
  <c r="N66" i="1020"/>
  <c r="E66" i="1020"/>
  <c r="N65" i="1020"/>
  <c r="E65" i="1020"/>
  <c r="C45" i="1020"/>
  <c r="B52" i="1020"/>
  <c r="B48" i="1020"/>
  <c r="B46" i="1020"/>
  <c r="B47" i="1020"/>
  <c r="B67" i="1020"/>
  <c r="B66" i="1020"/>
  <c r="B65" i="1020"/>
  <c r="B68" i="1020"/>
  <c r="C66" i="1020"/>
  <c r="C65" i="1020"/>
  <c r="C68" i="1020"/>
  <c r="C67" i="1020"/>
  <c r="D65" i="1020"/>
  <c r="D68" i="1020"/>
  <c r="E68" i="1020" s="1"/>
  <c r="D67" i="1020"/>
  <c r="D66" i="1020"/>
  <c r="D24" i="1019"/>
  <c r="J19" i="1019"/>
  <c r="H49" i="1019"/>
  <c r="H50" i="1019"/>
  <c r="F71" i="1019"/>
  <c r="B71" i="1019"/>
  <c r="J64" i="1019"/>
  <c r="D64" i="1019"/>
  <c r="E71" i="1019"/>
  <c r="M64" i="1019"/>
  <c r="I64" i="1019"/>
  <c r="C64" i="1019"/>
  <c r="D71" i="1019"/>
  <c r="L64" i="1019"/>
  <c r="F64" i="1019"/>
  <c r="B64" i="1019"/>
  <c r="K64" i="1019"/>
  <c r="D3" i="1019"/>
  <c r="E64" i="1019"/>
  <c r="F3" i="1019"/>
  <c r="A16" i="1019"/>
  <c r="C71" i="1019"/>
  <c r="D25" i="1019"/>
  <c r="F25" i="1019"/>
  <c r="B3" i="1019" s="1"/>
  <c r="B59" i="1019"/>
  <c r="C45" i="1019"/>
  <c r="B52" i="1019"/>
  <c r="B48" i="1019"/>
  <c r="B46" i="1019"/>
  <c r="B47" i="1019"/>
  <c r="C58" i="1019"/>
  <c r="C57" i="1019"/>
  <c r="D56" i="1019"/>
  <c r="J45" i="1019"/>
  <c r="I48" i="1019"/>
  <c r="I47" i="1019"/>
  <c r="I46" i="1019"/>
  <c r="J19" i="1018"/>
  <c r="B3" i="1018" s="1"/>
  <c r="I45" i="1018"/>
  <c r="H47" i="1018"/>
  <c r="H48" i="1018"/>
  <c r="H46" i="1018"/>
  <c r="B53" i="1018"/>
  <c r="B59" i="1018"/>
  <c r="B50" i="1018"/>
  <c r="B49" i="1018"/>
  <c r="F71" i="1018"/>
  <c r="B71" i="1018"/>
  <c r="J64" i="1018"/>
  <c r="D64" i="1018"/>
  <c r="E71" i="1018"/>
  <c r="M64" i="1018"/>
  <c r="I64" i="1018"/>
  <c r="C64" i="1018"/>
  <c r="A16" i="1018"/>
  <c r="D71" i="1018"/>
  <c r="L64" i="1018"/>
  <c r="F64" i="1018"/>
  <c r="B64" i="1018"/>
  <c r="K64" i="1018"/>
  <c r="F3" i="1018"/>
  <c r="C71" i="1018"/>
  <c r="E64" i="1018"/>
  <c r="D3" i="1018"/>
  <c r="B54" i="1018"/>
  <c r="C52" i="1018"/>
  <c r="C58" i="1018"/>
  <c r="C57" i="1018"/>
  <c r="D56" i="1018"/>
  <c r="D45" i="1018"/>
  <c r="C48" i="1018"/>
  <c r="C47" i="1018"/>
  <c r="C46" i="1018"/>
  <c r="F25" i="1017"/>
  <c r="B3" i="1017" s="1"/>
  <c r="D25" i="1017"/>
  <c r="J19" i="1017"/>
  <c r="B50" i="1017"/>
  <c r="B49" i="1017"/>
  <c r="B44" i="1017" s="1"/>
  <c r="B59" i="1017"/>
  <c r="B53" i="1017"/>
  <c r="C58" i="1017"/>
  <c r="C57" i="1017"/>
  <c r="C59" i="1017" s="1"/>
  <c r="D56" i="1017"/>
  <c r="F71" i="1017"/>
  <c r="B71" i="1017"/>
  <c r="J64" i="1017"/>
  <c r="D64" i="1017"/>
  <c r="E71" i="1017"/>
  <c r="M64" i="1017"/>
  <c r="I64" i="1017"/>
  <c r="C64" i="1017"/>
  <c r="D71" i="1017"/>
  <c r="L64" i="1017"/>
  <c r="F64" i="1017"/>
  <c r="B64" i="1017"/>
  <c r="K64" i="1017"/>
  <c r="F3" i="1017"/>
  <c r="E64" i="1017"/>
  <c r="D3" i="1017"/>
  <c r="A16" i="1017"/>
  <c r="C71" i="1017"/>
  <c r="B54" i="1017"/>
  <c r="C52" i="1017"/>
  <c r="I45" i="1017"/>
  <c r="H47" i="1017"/>
  <c r="H48" i="1017"/>
  <c r="H46" i="1017"/>
  <c r="B51" i="1017"/>
  <c r="D45" i="1017"/>
  <c r="C48" i="1017"/>
  <c r="C47" i="1017"/>
  <c r="C46" i="1017"/>
  <c r="C59" i="1016"/>
  <c r="C45" i="1016"/>
  <c r="B52" i="1016"/>
  <c r="B48" i="1016"/>
  <c r="B47" i="1016"/>
  <c r="B46" i="1016"/>
  <c r="L14" i="1016"/>
  <c r="I69" i="1016"/>
  <c r="I65" i="1016"/>
  <c r="I67" i="1016"/>
  <c r="I68" i="1016"/>
  <c r="I66" i="1016"/>
  <c r="K67" i="1016"/>
  <c r="K69" i="1016"/>
  <c r="K65" i="1016"/>
  <c r="K66" i="1016"/>
  <c r="K68" i="1016"/>
  <c r="B67" i="1016"/>
  <c r="B65" i="1016"/>
  <c r="B66" i="1016"/>
  <c r="B68" i="1016"/>
  <c r="D65" i="1016"/>
  <c r="D67" i="1016"/>
  <c r="D68" i="1016"/>
  <c r="E68" i="1016" s="1"/>
  <c r="D66" i="1016"/>
  <c r="B59" i="1016"/>
  <c r="H50" i="1016"/>
  <c r="H49" i="1016"/>
  <c r="C74" i="1016"/>
  <c r="C72" i="1016"/>
  <c r="C75" i="1016"/>
  <c r="C73" i="1016"/>
  <c r="I50" i="1016"/>
  <c r="I44" i="1016" s="1"/>
  <c r="I49" i="1016"/>
  <c r="E72" i="1016"/>
  <c r="E74" i="1016"/>
  <c r="E75" i="1016"/>
  <c r="E73" i="1016"/>
  <c r="O67" i="1016"/>
  <c r="O65" i="1016"/>
  <c r="O68" i="1016"/>
  <c r="O66" i="1016"/>
  <c r="J68" i="1016"/>
  <c r="J66" i="1016"/>
  <c r="J69" i="1016"/>
  <c r="J67" i="1016"/>
  <c r="J65" i="1016"/>
  <c r="J19" i="1016"/>
  <c r="B3" i="1016" s="1"/>
  <c r="K45" i="1016"/>
  <c r="J48" i="1016"/>
  <c r="J47" i="1016"/>
  <c r="J46" i="1016"/>
  <c r="C66" i="1016"/>
  <c r="C68" i="1016"/>
  <c r="C67" i="1016"/>
  <c r="C65" i="1016"/>
  <c r="C69" i="1016" s="1"/>
  <c r="L66" i="1016"/>
  <c r="N64" i="1016"/>
  <c r="L68" i="1016"/>
  <c r="L67" i="1016"/>
  <c r="L65" i="1016"/>
  <c r="B75" i="1016"/>
  <c r="B73" i="1016"/>
  <c r="B74" i="1016"/>
  <c r="B72" i="1016"/>
  <c r="E56" i="1016"/>
  <c r="D58" i="1016"/>
  <c r="D57" i="1016"/>
  <c r="G67" i="1016" s="1"/>
  <c r="N68" i="1016"/>
  <c r="N66" i="1016"/>
  <c r="E66" i="1016"/>
  <c r="N67" i="1016"/>
  <c r="E67" i="1016"/>
  <c r="N65" i="1016"/>
  <c r="E65" i="1016"/>
  <c r="I51" i="1016"/>
  <c r="M65" i="1016"/>
  <c r="M67" i="1016"/>
  <c r="M68" i="1016"/>
  <c r="M66" i="1016"/>
  <c r="O64" i="1016"/>
  <c r="D73" i="1016"/>
  <c r="D75" i="1016"/>
  <c r="D72" i="1016"/>
  <c r="D74" i="1016"/>
  <c r="F75" i="1016"/>
  <c r="F73" i="1016"/>
  <c r="F74" i="1016"/>
  <c r="F72" i="1016"/>
  <c r="B59" i="1015"/>
  <c r="H50" i="1015"/>
  <c r="H49" i="1015"/>
  <c r="H51" i="1015" s="1"/>
  <c r="J19" i="1015"/>
  <c r="B3" i="1015" s="1"/>
  <c r="C58" i="1015"/>
  <c r="C57" i="1015"/>
  <c r="C59" i="1015" s="1"/>
  <c r="D56" i="1015"/>
  <c r="F71" i="1015"/>
  <c r="B71" i="1015"/>
  <c r="J64" i="1015"/>
  <c r="D64" i="1015"/>
  <c r="E71" i="1015"/>
  <c r="M64" i="1015"/>
  <c r="I64" i="1015"/>
  <c r="C64" i="1015"/>
  <c r="A16" i="1015"/>
  <c r="D71" i="1015"/>
  <c r="L64" i="1015"/>
  <c r="F64" i="1015"/>
  <c r="B64" i="1015"/>
  <c r="K64" i="1015"/>
  <c r="E64" i="1015"/>
  <c r="C71" i="1015"/>
  <c r="D3" i="1015"/>
  <c r="F3" i="1015"/>
  <c r="C45" i="1015"/>
  <c r="B52" i="1015"/>
  <c r="B48" i="1015"/>
  <c r="B46" i="1015"/>
  <c r="B47" i="1015"/>
  <c r="J45" i="1015"/>
  <c r="I48" i="1015"/>
  <c r="I47" i="1015"/>
  <c r="I46" i="1015"/>
  <c r="D25" i="1014"/>
  <c r="F25" i="1014"/>
  <c r="J19" i="1014"/>
  <c r="B3" i="1014" s="1"/>
  <c r="B64" i="1014"/>
  <c r="B67" i="1014" s="1"/>
  <c r="C64" i="1014"/>
  <c r="D64" i="1014"/>
  <c r="D68" i="1014" s="1"/>
  <c r="E68" i="1014" s="1"/>
  <c r="E69" i="1014" s="1"/>
  <c r="F3" i="1014"/>
  <c r="D3" i="1014"/>
  <c r="C71" i="1014"/>
  <c r="K67" i="1014"/>
  <c r="K66" i="1014"/>
  <c r="K69" i="1014"/>
  <c r="K65" i="1014"/>
  <c r="K68" i="1014"/>
  <c r="D73" i="1014"/>
  <c r="D72" i="1014"/>
  <c r="D75" i="1014"/>
  <c r="D74" i="1014"/>
  <c r="E72" i="1014"/>
  <c r="E75" i="1014"/>
  <c r="E74" i="1014"/>
  <c r="E73" i="1014"/>
  <c r="F75" i="1014"/>
  <c r="F74" i="1014"/>
  <c r="F73" i="1014"/>
  <c r="F72" i="1014"/>
  <c r="B59" i="1014"/>
  <c r="M65" i="1014"/>
  <c r="M68" i="1014"/>
  <c r="M67" i="1014"/>
  <c r="M66" i="1014"/>
  <c r="O64" i="1014"/>
  <c r="C45" i="1014"/>
  <c r="B52" i="1014"/>
  <c r="B48" i="1014"/>
  <c r="B46" i="1014"/>
  <c r="B47" i="1014"/>
  <c r="C66" i="1014"/>
  <c r="C65" i="1014"/>
  <c r="C68" i="1014"/>
  <c r="C67" i="1014"/>
  <c r="D65" i="1014"/>
  <c r="I45" i="1014"/>
  <c r="H47" i="1014"/>
  <c r="H48" i="1014"/>
  <c r="H46" i="1014"/>
  <c r="L66" i="1014"/>
  <c r="N64" i="1014"/>
  <c r="L65" i="1014"/>
  <c r="L68" i="1014"/>
  <c r="L67" i="1014"/>
  <c r="B75" i="1014"/>
  <c r="B74" i="1014"/>
  <c r="B73" i="1014"/>
  <c r="B72" i="1014"/>
  <c r="O67" i="1014"/>
  <c r="O66" i="1014"/>
  <c r="O65" i="1014"/>
  <c r="O68" i="1014"/>
  <c r="I69" i="1014"/>
  <c r="I65" i="1014"/>
  <c r="I68" i="1014"/>
  <c r="I67" i="1014"/>
  <c r="I66" i="1014"/>
  <c r="J68" i="1014"/>
  <c r="J67" i="1014"/>
  <c r="J66" i="1014"/>
  <c r="J69" i="1014"/>
  <c r="J65" i="1014"/>
  <c r="C58" i="1014"/>
  <c r="C57" i="1014"/>
  <c r="C59" i="1014" s="1"/>
  <c r="D56" i="1014"/>
  <c r="C74" i="1014"/>
  <c r="C73" i="1014"/>
  <c r="C72" i="1014"/>
  <c r="C75" i="1014"/>
  <c r="B3" i="1013"/>
  <c r="D24" i="1013"/>
  <c r="C45" i="1013"/>
  <c r="B52" i="1013"/>
  <c r="B48" i="1013"/>
  <c r="B46" i="1013"/>
  <c r="B47" i="1013"/>
  <c r="C58" i="1013"/>
  <c r="C57" i="1013"/>
  <c r="D56" i="1013"/>
  <c r="O67" i="1013"/>
  <c r="O66" i="1013"/>
  <c r="O65" i="1013"/>
  <c r="O68" i="1013"/>
  <c r="I69" i="1013"/>
  <c r="I65" i="1013"/>
  <c r="I68" i="1013"/>
  <c r="I67" i="1013"/>
  <c r="I66" i="1013"/>
  <c r="K67" i="1013"/>
  <c r="K66" i="1013"/>
  <c r="K69" i="1013"/>
  <c r="K65" i="1013"/>
  <c r="K68" i="1013"/>
  <c r="N68" i="1013"/>
  <c r="E68" i="1013"/>
  <c r="N67" i="1013"/>
  <c r="E67" i="1013"/>
  <c r="N66" i="1013"/>
  <c r="E66" i="1013"/>
  <c r="N65" i="1013"/>
  <c r="E65" i="1013"/>
  <c r="L14" i="1013"/>
  <c r="L66" i="1013"/>
  <c r="N64" i="1013"/>
  <c r="L65" i="1013"/>
  <c r="L68" i="1013"/>
  <c r="L67" i="1013"/>
  <c r="M65" i="1013"/>
  <c r="M68" i="1013"/>
  <c r="M67" i="1013"/>
  <c r="O64" i="1013"/>
  <c r="M66" i="1013"/>
  <c r="B75" i="1013"/>
  <c r="B74" i="1013"/>
  <c r="B73" i="1013"/>
  <c r="B72" i="1013"/>
  <c r="C74" i="1013"/>
  <c r="C73" i="1013"/>
  <c r="C72" i="1013"/>
  <c r="C75" i="1013"/>
  <c r="J68" i="1013"/>
  <c r="J67" i="1013"/>
  <c r="J66" i="1013"/>
  <c r="J69" i="1013"/>
  <c r="J65" i="1013"/>
  <c r="I45" i="1013"/>
  <c r="H48" i="1013"/>
  <c r="H46" i="1013"/>
  <c r="H47" i="1013"/>
  <c r="B59" i="1013"/>
  <c r="D73" i="1013"/>
  <c r="D72" i="1013"/>
  <c r="D75" i="1013"/>
  <c r="D74" i="1013"/>
  <c r="E72" i="1013"/>
  <c r="E75" i="1013"/>
  <c r="E74" i="1013"/>
  <c r="E73" i="1013"/>
  <c r="F75" i="1013"/>
  <c r="F74" i="1013"/>
  <c r="F73" i="1013"/>
  <c r="F72" i="1013"/>
  <c r="B67" i="1013"/>
  <c r="B66" i="1013"/>
  <c r="B65" i="1013"/>
  <c r="B68" i="1013"/>
  <c r="C66" i="1013"/>
  <c r="C65" i="1013"/>
  <c r="C68" i="1013"/>
  <c r="C67" i="1013"/>
  <c r="D65" i="1013"/>
  <c r="D68" i="1013"/>
  <c r="D67" i="1013"/>
  <c r="D66" i="1013"/>
  <c r="B53" i="1012"/>
  <c r="B50" i="1012"/>
  <c r="B49" i="1012"/>
  <c r="B59" i="1012"/>
  <c r="J19" i="1012"/>
  <c r="B3" i="1012" s="1"/>
  <c r="C58" i="1012"/>
  <c r="C57" i="1012"/>
  <c r="C59" i="1012" s="1"/>
  <c r="D56" i="1012"/>
  <c r="F71" i="1012"/>
  <c r="B71" i="1012"/>
  <c r="J64" i="1012"/>
  <c r="D64" i="1012"/>
  <c r="E71" i="1012"/>
  <c r="M64" i="1012"/>
  <c r="I64" i="1012"/>
  <c r="C64" i="1012"/>
  <c r="D71" i="1012"/>
  <c r="L64" i="1012"/>
  <c r="F64" i="1012"/>
  <c r="B64" i="1012"/>
  <c r="K64" i="1012"/>
  <c r="F3" i="1012"/>
  <c r="E64" i="1012"/>
  <c r="D3" i="1012"/>
  <c r="A16" i="1012"/>
  <c r="C71" i="1012"/>
  <c r="B54" i="1012"/>
  <c r="C52" i="1012"/>
  <c r="I45" i="1012"/>
  <c r="H47" i="1012"/>
  <c r="H48" i="1012"/>
  <c r="H46" i="1012"/>
  <c r="D45" i="1012"/>
  <c r="C48" i="1012"/>
  <c r="C47" i="1012"/>
  <c r="C46" i="1012"/>
  <c r="B3" i="1011"/>
  <c r="K67" i="1011"/>
  <c r="K66" i="1011"/>
  <c r="K69" i="1011"/>
  <c r="K65" i="1011"/>
  <c r="K68" i="1011"/>
  <c r="N68" i="1011"/>
  <c r="N67" i="1011"/>
  <c r="E67" i="1011"/>
  <c r="N66" i="1011"/>
  <c r="E66" i="1011"/>
  <c r="N65" i="1011"/>
  <c r="E65" i="1011"/>
  <c r="B59" i="1011"/>
  <c r="B67" i="1011"/>
  <c r="B66" i="1011"/>
  <c r="B65" i="1011"/>
  <c r="B68" i="1011"/>
  <c r="C66" i="1011"/>
  <c r="C65" i="1011"/>
  <c r="C68" i="1011"/>
  <c r="C67" i="1011"/>
  <c r="I45" i="1011"/>
  <c r="H47" i="1011"/>
  <c r="H48" i="1011"/>
  <c r="H46" i="1011"/>
  <c r="O67" i="1011"/>
  <c r="O66" i="1011"/>
  <c r="O65" i="1011"/>
  <c r="O68" i="1011"/>
  <c r="I69" i="1011"/>
  <c r="I65" i="1011"/>
  <c r="I68" i="1011"/>
  <c r="I67" i="1011"/>
  <c r="I66" i="1011"/>
  <c r="J68" i="1011"/>
  <c r="J67" i="1011"/>
  <c r="J66" i="1011"/>
  <c r="J69" i="1011"/>
  <c r="J65" i="1011"/>
  <c r="D65" i="1011"/>
  <c r="D68" i="1011"/>
  <c r="E68" i="1011" s="1"/>
  <c r="D67" i="1011"/>
  <c r="D66" i="1011"/>
  <c r="C58" i="1011"/>
  <c r="C57" i="1011"/>
  <c r="D56" i="1011"/>
  <c r="C74" i="1011"/>
  <c r="C73" i="1011"/>
  <c r="C72" i="1011"/>
  <c r="C75" i="1011"/>
  <c r="L66" i="1011"/>
  <c r="N64" i="1011"/>
  <c r="L65" i="1011"/>
  <c r="L68" i="1011"/>
  <c r="L67" i="1011"/>
  <c r="M65" i="1011"/>
  <c r="M68" i="1011"/>
  <c r="M67" i="1011"/>
  <c r="M66" i="1011"/>
  <c r="O64" i="1011"/>
  <c r="B75" i="1011"/>
  <c r="B74" i="1011"/>
  <c r="B73" i="1011"/>
  <c r="B72" i="1011"/>
  <c r="C45" i="1011"/>
  <c r="B52" i="1011"/>
  <c r="B48" i="1011"/>
  <c r="B46" i="1011"/>
  <c r="B47" i="1011"/>
  <c r="D73" i="1011"/>
  <c r="D72" i="1011"/>
  <c r="D75" i="1011"/>
  <c r="D74" i="1011"/>
  <c r="E72" i="1011"/>
  <c r="E75" i="1011"/>
  <c r="E74" i="1011"/>
  <c r="E73" i="1011"/>
  <c r="F75" i="1011"/>
  <c r="F74" i="1011"/>
  <c r="F73" i="1011"/>
  <c r="F72" i="1011"/>
  <c r="K67" i="1010"/>
  <c r="K66" i="1010"/>
  <c r="K69" i="1010"/>
  <c r="K65" i="1010"/>
  <c r="K68" i="1010"/>
  <c r="J68" i="1010"/>
  <c r="J67" i="1010"/>
  <c r="J66" i="1010"/>
  <c r="J69" i="1010"/>
  <c r="J65" i="1010"/>
  <c r="C45" i="1010"/>
  <c r="B52" i="1010"/>
  <c r="B48" i="1010"/>
  <c r="B46" i="1010"/>
  <c r="B47" i="1010"/>
  <c r="D73" i="1010"/>
  <c r="D72" i="1010"/>
  <c r="D75" i="1010"/>
  <c r="D74" i="1010"/>
  <c r="M65" i="1010"/>
  <c r="M68" i="1010"/>
  <c r="M67" i="1010"/>
  <c r="M66" i="1010"/>
  <c r="O64" i="1010"/>
  <c r="B75" i="1010"/>
  <c r="B74" i="1010"/>
  <c r="B73" i="1010"/>
  <c r="B72" i="1010"/>
  <c r="H49" i="1010"/>
  <c r="H50" i="1010"/>
  <c r="C58" i="1010"/>
  <c r="C57" i="1010"/>
  <c r="D56" i="1010"/>
  <c r="L66" i="1010"/>
  <c r="N64" i="1010"/>
  <c r="L65" i="1010"/>
  <c r="L68" i="1010"/>
  <c r="L67" i="1010"/>
  <c r="I69" i="1010"/>
  <c r="I65" i="1010"/>
  <c r="I68" i="1010"/>
  <c r="I67" i="1010"/>
  <c r="I66" i="1010"/>
  <c r="H51" i="1010"/>
  <c r="B59" i="1010"/>
  <c r="B67" i="1010"/>
  <c r="B66" i="1010"/>
  <c r="B65" i="1010"/>
  <c r="B68" i="1010"/>
  <c r="E72" i="1010"/>
  <c r="E75" i="1010"/>
  <c r="E74" i="1010"/>
  <c r="E73" i="1010"/>
  <c r="F75" i="1010"/>
  <c r="F74" i="1010"/>
  <c r="F73" i="1010"/>
  <c r="F72" i="1010"/>
  <c r="C74" i="1010"/>
  <c r="C73" i="1010"/>
  <c r="C72" i="1010"/>
  <c r="C75" i="1010"/>
  <c r="O67" i="1010"/>
  <c r="O66" i="1010"/>
  <c r="O65" i="1010"/>
  <c r="O68" i="1010"/>
  <c r="C66" i="1010"/>
  <c r="C65" i="1010"/>
  <c r="C68" i="1010"/>
  <c r="C67" i="1010"/>
  <c r="D65" i="1010"/>
  <c r="D68" i="1010"/>
  <c r="E68" i="1010" s="1"/>
  <c r="D67" i="1010"/>
  <c r="D66" i="1010"/>
  <c r="J45" i="1010"/>
  <c r="I48" i="1010"/>
  <c r="I47" i="1010"/>
  <c r="I46" i="1010"/>
  <c r="B3" i="1009"/>
  <c r="B53" i="1009"/>
  <c r="F71" i="1009"/>
  <c r="B71" i="1009"/>
  <c r="J64" i="1009"/>
  <c r="D64" i="1009"/>
  <c r="E71" i="1009"/>
  <c r="M64" i="1009"/>
  <c r="I64" i="1009"/>
  <c r="C64" i="1009"/>
  <c r="A16" i="1009"/>
  <c r="D71" i="1009"/>
  <c r="L64" i="1009"/>
  <c r="F64" i="1009"/>
  <c r="B64" i="1009"/>
  <c r="K64" i="1009"/>
  <c r="F3" i="1009"/>
  <c r="E64" i="1009"/>
  <c r="D3" i="1009"/>
  <c r="C71" i="1009"/>
  <c r="B50" i="1009"/>
  <c r="B49" i="1009"/>
  <c r="B59" i="1009"/>
  <c r="C58" i="1009"/>
  <c r="C57" i="1009"/>
  <c r="D56" i="1009"/>
  <c r="B54" i="1009"/>
  <c r="C52" i="1009"/>
  <c r="I45" i="1009"/>
  <c r="H47" i="1009"/>
  <c r="H48" i="1009"/>
  <c r="H46" i="1009"/>
  <c r="D45" i="1009"/>
  <c r="C48" i="1009"/>
  <c r="C47" i="1009"/>
  <c r="C46" i="1009"/>
  <c r="J19" i="1008"/>
  <c r="B3" i="1008" s="1"/>
  <c r="E64" i="1008"/>
  <c r="D3" i="1008"/>
  <c r="C66" i="1008"/>
  <c r="C65" i="1008"/>
  <c r="C68" i="1008"/>
  <c r="C67" i="1008"/>
  <c r="I45" i="1008"/>
  <c r="H47" i="1008"/>
  <c r="H48" i="1008"/>
  <c r="H46" i="1008"/>
  <c r="C58" i="1008"/>
  <c r="C57" i="1008"/>
  <c r="D56" i="1008"/>
  <c r="B50" i="1008"/>
  <c r="B49" i="1008"/>
  <c r="B44" i="1008" s="1"/>
  <c r="O67" i="1008"/>
  <c r="O66" i="1008"/>
  <c r="O65" i="1008"/>
  <c r="O68" i="1008"/>
  <c r="I69" i="1008"/>
  <c r="I65" i="1008"/>
  <c r="I68" i="1008"/>
  <c r="I67" i="1008"/>
  <c r="I66" i="1008"/>
  <c r="J68" i="1008"/>
  <c r="J67" i="1008"/>
  <c r="J66" i="1008"/>
  <c r="J69" i="1008"/>
  <c r="J65" i="1008"/>
  <c r="C74" i="1008"/>
  <c r="C73" i="1008"/>
  <c r="C72" i="1008"/>
  <c r="C75" i="1008"/>
  <c r="B54" i="1008"/>
  <c r="C52" i="1008"/>
  <c r="L66" i="1008"/>
  <c r="N64" i="1008"/>
  <c r="L65" i="1008"/>
  <c r="L68" i="1008"/>
  <c r="L67" i="1008"/>
  <c r="M65" i="1008"/>
  <c r="M68" i="1008"/>
  <c r="M67" i="1008"/>
  <c r="M66" i="1008"/>
  <c r="O64" i="1008"/>
  <c r="B75" i="1008"/>
  <c r="B74" i="1008"/>
  <c r="B73" i="1008"/>
  <c r="B72" i="1008"/>
  <c r="B59" i="1008"/>
  <c r="D45" i="1008"/>
  <c r="C48" i="1008"/>
  <c r="C47" i="1008"/>
  <c r="C46" i="1008"/>
  <c r="B67" i="1008"/>
  <c r="B66" i="1008"/>
  <c r="B65" i="1008"/>
  <c r="B68" i="1008"/>
  <c r="D65" i="1008"/>
  <c r="D68" i="1008"/>
  <c r="D67" i="1008"/>
  <c r="D66" i="1008"/>
  <c r="K67" i="1008"/>
  <c r="K66" i="1008"/>
  <c r="K69" i="1008"/>
  <c r="K65" i="1008"/>
  <c r="K68" i="1008"/>
  <c r="D73" i="1008"/>
  <c r="D72" i="1008"/>
  <c r="D75" i="1008"/>
  <c r="D74" i="1008"/>
  <c r="E72" i="1008"/>
  <c r="E75" i="1008"/>
  <c r="E74" i="1008"/>
  <c r="E73" i="1008"/>
  <c r="F75" i="1008"/>
  <c r="F74" i="1008"/>
  <c r="F73" i="1008"/>
  <c r="F72" i="1008"/>
  <c r="B53" i="1008"/>
  <c r="J19" i="1007"/>
  <c r="B3" i="1007" s="1"/>
  <c r="F71" i="1007"/>
  <c r="B71" i="1007"/>
  <c r="J64" i="1007"/>
  <c r="D64" i="1007"/>
  <c r="E71" i="1007"/>
  <c r="M64" i="1007"/>
  <c r="I64" i="1007"/>
  <c r="C64" i="1007"/>
  <c r="A16" i="1007"/>
  <c r="D71" i="1007"/>
  <c r="L64" i="1007"/>
  <c r="F64" i="1007"/>
  <c r="B64" i="1007"/>
  <c r="C71" i="1007"/>
  <c r="K64" i="1007"/>
  <c r="E64" i="1007"/>
  <c r="F3" i="1007"/>
  <c r="D3" i="1007"/>
  <c r="B59" i="1007"/>
  <c r="C45" i="1007"/>
  <c r="B52" i="1007"/>
  <c r="B48" i="1007"/>
  <c r="B47" i="1007"/>
  <c r="B46" i="1007"/>
  <c r="I45" i="1007"/>
  <c r="H48" i="1007"/>
  <c r="H47" i="1007"/>
  <c r="H46" i="1007"/>
  <c r="C58" i="1007"/>
  <c r="C57" i="1007"/>
  <c r="D56" i="1007"/>
  <c r="G37" i="1006"/>
  <c r="D38" i="1006"/>
  <c r="G38" i="1006" s="1"/>
  <c r="C13" i="1006"/>
  <c r="F19" i="1006"/>
  <c r="B24" i="1006"/>
  <c r="F24" i="1006" s="1"/>
  <c r="K11" i="1006"/>
  <c r="L14" i="1006" s="1"/>
  <c r="C71" i="1006"/>
  <c r="I25" i="1006"/>
  <c r="F27" i="1006" s="1"/>
  <c r="N23" i="1006"/>
  <c r="L22" i="1006"/>
  <c r="N21" i="1006"/>
  <c r="N24" i="1006"/>
  <c r="L23" i="1006"/>
  <c r="I22" i="1006"/>
  <c r="L21" i="1006"/>
  <c r="L24" i="1006"/>
  <c r="I23" i="1006"/>
  <c r="I21" i="1006"/>
  <c r="M1" i="1006"/>
  <c r="J20" i="1006"/>
  <c r="F25" i="1006"/>
  <c r="D25" i="1006"/>
  <c r="B45" i="1006"/>
  <c r="F71" i="1006"/>
  <c r="B71" i="1006"/>
  <c r="J64" i="1006"/>
  <c r="D64" i="1006"/>
  <c r="E71" i="1006"/>
  <c r="M64" i="1006"/>
  <c r="I64" i="1006"/>
  <c r="C64" i="1006"/>
  <c r="D71" i="1006"/>
  <c r="L64" i="1006"/>
  <c r="F64" i="1006"/>
  <c r="B64" i="1006"/>
  <c r="A16" i="1006"/>
  <c r="C56" i="1006"/>
  <c r="B58" i="1006"/>
  <c r="B57" i="1006"/>
  <c r="F3" i="1006"/>
  <c r="I17" i="1006"/>
  <c r="J17" i="1006" s="1"/>
  <c r="N22" i="1006"/>
  <c r="I20" i="1006" s="1"/>
  <c r="D13" i="1006"/>
  <c r="H45" i="1006"/>
  <c r="E64" i="1006"/>
  <c r="F20" i="1006"/>
  <c r="K64" i="1006"/>
  <c r="D24" i="1006"/>
  <c r="D37" i="1005"/>
  <c r="G37" i="1005" s="1"/>
  <c r="G38" i="1005"/>
  <c r="F19" i="1005"/>
  <c r="B24" i="1005"/>
  <c r="F24" i="1005" s="1"/>
  <c r="C25" i="1005"/>
  <c r="F25" i="1005" s="1"/>
  <c r="L21" i="1005"/>
  <c r="K11" i="1005"/>
  <c r="L14" i="1005" s="1"/>
  <c r="N22" i="1005"/>
  <c r="I20" i="1005" s="1"/>
  <c r="L17" i="1005"/>
  <c r="C45" i="1005"/>
  <c r="B52" i="1005"/>
  <c r="B48" i="1005"/>
  <c r="B46" i="1005"/>
  <c r="B47" i="1005"/>
  <c r="F20" i="1005"/>
  <c r="I23" i="1005"/>
  <c r="I24" i="1005"/>
  <c r="F26" i="1005" s="1"/>
  <c r="I25" i="1005"/>
  <c r="F27" i="1005" s="1"/>
  <c r="N23" i="1005"/>
  <c r="L22" i="1005"/>
  <c r="N21" i="1005"/>
  <c r="L24" i="1005"/>
  <c r="M1" i="1005"/>
  <c r="L23" i="1005"/>
  <c r="N24" i="1005"/>
  <c r="D13" i="1005"/>
  <c r="H45" i="1005"/>
  <c r="C56" i="1005"/>
  <c r="B58" i="1005"/>
  <c r="B57" i="1005"/>
  <c r="J20" i="1005"/>
  <c r="I21" i="1005"/>
  <c r="I22" i="1005"/>
  <c r="D25" i="1005"/>
  <c r="D37" i="1004"/>
  <c r="G37" i="1004" s="1"/>
  <c r="F20" i="1004"/>
  <c r="F19" i="1004"/>
  <c r="D36" i="1004"/>
  <c r="G36" i="1004" s="1"/>
  <c r="D24" i="1004"/>
  <c r="I25" i="1004"/>
  <c r="F27" i="1004" s="1"/>
  <c r="L22" i="1004"/>
  <c r="L24" i="1004"/>
  <c r="K11" i="1004"/>
  <c r="L14" i="1004" s="1"/>
  <c r="I21" i="1004"/>
  <c r="N22" i="1004"/>
  <c r="I20" i="1004" s="1"/>
  <c r="J20" i="1004"/>
  <c r="N21" i="1004"/>
  <c r="B45" i="1004"/>
  <c r="C45" i="1004" s="1"/>
  <c r="C46" i="1004" s="1"/>
  <c r="D45" i="1004"/>
  <c r="C48" i="1004"/>
  <c r="C47" i="1004"/>
  <c r="B46" i="1004"/>
  <c r="B47" i="1004"/>
  <c r="N24" i="1004"/>
  <c r="L23" i="1004"/>
  <c r="I22" i="1004"/>
  <c r="L21" i="1004"/>
  <c r="M1" i="1004"/>
  <c r="N23" i="1004"/>
  <c r="I24" i="1004"/>
  <c r="F26" i="1004" s="1"/>
  <c r="D25" i="1004"/>
  <c r="H45" i="1004"/>
  <c r="C56" i="1004"/>
  <c r="B58" i="1004"/>
  <c r="B57" i="1004"/>
  <c r="L17" i="1004"/>
  <c r="G13" i="1004"/>
  <c r="C13" i="1004"/>
  <c r="G38" i="1004"/>
  <c r="B48" i="1004"/>
  <c r="B52" i="1004"/>
  <c r="G37" i="1003"/>
  <c r="C13" i="1003"/>
  <c r="C25" i="1003"/>
  <c r="I22" i="1003"/>
  <c r="J20" i="1003"/>
  <c r="I21" i="1003"/>
  <c r="I45" i="1003"/>
  <c r="H47" i="1003"/>
  <c r="H48" i="1003"/>
  <c r="H46" i="1003"/>
  <c r="K11" i="1003"/>
  <c r="L14" i="1003" s="1"/>
  <c r="L17" i="1003"/>
  <c r="F20" i="1003"/>
  <c r="L21" i="1003"/>
  <c r="N22" i="1003"/>
  <c r="I20" i="1003" s="1"/>
  <c r="N24" i="1003"/>
  <c r="B45" i="1003"/>
  <c r="I17" i="1003"/>
  <c r="J17" i="1003" s="1"/>
  <c r="F19" i="1003"/>
  <c r="I23" i="1003"/>
  <c r="D13" i="1003"/>
  <c r="C56" i="1003"/>
  <c r="B58" i="1003"/>
  <c r="B57" i="1003"/>
  <c r="I25" i="1003"/>
  <c r="F27" i="1003" s="1"/>
  <c r="N23" i="1003"/>
  <c r="L22" i="1003"/>
  <c r="N21" i="1003"/>
  <c r="L23" i="1003"/>
  <c r="I24" i="1003"/>
  <c r="F26" i="1003" s="1"/>
  <c r="G37" i="1002"/>
  <c r="D38" i="1002"/>
  <c r="G38" i="1002" s="1"/>
  <c r="F20" i="1002"/>
  <c r="B24" i="1002"/>
  <c r="F24" i="1002" s="1"/>
  <c r="F25" i="1002"/>
  <c r="D25" i="1002"/>
  <c r="B25" i="1002"/>
  <c r="K11" i="1002"/>
  <c r="L14" i="1002" s="1"/>
  <c r="L17" i="1002"/>
  <c r="C45" i="1002"/>
  <c r="B52" i="1002"/>
  <c r="B48" i="1002"/>
  <c r="B46" i="1002"/>
  <c r="B47" i="1002"/>
  <c r="N22" i="1002"/>
  <c r="I20" i="1002" s="1"/>
  <c r="I24" i="1002"/>
  <c r="F26" i="1002" s="1"/>
  <c r="I25" i="1002"/>
  <c r="F27" i="1002" s="1"/>
  <c r="N23" i="1002"/>
  <c r="L22" i="1002"/>
  <c r="N21" i="1002"/>
  <c r="N24" i="1002"/>
  <c r="L23" i="1002"/>
  <c r="I22" i="1002"/>
  <c r="L21" i="1002"/>
  <c r="M1" i="1002"/>
  <c r="J20" i="1002"/>
  <c r="I21" i="1002"/>
  <c r="I23" i="1002"/>
  <c r="L24" i="1002"/>
  <c r="D13" i="1002"/>
  <c r="H45" i="1002"/>
  <c r="C56" i="1002"/>
  <c r="B58" i="1002"/>
  <c r="B57" i="1002"/>
  <c r="D37" i="1001"/>
  <c r="G37" i="1001" s="1"/>
  <c r="F20" i="1001"/>
  <c r="B24" i="1001"/>
  <c r="F24" i="1001" s="1"/>
  <c r="C25" i="1001"/>
  <c r="M1" i="1001"/>
  <c r="L17" i="1001"/>
  <c r="I45" i="1001"/>
  <c r="H47" i="1001"/>
  <c r="H48" i="1001"/>
  <c r="H46" i="1001"/>
  <c r="K11" i="1001"/>
  <c r="L14" i="1001" s="1"/>
  <c r="N22" i="1001"/>
  <c r="I20" i="1001" s="1"/>
  <c r="I24" i="1001"/>
  <c r="F26" i="1001" s="1"/>
  <c r="B45" i="1001"/>
  <c r="J20" i="1001"/>
  <c r="I21" i="1001"/>
  <c r="I23" i="1001"/>
  <c r="L24" i="1001"/>
  <c r="D13" i="1001"/>
  <c r="G13" i="1001"/>
  <c r="C13" i="1001"/>
  <c r="I25" i="1001"/>
  <c r="F27" i="1001" s="1"/>
  <c r="N23" i="1001"/>
  <c r="L22" i="1001"/>
  <c r="N21" i="1001"/>
  <c r="N24" i="1001"/>
  <c r="L23" i="1001"/>
  <c r="I22" i="1001"/>
  <c r="L21" i="1001"/>
  <c r="C56" i="1001"/>
  <c r="B58" i="1001"/>
  <c r="B57" i="1001"/>
  <c r="G37" i="1000"/>
  <c r="D38" i="1000"/>
  <c r="G38" i="1000" s="1"/>
  <c r="F20" i="1000"/>
  <c r="C25" i="1000"/>
  <c r="L17" i="1000"/>
  <c r="F71" i="1000"/>
  <c r="B71" i="1000"/>
  <c r="J64" i="1000"/>
  <c r="D64" i="1000"/>
  <c r="E71" i="1000"/>
  <c r="M64" i="1000"/>
  <c r="I64" i="1000"/>
  <c r="C64" i="1000"/>
  <c r="A16" i="1000"/>
  <c r="D71" i="1000"/>
  <c r="L64" i="1000"/>
  <c r="F64" i="1000"/>
  <c r="B64" i="1000"/>
  <c r="I25" i="1000"/>
  <c r="F27" i="1000" s="1"/>
  <c r="N23" i="1000"/>
  <c r="L22" i="1000"/>
  <c r="N21" i="1000"/>
  <c r="L14" i="1000"/>
  <c r="N24" i="1000"/>
  <c r="L23" i="1000"/>
  <c r="I22" i="1000"/>
  <c r="L21" i="1000"/>
  <c r="M1" i="1000"/>
  <c r="D3" i="1000"/>
  <c r="N22" i="1000"/>
  <c r="I20" i="1000" s="1"/>
  <c r="I24" i="1000"/>
  <c r="F26" i="1000" s="1"/>
  <c r="B45" i="1000"/>
  <c r="F3" i="1000"/>
  <c r="J20" i="1000"/>
  <c r="I21" i="1000"/>
  <c r="I23" i="1000"/>
  <c r="L24" i="1000"/>
  <c r="D13" i="1000"/>
  <c r="H45" i="1000"/>
  <c r="E64" i="1000"/>
  <c r="C71" i="1000"/>
  <c r="C56" i="1000"/>
  <c r="B58" i="1000"/>
  <c r="B57" i="1000"/>
  <c r="K64" i="1000"/>
  <c r="D37" i="999"/>
  <c r="G37" i="999" s="1"/>
  <c r="G38" i="999"/>
  <c r="D20" i="999"/>
  <c r="I25" i="999"/>
  <c r="F27" i="999" s="1"/>
  <c r="N23" i="999"/>
  <c r="L22" i="999"/>
  <c r="N21" i="999"/>
  <c r="N24" i="999"/>
  <c r="L23" i="999"/>
  <c r="I22" i="999"/>
  <c r="L21" i="999"/>
  <c r="M1" i="999"/>
  <c r="L17" i="999"/>
  <c r="F20" i="999"/>
  <c r="D24" i="999"/>
  <c r="D25" i="999"/>
  <c r="B45" i="999"/>
  <c r="K11" i="999"/>
  <c r="L14" i="999" s="1"/>
  <c r="N22" i="999"/>
  <c r="I20" i="999" s="1"/>
  <c r="I24" i="999"/>
  <c r="F26" i="999" s="1"/>
  <c r="G13" i="999"/>
  <c r="C13" i="999"/>
  <c r="H45" i="999"/>
  <c r="C56" i="999"/>
  <c r="B58" i="999"/>
  <c r="B57" i="999"/>
  <c r="J20" i="999"/>
  <c r="I21" i="999"/>
  <c r="I23" i="999"/>
  <c r="L24" i="999"/>
  <c r="D38" i="998"/>
  <c r="G38" i="998" s="1"/>
  <c r="D37" i="998"/>
  <c r="G37" i="998" s="1"/>
  <c r="C13" i="998"/>
  <c r="F20" i="998"/>
  <c r="F19" i="998"/>
  <c r="C25" i="998"/>
  <c r="K11" i="998"/>
  <c r="C45" i="998"/>
  <c r="B52" i="998"/>
  <c r="B48" i="998"/>
  <c r="B46" i="998"/>
  <c r="B47" i="998"/>
  <c r="C56" i="998"/>
  <c r="B58" i="998"/>
  <c r="B57" i="998"/>
  <c r="L17" i="998"/>
  <c r="N22" i="998"/>
  <c r="I20" i="998" s="1"/>
  <c r="I24" i="998"/>
  <c r="F26" i="998" s="1"/>
  <c r="I25" i="998"/>
  <c r="F27" i="998" s="1"/>
  <c r="N23" i="998"/>
  <c r="L22" i="998"/>
  <c r="N21" i="998"/>
  <c r="L14" i="998"/>
  <c r="N24" i="998"/>
  <c r="L23" i="998"/>
  <c r="I22" i="998"/>
  <c r="L21" i="998"/>
  <c r="M1" i="998"/>
  <c r="J20" i="998"/>
  <c r="I21" i="998"/>
  <c r="I23" i="998"/>
  <c r="L24" i="998"/>
  <c r="D13" i="998"/>
  <c r="G13" i="998"/>
  <c r="H45" i="998"/>
  <c r="D37" i="997"/>
  <c r="G37" i="997" s="1"/>
  <c r="D38" i="997"/>
  <c r="G38" i="997" s="1"/>
  <c r="F20" i="997"/>
  <c r="B24" i="997"/>
  <c r="F24" i="997" s="1"/>
  <c r="C25" i="997"/>
  <c r="K11" i="997"/>
  <c r="C45" i="997"/>
  <c r="B52" i="997"/>
  <c r="B48" i="997"/>
  <c r="B46" i="997"/>
  <c r="B47" i="997"/>
  <c r="L17" i="997"/>
  <c r="N22" i="997"/>
  <c r="I20" i="997" s="1"/>
  <c r="I24" i="997"/>
  <c r="F26" i="997" s="1"/>
  <c r="C56" i="997"/>
  <c r="B58" i="997"/>
  <c r="B57" i="997"/>
  <c r="I25" i="997"/>
  <c r="F27" i="997" s="1"/>
  <c r="N23" i="997"/>
  <c r="L22" i="997"/>
  <c r="N21" i="997"/>
  <c r="L14" i="997"/>
  <c r="N24" i="997"/>
  <c r="L23" i="997"/>
  <c r="I22" i="997"/>
  <c r="L21" i="997"/>
  <c r="M1" i="997"/>
  <c r="J20" i="997"/>
  <c r="I21" i="997"/>
  <c r="I23" i="997"/>
  <c r="L24" i="997"/>
  <c r="D13" i="997"/>
  <c r="H45" i="997"/>
  <c r="F143" i="996"/>
  <c r="E143" i="996"/>
  <c r="D143" i="996"/>
  <c r="C143" i="996"/>
  <c r="D20" i="996" s="1"/>
  <c r="B143" i="996"/>
  <c r="B142" i="996"/>
  <c r="F137" i="996"/>
  <c r="E137" i="996"/>
  <c r="D137" i="996"/>
  <c r="C137" i="996"/>
  <c r="B137" i="996"/>
  <c r="F103" i="996"/>
  <c r="B24" i="996" s="1"/>
  <c r="F24" i="996" s="1"/>
  <c r="E103" i="996"/>
  <c r="D103" i="996"/>
  <c r="C103" i="996"/>
  <c r="B103" i="996"/>
  <c r="Y94" i="996"/>
  <c r="X94" i="996"/>
  <c r="W94" i="996"/>
  <c r="V94" i="996"/>
  <c r="U94" i="996"/>
  <c r="T94" i="996"/>
  <c r="S94" i="996"/>
  <c r="R94" i="996"/>
  <c r="Q94" i="996"/>
  <c r="P94" i="996"/>
  <c r="O94" i="996"/>
  <c r="N94" i="996"/>
  <c r="M94" i="996"/>
  <c r="L94" i="996"/>
  <c r="K94" i="996"/>
  <c r="J94" i="996"/>
  <c r="I94" i="996"/>
  <c r="H94" i="996"/>
  <c r="G94" i="996"/>
  <c r="F94" i="996"/>
  <c r="E94" i="996"/>
  <c r="D94" i="996"/>
  <c r="C94" i="996"/>
  <c r="B94" i="996"/>
  <c r="E39" i="996"/>
  <c r="C39" i="996"/>
  <c r="B39" i="996"/>
  <c r="E38" i="996"/>
  <c r="C38" i="996"/>
  <c r="D38" i="996" s="1"/>
  <c r="B38" i="996"/>
  <c r="E37" i="996"/>
  <c r="C37" i="996"/>
  <c r="B37" i="996"/>
  <c r="E36" i="996"/>
  <c r="C36" i="996"/>
  <c r="B36" i="996"/>
  <c r="D34" i="996"/>
  <c r="B34" i="996"/>
  <c r="F13" i="996" s="1"/>
  <c r="D33" i="996"/>
  <c r="D32" i="996"/>
  <c r="B32" i="996"/>
  <c r="F32" i="996" s="1"/>
  <c r="D31" i="996"/>
  <c r="B31" i="996"/>
  <c r="F31" i="996" s="1"/>
  <c r="D30" i="996"/>
  <c r="B30" i="996"/>
  <c r="F30" i="996" s="1"/>
  <c r="C27" i="996"/>
  <c r="D27" i="996" s="1"/>
  <c r="B27" i="996"/>
  <c r="C26" i="996"/>
  <c r="D26" i="996" s="1"/>
  <c r="B26" i="996"/>
  <c r="B22" i="996"/>
  <c r="F22" i="996" s="1"/>
  <c r="D21" i="996"/>
  <c r="B21" i="996"/>
  <c r="B20" i="996"/>
  <c r="D19" i="996"/>
  <c r="B19" i="996"/>
  <c r="K15" i="996"/>
  <c r="N14" i="996"/>
  <c r="G13" i="996"/>
  <c r="C13" i="996"/>
  <c r="B13" i="996"/>
  <c r="M11" i="996"/>
  <c r="M10" i="996"/>
  <c r="F10" i="996"/>
  <c r="E10" i="996"/>
  <c r="D10" i="996"/>
  <c r="C10" i="996"/>
  <c r="B10" i="996"/>
  <c r="M9" i="996"/>
  <c r="D4" i="996"/>
  <c r="E4" i="996" s="1"/>
  <c r="N2" i="996"/>
  <c r="N1" i="996"/>
  <c r="I17" i="996" s="1"/>
  <c r="J17" i="996" s="1"/>
  <c r="K1" i="996"/>
  <c r="D1" i="996"/>
  <c r="C1" i="996"/>
  <c r="F143" i="995"/>
  <c r="E143" i="995"/>
  <c r="D143" i="995"/>
  <c r="C143" i="995"/>
  <c r="B143" i="995"/>
  <c r="B142" i="995"/>
  <c r="F137" i="995"/>
  <c r="E137" i="995"/>
  <c r="D137" i="995"/>
  <c r="C137" i="995"/>
  <c r="B137" i="995"/>
  <c r="F103" i="995"/>
  <c r="E103" i="995"/>
  <c r="D103" i="995"/>
  <c r="C103" i="995"/>
  <c r="B103" i="995"/>
  <c r="Y94" i="995"/>
  <c r="X94" i="995"/>
  <c r="W94" i="995"/>
  <c r="V94" i="995"/>
  <c r="U94" i="995"/>
  <c r="T94" i="995"/>
  <c r="S94" i="995"/>
  <c r="R94" i="995"/>
  <c r="Q94" i="995"/>
  <c r="P94" i="995"/>
  <c r="O94" i="995"/>
  <c r="N94" i="995"/>
  <c r="M94" i="995"/>
  <c r="L94" i="995"/>
  <c r="K94" i="995"/>
  <c r="J94" i="995"/>
  <c r="I94" i="995"/>
  <c r="H94" i="995"/>
  <c r="G94" i="995"/>
  <c r="F94" i="995"/>
  <c r="E94" i="995"/>
  <c r="D94" i="995"/>
  <c r="C94" i="995"/>
  <c r="B94" i="995"/>
  <c r="E39" i="995"/>
  <c r="C39" i="995"/>
  <c r="B39" i="995"/>
  <c r="E38" i="995"/>
  <c r="C38" i="995"/>
  <c r="D38" i="995" s="1"/>
  <c r="G38" i="995" s="1"/>
  <c r="B38" i="995"/>
  <c r="E37" i="995"/>
  <c r="C37" i="995"/>
  <c r="B37" i="995"/>
  <c r="E36" i="995"/>
  <c r="C36" i="995"/>
  <c r="B36" i="995"/>
  <c r="D34" i="995"/>
  <c r="B34" i="995"/>
  <c r="G13" i="995" s="1"/>
  <c r="D33" i="995"/>
  <c r="D32" i="995"/>
  <c r="B32" i="995"/>
  <c r="F32" i="995" s="1"/>
  <c r="D31" i="995"/>
  <c r="B31" i="995"/>
  <c r="F31" i="995" s="1"/>
  <c r="D30" i="995"/>
  <c r="B30" i="995"/>
  <c r="F30" i="995" s="1"/>
  <c r="C27" i="995"/>
  <c r="D27" i="995" s="1"/>
  <c r="B27" i="995"/>
  <c r="C26" i="995"/>
  <c r="D26" i="995" s="1"/>
  <c r="B26" i="995"/>
  <c r="B22" i="995"/>
  <c r="F22" i="995" s="1"/>
  <c r="D21" i="995"/>
  <c r="B21" i="995"/>
  <c r="F21" i="995" s="1"/>
  <c r="B20" i="995"/>
  <c r="D19" i="995"/>
  <c r="B19" i="995"/>
  <c r="F19" i="995" s="1"/>
  <c r="K15" i="995"/>
  <c r="N14" i="995"/>
  <c r="F13" i="995"/>
  <c r="E13" i="995"/>
  <c r="C13" i="995"/>
  <c r="B13" i="995"/>
  <c r="M11" i="995"/>
  <c r="M10" i="995"/>
  <c r="F10" i="995"/>
  <c r="E10" i="995"/>
  <c r="D10" i="995"/>
  <c r="C10" i="995"/>
  <c r="B10" i="995"/>
  <c r="M9" i="995"/>
  <c r="D4" i="995"/>
  <c r="E4" i="995" s="1"/>
  <c r="N2" i="995"/>
  <c r="N1" i="995"/>
  <c r="I17" i="995" s="1"/>
  <c r="J17" i="995" s="1"/>
  <c r="K1" i="995"/>
  <c r="D1" i="995"/>
  <c r="C1" i="995"/>
  <c r="B1" i="995" s="1"/>
  <c r="M4" i="995" s="1"/>
  <c r="F143" i="994"/>
  <c r="E143" i="994"/>
  <c r="D143" i="994"/>
  <c r="C143" i="994"/>
  <c r="B143" i="994"/>
  <c r="B142" i="994"/>
  <c r="F137" i="994"/>
  <c r="E137" i="994"/>
  <c r="D137" i="994"/>
  <c r="C137" i="994"/>
  <c r="B137" i="994"/>
  <c r="F103" i="994"/>
  <c r="E103" i="994"/>
  <c r="D103" i="994"/>
  <c r="C103" i="994"/>
  <c r="C24" i="994" s="1"/>
  <c r="B103" i="994"/>
  <c r="Y94" i="994"/>
  <c r="X94" i="994"/>
  <c r="W94" i="994"/>
  <c r="V94" i="994"/>
  <c r="U94" i="994"/>
  <c r="T94" i="994"/>
  <c r="S94" i="994"/>
  <c r="R94" i="994"/>
  <c r="Q94" i="994"/>
  <c r="P94" i="994"/>
  <c r="O94" i="994"/>
  <c r="N94" i="994"/>
  <c r="M94" i="994"/>
  <c r="L94" i="994"/>
  <c r="K94" i="994"/>
  <c r="J94" i="994"/>
  <c r="I94" i="994"/>
  <c r="H94" i="994"/>
  <c r="G94" i="994"/>
  <c r="F94" i="994"/>
  <c r="E94" i="994"/>
  <c r="D94" i="994"/>
  <c r="C94" i="994"/>
  <c r="B94" i="994"/>
  <c r="E39" i="994"/>
  <c r="C39" i="994"/>
  <c r="D39" i="994" s="1"/>
  <c r="G39" i="994" s="1"/>
  <c r="B39" i="994"/>
  <c r="E38" i="994"/>
  <c r="C38" i="994"/>
  <c r="B38" i="994"/>
  <c r="E37" i="994"/>
  <c r="C37" i="994"/>
  <c r="B37" i="994"/>
  <c r="D37" i="994" s="1"/>
  <c r="E36" i="994"/>
  <c r="C36" i="994"/>
  <c r="D36" i="994" s="1"/>
  <c r="B36" i="994"/>
  <c r="D34" i="994"/>
  <c r="B34" i="994"/>
  <c r="G13" i="994" s="1"/>
  <c r="D33" i="994"/>
  <c r="D32" i="994"/>
  <c r="B32" i="994"/>
  <c r="F32" i="994" s="1"/>
  <c r="F31" i="994"/>
  <c r="D31" i="994"/>
  <c r="B31" i="994"/>
  <c r="D30" i="994"/>
  <c r="B30" i="994"/>
  <c r="F30" i="994" s="1"/>
  <c r="C27" i="994"/>
  <c r="D27" i="994" s="1"/>
  <c r="B27" i="994"/>
  <c r="C26" i="994"/>
  <c r="D26" i="994" s="1"/>
  <c r="B26" i="994"/>
  <c r="B22" i="994"/>
  <c r="F22" i="994" s="1"/>
  <c r="D21" i="994"/>
  <c r="B21" i="994"/>
  <c r="F21" i="994" s="1"/>
  <c r="B20" i="994"/>
  <c r="D19" i="994"/>
  <c r="B19" i="994"/>
  <c r="F19" i="994" s="1"/>
  <c r="K15" i="994"/>
  <c r="N14" i="994"/>
  <c r="E13" i="994"/>
  <c r="C13" i="994"/>
  <c r="M11" i="994"/>
  <c r="M10" i="994"/>
  <c r="F10" i="994"/>
  <c r="E10" i="994"/>
  <c r="D10" i="994"/>
  <c r="C10" i="994"/>
  <c r="B10" i="994"/>
  <c r="M9" i="994"/>
  <c r="D4" i="994"/>
  <c r="E4" i="994" s="1"/>
  <c r="N2" i="994"/>
  <c r="N1" i="994"/>
  <c r="I17" i="994" s="1"/>
  <c r="J17" i="994" s="1"/>
  <c r="K1" i="994"/>
  <c r="D1" i="994"/>
  <c r="C1" i="994"/>
  <c r="F143" i="993"/>
  <c r="E143" i="993"/>
  <c r="D143" i="993"/>
  <c r="C143" i="993"/>
  <c r="B143" i="993"/>
  <c r="B142" i="993"/>
  <c r="F137" i="993"/>
  <c r="E137" i="993"/>
  <c r="D137" i="993"/>
  <c r="C137" i="993"/>
  <c r="B137" i="993"/>
  <c r="F103" i="993"/>
  <c r="E103" i="993"/>
  <c r="D103" i="993"/>
  <c r="C103" i="993"/>
  <c r="B103" i="993"/>
  <c r="Y94" i="993"/>
  <c r="X94" i="993"/>
  <c r="W94" i="993"/>
  <c r="V94" i="993"/>
  <c r="U94" i="993"/>
  <c r="T94" i="993"/>
  <c r="S94" i="993"/>
  <c r="R94" i="993"/>
  <c r="Q94" i="993"/>
  <c r="P94" i="993"/>
  <c r="O94" i="993"/>
  <c r="N94" i="993"/>
  <c r="M94" i="993"/>
  <c r="L94" i="993"/>
  <c r="K94" i="993"/>
  <c r="J94" i="993"/>
  <c r="I94" i="993"/>
  <c r="H94" i="993"/>
  <c r="G94" i="993"/>
  <c r="F94" i="993"/>
  <c r="E94" i="993"/>
  <c r="D94" i="993"/>
  <c r="C94" i="993"/>
  <c r="B94" i="993"/>
  <c r="C25" i="993" s="1"/>
  <c r="E39" i="993"/>
  <c r="C39" i="993"/>
  <c r="B39" i="993"/>
  <c r="E38" i="993"/>
  <c r="C38" i="993"/>
  <c r="D38" i="993" s="1"/>
  <c r="G38" i="993" s="1"/>
  <c r="B38" i="993"/>
  <c r="E37" i="993"/>
  <c r="C37" i="993"/>
  <c r="B37" i="993"/>
  <c r="E36" i="993"/>
  <c r="C36" i="993"/>
  <c r="B36" i="993"/>
  <c r="D34" i="993"/>
  <c r="B34" i="993"/>
  <c r="D13" i="993" s="1"/>
  <c r="D33" i="993"/>
  <c r="D32" i="993"/>
  <c r="B32" i="993"/>
  <c r="F32" i="993" s="1"/>
  <c r="D31" i="993"/>
  <c r="B31" i="993"/>
  <c r="F31" i="993" s="1"/>
  <c r="D30" i="993"/>
  <c r="B30" i="993"/>
  <c r="F30" i="993" s="1"/>
  <c r="C27" i="993"/>
  <c r="D27" i="993" s="1"/>
  <c r="B27" i="993"/>
  <c r="C26" i="993"/>
  <c r="D26" i="993" s="1"/>
  <c r="B26" i="993"/>
  <c r="B22" i="993"/>
  <c r="F22" i="993" s="1"/>
  <c r="D21" i="993"/>
  <c r="B21" i="993"/>
  <c r="F21" i="993" s="1"/>
  <c r="B20" i="993"/>
  <c r="D19" i="993"/>
  <c r="B19" i="993"/>
  <c r="F19" i="993" s="1"/>
  <c r="K15" i="993"/>
  <c r="N14" i="993"/>
  <c r="F13" i="993"/>
  <c r="B13" i="993"/>
  <c r="M11" i="993"/>
  <c r="M10" i="993"/>
  <c r="F10" i="993"/>
  <c r="E10" i="993"/>
  <c r="D10" i="993"/>
  <c r="C10" i="993"/>
  <c r="B10" i="993"/>
  <c r="M9" i="993"/>
  <c r="E4" i="993"/>
  <c r="D4" i="993"/>
  <c r="N2" i="993"/>
  <c r="N1" i="993"/>
  <c r="I17" i="993" s="1"/>
  <c r="J17" i="993" s="1"/>
  <c r="K1" i="993"/>
  <c r="D1" i="993"/>
  <c r="C1" i="993"/>
  <c r="J20" i="993" s="1"/>
  <c r="F143" i="992"/>
  <c r="E143" i="992"/>
  <c r="D143" i="992"/>
  <c r="C143" i="992"/>
  <c r="D20" i="992" s="1"/>
  <c r="B143" i="992"/>
  <c r="B142" i="992"/>
  <c r="F137" i="992"/>
  <c r="E137" i="992"/>
  <c r="D137" i="992"/>
  <c r="C137" i="992"/>
  <c r="B137" i="992"/>
  <c r="F103" i="992"/>
  <c r="C24" i="992" s="1"/>
  <c r="E103" i="992"/>
  <c r="D103" i="992"/>
  <c r="C103" i="992"/>
  <c r="B103" i="992"/>
  <c r="Y94" i="992"/>
  <c r="X94" i="992"/>
  <c r="W94" i="992"/>
  <c r="V94" i="992"/>
  <c r="U94" i="992"/>
  <c r="T94" i="992"/>
  <c r="S94" i="992"/>
  <c r="R94" i="992"/>
  <c r="Q94" i="992"/>
  <c r="P94" i="992"/>
  <c r="O94" i="992"/>
  <c r="N94" i="992"/>
  <c r="M94" i="992"/>
  <c r="L94" i="992"/>
  <c r="K94" i="992"/>
  <c r="J94" i="992"/>
  <c r="I94" i="992"/>
  <c r="H94" i="992"/>
  <c r="G94" i="992"/>
  <c r="F94" i="992"/>
  <c r="E94" i="992"/>
  <c r="D94" i="992"/>
  <c r="C94" i="992"/>
  <c r="B94" i="992"/>
  <c r="E39" i="992"/>
  <c r="C39" i="992"/>
  <c r="B39" i="992"/>
  <c r="E38" i="992"/>
  <c r="C38" i="992"/>
  <c r="B38" i="992"/>
  <c r="E37" i="992"/>
  <c r="C37" i="992"/>
  <c r="B37" i="992"/>
  <c r="E36" i="992"/>
  <c r="C36" i="992"/>
  <c r="B36" i="992"/>
  <c r="D34" i="992"/>
  <c r="B34" i="992"/>
  <c r="E13" i="992" s="1"/>
  <c r="D33" i="992"/>
  <c r="F32" i="992"/>
  <c r="D32" i="992"/>
  <c r="B32" i="992"/>
  <c r="F31" i="992"/>
  <c r="D31" i="992"/>
  <c r="B31" i="992"/>
  <c r="D30" i="992"/>
  <c r="B30" i="992"/>
  <c r="F30" i="992" s="1"/>
  <c r="C27" i="992"/>
  <c r="D27" i="992" s="1"/>
  <c r="B27" i="992"/>
  <c r="C26" i="992"/>
  <c r="D26" i="992" s="1"/>
  <c r="B26" i="992"/>
  <c r="B22" i="992"/>
  <c r="F22" i="992" s="1"/>
  <c r="D21" i="992"/>
  <c r="B21" i="992"/>
  <c r="F21" i="992" s="1"/>
  <c r="B20" i="992"/>
  <c r="D19" i="992"/>
  <c r="B19" i="992"/>
  <c r="K15" i="992"/>
  <c r="N14" i="992"/>
  <c r="G13" i="992"/>
  <c r="F13" i="992"/>
  <c r="B13" i="992"/>
  <c r="M11" i="992"/>
  <c r="M10" i="992"/>
  <c r="F10" i="992"/>
  <c r="E10" i="992"/>
  <c r="D10" i="992"/>
  <c r="C10" i="992"/>
  <c r="B10" i="992"/>
  <c r="M9" i="992"/>
  <c r="D4" i="992"/>
  <c r="E4" i="992" s="1"/>
  <c r="N2" i="992"/>
  <c r="N1" i="992"/>
  <c r="L17" i="992" s="1"/>
  <c r="K1" i="992"/>
  <c r="D1" i="992"/>
  <c r="C1" i="992"/>
  <c r="B1" i="992" s="1"/>
  <c r="M4" i="992" s="1"/>
  <c r="F143" i="991"/>
  <c r="E143" i="991"/>
  <c r="D143" i="991"/>
  <c r="C143" i="991"/>
  <c r="B143" i="991"/>
  <c r="B142" i="991"/>
  <c r="F137" i="991"/>
  <c r="E137" i="991"/>
  <c r="D137" i="991"/>
  <c r="C137" i="991"/>
  <c r="B137" i="991"/>
  <c r="F103" i="991"/>
  <c r="E103" i="991"/>
  <c r="D103" i="991"/>
  <c r="C103" i="991"/>
  <c r="B103" i="991"/>
  <c r="Y94" i="991"/>
  <c r="X94" i="991"/>
  <c r="W94" i="991"/>
  <c r="V94" i="991"/>
  <c r="U94" i="991"/>
  <c r="T94" i="991"/>
  <c r="S94" i="991"/>
  <c r="R94" i="991"/>
  <c r="Q94" i="991"/>
  <c r="P94" i="991"/>
  <c r="O94" i="991"/>
  <c r="N94" i="991"/>
  <c r="M94" i="991"/>
  <c r="L94" i="991"/>
  <c r="K94" i="991"/>
  <c r="J94" i="991"/>
  <c r="I94" i="991"/>
  <c r="H94" i="991"/>
  <c r="G94" i="991"/>
  <c r="F94" i="991"/>
  <c r="E94" i="991"/>
  <c r="D94" i="991"/>
  <c r="C94" i="991"/>
  <c r="B94" i="991"/>
  <c r="E39" i="991"/>
  <c r="C39" i="991"/>
  <c r="B39" i="991"/>
  <c r="E38" i="991"/>
  <c r="C38" i="991"/>
  <c r="B38" i="991"/>
  <c r="E37" i="991"/>
  <c r="C37" i="991"/>
  <c r="B37" i="991"/>
  <c r="E36" i="991"/>
  <c r="D36" i="991"/>
  <c r="G36" i="991" s="1"/>
  <c r="C36" i="991"/>
  <c r="B36" i="991"/>
  <c r="D34" i="991"/>
  <c r="B34" i="991"/>
  <c r="B13" i="991" s="1"/>
  <c r="D33" i="991"/>
  <c r="D32" i="991"/>
  <c r="B32" i="991"/>
  <c r="F32" i="991" s="1"/>
  <c r="D31" i="991"/>
  <c r="B31" i="991"/>
  <c r="F31" i="991" s="1"/>
  <c r="D30" i="991"/>
  <c r="B30" i="991"/>
  <c r="F30" i="991" s="1"/>
  <c r="C27" i="991"/>
  <c r="D27" i="991" s="1"/>
  <c r="B27" i="991"/>
  <c r="C26" i="991"/>
  <c r="D26" i="991" s="1"/>
  <c r="B26" i="991"/>
  <c r="N22" i="991"/>
  <c r="I20" i="991" s="1"/>
  <c r="B22" i="991"/>
  <c r="F22" i="991" s="1"/>
  <c r="D21" i="991"/>
  <c r="B21" i="991"/>
  <c r="F21" i="991" s="1"/>
  <c r="B20" i="991"/>
  <c r="D19" i="991"/>
  <c r="B19" i="991"/>
  <c r="K15" i="991"/>
  <c r="N14" i="991"/>
  <c r="M11" i="991"/>
  <c r="M10" i="991"/>
  <c r="F10" i="991"/>
  <c r="E10" i="991"/>
  <c r="D10" i="991"/>
  <c r="C10" i="991"/>
  <c r="B10" i="991"/>
  <c r="M9" i="991"/>
  <c r="E4" i="991"/>
  <c r="D4" i="991"/>
  <c r="N2" i="991"/>
  <c r="N1" i="991"/>
  <c r="I17" i="991" s="1"/>
  <c r="J17" i="991" s="1"/>
  <c r="K1" i="991"/>
  <c r="D1" i="991"/>
  <c r="C1" i="991"/>
  <c r="F143" i="990"/>
  <c r="E143" i="990"/>
  <c r="D143" i="990"/>
  <c r="C143" i="990"/>
  <c r="B143" i="990"/>
  <c r="B142" i="990"/>
  <c r="F137" i="990"/>
  <c r="E137" i="990"/>
  <c r="D137" i="990"/>
  <c r="C137" i="990"/>
  <c r="B137" i="990"/>
  <c r="F103" i="990"/>
  <c r="E103" i="990"/>
  <c r="C24" i="990" s="1"/>
  <c r="D103" i="990"/>
  <c r="C103" i="990"/>
  <c r="B103" i="990"/>
  <c r="Y94" i="990"/>
  <c r="X94" i="990"/>
  <c r="W94" i="990"/>
  <c r="V94" i="990"/>
  <c r="U94" i="990"/>
  <c r="T94" i="990"/>
  <c r="S94" i="990"/>
  <c r="R94" i="990"/>
  <c r="Q94" i="990"/>
  <c r="P94" i="990"/>
  <c r="O94" i="990"/>
  <c r="N94" i="990"/>
  <c r="M94" i="990"/>
  <c r="L94" i="990"/>
  <c r="K94" i="990"/>
  <c r="J94" i="990"/>
  <c r="I94" i="990"/>
  <c r="H94" i="990"/>
  <c r="G94" i="990"/>
  <c r="F94" i="990"/>
  <c r="E94" i="990"/>
  <c r="D94" i="990"/>
  <c r="C94" i="990"/>
  <c r="B94" i="990"/>
  <c r="E39" i="990"/>
  <c r="C39" i="990"/>
  <c r="D39" i="990" s="1"/>
  <c r="B39" i="990"/>
  <c r="E38" i="990"/>
  <c r="C38" i="990"/>
  <c r="B38" i="990"/>
  <c r="E37" i="990"/>
  <c r="C37" i="990"/>
  <c r="B37" i="990"/>
  <c r="E36" i="990"/>
  <c r="C36" i="990"/>
  <c r="B36" i="990"/>
  <c r="D34" i="990"/>
  <c r="B34" i="990"/>
  <c r="G13" i="990" s="1"/>
  <c r="D33" i="990"/>
  <c r="D32" i="990"/>
  <c r="B32" i="990"/>
  <c r="F32" i="990" s="1"/>
  <c r="D31" i="990"/>
  <c r="B31" i="990"/>
  <c r="F31" i="990" s="1"/>
  <c r="D30" i="990"/>
  <c r="B30" i="990"/>
  <c r="F30" i="990" s="1"/>
  <c r="C27" i="990"/>
  <c r="D27" i="990" s="1"/>
  <c r="B27" i="990"/>
  <c r="C26" i="990"/>
  <c r="D26" i="990" s="1"/>
  <c r="B26" i="990"/>
  <c r="B22" i="990"/>
  <c r="F22" i="990" s="1"/>
  <c r="D21" i="990"/>
  <c r="B21" i="990"/>
  <c r="B20" i="990"/>
  <c r="D19" i="990"/>
  <c r="B19" i="990"/>
  <c r="F19" i="990" s="1"/>
  <c r="K15" i="990"/>
  <c r="N14" i="990"/>
  <c r="E13" i="990"/>
  <c r="D13" i="990"/>
  <c r="M11" i="990"/>
  <c r="M10" i="990"/>
  <c r="F10" i="990"/>
  <c r="E10" i="990"/>
  <c r="D10" i="990"/>
  <c r="C10" i="990"/>
  <c r="B10" i="990"/>
  <c r="M9" i="990"/>
  <c r="D4" i="990"/>
  <c r="E4" i="990" s="1"/>
  <c r="N2" i="990"/>
  <c r="N1" i="990"/>
  <c r="K1" i="990"/>
  <c r="D1" i="990"/>
  <c r="C1" i="990"/>
  <c r="B1" i="990" s="1"/>
  <c r="M4" i="990" s="1"/>
  <c r="F3" i="990"/>
  <c r="F143" i="989"/>
  <c r="E143" i="989"/>
  <c r="D143" i="989"/>
  <c r="C143" i="989"/>
  <c r="B143" i="989"/>
  <c r="B142" i="989"/>
  <c r="F137" i="989"/>
  <c r="E137" i="989"/>
  <c r="D137" i="989"/>
  <c r="C137" i="989"/>
  <c r="B137" i="989"/>
  <c r="F103" i="989"/>
  <c r="E103" i="989"/>
  <c r="D103" i="989"/>
  <c r="C103" i="989"/>
  <c r="B103" i="989"/>
  <c r="Y94" i="989"/>
  <c r="X94" i="989"/>
  <c r="W94" i="989"/>
  <c r="V94" i="989"/>
  <c r="U94" i="989"/>
  <c r="T94" i="989"/>
  <c r="S94" i="989"/>
  <c r="R94" i="989"/>
  <c r="Q94" i="989"/>
  <c r="P94" i="989"/>
  <c r="O94" i="989"/>
  <c r="N94" i="989"/>
  <c r="M94" i="989"/>
  <c r="L94" i="989"/>
  <c r="K94" i="989"/>
  <c r="J94" i="989"/>
  <c r="I94" i="989"/>
  <c r="H94" i="989"/>
  <c r="G94" i="989"/>
  <c r="F94" i="989"/>
  <c r="E94" i="989"/>
  <c r="D94" i="989"/>
  <c r="C94" i="989"/>
  <c r="B94" i="989"/>
  <c r="E39" i="989"/>
  <c r="C39" i="989"/>
  <c r="D39" i="989" s="1"/>
  <c r="B39" i="989"/>
  <c r="E38" i="989"/>
  <c r="C38" i="989"/>
  <c r="B38" i="989"/>
  <c r="E37" i="989"/>
  <c r="C37" i="989"/>
  <c r="B37" i="989"/>
  <c r="D37" i="989" s="1"/>
  <c r="E36" i="989"/>
  <c r="C36" i="989"/>
  <c r="B36" i="989"/>
  <c r="D34" i="989"/>
  <c r="B34" i="989"/>
  <c r="F13" i="989" s="1"/>
  <c r="D33" i="989"/>
  <c r="D32" i="989"/>
  <c r="B32" i="989"/>
  <c r="F32" i="989" s="1"/>
  <c r="D31" i="989"/>
  <c r="B31" i="989"/>
  <c r="F31" i="989" s="1"/>
  <c r="D30" i="989"/>
  <c r="B30" i="989"/>
  <c r="F30" i="989" s="1"/>
  <c r="C27" i="989"/>
  <c r="D27" i="989" s="1"/>
  <c r="B27" i="989"/>
  <c r="C26" i="989"/>
  <c r="D26" i="989" s="1"/>
  <c r="B26" i="989"/>
  <c r="B22" i="989"/>
  <c r="F22" i="989" s="1"/>
  <c r="D21" i="989"/>
  <c r="B21" i="989"/>
  <c r="F21" i="989" s="1"/>
  <c r="B20" i="989"/>
  <c r="D19" i="989"/>
  <c r="B19" i="989"/>
  <c r="K15" i="989"/>
  <c r="N14" i="989"/>
  <c r="C13" i="989"/>
  <c r="B13" i="989"/>
  <c r="M11" i="989"/>
  <c r="M10" i="989"/>
  <c r="F10" i="989"/>
  <c r="E10" i="989"/>
  <c r="D10" i="989"/>
  <c r="C10" i="989"/>
  <c r="B10" i="989"/>
  <c r="M9" i="989"/>
  <c r="D4" i="989"/>
  <c r="E4" i="989" s="1"/>
  <c r="N2" i="989"/>
  <c r="N1" i="989"/>
  <c r="M1" i="989" s="1"/>
  <c r="K1" i="989"/>
  <c r="D1" i="989"/>
  <c r="C1" i="989"/>
  <c r="F143" i="988"/>
  <c r="E143" i="988"/>
  <c r="D143" i="988"/>
  <c r="C143" i="988"/>
  <c r="B143" i="988"/>
  <c r="B142" i="988"/>
  <c r="F137" i="988"/>
  <c r="E137" i="988"/>
  <c r="D137" i="988"/>
  <c r="C137" i="988"/>
  <c r="B137" i="988"/>
  <c r="F103" i="988"/>
  <c r="E103" i="988"/>
  <c r="D103" i="988"/>
  <c r="B24" i="988" s="1"/>
  <c r="F24" i="988" s="1"/>
  <c r="C103" i="988"/>
  <c r="B103" i="988"/>
  <c r="Y94" i="988"/>
  <c r="X94" i="988"/>
  <c r="W94" i="988"/>
  <c r="V94" i="988"/>
  <c r="U94" i="988"/>
  <c r="T94" i="988"/>
  <c r="S94" i="988"/>
  <c r="R94" i="988"/>
  <c r="Q94" i="988"/>
  <c r="P94" i="988"/>
  <c r="O94" i="988"/>
  <c r="N94" i="988"/>
  <c r="M94" i="988"/>
  <c r="L94" i="988"/>
  <c r="K94" i="988"/>
  <c r="J94" i="988"/>
  <c r="I94" i="988"/>
  <c r="H94" i="988"/>
  <c r="G94" i="988"/>
  <c r="F94" i="988"/>
  <c r="E94" i="988"/>
  <c r="D94" i="988"/>
  <c r="C94" i="988"/>
  <c r="B94" i="988"/>
  <c r="E39" i="988"/>
  <c r="C39" i="988"/>
  <c r="B39" i="988"/>
  <c r="E38" i="988"/>
  <c r="C38" i="988"/>
  <c r="B38" i="988"/>
  <c r="E37" i="988"/>
  <c r="C37" i="988"/>
  <c r="B37" i="988"/>
  <c r="D37" i="988" s="1"/>
  <c r="G37" i="988" s="1"/>
  <c r="E36" i="988"/>
  <c r="C36" i="988"/>
  <c r="D36" i="988" s="1"/>
  <c r="G36" i="988" s="1"/>
  <c r="B36" i="988"/>
  <c r="D34" i="988"/>
  <c r="B34" i="988"/>
  <c r="E13" i="988" s="1"/>
  <c r="D33" i="988"/>
  <c r="D32" i="988"/>
  <c r="B32" i="988"/>
  <c r="F32" i="988" s="1"/>
  <c r="D31" i="988"/>
  <c r="B31" i="988"/>
  <c r="F31" i="988" s="1"/>
  <c r="D30" i="988"/>
  <c r="B30" i="988"/>
  <c r="F30" i="988" s="1"/>
  <c r="C27" i="988"/>
  <c r="D27" i="988" s="1"/>
  <c r="B27" i="988"/>
  <c r="C26" i="988"/>
  <c r="D26" i="988" s="1"/>
  <c r="B26" i="988"/>
  <c r="B22" i="988"/>
  <c r="F22" i="988" s="1"/>
  <c r="D21" i="988"/>
  <c r="B21" i="988"/>
  <c r="B20" i="988"/>
  <c r="D19" i="988"/>
  <c r="B19" i="988"/>
  <c r="K15" i="988"/>
  <c r="N14" i="988"/>
  <c r="M11" i="988"/>
  <c r="M10" i="988"/>
  <c r="F10" i="988"/>
  <c r="E10" i="988"/>
  <c r="D10" i="988"/>
  <c r="C10" i="988"/>
  <c r="B10" i="988"/>
  <c r="M9" i="988"/>
  <c r="D4" i="988"/>
  <c r="E4" i="988" s="1"/>
  <c r="N2" i="988"/>
  <c r="N1" i="988"/>
  <c r="I17" i="988" s="1"/>
  <c r="J17" i="988" s="1"/>
  <c r="K1" i="988"/>
  <c r="D1" i="988"/>
  <c r="C1" i="988"/>
  <c r="F143" i="987"/>
  <c r="E143" i="987"/>
  <c r="D143" i="987"/>
  <c r="C143" i="987"/>
  <c r="B143" i="987"/>
  <c r="B142" i="987"/>
  <c r="F137" i="987"/>
  <c r="E137" i="987"/>
  <c r="D137" i="987"/>
  <c r="C137" i="987"/>
  <c r="B137" i="987"/>
  <c r="F103" i="987"/>
  <c r="B24" i="987" s="1"/>
  <c r="F24" i="987" s="1"/>
  <c r="E103" i="987"/>
  <c r="D103" i="987"/>
  <c r="C103" i="987"/>
  <c r="B103" i="987"/>
  <c r="Y94" i="987"/>
  <c r="X94" i="987"/>
  <c r="W94" i="987"/>
  <c r="V94" i="987"/>
  <c r="U94" i="987"/>
  <c r="T94" i="987"/>
  <c r="S94" i="987"/>
  <c r="R94" i="987"/>
  <c r="Q94" i="987"/>
  <c r="P94" i="987"/>
  <c r="O94" i="987"/>
  <c r="N94" i="987"/>
  <c r="M94" i="987"/>
  <c r="L94" i="987"/>
  <c r="K94" i="987"/>
  <c r="J94" i="987"/>
  <c r="I94" i="987"/>
  <c r="H94" i="987"/>
  <c r="G94" i="987"/>
  <c r="F94" i="987"/>
  <c r="E94" i="987"/>
  <c r="D94" i="987"/>
  <c r="C94" i="987"/>
  <c r="B94" i="987"/>
  <c r="E39" i="987"/>
  <c r="C39" i="987"/>
  <c r="B39" i="987"/>
  <c r="E38" i="987"/>
  <c r="C38" i="987"/>
  <c r="B38" i="987"/>
  <c r="E37" i="987"/>
  <c r="C37" i="987"/>
  <c r="B37" i="987"/>
  <c r="E36" i="987"/>
  <c r="C36" i="987"/>
  <c r="B36" i="987"/>
  <c r="D34" i="987"/>
  <c r="B34" i="987"/>
  <c r="D33" i="987"/>
  <c r="F32" i="987"/>
  <c r="D32" i="987"/>
  <c r="B32" i="987"/>
  <c r="F31" i="987"/>
  <c r="D31" i="987"/>
  <c r="B31" i="987"/>
  <c r="D30" i="987"/>
  <c r="B30" i="987"/>
  <c r="F30" i="987" s="1"/>
  <c r="C27" i="987"/>
  <c r="D27" i="987" s="1"/>
  <c r="B27" i="987"/>
  <c r="C26" i="987"/>
  <c r="D26" i="987" s="1"/>
  <c r="B26" i="987"/>
  <c r="C25" i="987"/>
  <c r="F25" i="987" s="1"/>
  <c r="B22" i="987"/>
  <c r="F22" i="987" s="1"/>
  <c r="D21" i="987"/>
  <c r="B21" i="987"/>
  <c r="F21" i="987" s="1"/>
  <c r="B20" i="987"/>
  <c r="D19" i="987"/>
  <c r="B19" i="987"/>
  <c r="K15" i="987"/>
  <c r="N14" i="987"/>
  <c r="F13" i="987"/>
  <c r="C13" i="987"/>
  <c r="B13" i="987"/>
  <c r="M11" i="987"/>
  <c r="M10" i="987"/>
  <c r="F10" i="987"/>
  <c r="E10" i="987"/>
  <c r="D10" i="987"/>
  <c r="C10" i="987"/>
  <c r="B10" i="987"/>
  <c r="M9" i="987"/>
  <c r="D4" i="987"/>
  <c r="E4" i="987" s="1"/>
  <c r="N2" i="987"/>
  <c r="N1" i="987"/>
  <c r="I17" i="987" s="1"/>
  <c r="J17" i="987" s="1"/>
  <c r="K1" i="987"/>
  <c r="D1" i="987"/>
  <c r="C1" i="987"/>
  <c r="G69" i="989"/>
  <c r="G69" i="996"/>
  <c r="G69" i="988"/>
  <c r="G69" i="987"/>
  <c r="G69" i="991"/>
  <c r="G69" i="995"/>
  <c r="G69" i="994"/>
  <c r="G69" i="993"/>
  <c r="G69" i="992"/>
  <c r="G69" i="990"/>
  <c r="H27" i="1"/>
  <c r="Q21" i="1"/>
  <c r="Q76" i="1"/>
  <c r="R22" i="1"/>
  <c r="H57" i="1"/>
  <c r="Q29" i="1"/>
  <c r="Q2" i="1"/>
  <c r="R53" i="1"/>
  <c r="Q90" i="1"/>
  <c r="R41" i="1"/>
  <c r="Q48" i="1"/>
  <c r="Q74" i="1"/>
  <c r="H51" i="1"/>
  <c r="H45" i="1"/>
  <c r="R65" i="1"/>
  <c r="R67" i="1"/>
  <c r="Q11" i="1"/>
  <c r="R12" i="1"/>
  <c r="H17" i="1"/>
  <c r="H89" i="1"/>
  <c r="H6" i="1"/>
  <c r="R34" i="1"/>
  <c r="R60" i="1"/>
  <c r="R46" i="1"/>
  <c r="Q55" i="1"/>
  <c r="Q75" i="1"/>
  <c r="Q43" i="1"/>
  <c r="R20" i="1"/>
  <c r="R39" i="1"/>
  <c r="H68" i="1"/>
  <c r="H44" i="1"/>
  <c r="R38" i="1"/>
  <c r="R54" i="1"/>
  <c r="Q30" i="1"/>
  <c r="R59" i="1"/>
  <c r="H19" i="1"/>
  <c r="Q16" i="1"/>
  <c r="R77" i="1"/>
  <c r="R29" i="1"/>
  <c r="R25" i="1"/>
  <c r="R74" i="1"/>
  <c r="R48" i="1"/>
  <c r="R36" i="1"/>
  <c r="B45" i="987" l="1"/>
  <c r="B1" i="987"/>
  <c r="B56" i="989"/>
  <c r="G13" i="989"/>
  <c r="G39" i="989"/>
  <c r="D38" i="990"/>
  <c r="G38" i="990" s="1"/>
  <c r="B25" i="991"/>
  <c r="D3" i="992"/>
  <c r="D38" i="992"/>
  <c r="G38" i="992" s="1"/>
  <c r="D39" i="993"/>
  <c r="G39" i="993" s="1"/>
  <c r="B13" i="994"/>
  <c r="B25" i="994"/>
  <c r="E64" i="995"/>
  <c r="D39" i="996"/>
  <c r="G39" i="996" s="1"/>
  <c r="C59" i="1007"/>
  <c r="E76" i="1010"/>
  <c r="G66" i="1016"/>
  <c r="F66" i="1016" s="1"/>
  <c r="C59" i="1018"/>
  <c r="D59" i="1022"/>
  <c r="E59" i="1028"/>
  <c r="E59" i="1030"/>
  <c r="F14" i="1030"/>
  <c r="C14" i="1035"/>
  <c r="B5" i="1037"/>
  <c r="F59" i="1042"/>
  <c r="I6" i="1042" s="1"/>
  <c r="G40" i="1043"/>
  <c r="B4" i="1043" s="1"/>
  <c r="G59" i="1045"/>
  <c r="E44" i="1050"/>
  <c r="H59" i="1064"/>
  <c r="H59" i="1069"/>
  <c r="H59" i="1070"/>
  <c r="B56" i="987"/>
  <c r="F142" i="1041"/>
  <c r="J15" i="1041" s="1"/>
  <c r="I13" i="1041" s="1"/>
  <c r="D38" i="988"/>
  <c r="G38" i="988" s="1"/>
  <c r="B25" i="989"/>
  <c r="F21" i="990"/>
  <c r="D20" i="990"/>
  <c r="F20" i="990" s="1"/>
  <c r="B56" i="992"/>
  <c r="D36" i="992"/>
  <c r="G36" i="992" s="1"/>
  <c r="B25" i="993"/>
  <c r="B45" i="994"/>
  <c r="B1" i="994"/>
  <c r="M4" i="994" s="1"/>
  <c r="B56" i="995"/>
  <c r="B25" i="996"/>
  <c r="C69" i="1021"/>
  <c r="D142" i="1021" s="1"/>
  <c r="F68" i="1031"/>
  <c r="H59" i="1061"/>
  <c r="D36" i="987"/>
  <c r="G36" i="987" s="1"/>
  <c r="D39" i="987"/>
  <c r="G39" i="987" s="1"/>
  <c r="F21" i="988"/>
  <c r="C24" i="988"/>
  <c r="D20" i="988"/>
  <c r="D36" i="990"/>
  <c r="G36" i="990" s="1"/>
  <c r="D39" i="992"/>
  <c r="G39" i="992" s="1"/>
  <c r="B56" i="994"/>
  <c r="F13" i="994"/>
  <c r="D38" i="994"/>
  <c r="G38" i="994" s="1"/>
  <c r="D36" i="995"/>
  <c r="G36" i="995" s="1"/>
  <c r="C24" i="996"/>
  <c r="C69" i="1025"/>
  <c r="C40" i="1028"/>
  <c r="F69" i="1033"/>
  <c r="G40" i="1035"/>
  <c r="B4" i="1035" s="1"/>
  <c r="A54" i="1037"/>
  <c r="A54" i="1042"/>
  <c r="K51" i="1043"/>
  <c r="B14" i="1043"/>
  <c r="H59" i="1059"/>
  <c r="N65" i="1010"/>
  <c r="E65" i="1010"/>
  <c r="N68" i="1010"/>
  <c r="N67" i="1010"/>
  <c r="E67" i="1010"/>
  <c r="N66" i="1010"/>
  <c r="E66" i="1010"/>
  <c r="E69" i="1010" s="1"/>
  <c r="B16" i="1044"/>
  <c r="E16" i="1044"/>
  <c r="C16" i="1044"/>
  <c r="I3" i="1044" s="1"/>
  <c r="F13" i="988"/>
  <c r="B56" i="990"/>
  <c r="G39" i="990"/>
  <c r="C24" i="991"/>
  <c r="D20" i="991"/>
  <c r="D37" i="992"/>
  <c r="B24" i="994"/>
  <c r="F24" i="994" s="1"/>
  <c r="D20" i="994"/>
  <c r="D39" i="995"/>
  <c r="G39" i="995" s="1"/>
  <c r="F21" i="996"/>
  <c r="C59" i="1008"/>
  <c r="C69" i="1008"/>
  <c r="D69" i="1010"/>
  <c r="C59" i="1013"/>
  <c r="B68" i="1014"/>
  <c r="C59" i="1019"/>
  <c r="F34" i="1035"/>
  <c r="K44" i="1039"/>
  <c r="G14" i="1043"/>
  <c r="K62" i="1052"/>
  <c r="G40" i="1039"/>
  <c r="B4" i="1039" s="1"/>
  <c r="B25" i="987"/>
  <c r="D39" i="988"/>
  <c r="G39" i="988" s="1"/>
  <c r="D38" i="989"/>
  <c r="G38" i="989" s="1"/>
  <c r="B24" i="989"/>
  <c r="F24" i="989" s="1"/>
  <c r="B25" i="992"/>
  <c r="G36" i="994"/>
  <c r="G38" i="996"/>
  <c r="B65" i="1014"/>
  <c r="C69" i="1023"/>
  <c r="F33" i="1035"/>
  <c r="F59" i="1037"/>
  <c r="I6" i="1037" s="1"/>
  <c r="A54" i="1039"/>
  <c r="B5" i="1039"/>
  <c r="C14" i="1043"/>
  <c r="M4" i="1006"/>
  <c r="D3" i="1006"/>
  <c r="C24" i="989"/>
  <c r="D37" i="990"/>
  <c r="C25" i="990"/>
  <c r="L24" i="991"/>
  <c r="B1" i="991"/>
  <c r="M4" i="991" s="1"/>
  <c r="D39" i="991"/>
  <c r="B45" i="993"/>
  <c r="C45" i="993" s="1"/>
  <c r="B1" i="993"/>
  <c r="C24" i="993"/>
  <c r="D20" i="993"/>
  <c r="B25" i="995"/>
  <c r="H45" i="996"/>
  <c r="B1" i="996"/>
  <c r="M4" i="996" s="1"/>
  <c r="B66" i="1014"/>
  <c r="B5" i="1026"/>
  <c r="B40" i="1027"/>
  <c r="B5" i="1029"/>
  <c r="A54" i="1036"/>
  <c r="G59" i="1049"/>
  <c r="H62" i="1049"/>
  <c r="C24" i="987"/>
  <c r="B45" i="988"/>
  <c r="B1" i="988"/>
  <c r="B56" i="988"/>
  <c r="B25" i="988"/>
  <c r="H45" i="989"/>
  <c r="B1" i="989"/>
  <c r="M4" i="989" s="1"/>
  <c r="E13" i="989"/>
  <c r="D36" i="989"/>
  <c r="G36" i="989" s="1"/>
  <c r="B24" i="990"/>
  <c r="F24" i="990" s="1"/>
  <c r="B56" i="991"/>
  <c r="B56" i="993"/>
  <c r="D36" i="993"/>
  <c r="G36" i="993" s="1"/>
  <c r="C24" i="995"/>
  <c r="B56" i="996"/>
  <c r="C25" i="996"/>
  <c r="F25" i="996" s="1"/>
  <c r="D36" i="996"/>
  <c r="G36" i="996" s="1"/>
  <c r="G14" i="1035"/>
  <c r="B5" i="1035"/>
  <c r="B5" i="1033"/>
  <c r="B5" i="1052"/>
  <c r="B5" i="1040"/>
  <c r="C69" i="1011"/>
  <c r="F69" i="1027"/>
  <c r="D69" i="1016"/>
  <c r="F142" i="1032"/>
  <c r="J15" i="1032" s="1"/>
  <c r="I13" i="1032" s="1"/>
  <c r="B69" i="1010"/>
  <c r="C76" i="1025"/>
  <c r="B5" i="1044"/>
  <c r="E69" i="1023"/>
  <c r="E69" i="1022"/>
  <c r="B69" i="1021"/>
  <c r="C69" i="1014"/>
  <c r="J56" i="1071"/>
  <c r="I58" i="1071"/>
  <c r="I57" i="1071"/>
  <c r="J56" i="1070"/>
  <c r="I58" i="1070"/>
  <c r="I57" i="1070"/>
  <c r="I59" i="1070" s="1"/>
  <c r="J56" i="1069"/>
  <c r="I58" i="1069"/>
  <c r="I57" i="1069"/>
  <c r="J56" i="1067"/>
  <c r="I58" i="1067"/>
  <c r="I57" i="1067"/>
  <c r="J56" i="1066"/>
  <c r="I58" i="1066"/>
  <c r="I57" i="1066"/>
  <c r="J56" i="1065"/>
  <c r="I58" i="1065"/>
  <c r="I57" i="1065"/>
  <c r="J56" i="1064"/>
  <c r="I57" i="1064"/>
  <c r="I58" i="1064"/>
  <c r="J56" i="1063"/>
  <c r="I58" i="1063"/>
  <c r="I57" i="1063"/>
  <c r="I59" i="1063" s="1"/>
  <c r="H59" i="1062"/>
  <c r="J56" i="1062"/>
  <c r="I58" i="1062"/>
  <c r="I57" i="1062"/>
  <c r="J56" i="1061"/>
  <c r="I58" i="1061"/>
  <c r="I57" i="1061"/>
  <c r="J58" i="1060"/>
  <c r="J57" i="1060"/>
  <c r="K56" i="1060"/>
  <c r="J56" i="1059"/>
  <c r="I58" i="1059"/>
  <c r="I57" i="1059"/>
  <c r="J56" i="1058"/>
  <c r="I58" i="1058"/>
  <c r="I57" i="1058"/>
  <c r="I59" i="1058" s="1"/>
  <c r="H59" i="1057"/>
  <c r="J56" i="1057"/>
  <c r="I58" i="1057"/>
  <c r="I57" i="1057"/>
  <c r="H59" i="1056"/>
  <c r="J56" i="1056"/>
  <c r="I58" i="1056"/>
  <c r="I57" i="1056"/>
  <c r="J56" i="1055"/>
  <c r="I58" i="1055"/>
  <c r="I57" i="1055"/>
  <c r="J56" i="1054"/>
  <c r="I58" i="1054"/>
  <c r="I57" i="1054"/>
  <c r="I3" i="1053"/>
  <c r="G59" i="1053"/>
  <c r="I56" i="1053"/>
  <c r="H58" i="1053"/>
  <c r="H57" i="1053"/>
  <c r="N62" i="1052"/>
  <c r="E44" i="1052"/>
  <c r="E62" i="1052"/>
  <c r="N6" i="1052"/>
  <c r="I3" i="1052"/>
  <c r="K3" i="1052"/>
  <c r="J3" i="1052"/>
  <c r="G59" i="1052"/>
  <c r="I56" i="1052"/>
  <c r="H57" i="1052"/>
  <c r="H58" i="1052"/>
  <c r="N62" i="1051"/>
  <c r="G59" i="1051"/>
  <c r="I56" i="1051"/>
  <c r="H57" i="1051"/>
  <c r="H59" i="1051" s="1"/>
  <c r="H58" i="1051"/>
  <c r="H62" i="1050"/>
  <c r="N62" i="1050"/>
  <c r="N6" i="1050"/>
  <c r="I3" i="1050"/>
  <c r="K3" i="1050"/>
  <c r="J3" i="1050"/>
  <c r="I56" i="1050"/>
  <c r="H57" i="1050"/>
  <c r="H58" i="1050"/>
  <c r="N62" i="1049"/>
  <c r="N6" i="1049"/>
  <c r="E44" i="1049"/>
  <c r="E62" i="1049"/>
  <c r="I3" i="1049"/>
  <c r="J3" i="1049"/>
  <c r="K3" i="1049"/>
  <c r="I56" i="1049"/>
  <c r="H57" i="1049"/>
  <c r="H58" i="1049"/>
  <c r="K44" i="1048"/>
  <c r="N62" i="1048"/>
  <c r="K62" i="1048"/>
  <c r="I13" i="1048"/>
  <c r="I14" i="1048" s="1"/>
  <c r="J3" i="1048"/>
  <c r="K3" i="1048"/>
  <c r="I3" i="1048"/>
  <c r="G59" i="1048"/>
  <c r="I56" i="1048"/>
  <c r="H57" i="1048"/>
  <c r="H58" i="1048"/>
  <c r="H62" i="1047"/>
  <c r="N6" i="1047"/>
  <c r="G59" i="1047"/>
  <c r="I56" i="1047"/>
  <c r="H57" i="1047"/>
  <c r="H58" i="1047"/>
  <c r="N62" i="1046"/>
  <c r="K62" i="1046"/>
  <c r="K3" i="1046"/>
  <c r="I3" i="1046"/>
  <c r="J3" i="1046"/>
  <c r="G59" i="1046"/>
  <c r="I56" i="1046"/>
  <c r="H57" i="1046"/>
  <c r="H58" i="1046"/>
  <c r="E51" i="1045"/>
  <c r="H62" i="1045"/>
  <c r="J3" i="1045"/>
  <c r="K51" i="1045"/>
  <c r="K62" i="1045"/>
  <c r="I3" i="1045"/>
  <c r="N6" i="1045"/>
  <c r="E62" i="1045"/>
  <c r="I56" i="1045"/>
  <c r="H58" i="1045"/>
  <c r="H57" i="1045"/>
  <c r="H62" i="1044"/>
  <c r="J44" i="1044"/>
  <c r="K3" i="1044"/>
  <c r="E62" i="1044"/>
  <c r="F59" i="1044"/>
  <c r="I6" i="1044" s="1"/>
  <c r="G58" i="1044"/>
  <c r="G57" i="1044"/>
  <c r="G59" i="1044" s="1"/>
  <c r="H56" i="1044"/>
  <c r="C53" i="1044"/>
  <c r="A53" i="1044" s="1"/>
  <c r="K50" i="1044"/>
  <c r="K44" i="1044" s="1"/>
  <c r="K49" i="1044"/>
  <c r="K51" i="1044" s="1"/>
  <c r="N62" i="1043"/>
  <c r="I3" i="1043"/>
  <c r="C15" i="1043"/>
  <c r="D15" i="1043"/>
  <c r="J3" i="1043" s="1"/>
  <c r="F15" i="1043"/>
  <c r="B15" i="1043"/>
  <c r="E15" i="1043"/>
  <c r="K3" i="1043" s="1"/>
  <c r="N5" i="1043"/>
  <c r="D44" i="1043"/>
  <c r="K6" i="1043" s="1"/>
  <c r="C53" i="1043"/>
  <c r="A53" i="1043" s="1"/>
  <c r="G58" i="1043"/>
  <c r="G57" i="1043"/>
  <c r="H56" i="1043"/>
  <c r="E50" i="1043"/>
  <c r="E51" i="1043" s="1"/>
  <c r="E49" i="1043"/>
  <c r="E44" i="1043" s="1"/>
  <c r="C16" i="1042"/>
  <c r="B16" i="1042"/>
  <c r="C15" i="1042"/>
  <c r="N5" i="1042"/>
  <c r="F15" i="1042"/>
  <c r="E15" i="1042"/>
  <c r="B15" i="1042"/>
  <c r="D15" i="1042"/>
  <c r="K49" i="1042"/>
  <c r="K50" i="1042"/>
  <c r="D16" i="1042"/>
  <c r="N4" i="1042"/>
  <c r="E16" i="1042"/>
  <c r="F16" i="1042"/>
  <c r="J3" i="1042"/>
  <c r="I3" i="1042"/>
  <c r="K3" i="1042"/>
  <c r="E50" i="1042"/>
  <c r="E51" i="1042" s="1"/>
  <c r="E49" i="1042"/>
  <c r="E44" i="1042" s="1"/>
  <c r="C53" i="1042"/>
  <c r="A53" i="1042" s="1"/>
  <c r="G58" i="1042"/>
  <c r="G57" i="1042"/>
  <c r="H56" i="1042"/>
  <c r="I14" i="1041"/>
  <c r="E14" i="1041"/>
  <c r="G14" i="1041"/>
  <c r="F34" i="1041"/>
  <c r="D14" i="1041"/>
  <c r="F14" i="1041"/>
  <c r="N3" i="1041"/>
  <c r="J3" i="1041" s="1"/>
  <c r="F15" i="1041"/>
  <c r="E15" i="1041"/>
  <c r="B15" i="1041"/>
  <c r="N5" i="1041"/>
  <c r="C15" i="1041"/>
  <c r="D15" i="1041"/>
  <c r="F33" i="1041"/>
  <c r="B5" i="1041" s="1"/>
  <c r="C14" i="1041"/>
  <c r="B14" i="1041"/>
  <c r="C40" i="1041"/>
  <c r="E40" i="1041"/>
  <c r="F6" i="1041" s="1"/>
  <c r="M14" i="1041"/>
  <c r="B40" i="1041"/>
  <c r="F59" i="1041"/>
  <c r="I6" i="1041" s="1"/>
  <c r="K50" i="1041"/>
  <c r="N62" i="1041" s="1"/>
  <c r="K49" i="1041"/>
  <c r="K51" i="1041" s="1"/>
  <c r="E50" i="1041"/>
  <c r="H62" i="1041" s="1"/>
  <c r="E49" i="1041"/>
  <c r="E44" i="1041" s="1"/>
  <c r="G58" i="1041"/>
  <c r="G57" i="1041"/>
  <c r="H56" i="1041"/>
  <c r="C53" i="1041"/>
  <c r="A53" i="1041" s="1"/>
  <c r="K3" i="1041"/>
  <c r="D51" i="1040"/>
  <c r="K62" i="1040"/>
  <c r="D16" i="1040"/>
  <c r="N4" i="1040"/>
  <c r="E16" i="1040"/>
  <c r="F16" i="1040"/>
  <c r="N3" i="1040"/>
  <c r="C16" i="1040"/>
  <c r="E62" i="1040"/>
  <c r="F15" i="1040"/>
  <c r="E15" i="1040"/>
  <c r="B15" i="1040"/>
  <c r="D15" i="1040"/>
  <c r="C15" i="1040"/>
  <c r="N5" i="1040"/>
  <c r="F59" i="1040"/>
  <c r="I6" i="1040" s="1"/>
  <c r="C53" i="1040"/>
  <c r="A53" i="1040" s="1"/>
  <c r="G58" i="1040"/>
  <c r="G57" i="1040"/>
  <c r="H56" i="1040"/>
  <c r="K50" i="1040"/>
  <c r="K44" i="1040" s="1"/>
  <c r="K49" i="1040"/>
  <c r="E50" i="1040"/>
  <c r="E51" i="1040" s="1"/>
  <c r="E49" i="1040"/>
  <c r="E44" i="1040" s="1"/>
  <c r="K51" i="1040"/>
  <c r="D51" i="1039"/>
  <c r="F16" i="1039"/>
  <c r="K62" i="1039"/>
  <c r="N4" i="1039"/>
  <c r="C16" i="1039"/>
  <c r="B16" i="1039"/>
  <c r="N3" i="1039"/>
  <c r="D16" i="1039"/>
  <c r="N5" i="1039"/>
  <c r="D15" i="1039"/>
  <c r="C15" i="1039"/>
  <c r="F15" i="1039"/>
  <c r="E15" i="1039"/>
  <c r="B15" i="1039"/>
  <c r="G58" i="1039"/>
  <c r="G57" i="1039"/>
  <c r="H56" i="1039"/>
  <c r="E50" i="1039"/>
  <c r="E51" i="1039" s="1"/>
  <c r="E49" i="1039"/>
  <c r="E44" i="1039" s="1"/>
  <c r="C53" i="1039"/>
  <c r="A53" i="1039" s="1"/>
  <c r="N3" i="1038"/>
  <c r="E15" i="1038"/>
  <c r="C15" i="1038"/>
  <c r="D15" i="1038"/>
  <c r="F15" i="1038"/>
  <c r="N5" i="1038"/>
  <c r="B15" i="1038"/>
  <c r="D16" i="1038"/>
  <c r="B16" i="1038"/>
  <c r="C16" i="1038"/>
  <c r="N4" i="1038"/>
  <c r="E16" i="1038"/>
  <c r="K50" i="1038"/>
  <c r="K49" i="1038"/>
  <c r="K51" i="1038" s="1"/>
  <c r="C53" i="1038"/>
  <c r="A53" i="1038" s="1"/>
  <c r="E50" i="1038"/>
  <c r="E51" i="1038" s="1"/>
  <c r="E49" i="1038"/>
  <c r="E44" i="1038" s="1"/>
  <c r="G58" i="1038"/>
  <c r="G57" i="1038"/>
  <c r="G59" i="1038" s="1"/>
  <c r="H56" i="1038"/>
  <c r="D51" i="1037"/>
  <c r="K51" i="1037"/>
  <c r="K62" i="1037"/>
  <c r="N62" i="1037"/>
  <c r="I3" i="1037"/>
  <c r="F15" i="1037"/>
  <c r="D15" i="1037"/>
  <c r="J3" i="1037" s="1"/>
  <c r="B15" i="1037"/>
  <c r="E15" i="1037"/>
  <c r="K3" i="1037" s="1"/>
  <c r="C15" i="1037"/>
  <c r="N5" i="1037"/>
  <c r="C53" i="1037"/>
  <c r="A53" i="1037" s="1"/>
  <c r="E50" i="1037"/>
  <c r="E51" i="1037" s="1"/>
  <c r="E49" i="1037"/>
  <c r="E44" i="1037" s="1"/>
  <c r="G58" i="1037"/>
  <c r="G57" i="1037"/>
  <c r="H56" i="1037"/>
  <c r="I14" i="1036"/>
  <c r="E15" i="1036"/>
  <c r="B15" i="1036"/>
  <c r="N5" i="1036"/>
  <c r="D15" i="1036"/>
  <c r="C15" i="1036"/>
  <c r="F15" i="1036"/>
  <c r="B33" i="1036"/>
  <c r="C40" i="1036"/>
  <c r="E40" i="1036"/>
  <c r="F6" i="1036" s="1"/>
  <c r="B40" i="1036"/>
  <c r="M14" i="1036"/>
  <c r="N3" i="1036"/>
  <c r="F59" i="1036"/>
  <c r="I6" i="1036" s="1"/>
  <c r="E50" i="1036"/>
  <c r="E51" i="1036" s="1"/>
  <c r="E49" i="1036"/>
  <c r="G58" i="1036"/>
  <c r="G57" i="1036"/>
  <c r="G59" i="1036" s="1"/>
  <c r="H56" i="1036"/>
  <c r="C53" i="1036"/>
  <c r="A53" i="1036" s="1"/>
  <c r="K50" i="1036"/>
  <c r="N62" i="1036" s="1"/>
  <c r="K49" i="1036"/>
  <c r="K51" i="1036" s="1"/>
  <c r="H62" i="1035"/>
  <c r="J44" i="1035"/>
  <c r="E62" i="1035"/>
  <c r="C142" i="1035"/>
  <c r="N4" i="1035"/>
  <c r="F16" i="1035"/>
  <c r="N3" i="1035"/>
  <c r="B16" i="1035"/>
  <c r="D16" i="1035"/>
  <c r="E16" i="1035"/>
  <c r="C16" i="1035"/>
  <c r="F59" i="1035"/>
  <c r="I6" i="1035" s="1"/>
  <c r="G58" i="1035"/>
  <c r="G57" i="1035"/>
  <c r="H56" i="1035"/>
  <c r="C53" i="1035"/>
  <c r="A53" i="1035" s="1"/>
  <c r="K50" i="1035"/>
  <c r="K44" i="1035" s="1"/>
  <c r="K49" i="1035"/>
  <c r="K62" i="1035" s="1"/>
  <c r="I14" i="1034"/>
  <c r="K62" i="1034"/>
  <c r="D15" i="1034"/>
  <c r="J3" i="1034" s="1"/>
  <c r="C15" i="1034"/>
  <c r="N5" i="1034"/>
  <c r="B15" i="1034"/>
  <c r="E15" i="1034"/>
  <c r="K3" i="1034" s="1"/>
  <c r="F15" i="1034"/>
  <c r="D44" i="1034"/>
  <c r="K6" i="1034" s="1"/>
  <c r="I3" i="1034"/>
  <c r="K50" i="1034"/>
  <c r="K44" i="1034" s="1"/>
  <c r="K49" i="1034"/>
  <c r="K51" i="1034" s="1"/>
  <c r="G58" i="1034"/>
  <c r="G57" i="1034"/>
  <c r="H56" i="1034"/>
  <c r="E50" i="1034"/>
  <c r="E51" i="1034" s="1"/>
  <c r="E49" i="1034"/>
  <c r="E44" i="1034" s="1"/>
  <c r="C53" i="1034"/>
  <c r="A53" i="1034" s="1"/>
  <c r="C51" i="1033"/>
  <c r="E59" i="1033"/>
  <c r="D16" i="1033"/>
  <c r="F16" i="1033"/>
  <c r="N4" i="1033"/>
  <c r="B16" i="1033"/>
  <c r="N3" i="1033"/>
  <c r="E16" i="1033"/>
  <c r="C16" i="1033"/>
  <c r="D53" i="1033"/>
  <c r="E52" i="1033"/>
  <c r="E54" i="1033" s="1"/>
  <c r="D54" i="1033"/>
  <c r="D50" i="1033"/>
  <c r="D51" i="1033" s="1"/>
  <c r="D49" i="1033"/>
  <c r="D44" i="1033" s="1"/>
  <c r="K6" i="1033" s="1"/>
  <c r="J50" i="1033"/>
  <c r="J44" i="1033" s="1"/>
  <c r="J49" i="1033"/>
  <c r="J51" i="1033" s="1"/>
  <c r="E48" i="1033"/>
  <c r="E47" i="1033"/>
  <c r="G62" i="1033" s="1"/>
  <c r="I14" i="1033" s="1"/>
  <c r="E46" i="1033"/>
  <c r="D62" i="1033" s="1"/>
  <c r="K48" i="1033"/>
  <c r="K47" i="1033"/>
  <c r="M62" i="1033" s="1"/>
  <c r="K46" i="1033"/>
  <c r="J62" i="1033" s="1"/>
  <c r="G56" i="1033"/>
  <c r="F58" i="1033"/>
  <c r="F57" i="1033"/>
  <c r="N62" i="1032"/>
  <c r="E40" i="1032"/>
  <c r="F6" i="1032" s="1"/>
  <c r="C40" i="1032"/>
  <c r="D40" i="1032" s="1"/>
  <c r="F69" i="1032"/>
  <c r="E59" i="1032"/>
  <c r="E14" i="1032"/>
  <c r="D14" i="1032"/>
  <c r="C14" i="1032"/>
  <c r="B14" i="1032"/>
  <c r="G14" i="1032"/>
  <c r="F14" i="1032"/>
  <c r="F33" i="1032"/>
  <c r="F34" i="1032"/>
  <c r="G56" i="1032"/>
  <c r="F58" i="1032"/>
  <c r="F57" i="1032"/>
  <c r="D50" i="1032"/>
  <c r="D51" i="1032" s="1"/>
  <c r="D49" i="1032"/>
  <c r="K50" i="1032"/>
  <c r="K44" i="1032" s="1"/>
  <c r="K49" i="1032"/>
  <c r="K51" i="1032" s="1"/>
  <c r="E52" i="1032"/>
  <c r="E54" i="1032" s="1"/>
  <c r="D54" i="1032"/>
  <c r="E48" i="1032"/>
  <c r="E47" i="1032"/>
  <c r="G62" i="1032" s="1"/>
  <c r="I14" i="1032" s="1"/>
  <c r="E46" i="1032"/>
  <c r="D62" i="1032" s="1"/>
  <c r="D53" i="1032"/>
  <c r="I44" i="1031"/>
  <c r="A54" i="1031"/>
  <c r="C15" i="1031"/>
  <c r="D15" i="1031"/>
  <c r="F15" i="1031"/>
  <c r="N5" i="1031"/>
  <c r="B15" i="1031"/>
  <c r="E15" i="1031"/>
  <c r="F69" i="1031"/>
  <c r="E16" i="1031" s="1"/>
  <c r="E69" i="1031"/>
  <c r="F142" i="1031" s="1"/>
  <c r="J15" i="1031" s="1"/>
  <c r="I13" i="1031" s="1"/>
  <c r="I14" i="1031" s="1"/>
  <c r="E59" i="1031"/>
  <c r="J50" i="1031"/>
  <c r="J49" i="1031"/>
  <c r="G56" i="1031"/>
  <c r="F58" i="1031"/>
  <c r="F57" i="1031"/>
  <c r="E50" i="1031"/>
  <c r="E51" i="1031" s="1"/>
  <c r="E49" i="1031"/>
  <c r="E44" i="1031" s="1"/>
  <c r="D142" i="1031"/>
  <c r="C142" i="1031"/>
  <c r="E142" i="1031"/>
  <c r="K48" i="1031"/>
  <c r="K47" i="1031"/>
  <c r="M62" i="1031" s="1"/>
  <c r="K46" i="1031"/>
  <c r="C53" i="1031" s="1"/>
  <c r="A53" i="1031" s="1"/>
  <c r="J44" i="1031"/>
  <c r="G62" i="1030"/>
  <c r="I14" i="1030" s="1"/>
  <c r="F33" i="1030"/>
  <c r="B5" i="1030" s="1"/>
  <c r="C14" i="1030"/>
  <c r="B14" i="1030"/>
  <c r="F69" i="1030"/>
  <c r="F16" i="1030" s="1"/>
  <c r="J50" i="1030"/>
  <c r="J44" i="1030" s="1"/>
  <c r="J49" i="1030"/>
  <c r="D50" i="1030"/>
  <c r="D49" i="1030"/>
  <c r="G56" i="1030"/>
  <c r="F58" i="1030"/>
  <c r="F57" i="1030"/>
  <c r="K48" i="1030"/>
  <c r="K47" i="1030"/>
  <c r="M62" i="1030" s="1"/>
  <c r="K46" i="1030"/>
  <c r="J62" i="1030" s="1"/>
  <c r="E48" i="1030"/>
  <c r="E47" i="1030"/>
  <c r="E46" i="1030"/>
  <c r="D62" i="1030" s="1"/>
  <c r="J51" i="1030"/>
  <c r="D53" i="1030"/>
  <c r="D44" i="1030"/>
  <c r="E52" i="1030"/>
  <c r="E54" i="1030" s="1"/>
  <c r="D54" i="1030"/>
  <c r="D51" i="1030"/>
  <c r="K6" i="1030"/>
  <c r="F69" i="1029"/>
  <c r="E59" i="1029"/>
  <c r="E52" i="1029"/>
  <c r="E54" i="1029" s="1"/>
  <c r="D54" i="1029"/>
  <c r="G56" i="1029"/>
  <c r="F58" i="1029"/>
  <c r="F57" i="1029"/>
  <c r="D50" i="1029"/>
  <c r="D51" i="1029" s="1"/>
  <c r="D49" i="1029"/>
  <c r="D44" i="1029" s="1"/>
  <c r="K6" i="1029" s="1"/>
  <c r="J50" i="1029"/>
  <c r="J44" i="1029" s="1"/>
  <c r="J49" i="1029"/>
  <c r="E48" i="1029"/>
  <c r="E47" i="1029"/>
  <c r="G62" i="1029" s="1"/>
  <c r="I14" i="1029" s="1"/>
  <c r="E46" i="1029"/>
  <c r="D62" i="1029" s="1"/>
  <c r="N5" i="1029" s="1"/>
  <c r="K48" i="1029"/>
  <c r="K47" i="1029"/>
  <c r="M62" i="1029" s="1"/>
  <c r="K46" i="1029"/>
  <c r="J62" i="1029" s="1"/>
  <c r="D53" i="1029"/>
  <c r="D53" i="1028"/>
  <c r="I51" i="1028"/>
  <c r="F142" i="1028"/>
  <c r="J15" i="1028" s="1"/>
  <c r="I13" i="1028" s="1"/>
  <c r="I14" i="1028" s="1"/>
  <c r="B33" i="1028"/>
  <c r="E14" i="1028" s="1"/>
  <c r="M14" i="1028"/>
  <c r="B40" i="1028"/>
  <c r="D40" i="1028" s="1"/>
  <c r="E40" i="1028"/>
  <c r="F6" i="1028" s="1"/>
  <c r="F15" i="1028"/>
  <c r="C15" i="1028"/>
  <c r="D15" i="1028"/>
  <c r="B15" i="1028"/>
  <c r="E15" i="1028"/>
  <c r="F69" i="1028"/>
  <c r="F16" i="1028"/>
  <c r="C16" i="1028"/>
  <c r="K48" i="1028"/>
  <c r="K47" i="1028"/>
  <c r="M62" i="1028" s="1"/>
  <c r="K46" i="1028"/>
  <c r="J62" i="1028" s="1"/>
  <c r="G14" i="1028"/>
  <c r="F34" i="1028"/>
  <c r="G56" i="1028"/>
  <c r="F58" i="1028"/>
  <c r="F57" i="1028"/>
  <c r="J50" i="1028"/>
  <c r="J49" i="1028"/>
  <c r="J51" i="1028" s="1"/>
  <c r="E50" i="1028"/>
  <c r="E51" i="1028" s="1"/>
  <c r="E49" i="1028"/>
  <c r="E44" i="1028" s="1"/>
  <c r="G62" i="1027"/>
  <c r="J44" i="1027"/>
  <c r="N62" i="1027"/>
  <c r="C40" i="1027"/>
  <c r="D40" i="1027" s="1"/>
  <c r="G40" i="1027" s="1"/>
  <c r="B4" i="1027" s="1"/>
  <c r="B33" i="1027"/>
  <c r="E14" i="1027" s="1"/>
  <c r="E59" i="1027"/>
  <c r="G56" i="1027"/>
  <c r="F58" i="1027"/>
  <c r="F57" i="1027"/>
  <c r="F59" i="1027" s="1"/>
  <c r="I6" i="1027" s="1"/>
  <c r="E48" i="1027"/>
  <c r="E47" i="1027"/>
  <c r="E46" i="1027"/>
  <c r="D62" i="1027" s="1"/>
  <c r="N5" i="1027" s="1"/>
  <c r="D53" i="1027"/>
  <c r="F33" i="1027"/>
  <c r="F16" i="1027"/>
  <c r="B16" i="1027"/>
  <c r="C16" i="1027"/>
  <c r="E16" i="1027"/>
  <c r="D16" i="1027"/>
  <c r="C142" i="1027"/>
  <c r="E142" i="1027"/>
  <c r="F142" i="1027"/>
  <c r="J15" i="1027" s="1"/>
  <c r="I13" i="1027" s="1"/>
  <c r="D142" i="1027"/>
  <c r="E52" i="1027"/>
  <c r="E54" i="1027" s="1"/>
  <c r="D54" i="1027"/>
  <c r="A54" i="1027" s="1"/>
  <c r="K50" i="1027"/>
  <c r="K44" i="1027" s="1"/>
  <c r="K49" i="1027"/>
  <c r="K51" i="1027" s="1"/>
  <c r="D50" i="1027"/>
  <c r="D51" i="1027" s="1"/>
  <c r="D49" i="1027"/>
  <c r="D44" i="1027" s="1"/>
  <c r="K6" i="1027" s="1"/>
  <c r="C51" i="1026"/>
  <c r="F69" i="1026"/>
  <c r="E16" i="1026" s="1"/>
  <c r="E59" i="1026"/>
  <c r="C142" i="1026"/>
  <c r="C16" i="1026"/>
  <c r="D16" i="1026"/>
  <c r="D53" i="1026"/>
  <c r="E52" i="1026"/>
  <c r="E54" i="1026" s="1"/>
  <c r="D54" i="1026"/>
  <c r="D49" i="1026"/>
  <c r="D50" i="1026"/>
  <c r="D51" i="1026" s="1"/>
  <c r="G56" i="1026"/>
  <c r="F58" i="1026"/>
  <c r="F57" i="1026"/>
  <c r="J50" i="1026"/>
  <c r="J44" i="1026" s="1"/>
  <c r="J49" i="1026"/>
  <c r="J51" i="1026" s="1"/>
  <c r="K48" i="1026"/>
  <c r="K47" i="1026"/>
  <c r="M62" i="1026" s="1"/>
  <c r="K46" i="1026"/>
  <c r="J62" i="1026" s="1"/>
  <c r="E48" i="1026"/>
  <c r="E47" i="1026"/>
  <c r="G62" i="1026" s="1"/>
  <c r="I14" i="1026" s="1"/>
  <c r="E46" i="1026"/>
  <c r="D62" i="1026" s="1"/>
  <c r="N5" i="1026" s="1"/>
  <c r="D76" i="1025"/>
  <c r="F68" i="1025"/>
  <c r="L69" i="1025"/>
  <c r="E69" i="1025"/>
  <c r="M14" i="1025" s="1"/>
  <c r="D69" i="1025"/>
  <c r="B69" i="1025"/>
  <c r="D59" i="1025"/>
  <c r="G65" i="1025"/>
  <c r="F65" i="1025" s="1"/>
  <c r="E76" i="1025"/>
  <c r="G66" i="1025"/>
  <c r="F66" i="1025" s="1"/>
  <c r="G67" i="1025"/>
  <c r="F67" i="1025" s="1"/>
  <c r="E53" i="1025"/>
  <c r="K48" i="1025"/>
  <c r="K47" i="1025"/>
  <c r="M62" i="1025" s="1"/>
  <c r="K46" i="1025"/>
  <c r="J62" i="1025" s="1"/>
  <c r="D142" i="1025"/>
  <c r="C54" i="1025"/>
  <c r="D52" i="1025"/>
  <c r="C40" i="1025"/>
  <c r="B76" i="1025"/>
  <c r="C50" i="1025"/>
  <c r="C51" i="1025" s="1"/>
  <c r="C49" i="1025"/>
  <c r="C44" i="1025" s="1"/>
  <c r="E142" i="1025"/>
  <c r="B44" i="1025"/>
  <c r="F56" i="1025"/>
  <c r="E58" i="1025"/>
  <c r="E57" i="1025"/>
  <c r="E59" i="1025" s="1"/>
  <c r="E45" i="1025"/>
  <c r="D48" i="1025"/>
  <c r="D47" i="1025"/>
  <c r="D46" i="1025"/>
  <c r="J50" i="1025"/>
  <c r="J44" i="1025" s="1"/>
  <c r="J49" i="1025"/>
  <c r="J51" i="1025" s="1"/>
  <c r="H51" i="1024"/>
  <c r="E69" i="1024"/>
  <c r="B69" i="1024"/>
  <c r="B40" i="1024" s="1"/>
  <c r="C69" i="1024"/>
  <c r="D69" i="1024"/>
  <c r="E142" i="1024" s="1"/>
  <c r="L69" i="1024"/>
  <c r="F68" i="1024"/>
  <c r="F69" i="1024" s="1"/>
  <c r="D59" i="1024"/>
  <c r="C142" i="1024"/>
  <c r="F142" i="1024"/>
  <c r="J15" i="1024" s="1"/>
  <c r="I13" i="1024" s="1"/>
  <c r="D142" i="1024"/>
  <c r="K45" i="1024"/>
  <c r="J48" i="1024"/>
  <c r="J47" i="1024"/>
  <c r="J46" i="1024"/>
  <c r="D76" i="1024"/>
  <c r="I50" i="1024"/>
  <c r="I44" i="1024" s="1"/>
  <c r="I49" i="1024"/>
  <c r="I51" i="1024" s="1"/>
  <c r="E52" i="1024"/>
  <c r="E54" i="1024" s="1"/>
  <c r="D54" i="1024"/>
  <c r="E76" i="1024"/>
  <c r="C76" i="1024"/>
  <c r="B76" i="1024"/>
  <c r="D50" i="1024"/>
  <c r="D51" i="1024" s="1"/>
  <c r="D49" i="1024"/>
  <c r="D44" i="1024" s="1"/>
  <c r="K6" i="1024" s="1"/>
  <c r="M14" i="1024"/>
  <c r="D53" i="1024"/>
  <c r="F56" i="1024"/>
  <c r="E58" i="1024"/>
  <c r="E57" i="1024"/>
  <c r="H44" i="1024"/>
  <c r="E48" i="1024"/>
  <c r="E47" i="1024"/>
  <c r="G62" i="1024" s="1"/>
  <c r="E46" i="1024"/>
  <c r="D62" i="1024" s="1"/>
  <c r="N5" i="1024" s="1"/>
  <c r="D69" i="1023"/>
  <c r="B33" i="1023" s="1"/>
  <c r="B69" i="1023"/>
  <c r="C40" i="1023" s="1"/>
  <c r="L69" i="1023"/>
  <c r="G66" i="1023"/>
  <c r="F66" i="1023" s="1"/>
  <c r="G67" i="1023"/>
  <c r="F67" i="1023" s="1"/>
  <c r="D59" i="1023"/>
  <c r="G68" i="1023"/>
  <c r="F68" i="1023" s="1"/>
  <c r="E45" i="1023"/>
  <c r="D48" i="1023"/>
  <c r="D47" i="1023"/>
  <c r="D46" i="1023"/>
  <c r="H51" i="1023"/>
  <c r="B40" i="1023"/>
  <c r="D76" i="1023"/>
  <c r="E53" i="1023"/>
  <c r="C142" i="1023"/>
  <c r="E76" i="1023"/>
  <c r="B76" i="1023"/>
  <c r="C76" i="1023"/>
  <c r="E40" i="1023"/>
  <c r="F6" i="1023" s="1"/>
  <c r="M14" i="1023"/>
  <c r="C54" i="1023"/>
  <c r="D52" i="1023"/>
  <c r="I50" i="1023"/>
  <c r="I44" i="1023" s="1"/>
  <c r="I49" i="1023"/>
  <c r="I51" i="1023" s="1"/>
  <c r="C50" i="1023"/>
  <c r="C51" i="1023" s="1"/>
  <c r="C49" i="1023"/>
  <c r="C44" i="1023" s="1"/>
  <c r="F56" i="1023"/>
  <c r="E58" i="1023"/>
  <c r="E57" i="1023"/>
  <c r="E59" i="1023" s="1"/>
  <c r="D142" i="1023"/>
  <c r="F142" i="1023"/>
  <c r="J15" i="1023" s="1"/>
  <c r="I13" i="1023" s="1"/>
  <c r="K45" i="1023"/>
  <c r="J48" i="1023"/>
  <c r="J47" i="1023"/>
  <c r="J46" i="1023"/>
  <c r="D76" i="1022"/>
  <c r="D69" i="1022"/>
  <c r="E142" i="1022" s="1"/>
  <c r="B44" i="1022"/>
  <c r="B69" i="1022"/>
  <c r="C69" i="1022"/>
  <c r="G65" i="1022"/>
  <c r="F65" i="1022" s="1"/>
  <c r="G68" i="1022"/>
  <c r="F68" i="1022" s="1"/>
  <c r="G66" i="1022"/>
  <c r="F66" i="1022" s="1"/>
  <c r="G67" i="1022"/>
  <c r="F67" i="1022" s="1"/>
  <c r="D142" i="1022"/>
  <c r="F142" i="1022"/>
  <c r="J15" i="1022" s="1"/>
  <c r="I13" i="1022" s="1"/>
  <c r="K48" i="1022"/>
  <c r="K47" i="1022"/>
  <c r="M62" i="1022" s="1"/>
  <c r="K46" i="1022"/>
  <c r="J62" i="1022" s="1"/>
  <c r="E45" i="1022"/>
  <c r="D48" i="1022"/>
  <c r="D47" i="1022"/>
  <c r="D46" i="1022"/>
  <c r="F56" i="1022"/>
  <c r="E58" i="1022"/>
  <c r="E57" i="1022"/>
  <c r="E76" i="1022"/>
  <c r="M14" i="1022"/>
  <c r="E53" i="1022"/>
  <c r="B51" i="1022"/>
  <c r="B76" i="1022"/>
  <c r="C76" i="1022"/>
  <c r="C54" i="1022"/>
  <c r="D52" i="1022"/>
  <c r="J50" i="1022"/>
  <c r="J44" i="1022" s="1"/>
  <c r="J49" i="1022"/>
  <c r="J51" i="1022" s="1"/>
  <c r="C50" i="1022"/>
  <c r="C49" i="1022"/>
  <c r="C44" i="1022" s="1"/>
  <c r="D69" i="1021"/>
  <c r="E142" i="1021" s="1"/>
  <c r="B44" i="1021"/>
  <c r="L69" i="1021"/>
  <c r="E68" i="1021"/>
  <c r="F68" i="1021" s="1"/>
  <c r="F69" i="1021" s="1"/>
  <c r="D59" i="1021"/>
  <c r="K48" i="1021"/>
  <c r="K47" i="1021"/>
  <c r="M62" i="1021" s="1"/>
  <c r="K46" i="1021"/>
  <c r="J62" i="1021" s="1"/>
  <c r="C54" i="1021"/>
  <c r="D52" i="1021"/>
  <c r="B76" i="1021"/>
  <c r="E53" i="1021"/>
  <c r="D76" i="1021"/>
  <c r="C76" i="1021"/>
  <c r="E45" i="1021"/>
  <c r="D48" i="1021"/>
  <c r="D47" i="1021"/>
  <c r="D46" i="1021"/>
  <c r="E76" i="1021"/>
  <c r="B51" i="1021"/>
  <c r="J50" i="1021"/>
  <c r="J44" i="1021" s="1"/>
  <c r="J49" i="1021"/>
  <c r="J51" i="1021" s="1"/>
  <c r="C50" i="1021"/>
  <c r="C51" i="1021" s="1"/>
  <c r="C49" i="1021"/>
  <c r="C44" i="1021" s="1"/>
  <c r="F56" i="1021"/>
  <c r="E58" i="1021"/>
  <c r="E57" i="1021"/>
  <c r="B69" i="1020"/>
  <c r="E69" i="1020"/>
  <c r="M14" i="1020" s="1"/>
  <c r="C69" i="1020"/>
  <c r="D69" i="1020"/>
  <c r="C76" i="1020"/>
  <c r="H49" i="1020"/>
  <c r="H51" i="1020" s="1"/>
  <c r="H50" i="1020"/>
  <c r="D45" i="1020"/>
  <c r="C48" i="1020"/>
  <c r="C47" i="1020"/>
  <c r="C46" i="1020"/>
  <c r="D76" i="1020"/>
  <c r="B54" i="1020"/>
  <c r="C52" i="1020"/>
  <c r="B53" i="1020"/>
  <c r="J45" i="1020"/>
  <c r="I48" i="1020"/>
  <c r="I47" i="1020"/>
  <c r="I46" i="1020"/>
  <c r="E76" i="1020"/>
  <c r="B50" i="1020"/>
  <c r="B49" i="1020"/>
  <c r="E56" i="1020"/>
  <c r="D57" i="1020"/>
  <c r="D58" i="1020"/>
  <c r="B76" i="1020"/>
  <c r="H51" i="1019"/>
  <c r="H44" i="1019"/>
  <c r="L66" i="1019"/>
  <c r="N64" i="1019"/>
  <c r="L65" i="1019"/>
  <c r="L68" i="1019"/>
  <c r="L67" i="1019"/>
  <c r="K45" i="1019"/>
  <c r="J48" i="1019"/>
  <c r="J47" i="1019"/>
  <c r="J46" i="1019"/>
  <c r="B50" i="1019"/>
  <c r="B49" i="1019"/>
  <c r="B44" i="1019" s="1"/>
  <c r="K67" i="1019"/>
  <c r="K66" i="1019"/>
  <c r="K69" i="1019"/>
  <c r="K65" i="1019"/>
  <c r="K68" i="1019"/>
  <c r="D73" i="1019"/>
  <c r="D72" i="1019"/>
  <c r="D75" i="1019"/>
  <c r="D74" i="1019"/>
  <c r="E72" i="1019"/>
  <c r="E75" i="1019"/>
  <c r="E74" i="1019"/>
  <c r="E73" i="1019"/>
  <c r="F75" i="1019"/>
  <c r="F74" i="1019"/>
  <c r="F73" i="1019"/>
  <c r="F72" i="1019"/>
  <c r="B53" i="1019"/>
  <c r="M65" i="1019"/>
  <c r="M68" i="1019"/>
  <c r="M67" i="1019"/>
  <c r="M66" i="1019"/>
  <c r="O64" i="1019"/>
  <c r="E56" i="1019"/>
  <c r="D57" i="1019"/>
  <c r="D59" i="1019" s="1"/>
  <c r="D58" i="1019"/>
  <c r="B54" i="1019"/>
  <c r="C52" i="1019"/>
  <c r="B67" i="1019"/>
  <c r="B66" i="1019"/>
  <c r="B65" i="1019"/>
  <c r="B68" i="1019"/>
  <c r="C66" i="1019"/>
  <c r="C65" i="1019"/>
  <c r="C68" i="1019"/>
  <c r="C67" i="1019"/>
  <c r="D65" i="1019"/>
  <c r="D68" i="1019"/>
  <c r="D67" i="1019"/>
  <c r="D66" i="1019"/>
  <c r="I50" i="1019"/>
  <c r="I44" i="1019" s="1"/>
  <c r="I49" i="1019"/>
  <c r="I51" i="1019" s="1"/>
  <c r="B75" i="1019"/>
  <c r="B74" i="1019"/>
  <c r="B73" i="1019"/>
  <c r="B72" i="1019"/>
  <c r="B51" i="1019"/>
  <c r="D45" i="1019"/>
  <c r="C48" i="1019"/>
  <c r="C47" i="1019"/>
  <c r="C46" i="1019"/>
  <c r="C74" i="1019"/>
  <c r="C73" i="1019"/>
  <c r="C72" i="1019"/>
  <c r="C75" i="1019"/>
  <c r="N68" i="1019"/>
  <c r="E68" i="1019"/>
  <c r="N67" i="1019"/>
  <c r="E67" i="1019"/>
  <c r="N66" i="1019"/>
  <c r="E66" i="1019"/>
  <c r="N65" i="1019"/>
  <c r="E65" i="1019"/>
  <c r="O67" i="1019"/>
  <c r="O66" i="1019"/>
  <c r="O65" i="1019"/>
  <c r="O68" i="1019"/>
  <c r="I69" i="1019"/>
  <c r="I65" i="1019"/>
  <c r="I68" i="1019"/>
  <c r="I67" i="1019"/>
  <c r="I66" i="1019"/>
  <c r="J68" i="1019"/>
  <c r="J67" i="1019"/>
  <c r="J66" i="1019"/>
  <c r="J69" i="1019"/>
  <c r="J65" i="1019"/>
  <c r="B51" i="1018"/>
  <c r="C50" i="1018"/>
  <c r="C49" i="1018"/>
  <c r="C44" i="1018" s="1"/>
  <c r="E45" i="1018"/>
  <c r="D48" i="1018"/>
  <c r="D47" i="1018"/>
  <c r="D46" i="1018"/>
  <c r="L66" i="1018"/>
  <c r="N64" i="1018"/>
  <c r="L65" i="1018"/>
  <c r="L68" i="1018"/>
  <c r="L67" i="1018"/>
  <c r="L69" i="1018" s="1"/>
  <c r="I69" i="1018"/>
  <c r="I65" i="1018"/>
  <c r="I68" i="1018"/>
  <c r="I67" i="1018"/>
  <c r="I66" i="1018"/>
  <c r="J68" i="1018"/>
  <c r="J67" i="1018"/>
  <c r="J66" i="1018"/>
  <c r="J69" i="1018"/>
  <c r="J65" i="1018"/>
  <c r="B44" i="1018"/>
  <c r="H49" i="1018"/>
  <c r="H50" i="1018"/>
  <c r="E56" i="1018"/>
  <c r="D57" i="1018"/>
  <c r="D58" i="1018"/>
  <c r="O67" i="1018"/>
  <c r="O66" i="1018"/>
  <c r="O65" i="1018"/>
  <c r="O68" i="1018"/>
  <c r="C66" i="1018"/>
  <c r="C65" i="1018"/>
  <c r="C68" i="1018"/>
  <c r="C67" i="1018"/>
  <c r="D65" i="1018"/>
  <c r="D69" i="1018" s="1"/>
  <c r="D68" i="1018"/>
  <c r="D67" i="1018"/>
  <c r="D66" i="1018"/>
  <c r="N68" i="1018"/>
  <c r="E68" i="1018"/>
  <c r="N67" i="1018"/>
  <c r="E67" i="1018"/>
  <c r="N66" i="1018"/>
  <c r="E66" i="1018"/>
  <c r="N65" i="1018"/>
  <c r="E65" i="1018"/>
  <c r="G67" i="1018"/>
  <c r="F67" i="1018" s="1"/>
  <c r="K67" i="1018"/>
  <c r="K66" i="1018"/>
  <c r="K69" i="1018"/>
  <c r="K65" i="1018"/>
  <c r="K68" i="1018"/>
  <c r="D73" i="1018"/>
  <c r="D72" i="1018"/>
  <c r="D75" i="1018"/>
  <c r="D74" i="1018"/>
  <c r="M65" i="1018"/>
  <c r="M68" i="1018"/>
  <c r="M67" i="1018"/>
  <c r="M66" i="1018"/>
  <c r="O64" i="1018"/>
  <c r="B75" i="1018"/>
  <c r="B74" i="1018"/>
  <c r="B73" i="1018"/>
  <c r="B72" i="1018"/>
  <c r="C51" i="1018"/>
  <c r="C54" i="1018"/>
  <c r="D52" i="1018"/>
  <c r="C74" i="1018"/>
  <c r="C73" i="1018"/>
  <c r="C72" i="1018"/>
  <c r="C75" i="1018"/>
  <c r="B67" i="1018"/>
  <c r="B66" i="1018"/>
  <c r="B65" i="1018"/>
  <c r="B68" i="1018"/>
  <c r="E72" i="1018"/>
  <c r="E75" i="1018"/>
  <c r="E74" i="1018"/>
  <c r="E73" i="1018"/>
  <c r="F75" i="1018"/>
  <c r="F74" i="1018"/>
  <c r="F73" i="1018"/>
  <c r="F72" i="1018"/>
  <c r="J45" i="1018"/>
  <c r="I48" i="1018"/>
  <c r="I47" i="1018"/>
  <c r="I46" i="1018"/>
  <c r="C50" i="1017"/>
  <c r="C51" i="1017" s="1"/>
  <c r="C49" i="1017"/>
  <c r="K67" i="1017"/>
  <c r="K66" i="1017"/>
  <c r="K69" i="1017"/>
  <c r="K65" i="1017"/>
  <c r="K68" i="1017"/>
  <c r="D73" i="1017"/>
  <c r="D72" i="1017"/>
  <c r="D75" i="1017"/>
  <c r="D74" i="1017"/>
  <c r="E72" i="1017"/>
  <c r="E75" i="1017"/>
  <c r="E74" i="1017"/>
  <c r="E73" i="1017"/>
  <c r="F75" i="1017"/>
  <c r="F74" i="1017"/>
  <c r="F73" i="1017"/>
  <c r="F72" i="1017"/>
  <c r="E45" i="1017"/>
  <c r="D48" i="1017"/>
  <c r="D47" i="1017"/>
  <c r="D46" i="1017"/>
  <c r="H49" i="1017"/>
  <c r="H50" i="1017"/>
  <c r="N68" i="1017"/>
  <c r="N67" i="1017"/>
  <c r="E67" i="1017"/>
  <c r="N66" i="1017"/>
  <c r="E66" i="1017"/>
  <c r="N65" i="1017"/>
  <c r="E65" i="1017"/>
  <c r="B67" i="1017"/>
  <c r="B66" i="1017"/>
  <c r="B65" i="1017"/>
  <c r="B68" i="1017"/>
  <c r="C66" i="1017"/>
  <c r="C65" i="1017"/>
  <c r="C68" i="1017"/>
  <c r="C67" i="1017"/>
  <c r="D65" i="1017"/>
  <c r="D68" i="1017"/>
  <c r="E68" i="1017" s="1"/>
  <c r="D67" i="1017"/>
  <c r="D66" i="1017"/>
  <c r="E56" i="1017"/>
  <c r="D57" i="1017"/>
  <c r="G68" i="1017" s="1"/>
  <c r="D58" i="1017"/>
  <c r="C54" i="1017"/>
  <c r="D52" i="1017"/>
  <c r="C44" i="1017"/>
  <c r="C74" i="1017"/>
  <c r="C73" i="1017"/>
  <c r="C72" i="1017"/>
  <c r="C75" i="1017"/>
  <c r="O67" i="1017"/>
  <c r="O66" i="1017"/>
  <c r="O65" i="1017"/>
  <c r="O68" i="1017"/>
  <c r="I69" i="1017"/>
  <c r="I65" i="1017"/>
  <c r="I68" i="1017"/>
  <c r="I67" i="1017"/>
  <c r="I66" i="1017"/>
  <c r="J68" i="1017"/>
  <c r="J67" i="1017"/>
  <c r="J66" i="1017"/>
  <c r="J69" i="1017"/>
  <c r="J65" i="1017"/>
  <c r="J45" i="1017"/>
  <c r="I48" i="1017"/>
  <c r="I47" i="1017"/>
  <c r="I46" i="1017"/>
  <c r="L66" i="1017"/>
  <c r="N64" i="1017"/>
  <c r="L65" i="1017"/>
  <c r="L68" i="1017"/>
  <c r="L67" i="1017"/>
  <c r="M65" i="1017"/>
  <c r="M68" i="1017"/>
  <c r="M67" i="1017"/>
  <c r="M66" i="1017"/>
  <c r="O64" i="1017"/>
  <c r="B75" i="1017"/>
  <c r="B74" i="1017"/>
  <c r="B73" i="1017"/>
  <c r="B72" i="1017"/>
  <c r="H44" i="1016"/>
  <c r="E69" i="1016"/>
  <c r="E40" i="1016" s="1"/>
  <c r="F6" i="1016" s="1"/>
  <c r="B69" i="1016"/>
  <c r="C142" i="1016" s="1"/>
  <c r="F67" i="1016"/>
  <c r="G68" i="1016"/>
  <c r="F68" i="1016" s="1"/>
  <c r="L69" i="1016"/>
  <c r="G65" i="1016"/>
  <c r="F65" i="1016" s="1"/>
  <c r="D59" i="1016"/>
  <c r="F142" i="1016"/>
  <c r="J15" i="1016" s="1"/>
  <c r="I13" i="1016" s="1"/>
  <c r="E142" i="1016"/>
  <c r="D142" i="1016"/>
  <c r="E76" i="1016"/>
  <c r="C40" i="1016"/>
  <c r="E58" i="1016"/>
  <c r="E57" i="1016"/>
  <c r="F56" i="1016"/>
  <c r="C76" i="1016"/>
  <c r="B50" i="1016"/>
  <c r="B49" i="1016"/>
  <c r="D76" i="1016"/>
  <c r="B76" i="1016"/>
  <c r="J50" i="1016"/>
  <c r="J44" i="1016" s="1"/>
  <c r="J49" i="1016"/>
  <c r="J51" i="1016" s="1"/>
  <c r="C52" i="1016"/>
  <c r="B54" i="1016"/>
  <c r="K48" i="1016"/>
  <c r="K47" i="1016"/>
  <c r="M62" i="1016" s="1"/>
  <c r="K46" i="1016"/>
  <c r="J62" i="1016" s="1"/>
  <c r="H51" i="1016"/>
  <c r="B53" i="1016"/>
  <c r="B44" i="1016"/>
  <c r="C48" i="1016"/>
  <c r="C47" i="1016"/>
  <c r="C46" i="1016"/>
  <c r="D45" i="1016"/>
  <c r="H44" i="1015"/>
  <c r="I50" i="1015"/>
  <c r="I44" i="1015" s="1"/>
  <c r="I49" i="1015"/>
  <c r="B50" i="1015"/>
  <c r="B51" i="1015" s="1"/>
  <c r="B49" i="1015"/>
  <c r="N68" i="1015"/>
  <c r="N67" i="1015"/>
  <c r="E67" i="1015"/>
  <c r="N66" i="1015"/>
  <c r="E66" i="1015"/>
  <c r="N65" i="1015"/>
  <c r="E65" i="1015"/>
  <c r="L66" i="1015"/>
  <c r="N64" i="1015"/>
  <c r="L65" i="1015"/>
  <c r="L69" i="1015" s="1"/>
  <c r="L68" i="1015"/>
  <c r="L67" i="1015"/>
  <c r="I69" i="1015"/>
  <c r="I65" i="1015"/>
  <c r="I68" i="1015"/>
  <c r="I67" i="1015"/>
  <c r="I66" i="1015"/>
  <c r="J68" i="1015"/>
  <c r="J67" i="1015"/>
  <c r="J66" i="1015"/>
  <c r="J69" i="1015"/>
  <c r="J65" i="1015"/>
  <c r="B53" i="1015"/>
  <c r="C74" i="1015"/>
  <c r="C73" i="1015"/>
  <c r="C72" i="1015"/>
  <c r="C75" i="1015"/>
  <c r="O67" i="1015"/>
  <c r="O66" i="1015"/>
  <c r="O65" i="1015"/>
  <c r="O68" i="1015"/>
  <c r="C66" i="1015"/>
  <c r="C65" i="1015"/>
  <c r="C68" i="1015"/>
  <c r="C67" i="1015"/>
  <c r="D65" i="1015"/>
  <c r="D68" i="1015"/>
  <c r="E68" i="1015" s="1"/>
  <c r="D67" i="1015"/>
  <c r="D66" i="1015"/>
  <c r="K45" i="1015"/>
  <c r="J48" i="1015"/>
  <c r="J47" i="1015"/>
  <c r="J46" i="1015"/>
  <c r="B54" i="1015"/>
  <c r="C52" i="1015"/>
  <c r="K67" i="1015"/>
  <c r="K66" i="1015"/>
  <c r="K69" i="1015"/>
  <c r="K65" i="1015"/>
  <c r="K68" i="1015"/>
  <c r="D73" i="1015"/>
  <c r="D72" i="1015"/>
  <c r="D75" i="1015"/>
  <c r="D74" i="1015"/>
  <c r="M65" i="1015"/>
  <c r="M68" i="1015"/>
  <c r="M67" i="1015"/>
  <c r="M66" i="1015"/>
  <c r="O64" i="1015"/>
  <c r="B75" i="1015"/>
  <c r="B74" i="1015"/>
  <c r="B73" i="1015"/>
  <c r="B72" i="1015"/>
  <c r="E56" i="1015"/>
  <c r="D57" i="1015"/>
  <c r="D58" i="1015"/>
  <c r="I51" i="1015"/>
  <c r="D45" i="1015"/>
  <c r="C48" i="1015"/>
  <c r="C47" i="1015"/>
  <c r="C46" i="1015"/>
  <c r="B67" i="1015"/>
  <c r="B66" i="1015"/>
  <c r="B65" i="1015"/>
  <c r="B68" i="1015"/>
  <c r="E72" i="1015"/>
  <c r="E76" i="1015" s="1"/>
  <c r="E75" i="1015"/>
  <c r="E74" i="1015"/>
  <c r="E73" i="1015"/>
  <c r="F75" i="1015"/>
  <c r="F74" i="1015"/>
  <c r="F73" i="1015"/>
  <c r="F72" i="1015"/>
  <c r="C76" i="1014"/>
  <c r="M14" i="1014"/>
  <c r="B69" i="1014"/>
  <c r="L69" i="1014"/>
  <c r="D66" i="1014"/>
  <c r="F142" i="1014"/>
  <c r="J15" i="1014" s="1"/>
  <c r="I13" i="1014" s="1"/>
  <c r="D67" i="1014"/>
  <c r="D142" i="1014"/>
  <c r="B76" i="1014"/>
  <c r="B54" i="1014"/>
  <c r="C52" i="1014"/>
  <c r="D76" i="1014"/>
  <c r="J45" i="1014"/>
  <c r="I48" i="1014"/>
  <c r="I47" i="1014"/>
  <c r="I46" i="1014"/>
  <c r="C142" i="1014"/>
  <c r="D45" i="1014"/>
  <c r="C48" i="1014"/>
  <c r="C47" i="1014"/>
  <c r="C46" i="1014"/>
  <c r="E76" i="1014"/>
  <c r="H49" i="1014"/>
  <c r="H50" i="1014"/>
  <c r="B50" i="1014"/>
  <c r="B49" i="1014"/>
  <c r="E56" i="1014"/>
  <c r="D57" i="1014"/>
  <c r="D58" i="1014"/>
  <c r="H51" i="1014"/>
  <c r="B53" i="1014"/>
  <c r="B44" i="1014"/>
  <c r="B69" i="1013"/>
  <c r="B33" i="1013" s="1"/>
  <c r="C69" i="1013"/>
  <c r="E69" i="1013"/>
  <c r="D69" i="1013"/>
  <c r="L69" i="1013"/>
  <c r="E76" i="1013"/>
  <c r="E142" i="1013"/>
  <c r="F142" i="1013"/>
  <c r="J15" i="1013" s="1"/>
  <c r="I13" i="1013" s="1"/>
  <c r="D142" i="1013"/>
  <c r="E56" i="1013"/>
  <c r="D57" i="1013"/>
  <c r="D58" i="1013"/>
  <c r="B53" i="1013"/>
  <c r="B50" i="1013"/>
  <c r="B49" i="1013"/>
  <c r="B40" i="1013"/>
  <c r="H50" i="1013"/>
  <c r="H49" i="1013"/>
  <c r="C76" i="1013"/>
  <c r="B76" i="1013"/>
  <c r="M14" i="1013"/>
  <c r="B54" i="1013"/>
  <c r="C52" i="1013"/>
  <c r="D76" i="1013"/>
  <c r="J45" i="1013"/>
  <c r="I48" i="1013"/>
  <c r="I47" i="1013"/>
  <c r="I46" i="1013"/>
  <c r="B51" i="1013"/>
  <c r="D45" i="1013"/>
  <c r="C48" i="1013"/>
  <c r="C47" i="1013"/>
  <c r="C46" i="1013"/>
  <c r="B51" i="1012"/>
  <c r="C74" i="1012"/>
  <c r="C73" i="1012"/>
  <c r="C72" i="1012"/>
  <c r="C75" i="1012"/>
  <c r="O67" i="1012"/>
  <c r="O66" i="1012"/>
  <c r="O65" i="1012"/>
  <c r="O68" i="1012"/>
  <c r="I69" i="1012"/>
  <c r="I65" i="1012"/>
  <c r="I68" i="1012"/>
  <c r="I67" i="1012"/>
  <c r="I66" i="1012"/>
  <c r="J68" i="1012"/>
  <c r="J67" i="1012"/>
  <c r="J66" i="1012"/>
  <c r="J69" i="1012"/>
  <c r="J65" i="1012"/>
  <c r="B44" i="1012"/>
  <c r="E45" i="1012"/>
  <c r="D48" i="1012"/>
  <c r="D47" i="1012"/>
  <c r="D46" i="1012"/>
  <c r="H49" i="1012"/>
  <c r="H50" i="1012"/>
  <c r="N68" i="1012"/>
  <c r="N67" i="1012"/>
  <c r="E67" i="1012"/>
  <c r="N66" i="1012"/>
  <c r="E66" i="1012"/>
  <c r="N65" i="1012"/>
  <c r="E65" i="1012"/>
  <c r="B67" i="1012"/>
  <c r="B66" i="1012"/>
  <c r="B65" i="1012"/>
  <c r="B68" i="1012"/>
  <c r="C66" i="1012"/>
  <c r="C65" i="1012"/>
  <c r="C68" i="1012"/>
  <c r="C67" i="1012"/>
  <c r="D65" i="1012"/>
  <c r="D68" i="1012"/>
  <c r="E68" i="1012" s="1"/>
  <c r="D67" i="1012"/>
  <c r="D66" i="1012"/>
  <c r="E56" i="1012"/>
  <c r="D57" i="1012"/>
  <c r="D58" i="1012"/>
  <c r="J45" i="1012"/>
  <c r="I48" i="1012"/>
  <c r="I47" i="1012"/>
  <c r="I46" i="1012"/>
  <c r="L66" i="1012"/>
  <c r="N64" i="1012"/>
  <c r="L65" i="1012"/>
  <c r="L68" i="1012"/>
  <c r="L67" i="1012"/>
  <c r="M65" i="1012"/>
  <c r="M68" i="1012"/>
  <c r="M67" i="1012"/>
  <c r="M66" i="1012"/>
  <c r="O64" i="1012"/>
  <c r="B75" i="1012"/>
  <c r="B74" i="1012"/>
  <c r="B73" i="1012"/>
  <c r="B72" i="1012"/>
  <c r="C50" i="1012"/>
  <c r="C51" i="1012" s="1"/>
  <c r="C49" i="1012"/>
  <c r="C44" i="1012" s="1"/>
  <c r="C54" i="1012"/>
  <c r="D52" i="1012"/>
  <c r="K67" i="1012"/>
  <c r="K66" i="1012"/>
  <c r="K69" i="1012"/>
  <c r="K65" i="1012"/>
  <c r="K68" i="1012"/>
  <c r="D73" i="1012"/>
  <c r="D72" i="1012"/>
  <c r="D75" i="1012"/>
  <c r="D74" i="1012"/>
  <c r="E72" i="1012"/>
  <c r="E75" i="1012"/>
  <c r="E74" i="1012"/>
  <c r="E73" i="1012"/>
  <c r="F75" i="1012"/>
  <c r="F74" i="1012"/>
  <c r="F73" i="1012"/>
  <c r="F72" i="1012"/>
  <c r="L69" i="1011"/>
  <c r="D69" i="1011"/>
  <c r="B69" i="1011"/>
  <c r="E69" i="1011"/>
  <c r="C40" i="1011" s="1"/>
  <c r="E76" i="1011"/>
  <c r="C59" i="1011"/>
  <c r="D142" i="1011"/>
  <c r="C142" i="1011"/>
  <c r="E142" i="1011"/>
  <c r="D45" i="1011"/>
  <c r="C48" i="1011"/>
  <c r="C47" i="1011"/>
  <c r="C46" i="1011"/>
  <c r="H49" i="1011"/>
  <c r="H50" i="1011"/>
  <c r="B54" i="1011"/>
  <c r="C52" i="1011"/>
  <c r="B53" i="1011"/>
  <c r="E56" i="1011"/>
  <c r="D57" i="1011"/>
  <c r="D58" i="1011"/>
  <c r="D76" i="1011"/>
  <c r="B50" i="1011"/>
  <c r="B49" i="1011"/>
  <c r="B76" i="1011"/>
  <c r="C76" i="1011"/>
  <c r="J45" i="1011"/>
  <c r="I48" i="1011"/>
  <c r="I47" i="1011"/>
  <c r="I46" i="1011"/>
  <c r="L69" i="1010"/>
  <c r="H44" i="1010"/>
  <c r="C69" i="1010"/>
  <c r="D142" i="1010" s="1"/>
  <c r="C59" i="1010"/>
  <c r="B76" i="1010"/>
  <c r="K45" i="1010"/>
  <c r="J48" i="1010"/>
  <c r="J47" i="1010"/>
  <c r="J46" i="1010"/>
  <c r="D45" i="1010"/>
  <c r="C48" i="1010"/>
  <c r="C47" i="1010"/>
  <c r="C46" i="1010"/>
  <c r="E142" i="1010"/>
  <c r="C76" i="1010"/>
  <c r="B53" i="1010"/>
  <c r="I50" i="1010"/>
  <c r="I49" i="1010"/>
  <c r="I51" i="1010" s="1"/>
  <c r="B54" i="1010"/>
  <c r="C52" i="1010"/>
  <c r="I44" i="1010"/>
  <c r="E56" i="1010"/>
  <c r="D58" i="1010"/>
  <c r="D57" i="1010"/>
  <c r="D76" i="1010"/>
  <c r="B50" i="1010"/>
  <c r="B49" i="1010"/>
  <c r="B51" i="1009"/>
  <c r="C59" i="1009"/>
  <c r="C50" i="1009"/>
  <c r="C49" i="1009"/>
  <c r="C44" i="1009" s="1"/>
  <c r="C54" i="1009"/>
  <c r="D52" i="1009"/>
  <c r="N68" i="1009"/>
  <c r="N67" i="1009"/>
  <c r="E67" i="1009"/>
  <c r="N66" i="1009"/>
  <c r="E66" i="1009"/>
  <c r="N65" i="1009"/>
  <c r="E65" i="1009"/>
  <c r="B67" i="1009"/>
  <c r="B66" i="1009"/>
  <c r="B65" i="1009"/>
  <c r="B68" i="1009"/>
  <c r="E72" i="1009"/>
  <c r="E75" i="1009"/>
  <c r="E74" i="1009"/>
  <c r="E73" i="1009"/>
  <c r="E45" i="1009"/>
  <c r="D48" i="1009"/>
  <c r="D47" i="1009"/>
  <c r="D46" i="1009"/>
  <c r="H49" i="1009"/>
  <c r="H51" i="1009" s="1"/>
  <c r="H50" i="1009"/>
  <c r="H44" i="1009" s="1"/>
  <c r="O67" i="1009"/>
  <c r="O66" i="1009"/>
  <c r="O65" i="1009"/>
  <c r="O68" i="1009"/>
  <c r="C66" i="1009"/>
  <c r="C65" i="1009"/>
  <c r="C68" i="1009"/>
  <c r="C67" i="1009"/>
  <c r="D65" i="1009"/>
  <c r="D68" i="1009"/>
  <c r="E68" i="1009" s="1"/>
  <c r="D67" i="1009"/>
  <c r="D66" i="1009"/>
  <c r="B44" i="1009"/>
  <c r="F75" i="1009"/>
  <c r="F74" i="1009"/>
  <c r="F73" i="1009"/>
  <c r="F72" i="1009"/>
  <c r="C74" i="1009"/>
  <c r="C73" i="1009"/>
  <c r="C72" i="1009"/>
  <c r="C75" i="1009"/>
  <c r="L66" i="1009"/>
  <c r="N64" i="1009"/>
  <c r="L65" i="1009"/>
  <c r="L68" i="1009"/>
  <c r="L67" i="1009"/>
  <c r="I69" i="1009"/>
  <c r="I65" i="1009"/>
  <c r="I68" i="1009"/>
  <c r="I67" i="1009"/>
  <c r="I66" i="1009"/>
  <c r="J68" i="1009"/>
  <c r="J67" i="1009"/>
  <c r="J66" i="1009"/>
  <c r="J69" i="1009"/>
  <c r="J65" i="1009"/>
  <c r="J45" i="1009"/>
  <c r="I48" i="1009"/>
  <c r="I47" i="1009"/>
  <c r="I46" i="1009"/>
  <c r="E56" i="1009"/>
  <c r="D57" i="1009"/>
  <c r="D59" i="1009" s="1"/>
  <c r="D58" i="1009"/>
  <c r="K67" i="1009"/>
  <c r="K66" i="1009"/>
  <c r="K69" i="1009"/>
  <c r="K65" i="1009"/>
  <c r="K68" i="1009"/>
  <c r="D73" i="1009"/>
  <c r="D72" i="1009"/>
  <c r="D75" i="1009"/>
  <c r="D74" i="1009"/>
  <c r="M65" i="1009"/>
  <c r="M68" i="1009"/>
  <c r="M67" i="1009"/>
  <c r="M66" i="1009"/>
  <c r="O64" i="1009"/>
  <c r="B75" i="1009"/>
  <c r="B74" i="1009"/>
  <c r="B73" i="1009"/>
  <c r="B72" i="1009"/>
  <c r="L69" i="1008"/>
  <c r="B51" i="1008"/>
  <c r="B69" i="1008"/>
  <c r="C142" i="1008" s="1"/>
  <c r="D69" i="1008"/>
  <c r="E142" i="1008" s="1"/>
  <c r="D76" i="1008"/>
  <c r="B76" i="1008"/>
  <c r="N66" i="1008"/>
  <c r="N68" i="1008"/>
  <c r="E68" i="1008" s="1"/>
  <c r="E66" i="1008"/>
  <c r="E67" i="1008"/>
  <c r="E65" i="1008"/>
  <c r="N67" i="1008"/>
  <c r="N65" i="1008"/>
  <c r="D142" i="1008"/>
  <c r="E76" i="1008"/>
  <c r="E56" i="1008"/>
  <c r="D57" i="1008"/>
  <c r="D58" i="1008"/>
  <c r="H49" i="1008"/>
  <c r="H50" i="1008"/>
  <c r="C50" i="1008"/>
  <c r="C51" i="1008" s="1"/>
  <c r="C49" i="1008"/>
  <c r="C44" i="1008" s="1"/>
  <c r="C76" i="1008"/>
  <c r="E45" i="1008"/>
  <c r="D48" i="1008"/>
  <c r="D47" i="1008"/>
  <c r="D46" i="1008"/>
  <c r="C54" i="1008"/>
  <c r="D52" i="1008"/>
  <c r="J45" i="1008"/>
  <c r="I48" i="1008"/>
  <c r="I47" i="1008"/>
  <c r="I46" i="1008"/>
  <c r="J45" i="1007"/>
  <c r="I48" i="1007"/>
  <c r="I47" i="1007"/>
  <c r="I46" i="1007"/>
  <c r="B54" i="1007"/>
  <c r="C52" i="1007"/>
  <c r="K67" i="1007"/>
  <c r="K66" i="1007"/>
  <c r="K69" i="1007"/>
  <c r="K65" i="1007"/>
  <c r="K68" i="1007"/>
  <c r="L66" i="1007"/>
  <c r="N64" i="1007"/>
  <c r="L65" i="1007"/>
  <c r="L68" i="1007"/>
  <c r="L67" i="1007"/>
  <c r="I69" i="1007"/>
  <c r="I65" i="1007"/>
  <c r="I68" i="1007"/>
  <c r="I67" i="1007"/>
  <c r="I66" i="1007"/>
  <c r="J68" i="1007"/>
  <c r="J67" i="1007"/>
  <c r="J66" i="1007"/>
  <c r="J69" i="1007"/>
  <c r="J65" i="1007"/>
  <c r="B53" i="1007"/>
  <c r="D45" i="1007"/>
  <c r="C48" i="1007"/>
  <c r="C47" i="1007"/>
  <c r="C46" i="1007"/>
  <c r="C74" i="1007"/>
  <c r="C73" i="1007"/>
  <c r="C72" i="1007"/>
  <c r="C75" i="1007"/>
  <c r="D73" i="1007"/>
  <c r="D72" i="1007"/>
  <c r="D75" i="1007"/>
  <c r="D74" i="1007"/>
  <c r="M65" i="1007"/>
  <c r="M68" i="1007"/>
  <c r="M67" i="1007"/>
  <c r="M66" i="1007"/>
  <c r="O64" i="1007"/>
  <c r="B75" i="1007"/>
  <c r="B74" i="1007"/>
  <c r="B73" i="1007"/>
  <c r="B72" i="1007"/>
  <c r="E56" i="1007"/>
  <c r="D58" i="1007"/>
  <c r="D57" i="1007"/>
  <c r="B67" i="1007"/>
  <c r="B66" i="1007"/>
  <c r="B65" i="1007"/>
  <c r="B68" i="1007"/>
  <c r="E72" i="1007"/>
  <c r="E75" i="1007"/>
  <c r="E74" i="1007"/>
  <c r="E73" i="1007"/>
  <c r="F75" i="1007"/>
  <c r="F74" i="1007"/>
  <c r="F73" i="1007"/>
  <c r="F72" i="1007"/>
  <c r="H50" i="1007"/>
  <c r="H49" i="1007"/>
  <c r="B50" i="1007"/>
  <c r="B49" i="1007"/>
  <c r="N68" i="1007"/>
  <c r="N67" i="1007"/>
  <c r="E67" i="1007"/>
  <c r="N66" i="1007"/>
  <c r="E66" i="1007"/>
  <c r="N65" i="1007"/>
  <c r="E65" i="1007"/>
  <c r="G67" i="1007"/>
  <c r="F67" i="1007" s="1"/>
  <c r="O67" i="1007"/>
  <c r="O66" i="1007"/>
  <c r="O65" i="1007"/>
  <c r="O68" i="1007"/>
  <c r="C66" i="1007"/>
  <c r="C65" i="1007"/>
  <c r="C68" i="1007"/>
  <c r="C67" i="1007"/>
  <c r="D65" i="1007"/>
  <c r="D68" i="1007"/>
  <c r="E68" i="1007" s="1"/>
  <c r="D67" i="1007"/>
  <c r="D66" i="1007"/>
  <c r="J19" i="1006"/>
  <c r="B3" i="1006" s="1"/>
  <c r="N68" i="1006"/>
  <c r="N67" i="1006"/>
  <c r="E67" i="1006"/>
  <c r="N66" i="1006"/>
  <c r="E66" i="1006"/>
  <c r="N65" i="1006"/>
  <c r="E65" i="1006"/>
  <c r="C58" i="1006"/>
  <c r="C57" i="1006"/>
  <c r="D56" i="1006"/>
  <c r="L66" i="1006"/>
  <c r="N64" i="1006"/>
  <c r="L65" i="1006"/>
  <c r="L69" i="1006" s="1"/>
  <c r="L68" i="1006"/>
  <c r="L67" i="1006"/>
  <c r="M65" i="1006"/>
  <c r="M68" i="1006"/>
  <c r="M67" i="1006"/>
  <c r="M66" i="1006"/>
  <c r="O64" i="1006"/>
  <c r="B75" i="1006"/>
  <c r="B74" i="1006"/>
  <c r="B73" i="1006"/>
  <c r="B72" i="1006"/>
  <c r="O67" i="1006"/>
  <c r="O66" i="1006"/>
  <c r="O65" i="1006"/>
  <c r="O68" i="1006"/>
  <c r="J68" i="1006"/>
  <c r="J67" i="1006"/>
  <c r="J66" i="1006"/>
  <c r="J69" i="1006"/>
  <c r="J65" i="1006"/>
  <c r="I45" i="1006"/>
  <c r="H47" i="1006"/>
  <c r="H48" i="1006"/>
  <c r="H46" i="1006"/>
  <c r="D73" i="1006"/>
  <c r="D72" i="1006"/>
  <c r="D75" i="1006"/>
  <c r="D74" i="1006"/>
  <c r="E72" i="1006"/>
  <c r="E75" i="1006"/>
  <c r="E74" i="1006"/>
  <c r="E73" i="1006"/>
  <c r="F75" i="1006"/>
  <c r="F74" i="1006"/>
  <c r="F73" i="1006"/>
  <c r="F72" i="1006"/>
  <c r="I69" i="1006"/>
  <c r="I65" i="1006"/>
  <c r="I68" i="1006"/>
  <c r="I67" i="1006"/>
  <c r="I66" i="1006"/>
  <c r="K67" i="1006"/>
  <c r="K66" i="1006"/>
  <c r="K69" i="1006"/>
  <c r="K65" i="1006"/>
  <c r="K68" i="1006"/>
  <c r="B59" i="1006"/>
  <c r="B67" i="1006"/>
  <c r="B66" i="1006"/>
  <c r="B65" i="1006"/>
  <c r="B68" i="1006"/>
  <c r="C66" i="1006"/>
  <c r="C65" i="1006"/>
  <c r="C69" i="1006" s="1"/>
  <c r="C68" i="1006"/>
  <c r="C67" i="1006"/>
  <c r="D65" i="1006"/>
  <c r="D68" i="1006"/>
  <c r="D67" i="1006"/>
  <c r="D66" i="1006"/>
  <c r="C45" i="1006"/>
  <c r="B52" i="1006"/>
  <c r="B48" i="1006"/>
  <c r="B46" i="1006"/>
  <c r="B47" i="1006"/>
  <c r="C74" i="1006"/>
  <c r="C73" i="1006"/>
  <c r="C72" i="1006"/>
  <c r="C75" i="1006"/>
  <c r="B3" i="1005"/>
  <c r="J19" i="1005"/>
  <c r="D24" i="1005"/>
  <c r="B59" i="1005"/>
  <c r="F71" i="1005"/>
  <c r="B71" i="1005"/>
  <c r="J64" i="1005"/>
  <c r="D64" i="1005"/>
  <c r="E71" i="1005"/>
  <c r="M64" i="1005"/>
  <c r="I64" i="1005"/>
  <c r="C64" i="1005"/>
  <c r="D71" i="1005"/>
  <c r="L64" i="1005"/>
  <c r="F64" i="1005"/>
  <c r="B64" i="1005"/>
  <c r="K64" i="1005"/>
  <c r="F3" i="1005"/>
  <c r="E64" i="1005"/>
  <c r="D3" i="1005"/>
  <c r="A16" i="1005"/>
  <c r="C71" i="1005"/>
  <c r="B50" i="1005"/>
  <c r="B49" i="1005"/>
  <c r="B54" i="1005"/>
  <c r="C52" i="1005"/>
  <c r="I45" i="1005"/>
  <c r="H47" i="1005"/>
  <c r="H48" i="1005"/>
  <c r="H46" i="1005"/>
  <c r="B53" i="1005"/>
  <c r="C58" i="1005"/>
  <c r="C57" i="1005"/>
  <c r="D56" i="1005"/>
  <c r="D45" i="1005"/>
  <c r="C48" i="1005"/>
  <c r="C47" i="1005"/>
  <c r="C46" i="1005"/>
  <c r="J19" i="1004"/>
  <c r="B3" i="1004" s="1"/>
  <c r="B50" i="1004"/>
  <c r="B49" i="1004"/>
  <c r="B54" i="1004"/>
  <c r="C52" i="1004"/>
  <c r="B59" i="1004"/>
  <c r="C44" i="1004"/>
  <c r="C58" i="1004"/>
  <c r="C57" i="1004"/>
  <c r="C59" i="1004" s="1"/>
  <c r="D56" i="1004"/>
  <c r="C50" i="1004"/>
  <c r="C51" i="1004" s="1"/>
  <c r="C49" i="1004"/>
  <c r="F71" i="1004"/>
  <c r="B71" i="1004"/>
  <c r="J64" i="1004"/>
  <c r="D64" i="1004"/>
  <c r="E71" i="1004"/>
  <c r="M64" i="1004"/>
  <c r="I64" i="1004"/>
  <c r="C64" i="1004"/>
  <c r="A16" i="1004"/>
  <c r="D71" i="1004"/>
  <c r="L64" i="1004"/>
  <c r="F64" i="1004"/>
  <c r="B64" i="1004"/>
  <c r="K64" i="1004"/>
  <c r="F3" i="1004"/>
  <c r="E64" i="1004"/>
  <c r="D3" i="1004"/>
  <c r="C71" i="1004"/>
  <c r="I45" i="1004"/>
  <c r="H47" i="1004"/>
  <c r="H46" i="1004"/>
  <c r="H48" i="1004"/>
  <c r="B53" i="1004"/>
  <c r="D48" i="1004"/>
  <c r="D47" i="1004"/>
  <c r="D46" i="1004"/>
  <c r="E45" i="1004"/>
  <c r="J19" i="1003"/>
  <c r="D25" i="1003"/>
  <c r="F25" i="1003"/>
  <c r="B3" i="1003" s="1"/>
  <c r="C58" i="1003"/>
  <c r="C57" i="1003"/>
  <c r="D56" i="1003"/>
  <c r="C45" i="1003"/>
  <c r="B52" i="1003"/>
  <c r="B48" i="1003"/>
  <c r="B46" i="1003"/>
  <c r="B47" i="1003"/>
  <c r="H49" i="1003"/>
  <c r="H50" i="1003"/>
  <c r="B59" i="1003"/>
  <c r="F71" i="1003"/>
  <c r="B71" i="1003"/>
  <c r="J64" i="1003"/>
  <c r="D64" i="1003"/>
  <c r="E71" i="1003"/>
  <c r="M64" i="1003"/>
  <c r="I64" i="1003"/>
  <c r="C64" i="1003"/>
  <c r="D71" i="1003"/>
  <c r="L64" i="1003"/>
  <c r="F64" i="1003"/>
  <c r="B64" i="1003"/>
  <c r="K64" i="1003"/>
  <c r="D3" i="1003"/>
  <c r="F3" i="1003"/>
  <c r="E64" i="1003"/>
  <c r="A16" i="1003"/>
  <c r="C71" i="1003"/>
  <c r="H44" i="1003"/>
  <c r="J45" i="1003"/>
  <c r="I48" i="1003"/>
  <c r="I47" i="1003"/>
  <c r="I46" i="1003"/>
  <c r="D24" i="1002"/>
  <c r="J19" i="1002"/>
  <c r="B3" i="1002" s="1"/>
  <c r="B53" i="1002"/>
  <c r="B59" i="1002"/>
  <c r="B50" i="1002"/>
  <c r="B49" i="1002"/>
  <c r="I45" i="1002"/>
  <c r="H47" i="1002"/>
  <c r="H48" i="1002"/>
  <c r="H46" i="1002"/>
  <c r="F71" i="1002"/>
  <c r="B71" i="1002"/>
  <c r="J64" i="1002"/>
  <c r="D64" i="1002"/>
  <c r="E71" i="1002"/>
  <c r="M64" i="1002"/>
  <c r="I64" i="1002"/>
  <c r="C64" i="1002"/>
  <c r="D71" i="1002"/>
  <c r="L64" i="1002"/>
  <c r="F64" i="1002"/>
  <c r="B64" i="1002"/>
  <c r="K64" i="1002"/>
  <c r="F3" i="1002"/>
  <c r="E64" i="1002"/>
  <c r="D3" i="1002"/>
  <c r="A16" i="1002"/>
  <c r="C71" i="1002"/>
  <c r="B54" i="1002"/>
  <c r="C52" i="1002"/>
  <c r="C58" i="1002"/>
  <c r="C57" i="1002"/>
  <c r="C59" i="1002" s="1"/>
  <c r="D56" i="1002"/>
  <c r="D45" i="1002"/>
  <c r="C48" i="1002"/>
  <c r="C47" i="1002"/>
  <c r="C46" i="1002"/>
  <c r="D24" i="1001"/>
  <c r="F25" i="1001"/>
  <c r="B3" i="1001" s="1"/>
  <c r="D25" i="1001"/>
  <c r="B59" i="1001"/>
  <c r="H49" i="1001"/>
  <c r="H50" i="1001"/>
  <c r="C45" i="1001"/>
  <c r="B52" i="1001"/>
  <c r="B48" i="1001"/>
  <c r="B46" i="1001"/>
  <c r="B47" i="1001"/>
  <c r="J19" i="1001"/>
  <c r="F71" i="1001"/>
  <c r="B71" i="1001"/>
  <c r="J64" i="1001"/>
  <c r="D64" i="1001"/>
  <c r="E71" i="1001"/>
  <c r="M64" i="1001"/>
  <c r="I64" i="1001"/>
  <c r="C64" i="1001"/>
  <c r="A16" i="1001"/>
  <c r="D71" i="1001"/>
  <c r="L64" i="1001"/>
  <c r="F64" i="1001"/>
  <c r="B64" i="1001"/>
  <c r="K64" i="1001"/>
  <c r="D3" i="1001"/>
  <c r="E64" i="1001"/>
  <c r="F3" i="1001"/>
  <c r="C71" i="1001"/>
  <c r="C58" i="1001"/>
  <c r="C57" i="1001"/>
  <c r="D56" i="1001"/>
  <c r="J45" i="1001"/>
  <c r="I48" i="1001"/>
  <c r="I47" i="1001"/>
  <c r="I46" i="1001"/>
  <c r="F25" i="1000"/>
  <c r="B3" i="1000" s="1"/>
  <c r="D25" i="1000"/>
  <c r="J19" i="1000"/>
  <c r="B59" i="1000"/>
  <c r="N68" i="1000"/>
  <c r="N67" i="1000"/>
  <c r="E67" i="1000"/>
  <c r="N66" i="1000"/>
  <c r="E66" i="1000"/>
  <c r="N65" i="1000"/>
  <c r="E65" i="1000"/>
  <c r="O67" i="1000"/>
  <c r="O66" i="1000"/>
  <c r="O65" i="1000"/>
  <c r="O68" i="1000"/>
  <c r="C66" i="1000"/>
  <c r="C65" i="1000"/>
  <c r="C68" i="1000"/>
  <c r="C67" i="1000"/>
  <c r="D65" i="1000"/>
  <c r="D68" i="1000"/>
  <c r="E68" i="1000" s="1"/>
  <c r="D67" i="1000"/>
  <c r="D66" i="1000"/>
  <c r="I45" i="1000"/>
  <c r="H48" i="1000"/>
  <c r="H46" i="1000"/>
  <c r="H47" i="1000"/>
  <c r="L66" i="1000"/>
  <c r="N64" i="1000"/>
  <c r="L65" i="1000"/>
  <c r="L68" i="1000"/>
  <c r="L67" i="1000"/>
  <c r="I69" i="1000"/>
  <c r="I65" i="1000"/>
  <c r="I68" i="1000"/>
  <c r="I67" i="1000"/>
  <c r="I66" i="1000"/>
  <c r="J68" i="1000"/>
  <c r="J67" i="1000"/>
  <c r="J66" i="1000"/>
  <c r="J69" i="1000"/>
  <c r="J65" i="1000"/>
  <c r="C58" i="1000"/>
  <c r="C57" i="1000"/>
  <c r="D56" i="1000"/>
  <c r="D73" i="1000"/>
  <c r="D72" i="1000"/>
  <c r="D75" i="1000"/>
  <c r="D74" i="1000"/>
  <c r="M65" i="1000"/>
  <c r="M68" i="1000"/>
  <c r="M67" i="1000"/>
  <c r="O64" i="1000"/>
  <c r="M66" i="1000"/>
  <c r="B75" i="1000"/>
  <c r="B74" i="1000"/>
  <c r="B73" i="1000"/>
  <c r="B72" i="1000"/>
  <c r="K67" i="1000"/>
  <c r="K66" i="1000"/>
  <c r="K69" i="1000"/>
  <c r="K65" i="1000"/>
  <c r="K68" i="1000"/>
  <c r="C74" i="1000"/>
  <c r="C73" i="1000"/>
  <c r="C72" i="1000"/>
  <c r="C75" i="1000"/>
  <c r="C45" i="1000"/>
  <c r="B52" i="1000"/>
  <c r="B48" i="1000"/>
  <c r="B46" i="1000"/>
  <c r="B47" i="1000"/>
  <c r="B67" i="1000"/>
  <c r="B66" i="1000"/>
  <c r="B65" i="1000"/>
  <c r="B68" i="1000"/>
  <c r="E72" i="1000"/>
  <c r="E75" i="1000"/>
  <c r="E74" i="1000"/>
  <c r="E73" i="1000"/>
  <c r="F75" i="1000"/>
  <c r="F74" i="1000"/>
  <c r="F73" i="1000"/>
  <c r="F72" i="1000"/>
  <c r="J19" i="999"/>
  <c r="B3" i="999" s="1"/>
  <c r="B59" i="999"/>
  <c r="C45" i="999"/>
  <c r="B52" i="999"/>
  <c r="B48" i="999"/>
  <c r="B46" i="999"/>
  <c r="B47" i="999"/>
  <c r="C58" i="999"/>
  <c r="C57" i="999"/>
  <c r="D56" i="999"/>
  <c r="I45" i="999"/>
  <c r="H47" i="999"/>
  <c r="H48" i="999"/>
  <c r="H46" i="999"/>
  <c r="F71" i="999"/>
  <c r="B71" i="999"/>
  <c r="J64" i="999"/>
  <c r="D64" i="999"/>
  <c r="E71" i="999"/>
  <c r="M64" i="999"/>
  <c r="I64" i="999"/>
  <c r="C64" i="999"/>
  <c r="A16" i="999"/>
  <c r="D71" i="999"/>
  <c r="L64" i="999"/>
  <c r="F64" i="999"/>
  <c r="B64" i="999"/>
  <c r="K64" i="999"/>
  <c r="E64" i="999"/>
  <c r="F3" i="999"/>
  <c r="D3" i="999"/>
  <c r="C71" i="999"/>
  <c r="F25" i="998"/>
  <c r="B3" i="998" s="1"/>
  <c r="D25" i="998"/>
  <c r="J19" i="998"/>
  <c r="B50" i="998"/>
  <c r="B49" i="998"/>
  <c r="B59" i="998"/>
  <c r="B53" i="998"/>
  <c r="B44" i="998"/>
  <c r="F71" i="998"/>
  <c r="B71" i="998"/>
  <c r="J64" i="998"/>
  <c r="D64" i="998"/>
  <c r="E71" i="998"/>
  <c r="M64" i="998"/>
  <c r="I64" i="998"/>
  <c r="C64" i="998"/>
  <c r="A16" i="998"/>
  <c r="D71" i="998"/>
  <c r="L64" i="998"/>
  <c r="F64" i="998"/>
  <c r="B64" i="998"/>
  <c r="K64" i="998"/>
  <c r="F3" i="998"/>
  <c r="E64" i="998"/>
  <c r="D3" i="998"/>
  <c r="C71" i="998"/>
  <c r="C58" i="998"/>
  <c r="C57" i="998"/>
  <c r="D56" i="998"/>
  <c r="B54" i="998"/>
  <c r="C52" i="998"/>
  <c r="I45" i="998"/>
  <c r="H47" i="998"/>
  <c r="H48" i="998"/>
  <c r="H46" i="998"/>
  <c r="B51" i="998"/>
  <c r="D45" i="998"/>
  <c r="C48" i="998"/>
  <c r="C47" i="998"/>
  <c r="C46" i="998"/>
  <c r="D24" i="997"/>
  <c r="F25" i="997"/>
  <c r="B3" i="997" s="1"/>
  <c r="D25" i="997"/>
  <c r="J19" i="997"/>
  <c r="I45" i="997"/>
  <c r="H47" i="997"/>
  <c r="H48" i="997"/>
  <c r="H46" i="997"/>
  <c r="B53" i="997"/>
  <c r="C58" i="997"/>
  <c r="C57" i="997"/>
  <c r="C59" i="997" s="1"/>
  <c r="D56" i="997"/>
  <c r="B50" i="997"/>
  <c r="B49" i="997"/>
  <c r="F71" i="997"/>
  <c r="B71" i="997"/>
  <c r="J64" i="997"/>
  <c r="D64" i="997"/>
  <c r="E71" i="997"/>
  <c r="M64" i="997"/>
  <c r="I64" i="997"/>
  <c r="C64" i="997"/>
  <c r="A16" i="997"/>
  <c r="D71" i="997"/>
  <c r="L64" i="997"/>
  <c r="F64" i="997"/>
  <c r="B64" i="997"/>
  <c r="K64" i="997"/>
  <c r="F3" i="997"/>
  <c r="E64" i="997"/>
  <c r="D3" i="997"/>
  <c r="C71" i="997"/>
  <c r="B54" i="997"/>
  <c r="C52" i="997"/>
  <c r="B59" i="997"/>
  <c r="D45" i="997"/>
  <c r="C48" i="997"/>
  <c r="C47" i="997"/>
  <c r="C46" i="997"/>
  <c r="D37" i="996"/>
  <c r="G37" i="996" s="1"/>
  <c r="E13" i="996"/>
  <c r="F20" i="996"/>
  <c r="F19" i="996"/>
  <c r="D24" i="996"/>
  <c r="D25" i="996"/>
  <c r="M1" i="996"/>
  <c r="L17" i="996"/>
  <c r="I45" i="996"/>
  <c r="H47" i="996"/>
  <c r="H48" i="996"/>
  <c r="H46" i="996"/>
  <c r="F71" i="996"/>
  <c r="B71" i="996"/>
  <c r="J64" i="996"/>
  <c r="D64" i="996"/>
  <c r="E71" i="996"/>
  <c r="M64" i="996"/>
  <c r="I64" i="996"/>
  <c r="C64" i="996"/>
  <c r="A16" i="996"/>
  <c r="D71" i="996"/>
  <c r="L64" i="996"/>
  <c r="F64" i="996"/>
  <c r="B64" i="996"/>
  <c r="C71" i="996"/>
  <c r="B45" i="996"/>
  <c r="C56" i="996"/>
  <c r="B58" i="996"/>
  <c r="B57" i="996"/>
  <c r="F3" i="996"/>
  <c r="J20" i="996"/>
  <c r="I21" i="996"/>
  <c r="I23" i="996"/>
  <c r="L24" i="996"/>
  <c r="D13" i="996"/>
  <c r="E64" i="996"/>
  <c r="I25" i="996"/>
  <c r="F27" i="996" s="1"/>
  <c r="N23" i="996"/>
  <c r="L22" i="996"/>
  <c r="N21" i="996"/>
  <c r="N24" i="996"/>
  <c r="L23" i="996"/>
  <c r="I22" i="996"/>
  <c r="L21" i="996"/>
  <c r="D3" i="996"/>
  <c r="N22" i="996"/>
  <c r="I20" i="996" s="1"/>
  <c r="I24" i="996"/>
  <c r="F26" i="996" s="1"/>
  <c r="K11" i="996"/>
  <c r="L14" i="996" s="1"/>
  <c r="K64" i="996"/>
  <c r="D37" i="995"/>
  <c r="G37" i="995" s="1"/>
  <c r="D20" i="995"/>
  <c r="F20" i="995" s="1"/>
  <c r="B24" i="995"/>
  <c r="F24" i="995" s="1"/>
  <c r="C25" i="995"/>
  <c r="L17" i="995"/>
  <c r="N68" i="995"/>
  <c r="N67" i="995"/>
  <c r="E67" i="995"/>
  <c r="N66" i="995"/>
  <c r="E66" i="995"/>
  <c r="N65" i="995"/>
  <c r="E65" i="995"/>
  <c r="I25" i="995"/>
  <c r="F27" i="995" s="1"/>
  <c r="N23" i="995"/>
  <c r="L22" i="995"/>
  <c r="N21" i="995"/>
  <c r="N24" i="995"/>
  <c r="L23" i="995"/>
  <c r="I22" i="995"/>
  <c r="L21" i="995"/>
  <c r="M1" i="995"/>
  <c r="D3" i="995"/>
  <c r="N22" i="995"/>
  <c r="I20" i="995" s="1"/>
  <c r="I24" i="995"/>
  <c r="F26" i="995" s="1"/>
  <c r="B45" i="995"/>
  <c r="C56" i="995"/>
  <c r="B58" i="995"/>
  <c r="B57" i="995"/>
  <c r="F3" i="995"/>
  <c r="J20" i="995"/>
  <c r="I21" i="995"/>
  <c r="I23" i="995"/>
  <c r="L24" i="995"/>
  <c r="D13" i="995"/>
  <c r="H45" i="995"/>
  <c r="F71" i="995"/>
  <c r="B71" i="995"/>
  <c r="J64" i="995"/>
  <c r="D64" i="995"/>
  <c r="E71" i="995"/>
  <c r="M64" i="995"/>
  <c r="I64" i="995"/>
  <c r="C64" i="995"/>
  <c r="A16" i="995"/>
  <c r="D71" i="995"/>
  <c r="L64" i="995"/>
  <c r="F64" i="995"/>
  <c r="B64" i="995"/>
  <c r="C71" i="995"/>
  <c r="K11" i="995"/>
  <c r="L14" i="995" s="1"/>
  <c r="K64" i="995"/>
  <c r="G37" i="994"/>
  <c r="F20" i="994"/>
  <c r="C25" i="994"/>
  <c r="K11" i="994"/>
  <c r="L14" i="994" s="1"/>
  <c r="L17" i="994"/>
  <c r="C45" i="994"/>
  <c r="B52" i="994"/>
  <c r="B48" i="994"/>
  <c r="B46" i="994"/>
  <c r="B47" i="994"/>
  <c r="N22" i="994"/>
  <c r="I20" i="994" s="1"/>
  <c r="I24" i="994"/>
  <c r="F26" i="994" s="1"/>
  <c r="I25" i="994"/>
  <c r="F27" i="994" s="1"/>
  <c r="N23" i="994"/>
  <c r="L22" i="994"/>
  <c r="N21" i="994"/>
  <c r="N24" i="994"/>
  <c r="L23" i="994"/>
  <c r="I22" i="994"/>
  <c r="L21" i="994"/>
  <c r="M1" i="994"/>
  <c r="J20" i="994"/>
  <c r="I21" i="994"/>
  <c r="I23" i="994"/>
  <c r="L24" i="994"/>
  <c r="D13" i="994"/>
  <c r="H45" i="994"/>
  <c r="C56" i="994"/>
  <c r="B58" i="994"/>
  <c r="B57" i="994"/>
  <c r="D37" i="993"/>
  <c r="G37" i="993" s="1"/>
  <c r="B24" i="993"/>
  <c r="F24" i="993" s="1"/>
  <c r="I24" i="993"/>
  <c r="F26" i="993" s="1"/>
  <c r="F25" i="993"/>
  <c r="D25" i="993"/>
  <c r="D45" i="993"/>
  <c r="C48" i="993"/>
  <c r="C47" i="993"/>
  <c r="C46" i="993"/>
  <c r="B47" i="993"/>
  <c r="F71" i="993"/>
  <c r="B71" i="993"/>
  <c r="J64" i="993"/>
  <c r="D64" i="993"/>
  <c r="E71" i="993"/>
  <c r="M64" i="993"/>
  <c r="I64" i="993"/>
  <c r="C64" i="993"/>
  <c r="A16" i="993"/>
  <c r="D71" i="993"/>
  <c r="L64" i="993"/>
  <c r="F64" i="993"/>
  <c r="B64" i="993"/>
  <c r="I25" i="993"/>
  <c r="F27" i="993" s="1"/>
  <c r="N23" i="993"/>
  <c r="L22" i="993"/>
  <c r="N21" i="993"/>
  <c r="N24" i="993"/>
  <c r="L23" i="993"/>
  <c r="I22" i="993"/>
  <c r="L21" i="993"/>
  <c r="L24" i="993"/>
  <c r="I23" i="993"/>
  <c r="I21" i="993"/>
  <c r="M1" i="993"/>
  <c r="D3" i="993"/>
  <c r="N22" i="993"/>
  <c r="I20" i="993" s="1"/>
  <c r="G13" i="993"/>
  <c r="C13" i="993"/>
  <c r="H45" i="993"/>
  <c r="E64" i="993"/>
  <c r="C56" i="993"/>
  <c r="B58" i="993"/>
  <c r="B57" i="993"/>
  <c r="F3" i="993"/>
  <c r="K11" i="993"/>
  <c r="E13" i="993"/>
  <c r="L17" i="993"/>
  <c r="F20" i="993"/>
  <c r="B46" i="993"/>
  <c r="B48" i="993"/>
  <c r="B52" i="993"/>
  <c r="K64" i="993"/>
  <c r="D24" i="993"/>
  <c r="G37" i="992"/>
  <c r="C13" i="992"/>
  <c r="F19" i="992"/>
  <c r="B24" i="992"/>
  <c r="F24" i="992" s="1"/>
  <c r="C25" i="992"/>
  <c r="A16" i="992"/>
  <c r="I25" i="992"/>
  <c r="F27" i="992" s="1"/>
  <c r="N23" i="992"/>
  <c r="L22" i="992"/>
  <c r="N21" i="992"/>
  <c r="N24" i="992"/>
  <c r="L23" i="992"/>
  <c r="I22" i="992"/>
  <c r="L21" i="992"/>
  <c r="M1" i="992"/>
  <c r="N22" i="992"/>
  <c r="I20" i="992" s="1"/>
  <c r="I24" i="992"/>
  <c r="F26" i="992" s="1"/>
  <c r="B45" i="992"/>
  <c r="F71" i="992"/>
  <c r="B71" i="992"/>
  <c r="J64" i="992"/>
  <c r="D64" i="992"/>
  <c r="E71" i="992"/>
  <c r="M64" i="992"/>
  <c r="I64" i="992"/>
  <c r="C64" i="992"/>
  <c r="D71" i="992"/>
  <c r="L64" i="992"/>
  <c r="F64" i="992"/>
  <c r="B64" i="992"/>
  <c r="C71" i="992"/>
  <c r="C56" i="992"/>
  <c r="B58" i="992"/>
  <c r="B57" i="992"/>
  <c r="F3" i="992"/>
  <c r="I17" i="992"/>
  <c r="J17" i="992" s="1"/>
  <c r="J20" i="992"/>
  <c r="I21" i="992"/>
  <c r="I23" i="992"/>
  <c r="L24" i="992"/>
  <c r="D13" i="992"/>
  <c r="H45" i="992"/>
  <c r="E64" i="992"/>
  <c r="K11" i="992"/>
  <c r="F20" i="992"/>
  <c r="K64" i="992"/>
  <c r="D13" i="991"/>
  <c r="E13" i="991"/>
  <c r="F13" i="991"/>
  <c r="F19" i="991"/>
  <c r="B24" i="991"/>
  <c r="F24" i="991" s="1"/>
  <c r="C25" i="991"/>
  <c r="I24" i="991"/>
  <c r="F26" i="991" s="1"/>
  <c r="H45" i="991"/>
  <c r="H47" i="991" s="1"/>
  <c r="H46" i="991"/>
  <c r="H48" i="991"/>
  <c r="J20" i="991"/>
  <c r="I21" i="991"/>
  <c r="I23" i="991"/>
  <c r="D37" i="991"/>
  <c r="G37" i="991" s="1"/>
  <c r="D38" i="991"/>
  <c r="G38" i="991" s="1"/>
  <c r="I45" i="991"/>
  <c r="I25" i="991"/>
  <c r="F27" i="991" s="1"/>
  <c r="N23" i="991"/>
  <c r="L22" i="991"/>
  <c r="N21" i="991"/>
  <c r="N24" i="991"/>
  <c r="L23" i="991"/>
  <c r="I22" i="991"/>
  <c r="L21" i="991"/>
  <c r="M1" i="991"/>
  <c r="G13" i="991"/>
  <c r="C13" i="991"/>
  <c r="G39" i="991"/>
  <c r="B45" i="991"/>
  <c r="C56" i="991"/>
  <c r="B58" i="991"/>
  <c r="B57" i="991"/>
  <c r="K11" i="991"/>
  <c r="L14" i="991" s="1"/>
  <c r="L17" i="991"/>
  <c r="F20" i="991"/>
  <c r="G37" i="990"/>
  <c r="B13" i="990"/>
  <c r="F13" i="990"/>
  <c r="C13" i="990"/>
  <c r="D24" i="990"/>
  <c r="D25" i="990"/>
  <c r="F25" i="990"/>
  <c r="B25" i="990"/>
  <c r="L24" i="990"/>
  <c r="I23" i="990"/>
  <c r="I21" i="990"/>
  <c r="J20" i="990"/>
  <c r="H45" i="990"/>
  <c r="B45" i="990"/>
  <c r="I24" i="990"/>
  <c r="F26" i="990" s="1"/>
  <c r="N22" i="990"/>
  <c r="I20" i="990" s="1"/>
  <c r="M1" i="990"/>
  <c r="L17" i="990"/>
  <c r="I22" i="990"/>
  <c r="N24" i="990"/>
  <c r="I25" i="990"/>
  <c r="F27" i="990" s="1"/>
  <c r="C56" i="990"/>
  <c r="B58" i="990"/>
  <c r="B57" i="990"/>
  <c r="L21" i="990"/>
  <c r="L22" i="990"/>
  <c r="N21" i="990"/>
  <c r="L23" i="990"/>
  <c r="F71" i="990"/>
  <c r="B71" i="990"/>
  <c r="J64" i="990"/>
  <c r="D64" i="990"/>
  <c r="E71" i="990"/>
  <c r="M64" i="990"/>
  <c r="I64" i="990"/>
  <c r="C64" i="990"/>
  <c r="D71" i="990"/>
  <c r="L64" i="990"/>
  <c r="F64" i="990"/>
  <c r="B64" i="990"/>
  <c r="D3" i="990"/>
  <c r="C71" i="990"/>
  <c r="K64" i="990"/>
  <c r="E64" i="990"/>
  <c r="K11" i="990"/>
  <c r="L14" i="990" s="1"/>
  <c r="A16" i="990"/>
  <c r="I17" i="990"/>
  <c r="J17" i="990" s="1"/>
  <c r="N23" i="990"/>
  <c r="G37" i="989"/>
  <c r="D20" i="989"/>
  <c r="F20" i="989" s="1"/>
  <c r="C25" i="989"/>
  <c r="I24" i="989"/>
  <c r="F26" i="989" s="1"/>
  <c r="N22" i="989"/>
  <c r="J20" i="989"/>
  <c r="I21" i="989"/>
  <c r="I45" i="989"/>
  <c r="H47" i="989"/>
  <c r="H48" i="989"/>
  <c r="H46" i="989"/>
  <c r="I17" i="989"/>
  <c r="J17" i="989" s="1"/>
  <c r="K11" i="989"/>
  <c r="L17" i="989"/>
  <c r="L21" i="989"/>
  <c r="L23" i="989"/>
  <c r="N24" i="989"/>
  <c r="B45" i="989"/>
  <c r="C56" i="989"/>
  <c r="B58" i="989"/>
  <c r="B57" i="989"/>
  <c r="F19" i="989"/>
  <c r="D13" i="989"/>
  <c r="I25" i="989"/>
  <c r="F27" i="989" s="1"/>
  <c r="N23" i="989"/>
  <c r="L22" i="989"/>
  <c r="N21" i="989"/>
  <c r="L14" i="989"/>
  <c r="L24" i="989"/>
  <c r="I23" i="989"/>
  <c r="I20" i="989"/>
  <c r="I22" i="989"/>
  <c r="B13" i="988"/>
  <c r="F20" i="988"/>
  <c r="F19" i="988"/>
  <c r="C25" i="988"/>
  <c r="F25" i="988" s="1"/>
  <c r="D3" i="988"/>
  <c r="C71" i="988"/>
  <c r="C75" i="988" s="1"/>
  <c r="L17" i="988"/>
  <c r="M1" i="988"/>
  <c r="C45" i="988"/>
  <c r="B52" i="988"/>
  <c r="B48" i="988"/>
  <c r="B46" i="988"/>
  <c r="B47" i="988"/>
  <c r="F3" i="988"/>
  <c r="K11" i="988"/>
  <c r="L14" i="988" s="1"/>
  <c r="N22" i="988"/>
  <c r="I20" i="988" s="1"/>
  <c r="D13" i="988"/>
  <c r="G13" i="988"/>
  <c r="C13" i="988"/>
  <c r="I25" i="988"/>
  <c r="F27" i="988" s="1"/>
  <c r="N23" i="988"/>
  <c r="L22" i="988"/>
  <c r="N21" i="988"/>
  <c r="N24" i="988"/>
  <c r="L23" i="988"/>
  <c r="I22" i="988"/>
  <c r="L21" i="988"/>
  <c r="L24" i="988"/>
  <c r="I23" i="988"/>
  <c r="C56" i="988"/>
  <c r="B58" i="988"/>
  <c r="B57" i="988"/>
  <c r="J20" i="988"/>
  <c r="I21" i="988"/>
  <c r="H45" i="988"/>
  <c r="F71" i="988"/>
  <c r="B71" i="988"/>
  <c r="J64" i="988"/>
  <c r="D64" i="988"/>
  <c r="E71" i="988"/>
  <c r="M64" i="988"/>
  <c r="I64" i="988"/>
  <c r="C64" i="988"/>
  <c r="A16" i="988"/>
  <c r="D71" i="988"/>
  <c r="L64" i="988"/>
  <c r="F64" i="988"/>
  <c r="B64" i="988"/>
  <c r="I24" i="988"/>
  <c r="F26" i="988" s="1"/>
  <c r="K64" i="988"/>
  <c r="D24" i="988"/>
  <c r="F19" i="987"/>
  <c r="D20" i="987"/>
  <c r="F20" i="987" s="1"/>
  <c r="I24" i="987"/>
  <c r="F26" i="987" s="1"/>
  <c r="N22" i="987"/>
  <c r="I20" i="987" s="1"/>
  <c r="H45" i="987"/>
  <c r="I45" i="987" s="1"/>
  <c r="J45" i="987" s="1"/>
  <c r="M1" i="987"/>
  <c r="C45" i="987"/>
  <c r="B52" i="987"/>
  <c r="B48" i="987"/>
  <c r="B47" i="987"/>
  <c r="B46" i="987"/>
  <c r="I46" i="987"/>
  <c r="D38" i="987"/>
  <c r="G38" i="987" s="1"/>
  <c r="F64" i="987"/>
  <c r="C56" i="987"/>
  <c r="B58" i="987"/>
  <c r="B57" i="987"/>
  <c r="D13" i="987"/>
  <c r="G13" i="987"/>
  <c r="F71" i="987"/>
  <c r="B71" i="987"/>
  <c r="J64" i="987"/>
  <c r="D64" i="987"/>
  <c r="E71" i="987"/>
  <c r="M64" i="987"/>
  <c r="I64" i="987"/>
  <c r="C64" i="987"/>
  <c r="A16" i="987"/>
  <c r="E64" i="987"/>
  <c r="C71" i="987"/>
  <c r="I25" i="987"/>
  <c r="F27" i="987" s="1"/>
  <c r="N23" i="987"/>
  <c r="L22" i="987"/>
  <c r="N21" i="987"/>
  <c r="N24" i="987"/>
  <c r="L23" i="987"/>
  <c r="I22" i="987"/>
  <c r="L21" i="987"/>
  <c r="D3" i="987"/>
  <c r="J20" i="987"/>
  <c r="I21" i="987"/>
  <c r="I23" i="987"/>
  <c r="L24" i="987"/>
  <c r="D37" i="987"/>
  <c r="G37" i="987" s="1"/>
  <c r="D71" i="987"/>
  <c r="F3" i="987"/>
  <c r="K11" i="987"/>
  <c r="E13" i="987"/>
  <c r="L17" i="987"/>
  <c r="D24" i="987"/>
  <c r="D25" i="987"/>
  <c r="B64" i="987"/>
  <c r="L64" i="987"/>
  <c r="I16" i="987"/>
  <c r="I16" i="997"/>
  <c r="I11" i="997" s="1"/>
  <c r="I16" i="988"/>
  <c r="I16" i="989"/>
  <c r="I16" i="990"/>
  <c r="I16" i="991"/>
  <c r="I16" i="992"/>
  <c r="I16" i="994"/>
  <c r="I16" i="998"/>
  <c r="I11" i="998" s="1"/>
  <c r="I16" i="995"/>
  <c r="I16" i="993"/>
  <c r="I16" i="999"/>
  <c r="I11" i="999" s="1"/>
  <c r="I16" i="1000"/>
  <c r="I1" i="1000" s="1"/>
  <c r="I16" i="1002"/>
  <c r="I11" i="1002" s="1"/>
  <c r="I16" i="996"/>
  <c r="I16" i="1003"/>
  <c r="I11" i="1003" s="1"/>
  <c r="I16" i="1001"/>
  <c r="I11" i="1001" s="1"/>
  <c r="I16" i="1005"/>
  <c r="I11" i="1005" s="1"/>
  <c r="I16" i="1007"/>
  <c r="I16" i="1009"/>
  <c r="I16" i="1008"/>
  <c r="I16" i="1010"/>
  <c r="I16" i="1033"/>
  <c r="I16" i="1012"/>
  <c r="I16" i="1016"/>
  <c r="I16" i="1011"/>
  <c r="I16" i="1014"/>
  <c r="I16" i="1015"/>
  <c r="I16" i="1020"/>
  <c r="I16" i="1017"/>
  <c r="I16" i="1019"/>
  <c r="I16" i="1013"/>
  <c r="I16" i="1004"/>
  <c r="I1" i="1004" s="1"/>
  <c r="I16" i="1018"/>
  <c r="I16" i="1022"/>
  <c r="I16" i="1025"/>
  <c r="I16" i="1021"/>
  <c r="I16" i="1026"/>
  <c r="I16" i="1024"/>
  <c r="I16" i="1027"/>
  <c r="I16" i="1039"/>
  <c r="I16" i="1028"/>
  <c r="I15" i="1028" s="1"/>
  <c r="I16" i="1023"/>
  <c r="I16" i="1031"/>
  <c r="I16" i="1030"/>
  <c r="I16" i="1032"/>
  <c r="I16" i="1006"/>
  <c r="I1" i="1006" s="1"/>
  <c r="I16" i="1036"/>
  <c r="I9" i="1036" s="1"/>
  <c r="I16" i="1041"/>
  <c r="I16" i="1029"/>
  <c r="I16" i="1035"/>
  <c r="I16" i="1038"/>
  <c r="I9" i="1038" s="1"/>
  <c r="I16" i="1048"/>
  <c r="I15" i="1048" s="1"/>
  <c r="I16" i="1042"/>
  <c r="I15" i="1042" s="1"/>
  <c r="I16" i="1046"/>
  <c r="I16" i="1043"/>
  <c r="I9" i="1043" s="1"/>
  <c r="I16" i="1034"/>
  <c r="I16" i="1047"/>
  <c r="I4" i="1047" s="1"/>
  <c r="I16" i="1045"/>
  <c r="K4" i="1045" s="1"/>
  <c r="I16" i="1050"/>
  <c r="K9" i="1050" s="1"/>
  <c r="I16" i="1049"/>
  <c r="J16" i="1049" s="1"/>
  <c r="I16" i="1040"/>
  <c r="I15" i="1040" s="1"/>
  <c r="I16" i="1051"/>
  <c r="I4" i="1051" s="1"/>
  <c r="I16" i="1052"/>
  <c r="J16" i="1052" s="1"/>
  <c r="I16" i="1057"/>
  <c r="I16" i="1055"/>
  <c r="K4" i="1055" s="1"/>
  <c r="I16" i="1053"/>
  <c r="J4" i="1053" s="1"/>
  <c r="I16" i="1037"/>
  <c r="I16" i="1056"/>
  <c r="I16" i="1054"/>
  <c r="I4" i="1054" s="1"/>
  <c r="I16" i="1060"/>
  <c r="I16" i="1058"/>
  <c r="I4" i="1058" s="1"/>
  <c r="I16" i="1061"/>
  <c r="I16" i="1059"/>
  <c r="I16" i="1062"/>
  <c r="I16" i="1063"/>
  <c r="I16" i="1044"/>
  <c r="I16" i="1064"/>
  <c r="I4" i="1064" s="1"/>
  <c r="I16" i="1065"/>
  <c r="I16" i="1067"/>
  <c r="J4" i="1067" s="1"/>
  <c r="I16" i="1066"/>
  <c r="K4" i="1066" s="1"/>
  <c r="I16" i="1069"/>
  <c r="I16" i="1070"/>
  <c r="I16" i="1071"/>
  <c r="B103" i="986"/>
  <c r="C103" i="986"/>
  <c r="D103" i="986"/>
  <c r="E103" i="986"/>
  <c r="F103" i="986"/>
  <c r="F143" i="986"/>
  <c r="E143" i="986"/>
  <c r="D143" i="986"/>
  <c r="C143" i="986"/>
  <c r="B143" i="986"/>
  <c r="B142" i="986"/>
  <c r="F137" i="986"/>
  <c r="E137" i="986"/>
  <c r="D137" i="986"/>
  <c r="C137" i="986"/>
  <c r="B137" i="986"/>
  <c r="Y94" i="986"/>
  <c r="X94" i="986"/>
  <c r="W94" i="986"/>
  <c r="V94" i="986"/>
  <c r="U94" i="986"/>
  <c r="T94" i="986"/>
  <c r="S94" i="986"/>
  <c r="R94" i="986"/>
  <c r="Q94" i="986"/>
  <c r="P94" i="986"/>
  <c r="O94" i="986"/>
  <c r="N94" i="986"/>
  <c r="M94" i="986"/>
  <c r="L94" i="986"/>
  <c r="K94" i="986"/>
  <c r="J94" i="986"/>
  <c r="I94" i="986"/>
  <c r="H94" i="986"/>
  <c r="G94" i="986"/>
  <c r="F94" i="986"/>
  <c r="E94" i="986"/>
  <c r="D94" i="986"/>
  <c r="C94" i="986"/>
  <c r="B94" i="986"/>
  <c r="E39" i="986"/>
  <c r="C39" i="986"/>
  <c r="B39" i="986"/>
  <c r="E38" i="986"/>
  <c r="C38" i="986"/>
  <c r="B38" i="986"/>
  <c r="E37" i="986"/>
  <c r="C37" i="986"/>
  <c r="B37" i="986"/>
  <c r="E36" i="986"/>
  <c r="C36" i="986"/>
  <c r="D36" i="986" s="1"/>
  <c r="G36" i="986" s="1"/>
  <c r="B36" i="986"/>
  <c r="D34" i="986"/>
  <c r="B34" i="986"/>
  <c r="F13" i="986" s="1"/>
  <c r="D33" i="986"/>
  <c r="D32" i="986"/>
  <c r="B32" i="986"/>
  <c r="F32" i="986" s="1"/>
  <c r="D31" i="986"/>
  <c r="B31" i="986"/>
  <c r="F31" i="986" s="1"/>
  <c r="D30" i="986"/>
  <c r="B30" i="986"/>
  <c r="F30" i="986" s="1"/>
  <c r="C27" i="986"/>
  <c r="D27" i="986" s="1"/>
  <c r="B27" i="986"/>
  <c r="C26" i="986"/>
  <c r="D26" i="986" s="1"/>
  <c r="B26" i="986"/>
  <c r="N22" i="986"/>
  <c r="I20" i="986" s="1"/>
  <c r="B22" i="986"/>
  <c r="F22" i="986" s="1"/>
  <c r="D21" i="986"/>
  <c r="B21" i="986"/>
  <c r="B20" i="986"/>
  <c r="D19" i="986"/>
  <c r="B19" i="986"/>
  <c r="F19" i="986" s="1"/>
  <c r="K15" i="986"/>
  <c r="N14" i="986"/>
  <c r="G13" i="986"/>
  <c r="C13" i="986"/>
  <c r="B13" i="986"/>
  <c r="M11" i="986"/>
  <c r="M10" i="986"/>
  <c r="F10" i="986"/>
  <c r="E10" i="986"/>
  <c r="D10" i="986"/>
  <c r="C10" i="986"/>
  <c r="B10" i="986"/>
  <c r="M9" i="986"/>
  <c r="D4" i="986"/>
  <c r="E4" i="986" s="1"/>
  <c r="N2" i="986"/>
  <c r="N1" i="986"/>
  <c r="L17" i="986" s="1"/>
  <c r="K1" i="986"/>
  <c r="D1" i="986"/>
  <c r="C1" i="986"/>
  <c r="F143" i="985"/>
  <c r="E143" i="985"/>
  <c r="D143" i="985"/>
  <c r="C143" i="985"/>
  <c r="B143" i="985"/>
  <c r="B142" i="985"/>
  <c r="F137" i="985"/>
  <c r="E137" i="985"/>
  <c r="D137" i="985"/>
  <c r="C137" i="985"/>
  <c r="B137" i="985"/>
  <c r="F103" i="985"/>
  <c r="E103" i="985"/>
  <c r="D103" i="985"/>
  <c r="C103" i="985"/>
  <c r="B103" i="985"/>
  <c r="Y94" i="985"/>
  <c r="X94" i="985"/>
  <c r="W94" i="985"/>
  <c r="V94" i="985"/>
  <c r="U94" i="985"/>
  <c r="T94" i="985"/>
  <c r="S94" i="985"/>
  <c r="R94" i="985"/>
  <c r="Q94" i="985"/>
  <c r="P94" i="985"/>
  <c r="O94" i="985"/>
  <c r="N94" i="985"/>
  <c r="M94" i="985"/>
  <c r="L94" i="985"/>
  <c r="K94" i="985"/>
  <c r="J94" i="985"/>
  <c r="I94" i="985"/>
  <c r="H94" i="985"/>
  <c r="G94" i="985"/>
  <c r="F94" i="985"/>
  <c r="E94" i="985"/>
  <c r="D94" i="985"/>
  <c r="C94" i="985"/>
  <c r="B94" i="985"/>
  <c r="E39" i="985"/>
  <c r="C39" i="985"/>
  <c r="D39" i="985" s="1"/>
  <c r="B39" i="985"/>
  <c r="E38" i="985"/>
  <c r="C38" i="985"/>
  <c r="D38" i="985" s="1"/>
  <c r="G38" i="985" s="1"/>
  <c r="B38" i="985"/>
  <c r="E37" i="985"/>
  <c r="C37" i="985"/>
  <c r="B37" i="985"/>
  <c r="E36" i="985"/>
  <c r="C36" i="985"/>
  <c r="B36" i="985"/>
  <c r="D34" i="985"/>
  <c r="B34" i="985"/>
  <c r="B13" i="985" s="1"/>
  <c r="D33" i="985"/>
  <c r="D32" i="985"/>
  <c r="B32" i="985"/>
  <c r="F32" i="985" s="1"/>
  <c r="F31" i="985"/>
  <c r="D31" i="985"/>
  <c r="B31" i="985"/>
  <c r="D30" i="985"/>
  <c r="B30" i="985"/>
  <c r="F30" i="985" s="1"/>
  <c r="C27" i="985"/>
  <c r="D27" i="985" s="1"/>
  <c r="B27" i="985"/>
  <c r="C26" i="985"/>
  <c r="D26" i="985" s="1"/>
  <c r="B26" i="985"/>
  <c r="B22" i="985"/>
  <c r="F22" i="985" s="1"/>
  <c r="D21" i="985"/>
  <c r="F21" i="985" s="1"/>
  <c r="B21" i="985"/>
  <c r="B20" i="985"/>
  <c r="D19" i="985"/>
  <c r="B19" i="985"/>
  <c r="K15" i="985"/>
  <c r="N14" i="985"/>
  <c r="E13" i="985"/>
  <c r="M11" i="985"/>
  <c r="M10" i="985"/>
  <c r="F10" i="985"/>
  <c r="E10" i="985"/>
  <c r="D10" i="985"/>
  <c r="C10" i="985"/>
  <c r="B10" i="985"/>
  <c r="M9" i="985"/>
  <c r="D4" i="985"/>
  <c r="E4" i="985" s="1"/>
  <c r="N2" i="985"/>
  <c r="N1" i="985"/>
  <c r="I17" i="985" s="1"/>
  <c r="J17" i="985" s="1"/>
  <c r="K1" i="985"/>
  <c r="D1" i="985"/>
  <c r="C1" i="985"/>
  <c r="F143" i="984"/>
  <c r="E143" i="984"/>
  <c r="D143" i="984"/>
  <c r="C143" i="984"/>
  <c r="D20" i="984" s="1"/>
  <c r="B143" i="984"/>
  <c r="B142" i="984"/>
  <c r="F137" i="984"/>
  <c r="E137" i="984"/>
  <c r="D137" i="984"/>
  <c r="C137" i="984"/>
  <c r="B137" i="984"/>
  <c r="F103" i="984"/>
  <c r="C24" i="984" s="1"/>
  <c r="E103" i="984"/>
  <c r="D103" i="984"/>
  <c r="C103" i="984"/>
  <c r="B103" i="984"/>
  <c r="Y94" i="984"/>
  <c r="X94" i="984"/>
  <c r="W94" i="984"/>
  <c r="V94" i="984"/>
  <c r="U94" i="984"/>
  <c r="T94" i="984"/>
  <c r="S94" i="984"/>
  <c r="R94" i="984"/>
  <c r="Q94" i="984"/>
  <c r="P94" i="984"/>
  <c r="O94" i="984"/>
  <c r="N94" i="984"/>
  <c r="M94" i="984"/>
  <c r="L94" i="984"/>
  <c r="K94" i="984"/>
  <c r="J94" i="984"/>
  <c r="I94" i="984"/>
  <c r="H94" i="984"/>
  <c r="G94" i="984"/>
  <c r="F94" i="984"/>
  <c r="C25" i="984" s="1"/>
  <c r="E94" i="984"/>
  <c r="D94" i="984"/>
  <c r="C94" i="984"/>
  <c r="B94" i="984"/>
  <c r="E39" i="984"/>
  <c r="C39" i="984"/>
  <c r="D39" i="984" s="1"/>
  <c r="G39" i="984" s="1"/>
  <c r="B39" i="984"/>
  <c r="E38" i="984"/>
  <c r="C38" i="984"/>
  <c r="B38" i="984"/>
  <c r="E37" i="984"/>
  <c r="C37" i="984"/>
  <c r="B37" i="984"/>
  <c r="E36" i="984"/>
  <c r="C36" i="984"/>
  <c r="B36" i="984"/>
  <c r="D34" i="984"/>
  <c r="B34" i="984"/>
  <c r="B13" i="984" s="1"/>
  <c r="D33" i="984"/>
  <c r="D32" i="984"/>
  <c r="B32" i="984"/>
  <c r="F32" i="984" s="1"/>
  <c r="D31" i="984"/>
  <c r="B31" i="984"/>
  <c r="F31" i="984" s="1"/>
  <c r="D30" i="984"/>
  <c r="B30" i="984"/>
  <c r="F30" i="984" s="1"/>
  <c r="C27" i="984"/>
  <c r="D27" i="984" s="1"/>
  <c r="B27" i="984"/>
  <c r="C26" i="984"/>
  <c r="D26" i="984" s="1"/>
  <c r="B26" i="984"/>
  <c r="B22" i="984"/>
  <c r="F22" i="984" s="1"/>
  <c r="D21" i="984"/>
  <c r="B21" i="984"/>
  <c r="B20" i="984"/>
  <c r="D19" i="984"/>
  <c r="B19" i="984"/>
  <c r="K15" i="984"/>
  <c r="N14" i="984"/>
  <c r="F13" i="984"/>
  <c r="E13" i="984"/>
  <c r="D13" i="984"/>
  <c r="M11" i="984"/>
  <c r="M10" i="984"/>
  <c r="F10" i="984"/>
  <c r="E10" i="984"/>
  <c r="D10" i="984"/>
  <c r="C10" i="984"/>
  <c r="B10" i="984"/>
  <c r="M9" i="984"/>
  <c r="D4" i="984"/>
  <c r="E4" i="984" s="1"/>
  <c r="N2" i="984"/>
  <c r="N1" i="984"/>
  <c r="I17" i="984" s="1"/>
  <c r="J17" i="984" s="1"/>
  <c r="K1" i="984"/>
  <c r="D1" i="984"/>
  <c r="C1" i="984"/>
  <c r="I24" i="984" s="1"/>
  <c r="F143" i="983"/>
  <c r="E143" i="983"/>
  <c r="D143" i="983"/>
  <c r="C143" i="983"/>
  <c r="B143" i="983"/>
  <c r="B142" i="983"/>
  <c r="F137" i="983"/>
  <c r="E137" i="983"/>
  <c r="D137" i="983"/>
  <c r="C137" i="983"/>
  <c r="B137" i="983"/>
  <c r="F103" i="983"/>
  <c r="E103" i="983"/>
  <c r="D103" i="983"/>
  <c r="C103" i="983"/>
  <c r="B103" i="983"/>
  <c r="Y94" i="983"/>
  <c r="X94" i="983"/>
  <c r="W94" i="983"/>
  <c r="V94" i="983"/>
  <c r="U94" i="983"/>
  <c r="T94" i="983"/>
  <c r="S94" i="983"/>
  <c r="R94" i="983"/>
  <c r="Q94" i="983"/>
  <c r="P94" i="983"/>
  <c r="O94" i="983"/>
  <c r="N94" i="983"/>
  <c r="M94" i="983"/>
  <c r="L94" i="983"/>
  <c r="K94" i="983"/>
  <c r="J94" i="983"/>
  <c r="I94" i="983"/>
  <c r="H94" i="983"/>
  <c r="G94" i="983"/>
  <c r="F94" i="983"/>
  <c r="E94" i="983"/>
  <c r="D94" i="983"/>
  <c r="C94" i="983"/>
  <c r="B94" i="983"/>
  <c r="E39" i="983"/>
  <c r="C39" i="983"/>
  <c r="B39" i="983"/>
  <c r="E38" i="983"/>
  <c r="C38" i="983"/>
  <c r="D38" i="983" s="1"/>
  <c r="G38" i="983" s="1"/>
  <c r="B38" i="983"/>
  <c r="E37" i="983"/>
  <c r="C37" i="983"/>
  <c r="B37" i="983"/>
  <c r="E36" i="983"/>
  <c r="C36" i="983"/>
  <c r="D36" i="983" s="1"/>
  <c r="G36" i="983" s="1"/>
  <c r="B36" i="983"/>
  <c r="D34" i="983"/>
  <c r="B34" i="983"/>
  <c r="E13" i="983" s="1"/>
  <c r="D33" i="983"/>
  <c r="D32" i="983"/>
  <c r="B32" i="983"/>
  <c r="F32" i="983" s="1"/>
  <c r="D31" i="983"/>
  <c r="B31" i="983"/>
  <c r="F31" i="983" s="1"/>
  <c r="D30" i="983"/>
  <c r="B30" i="983"/>
  <c r="F30" i="983" s="1"/>
  <c r="C27" i="983"/>
  <c r="D27" i="983" s="1"/>
  <c r="B27" i="983"/>
  <c r="C26" i="983"/>
  <c r="D26" i="983" s="1"/>
  <c r="B26" i="983"/>
  <c r="B22" i="983"/>
  <c r="F22" i="983" s="1"/>
  <c r="D21" i="983"/>
  <c r="B21" i="983"/>
  <c r="B20" i="983"/>
  <c r="D19" i="983"/>
  <c r="B19" i="983"/>
  <c r="K15" i="983"/>
  <c r="N14" i="983"/>
  <c r="G13" i="983"/>
  <c r="F13" i="983"/>
  <c r="B13" i="983"/>
  <c r="M11" i="983"/>
  <c r="M10" i="983"/>
  <c r="F10" i="983"/>
  <c r="E10" i="983"/>
  <c r="D10" i="983"/>
  <c r="C10" i="983"/>
  <c r="B10" i="983"/>
  <c r="M9" i="983"/>
  <c r="D4" i="983"/>
  <c r="E4" i="983" s="1"/>
  <c r="N2" i="983"/>
  <c r="N1" i="983"/>
  <c r="I17" i="983" s="1"/>
  <c r="J17" i="983" s="1"/>
  <c r="K1" i="983"/>
  <c r="D1" i="983"/>
  <c r="C1" i="983"/>
  <c r="F143" i="982"/>
  <c r="E143" i="982"/>
  <c r="D143" i="982"/>
  <c r="C143" i="982"/>
  <c r="B143" i="982"/>
  <c r="B142" i="982"/>
  <c r="F137" i="982"/>
  <c r="E137" i="982"/>
  <c r="D137" i="982"/>
  <c r="C137" i="982"/>
  <c r="B137" i="982"/>
  <c r="F103" i="982"/>
  <c r="E103" i="982"/>
  <c r="D103" i="982"/>
  <c r="C103" i="982"/>
  <c r="B103" i="982"/>
  <c r="Y94" i="982"/>
  <c r="X94" i="982"/>
  <c r="W94" i="982"/>
  <c r="V94" i="982"/>
  <c r="U94" i="982"/>
  <c r="T94" i="982"/>
  <c r="S94" i="982"/>
  <c r="R94" i="982"/>
  <c r="O94" i="982"/>
  <c r="N94" i="982"/>
  <c r="M94" i="982"/>
  <c r="L94" i="982"/>
  <c r="K94" i="982"/>
  <c r="J94" i="982"/>
  <c r="I94" i="982"/>
  <c r="H94" i="982"/>
  <c r="G94" i="982"/>
  <c r="F94" i="982"/>
  <c r="E94" i="982"/>
  <c r="D94" i="982"/>
  <c r="C94" i="982"/>
  <c r="B94" i="982"/>
  <c r="E39" i="982"/>
  <c r="C39" i="982"/>
  <c r="B39" i="982"/>
  <c r="E38" i="982"/>
  <c r="C38" i="982"/>
  <c r="B38" i="982"/>
  <c r="E37" i="982"/>
  <c r="C37" i="982"/>
  <c r="B37" i="982"/>
  <c r="E36" i="982"/>
  <c r="C36" i="982"/>
  <c r="B36" i="982"/>
  <c r="D34" i="982"/>
  <c r="B34" i="982"/>
  <c r="E13" i="982" s="1"/>
  <c r="D33" i="982"/>
  <c r="D32" i="982"/>
  <c r="B32" i="982"/>
  <c r="F32" i="982" s="1"/>
  <c r="D31" i="982"/>
  <c r="B31" i="982"/>
  <c r="F31" i="982" s="1"/>
  <c r="D30" i="982"/>
  <c r="B30" i="982"/>
  <c r="F30" i="982" s="1"/>
  <c r="C27" i="982"/>
  <c r="D27" i="982" s="1"/>
  <c r="B27" i="982"/>
  <c r="C26" i="982"/>
  <c r="D26" i="982" s="1"/>
  <c r="B26" i="982"/>
  <c r="B22" i="982"/>
  <c r="F22" i="982" s="1"/>
  <c r="D21" i="982"/>
  <c r="B21" i="982"/>
  <c r="B20" i="982"/>
  <c r="D19" i="982"/>
  <c r="B19" i="982"/>
  <c r="K15" i="982"/>
  <c r="N14" i="982"/>
  <c r="M11" i="982"/>
  <c r="M10" i="982"/>
  <c r="F10" i="982"/>
  <c r="E10" i="982"/>
  <c r="D10" i="982"/>
  <c r="C10" i="982"/>
  <c r="B10" i="982"/>
  <c r="M9" i="982"/>
  <c r="D4" i="982"/>
  <c r="E4" i="982" s="1"/>
  <c r="N2" i="982"/>
  <c r="N1" i="982"/>
  <c r="I17" i="982" s="1"/>
  <c r="K1" i="982"/>
  <c r="D1" i="982"/>
  <c r="C1" i="982"/>
  <c r="F143" i="981"/>
  <c r="E143" i="981"/>
  <c r="D143" i="981"/>
  <c r="C143" i="981"/>
  <c r="B143" i="981"/>
  <c r="B142" i="981"/>
  <c r="F137" i="981"/>
  <c r="E137" i="981"/>
  <c r="D137" i="981"/>
  <c r="C137" i="981"/>
  <c r="B137" i="981"/>
  <c r="F103" i="981"/>
  <c r="E103" i="981"/>
  <c r="D103" i="981"/>
  <c r="C103" i="981"/>
  <c r="B103" i="981"/>
  <c r="Y94" i="981"/>
  <c r="X94" i="981"/>
  <c r="W94" i="981"/>
  <c r="V94" i="981"/>
  <c r="U94" i="981"/>
  <c r="T94" i="981"/>
  <c r="S94" i="981"/>
  <c r="R94" i="981"/>
  <c r="Q94" i="981"/>
  <c r="P94" i="981"/>
  <c r="O94" i="981"/>
  <c r="N94" i="981"/>
  <c r="M94" i="981"/>
  <c r="L94" i="981"/>
  <c r="K94" i="981"/>
  <c r="J94" i="981"/>
  <c r="I94" i="981"/>
  <c r="H94" i="981"/>
  <c r="G94" i="981"/>
  <c r="F94" i="981"/>
  <c r="E94" i="981"/>
  <c r="D94" i="981"/>
  <c r="C94" i="981"/>
  <c r="B94" i="981"/>
  <c r="B25" i="981" s="1"/>
  <c r="E39" i="981"/>
  <c r="C39" i="981"/>
  <c r="D39" i="981" s="1"/>
  <c r="B39" i="981"/>
  <c r="E38" i="981"/>
  <c r="C38" i="981"/>
  <c r="B38" i="981"/>
  <c r="E37" i="981"/>
  <c r="C37" i="981"/>
  <c r="B37" i="981"/>
  <c r="E36" i="981"/>
  <c r="C36" i="981"/>
  <c r="B36" i="981"/>
  <c r="D34" i="981"/>
  <c r="B34" i="981"/>
  <c r="E13" i="981" s="1"/>
  <c r="D33" i="981"/>
  <c r="F32" i="981"/>
  <c r="D32" i="981"/>
  <c r="B32" i="981"/>
  <c r="D31" i="981"/>
  <c r="B31" i="981"/>
  <c r="F31" i="981" s="1"/>
  <c r="D30" i="981"/>
  <c r="B30" i="981"/>
  <c r="F30" i="981" s="1"/>
  <c r="C27" i="981"/>
  <c r="D27" i="981" s="1"/>
  <c r="B27" i="981"/>
  <c r="C26" i="981"/>
  <c r="D26" i="981" s="1"/>
  <c r="B26" i="981"/>
  <c r="B22" i="981"/>
  <c r="F22" i="981" s="1"/>
  <c r="D21" i="981"/>
  <c r="B21" i="981"/>
  <c r="F21" i="981" s="1"/>
  <c r="B20" i="981"/>
  <c r="D19" i="981"/>
  <c r="B19" i="981"/>
  <c r="K15" i="981"/>
  <c r="N14" i="981"/>
  <c r="C13" i="981"/>
  <c r="M11" i="981"/>
  <c r="M10" i="981"/>
  <c r="F10" i="981"/>
  <c r="E10" i="981"/>
  <c r="D10" i="981"/>
  <c r="C10" i="981"/>
  <c r="B10" i="981"/>
  <c r="M9" i="981"/>
  <c r="D4" i="981"/>
  <c r="E4" i="981" s="1"/>
  <c r="N2" i="981"/>
  <c r="N1" i="981"/>
  <c r="I17" i="981" s="1"/>
  <c r="K1" i="981"/>
  <c r="D1" i="981"/>
  <c r="C1" i="981"/>
  <c r="B142" i="980"/>
  <c r="F143" i="980"/>
  <c r="E143" i="980"/>
  <c r="D143" i="980"/>
  <c r="C143" i="980"/>
  <c r="B143" i="980"/>
  <c r="F137" i="980"/>
  <c r="E137" i="980"/>
  <c r="D137" i="980"/>
  <c r="C137" i="980"/>
  <c r="B137" i="980"/>
  <c r="F103" i="980"/>
  <c r="C24" i="980" s="1"/>
  <c r="E103" i="980"/>
  <c r="D103" i="980"/>
  <c r="C103" i="980"/>
  <c r="B103" i="980"/>
  <c r="Y94" i="980"/>
  <c r="X94" i="980"/>
  <c r="W94" i="980"/>
  <c r="V94" i="980"/>
  <c r="U94" i="980"/>
  <c r="T94" i="980"/>
  <c r="S94" i="980"/>
  <c r="R94" i="980"/>
  <c r="Q94" i="980"/>
  <c r="P94" i="980"/>
  <c r="O94" i="980"/>
  <c r="N94" i="980"/>
  <c r="M94" i="980"/>
  <c r="L94" i="980"/>
  <c r="K94" i="980"/>
  <c r="J94" i="980"/>
  <c r="I94" i="980"/>
  <c r="H94" i="980"/>
  <c r="G94" i="980"/>
  <c r="C25" i="980" s="1"/>
  <c r="F94" i="980"/>
  <c r="E94" i="980"/>
  <c r="B25" i="980" s="1"/>
  <c r="E39" i="980"/>
  <c r="C39" i="980"/>
  <c r="B39" i="980"/>
  <c r="D39" i="980" s="1"/>
  <c r="G39" i="980" s="1"/>
  <c r="E38" i="980"/>
  <c r="C38" i="980"/>
  <c r="D38" i="980" s="1"/>
  <c r="G38" i="980" s="1"/>
  <c r="B38" i="980"/>
  <c r="E37" i="980"/>
  <c r="C37" i="980"/>
  <c r="B37" i="980"/>
  <c r="D37" i="980" s="1"/>
  <c r="E36" i="980"/>
  <c r="C36" i="980"/>
  <c r="D36" i="980" s="1"/>
  <c r="G36" i="980" s="1"/>
  <c r="B36" i="980"/>
  <c r="D34" i="980"/>
  <c r="B34" i="980"/>
  <c r="F13" i="980" s="1"/>
  <c r="D33" i="980"/>
  <c r="D32" i="980"/>
  <c r="B32" i="980"/>
  <c r="F32" i="980" s="1"/>
  <c r="D31" i="980"/>
  <c r="B31" i="980"/>
  <c r="F31" i="980" s="1"/>
  <c r="D30" i="980"/>
  <c r="B30" i="980"/>
  <c r="F30" i="980" s="1"/>
  <c r="C27" i="980"/>
  <c r="D27" i="980" s="1"/>
  <c r="B27" i="980"/>
  <c r="C26" i="980"/>
  <c r="D26" i="980" s="1"/>
  <c r="B26" i="980"/>
  <c r="B24" i="980"/>
  <c r="F24" i="980" s="1"/>
  <c r="I23" i="980"/>
  <c r="B22" i="980"/>
  <c r="F22" i="980" s="1"/>
  <c r="D21" i="980"/>
  <c r="B21" i="980"/>
  <c r="B20" i="980"/>
  <c r="D19" i="980"/>
  <c r="B19" i="980"/>
  <c r="K15" i="980"/>
  <c r="N14" i="980"/>
  <c r="M11" i="980"/>
  <c r="M10" i="980"/>
  <c r="F10" i="980"/>
  <c r="E10" i="980"/>
  <c r="D10" i="980"/>
  <c r="C10" i="980"/>
  <c r="B10" i="980"/>
  <c r="M9" i="980"/>
  <c r="D4" i="980"/>
  <c r="E4" i="980" s="1"/>
  <c r="N2" i="980"/>
  <c r="N1" i="980"/>
  <c r="L17" i="980" s="1"/>
  <c r="K1" i="980"/>
  <c r="D1" i="980"/>
  <c r="C1" i="980"/>
  <c r="B1" i="980" s="1"/>
  <c r="F143" i="979"/>
  <c r="E143" i="979"/>
  <c r="D143" i="979"/>
  <c r="C143" i="979"/>
  <c r="D20" i="979" s="1"/>
  <c r="B143" i="979"/>
  <c r="B142" i="979"/>
  <c r="F137" i="979"/>
  <c r="E137" i="979"/>
  <c r="D137" i="979"/>
  <c r="C137" i="979"/>
  <c r="B137" i="979"/>
  <c r="F103" i="979"/>
  <c r="C24" i="979" s="1"/>
  <c r="E103" i="979"/>
  <c r="D103" i="979"/>
  <c r="C103" i="979"/>
  <c r="B103" i="979"/>
  <c r="Y94" i="979"/>
  <c r="X94" i="979"/>
  <c r="W94" i="979"/>
  <c r="V94" i="979"/>
  <c r="U94" i="979"/>
  <c r="T94" i="979"/>
  <c r="S94" i="979"/>
  <c r="R94" i="979"/>
  <c r="Q94" i="979"/>
  <c r="P94" i="979"/>
  <c r="O94" i="979"/>
  <c r="N94" i="979"/>
  <c r="M94" i="979"/>
  <c r="L94" i="979"/>
  <c r="K94" i="979"/>
  <c r="J94" i="979"/>
  <c r="I94" i="979"/>
  <c r="H94" i="979"/>
  <c r="G94" i="979"/>
  <c r="F94" i="979"/>
  <c r="E94" i="979"/>
  <c r="D94" i="979"/>
  <c r="C94" i="979"/>
  <c r="B94" i="979"/>
  <c r="E39" i="979"/>
  <c r="C39" i="979"/>
  <c r="D39" i="979" s="1"/>
  <c r="G39" i="979" s="1"/>
  <c r="B39" i="979"/>
  <c r="E38" i="979"/>
  <c r="C38" i="979"/>
  <c r="B38" i="979"/>
  <c r="E37" i="979"/>
  <c r="C37" i="979"/>
  <c r="B37" i="979"/>
  <c r="E36" i="979"/>
  <c r="C36" i="979"/>
  <c r="B36" i="979"/>
  <c r="D34" i="979"/>
  <c r="B34" i="979"/>
  <c r="B13" i="979" s="1"/>
  <c r="D33" i="979"/>
  <c r="D32" i="979"/>
  <c r="B32" i="979"/>
  <c r="F32" i="979" s="1"/>
  <c r="D31" i="979"/>
  <c r="B31" i="979"/>
  <c r="F31" i="979" s="1"/>
  <c r="D30" i="979"/>
  <c r="B30" i="979"/>
  <c r="F30" i="979" s="1"/>
  <c r="C27" i="979"/>
  <c r="D27" i="979" s="1"/>
  <c r="B27" i="979"/>
  <c r="C26" i="979"/>
  <c r="D26" i="979" s="1"/>
  <c r="B26" i="979"/>
  <c r="B22" i="979"/>
  <c r="F22" i="979" s="1"/>
  <c r="F21" i="979"/>
  <c r="D21" i="979"/>
  <c r="B21" i="979"/>
  <c r="B20" i="979"/>
  <c r="D19" i="979"/>
  <c r="B19" i="979"/>
  <c r="K15" i="979"/>
  <c r="N14" i="979"/>
  <c r="F13" i="979"/>
  <c r="E13" i="979"/>
  <c r="C13" i="979"/>
  <c r="M11" i="979"/>
  <c r="M10" i="979"/>
  <c r="F10" i="979"/>
  <c r="E10" i="979"/>
  <c r="D10" i="979"/>
  <c r="C10" i="979"/>
  <c r="B10" i="979"/>
  <c r="M9" i="979"/>
  <c r="D4" i="979"/>
  <c r="E4" i="979" s="1"/>
  <c r="N2" i="979"/>
  <c r="N1" i="979"/>
  <c r="I17" i="979" s="1"/>
  <c r="K1" i="979"/>
  <c r="D1" i="979"/>
  <c r="C1" i="979"/>
  <c r="F143" i="978"/>
  <c r="E143" i="978"/>
  <c r="D143" i="978"/>
  <c r="C143" i="978"/>
  <c r="B143" i="978"/>
  <c r="B142" i="978"/>
  <c r="F137" i="978"/>
  <c r="E137" i="978"/>
  <c r="D137" i="978"/>
  <c r="C137" i="978"/>
  <c r="B137" i="978"/>
  <c r="F103" i="978"/>
  <c r="E103" i="978"/>
  <c r="D103" i="978"/>
  <c r="C103" i="978"/>
  <c r="B24" i="978" s="1"/>
  <c r="F24" i="978" s="1"/>
  <c r="B103" i="978"/>
  <c r="Y94" i="978"/>
  <c r="X94" i="978"/>
  <c r="W94" i="978"/>
  <c r="V94" i="978"/>
  <c r="U94" i="978"/>
  <c r="T94" i="978"/>
  <c r="S94" i="978"/>
  <c r="R94" i="978"/>
  <c r="Q94" i="978"/>
  <c r="P94" i="978"/>
  <c r="O94" i="978"/>
  <c r="N94" i="978"/>
  <c r="M94" i="978"/>
  <c r="L94" i="978"/>
  <c r="K94" i="978"/>
  <c r="J94" i="978"/>
  <c r="I94" i="978"/>
  <c r="H94" i="978"/>
  <c r="G94" i="978"/>
  <c r="F94" i="978"/>
  <c r="E94" i="978"/>
  <c r="D94" i="978"/>
  <c r="C94" i="978"/>
  <c r="B94" i="978"/>
  <c r="E39" i="978"/>
  <c r="C39" i="978"/>
  <c r="B39" i="978"/>
  <c r="E38" i="978"/>
  <c r="C38" i="978"/>
  <c r="D38" i="978" s="1"/>
  <c r="G38" i="978" s="1"/>
  <c r="B38" i="978"/>
  <c r="E37" i="978"/>
  <c r="C37" i="978"/>
  <c r="B37" i="978"/>
  <c r="E36" i="978"/>
  <c r="C36" i="978"/>
  <c r="D36" i="978" s="1"/>
  <c r="G36" i="978" s="1"/>
  <c r="B36" i="978"/>
  <c r="D34" i="978"/>
  <c r="B34" i="978"/>
  <c r="E13" i="978" s="1"/>
  <c r="D33" i="978"/>
  <c r="F32" i="978"/>
  <c r="D32" i="978"/>
  <c r="B32" i="978"/>
  <c r="D31" i="978"/>
  <c r="B31" i="978"/>
  <c r="F31" i="978" s="1"/>
  <c r="D30" i="978"/>
  <c r="B30" i="978"/>
  <c r="F30" i="978" s="1"/>
  <c r="C27" i="978"/>
  <c r="D27" i="978" s="1"/>
  <c r="B27" i="978"/>
  <c r="C26" i="978"/>
  <c r="D26" i="978" s="1"/>
  <c r="B26" i="978"/>
  <c r="B22" i="978"/>
  <c r="F22" i="978" s="1"/>
  <c r="D21" i="978"/>
  <c r="B21" i="978"/>
  <c r="B20" i="978"/>
  <c r="D19" i="978"/>
  <c r="B19" i="978"/>
  <c r="K15" i="978"/>
  <c r="N14" i="978"/>
  <c r="G13" i="978"/>
  <c r="F13" i="978"/>
  <c r="C13" i="978"/>
  <c r="B13" i="978"/>
  <c r="M11" i="978"/>
  <c r="M10" i="978"/>
  <c r="F10" i="978"/>
  <c r="E10" i="978"/>
  <c r="D10" i="978"/>
  <c r="C10" i="978"/>
  <c r="B10" i="978"/>
  <c r="M9" i="978"/>
  <c r="D4" i="978"/>
  <c r="E4" i="978" s="1"/>
  <c r="N2" i="978"/>
  <c r="N1" i="978"/>
  <c r="I17" i="978" s="1"/>
  <c r="K1" i="978"/>
  <c r="D1" i="978"/>
  <c r="C1" i="978"/>
  <c r="F143" i="977"/>
  <c r="E143" i="977"/>
  <c r="D143" i="977"/>
  <c r="C143" i="977"/>
  <c r="B143" i="977"/>
  <c r="B142" i="977"/>
  <c r="F137" i="977"/>
  <c r="E137" i="977"/>
  <c r="D137" i="977"/>
  <c r="C137" i="977"/>
  <c r="B137" i="977"/>
  <c r="F103" i="977"/>
  <c r="E103" i="977"/>
  <c r="D103" i="977"/>
  <c r="C103" i="977"/>
  <c r="B103" i="977"/>
  <c r="Y94" i="977"/>
  <c r="X94" i="977"/>
  <c r="W94" i="977"/>
  <c r="V94" i="977"/>
  <c r="U94" i="977"/>
  <c r="T94" i="977"/>
  <c r="S94" i="977"/>
  <c r="R94" i="977"/>
  <c r="Q94" i="977"/>
  <c r="P94" i="977"/>
  <c r="O94" i="977"/>
  <c r="N94" i="977"/>
  <c r="M94" i="977"/>
  <c r="L94" i="977"/>
  <c r="K94" i="977"/>
  <c r="J94" i="977"/>
  <c r="I94" i="977"/>
  <c r="H94" i="977"/>
  <c r="G94" i="977"/>
  <c r="F94" i="977"/>
  <c r="E94" i="977"/>
  <c r="D94" i="977"/>
  <c r="C94" i="977"/>
  <c r="B94" i="977"/>
  <c r="E39" i="977"/>
  <c r="C39" i="977"/>
  <c r="B39" i="977"/>
  <c r="E38" i="977"/>
  <c r="C38" i="977"/>
  <c r="D38" i="977" s="1"/>
  <c r="G38" i="977" s="1"/>
  <c r="B38" i="977"/>
  <c r="E37" i="977"/>
  <c r="C37" i="977"/>
  <c r="B37" i="977"/>
  <c r="D37" i="977" s="1"/>
  <c r="E36" i="977"/>
  <c r="C36" i="977"/>
  <c r="D36" i="977" s="1"/>
  <c r="G36" i="977" s="1"/>
  <c r="B36" i="977"/>
  <c r="D34" i="977"/>
  <c r="B34" i="977"/>
  <c r="E13" i="977" s="1"/>
  <c r="D33" i="977"/>
  <c r="D32" i="977"/>
  <c r="B32" i="977"/>
  <c r="F32" i="977" s="1"/>
  <c r="D31" i="977"/>
  <c r="B31" i="977"/>
  <c r="F31" i="977" s="1"/>
  <c r="D30" i="977"/>
  <c r="B30" i="977"/>
  <c r="F30" i="977" s="1"/>
  <c r="C27" i="977"/>
  <c r="D27" i="977" s="1"/>
  <c r="B27" i="977"/>
  <c r="C26" i="977"/>
  <c r="D26" i="977" s="1"/>
  <c r="B26" i="977"/>
  <c r="B22" i="977"/>
  <c r="F22" i="977" s="1"/>
  <c r="D21" i="977"/>
  <c r="B21" i="977"/>
  <c r="B20" i="977"/>
  <c r="D19" i="977"/>
  <c r="B19" i="977"/>
  <c r="K15" i="977"/>
  <c r="N14" i="977"/>
  <c r="G13" i="977"/>
  <c r="F13" i="977"/>
  <c r="B13" i="977"/>
  <c r="M11" i="977"/>
  <c r="M10" i="977"/>
  <c r="F10" i="977"/>
  <c r="E10" i="977"/>
  <c r="D10" i="977"/>
  <c r="C10" i="977"/>
  <c r="B10" i="977"/>
  <c r="M9" i="977"/>
  <c r="D4" i="977"/>
  <c r="E4" i="977" s="1"/>
  <c r="N2" i="977"/>
  <c r="N1" i="977"/>
  <c r="L17" i="977" s="1"/>
  <c r="K1" i="977"/>
  <c r="D1" i="977"/>
  <c r="C1" i="977"/>
  <c r="B1" i="977" s="1"/>
  <c r="F143" i="976"/>
  <c r="E143" i="976"/>
  <c r="D143" i="976"/>
  <c r="C143" i="976"/>
  <c r="B143" i="976"/>
  <c r="B142" i="976"/>
  <c r="F137" i="976"/>
  <c r="E137" i="976"/>
  <c r="D137" i="976"/>
  <c r="C137" i="976"/>
  <c r="B137" i="976"/>
  <c r="F103" i="976"/>
  <c r="E103" i="976"/>
  <c r="D103" i="976"/>
  <c r="C103" i="976"/>
  <c r="C24" i="976" s="1"/>
  <c r="B103" i="976"/>
  <c r="Y94" i="976"/>
  <c r="X94" i="976"/>
  <c r="W94" i="976"/>
  <c r="V94" i="976"/>
  <c r="U94" i="976"/>
  <c r="T94" i="976"/>
  <c r="S94" i="976"/>
  <c r="R94" i="976"/>
  <c r="Q94" i="976"/>
  <c r="P94" i="976"/>
  <c r="O94" i="976"/>
  <c r="N94" i="976"/>
  <c r="M94" i="976"/>
  <c r="L94" i="976"/>
  <c r="K94" i="976"/>
  <c r="J94" i="976"/>
  <c r="I94" i="976"/>
  <c r="H94" i="976"/>
  <c r="G94" i="976"/>
  <c r="F94" i="976"/>
  <c r="E94" i="976"/>
  <c r="D94" i="976"/>
  <c r="C94" i="976"/>
  <c r="B94" i="976"/>
  <c r="E39" i="976"/>
  <c r="C39" i="976"/>
  <c r="B39" i="976"/>
  <c r="E38" i="976"/>
  <c r="C38" i="976"/>
  <c r="B38" i="976"/>
  <c r="E37" i="976"/>
  <c r="C37" i="976"/>
  <c r="B37" i="976"/>
  <c r="D37" i="976" s="1"/>
  <c r="E36" i="976"/>
  <c r="C36" i="976"/>
  <c r="D36" i="976" s="1"/>
  <c r="G36" i="976" s="1"/>
  <c r="B36" i="976"/>
  <c r="D34" i="976"/>
  <c r="B34" i="976"/>
  <c r="E13" i="976" s="1"/>
  <c r="D33" i="976"/>
  <c r="D32" i="976"/>
  <c r="B32" i="976"/>
  <c r="F32" i="976" s="1"/>
  <c r="D31" i="976"/>
  <c r="B31" i="976"/>
  <c r="F31" i="976" s="1"/>
  <c r="D30" i="976"/>
  <c r="B30" i="976"/>
  <c r="F30" i="976" s="1"/>
  <c r="C27" i="976"/>
  <c r="D27" i="976" s="1"/>
  <c r="B27" i="976"/>
  <c r="C26" i="976"/>
  <c r="D26" i="976" s="1"/>
  <c r="B26" i="976"/>
  <c r="B22" i="976"/>
  <c r="F22" i="976" s="1"/>
  <c r="D21" i="976"/>
  <c r="B21" i="976"/>
  <c r="D20" i="976"/>
  <c r="B20" i="976"/>
  <c r="D19" i="976"/>
  <c r="B19" i="976"/>
  <c r="K15" i="976"/>
  <c r="N14" i="976"/>
  <c r="G13" i="976"/>
  <c r="F13" i="976"/>
  <c r="B13" i="976"/>
  <c r="M11" i="976"/>
  <c r="M10" i="976"/>
  <c r="F10" i="976"/>
  <c r="E10" i="976"/>
  <c r="D10" i="976"/>
  <c r="C10" i="976"/>
  <c r="B10" i="976"/>
  <c r="M9" i="976"/>
  <c r="D4" i="976"/>
  <c r="E4" i="976" s="1"/>
  <c r="N2" i="976"/>
  <c r="N1" i="976"/>
  <c r="L17" i="976" s="1"/>
  <c r="K1" i="976"/>
  <c r="D1" i="976"/>
  <c r="C1" i="976"/>
  <c r="F143" i="975"/>
  <c r="E143" i="975"/>
  <c r="D143" i="975"/>
  <c r="C143" i="975"/>
  <c r="B143" i="975"/>
  <c r="B142" i="975"/>
  <c r="F137" i="975"/>
  <c r="E137" i="975"/>
  <c r="D137" i="975"/>
  <c r="C137" i="975"/>
  <c r="B137" i="975"/>
  <c r="F103" i="975"/>
  <c r="C24" i="975" s="1"/>
  <c r="E103" i="975"/>
  <c r="D103" i="975"/>
  <c r="C103" i="975"/>
  <c r="B103" i="975"/>
  <c r="Y94" i="975"/>
  <c r="X94" i="975"/>
  <c r="W94" i="975"/>
  <c r="V94" i="975"/>
  <c r="U94" i="975"/>
  <c r="T94" i="975"/>
  <c r="S94" i="975"/>
  <c r="R94" i="975"/>
  <c r="Q94" i="975"/>
  <c r="P94" i="975"/>
  <c r="O94" i="975"/>
  <c r="N94" i="975"/>
  <c r="M94" i="975"/>
  <c r="L94" i="975"/>
  <c r="K94" i="975"/>
  <c r="J94" i="975"/>
  <c r="I94" i="975"/>
  <c r="H94" i="975"/>
  <c r="G94" i="975"/>
  <c r="F94" i="975"/>
  <c r="E94" i="975"/>
  <c r="D94" i="975"/>
  <c r="C94" i="975"/>
  <c r="B94" i="975"/>
  <c r="E39" i="975"/>
  <c r="C39" i="975"/>
  <c r="B39" i="975"/>
  <c r="E38" i="975"/>
  <c r="C38" i="975"/>
  <c r="D38" i="975" s="1"/>
  <c r="B38" i="975"/>
  <c r="E37" i="975"/>
  <c r="C37" i="975"/>
  <c r="B37" i="975"/>
  <c r="E36" i="975"/>
  <c r="C36" i="975"/>
  <c r="B36" i="975"/>
  <c r="D34" i="975"/>
  <c r="B34" i="975"/>
  <c r="E13" i="975" s="1"/>
  <c r="D33" i="975"/>
  <c r="D32" i="975"/>
  <c r="B32" i="975"/>
  <c r="F32" i="975" s="1"/>
  <c r="D31" i="975"/>
  <c r="B31" i="975"/>
  <c r="F31" i="975" s="1"/>
  <c r="D30" i="975"/>
  <c r="B30" i="975"/>
  <c r="F30" i="975" s="1"/>
  <c r="C27" i="975"/>
  <c r="D27" i="975" s="1"/>
  <c r="B27" i="975"/>
  <c r="C26" i="975"/>
  <c r="D26" i="975" s="1"/>
  <c r="B26" i="975"/>
  <c r="B22" i="975"/>
  <c r="F22" i="975" s="1"/>
  <c r="D21" i="975"/>
  <c r="B21" i="975"/>
  <c r="F21" i="975" s="1"/>
  <c r="B20" i="975"/>
  <c r="D19" i="975"/>
  <c r="B19" i="975"/>
  <c r="K15" i="975"/>
  <c r="N14" i="975"/>
  <c r="B13" i="975"/>
  <c r="M11" i="975"/>
  <c r="M10" i="975"/>
  <c r="F10" i="975"/>
  <c r="E10" i="975"/>
  <c r="D10" i="975"/>
  <c r="C10" i="975"/>
  <c r="B10" i="975"/>
  <c r="M9" i="975"/>
  <c r="D4" i="975"/>
  <c r="E4" i="975" s="1"/>
  <c r="N2" i="975"/>
  <c r="N1" i="975"/>
  <c r="M1" i="975" s="1"/>
  <c r="K1" i="975"/>
  <c r="D1" i="975"/>
  <c r="C1" i="975"/>
  <c r="F143" i="974"/>
  <c r="E143" i="974"/>
  <c r="D143" i="974"/>
  <c r="C143" i="974"/>
  <c r="B143" i="974"/>
  <c r="B142" i="974"/>
  <c r="F137" i="974"/>
  <c r="E137" i="974"/>
  <c r="D137" i="974"/>
  <c r="C137" i="974"/>
  <c r="B137" i="974"/>
  <c r="F103" i="974"/>
  <c r="E103" i="974"/>
  <c r="D103" i="974"/>
  <c r="C103" i="974"/>
  <c r="B103" i="974"/>
  <c r="Y94" i="974"/>
  <c r="X94" i="974"/>
  <c r="W94" i="974"/>
  <c r="V94" i="974"/>
  <c r="U94" i="974"/>
  <c r="T94" i="974"/>
  <c r="S94" i="974"/>
  <c r="R94" i="974"/>
  <c r="Q94" i="974"/>
  <c r="P94" i="974"/>
  <c r="O94" i="974"/>
  <c r="N94" i="974"/>
  <c r="M94" i="974"/>
  <c r="L94" i="974"/>
  <c r="K94" i="974"/>
  <c r="J94" i="974"/>
  <c r="I94" i="974"/>
  <c r="H94" i="974"/>
  <c r="G94" i="974"/>
  <c r="F94" i="974"/>
  <c r="E94" i="974"/>
  <c r="D94" i="974"/>
  <c r="C94" i="974"/>
  <c r="B94" i="974"/>
  <c r="E39" i="974"/>
  <c r="C39" i="974"/>
  <c r="D39" i="974" s="1"/>
  <c r="G39" i="974" s="1"/>
  <c r="B39" i="974"/>
  <c r="E38" i="974"/>
  <c r="C38" i="974"/>
  <c r="B38" i="974"/>
  <c r="D38" i="974" s="1"/>
  <c r="E37" i="974"/>
  <c r="C37" i="974"/>
  <c r="B37" i="974"/>
  <c r="E36" i="974"/>
  <c r="C36" i="974"/>
  <c r="D36" i="974" s="1"/>
  <c r="B36" i="974"/>
  <c r="D34" i="974"/>
  <c r="B34" i="974"/>
  <c r="B13" i="974" s="1"/>
  <c r="D33" i="974"/>
  <c r="D32" i="974"/>
  <c r="B32" i="974"/>
  <c r="F32" i="974" s="1"/>
  <c r="D31" i="974"/>
  <c r="B31" i="974"/>
  <c r="F31" i="974" s="1"/>
  <c r="D30" i="974"/>
  <c r="B30" i="974"/>
  <c r="F30" i="974" s="1"/>
  <c r="C27" i="974"/>
  <c r="D27" i="974" s="1"/>
  <c r="B27" i="974"/>
  <c r="C26" i="974"/>
  <c r="D26" i="974" s="1"/>
  <c r="B26" i="974"/>
  <c r="C25" i="974"/>
  <c r="F25" i="974" s="1"/>
  <c r="B22" i="974"/>
  <c r="F22" i="974" s="1"/>
  <c r="D21" i="974"/>
  <c r="B21" i="974"/>
  <c r="B20" i="974"/>
  <c r="D19" i="974"/>
  <c r="B19" i="974"/>
  <c r="F19" i="974" s="1"/>
  <c r="K15" i="974"/>
  <c r="N14" i="974"/>
  <c r="F13" i="974"/>
  <c r="E13" i="974"/>
  <c r="M11" i="974"/>
  <c r="M10" i="974"/>
  <c r="F10" i="974"/>
  <c r="E10" i="974"/>
  <c r="D10" i="974"/>
  <c r="C10" i="974"/>
  <c r="B10" i="974"/>
  <c r="M9" i="974"/>
  <c r="D4" i="974"/>
  <c r="E4" i="974" s="1"/>
  <c r="N2" i="974"/>
  <c r="N1" i="974"/>
  <c r="I17" i="974" s="1"/>
  <c r="J17" i="974" s="1"/>
  <c r="K1" i="974"/>
  <c r="D1" i="974"/>
  <c r="B56" i="974" s="1"/>
  <c r="C1" i="974"/>
  <c r="B1" i="974" s="1"/>
  <c r="M4" i="974" s="1"/>
  <c r="G69" i="986"/>
  <c r="G69" i="977"/>
  <c r="G69" i="985"/>
  <c r="G69" i="976"/>
  <c r="G69" i="984"/>
  <c r="G69" i="975"/>
  <c r="G69" i="981"/>
  <c r="G69" i="982"/>
  <c r="G69" i="983"/>
  <c r="G69" i="974"/>
  <c r="G69" i="979"/>
  <c r="G69" i="980"/>
  <c r="G69" i="978"/>
  <c r="H98" i="1"/>
  <c r="K11" i="1"/>
  <c r="H82" i="1"/>
  <c r="R76" i="1"/>
  <c r="G5" i="973"/>
  <c r="H13" i="1"/>
  <c r="G7" i="973"/>
  <c r="G2" i="973"/>
  <c r="Q61" i="1"/>
  <c r="H5" i="1"/>
  <c r="R75" i="1"/>
  <c r="K4" i="1"/>
  <c r="H9" i="1"/>
  <c r="H81" i="1"/>
  <c r="H24" i="1"/>
  <c r="J80" i="1"/>
  <c r="H92" i="1"/>
  <c r="H50" i="1"/>
  <c r="Q84" i="1"/>
  <c r="K61" i="1"/>
  <c r="R2" i="1"/>
  <c r="Q100" i="1"/>
  <c r="G3" i="973"/>
  <c r="D25" i="980" l="1"/>
  <c r="F25" i="980"/>
  <c r="F142" i="1010"/>
  <c r="J15" i="1010" s="1"/>
  <c r="I13" i="1010" s="1"/>
  <c r="M14" i="1010"/>
  <c r="C40" i="1010"/>
  <c r="B56" i="979"/>
  <c r="B45" i="982"/>
  <c r="B1" i="982"/>
  <c r="M4" i="982" s="1"/>
  <c r="F13" i="975"/>
  <c r="D36" i="975"/>
  <c r="G36" i="975" s="1"/>
  <c r="D39" i="975"/>
  <c r="G39" i="975" s="1"/>
  <c r="I23" i="977"/>
  <c r="D39" i="977"/>
  <c r="G39" i="977" s="1"/>
  <c r="D36" i="979"/>
  <c r="G36" i="979" s="1"/>
  <c r="K11" i="980"/>
  <c r="F19" i="980"/>
  <c r="I24" i="980"/>
  <c r="B13" i="981"/>
  <c r="B24" i="981"/>
  <c r="F24" i="981" s="1"/>
  <c r="B56" i="982"/>
  <c r="D36" i="984"/>
  <c r="G36" i="984" s="1"/>
  <c r="D39" i="986"/>
  <c r="G39" i="986" s="1"/>
  <c r="C72" i="988"/>
  <c r="B33" i="1010"/>
  <c r="B33" i="1016"/>
  <c r="C76" i="1019"/>
  <c r="E59" i="1021"/>
  <c r="E59" i="1024"/>
  <c r="F33" i="1028"/>
  <c r="B5" i="1028" s="1"/>
  <c r="A54" i="1029"/>
  <c r="E16" i="1030"/>
  <c r="B5" i="1032"/>
  <c r="J3" i="1038"/>
  <c r="K62" i="1038"/>
  <c r="G59" i="1042"/>
  <c r="I59" i="1059"/>
  <c r="B24" i="979"/>
  <c r="F24" i="979" s="1"/>
  <c r="I4" i="1044"/>
  <c r="C73" i="988"/>
  <c r="B40" i="1010"/>
  <c r="D69" i="1014"/>
  <c r="M14" i="1016"/>
  <c r="B40" i="1016"/>
  <c r="E59" i="1022"/>
  <c r="A54" i="1026"/>
  <c r="D14" i="1028"/>
  <c r="F59" i="1030"/>
  <c r="I6" i="1030" s="1"/>
  <c r="H62" i="1031"/>
  <c r="A54" i="1033"/>
  <c r="N62" i="1035"/>
  <c r="H62" i="1037"/>
  <c r="I59" i="1057"/>
  <c r="I59" i="1062"/>
  <c r="I59" i="1067"/>
  <c r="C24" i="974"/>
  <c r="B24" i="976"/>
  <c r="F24" i="976" s="1"/>
  <c r="F19" i="977"/>
  <c r="B25" i="977"/>
  <c r="H45" i="978"/>
  <c r="B1" i="978"/>
  <c r="M4" i="978" s="1"/>
  <c r="C24" i="978"/>
  <c r="D20" i="978"/>
  <c r="F19" i="979"/>
  <c r="B13" i="980"/>
  <c r="B45" i="981"/>
  <c r="B1" i="981"/>
  <c r="F13" i="981"/>
  <c r="D38" i="981"/>
  <c r="G38" i="981" s="1"/>
  <c r="F21" i="983"/>
  <c r="C24" i="983"/>
  <c r="D20" i="983"/>
  <c r="F13" i="985"/>
  <c r="C24" i="985"/>
  <c r="D20" i="985"/>
  <c r="B25" i="986"/>
  <c r="C74" i="988"/>
  <c r="C59" i="999"/>
  <c r="M14" i="1011"/>
  <c r="E40" i="1013"/>
  <c r="F6" i="1013" s="1"/>
  <c r="E40" i="1022"/>
  <c r="F6" i="1022" s="1"/>
  <c r="E40" i="1025"/>
  <c r="F6" i="1025" s="1"/>
  <c r="C14" i="1028"/>
  <c r="G59" i="1034"/>
  <c r="G59" i="1043"/>
  <c r="H59" i="1045"/>
  <c r="I59" i="1071"/>
  <c r="G38" i="974"/>
  <c r="B25" i="975"/>
  <c r="I23" i="976"/>
  <c r="B1" i="976"/>
  <c r="K11" i="977"/>
  <c r="B24" i="977"/>
  <c r="F24" i="977" s="1"/>
  <c r="B56" i="978"/>
  <c r="C25" i="979"/>
  <c r="C13" i="980"/>
  <c r="G13" i="981"/>
  <c r="C24" i="981"/>
  <c r="D20" i="981"/>
  <c r="B25" i="984"/>
  <c r="H45" i="985"/>
  <c r="B1" i="985"/>
  <c r="D36" i="985"/>
  <c r="G36" i="985" s="1"/>
  <c r="D59" i="1007"/>
  <c r="B33" i="1011"/>
  <c r="C40" i="1013"/>
  <c r="B33" i="1022"/>
  <c r="F14" i="1028"/>
  <c r="H45" i="975"/>
  <c r="B1" i="975"/>
  <c r="G13" i="975"/>
  <c r="F21" i="974"/>
  <c r="B24" i="975"/>
  <c r="F24" i="975" s="1"/>
  <c r="D39" i="976"/>
  <c r="G39" i="976" s="1"/>
  <c r="D39" i="978"/>
  <c r="G39" i="978" s="1"/>
  <c r="E13" i="980"/>
  <c r="C25" i="981"/>
  <c r="D36" i="981"/>
  <c r="G36" i="981" s="1"/>
  <c r="B45" i="983"/>
  <c r="B1" i="983"/>
  <c r="D39" i="983"/>
  <c r="G39" i="983" s="1"/>
  <c r="B24" i="984"/>
  <c r="F24" i="984" s="1"/>
  <c r="G39" i="985"/>
  <c r="F21" i="986"/>
  <c r="C59" i="1001"/>
  <c r="C59" i="1006"/>
  <c r="B40" i="1011"/>
  <c r="C40" i="1020"/>
  <c r="A54" i="1024"/>
  <c r="F59" i="1026"/>
  <c r="I6" i="1026" s="1"/>
  <c r="F59" i="1028"/>
  <c r="I6" i="1028" s="1"/>
  <c r="B14" i="1028"/>
  <c r="G59" i="1035"/>
  <c r="K3" i="1038"/>
  <c r="K62" i="1041"/>
  <c r="J59" i="1060"/>
  <c r="I59" i="1069"/>
  <c r="M4" i="988"/>
  <c r="E64" i="988"/>
  <c r="D24" i="989"/>
  <c r="M4" i="987"/>
  <c r="K64" i="987"/>
  <c r="D20" i="974"/>
  <c r="D37" i="978"/>
  <c r="G13" i="980"/>
  <c r="D20" i="980"/>
  <c r="G39" i="981"/>
  <c r="D37" i="983"/>
  <c r="G37" i="983" s="1"/>
  <c r="F21" i="984"/>
  <c r="F19" i="985"/>
  <c r="G66" i="1017"/>
  <c r="F66" i="1017" s="1"/>
  <c r="B33" i="1020"/>
  <c r="B33" i="1025"/>
  <c r="M4" i="993"/>
  <c r="C71" i="993"/>
  <c r="G36" i="974"/>
  <c r="G38" i="975"/>
  <c r="F19" i="976"/>
  <c r="B25" i="976"/>
  <c r="C24" i="977"/>
  <c r="D20" i="977"/>
  <c r="F19" i="978"/>
  <c r="B25" i="978"/>
  <c r="B45" i="979"/>
  <c r="B1" i="979"/>
  <c r="M4" i="979" s="1"/>
  <c r="D24" i="980"/>
  <c r="D37" i="981"/>
  <c r="B25" i="983"/>
  <c r="B45" i="984"/>
  <c r="B1" i="984"/>
  <c r="B25" i="985"/>
  <c r="H45" i="986"/>
  <c r="I45" i="986" s="1"/>
  <c r="B1" i="986"/>
  <c r="E40" i="1010"/>
  <c r="F6" i="1010" s="1"/>
  <c r="C142" i="1013"/>
  <c r="E53" i="1018"/>
  <c r="G67" i="1019"/>
  <c r="F67" i="1019" s="1"/>
  <c r="G68" i="1020"/>
  <c r="F68" i="1020" s="1"/>
  <c r="I14" i="1024"/>
  <c r="A54" i="1030"/>
  <c r="E62" i="1031"/>
  <c r="A54" i="1032"/>
  <c r="I3" i="1038"/>
  <c r="E51" i="1041"/>
  <c r="E62" i="1042"/>
  <c r="I59" i="1061"/>
  <c r="I59" i="1066"/>
  <c r="D24" i="994"/>
  <c r="D69" i="1019"/>
  <c r="E142" i="1019" s="1"/>
  <c r="N4" i="1029"/>
  <c r="N3" i="1029"/>
  <c r="C69" i="1015"/>
  <c r="I3" i="1041"/>
  <c r="C69" i="1012"/>
  <c r="F34" i="1027"/>
  <c r="B5" i="1027" s="1"/>
  <c r="B14" i="1027"/>
  <c r="G14" i="1027"/>
  <c r="N4" i="1027"/>
  <c r="N3" i="1027"/>
  <c r="G40" i="1032"/>
  <c r="B4" i="1032" s="1"/>
  <c r="G40" i="1028"/>
  <c r="B4" i="1028" s="1"/>
  <c r="E16" i="1028"/>
  <c r="N4" i="1028"/>
  <c r="N3" i="1028"/>
  <c r="F142" i="1025"/>
  <c r="J15" i="1025" s="1"/>
  <c r="I13" i="1025" s="1"/>
  <c r="B16" i="1026"/>
  <c r="N4" i="1026"/>
  <c r="N3" i="1026"/>
  <c r="C69" i="1009"/>
  <c r="D69" i="1000"/>
  <c r="E142" i="1023"/>
  <c r="N4" i="1021"/>
  <c r="D69" i="1017"/>
  <c r="E40" i="1024"/>
  <c r="F6" i="1024" s="1"/>
  <c r="N4" i="1024"/>
  <c r="N3" i="1024"/>
  <c r="B56" i="980"/>
  <c r="B56" i="984"/>
  <c r="E64" i="977"/>
  <c r="M4" i="977"/>
  <c r="B56" i="977"/>
  <c r="B56" i="975"/>
  <c r="B56" i="986"/>
  <c r="B56" i="985"/>
  <c r="B56" i="981"/>
  <c r="D3" i="976"/>
  <c r="M4" i="976"/>
  <c r="B56" i="976"/>
  <c r="B56" i="983"/>
  <c r="I4" i="1053"/>
  <c r="K4" i="1064"/>
  <c r="K4" i="1054"/>
  <c r="I1" i="1065"/>
  <c r="I11" i="1065"/>
  <c r="I9" i="1065"/>
  <c r="I15" i="1065"/>
  <c r="J16" i="1065"/>
  <c r="K9" i="1065"/>
  <c r="K4" i="1065"/>
  <c r="I4" i="1065"/>
  <c r="I1" i="1062"/>
  <c r="I11" i="1062"/>
  <c r="I15" i="1062"/>
  <c r="I9" i="1062"/>
  <c r="J16" i="1062"/>
  <c r="I4" i="1062"/>
  <c r="K9" i="1062"/>
  <c r="K4" i="1062"/>
  <c r="J4" i="1062"/>
  <c r="I1" i="1061"/>
  <c r="I11" i="1061"/>
  <c r="I15" i="1061"/>
  <c r="I9" i="1061"/>
  <c r="J16" i="1061"/>
  <c r="J4" i="1061"/>
  <c r="K9" i="1061"/>
  <c r="K4" i="1061"/>
  <c r="I1" i="1060"/>
  <c r="I11" i="1060"/>
  <c r="I9" i="1060"/>
  <c r="I15" i="1060"/>
  <c r="K9" i="1060"/>
  <c r="J16" i="1060"/>
  <c r="I4" i="1060"/>
  <c r="K4" i="1060"/>
  <c r="I11" i="1056"/>
  <c r="I1" i="1056"/>
  <c r="I15" i="1056"/>
  <c r="I9" i="1056"/>
  <c r="K4" i="1056"/>
  <c r="J16" i="1056"/>
  <c r="I4" i="1056"/>
  <c r="K9" i="1056"/>
  <c r="I11" i="1055"/>
  <c r="I1" i="1055"/>
  <c r="I9" i="1055"/>
  <c r="I15" i="1055"/>
  <c r="K9" i="1055"/>
  <c r="J16" i="1055"/>
  <c r="J4" i="1055"/>
  <c r="K4" i="1053"/>
  <c r="J4" i="1056"/>
  <c r="J4" i="1060"/>
  <c r="J4" i="1054"/>
  <c r="I1" i="1070"/>
  <c r="I11" i="1070"/>
  <c r="I9" i="1070"/>
  <c r="I15" i="1070"/>
  <c r="J16" i="1070"/>
  <c r="J4" i="1070"/>
  <c r="K9" i="1070"/>
  <c r="I4" i="1070"/>
  <c r="K4" i="1070"/>
  <c r="I1" i="1066"/>
  <c r="I11" i="1066"/>
  <c r="I9" i="1066"/>
  <c r="I15" i="1066"/>
  <c r="K9" i="1066"/>
  <c r="J16" i="1066"/>
  <c r="J4" i="1066"/>
  <c r="I4" i="1066"/>
  <c r="J4" i="1065"/>
  <c r="I11" i="1071"/>
  <c r="I1" i="1071"/>
  <c r="I15" i="1071"/>
  <c r="I9" i="1071"/>
  <c r="K4" i="1071"/>
  <c r="I4" i="1071"/>
  <c r="K9" i="1071"/>
  <c r="J16" i="1071"/>
  <c r="J4" i="1071"/>
  <c r="I1" i="1069"/>
  <c r="I11" i="1069"/>
  <c r="I15" i="1069"/>
  <c r="I9" i="1069"/>
  <c r="I4" i="1069"/>
  <c r="K4" i="1069"/>
  <c r="J16" i="1069"/>
  <c r="K9" i="1069"/>
  <c r="J4" i="1069"/>
  <c r="I11" i="1067"/>
  <c r="I1" i="1067"/>
  <c r="I15" i="1067"/>
  <c r="I9" i="1067"/>
  <c r="K4" i="1067"/>
  <c r="K9" i="1067"/>
  <c r="J16" i="1067"/>
  <c r="I4" i="1067"/>
  <c r="I1" i="1064"/>
  <c r="I11" i="1064"/>
  <c r="I15" i="1064"/>
  <c r="I9" i="1064"/>
  <c r="J16" i="1064"/>
  <c r="K9" i="1064"/>
  <c r="I11" i="1063"/>
  <c r="I1" i="1063"/>
  <c r="I9" i="1063"/>
  <c r="I15" i="1063"/>
  <c r="K9" i="1063"/>
  <c r="J4" i="1063"/>
  <c r="K4" i="1063"/>
  <c r="I4" i="1063"/>
  <c r="J16" i="1063"/>
  <c r="I1" i="1059"/>
  <c r="I11" i="1059"/>
  <c r="I15" i="1059"/>
  <c r="I9" i="1059"/>
  <c r="K9" i="1059"/>
  <c r="J16" i="1059"/>
  <c r="I4" i="1059"/>
  <c r="J4" i="1059"/>
  <c r="K4" i="1059"/>
  <c r="I1" i="1058"/>
  <c r="I11" i="1058"/>
  <c r="I9" i="1058"/>
  <c r="I15" i="1058"/>
  <c r="J16" i="1058"/>
  <c r="K9" i="1058"/>
  <c r="I11" i="1054"/>
  <c r="I1" i="1054"/>
  <c r="I9" i="1054"/>
  <c r="I15" i="1054"/>
  <c r="K9" i="1054"/>
  <c r="J16" i="1054"/>
  <c r="I1" i="1053"/>
  <c r="I11" i="1053"/>
  <c r="I15" i="1053"/>
  <c r="I9" i="1053"/>
  <c r="K9" i="1053"/>
  <c r="I11" i="1057"/>
  <c r="I1" i="1057"/>
  <c r="I9" i="1057"/>
  <c r="I4" i="1057"/>
  <c r="I15" i="1057"/>
  <c r="K4" i="1057"/>
  <c r="J16" i="1057"/>
  <c r="J4" i="1057"/>
  <c r="K9" i="1057"/>
  <c r="K4" i="1058"/>
  <c r="I4" i="1061"/>
  <c r="J4" i="1064"/>
  <c r="J16" i="1053"/>
  <c r="J4" i="1058"/>
  <c r="I4" i="1055"/>
  <c r="K56" i="1071"/>
  <c r="J58" i="1071"/>
  <c r="J57" i="1071"/>
  <c r="J59" i="1071" s="1"/>
  <c r="K56" i="1070"/>
  <c r="J58" i="1070"/>
  <c r="J57" i="1070"/>
  <c r="K56" i="1069"/>
  <c r="J58" i="1069"/>
  <c r="J57" i="1069"/>
  <c r="K56" i="1067"/>
  <c r="J58" i="1067"/>
  <c r="J57" i="1067"/>
  <c r="J59" i="1067" s="1"/>
  <c r="K56" i="1066"/>
  <c r="J58" i="1066"/>
  <c r="J57" i="1066"/>
  <c r="J59" i="1066" s="1"/>
  <c r="I59" i="1065"/>
  <c r="K56" i="1065"/>
  <c r="J58" i="1065"/>
  <c r="J57" i="1065"/>
  <c r="J59" i="1065" s="1"/>
  <c r="I59" i="1064"/>
  <c r="K56" i="1064"/>
  <c r="J58" i="1064"/>
  <c r="J57" i="1064"/>
  <c r="K56" i="1063"/>
  <c r="J58" i="1063"/>
  <c r="J57" i="1063"/>
  <c r="K56" i="1062"/>
  <c r="J58" i="1062"/>
  <c r="J57" i="1062"/>
  <c r="J59" i="1062" s="1"/>
  <c r="K56" i="1061"/>
  <c r="J58" i="1061"/>
  <c r="J57" i="1061"/>
  <c r="J59" i="1061" s="1"/>
  <c r="L56" i="1060"/>
  <c r="K58" i="1060"/>
  <c r="K57" i="1060"/>
  <c r="K59" i="1060" s="1"/>
  <c r="K56" i="1059"/>
  <c r="J58" i="1059"/>
  <c r="J57" i="1059"/>
  <c r="K56" i="1058"/>
  <c r="J58" i="1058"/>
  <c r="J57" i="1058"/>
  <c r="K56" i="1057"/>
  <c r="J58" i="1057"/>
  <c r="J57" i="1057"/>
  <c r="I59" i="1056"/>
  <c r="K56" i="1056"/>
  <c r="J58" i="1056"/>
  <c r="J57" i="1056"/>
  <c r="I59" i="1055"/>
  <c r="K56" i="1055"/>
  <c r="J58" i="1055"/>
  <c r="J57" i="1055"/>
  <c r="J59" i="1055" s="1"/>
  <c r="I59" i="1054"/>
  <c r="K56" i="1054"/>
  <c r="J58" i="1054"/>
  <c r="J57" i="1054"/>
  <c r="J59" i="1054" s="1"/>
  <c r="H59" i="1053"/>
  <c r="J56" i="1053"/>
  <c r="I58" i="1053"/>
  <c r="I57" i="1053"/>
  <c r="K4" i="1046"/>
  <c r="J4" i="1048"/>
  <c r="J4" i="1047"/>
  <c r="J16" i="1045"/>
  <c r="K4" i="1049"/>
  <c r="J4" i="1050"/>
  <c r="J4" i="1052"/>
  <c r="K9" i="1052"/>
  <c r="I11" i="1051"/>
  <c r="I1" i="1051"/>
  <c r="I15" i="1051"/>
  <c r="I9" i="1051"/>
  <c r="J4" i="1051"/>
  <c r="J16" i="1051"/>
  <c r="K9" i="1051"/>
  <c r="I11" i="1049"/>
  <c r="I1" i="1049"/>
  <c r="I9" i="1049"/>
  <c r="I15" i="1049"/>
  <c r="I11" i="1050"/>
  <c r="I1" i="1050"/>
  <c r="I9" i="1050"/>
  <c r="I15" i="1050"/>
  <c r="I11" i="1047"/>
  <c r="I1" i="1047"/>
  <c r="I9" i="1047"/>
  <c r="I15" i="1047"/>
  <c r="I11" i="1046"/>
  <c r="I1" i="1046"/>
  <c r="I15" i="1046"/>
  <c r="I9" i="1046"/>
  <c r="K9" i="1046"/>
  <c r="I11" i="1048"/>
  <c r="I1" i="1048"/>
  <c r="I9" i="1048"/>
  <c r="K9" i="1048"/>
  <c r="I11" i="1052"/>
  <c r="I1" i="1052"/>
  <c r="I15" i="1052"/>
  <c r="I9" i="1052"/>
  <c r="I11" i="1045"/>
  <c r="I1" i="1045"/>
  <c r="I9" i="1045"/>
  <c r="I15" i="1045"/>
  <c r="K9" i="1045"/>
  <c r="J4" i="1045"/>
  <c r="J4" i="1046"/>
  <c r="I4" i="1048"/>
  <c r="J4" i="1049"/>
  <c r="K9" i="1049"/>
  <c r="K4" i="1050"/>
  <c r="K4" i="1052"/>
  <c r="K4" i="1051"/>
  <c r="J16" i="1050"/>
  <c r="J16" i="1048"/>
  <c r="I4" i="1045"/>
  <c r="I4" i="1046"/>
  <c r="K9" i="1047"/>
  <c r="K4" i="1048"/>
  <c r="I4" i="1049"/>
  <c r="I4" i="1050"/>
  <c r="I4" i="1052"/>
  <c r="K4" i="1047"/>
  <c r="J16" i="1047"/>
  <c r="J16" i="1046"/>
  <c r="H59" i="1052"/>
  <c r="J56" i="1052"/>
  <c r="I58" i="1052"/>
  <c r="I57" i="1052"/>
  <c r="J56" i="1051"/>
  <c r="I58" i="1051"/>
  <c r="I57" i="1051"/>
  <c r="H59" i="1050"/>
  <c r="J56" i="1050"/>
  <c r="I58" i="1050"/>
  <c r="I57" i="1050"/>
  <c r="I59" i="1050" s="1"/>
  <c r="H59" i="1049"/>
  <c r="J56" i="1049"/>
  <c r="I58" i="1049"/>
  <c r="I57" i="1049"/>
  <c r="H59" i="1048"/>
  <c r="J56" i="1048"/>
  <c r="I58" i="1048"/>
  <c r="I57" i="1048"/>
  <c r="I59" i="1048" s="1"/>
  <c r="H59" i="1047"/>
  <c r="J56" i="1047"/>
  <c r="I58" i="1047"/>
  <c r="I57" i="1047"/>
  <c r="H59" i="1046"/>
  <c r="J56" i="1046"/>
  <c r="I58" i="1046"/>
  <c r="I57" i="1046"/>
  <c r="J56" i="1045"/>
  <c r="I58" i="1045"/>
  <c r="I57" i="1045"/>
  <c r="I11" i="1037"/>
  <c r="I1" i="1037"/>
  <c r="I1" i="1034"/>
  <c r="I11" i="1034"/>
  <c r="I11" i="1035"/>
  <c r="I1" i="1035"/>
  <c r="I9" i="1035"/>
  <c r="I15" i="1035"/>
  <c r="I11" i="1041"/>
  <c r="I1" i="1041"/>
  <c r="J16" i="1034"/>
  <c r="I15" i="1034"/>
  <c r="I15" i="1036"/>
  <c r="I9" i="1037"/>
  <c r="I4" i="1037"/>
  <c r="K4" i="1038"/>
  <c r="J4" i="1038"/>
  <c r="I15" i="1038"/>
  <c r="J16" i="1040"/>
  <c r="I9" i="1041"/>
  <c r="I4" i="1042"/>
  <c r="J16" i="1042"/>
  <c r="J4" i="1043"/>
  <c r="I9" i="1034"/>
  <c r="J16" i="1039"/>
  <c r="I4" i="1041"/>
  <c r="J16" i="1041"/>
  <c r="J4" i="1042"/>
  <c r="I15" i="1044"/>
  <c r="J16" i="1044"/>
  <c r="I1" i="1039"/>
  <c r="I11" i="1039"/>
  <c r="J16" i="1035"/>
  <c r="K4" i="1037"/>
  <c r="J16" i="1037"/>
  <c r="J4" i="1037"/>
  <c r="I15" i="1039"/>
  <c r="K4" i="1041"/>
  <c r="J16" i="1043"/>
  <c r="K4" i="1043"/>
  <c r="K4" i="1044"/>
  <c r="I11" i="1044"/>
  <c r="I1" i="1044"/>
  <c r="I9" i="1044"/>
  <c r="I1" i="1040"/>
  <c r="I11" i="1040"/>
  <c r="I1" i="1043"/>
  <c r="I11" i="1043"/>
  <c r="I11" i="1042"/>
  <c r="I1" i="1042"/>
  <c r="I11" i="1038"/>
  <c r="I1" i="1038"/>
  <c r="I11" i="1036"/>
  <c r="I1" i="1036"/>
  <c r="I4" i="1034"/>
  <c r="K4" i="1034"/>
  <c r="J4" i="1034"/>
  <c r="I15" i="1037"/>
  <c r="I4" i="1038"/>
  <c r="I9" i="1039"/>
  <c r="I9" i="1040"/>
  <c r="J4" i="1041"/>
  <c r="I15" i="1041"/>
  <c r="K4" i="1042"/>
  <c r="I9" i="1042"/>
  <c r="I15" i="1043"/>
  <c r="I4" i="1043"/>
  <c r="J4" i="1044"/>
  <c r="K62" i="1044"/>
  <c r="N62" i="1044"/>
  <c r="N6" i="1044"/>
  <c r="K9" i="1044"/>
  <c r="I56" i="1044"/>
  <c r="H57" i="1044"/>
  <c r="H58" i="1044"/>
  <c r="H62" i="1043"/>
  <c r="K9" i="1043"/>
  <c r="N6" i="1043"/>
  <c r="E62" i="1043"/>
  <c r="I56" i="1043"/>
  <c r="H57" i="1043"/>
  <c r="H58" i="1043"/>
  <c r="H62" i="1042"/>
  <c r="K51" i="1042"/>
  <c r="K62" i="1042"/>
  <c r="K44" i="1042"/>
  <c r="N62" i="1042"/>
  <c r="N6" i="1042"/>
  <c r="K9" i="1042"/>
  <c r="H57" i="1042"/>
  <c r="I56" i="1042"/>
  <c r="H58" i="1042"/>
  <c r="K44" i="1041"/>
  <c r="K9" i="1041"/>
  <c r="N6" i="1041"/>
  <c r="E62" i="1041"/>
  <c r="D40" i="1041"/>
  <c r="G40" i="1041" s="1"/>
  <c r="B4" i="1041" s="1"/>
  <c r="G59" i="1041"/>
  <c r="I56" i="1041"/>
  <c r="H57" i="1041"/>
  <c r="H58" i="1041"/>
  <c r="H62" i="1040"/>
  <c r="N62" i="1040"/>
  <c r="K3" i="1040"/>
  <c r="K4" i="1040" s="1"/>
  <c r="J3" i="1040"/>
  <c r="J4" i="1040" s="1"/>
  <c r="I3" i="1040"/>
  <c r="I4" i="1040" s="1"/>
  <c r="N6" i="1040"/>
  <c r="K9" i="1040"/>
  <c r="G59" i="1040"/>
  <c r="H57" i="1040"/>
  <c r="H58" i="1040"/>
  <c r="I56" i="1040"/>
  <c r="J3" i="1039"/>
  <c r="J4" i="1039" s="1"/>
  <c r="H62" i="1039"/>
  <c r="K3" i="1039"/>
  <c r="K4" i="1039" s="1"/>
  <c r="I3" i="1039"/>
  <c r="I4" i="1039" s="1"/>
  <c r="N6" i="1039"/>
  <c r="K9" i="1039"/>
  <c r="E62" i="1039"/>
  <c r="G59" i="1039"/>
  <c r="I56" i="1039"/>
  <c r="H57" i="1039"/>
  <c r="H58" i="1039"/>
  <c r="J16" i="1038"/>
  <c r="H62" i="1038"/>
  <c r="K44" i="1038"/>
  <c r="N62" i="1038"/>
  <c r="N6" i="1038"/>
  <c r="K9" i="1038"/>
  <c r="E62" i="1038"/>
  <c r="I56" i="1038"/>
  <c r="H57" i="1038"/>
  <c r="H59" i="1038" s="1"/>
  <c r="H58" i="1038"/>
  <c r="N6" i="1037"/>
  <c r="K9" i="1037"/>
  <c r="E62" i="1037"/>
  <c r="G59" i="1037"/>
  <c r="I56" i="1037"/>
  <c r="H57" i="1037"/>
  <c r="H59" i="1037" s="1"/>
  <c r="H58" i="1037"/>
  <c r="H62" i="1036"/>
  <c r="K44" i="1036"/>
  <c r="K62" i="1036"/>
  <c r="D40" i="1036"/>
  <c r="N6" i="1036"/>
  <c r="K9" i="1036"/>
  <c r="E44" i="1036"/>
  <c r="E62" i="1036"/>
  <c r="J3" i="1036"/>
  <c r="J4" i="1036" s="1"/>
  <c r="I3" i="1036"/>
  <c r="I4" i="1036" s="1"/>
  <c r="K3" i="1036"/>
  <c r="K4" i="1036" s="1"/>
  <c r="G40" i="1036"/>
  <c r="B4" i="1036" s="1"/>
  <c r="E14" i="1036"/>
  <c r="G14" i="1036"/>
  <c r="D14" i="1036"/>
  <c r="B14" i="1036"/>
  <c r="C14" i="1036"/>
  <c r="F33" i="1036"/>
  <c r="F14" i="1036"/>
  <c r="F34" i="1036"/>
  <c r="I56" i="1036"/>
  <c r="H57" i="1036"/>
  <c r="H59" i="1036" s="1"/>
  <c r="H58" i="1036"/>
  <c r="K51" i="1035"/>
  <c r="N6" i="1035"/>
  <c r="K9" i="1035"/>
  <c r="J3" i="1035"/>
  <c r="J4" i="1035" s="1"/>
  <c r="I3" i="1035"/>
  <c r="I4" i="1035" s="1"/>
  <c r="K3" i="1035"/>
  <c r="K4" i="1035" s="1"/>
  <c r="I56" i="1035"/>
  <c r="H57" i="1035"/>
  <c r="H59" i="1035" s="1"/>
  <c r="H58" i="1035"/>
  <c r="H62" i="1034"/>
  <c r="N62" i="1034"/>
  <c r="K9" i="1034"/>
  <c r="N6" i="1034"/>
  <c r="E62" i="1034"/>
  <c r="I56" i="1034"/>
  <c r="H58" i="1034"/>
  <c r="H57" i="1034"/>
  <c r="I11" i="1029"/>
  <c r="I1" i="1029"/>
  <c r="I11" i="1032"/>
  <c r="I1" i="1032"/>
  <c r="I11" i="1031"/>
  <c r="I1" i="1031"/>
  <c r="I11" i="1028"/>
  <c r="I1" i="1028"/>
  <c r="I1" i="1027"/>
  <c r="I11" i="1027"/>
  <c r="I9" i="1028"/>
  <c r="I9" i="1031"/>
  <c r="I11" i="1030"/>
  <c r="I1" i="1030"/>
  <c r="I11" i="1026"/>
  <c r="I1" i="1026"/>
  <c r="I1" i="1033"/>
  <c r="I11" i="1033"/>
  <c r="E15" i="1033"/>
  <c r="I9" i="1033"/>
  <c r="I15" i="1033"/>
  <c r="B15" i="1033"/>
  <c r="C15" i="1033"/>
  <c r="I3" i="1033" s="1"/>
  <c r="I4" i="1033" s="1"/>
  <c r="F15" i="1033"/>
  <c r="D15" i="1033"/>
  <c r="N5" i="1033"/>
  <c r="K3" i="1033"/>
  <c r="K4" i="1033" s="1"/>
  <c r="J3" i="1033"/>
  <c r="J4" i="1033" s="1"/>
  <c r="F59" i="1033"/>
  <c r="I6" i="1033" s="1"/>
  <c r="E50" i="1033"/>
  <c r="E51" i="1033" s="1"/>
  <c r="E49" i="1033"/>
  <c r="G58" i="1033"/>
  <c r="G57" i="1033"/>
  <c r="H56" i="1033"/>
  <c r="K50" i="1033"/>
  <c r="K44" i="1033" s="1"/>
  <c r="K49" i="1033"/>
  <c r="K62" i="1033" s="1"/>
  <c r="C53" i="1033"/>
  <c r="A53" i="1033" s="1"/>
  <c r="K62" i="1032"/>
  <c r="F15" i="1032"/>
  <c r="D15" i="1032"/>
  <c r="B15" i="1032"/>
  <c r="I9" i="1032"/>
  <c r="I15" i="1032"/>
  <c r="N5" i="1032"/>
  <c r="C15" i="1032"/>
  <c r="E15" i="1032"/>
  <c r="D44" i="1032"/>
  <c r="K6" i="1032" s="1"/>
  <c r="E16" i="1032"/>
  <c r="N3" i="1032"/>
  <c r="D16" i="1032"/>
  <c r="F16" i="1032"/>
  <c r="C16" i="1032"/>
  <c r="B16" i="1032"/>
  <c r="N4" i="1032"/>
  <c r="F59" i="1032"/>
  <c r="I6" i="1032" s="1"/>
  <c r="C53" i="1032"/>
  <c r="A53" i="1032" s="1"/>
  <c r="E50" i="1032"/>
  <c r="E49" i="1032"/>
  <c r="E44" i="1032" s="1"/>
  <c r="G58" i="1032"/>
  <c r="G57" i="1032"/>
  <c r="H56" i="1032"/>
  <c r="J51" i="1031"/>
  <c r="N3" i="1031"/>
  <c r="J62" i="1031"/>
  <c r="I15" i="1031"/>
  <c r="D16" i="1031"/>
  <c r="B16" i="1031"/>
  <c r="N6" i="1031"/>
  <c r="K9" i="1031"/>
  <c r="N4" i="1031"/>
  <c r="F16" i="1031"/>
  <c r="C16" i="1031"/>
  <c r="B40" i="1031"/>
  <c r="E40" i="1031"/>
  <c r="F6" i="1031" s="1"/>
  <c r="B33" i="1031"/>
  <c r="M14" i="1031"/>
  <c r="C40" i="1031"/>
  <c r="D40" i="1031" s="1"/>
  <c r="F59" i="1031"/>
  <c r="I6" i="1031" s="1"/>
  <c r="K50" i="1031"/>
  <c r="N62" i="1031" s="1"/>
  <c r="K49" i="1031"/>
  <c r="K62" i="1031" s="1"/>
  <c r="G58" i="1031"/>
  <c r="G57" i="1031"/>
  <c r="H56" i="1031"/>
  <c r="K51" i="1031"/>
  <c r="K3" i="1031"/>
  <c r="K4" i="1031" s="1"/>
  <c r="I3" i="1031"/>
  <c r="I4" i="1031" s="1"/>
  <c r="F15" i="1030"/>
  <c r="E15" i="1030"/>
  <c r="B15" i="1030"/>
  <c r="I9" i="1030"/>
  <c r="N5" i="1030"/>
  <c r="I15" i="1030"/>
  <c r="D15" i="1030"/>
  <c r="C15" i="1030"/>
  <c r="N4" i="1030"/>
  <c r="B16" i="1030"/>
  <c r="C16" i="1030"/>
  <c r="N3" i="1030"/>
  <c r="D16" i="1030"/>
  <c r="K50" i="1030"/>
  <c r="N62" i="1030" s="1"/>
  <c r="K49" i="1030"/>
  <c r="K51" i="1030" s="1"/>
  <c r="E50" i="1030"/>
  <c r="E51" i="1030" s="1"/>
  <c r="E49" i="1030"/>
  <c r="E44" i="1030" s="1"/>
  <c r="C53" i="1030"/>
  <c r="A53" i="1030" s="1"/>
  <c r="G58" i="1030"/>
  <c r="G57" i="1030"/>
  <c r="H56" i="1030"/>
  <c r="C24" i="982"/>
  <c r="D20" i="982"/>
  <c r="F21" i="982"/>
  <c r="K11" i="982"/>
  <c r="L14" i="982" s="1"/>
  <c r="B13" i="982"/>
  <c r="D38" i="982"/>
  <c r="F13" i="982"/>
  <c r="B25" i="982"/>
  <c r="G13" i="982"/>
  <c r="D36" i="982"/>
  <c r="G36" i="982" s="1"/>
  <c r="C25" i="982"/>
  <c r="D39" i="982"/>
  <c r="G39" i="982" s="1"/>
  <c r="F19" i="982"/>
  <c r="J51" i="1029"/>
  <c r="I15" i="1029"/>
  <c r="E15" i="1029"/>
  <c r="I9" i="1029"/>
  <c r="C15" i="1029"/>
  <c r="F15" i="1029"/>
  <c r="D15" i="1029"/>
  <c r="B15" i="1029"/>
  <c r="F16" i="1029"/>
  <c r="B16" i="1029"/>
  <c r="C16" i="1029"/>
  <c r="E16" i="1029"/>
  <c r="D16" i="1029"/>
  <c r="F59" i="1029"/>
  <c r="I6" i="1029" s="1"/>
  <c r="K50" i="1029"/>
  <c r="K49" i="1029"/>
  <c r="K62" i="1029" s="1"/>
  <c r="E50" i="1029"/>
  <c r="E51" i="1029" s="1"/>
  <c r="E49" i="1029"/>
  <c r="G58" i="1029"/>
  <c r="G57" i="1029"/>
  <c r="H56" i="1029"/>
  <c r="C53" i="1029"/>
  <c r="H62" i="1028"/>
  <c r="J44" i="1028"/>
  <c r="E62" i="1028"/>
  <c r="C142" i="1028"/>
  <c r="D16" i="1028"/>
  <c r="B16" i="1028"/>
  <c r="J16" i="1028" s="1"/>
  <c r="G58" i="1028"/>
  <c r="G57" i="1028"/>
  <c r="H56" i="1028"/>
  <c r="C53" i="1028"/>
  <c r="K50" i="1028"/>
  <c r="K44" i="1028" s="1"/>
  <c r="K49" i="1028"/>
  <c r="K51" i="1028" s="1"/>
  <c r="I14" i="1027"/>
  <c r="K62" i="1027"/>
  <c r="C14" i="1027"/>
  <c r="F14" i="1027"/>
  <c r="D14" i="1027"/>
  <c r="B15" i="1027"/>
  <c r="I15" i="1027"/>
  <c r="E15" i="1027"/>
  <c r="K3" i="1027" s="1"/>
  <c r="K4" i="1027" s="1"/>
  <c r="I9" i="1027"/>
  <c r="C15" i="1027"/>
  <c r="I3" i="1027" s="1"/>
  <c r="I4" i="1027" s="1"/>
  <c r="D15" i="1027"/>
  <c r="J3" i="1027" s="1"/>
  <c r="J4" i="1027" s="1"/>
  <c r="F15" i="1027"/>
  <c r="C53" i="1027"/>
  <c r="G58" i="1027"/>
  <c r="G57" i="1027"/>
  <c r="G59" i="1027" s="1"/>
  <c r="H56" i="1027"/>
  <c r="E50" i="1027"/>
  <c r="E51" i="1027" s="1"/>
  <c r="E49" i="1027"/>
  <c r="E62" i="1027" s="1"/>
  <c r="E15" i="1026"/>
  <c r="B15" i="1026"/>
  <c r="F15" i="1026"/>
  <c r="I15" i="1026"/>
  <c r="I9" i="1026"/>
  <c r="C15" i="1026"/>
  <c r="I3" i="1026" s="1"/>
  <c r="I4" i="1026" s="1"/>
  <c r="D15" i="1026"/>
  <c r="D44" i="1026"/>
  <c r="K6" i="1026" s="1"/>
  <c r="F16" i="1026"/>
  <c r="C53" i="1026"/>
  <c r="G58" i="1026"/>
  <c r="G57" i="1026"/>
  <c r="H56" i="1026"/>
  <c r="K50" i="1026"/>
  <c r="K44" i="1026" s="1"/>
  <c r="K49" i="1026"/>
  <c r="K51" i="1026" s="1"/>
  <c r="E50" i="1026"/>
  <c r="E51" i="1026" s="1"/>
  <c r="E49" i="1026"/>
  <c r="E44" i="1026" s="1"/>
  <c r="I1" i="1024"/>
  <c r="I11" i="1024"/>
  <c r="I1" i="1021"/>
  <c r="I11" i="1021"/>
  <c r="I11" i="1022"/>
  <c r="I1" i="1022"/>
  <c r="I1" i="1023"/>
  <c r="I11" i="1023"/>
  <c r="I1" i="1025"/>
  <c r="I11" i="1025"/>
  <c r="B40" i="1025"/>
  <c r="D40" i="1025" s="1"/>
  <c r="G40" i="1025" s="1"/>
  <c r="B4" i="1025" s="1"/>
  <c r="F69" i="1025"/>
  <c r="C16" i="1025"/>
  <c r="E48" i="1025"/>
  <c r="E47" i="1025"/>
  <c r="G62" i="1025" s="1"/>
  <c r="I14" i="1025" s="1"/>
  <c r="E46" i="1025"/>
  <c r="D62" i="1025" s="1"/>
  <c r="N5" i="1025" s="1"/>
  <c r="D53" i="1025"/>
  <c r="E52" i="1025"/>
  <c r="E54" i="1025" s="1"/>
  <c r="D54" i="1025"/>
  <c r="A54" i="1025" s="1"/>
  <c r="K50" i="1025"/>
  <c r="K44" i="1025" s="1"/>
  <c r="K49" i="1025"/>
  <c r="K62" i="1025" s="1"/>
  <c r="D50" i="1025"/>
  <c r="D49" i="1025"/>
  <c r="D44" i="1025" s="1"/>
  <c r="K6" i="1025" s="1"/>
  <c r="G56" i="1025"/>
  <c r="F58" i="1025"/>
  <c r="F57" i="1025"/>
  <c r="E14" i="1025"/>
  <c r="F14" i="1025"/>
  <c r="D14" i="1025"/>
  <c r="C14" i="1025"/>
  <c r="G14" i="1025"/>
  <c r="B14" i="1025"/>
  <c r="F33" i="1025"/>
  <c r="F34" i="1025"/>
  <c r="K51" i="1025"/>
  <c r="I9" i="1024"/>
  <c r="I15" i="1024"/>
  <c r="C15" i="1024"/>
  <c r="F15" i="1024"/>
  <c r="B15" i="1024"/>
  <c r="D15" i="1024"/>
  <c r="E15" i="1024"/>
  <c r="F16" i="1024"/>
  <c r="E16" i="1024"/>
  <c r="B16" i="1024"/>
  <c r="D16" i="1024"/>
  <c r="C16" i="1024"/>
  <c r="C40" i="1024"/>
  <c r="D40" i="1024" s="1"/>
  <c r="G40" i="1024" s="1"/>
  <c r="B4" i="1024" s="1"/>
  <c r="B33" i="1024"/>
  <c r="F14" i="1024" s="1"/>
  <c r="J50" i="1024"/>
  <c r="J44" i="1024" s="1"/>
  <c r="J49" i="1024"/>
  <c r="J51" i="1024" s="1"/>
  <c r="E50" i="1024"/>
  <c r="H62" i="1024" s="1"/>
  <c r="E49" i="1024"/>
  <c r="E44" i="1024" s="1"/>
  <c r="G56" i="1024"/>
  <c r="F58" i="1024"/>
  <c r="F57" i="1024"/>
  <c r="F59" i="1024" s="1"/>
  <c r="I6" i="1024" s="1"/>
  <c r="K48" i="1024"/>
  <c r="K47" i="1024"/>
  <c r="M62" i="1024" s="1"/>
  <c r="K46" i="1024"/>
  <c r="C53" i="1024" s="1"/>
  <c r="E51" i="1024"/>
  <c r="G62" i="1023"/>
  <c r="I14" i="1023" s="1"/>
  <c r="F69" i="1023"/>
  <c r="C16" i="1023" s="1"/>
  <c r="K48" i="1023"/>
  <c r="K47" i="1023"/>
  <c r="M62" i="1023" s="1"/>
  <c r="K46" i="1023"/>
  <c r="J62" i="1023" s="1"/>
  <c r="D53" i="1023"/>
  <c r="G56" i="1023"/>
  <c r="F58" i="1023"/>
  <c r="F57" i="1023"/>
  <c r="D40" i="1023"/>
  <c r="G40" i="1023" s="1"/>
  <c r="B4" i="1023" s="1"/>
  <c r="D50" i="1023"/>
  <c r="D51" i="1023" s="1"/>
  <c r="D49" i="1023"/>
  <c r="D44" i="1023" s="1"/>
  <c r="K6" i="1023" s="1"/>
  <c r="J50" i="1023"/>
  <c r="J44" i="1023" s="1"/>
  <c r="J49" i="1023"/>
  <c r="J51" i="1023" s="1"/>
  <c r="E52" i="1023"/>
  <c r="E54" i="1023" s="1"/>
  <c r="D54" i="1023"/>
  <c r="A54" i="1023" s="1"/>
  <c r="E14" i="1023"/>
  <c r="D14" i="1023"/>
  <c r="F14" i="1023"/>
  <c r="C14" i="1023"/>
  <c r="G14" i="1023"/>
  <c r="B14" i="1023"/>
  <c r="F33" i="1023"/>
  <c r="F34" i="1023"/>
  <c r="E48" i="1023"/>
  <c r="E47" i="1023"/>
  <c r="E46" i="1023"/>
  <c r="D62" i="1023" s="1"/>
  <c r="N5" i="1023" s="1"/>
  <c r="C51" i="1022"/>
  <c r="B40" i="1022"/>
  <c r="C40" i="1022"/>
  <c r="F69" i="1022"/>
  <c r="E52" i="1022"/>
  <c r="E54" i="1022" s="1"/>
  <c r="D54" i="1022"/>
  <c r="E14" i="1022"/>
  <c r="D14" i="1022"/>
  <c r="C14" i="1022"/>
  <c r="F14" i="1022"/>
  <c r="B14" i="1022"/>
  <c r="G14" i="1022"/>
  <c r="F33" i="1022"/>
  <c r="B5" i="1022" s="1"/>
  <c r="F34" i="1022"/>
  <c r="D53" i="1022"/>
  <c r="D50" i="1022"/>
  <c r="D51" i="1022" s="1"/>
  <c r="D49" i="1022"/>
  <c r="D44" i="1022" s="1"/>
  <c r="K6" i="1022" s="1"/>
  <c r="K50" i="1022"/>
  <c r="K44" i="1022" s="1"/>
  <c r="K49" i="1022"/>
  <c r="K51" i="1022" s="1"/>
  <c r="D40" i="1022"/>
  <c r="G40" i="1022" s="1"/>
  <c r="B4" i="1022" s="1"/>
  <c r="G56" i="1022"/>
  <c r="F58" i="1022"/>
  <c r="F57" i="1022"/>
  <c r="F59" i="1022" s="1"/>
  <c r="I6" i="1022" s="1"/>
  <c r="E48" i="1022"/>
  <c r="E47" i="1022"/>
  <c r="G62" i="1022" s="1"/>
  <c r="I14" i="1022" s="1"/>
  <c r="E46" i="1022"/>
  <c r="D62" i="1022" s="1"/>
  <c r="N5" i="1022" s="1"/>
  <c r="E69" i="1021"/>
  <c r="F142" i="1021" s="1"/>
  <c r="J15" i="1021" s="1"/>
  <c r="I13" i="1021" s="1"/>
  <c r="C142" i="1021"/>
  <c r="F16" i="1021"/>
  <c r="E16" i="1021"/>
  <c r="B16" i="1021"/>
  <c r="D16" i="1021"/>
  <c r="C16" i="1021"/>
  <c r="D50" i="1021"/>
  <c r="D51" i="1021" s="1"/>
  <c r="D49" i="1021"/>
  <c r="D44" i="1021" s="1"/>
  <c r="K6" i="1021" s="1"/>
  <c r="G56" i="1021"/>
  <c r="F58" i="1021"/>
  <c r="F57" i="1021"/>
  <c r="F59" i="1021" s="1"/>
  <c r="I6" i="1021" s="1"/>
  <c r="E48" i="1021"/>
  <c r="E47" i="1021"/>
  <c r="G62" i="1021" s="1"/>
  <c r="E46" i="1021"/>
  <c r="D62" i="1021" s="1"/>
  <c r="N5" i="1021" s="1"/>
  <c r="E52" i="1021"/>
  <c r="E54" i="1021" s="1"/>
  <c r="D54" i="1021"/>
  <c r="A54" i="1021" s="1"/>
  <c r="K50" i="1021"/>
  <c r="K44" i="1021" s="1"/>
  <c r="K49" i="1021"/>
  <c r="K62" i="1021" s="1"/>
  <c r="D53" i="1021"/>
  <c r="I11" i="1018"/>
  <c r="I1" i="1018"/>
  <c r="I1" i="1019"/>
  <c r="I11" i="1019"/>
  <c r="I11" i="1020"/>
  <c r="I1" i="1020"/>
  <c r="B40" i="1020"/>
  <c r="D40" i="1020" s="1"/>
  <c r="E40" i="1020"/>
  <c r="F6" i="1020" s="1"/>
  <c r="D59" i="1020"/>
  <c r="G67" i="1020"/>
  <c r="F67" i="1020" s="1"/>
  <c r="G66" i="1020"/>
  <c r="F66" i="1020" s="1"/>
  <c r="G65" i="1020"/>
  <c r="F65" i="1020" s="1"/>
  <c r="E14" i="1020"/>
  <c r="C14" i="1020"/>
  <c r="G14" i="1020"/>
  <c r="B14" i="1020"/>
  <c r="F14" i="1020"/>
  <c r="D14" i="1020"/>
  <c r="F33" i="1020"/>
  <c r="B5" i="1020" s="1"/>
  <c r="F34" i="1020"/>
  <c r="H44" i="1020"/>
  <c r="C50" i="1020"/>
  <c r="C51" i="1020" s="1"/>
  <c r="C49" i="1020"/>
  <c r="C44" i="1020" s="1"/>
  <c r="F56" i="1020"/>
  <c r="E58" i="1020"/>
  <c r="E57" i="1020"/>
  <c r="C142" i="1020"/>
  <c r="F142" i="1020"/>
  <c r="J15" i="1020" s="1"/>
  <c r="I13" i="1020" s="1"/>
  <c r="D142" i="1020"/>
  <c r="E142" i="1020"/>
  <c r="I50" i="1020"/>
  <c r="I44" i="1020" s="1"/>
  <c r="I49" i="1020"/>
  <c r="I51" i="1020" s="1"/>
  <c r="C54" i="1020"/>
  <c r="D52" i="1020"/>
  <c r="E45" i="1020"/>
  <c r="D48" i="1020"/>
  <c r="D47" i="1020"/>
  <c r="D46" i="1020"/>
  <c r="K45" i="1020"/>
  <c r="J48" i="1020"/>
  <c r="J47" i="1020"/>
  <c r="J46" i="1020"/>
  <c r="B44" i="1020"/>
  <c r="E53" i="1020"/>
  <c r="B51" i="1020"/>
  <c r="L69" i="1019"/>
  <c r="E69" i="1019"/>
  <c r="F142" i="1019" s="1"/>
  <c r="J15" i="1019" s="1"/>
  <c r="I13" i="1019" s="1"/>
  <c r="B69" i="1019"/>
  <c r="C142" i="1019" s="1"/>
  <c r="C69" i="1019"/>
  <c r="D142" i="1019" s="1"/>
  <c r="G65" i="1019"/>
  <c r="F65" i="1019" s="1"/>
  <c r="G66" i="1019"/>
  <c r="F66" i="1019" s="1"/>
  <c r="G68" i="1019"/>
  <c r="F68" i="1019" s="1"/>
  <c r="E53" i="1019"/>
  <c r="J50" i="1019"/>
  <c r="J49" i="1019"/>
  <c r="J51" i="1019" s="1"/>
  <c r="C54" i="1019"/>
  <c r="D52" i="1019"/>
  <c r="F56" i="1019"/>
  <c r="E58" i="1019"/>
  <c r="E57" i="1019"/>
  <c r="D76" i="1019"/>
  <c r="K48" i="1019"/>
  <c r="K47" i="1019"/>
  <c r="M62" i="1019" s="1"/>
  <c r="K46" i="1019"/>
  <c r="J62" i="1019" s="1"/>
  <c r="C50" i="1019"/>
  <c r="C51" i="1019" s="1"/>
  <c r="C49" i="1019"/>
  <c r="C44" i="1019" s="1"/>
  <c r="E76" i="1019"/>
  <c r="E45" i="1019"/>
  <c r="D48" i="1019"/>
  <c r="D47" i="1019"/>
  <c r="D46" i="1019"/>
  <c r="B76" i="1019"/>
  <c r="J44" i="1019"/>
  <c r="C76" i="1018"/>
  <c r="H44" i="1018"/>
  <c r="B69" i="1018"/>
  <c r="B40" i="1018" s="1"/>
  <c r="E69" i="1018"/>
  <c r="C69" i="1018"/>
  <c r="G68" i="1018"/>
  <c r="F68" i="1018" s="1"/>
  <c r="D59" i="1018"/>
  <c r="G65" i="1018"/>
  <c r="F65" i="1018" s="1"/>
  <c r="G66" i="1018"/>
  <c r="F66" i="1018" s="1"/>
  <c r="E142" i="1018"/>
  <c r="D142" i="1018"/>
  <c r="K45" i="1018"/>
  <c r="J48" i="1018"/>
  <c r="J47" i="1018"/>
  <c r="J46" i="1018"/>
  <c r="D53" i="1018" s="1"/>
  <c r="D76" i="1018"/>
  <c r="E48" i="1018"/>
  <c r="E47" i="1018"/>
  <c r="G62" i="1018" s="1"/>
  <c r="E46" i="1018"/>
  <c r="D62" i="1018" s="1"/>
  <c r="N5" i="1018" s="1"/>
  <c r="I50" i="1018"/>
  <c r="I49" i="1018"/>
  <c r="I51" i="1018" s="1"/>
  <c r="M14" i="1018"/>
  <c r="D50" i="1018"/>
  <c r="D51" i="1018" s="1"/>
  <c r="D49" i="1018"/>
  <c r="E76" i="1018"/>
  <c r="B76" i="1018"/>
  <c r="H51" i="1018"/>
  <c r="F56" i="1018"/>
  <c r="E58" i="1018"/>
  <c r="E57" i="1018"/>
  <c r="I44" i="1018"/>
  <c r="E52" i="1018"/>
  <c r="E54" i="1018" s="1"/>
  <c r="D54" i="1018"/>
  <c r="I11" i="1013"/>
  <c r="I1" i="1013"/>
  <c r="I11" i="1017"/>
  <c r="I1" i="1017"/>
  <c r="I11" i="1015"/>
  <c r="I1" i="1015"/>
  <c r="I1" i="1011"/>
  <c r="I11" i="1011"/>
  <c r="I11" i="1012"/>
  <c r="I1" i="1012"/>
  <c r="I1" i="1010"/>
  <c r="I11" i="1010"/>
  <c r="I11" i="1009"/>
  <c r="I1" i="1009"/>
  <c r="I1" i="1014"/>
  <c r="I11" i="1014"/>
  <c r="I1" i="1016"/>
  <c r="I11" i="1016"/>
  <c r="I11" i="1008"/>
  <c r="I1" i="1008"/>
  <c r="I1" i="1007"/>
  <c r="I11" i="1007"/>
  <c r="H51" i="1017"/>
  <c r="B69" i="1017"/>
  <c r="E69" i="1017"/>
  <c r="E40" i="1017" s="1"/>
  <c r="F6" i="1017" s="1"/>
  <c r="C69" i="1017"/>
  <c r="L69" i="1017"/>
  <c r="G67" i="1017"/>
  <c r="F67" i="1017" s="1"/>
  <c r="D59" i="1017"/>
  <c r="F68" i="1017"/>
  <c r="G65" i="1017"/>
  <c r="I50" i="1017"/>
  <c r="I49" i="1017"/>
  <c r="I51" i="1017" s="1"/>
  <c r="D50" i="1017"/>
  <c r="D49" i="1017"/>
  <c r="D44" i="1017" s="1"/>
  <c r="K6" i="1017" s="1"/>
  <c r="K45" i="1017"/>
  <c r="J48" i="1017"/>
  <c r="J47" i="1017"/>
  <c r="J46" i="1017"/>
  <c r="H44" i="1017"/>
  <c r="E52" i="1017"/>
  <c r="E54" i="1017" s="1"/>
  <c r="D54" i="1017"/>
  <c r="A54" i="1017" s="1"/>
  <c r="E48" i="1017"/>
  <c r="E47" i="1017"/>
  <c r="G62" i="1017" s="1"/>
  <c r="E46" i="1017"/>
  <c r="D62" i="1017" s="1"/>
  <c r="N5" i="1017" s="1"/>
  <c r="D76" i="1017"/>
  <c r="C76" i="1017"/>
  <c r="E76" i="1017"/>
  <c r="B76" i="1017"/>
  <c r="F65" i="1017"/>
  <c r="E53" i="1017"/>
  <c r="F56" i="1017"/>
  <c r="E58" i="1017"/>
  <c r="E57" i="1017"/>
  <c r="E59" i="1017" s="1"/>
  <c r="F69" i="1016"/>
  <c r="E16" i="1016" s="1"/>
  <c r="E59" i="1016"/>
  <c r="D40" i="1016"/>
  <c r="G40" i="1016" s="1"/>
  <c r="B4" i="1016" s="1"/>
  <c r="E53" i="1016"/>
  <c r="G56" i="1016"/>
  <c r="F58" i="1016"/>
  <c r="F57" i="1016"/>
  <c r="K50" i="1016"/>
  <c r="K49" i="1016"/>
  <c r="K62" i="1016" s="1"/>
  <c r="C50" i="1016"/>
  <c r="C51" i="1016" s="1"/>
  <c r="C49" i="1016"/>
  <c r="C44" i="1016" s="1"/>
  <c r="C54" i="1016"/>
  <c r="D52" i="1016"/>
  <c r="E14" i="1016"/>
  <c r="C14" i="1016"/>
  <c r="F14" i="1016"/>
  <c r="G14" i="1016"/>
  <c r="B14" i="1016"/>
  <c r="D14" i="1016"/>
  <c r="F33" i="1016"/>
  <c r="F34" i="1016"/>
  <c r="E45" i="1016"/>
  <c r="D48" i="1016"/>
  <c r="D47" i="1016"/>
  <c r="D46" i="1016"/>
  <c r="K51" i="1016"/>
  <c r="B51" i="1016"/>
  <c r="B69" i="1015"/>
  <c r="D69" i="1015"/>
  <c r="E69" i="1015"/>
  <c r="M14" i="1015" s="1"/>
  <c r="B44" i="1015"/>
  <c r="G67" i="1015"/>
  <c r="D59" i="1015"/>
  <c r="G65" i="1015"/>
  <c r="G66" i="1015"/>
  <c r="F66" i="1015" s="1"/>
  <c r="B76" i="1015"/>
  <c r="G68" i="1015"/>
  <c r="F68" i="1015" s="1"/>
  <c r="F67" i="1015"/>
  <c r="E45" i="1015"/>
  <c r="D48" i="1015"/>
  <c r="D47" i="1015"/>
  <c r="D46" i="1015"/>
  <c r="E53" i="1015"/>
  <c r="C76" i="1015"/>
  <c r="C54" i="1015"/>
  <c r="D52" i="1015"/>
  <c r="J50" i="1015"/>
  <c r="J44" i="1015" s="1"/>
  <c r="J49" i="1015"/>
  <c r="J51" i="1015" s="1"/>
  <c r="F65" i="1015"/>
  <c r="C50" i="1015"/>
  <c r="C51" i="1015" s="1"/>
  <c r="C49" i="1015"/>
  <c r="C44" i="1015" s="1"/>
  <c r="F56" i="1015"/>
  <c r="E58" i="1015"/>
  <c r="E57" i="1015"/>
  <c r="D76" i="1015"/>
  <c r="K48" i="1015"/>
  <c r="K47" i="1015"/>
  <c r="M62" i="1015" s="1"/>
  <c r="K46" i="1015"/>
  <c r="J62" i="1015" s="1"/>
  <c r="C40" i="1014"/>
  <c r="B33" i="1014"/>
  <c r="E14" i="1014" s="1"/>
  <c r="B40" i="1014"/>
  <c r="D59" i="1014"/>
  <c r="G67" i="1014"/>
  <c r="F67" i="1014" s="1"/>
  <c r="G68" i="1014"/>
  <c r="F68" i="1014" s="1"/>
  <c r="G66" i="1014"/>
  <c r="F66" i="1014" s="1"/>
  <c r="G65" i="1014"/>
  <c r="F65" i="1014" s="1"/>
  <c r="F56" i="1014"/>
  <c r="E58" i="1014"/>
  <c r="E57" i="1014"/>
  <c r="C50" i="1014"/>
  <c r="C49" i="1014"/>
  <c r="C44" i="1014" s="1"/>
  <c r="I50" i="1014"/>
  <c r="I49" i="1014"/>
  <c r="I51" i="1014" s="1"/>
  <c r="E45" i="1014"/>
  <c r="D48" i="1014"/>
  <c r="D47" i="1014"/>
  <c r="D46" i="1014"/>
  <c r="K45" i="1014"/>
  <c r="J48" i="1014"/>
  <c r="J47" i="1014"/>
  <c r="J46" i="1014"/>
  <c r="C14" i="1014"/>
  <c r="G14" i="1014"/>
  <c r="B14" i="1014"/>
  <c r="F14" i="1014"/>
  <c r="F34" i="1014"/>
  <c r="F33" i="1014"/>
  <c r="B5" i="1014" s="1"/>
  <c r="I44" i="1014"/>
  <c r="H44" i="1014"/>
  <c r="E53" i="1014"/>
  <c r="B51" i="1014"/>
  <c r="C54" i="1014"/>
  <c r="D52" i="1014"/>
  <c r="H44" i="1013"/>
  <c r="D59" i="1013"/>
  <c r="G68" i="1013"/>
  <c r="F68" i="1013" s="1"/>
  <c r="G65" i="1013"/>
  <c r="F65" i="1013" s="1"/>
  <c r="G66" i="1013"/>
  <c r="F66" i="1013" s="1"/>
  <c r="G67" i="1013"/>
  <c r="F67" i="1013" s="1"/>
  <c r="C50" i="1013"/>
  <c r="C51" i="1013" s="1"/>
  <c r="C49" i="1013"/>
  <c r="C44" i="1013" s="1"/>
  <c r="E45" i="1013"/>
  <c r="D48" i="1013"/>
  <c r="D47" i="1013"/>
  <c r="D46" i="1013"/>
  <c r="C54" i="1013"/>
  <c r="D52" i="1013"/>
  <c r="E53" i="1013"/>
  <c r="I50" i="1013"/>
  <c r="I44" i="1013" s="1"/>
  <c r="I49" i="1013"/>
  <c r="I51" i="1013" s="1"/>
  <c r="D40" i="1013"/>
  <c r="G40" i="1013" s="1"/>
  <c r="B4" i="1013" s="1"/>
  <c r="B44" i="1013"/>
  <c r="K45" i="1013"/>
  <c r="J48" i="1013"/>
  <c r="J47" i="1013"/>
  <c r="J46" i="1013"/>
  <c r="E14" i="1013"/>
  <c r="C14" i="1013"/>
  <c r="F14" i="1013"/>
  <c r="G14" i="1013"/>
  <c r="B14" i="1013"/>
  <c r="D14" i="1013"/>
  <c r="F34" i="1013"/>
  <c r="F33" i="1013"/>
  <c r="H51" i="1013"/>
  <c r="F56" i="1013"/>
  <c r="E58" i="1013"/>
  <c r="E57" i="1013"/>
  <c r="E59" i="1013" s="1"/>
  <c r="D76" i="1012"/>
  <c r="H44" i="1012"/>
  <c r="D69" i="1012"/>
  <c r="E69" i="1012"/>
  <c r="B69" i="1012"/>
  <c r="C142" i="1012" s="1"/>
  <c r="G67" i="1012"/>
  <c r="F67" i="1012" s="1"/>
  <c r="L69" i="1012"/>
  <c r="D59" i="1012"/>
  <c r="G65" i="1012"/>
  <c r="F65" i="1012" s="1"/>
  <c r="G66" i="1012"/>
  <c r="F66" i="1012" s="1"/>
  <c r="G68" i="1012"/>
  <c r="F68" i="1012" s="1"/>
  <c r="E142" i="1012"/>
  <c r="D142" i="1012"/>
  <c r="I50" i="1012"/>
  <c r="I49" i="1012"/>
  <c r="I51" i="1012" s="1"/>
  <c r="E48" i="1012"/>
  <c r="E47" i="1012"/>
  <c r="G62" i="1012" s="1"/>
  <c r="E46" i="1012"/>
  <c r="D62" i="1012" s="1"/>
  <c r="N5" i="1012" s="1"/>
  <c r="E76" i="1012"/>
  <c r="H51" i="1012"/>
  <c r="K45" i="1012"/>
  <c r="J48" i="1012"/>
  <c r="J47" i="1012"/>
  <c r="J46" i="1012"/>
  <c r="D53" i="1012" s="1"/>
  <c r="C76" i="1012"/>
  <c r="F56" i="1012"/>
  <c r="E58" i="1012"/>
  <c r="E57" i="1012"/>
  <c r="E53" i="1012"/>
  <c r="E52" i="1012"/>
  <c r="E54" i="1012" s="1"/>
  <c r="D54" i="1012"/>
  <c r="B76" i="1012"/>
  <c r="I44" i="1012"/>
  <c r="D50" i="1012"/>
  <c r="D51" i="1012" s="1"/>
  <c r="D49" i="1012"/>
  <c r="D44" i="1012" s="1"/>
  <c r="K6" i="1012" s="1"/>
  <c r="H51" i="1011"/>
  <c r="E40" i="1011"/>
  <c r="F6" i="1011" s="1"/>
  <c r="F142" i="1011"/>
  <c r="J15" i="1011" s="1"/>
  <c r="I13" i="1011" s="1"/>
  <c r="H44" i="1011"/>
  <c r="D59" i="1011"/>
  <c r="G65" i="1011"/>
  <c r="F65" i="1011" s="1"/>
  <c r="G68" i="1011"/>
  <c r="F68" i="1011" s="1"/>
  <c r="G66" i="1011"/>
  <c r="F66" i="1011" s="1"/>
  <c r="G67" i="1011"/>
  <c r="F67" i="1011" s="1"/>
  <c r="D40" i="1011"/>
  <c r="G40" i="1011" s="1"/>
  <c r="B4" i="1011" s="1"/>
  <c r="E14" i="1011"/>
  <c r="C14" i="1011"/>
  <c r="G14" i="1011"/>
  <c r="B14" i="1011"/>
  <c r="F14" i="1011"/>
  <c r="D14" i="1011"/>
  <c r="F34" i="1011"/>
  <c r="F33" i="1011"/>
  <c r="B5" i="1011" s="1"/>
  <c r="I50" i="1011"/>
  <c r="I44" i="1011" s="1"/>
  <c r="I49" i="1011"/>
  <c r="C50" i="1011"/>
  <c r="C51" i="1011" s="1"/>
  <c r="C49" i="1011"/>
  <c r="K45" i="1011"/>
  <c r="J48" i="1011"/>
  <c r="J47" i="1011"/>
  <c r="J46" i="1011"/>
  <c r="F56" i="1011"/>
  <c r="E58" i="1011"/>
  <c r="E57" i="1011"/>
  <c r="E59" i="1011" s="1"/>
  <c r="C54" i="1011"/>
  <c r="D52" i="1011"/>
  <c r="E45" i="1011"/>
  <c r="D48" i="1011"/>
  <c r="D47" i="1011"/>
  <c r="D46" i="1011"/>
  <c r="I51" i="1011"/>
  <c r="B44" i="1011"/>
  <c r="E53" i="1011"/>
  <c r="B51" i="1011"/>
  <c r="D59" i="1010"/>
  <c r="G66" i="1010"/>
  <c r="F66" i="1010" s="1"/>
  <c r="G65" i="1010"/>
  <c r="F65" i="1010" s="1"/>
  <c r="G67" i="1010"/>
  <c r="F67" i="1010" s="1"/>
  <c r="G68" i="1010"/>
  <c r="F68" i="1010" s="1"/>
  <c r="D40" i="1010"/>
  <c r="G40" i="1010" s="1"/>
  <c r="B4" i="1010" s="1"/>
  <c r="J50" i="1010"/>
  <c r="J49" i="1010"/>
  <c r="J51" i="1010" s="1"/>
  <c r="C54" i="1010"/>
  <c r="D52" i="1010"/>
  <c r="B44" i="1010"/>
  <c r="C50" i="1010"/>
  <c r="C51" i="1010" s="1"/>
  <c r="C49" i="1010"/>
  <c r="K48" i="1010"/>
  <c r="K47" i="1010"/>
  <c r="M62" i="1010" s="1"/>
  <c r="K46" i="1010"/>
  <c r="J62" i="1010" s="1"/>
  <c r="E14" i="1010"/>
  <c r="D14" i="1010"/>
  <c r="G14" i="1010"/>
  <c r="C14" i="1010"/>
  <c r="B14" i="1010"/>
  <c r="F14" i="1010"/>
  <c r="F33" i="1010"/>
  <c r="F34" i="1010"/>
  <c r="E45" i="1010"/>
  <c r="D48" i="1010"/>
  <c r="D47" i="1010"/>
  <c r="D46" i="1010"/>
  <c r="F56" i="1010"/>
  <c r="E58" i="1010"/>
  <c r="E57" i="1010"/>
  <c r="C44" i="1010"/>
  <c r="E53" i="1010"/>
  <c r="B51" i="1010"/>
  <c r="C51" i="1009"/>
  <c r="E69" i="1009"/>
  <c r="D69" i="1009"/>
  <c r="E142" i="1009" s="1"/>
  <c r="B69" i="1009"/>
  <c r="G66" i="1009"/>
  <c r="F66" i="1009" s="1"/>
  <c r="G65" i="1009"/>
  <c r="F65" i="1009" s="1"/>
  <c r="E53" i="1009"/>
  <c r="G67" i="1009"/>
  <c r="F67" i="1009"/>
  <c r="L69" i="1009"/>
  <c r="G68" i="1009"/>
  <c r="F68" i="1009" s="1"/>
  <c r="E52" i="1009"/>
  <c r="E54" i="1009" s="1"/>
  <c r="D54" i="1009"/>
  <c r="A54" i="1009" s="1"/>
  <c r="D76" i="1009"/>
  <c r="I50" i="1009"/>
  <c r="I44" i="1009" s="1"/>
  <c r="I49" i="1009"/>
  <c r="I51" i="1009" s="1"/>
  <c r="D142" i="1009"/>
  <c r="F142" i="1009"/>
  <c r="J15" i="1009" s="1"/>
  <c r="I13" i="1009" s="1"/>
  <c r="B76" i="1009"/>
  <c r="F56" i="1009"/>
  <c r="E58" i="1009"/>
  <c r="E57" i="1009"/>
  <c r="K45" i="1009"/>
  <c r="J48" i="1009"/>
  <c r="J47" i="1009"/>
  <c r="J46" i="1009"/>
  <c r="D53" i="1009" s="1"/>
  <c r="D50" i="1009"/>
  <c r="D51" i="1009" s="1"/>
  <c r="D49" i="1009"/>
  <c r="C76" i="1009"/>
  <c r="E48" i="1009"/>
  <c r="E47" i="1009"/>
  <c r="G62" i="1009" s="1"/>
  <c r="E46" i="1009"/>
  <c r="D62" i="1009" s="1"/>
  <c r="N5" i="1009" s="1"/>
  <c r="E76" i="1009"/>
  <c r="C142" i="1009"/>
  <c r="H44" i="1008"/>
  <c r="E69" i="1008"/>
  <c r="M14" i="1008" s="1"/>
  <c r="D59" i="1008"/>
  <c r="G65" i="1008"/>
  <c r="F65" i="1008" s="1"/>
  <c r="G66" i="1008"/>
  <c r="F66" i="1008" s="1"/>
  <c r="G67" i="1008"/>
  <c r="F67" i="1008" s="1"/>
  <c r="G68" i="1008"/>
  <c r="F68" i="1008" s="1"/>
  <c r="K45" i="1008"/>
  <c r="J48" i="1008"/>
  <c r="J47" i="1008"/>
  <c r="J46" i="1008"/>
  <c r="H51" i="1008"/>
  <c r="I50" i="1008"/>
  <c r="I44" i="1008" s="1"/>
  <c r="I49" i="1008"/>
  <c r="I51" i="1008" s="1"/>
  <c r="D53" i="1008"/>
  <c r="E52" i="1008"/>
  <c r="E54" i="1008" s="1"/>
  <c r="D54" i="1008"/>
  <c r="D50" i="1008"/>
  <c r="D51" i="1008" s="1"/>
  <c r="D49" i="1008"/>
  <c r="D44" i="1008" s="1"/>
  <c r="K6" i="1008" s="1"/>
  <c r="E53" i="1008"/>
  <c r="E48" i="1008"/>
  <c r="E47" i="1008"/>
  <c r="G62" i="1008" s="1"/>
  <c r="E46" i="1008"/>
  <c r="D62" i="1008" s="1"/>
  <c r="N5" i="1008" s="1"/>
  <c r="F56" i="1008"/>
  <c r="E58" i="1008"/>
  <c r="E57" i="1008"/>
  <c r="E59" i="1008" s="1"/>
  <c r="L69" i="1007"/>
  <c r="E69" i="1007"/>
  <c r="E40" i="1007" s="1"/>
  <c r="F6" i="1007" s="1"/>
  <c r="B69" i="1007"/>
  <c r="B40" i="1007" s="1"/>
  <c r="C69" i="1007"/>
  <c r="B44" i="1007"/>
  <c r="D69" i="1007"/>
  <c r="G65" i="1007"/>
  <c r="F65" i="1007" s="1"/>
  <c r="G66" i="1007"/>
  <c r="F66" i="1007" s="1"/>
  <c r="G68" i="1007"/>
  <c r="F68" i="1007" s="1"/>
  <c r="F142" i="1007"/>
  <c r="J15" i="1007" s="1"/>
  <c r="I13" i="1007" s="1"/>
  <c r="B51" i="1007"/>
  <c r="E53" i="1007"/>
  <c r="C76" i="1007"/>
  <c r="E76" i="1007"/>
  <c r="E142" i="1007"/>
  <c r="H44" i="1007"/>
  <c r="F56" i="1007"/>
  <c r="E58" i="1007"/>
  <c r="E57" i="1007"/>
  <c r="D76" i="1007"/>
  <c r="C50" i="1007"/>
  <c r="C51" i="1007" s="1"/>
  <c r="C49" i="1007"/>
  <c r="C44" i="1007" s="1"/>
  <c r="C54" i="1007"/>
  <c r="D52" i="1007"/>
  <c r="I50" i="1007"/>
  <c r="I44" i="1007" s="1"/>
  <c r="I49" i="1007"/>
  <c r="I51" i="1007" s="1"/>
  <c r="M14" i="1007"/>
  <c r="B76" i="1007"/>
  <c r="E45" i="1007"/>
  <c r="D48" i="1007"/>
  <c r="D47" i="1007"/>
  <c r="D46" i="1007"/>
  <c r="H51" i="1007"/>
  <c r="K45" i="1007"/>
  <c r="J48" i="1007"/>
  <c r="J47" i="1007"/>
  <c r="J46" i="1007"/>
  <c r="I1" i="998"/>
  <c r="I11" i="1006"/>
  <c r="I1" i="999"/>
  <c r="I1" i="1001"/>
  <c r="I1" i="1002"/>
  <c r="I11" i="1004"/>
  <c r="I1" i="997"/>
  <c r="I11" i="1000"/>
  <c r="I1" i="1003"/>
  <c r="I1" i="1005"/>
  <c r="D69" i="1006"/>
  <c r="E142" i="1006" s="1"/>
  <c r="B69" i="1006"/>
  <c r="E68" i="1006"/>
  <c r="E69" i="1006" s="1"/>
  <c r="F142" i="1006" s="1"/>
  <c r="J15" i="1006" s="1"/>
  <c r="I13" i="1006" s="1"/>
  <c r="D142" i="1006"/>
  <c r="C142" i="1006"/>
  <c r="D45" i="1006"/>
  <c r="C48" i="1006"/>
  <c r="C47" i="1006"/>
  <c r="C46" i="1006"/>
  <c r="H49" i="1006"/>
  <c r="H50" i="1006"/>
  <c r="E56" i="1006"/>
  <c r="D57" i="1006"/>
  <c r="G66" i="1006" s="1"/>
  <c r="F66" i="1006" s="1"/>
  <c r="D58" i="1006"/>
  <c r="C76" i="1006"/>
  <c r="B53" i="1006"/>
  <c r="D76" i="1006"/>
  <c r="B76" i="1006"/>
  <c r="B54" i="1006"/>
  <c r="C52" i="1006"/>
  <c r="B50" i="1006"/>
  <c r="B49" i="1006"/>
  <c r="E76" i="1006"/>
  <c r="J45" i="1006"/>
  <c r="I48" i="1006"/>
  <c r="I47" i="1006"/>
  <c r="I46" i="1006"/>
  <c r="B51" i="1005"/>
  <c r="C59" i="1005"/>
  <c r="E56" i="1005"/>
  <c r="D57" i="1005"/>
  <c r="G66" i="1005" s="1"/>
  <c r="D58" i="1005"/>
  <c r="K67" i="1005"/>
  <c r="K66" i="1005"/>
  <c r="K69" i="1005"/>
  <c r="K65" i="1005"/>
  <c r="K68" i="1005"/>
  <c r="D73" i="1005"/>
  <c r="D72" i="1005"/>
  <c r="D75" i="1005"/>
  <c r="D74" i="1005"/>
  <c r="E72" i="1005"/>
  <c r="E75" i="1005"/>
  <c r="E74" i="1005"/>
  <c r="E73" i="1005"/>
  <c r="E45" i="1005"/>
  <c r="D48" i="1005"/>
  <c r="D47" i="1005"/>
  <c r="D46" i="1005"/>
  <c r="J45" i="1005"/>
  <c r="I48" i="1005"/>
  <c r="I47" i="1005"/>
  <c r="I46" i="1005"/>
  <c r="N68" i="1005"/>
  <c r="N67" i="1005"/>
  <c r="E67" i="1005"/>
  <c r="N66" i="1005"/>
  <c r="E66" i="1005"/>
  <c r="F66" i="1005" s="1"/>
  <c r="N65" i="1005"/>
  <c r="E65" i="1005"/>
  <c r="G65" i="1005"/>
  <c r="F65" i="1005" s="1"/>
  <c r="G68" i="1005"/>
  <c r="B67" i="1005"/>
  <c r="B66" i="1005"/>
  <c r="B65" i="1005"/>
  <c r="B68" i="1005"/>
  <c r="C66" i="1005"/>
  <c r="C65" i="1005"/>
  <c r="C68" i="1005"/>
  <c r="C67" i="1005"/>
  <c r="D65" i="1005"/>
  <c r="D68" i="1005"/>
  <c r="E68" i="1005" s="1"/>
  <c r="D67" i="1005"/>
  <c r="D66" i="1005"/>
  <c r="C50" i="1005"/>
  <c r="C49" i="1005"/>
  <c r="C44" i="1005" s="1"/>
  <c r="E53" i="1005"/>
  <c r="C54" i="1005"/>
  <c r="D52" i="1005"/>
  <c r="C74" i="1005"/>
  <c r="C73" i="1005"/>
  <c r="C72" i="1005"/>
  <c r="C75" i="1005"/>
  <c r="O67" i="1005"/>
  <c r="F67" i="1005"/>
  <c r="O66" i="1005"/>
  <c r="O65" i="1005"/>
  <c r="O68" i="1005"/>
  <c r="I69" i="1005"/>
  <c r="I65" i="1005"/>
  <c r="I68" i="1005"/>
  <c r="I67" i="1005"/>
  <c r="I66" i="1005"/>
  <c r="J68" i="1005"/>
  <c r="J67" i="1005"/>
  <c r="J66" i="1005"/>
  <c r="J69" i="1005"/>
  <c r="J65" i="1005"/>
  <c r="F75" i="1005"/>
  <c r="F74" i="1005"/>
  <c r="F73" i="1005"/>
  <c r="F72" i="1005"/>
  <c r="C51" i="1005"/>
  <c r="B44" i="1005"/>
  <c r="H49" i="1005"/>
  <c r="H50" i="1005"/>
  <c r="L66" i="1005"/>
  <c r="N64" i="1005"/>
  <c r="L65" i="1005"/>
  <c r="L68" i="1005"/>
  <c r="L67" i="1005"/>
  <c r="M65" i="1005"/>
  <c r="M68" i="1005"/>
  <c r="M67" i="1005"/>
  <c r="M66" i="1005"/>
  <c r="O64" i="1005"/>
  <c r="B75" i="1005"/>
  <c r="B74" i="1005"/>
  <c r="B73" i="1005"/>
  <c r="B72" i="1005"/>
  <c r="B51" i="1004"/>
  <c r="B44" i="1004"/>
  <c r="O67" i="1004"/>
  <c r="O66" i="1004"/>
  <c r="O65" i="1004"/>
  <c r="O68" i="1004"/>
  <c r="C66" i="1004"/>
  <c r="C65" i="1004"/>
  <c r="C68" i="1004"/>
  <c r="C67" i="1004"/>
  <c r="D65" i="1004"/>
  <c r="D68" i="1004"/>
  <c r="D67" i="1004"/>
  <c r="D66" i="1004"/>
  <c r="D50" i="1004"/>
  <c r="D51" i="1004" s="1"/>
  <c r="D49" i="1004"/>
  <c r="D44" i="1004" s="1"/>
  <c r="H49" i="1004"/>
  <c r="H50" i="1004"/>
  <c r="H44" i="1004" s="1"/>
  <c r="C74" i="1004"/>
  <c r="C73" i="1004"/>
  <c r="C72" i="1004"/>
  <c r="C75" i="1004"/>
  <c r="L66" i="1004"/>
  <c r="N64" i="1004"/>
  <c r="L65" i="1004"/>
  <c r="L69" i="1004" s="1"/>
  <c r="L68" i="1004"/>
  <c r="L67" i="1004"/>
  <c r="I69" i="1004"/>
  <c r="I65" i="1004"/>
  <c r="I68" i="1004"/>
  <c r="I67" i="1004"/>
  <c r="I66" i="1004"/>
  <c r="J68" i="1004"/>
  <c r="J67" i="1004"/>
  <c r="J66" i="1004"/>
  <c r="J69" i="1004"/>
  <c r="J65" i="1004"/>
  <c r="J45" i="1004"/>
  <c r="I48" i="1004"/>
  <c r="I47" i="1004"/>
  <c r="I46" i="1004"/>
  <c r="E48" i="1004"/>
  <c r="E47" i="1004"/>
  <c r="G62" i="1004" s="1"/>
  <c r="E46" i="1004"/>
  <c r="D62" i="1004" s="1"/>
  <c r="N5" i="1004" s="1"/>
  <c r="H51" i="1004"/>
  <c r="K67" i="1004"/>
  <c r="K66" i="1004"/>
  <c r="K69" i="1004"/>
  <c r="K65" i="1004"/>
  <c r="K68" i="1004"/>
  <c r="D73" i="1004"/>
  <c r="D72" i="1004"/>
  <c r="D75" i="1004"/>
  <c r="D74" i="1004"/>
  <c r="M65" i="1004"/>
  <c r="M68" i="1004"/>
  <c r="M67" i="1004"/>
  <c r="M66" i="1004"/>
  <c r="O64" i="1004"/>
  <c r="B75" i="1004"/>
  <c r="B74" i="1004"/>
  <c r="B73" i="1004"/>
  <c r="B72" i="1004"/>
  <c r="E56" i="1004"/>
  <c r="D57" i="1004"/>
  <c r="D58" i="1004"/>
  <c r="G66" i="1004" s="1"/>
  <c r="F66" i="1004" s="1"/>
  <c r="N68" i="1004"/>
  <c r="E68" i="1004" s="1"/>
  <c r="N67" i="1004"/>
  <c r="E67" i="1004"/>
  <c r="N66" i="1004"/>
  <c r="E66" i="1004"/>
  <c r="N65" i="1004"/>
  <c r="E65" i="1004"/>
  <c r="B67" i="1004"/>
  <c r="B66" i="1004"/>
  <c r="B65" i="1004"/>
  <c r="B68" i="1004"/>
  <c r="E72" i="1004"/>
  <c r="E75" i="1004"/>
  <c r="E74" i="1004"/>
  <c r="E73" i="1004"/>
  <c r="F75" i="1004"/>
  <c r="F74" i="1004"/>
  <c r="F73" i="1004"/>
  <c r="F72" i="1004"/>
  <c r="C54" i="1004"/>
  <c r="D52" i="1004"/>
  <c r="C59" i="1003"/>
  <c r="N68" i="1003"/>
  <c r="N67" i="1003"/>
  <c r="E67" i="1003"/>
  <c r="N66" i="1003"/>
  <c r="E66" i="1003"/>
  <c r="N65" i="1003"/>
  <c r="E65" i="1003"/>
  <c r="K67" i="1003"/>
  <c r="K66" i="1003"/>
  <c r="K69" i="1003"/>
  <c r="K65" i="1003"/>
  <c r="K68" i="1003"/>
  <c r="D73" i="1003"/>
  <c r="D72" i="1003"/>
  <c r="D75" i="1003"/>
  <c r="D74" i="1003"/>
  <c r="E72" i="1003"/>
  <c r="E75" i="1003"/>
  <c r="E74" i="1003"/>
  <c r="E73" i="1003"/>
  <c r="F75" i="1003"/>
  <c r="F74" i="1003"/>
  <c r="F73" i="1003"/>
  <c r="F72" i="1003"/>
  <c r="D45" i="1003"/>
  <c r="C48" i="1003"/>
  <c r="C47" i="1003"/>
  <c r="C46" i="1003"/>
  <c r="B67" i="1003"/>
  <c r="B66" i="1003"/>
  <c r="B65" i="1003"/>
  <c r="B68" i="1003"/>
  <c r="C66" i="1003"/>
  <c r="C65" i="1003"/>
  <c r="C68" i="1003"/>
  <c r="C67" i="1003"/>
  <c r="D65" i="1003"/>
  <c r="D68" i="1003"/>
  <c r="E68" i="1003" s="1"/>
  <c r="D67" i="1003"/>
  <c r="D66" i="1003"/>
  <c r="B53" i="1003"/>
  <c r="E56" i="1003"/>
  <c r="D57" i="1003"/>
  <c r="D58" i="1003"/>
  <c r="G68" i="1003" s="1"/>
  <c r="I50" i="1003"/>
  <c r="I44" i="1003" s="1"/>
  <c r="I49" i="1003"/>
  <c r="I51" i="1003" s="1"/>
  <c r="C74" i="1003"/>
  <c r="C73" i="1003"/>
  <c r="C72" i="1003"/>
  <c r="C75" i="1003"/>
  <c r="O67" i="1003"/>
  <c r="O66" i="1003"/>
  <c r="O65" i="1003"/>
  <c r="O68" i="1003"/>
  <c r="I69" i="1003"/>
  <c r="I65" i="1003"/>
  <c r="I68" i="1003"/>
  <c r="I67" i="1003"/>
  <c r="I66" i="1003"/>
  <c r="J68" i="1003"/>
  <c r="J67" i="1003"/>
  <c r="J66" i="1003"/>
  <c r="J69" i="1003"/>
  <c r="J65" i="1003"/>
  <c r="H51" i="1003"/>
  <c r="B50" i="1003"/>
  <c r="B49" i="1003"/>
  <c r="K45" i="1003"/>
  <c r="J48" i="1003"/>
  <c r="J47" i="1003"/>
  <c r="J46" i="1003"/>
  <c r="L66" i="1003"/>
  <c r="N64" i="1003"/>
  <c r="L65" i="1003"/>
  <c r="L68" i="1003"/>
  <c r="L67" i="1003"/>
  <c r="M65" i="1003"/>
  <c r="M68" i="1003"/>
  <c r="M67" i="1003"/>
  <c r="M66" i="1003"/>
  <c r="O64" i="1003"/>
  <c r="B75" i="1003"/>
  <c r="B74" i="1003"/>
  <c r="B73" i="1003"/>
  <c r="B72" i="1003"/>
  <c r="B54" i="1003"/>
  <c r="C52" i="1003"/>
  <c r="C50" i="1002"/>
  <c r="C49" i="1002"/>
  <c r="E56" i="1002"/>
  <c r="D57" i="1002"/>
  <c r="G65" i="1002" s="1"/>
  <c r="D58" i="1002"/>
  <c r="G67" i="1002" s="1"/>
  <c r="F67" i="1002" s="1"/>
  <c r="N68" i="1002"/>
  <c r="N67" i="1002"/>
  <c r="E67" i="1002"/>
  <c r="N66" i="1002"/>
  <c r="E66" i="1002"/>
  <c r="N65" i="1002"/>
  <c r="E65" i="1002"/>
  <c r="G66" i="1002"/>
  <c r="B67" i="1002"/>
  <c r="B66" i="1002"/>
  <c r="B65" i="1002"/>
  <c r="B68" i="1002"/>
  <c r="C66" i="1002"/>
  <c r="C65" i="1002"/>
  <c r="C68" i="1002"/>
  <c r="C67" i="1002"/>
  <c r="D65" i="1002"/>
  <c r="D68" i="1002"/>
  <c r="E68" i="1002" s="1"/>
  <c r="D67" i="1002"/>
  <c r="D66" i="1002"/>
  <c r="E45" i="1002"/>
  <c r="D48" i="1002"/>
  <c r="D47" i="1002"/>
  <c r="D46" i="1002"/>
  <c r="C74" i="1002"/>
  <c r="C73" i="1002"/>
  <c r="C72" i="1002"/>
  <c r="C75" i="1002"/>
  <c r="O67" i="1002"/>
  <c r="O66" i="1002"/>
  <c r="F66" i="1002"/>
  <c r="O65" i="1002"/>
  <c r="F65" i="1002"/>
  <c r="O68" i="1002"/>
  <c r="I69" i="1002"/>
  <c r="I65" i="1002"/>
  <c r="I68" i="1002"/>
  <c r="I67" i="1002"/>
  <c r="I66" i="1002"/>
  <c r="J68" i="1002"/>
  <c r="J67" i="1002"/>
  <c r="J66" i="1002"/>
  <c r="J69" i="1002"/>
  <c r="J65" i="1002"/>
  <c r="H49" i="1002"/>
  <c r="H50" i="1002"/>
  <c r="B44" i="1002"/>
  <c r="C44" i="1002"/>
  <c r="B51" i="1002"/>
  <c r="L66" i="1002"/>
  <c r="N64" i="1002"/>
  <c r="L65" i="1002"/>
  <c r="L68" i="1002"/>
  <c r="L67" i="1002"/>
  <c r="M65" i="1002"/>
  <c r="M68" i="1002"/>
  <c r="M67" i="1002"/>
  <c r="M66" i="1002"/>
  <c r="O64" i="1002"/>
  <c r="B75" i="1002"/>
  <c r="B74" i="1002"/>
  <c r="B73" i="1002"/>
  <c r="B72" i="1002"/>
  <c r="H44" i="1002"/>
  <c r="C51" i="1002"/>
  <c r="C54" i="1002"/>
  <c r="D52" i="1002"/>
  <c r="K67" i="1002"/>
  <c r="K66" i="1002"/>
  <c r="K69" i="1002"/>
  <c r="K65" i="1002"/>
  <c r="K68" i="1002"/>
  <c r="D73" i="1002"/>
  <c r="D72" i="1002"/>
  <c r="D75" i="1002"/>
  <c r="D74" i="1002"/>
  <c r="E72" i="1002"/>
  <c r="E75" i="1002"/>
  <c r="E74" i="1002"/>
  <c r="E73" i="1002"/>
  <c r="F75" i="1002"/>
  <c r="F74" i="1002"/>
  <c r="F73" i="1002"/>
  <c r="F72" i="1002"/>
  <c r="J45" i="1002"/>
  <c r="I48" i="1002"/>
  <c r="I47" i="1002"/>
  <c r="I46" i="1002"/>
  <c r="H44" i="1001"/>
  <c r="B67" i="1001"/>
  <c r="B66" i="1001"/>
  <c r="B65" i="1001"/>
  <c r="B68" i="1001"/>
  <c r="E72" i="1001"/>
  <c r="E75" i="1001"/>
  <c r="E74" i="1001"/>
  <c r="E73" i="1001"/>
  <c r="F75" i="1001"/>
  <c r="F74" i="1001"/>
  <c r="F73" i="1001"/>
  <c r="F72" i="1001"/>
  <c r="D45" i="1001"/>
  <c r="C48" i="1001"/>
  <c r="C47" i="1001"/>
  <c r="C46" i="1001"/>
  <c r="I50" i="1001"/>
  <c r="I44" i="1001" s="1"/>
  <c r="I49" i="1001"/>
  <c r="N68" i="1001"/>
  <c r="N67" i="1001"/>
  <c r="E67" i="1001"/>
  <c r="N66" i="1001"/>
  <c r="E66" i="1001"/>
  <c r="N65" i="1001"/>
  <c r="E65" i="1001"/>
  <c r="O67" i="1001"/>
  <c r="O66" i="1001"/>
  <c r="O65" i="1001"/>
  <c r="O68" i="1001"/>
  <c r="C66" i="1001"/>
  <c r="C65" i="1001"/>
  <c r="C68" i="1001"/>
  <c r="C67" i="1001"/>
  <c r="D65" i="1001"/>
  <c r="D68" i="1001"/>
  <c r="E68" i="1001" s="1"/>
  <c r="D67" i="1001"/>
  <c r="D66" i="1001"/>
  <c r="B53" i="1001"/>
  <c r="H51" i="1001"/>
  <c r="K45" i="1001"/>
  <c r="J48" i="1001"/>
  <c r="J47" i="1001"/>
  <c r="J46" i="1001"/>
  <c r="C74" i="1001"/>
  <c r="C73" i="1001"/>
  <c r="C72" i="1001"/>
  <c r="C75" i="1001"/>
  <c r="L66" i="1001"/>
  <c r="N64" i="1001"/>
  <c r="L65" i="1001"/>
  <c r="L69" i="1001" s="1"/>
  <c r="L68" i="1001"/>
  <c r="L67" i="1001"/>
  <c r="I69" i="1001"/>
  <c r="I65" i="1001"/>
  <c r="I68" i="1001"/>
  <c r="I67" i="1001"/>
  <c r="I66" i="1001"/>
  <c r="J68" i="1001"/>
  <c r="J67" i="1001"/>
  <c r="J66" i="1001"/>
  <c r="J69" i="1001"/>
  <c r="J65" i="1001"/>
  <c r="B50" i="1001"/>
  <c r="B49" i="1001"/>
  <c r="I51" i="1001"/>
  <c r="E56" i="1001"/>
  <c r="D57" i="1001"/>
  <c r="G68" i="1001" s="1"/>
  <c r="D58" i="1001"/>
  <c r="K67" i="1001"/>
  <c r="K66" i="1001"/>
  <c r="K69" i="1001"/>
  <c r="K65" i="1001"/>
  <c r="K68" i="1001"/>
  <c r="D73" i="1001"/>
  <c r="D72" i="1001"/>
  <c r="D75" i="1001"/>
  <c r="D74" i="1001"/>
  <c r="M65" i="1001"/>
  <c r="M68" i="1001"/>
  <c r="M67" i="1001"/>
  <c r="M66" i="1001"/>
  <c r="O64" i="1001"/>
  <c r="B75" i="1001"/>
  <c r="B74" i="1001"/>
  <c r="B73" i="1001"/>
  <c r="B72" i="1001"/>
  <c r="B54" i="1001"/>
  <c r="C52" i="1001"/>
  <c r="E69" i="1000"/>
  <c r="B69" i="1000"/>
  <c r="B33" i="1000" s="1"/>
  <c r="C69" i="1000"/>
  <c r="D142" i="1000" s="1"/>
  <c r="L69" i="1000"/>
  <c r="C59" i="1000"/>
  <c r="C142" i="1000"/>
  <c r="E142" i="1000"/>
  <c r="D45" i="1000"/>
  <c r="C48" i="1000"/>
  <c r="C47" i="1000"/>
  <c r="C46" i="1000"/>
  <c r="B53" i="1000"/>
  <c r="B50" i="1000"/>
  <c r="B49" i="1000"/>
  <c r="C76" i="1000"/>
  <c r="D76" i="1000"/>
  <c r="H50" i="1000"/>
  <c r="H49" i="1000"/>
  <c r="E56" i="1000"/>
  <c r="D57" i="1000"/>
  <c r="D58" i="1000"/>
  <c r="E76" i="1000"/>
  <c r="B54" i="1000"/>
  <c r="C52" i="1000"/>
  <c r="B76" i="1000"/>
  <c r="J45" i="1000"/>
  <c r="I48" i="1000"/>
  <c r="I47" i="1000"/>
  <c r="I46" i="1000"/>
  <c r="E72" i="999"/>
  <c r="E75" i="999"/>
  <c r="E74" i="999"/>
  <c r="E73" i="999"/>
  <c r="F75" i="999"/>
  <c r="F74" i="999"/>
  <c r="F73" i="999"/>
  <c r="F72" i="999"/>
  <c r="J45" i="999"/>
  <c r="I48" i="999"/>
  <c r="I47" i="999"/>
  <c r="I46" i="999"/>
  <c r="B54" i="999"/>
  <c r="C52" i="999"/>
  <c r="O67" i="999"/>
  <c r="O66" i="999"/>
  <c r="O65" i="999"/>
  <c r="O68" i="999"/>
  <c r="C66" i="999"/>
  <c r="C65" i="999"/>
  <c r="C68" i="999"/>
  <c r="C67" i="999"/>
  <c r="D65" i="999"/>
  <c r="D68" i="999"/>
  <c r="D67" i="999"/>
  <c r="D66" i="999"/>
  <c r="D45" i="999"/>
  <c r="C48" i="999"/>
  <c r="C47" i="999"/>
  <c r="C46" i="999"/>
  <c r="B67" i="999"/>
  <c r="B66" i="999"/>
  <c r="B65" i="999"/>
  <c r="B68" i="999"/>
  <c r="C74" i="999"/>
  <c r="C73" i="999"/>
  <c r="C72" i="999"/>
  <c r="C75" i="999"/>
  <c r="N68" i="999"/>
  <c r="E68" i="999" s="1"/>
  <c r="N67" i="999"/>
  <c r="E67" i="999"/>
  <c r="N66" i="999"/>
  <c r="E66" i="999"/>
  <c r="N65" i="999"/>
  <c r="E65" i="999"/>
  <c r="L66" i="999"/>
  <c r="N64" i="999"/>
  <c r="L65" i="999"/>
  <c r="L69" i="999" s="1"/>
  <c r="L68" i="999"/>
  <c r="L67" i="999"/>
  <c r="I69" i="999"/>
  <c r="I65" i="999"/>
  <c r="I68" i="999"/>
  <c r="I67" i="999"/>
  <c r="I66" i="999"/>
  <c r="J68" i="999"/>
  <c r="J67" i="999"/>
  <c r="J66" i="999"/>
  <c r="J69" i="999"/>
  <c r="J65" i="999"/>
  <c r="H49" i="999"/>
  <c r="H50" i="999"/>
  <c r="E56" i="999"/>
  <c r="D57" i="999"/>
  <c r="G67" i="999" s="1"/>
  <c r="F67" i="999" s="1"/>
  <c r="D58" i="999"/>
  <c r="B53" i="999"/>
  <c r="K67" i="999"/>
  <c r="K66" i="999"/>
  <c r="K69" i="999"/>
  <c r="K65" i="999"/>
  <c r="K68" i="999"/>
  <c r="D73" i="999"/>
  <c r="D72" i="999"/>
  <c r="D75" i="999"/>
  <c r="D74" i="999"/>
  <c r="M65" i="999"/>
  <c r="M68" i="999"/>
  <c r="M67" i="999"/>
  <c r="M66" i="999"/>
  <c r="O64" i="999"/>
  <c r="B75" i="999"/>
  <c r="B74" i="999"/>
  <c r="B73" i="999"/>
  <c r="B72" i="999"/>
  <c r="H44" i="999"/>
  <c r="B50" i="999"/>
  <c r="B49" i="999"/>
  <c r="C59" i="998"/>
  <c r="C50" i="998"/>
  <c r="C49" i="998"/>
  <c r="J45" i="998"/>
  <c r="I48" i="998"/>
  <c r="I47" i="998"/>
  <c r="I46" i="998"/>
  <c r="N68" i="998"/>
  <c r="N67" i="998"/>
  <c r="E67" i="998"/>
  <c r="N66" i="998"/>
  <c r="E66" i="998"/>
  <c r="N65" i="998"/>
  <c r="E65" i="998"/>
  <c r="B67" i="998"/>
  <c r="B66" i="998"/>
  <c r="B65" i="998"/>
  <c r="B68" i="998"/>
  <c r="E72" i="998"/>
  <c r="E75" i="998"/>
  <c r="E74" i="998"/>
  <c r="E73" i="998"/>
  <c r="F75" i="998"/>
  <c r="F74" i="998"/>
  <c r="F73" i="998"/>
  <c r="F72" i="998"/>
  <c r="E45" i="998"/>
  <c r="D48" i="998"/>
  <c r="D47" i="998"/>
  <c r="D46" i="998"/>
  <c r="C54" i="998"/>
  <c r="D52" i="998"/>
  <c r="O67" i="998"/>
  <c r="O66" i="998"/>
  <c r="O65" i="998"/>
  <c r="O68" i="998"/>
  <c r="C66" i="998"/>
  <c r="C65" i="998"/>
  <c r="C68" i="998"/>
  <c r="C67" i="998"/>
  <c r="D65" i="998"/>
  <c r="D68" i="998"/>
  <c r="E68" i="998" s="1"/>
  <c r="D67" i="998"/>
  <c r="D66" i="998"/>
  <c r="C44" i="998"/>
  <c r="H49" i="998"/>
  <c r="H50" i="998"/>
  <c r="C74" i="998"/>
  <c r="C73" i="998"/>
  <c r="C72" i="998"/>
  <c r="C75" i="998"/>
  <c r="L66" i="998"/>
  <c r="N64" i="998"/>
  <c r="L65" i="998"/>
  <c r="L68" i="998"/>
  <c r="L67" i="998"/>
  <c r="I69" i="998"/>
  <c r="I65" i="998"/>
  <c r="I68" i="998"/>
  <c r="I67" i="998"/>
  <c r="I66" i="998"/>
  <c r="J68" i="998"/>
  <c r="J67" i="998"/>
  <c r="J66" i="998"/>
  <c r="J69" i="998"/>
  <c r="J65" i="998"/>
  <c r="E56" i="998"/>
  <c r="D57" i="998"/>
  <c r="G65" i="998" s="1"/>
  <c r="F65" i="998" s="1"/>
  <c r="D58" i="998"/>
  <c r="K67" i="998"/>
  <c r="K66" i="998"/>
  <c r="K69" i="998"/>
  <c r="K65" i="998"/>
  <c r="K68" i="998"/>
  <c r="D73" i="998"/>
  <c r="D72" i="998"/>
  <c r="D75" i="998"/>
  <c r="D74" i="998"/>
  <c r="M65" i="998"/>
  <c r="M68" i="998"/>
  <c r="M67" i="998"/>
  <c r="M66" i="998"/>
  <c r="O64" i="998"/>
  <c r="B75" i="998"/>
  <c r="B74" i="998"/>
  <c r="B73" i="998"/>
  <c r="B72" i="998"/>
  <c r="E45" i="997"/>
  <c r="D48" i="997"/>
  <c r="D47" i="997"/>
  <c r="D46" i="997"/>
  <c r="C74" i="997"/>
  <c r="C73" i="997"/>
  <c r="C72" i="997"/>
  <c r="C75" i="997"/>
  <c r="L66" i="997"/>
  <c r="N64" i="997"/>
  <c r="L65" i="997"/>
  <c r="L68" i="997"/>
  <c r="L67" i="997"/>
  <c r="I69" i="997"/>
  <c r="I65" i="997"/>
  <c r="I68" i="997"/>
  <c r="I67" i="997"/>
  <c r="I66" i="997"/>
  <c r="J68" i="997"/>
  <c r="J67" i="997"/>
  <c r="J66" i="997"/>
  <c r="J69" i="997"/>
  <c r="J65" i="997"/>
  <c r="B44" i="997"/>
  <c r="H49" i="997"/>
  <c r="H50" i="997"/>
  <c r="H44" i="997" s="1"/>
  <c r="C50" i="997"/>
  <c r="C51" i="997" s="1"/>
  <c r="C49" i="997"/>
  <c r="C44" i="997" s="1"/>
  <c r="O67" i="997"/>
  <c r="O66" i="997"/>
  <c r="O65" i="997"/>
  <c r="O68" i="997"/>
  <c r="C66" i="997"/>
  <c r="C65" i="997"/>
  <c r="C68" i="997"/>
  <c r="C67" i="997"/>
  <c r="D65" i="997"/>
  <c r="D68" i="997"/>
  <c r="D67" i="997"/>
  <c r="D66" i="997"/>
  <c r="B51" i="997"/>
  <c r="K67" i="997"/>
  <c r="K66" i="997"/>
  <c r="K69" i="997"/>
  <c r="K65" i="997"/>
  <c r="K68" i="997"/>
  <c r="D73" i="997"/>
  <c r="D72" i="997"/>
  <c r="D75" i="997"/>
  <c r="D74" i="997"/>
  <c r="M65" i="997"/>
  <c r="M68" i="997"/>
  <c r="M67" i="997"/>
  <c r="M66" i="997"/>
  <c r="O64" i="997"/>
  <c r="B75" i="997"/>
  <c r="B74" i="997"/>
  <c r="B73" i="997"/>
  <c r="B72" i="997"/>
  <c r="E56" i="997"/>
  <c r="D57" i="997"/>
  <c r="G67" i="997" s="1"/>
  <c r="F67" i="997" s="1"/>
  <c r="D58" i="997"/>
  <c r="C54" i="997"/>
  <c r="D52" i="997"/>
  <c r="N68" i="997"/>
  <c r="N67" i="997"/>
  <c r="E67" i="997"/>
  <c r="N66" i="997"/>
  <c r="E66" i="997"/>
  <c r="N65" i="997"/>
  <c r="E65" i="997"/>
  <c r="B67" i="997"/>
  <c r="B66" i="997"/>
  <c r="B65" i="997"/>
  <c r="B68" i="997"/>
  <c r="E72" i="997"/>
  <c r="E75" i="997"/>
  <c r="E74" i="997"/>
  <c r="E73" i="997"/>
  <c r="F75" i="997"/>
  <c r="F74" i="997"/>
  <c r="F73" i="997"/>
  <c r="F72" i="997"/>
  <c r="J45" i="997"/>
  <c r="I48" i="997"/>
  <c r="I47" i="997"/>
  <c r="I46" i="997"/>
  <c r="J19" i="996"/>
  <c r="B3" i="996" s="1"/>
  <c r="K67" i="996"/>
  <c r="K66" i="996"/>
  <c r="K69" i="996"/>
  <c r="K65" i="996"/>
  <c r="K68" i="996"/>
  <c r="C45" i="996"/>
  <c r="B52" i="996"/>
  <c r="B48" i="996"/>
  <c r="B46" i="996"/>
  <c r="B47" i="996"/>
  <c r="O67" i="996"/>
  <c r="O66" i="996"/>
  <c r="O65" i="996"/>
  <c r="O68" i="996"/>
  <c r="C66" i="996"/>
  <c r="C65" i="996"/>
  <c r="C68" i="996"/>
  <c r="C67" i="996"/>
  <c r="D65" i="996"/>
  <c r="D68" i="996"/>
  <c r="D67" i="996"/>
  <c r="D66" i="996"/>
  <c r="B59" i="996"/>
  <c r="L66" i="996"/>
  <c r="N64" i="996"/>
  <c r="L65" i="996"/>
  <c r="L68" i="996"/>
  <c r="L67" i="996"/>
  <c r="I69" i="996"/>
  <c r="I65" i="996"/>
  <c r="I68" i="996"/>
  <c r="I67" i="996"/>
  <c r="I66" i="996"/>
  <c r="J68" i="996"/>
  <c r="J67" i="996"/>
  <c r="J66" i="996"/>
  <c r="J69" i="996"/>
  <c r="J65" i="996"/>
  <c r="H49" i="996"/>
  <c r="H50" i="996"/>
  <c r="I1" i="996"/>
  <c r="I11" i="996"/>
  <c r="C74" i="996"/>
  <c r="C73" i="996"/>
  <c r="C72" i="996"/>
  <c r="C75" i="996"/>
  <c r="D73" i="996"/>
  <c r="D72" i="996"/>
  <c r="D75" i="996"/>
  <c r="D74" i="996"/>
  <c r="M65" i="996"/>
  <c r="M68" i="996"/>
  <c r="M67" i="996"/>
  <c r="M66" i="996"/>
  <c r="O64" i="996"/>
  <c r="B75" i="996"/>
  <c r="B74" i="996"/>
  <c r="B73" i="996"/>
  <c r="B72" i="996"/>
  <c r="N68" i="996"/>
  <c r="N67" i="996"/>
  <c r="E67" i="996"/>
  <c r="N66" i="996"/>
  <c r="E66" i="996"/>
  <c r="N65" i="996"/>
  <c r="E65" i="996"/>
  <c r="C58" i="996"/>
  <c r="C57" i="996"/>
  <c r="D56" i="996"/>
  <c r="B67" i="996"/>
  <c r="B66" i="996"/>
  <c r="B65" i="996"/>
  <c r="B69" i="996" s="1"/>
  <c r="B68" i="996"/>
  <c r="E72" i="996"/>
  <c r="E75" i="996"/>
  <c r="E74" i="996"/>
  <c r="E73" i="996"/>
  <c r="F75" i="996"/>
  <c r="F74" i="996"/>
  <c r="F73" i="996"/>
  <c r="F72" i="996"/>
  <c r="J45" i="996"/>
  <c r="I48" i="996"/>
  <c r="I47" i="996"/>
  <c r="I46" i="996"/>
  <c r="D24" i="995"/>
  <c r="F25" i="995"/>
  <c r="B3" i="995" s="1"/>
  <c r="D25" i="995"/>
  <c r="C45" i="995"/>
  <c r="B52" i="995"/>
  <c r="B48" i="995"/>
  <c r="B46" i="995"/>
  <c r="B47" i="995"/>
  <c r="C74" i="995"/>
  <c r="C73" i="995"/>
  <c r="C72" i="995"/>
  <c r="C75" i="995"/>
  <c r="D73" i="995"/>
  <c r="D72" i="995"/>
  <c r="D75" i="995"/>
  <c r="D74" i="995"/>
  <c r="M65" i="995"/>
  <c r="M68" i="995"/>
  <c r="M67" i="995"/>
  <c r="O64" i="995"/>
  <c r="M66" i="995"/>
  <c r="B75" i="995"/>
  <c r="B74" i="995"/>
  <c r="B73" i="995"/>
  <c r="B72" i="995"/>
  <c r="B59" i="995"/>
  <c r="B67" i="995"/>
  <c r="B66" i="995"/>
  <c r="B65" i="995"/>
  <c r="B68" i="995"/>
  <c r="E72" i="995"/>
  <c r="E75" i="995"/>
  <c r="E74" i="995"/>
  <c r="E73" i="995"/>
  <c r="F75" i="995"/>
  <c r="F74" i="995"/>
  <c r="F73" i="995"/>
  <c r="F72" i="995"/>
  <c r="I1" i="995"/>
  <c r="I11" i="995"/>
  <c r="L66" i="995"/>
  <c r="N64" i="995"/>
  <c r="L65" i="995"/>
  <c r="L68" i="995"/>
  <c r="L67" i="995"/>
  <c r="I69" i="995"/>
  <c r="I65" i="995"/>
  <c r="I68" i="995"/>
  <c r="I67" i="995"/>
  <c r="I66" i="995"/>
  <c r="J68" i="995"/>
  <c r="J67" i="995"/>
  <c r="J66" i="995"/>
  <c r="J69" i="995"/>
  <c r="J65" i="995"/>
  <c r="J19" i="995"/>
  <c r="K67" i="995"/>
  <c r="K66" i="995"/>
  <c r="K69" i="995"/>
  <c r="K65" i="995"/>
  <c r="K68" i="995"/>
  <c r="O67" i="995"/>
  <c r="O66" i="995"/>
  <c r="O65" i="995"/>
  <c r="O68" i="995"/>
  <c r="C66" i="995"/>
  <c r="C65" i="995"/>
  <c r="C68" i="995"/>
  <c r="C67" i="995"/>
  <c r="D65" i="995"/>
  <c r="D68" i="995"/>
  <c r="E68" i="995" s="1"/>
  <c r="E69" i="995" s="1"/>
  <c r="M14" i="995" s="1"/>
  <c r="D67" i="995"/>
  <c r="D66" i="995"/>
  <c r="I45" i="995"/>
  <c r="H48" i="995"/>
  <c r="H46" i="995"/>
  <c r="H47" i="995"/>
  <c r="C58" i="995"/>
  <c r="C57" i="995"/>
  <c r="D56" i="995"/>
  <c r="J19" i="994"/>
  <c r="F25" i="994"/>
  <c r="B3" i="994" s="1"/>
  <c r="D25" i="994"/>
  <c r="B59" i="994"/>
  <c r="I11" i="994"/>
  <c r="I1" i="994"/>
  <c r="B50" i="994"/>
  <c r="B49" i="994"/>
  <c r="I45" i="994"/>
  <c r="H47" i="994"/>
  <c r="H48" i="994"/>
  <c r="H46" i="994"/>
  <c r="B53" i="994"/>
  <c r="F71" i="994"/>
  <c r="B71" i="994"/>
  <c r="J64" i="994"/>
  <c r="D64" i="994"/>
  <c r="E71" i="994"/>
  <c r="M64" i="994"/>
  <c r="I64" i="994"/>
  <c r="C64" i="994"/>
  <c r="D71" i="994"/>
  <c r="L64" i="994"/>
  <c r="F64" i="994"/>
  <c r="B64" i="994"/>
  <c r="K64" i="994"/>
  <c r="F3" i="994"/>
  <c r="E64" i="994"/>
  <c r="D3" i="994"/>
  <c r="A16" i="994"/>
  <c r="C71" i="994"/>
  <c r="B54" i="994"/>
  <c r="C52" i="994"/>
  <c r="C58" i="994"/>
  <c r="C57" i="994"/>
  <c r="D56" i="994"/>
  <c r="D45" i="994"/>
  <c r="C48" i="994"/>
  <c r="C47" i="994"/>
  <c r="C46" i="994"/>
  <c r="J19" i="993"/>
  <c r="B3" i="993" s="1"/>
  <c r="I1" i="993"/>
  <c r="B50" i="993"/>
  <c r="B51" i="993" s="1"/>
  <c r="B49" i="993"/>
  <c r="N68" i="993"/>
  <c r="N67" i="993"/>
  <c r="E67" i="993"/>
  <c r="N66" i="993"/>
  <c r="E66" i="993"/>
  <c r="N65" i="993"/>
  <c r="E65" i="993"/>
  <c r="O67" i="993"/>
  <c r="O66" i="993"/>
  <c r="O65" i="993"/>
  <c r="O68" i="993"/>
  <c r="C66" i="993"/>
  <c r="C65" i="993"/>
  <c r="C68" i="993"/>
  <c r="C67" i="993"/>
  <c r="D65" i="993"/>
  <c r="D68" i="993"/>
  <c r="E68" i="993" s="1"/>
  <c r="D67" i="993"/>
  <c r="D66" i="993"/>
  <c r="C50" i="993"/>
  <c r="C49" i="993"/>
  <c r="C44" i="993" s="1"/>
  <c r="B53" i="993"/>
  <c r="B44" i="993"/>
  <c r="B59" i="993"/>
  <c r="I45" i="993"/>
  <c r="H47" i="993"/>
  <c r="H46" i="993"/>
  <c r="H48" i="993"/>
  <c r="L14" i="993"/>
  <c r="L66" i="993"/>
  <c r="N64" i="993"/>
  <c r="L65" i="993"/>
  <c r="L68" i="993"/>
  <c r="L67" i="993"/>
  <c r="I69" i="993"/>
  <c r="I65" i="993"/>
  <c r="I68" i="993"/>
  <c r="I67" i="993"/>
  <c r="I66" i="993"/>
  <c r="J68" i="993"/>
  <c r="J67" i="993"/>
  <c r="J66" i="993"/>
  <c r="J69" i="993"/>
  <c r="J65" i="993"/>
  <c r="E45" i="993"/>
  <c r="D48" i="993"/>
  <c r="D47" i="993"/>
  <c r="D46" i="993"/>
  <c r="K67" i="993"/>
  <c r="K66" i="993"/>
  <c r="K69" i="993"/>
  <c r="K65" i="993"/>
  <c r="K68" i="993"/>
  <c r="I11" i="993"/>
  <c r="D73" i="993"/>
  <c r="D72" i="993"/>
  <c r="D75" i="993"/>
  <c r="D74" i="993"/>
  <c r="M65" i="993"/>
  <c r="M68" i="993"/>
  <c r="M67" i="993"/>
  <c r="M66" i="993"/>
  <c r="O64" i="993"/>
  <c r="B75" i="993"/>
  <c r="B74" i="993"/>
  <c r="B73" i="993"/>
  <c r="B72" i="993"/>
  <c r="B54" i="993"/>
  <c r="C52" i="993"/>
  <c r="C58" i="993"/>
  <c r="C57" i="993"/>
  <c r="D56" i="993"/>
  <c r="B67" i="993"/>
  <c r="B66" i="993"/>
  <c r="B65" i="993"/>
  <c r="B68" i="993"/>
  <c r="E72" i="993"/>
  <c r="E75" i="993"/>
  <c r="E74" i="993"/>
  <c r="E73" i="993"/>
  <c r="F75" i="993"/>
  <c r="F74" i="993"/>
  <c r="F73" i="993"/>
  <c r="F72" i="993"/>
  <c r="C51" i="993"/>
  <c r="B3" i="992"/>
  <c r="D24" i="992"/>
  <c r="F25" i="992"/>
  <c r="D25" i="992"/>
  <c r="J19" i="992"/>
  <c r="I1" i="992"/>
  <c r="K67" i="992"/>
  <c r="K66" i="992"/>
  <c r="K69" i="992"/>
  <c r="K65" i="992"/>
  <c r="K68" i="992"/>
  <c r="I45" i="992"/>
  <c r="H47" i="992"/>
  <c r="H48" i="992"/>
  <c r="H46" i="992"/>
  <c r="I11" i="992"/>
  <c r="B59" i="992"/>
  <c r="B67" i="992"/>
  <c r="B66" i="992"/>
  <c r="B65" i="992"/>
  <c r="B68" i="992"/>
  <c r="C66" i="992"/>
  <c r="C65" i="992"/>
  <c r="C68" i="992"/>
  <c r="C67" i="992"/>
  <c r="D65" i="992"/>
  <c r="D68" i="992"/>
  <c r="D67" i="992"/>
  <c r="D66" i="992"/>
  <c r="C45" i="992"/>
  <c r="B52" i="992"/>
  <c r="B48" i="992"/>
  <c r="B46" i="992"/>
  <c r="B47" i="992"/>
  <c r="L14" i="992"/>
  <c r="N68" i="992"/>
  <c r="E68" i="992"/>
  <c r="N67" i="992"/>
  <c r="E67" i="992"/>
  <c r="N66" i="992"/>
  <c r="E66" i="992"/>
  <c r="N65" i="992"/>
  <c r="E65" i="992"/>
  <c r="C74" i="992"/>
  <c r="C73" i="992"/>
  <c r="C72" i="992"/>
  <c r="C75" i="992"/>
  <c r="D73" i="992"/>
  <c r="D72" i="992"/>
  <c r="D75" i="992"/>
  <c r="D74" i="992"/>
  <c r="E72" i="992"/>
  <c r="E75" i="992"/>
  <c r="E74" i="992"/>
  <c r="E73" i="992"/>
  <c r="F75" i="992"/>
  <c r="F74" i="992"/>
  <c r="F73" i="992"/>
  <c r="F72" i="992"/>
  <c r="O67" i="992"/>
  <c r="O66" i="992"/>
  <c r="O65" i="992"/>
  <c r="O68" i="992"/>
  <c r="I69" i="992"/>
  <c r="I65" i="992"/>
  <c r="I68" i="992"/>
  <c r="I67" i="992"/>
  <c r="I66" i="992"/>
  <c r="J68" i="992"/>
  <c r="J67" i="992"/>
  <c r="J66" i="992"/>
  <c r="J69" i="992"/>
  <c r="J65" i="992"/>
  <c r="C58" i="992"/>
  <c r="C57" i="992"/>
  <c r="C59" i="992" s="1"/>
  <c r="D56" i="992"/>
  <c r="L66" i="992"/>
  <c r="N64" i="992"/>
  <c r="L65" i="992"/>
  <c r="L69" i="992" s="1"/>
  <c r="L68" i="992"/>
  <c r="L67" i="992"/>
  <c r="M65" i="992"/>
  <c r="M68" i="992"/>
  <c r="M67" i="992"/>
  <c r="M66" i="992"/>
  <c r="O64" i="992"/>
  <c r="B75" i="992"/>
  <c r="B74" i="992"/>
  <c r="B73" i="992"/>
  <c r="B72" i="992"/>
  <c r="D24" i="991"/>
  <c r="F25" i="991"/>
  <c r="B3" i="991" s="1"/>
  <c r="D25" i="991"/>
  <c r="J19" i="991"/>
  <c r="B59" i="991"/>
  <c r="I11" i="991"/>
  <c r="I1" i="991"/>
  <c r="C45" i="991"/>
  <c r="B52" i="991"/>
  <c r="B48" i="991"/>
  <c r="B47" i="991"/>
  <c r="B46" i="991"/>
  <c r="J45" i="991"/>
  <c r="I48" i="991"/>
  <c r="I47" i="991"/>
  <c r="I46" i="991"/>
  <c r="F71" i="991"/>
  <c r="B71" i="991"/>
  <c r="J64" i="991"/>
  <c r="D64" i="991"/>
  <c r="E71" i="991"/>
  <c r="M64" i="991"/>
  <c r="I64" i="991"/>
  <c r="C64" i="991"/>
  <c r="A16" i="991"/>
  <c r="L64" i="991"/>
  <c r="B64" i="991"/>
  <c r="F3" i="991"/>
  <c r="K64" i="991"/>
  <c r="D3" i="991"/>
  <c r="D71" i="991"/>
  <c r="F64" i="991"/>
  <c r="C71" i="991"/>
  <c r="E64" i="991"/>
  <c r="C58" i="991"/>
  <c r="C57" i="991"/>
  <c r="D56" i="991"/>
  <c r="H49" i="991"/>
  <c r="H50" i="991"/>
  <c r="N68" i="990"/>
  <c r="N67" i="990"/>
  <c r="E67" i="990"/>
  <c r="N66" i="990"/>
  <c r="E66" i="990"/>
  <c r="N65" i="990"/>
  <c r="E65" i="990"/>
  <c r="B67" i="990"/>
  <c r="B66" i="990"/>
  <c r="B65" i="990"/>
  <c r="B68" i="990"/>
  <c r="C66" i="990"/>
  <c r="C65" i="990"/>
  <c r="C68" i="990"/>
  <c r="C67" i="990"/>
  <c r="D65" i="990"/>
  <c r="D68" i="990"/>
  <c r="E68" i="990" s="1"/>
  <c r="D67" i="990"/>
  <c r="D66" i="990"/>
  <c r="I11" i="990"/>
  <c r="I1" i="990"/>
  <c r="K67" i="990"/>
  <c r="K66" i="990"/>
  <c r="K69" i="990"/>
  <c r="K65" i="990"/>
  <c r="K68" i="990"/>
  <c r="O67" i="990"/>
  <c r="O66" i="990"/>
  <c r="O65" i="990"/>
  <c r="O68" i="990"/>
  <c r="I69" i="990"/>
  <c r="I65" i="990"/>
  <c r="I68" i="990"/>
  <c r="I67" i="990"/>
  <c r="I66" i="990"/>
  <c r="J68" i="990"/>
  <c r="J67" i="990"/>
  <c r="J66" i="990"/>
  <c r="J69" i="990"/>
  <c r="J65" i="990"/>
  <c r="B59" i="990"/>
  <c r="C74" i="990"/>
  <c r="C73" i="990"/>
  <c r="C72" i="990"/>
  <c r="C75" i="990"/>
  <c r="L66" i="990"/>
  <c r="N64" i="990"/>
  <c r="L65" i="990"/>
  <c r="L68" i="990"/>
  <c r="L67" i="990"/>
  <c r="M65" i="990"/>
  <c r="M68" i="990"/>
  <c r="M67" i="990"/>
  <c r="M66" i="990"/>
  <c r="O64" i="990"/>
  <c r="B75" i="990"/>
  <c r="B74" i="990"/>
  <c r="B73" i="990"/>
  <c r="B72" i="990"/>
  <c r="C45" i="990"/>
  <c r="B52" i="990"/>
  <c r="B48" i="990"/>
  <c r="B47" i="990"/>
  <c r="B46" i="990"/>
  <c r="D73" i="990"/>
  <c r="D72" i="990"/>
  <c r="D75" i="990"/>
  <c r="D74" i="990"/>
  <c r="E72" i="990"/>
  <c r="E75" i="990"/>
  <c r="E74" i="990"/>
  <c r="E73" i="990"/>
  <c r="F75" i="990"/>
  <c r="F74" i="990"/>
  <c r="F73" i="990"/>
  <c r="F72" i="990"/>
  <c r="C58" i="990"/>
  <c r="C57" i="990"/>
  <c r="D56" i="990"/>
  <c r="J19" i="990"/>
  <c r="B3" i="990" s="1"/>
  <c r="I45" i="990"/>
  <c r="H48" i="990"/>
  <c r="H47" i="990"/>
  <c r="H46" i="990"/>
  <c r="D25" i="989"/>
  <c r="F25" i="989"/>
  <c r="H49" i="989"/>
  <c r="H50" i="989"/>
  <c r="I1" i="989"/>
  <c r="I11" i="989"/>
  <c r="C58" i="989"/>
  <c r="C57" i="989"/>
  <c r="D56" i="989"/>
  <c r="B59" i="989"/>
  <c r="J19" i="989"/>
  <c r="F71" i="989"/>
  <c r="B71" i="989"/>
  <c r="J64" i="989"/>
  <c r="D64" i="989"/>
  <c r="E71" i="989"/>
  <c r="M64" i="989"/>
  <c r="I64" i="989"/>
  <c r="C64" i="989"/>
  <c r="D71" i="989"/>
  <c r="L64" i="989"/>
  <c r="F64" i="989"/>
  <c r="B64" i="989"/>
  <c r="K64" i="989"/>
  <c r="D3" i="989"/>
  <c r="E64" i="989"/>
  <c r="A16" i="989"/>
  <c r="C71" i="989"/>
  <c r="F3" i="989"/>
  <c r="C45" i="989"/>
  <c r="B52" i="989"/>
  <c r="B48" i="989"/>
  <c r="B46" i="989"/>
  <c r="B47" i="989"/>
  <c r="J45" i="989"/>
  <c r="I48" i="989"/>
  <c r="I47" i="989"/>
  <c r="I46" i="989"/>
  <c r="D25" i="988"/>
  <c r="J19" i="988"/>
  <c r="B3" i="988" s="1"/>
  <c r="B67" i="988"/>
  <c r="B66" i="988"/>
  <c r="B65" i="988"/>
  <c r="B69" i="988" s="1"/>
  <c r="B68" i="988"/>
  <c r="E72" i="988"/>
  <c r="E75" i="988"/>
  <c r="E74" i="988"/>
  <c r="E73" i="988"/>
  <c r="F75" i="988"/>
  <c r="F74" i="988"/>
  <c r="F73" i="988"/>
  <c r="F72" i="988"/>
  <c r="B50" i="988"/>
  <c r="B49" i="988"/>
  <c r="D73" i="988"/>
  <c r="D72" i="988"/>
  <c r="D75" i="988"/>
  <c r="D74" i="988"/>
  <c r="M65" i="988"/>
  <c r="M68" i="988"/>
  <c r="M67" i="988"/>
  <c r="O64" i="988"/>
  <c r="M66" i="988"/>
  <c r="B75" i="988"/>
  <c r="B74" i="988"/>
  <c r="B73" i="988"/>
  <c r="B72" i="988"/>
  <c r="I45" i="988"/>
  <c r="H48" i="988"/>
  <c r="H46" i="988"/>
  <c r="H47" i="988"/>
  <c r="O67" i="988"/>
  <c r="O66" i="988"/>
  <c r="O65" i="988"/>
  <c r="O68" i="988"/>
  <c r="C66" i="988"/>
  <c r="C65" i="988"/>
  <c r="C68" i="988"/>
  <c r="C67" i="988"/>
  <c r="D65" i="988"/>
  <c r="D68" i="988"/>
  <c r="E68" i="988" s="1"/>
  <c r="D67" i="988"/>
  <c r="D66" i="988"/>
  <c r="C76" i="988"/>
  <c r="C58" i="988"/>
  <c r="C57" i="988"/>
  <c r="D56" i="988"/>
  <c r="B54" i="988"/>
  <c r="C52" i="988"/>
  <c r="B59" i="988"/>
  <c r="B53" i="988"/>
  <c r="K67" i="988"/>
  <c r="K66" i="988"/>
  <c r="K69" i="988"/>
  <c r="K65" i="988"/>
  <c r="K68" i="988"/>
  <c r="L66" i="988"/>
  <c r="N64" i="988"/>
  <c r="L65" i="988"/>
  <c r="L68" i="988"/>
  <c r="L67" i="988"/>
  <c r="I69" i="988"/>
  <c r="I65" i="988"/>
  <c r="I68" i="988"/>
  <c r="I67" i="988"/>
  <c r="I66" i="988"/>
  <c r="J68" i="988"/>
  <c r="J67" i="988"/>
  <c r="J66" i="988"/>
  <c r="J69" i="988"/>
  <c r="J65" i="988"/>
  <c r="I11" i="988"/>
  <c r="I1" i="988"/>
  <c r="B51" i="988"/>
  <c r="D45" i="988"/>
  <c r="C48" i="988"/>
  <c r="C47" i="988"/>
  <c r="C46" i="988"/>
  <c r="B3" i="987"/>
  <c r="I1" i="987"/>
  <c r="H48" i="987"/>
  <c r="H49" i="987" s="1"/>
  <c r="I48" i="987"/>
  <c r="H47" i="987"/>
  <c r="I47" i="987"/>
  <c r="J19" i="987"/>
  <c r="H46" i="987"/>
  <c r="I11" i="987"/>
  <c r="L66" i="987"/>
  <c r="N64" i="987"/>
  <c r="L65" i="987"/>
  <c r="L68" i="987"/>
  <c r="L67" i="987"/>
  <c r="D73" i="987"/>
  <c r="D72" i="987"/>
  <c r="D75" i="987"/>
  <c r="D74" i="987"/>
  <c r="C74" i="987"/>
  <c r="C73" i="987"/>
  <c r="C72" i="987"/>
  <c r="C75" i="987"/>
  <c r="D45" i="987"/>
  <c r="C48" i="987"/>
  <c r="C47" i="987"/>
  <c r="C46" i="987"/>
  <c r="B67" i="987"/>
  <c r="B66" i="987"/>
  <c r="B65" i="987"/>
  <c r="B68" i="987"/>
  <c r="N68" i="987"/>
  <c r="E68" i="987"/>
  <c r="N67" i="987"/>
  <c r="E67" i="987"/>
  <c r="N66" i="987"/>
  <c r="E66" i="987"/>
  <c r="N65" i="987"/>
  <c r="E65" i="987"/>
  <c r="E72" i="987"/>
  <c r="E75" i="987"/>
  <c r="E74" i="987"/>
  <c r="E73" i="987"/>
  <c r="F75" i="987"/>
  <c r="F74" i="987"/>
  <c r="F73" i="987"/>
  <c r="F72" i="987"/>
  <c r="O67" i="987"/>
  <c r="O66" i="987"/>
  <c r="O65" i="987"/>
  <c r="O68" i="987"/>
  <c r="I49" i="987"/>
  <c r="I51" i="987" s="1"/>
  <c r="I50" i="987"/>
  <c r="M65" i="987"/>
  <c r="M68" i="987"/>
  <c r="M67" i="987"/>
  <c r="M66" i="987"/>
  <c r="O64" i="987"/>
  <c r="B75" i="987"/>
  <c r="B74" i="987"/>
  <c r="B73" i="987"/>
  <c r="B72" i="987"/>
  <c r="C58" i="987"/>
  <c r="C57" i="987"/>
  <c r="D56" i="987"/>
  <c r="B53" i="987"/>
  <c r="H50" i="987"/>
  <c r="C66" i="987"/>
  <c r="C65" i="987"/>
  <c r="C68" i="987"/>
  <c r="C67" i="987"/>
  <c r="D65" i="987"/>
  <c r="D68" i="987"/>
  <c r="D67" i="987"/>
  <c r="D66" i="987"/>
  <c r="B59" i="987"/>
  <c r="I44" i="987"/>
  <c r="B50" i="987"/>
  <c r="B51" i="987" s="1"/>
  <c r="B49" i="987"/>
  <c r="L14" i="987"/>
  <c r="I69" i="987"/>
  <c r="I65" i="987"/>
  <c r="I68" i="987"/>
  <c r="I67" i="987"/>
  <c r="I66" i="987"/>
  <c r="J68" i="987"/>
  <c r="J67" i="987"/>
  <c r="J66" i="987"/>
  <c r="J65" i="987"/>
  <c r="J69" i="987"/>
  <c r="K45" i="987"/>
  <c r="J48" i="987"/>
  <c r="J47" i="987"/>
  <c r="J46" i="987"/>
  <c r="B54" i="987"/>
  <c r="C52" i="987"/>
  <c r="E13" i="986"/>
  <c r="D20" i="986"/>
  <c r="F20" i="986" s="1"/>
  <c r="B24" i="986"/>
  <c r="F24" i="986" s="1"/>
  <c r="C24" i="986"/>
  <c r="D24" i="986" s="1"/>
  <c r="C25" i="986"/>
  <c r="K11" i="986"/>
  <c r="I24" i="986"/>
  <c r="F26" i="986" s="1"/>
  <c r="C71" i="986"/>
  <c r="I16" i="986"/>
  <c r="I1" i="986" s="1"/>
  <c r="J45" i="986"/>
  <c r="I48" i="986"/>
  <c r="I47" i="986"/>
  <c r="I46" i="986"/>
  <c r="H46" i="986"/>
  <c r="H47" i="986"/>
  <c r="H48" i="986"/>
  <c r="E64" i="986"/>
  <c r="I25" i="986"/>
  <c r="F27" i="986" s="1"/>
  <c r="N23" i="986"/>
  <c r="L22" i="986"/>
  <c r="N21" i="986"/>
  <c r="L14" i="986"/>
  <c r="N24" i="986"/>
  <c r="L23" i="986"/>
  <c r="I22" i="986"/>
  <c r="L21" i="986"/>
  <c r="M1" i="986"/>
  <c r="D3" i="986"/>
  <c r="J20" i="986"/>
  <c r="I21" i="986"/>
  <c r="I23" i="986"/>
  <c r="L24" i="986"/>
  <c r="D37" i="986"/>
  <c r="G37" i="986" s="1"/>
  <c r="D38" i="986"/>
  <c r="G38" i="986" s="1"/>
  <c r="F64" i="986"/>
  <c r="D71" i="986"/>
  <c r="C56" i="986"/>
  <c r="B58" i="986"/>
  <c r="B57" i="986"/>
  <c r="F3" i="986"/>
  <c r="I17" i="986"/>
  <c r="J17" i="986" s="1"/>
  <c r="D13" i="986"/>
  <c r="B45" i="986"/>
  <c r="F71" i="986"/>
  <c r="B71" i="986"/>
  <c r="J64" i="986"/>
  <c r="D64" i="986"/>
  <c r="E71" i="986"/>
  <c r="M64" i="986"/>
  <c r="I64" i="986"/>
  <c r="C64" i="986"/>
  <c r="A16" i="986"/>
  <c r="B64" i="986"/>
  <c r="L64" i="986"/>
  <c r="D37" i="985"/>
  <c r="G37" i="985" s="1"/>
  <c r="F20" i="985"/>
  <c r="B24" i="985"/>
  <c r="F24" i="985" s="1"/>
  <c r="C25" i="985"/>
  <c r="M1" i="985"/>
  <c r="L17" i="985"/>
  <c r="I45" i="985"/>
  <c r="H46" i="985"/>
  <c r="H47" i="985"/>
  <c r="H48" i="985"/>
  <c r="C56" i="985"/>
  <c r="B58" i="985"/>
  <c r="B57" i="985"/>
  <c r="K11" i="985"/>
  <c r="L14" i="985" s="1"/>
  <c r="N22" i="985"/>
  <c r="I20" i="985" s="1"/>
  <c r="I24" i="985"/>
  <c r="F26" i="985" s="1"/>
  <c r="B45" i="985"/>
  <c r="I16" i="985"/>
  <c r="J20" i="985"/>
  <c r="I21" i="985"/>
  <c r="I23" i="985"/>
  <c r="L24" i="985"/>
  <c r="D13" i="985"/>
  <c r="G13" i="985"/>
  <c r="C13" i="985"/>
  <c r="I25" i="985"/>
  <c r="F27" i="985" s="1"/>
  <c r="N23" i="985"/>
  <c r="L22" i="985"/>
  <c r="N21" i="985"/>
  <c r="N24" i="985"/>
  <c r="L23" i="985"/>
  <c r="I22" i="985"/>
  <c r="L21" i="985"/>
  <c r="M4" i="985"/>
  <c r="F26" i="984"/>
  <c r="D38" i="984"/>
  <c r="G38" i="984" s="1"/>
  <c r="D37" i="984"/>
  <c r="G37" i="984" s="1"/>
  <c r="F20" i="984"/>
  <c r="F19" i="984"/>
  <c r="K11" i="984"/>
  <c r="L14" i="984" s="1"/>
  <c r="I16" i="984"/>
  <c r="C45" i="984"/>
  <c r="B52" i="984"/>
  <c r="B48" i="984"/>
  <c r="B46" i="984"/>
  <c r="B47" i="984"/>
  <c r="M4" i="984"/>
  <c r="N22" i="984"/>
  <c r="I20" i="984" s="1"/>
  <c r="F25" i="984"/>
  <c r="D25" i="984"/>
  <c r="I25" i="984"/>
  <c r="F27" i="984" s="1"/>
  <c r="N23" i="984"/>
  <c r="L22" i="984"/>
  <c r="N21" i="984"/>
  <c r="N24" i="984"/>
  <c r="L23" i="984"/>
  <c r="I22" i="984"/>
  <c r="L21" i="984"/>
  <c r="L24" i="984"/>
  <c r="M1" i="984"/>
  <c r="J20" i="984"/>
  <c r="I21" i="984"/>
  <c r="I23" i="984"/>
  <c r="G13" i="984"/>
  <c r="C13" i="984"/>
  <c r="H45" i="984"/>
  <c r="C56" i="984"/>
  <c r="B58" i="984"/>
  <c r="B57" i="984"/>
  <c r="L17" i="984"/>
  <c r="D24" i="984"/>
  <c r="C13" i="983"/>
  <c r="B24" i="983"/>
  <c r="F24" i="983" s="1"/>
  <c r="C25" i="983"/>
  <c r="F25" i="983" s="1"/>
  <c r="K11" i="983"/>
  <c r="L17" i="983"/>
  <c r="C45" i="983"/>
  <c r="B52" i="983"/>
  <c r="B48" i="983"/>
  <c r="B46" i="983"/>
  <c r="B47" i="983"/>
  <c r="M4" i="983"/>
  <c r="I16" i="983"/>
  <c r="F19" i="983"/>
  <c r="N22" i="983"/>
  <c r="F20" i="983"/>
  <c r="I25" i="983"/>
  <c r="F27" i="983" s="1"/>
  <c r="N23" i="983"/>
  <c r="L22" i="983"/>
  <c r="N21" i="983"/>
  <c r="L14" i="983"/>
  <c r="N24" i="983"/>
  <c r="L23" i="983"/>
  <c r="I22" i="983"/>
  <c r="L21" i="983"/>
  <c r="L24" i="983"/>
  <c r="I23" i="983"/>
  <c r="M1" i="983"/>
  <c r="I20" i="983"/>
  <c r="D13" i="983"/>
  <c r="H45" i="983"/>
  <c r="C56" i="983"/>
  <c r="B58" i="983"/>
  <c r="B57" i="983"/>
  <c r="J20" i="983"/>
  <c r="I21" i="983"/>
  <c r="I24" i="983"/>
  <c r="F26" i="983" s="1"/>
  <c r="D24" i="983"/>
  <c r="D37" i="982"/>
  <c r="G37" i="982" s="1"/>
  <c r="G38" i="982"/>
  <c r="C13" i="982"/>
  <c r="F20" i="982"/>
  <c r="B24" i="982"/>
  <c r="F24" i="982" s="1"/>
  <c r="I24" i="982"/>
  <c r="F26" i="982" s="1"/>
  <c r="L17" i="982"/>
  <c r="C45" i="982"/>
  <c r="B52" i="982"/>
  <c r="B48" i="982"/>
  <c r="B46" i="982"/>
  <c r="B47" i="982"/>
  <c r="I16" i="982"/>
  <c r="N22" i="982"/>
  <c r="I20" i="982" s="1"/>
  <c r="F25" i="982"/>
  <c r="D25" i="982"/>
  <c r="I25" i="982"/>
  <c r="F27" i="982" s="1"/>
  <c r="N23" i="982"/>
  <c r="L22" i="982"/>
  <c r="N21" i="982"/>
  <c r="N24" i="982"/>
  <c r="L23" i="982"/>
  <c r="I22" i="982"/>
  <c r="L21" i="982"/>
  <c r="L24" i="982"/>
  <c r="M1" i="982"/>
  <c r="J20" i="982"/>
  <c r="I21" i="982"/>
  <c r="I23" i="982"/>
  <c r="D13" i="982"/>
  <c r="H45" i="982"/>
  <c r="C56" i="982"/>
  <c r="B58" i="982"/>
  <c r="B57" i="982"/>
  <c r="D24" i="982"/>
  <c r="G37" i="981"/>
  <c r="F20" i="981"/>
  <c r="K11" i="981"/>
  <c r="L14" i="981" s="1"/>
  <c r="I24" i="981"/>
  <c r="F26" i="981" s="1"/>
  <c r="L17" i="981"/>
  <c r="C45" i="981"/>
  <c r="B52" i="981"/>
  <c r="B48" i="981"/>
  <c r="B46" i="981"/>
  <c r="B47" i="981"/>
  <c r="M4" i="981"/>
  <c r="I16" i="981"/>
  <c r="F19" i="981"/>
  <c r="N22" i="981"/>
  <c r="I20" i="981" s="1"/>
  <c r="F25" i="981"/>
  <c r="D25" i="981"/>
  <c r="I25" i="981"/>
  <c r="F27" i="981" s="1"/>
  <c r="N23" i="981"/>
  <c r="L22" i="981"/>
  <c r="N21" i="981"/>
  <c r="N24" i="981"/>
  <c r="L23" i="981"/>
  <c r="I22" i="981"/>
  <c r="L21" i="981"/>
  <c r="L24" i="981"/>
  <c r="M1" i="981"/>
  <c r="J20" i="981"/>
  <c r="I21" i="981"/>
  <c r="I23" i="981"/>
  <c r="D13" i="981"/>
  <c r="H45" i="981"/>
  <c r="C56" i="981"/>
  <c r="B58" i="981"/>
  <c r="B57" i="981"/>
  <c r="D24" i="981"/>
  <c r="F21" i="980"/>
  <c r="F26" i="980"/>
  <c r="G37" i="980"/>
  <c r="E71" i="980"/>
  <c r="I16" i="980"/>
  <c r="I1" i="980" s="1"/>
  <c r="J64" i="980"/>
  <c r="C64" i="980"/>
  <c r="L64" i="980"/>
  <c r="I25" i="980"/>
  <c r="F27" i="980" s="1"/>
  <c r="N23" i="980"/>
  <c r="L22" i="980"/>
  <c r="N21" i="980"/>
  <c r="L14" i="980"/>
  <c r="L24" i="980"/>
  <c r="M1" i="980"/>
  <c r="L23" i="980"/>
  <c r="N24" i="980"/>
  <c r="B45" i="980"/>
  <c r="C56" i="980"/>
  <c r="B58" i="980"/>
  <c r="B57" i="980"/>
  <c r="I17" i="980"/>
  <c r="J20" i="980"/>
  <c r="I21" i="980"/>
  <c r="I22" i="980"/>
  <c r="D13" i="980"/>
  <c r="H45" i="980"/>
  <c r="E64" i="980"/>
  <c r="C71" i="980"/>
  <c r="F20" i="980"/>
  <c r="L21" i="980"/>
  <c r="N22" i="980"/>
  <c r="I20" i="980" s="1"/>
  <c r="K64" i="980"/>
  <c r="D38" i="979"/>
  <c r="G38" i="979" s="1"/>
  <c r="D37" i="979"/>
  <c r="G37" i="979" s="1"/>
  <c r="F20" i="979"/>
  <c r="B25" i="979"/>
  <c r="K11" i="979"/>
  <c r="I24" i="979"/>
  <c r="F26" i="979" s="1"/>
  <c r="L17" i="979"/>
  <c r="C45" i="979"/>
  <c r="B52" i="979"/>
  <c r="B48" i="979"/>
  <c r="B46" i="979"/>
  <c r="B47" i="979"/>
  <c r="N22" i="979"/>
  <c r="I20" i="979" s="1"/>
  <c r="F25" i="979"/>
  <c r="D25" i="979"/>
  <c r="I25" i="979"/>
  <c r="F27" i="979" s="1"/>
  <c r="N23" i="979"/>
  <c r="L22" i="979"/>
  <c r="N21" i="979"/>
  <c r="L14" i="979"/>
  <c r="N24" i="979"/>
  <c r="L23" i="979"/>
  <c r="I22" i="979"/>
  <c r="L21" i="979"/>
  <c r="L24" i="979"/>
  <c r="M1" i="979"/>
  <c r="I16" i="979"/>
  <c r="J20" i="979"/>
  <c r="I21" i="979"/>
  <c r="I23" i="979"/>
  <c r="D13" i="979"/>
  <c r="G13" i="979"/>
  <c r="H45" i="979"/>
  <c r="C56" i="979"/>
  <c r="B58" i="979"/>
  <c r="B57" i="979"/>
  <c r="D24" i="979"/>
  <c r="F21" i="978"/>
  <c r="G37" i="978"/>
  <c r="C25" i="978"/>
  <c r="L17" i="978"/>
  <c r="M1" i="978"/>
  <c r="I45" i="978"/>
  <c r="H47" i="978"/>
  <c r="H48" i="978"/>
  <c r="H46" i="978"/>
  <c r="C56" i="978"/>
  <c r="B58" i="978"/>
  <c r="B57" i="978"/>
  <c r="B45" i="978"/>
  <c r="F20" i="978"/>
  <c r="N22" i="978"/>
  <c r="I20" i="978" s="1"/>
  <c r="K11" i="978"/>
  <c r="L14" i="978" s="1"/>
  <c r="I16" i="978"/>
  <c r="L21" i="978"/>
  <c r="I24" i="978"/>
  <c r="F26" i="978" s="1"/>
  <c r="D13" i="978"/>
  <c r="I25" i="978"/>
  <c r="F27" i="978" s="1"/>
  <c r="N23" i="978"/>
  <c r="L22" i="978"/>
  <c r="N21" i="978"/>
  <c r="N24" i="978"/>
  <c r="L23" i="978"/>
  <c r="I22" i="978"/>
  <c r="L24" i="978"/>
  <c r="I23" i="978"/>
  <c r="I21" i="978"/>
  <c r="J20" i="978"/>
  <c r="F25" i="978"/>
  <c r="D25" i="978"/>
  <c r="D24" i="978"/>
  <c r="F21" i="977"/>
  <c r="G37" i="977"/>
  <c r="C13" i="977"/>
  <c r="C25" i="977"/>
  <c r="I16" i="977"/>
  <c r="I1" i="977" s="1"/>
  <c r="N68" i="977"/>
  <c r="N67" i="977"/>
  <c r="E67" i="977"/>
  <c r="N66" i="977"/>
  <c r="E66" i="977"/>
  <c r="N65" i="977"/>
  <c r="E65" i="977"/>
  <c r="A16" i="977"/>
  <c r="I25" i="977"/>
  <c r="F27" i="977" s="1"/>
  <c r="N23" i="977"/>
  <c r="L22" i="977"/>
  <c r="N21" i="977"/>
  <c r="L14" i="977"/>
  <c r="N24" i="977"/>
  <c r="L24" i="977"/>
  <c r="M1" i="977"/>
  <c r="D3" i="977"/>
  <c r="L23" i="977"/>
  <c r="B45" i="977"/>
  <c r="F25" i="977"/>
  <c r="D25" i="977"/>
  <c r="C71" i="977"/>
  <c r="F3" i="977"/>
  <c r="I17" i="977"/>
  <c r="J20" i="977"/>
  <c r="I21" i="977"/>
  <c r="I22" i="977"/>
  <c r="D13" i="977"/>
  <c r="H45" i="977"/>
  <c r="F71" i="977"/>
  <c r="B71" i="977"/>
  <c r="J64" i="977"/>
  <c r="D64" i="977"/>
  <c r="E71" i="977"/>
  <c r="M64" i="977"/>
  <c r="I64" i="977"/>
  <c r="C64" i="977"/>
  <c r="D71" i="977"/>
  <c r="L64" i="977"/>
  <c r="F64" i="977"/>
  <c r="B64" i="977"/>
  <c r="C56" i="977"/>
  <c r="B58" i="977"/>
  <c r="B57" i="977"/>
  <c r="F20" i="977"/>
  <c r="L21" i="977"/>
  <c r="N22" i="977"/>
  <c r="I20" i="977" s="1"/>
  <c r="I24" i="977"/>
  <c r="F26" i="977" s="1"/>
  <c r="K64" i="977"/>
  <c r="D24" i="977"/>
  <c r="F21" i="976"/>
  <c r="G37" i="976"/>
  <c r="D38" i="976"/>
  <c r="G38" i="976" s="1"/>
  <c r="C13" i="976"/>
  <c r="D24" i="976"/>
  <c r="C25" i="976"/>
  <c r="F25" i="976" s="1"/>
  <c r="K11" i="976"/>
  <c r="L14" i="976" s="1"/>
  <c r="I16" i="976"/>
  <c r="I1" i="976" s="1"/>
  <c r="I25" i="976"/>
  <c r="F27" i="976" s="1"/>
  <c r="N23" i="976"/>
  <c r="L22" i="976"/>
  <c r="N21" i="976"/>
  <c r="M1" i="976"/>
  <c r="L23" i="976"/>
  <c r="I24" i="976"/>
  <c r="F26" i="976" s="1"/>
  <c r="B45" i="976"/>
  <c r="F71" i="976"/>
  <c r="B71" i="976"/>
  <c r="J64" i="976"/>
  <c r="D64" i="976"/>
  <c r="E71" i="976"/>
  <c r="M64" i="976"/>
  <c r="I64" i="976"/>
  <c r="C64" i="976"/>
  <c r="D71" i="976"/>
  <c r="L64" i="976"/>
  <c r="F64" i="976"/>
  <c r="B64" i="976"/>
  <c r="A16" i="976"/>
  <c r="C71" i="976"/>
  <c r="F3" i="976"/>
  <c r="I17" i="976"/>
  <c r="J20" i="976"/>
  <c r="I21" i="976"/>
  <c r="I22" i="976"/>
  <c r="L24" i="976"/>
  <c r="D13" i="976"/>
  <c r="H45" i="976"/>
  <c r="E64" i="976"/>
  <c r="C56" i="976"/>
  <c r="B58" i="976"/>
  <c r="B57" i="976"/>
  <c r="F20" i="976"/>
  <c r="L21" i="976"/>
  <c r="N22" i="976"/>
  <c r="I20" i="976" s="1"/>
  <c r="N24" i="976"/>
  <c r="K64" i="976"/>
  <c r="D37" i="975"/>
  <c r="G37" i="975" s="1"/>
  <c r="F19" i="975"/>
  <c r="D20" i="975"/>
  <c r="C13" i="975"/>
  <c r="C25" i="975"/>
  <c r="F25" i="975" s="1"/>
  <c r="I45" i="975"/>
  <c r="H47" i="975"/>
  <c r="H46" i="975"/>
  <c r="H48" i="975"/>
  <c r="I17" i="975"/>
  <c r="K11" i="975"/>
  <c r="L14" i="975" s="1"/>
  <c r="L17" i="975"/>
  <c r="F20" i="975"/>
  <c r="N22" i="975"/>
  <c r="I20" i="975" s="1"/>
  <c r="B45" i="975"/>
  <c r="C56" i="975"/>
  <c r="B58" i="975"/>
  <c r="B57" i="975"/>
  <c r="I16" i="975"/>
  <c r="D13" i="975"/>
  <c r="M4" i="975"/>
  <c r="I25" i="975"/>
  <c r="F27" i="975" s="1"/>
  <c r="N23" i="975"/>
  <c r="L22" i="975"/>
  <c r="N21" i="975"/>
  <c r="N24" i="975"/>
  <c r="L23" i="975"/>
  <c r="I22" i="975"/>
  <c r="L21" i="975"/>
  <c r="L24" i="975"/>
  <c r="I23" i="975"/>
  <c r="J20" i="975"/>
  <c r="I21" i="975"/>
  <c r="I24" i="975"/>
  <c r="F26" i="975" s="1"/>
  <c r="D24" i="975"/>
  <c r="D37" i="974"/>
  <c r="G37" i="974" s="1"/>
  <c r="B24" i="974"/>
  <c r="F24" i="974" s="1"/>
  <c r="B25" i="974"/>
  <c r="M1" i="974"/>
  <c r="I25" i="974"/>
  <c r="F27" i="974" s="1"/>
  <c r="N23" i="974"/>
  <c r="L22" i="974"/>
  <c r="N21" i="974"/>
  <c r="N24" i="974"/>
  <c r="L23" i="974"/>
  <c r="I22" i="974"/>
  <c r="L21" i="974"/>
  <c r="C71" i="974"/>
  <c r="C56" i="974"/>
  <c r="B58" i="974"/>
  <c r="B57" i="974"/>
  <c r="L17" i="974"/>
  <c r="F20" i="974"/>
  <c r="D25" i="974"/>
  <c r="B45" i="974"/>
  <c r="F3" i="974"/>
  <c r="K11" i="974"/>
  <c r="L14" i="974" s="1"/>
  <c r="N22" i="974"/>
  <c r="I20" i="974" s="1"/>
  <c r="I24" i="974"/>
  <c r="F26" i="974" s="1"/>
  <c r="D13" i="974"/>
  <c r="G13" i="974"/>
  <c r="C13" i="974"/>
  <c r="H45" i="974"/>
  <c r="F71" i="974"/>
  <c r="B71" i="974"/>
  <c r="J64" i="974"/>
  <c r="D64" i="974"/>
  <c r="E71" i="974"/>
  <c r="M64" i="974"/>
  <c r="I64" i="974"/>
  <c r="C64" i="974"/>
  <c r="A16" i="974"/>
  <c r="D71" i="974"/>
  <c r="L64" i="974"/>
  <c r="F64" i="974"/>
  <c r="B64" i="974"/>
  <c r="I16" i="974"/>
  <c r="J20" i="974"/>
  <c r="I21" i="974"/>
  <c r="I23" i="974"/>
  <c r="L24" i="974"/>
  <c r="K64" i="974"/>
  <c r="J16" i="1"/>
  <c r="J56" i="1"/>
  <c r="R90" i="1"/>
  <c r="J84" i="1"/>
  <c r="K53" i="1"/>
  <c r="J11" i="1"/>
  <c r="J41" i="1"/>
  <c r="K40" i="1"/>
  <c r="K75" i="1"/>
  <c r="K36" i="1"/>
  <c r="R84" i="1"/>
  <c r="R30" i="1"/>
  <c r="Q40" i="1"/>
  <c r="J74" i="1"/>
  <c r="H97" i="1"/>
  <c r="K46" i="1"/>
  <c r="K62" i="1"/>
  <c r="K41" i="1"/>
  <c r="R99" i="1"/>
  <c r="K99" i="1"/>
  <c r="J29" i="1"/>
  <c r="K22" i="1"/>
  <c r="J22" i="1"/>
  <c r="J43" i="1"/>
  <c r="K64" i="1"/>
  <c r="K93" i="1"/>
  <c r="K26" i="1"/>
  <c r="K65" i="1"/>
  <c r="Q3" i="1"/>
  <c r="K3" i="1"/>
  <c r="Q73" i="1"/>
  <c r="K67" i="1"/>
  <c r="J46" i="1"/>
  <c r="R16" i="1"/>
  <c r="Q56" i="1"/>
  <c r="K74" i="1"/>
  <c r="J2" i="1"/>
  <c r="R21" i="1"/>
  <c r="J12" i="1"/>
  <c r="J59" i="1"/>
  <c r="K48" i="1"/>
  <c r="K54" i="1"/>
  <c r="K25" i="1"/>
  <c r="J4" i="1"/>
  <c r="J95" i="1"/>
  <c r="K56" i="1"/>
  <c r="J34" i="1"/>
  <c r="J38" i="1"/>
  <c r="J55" i="1"/>
  <c r="J73" i="1"/>
  <c r="J91" i="1"/>
  <c r="Q91" i="1"/>
  <c r="R43" i="1"/>
  <c r="K30" i="1"/>
  <c r="J77" i="1"/>
  <c r="K73" i="1"/>
  <c r="Q64" i="1"/>
  <c r="J75" i="1"/>
  <c r="K39" i="1"/>
  <c r="J48" i="1"/>
  <c r="K2" i="1"/>
  <c r="J36" i="1"/>
  <c r="K43" i="1"/>
  <c r="K38" i="1"/>
  <c r="K16" i="1"/>
  <c r="K12" i="1"/>
  <c r="K59" i="1"/>
  <c r="J39" i="1"/>
  <c r="K60" i="1"/>
  <c r="J54" i="1"/>
  <c r="Q93" i="1"/>
  <c r="K91" i="1"/>
  <c r="J100" i="1"/>
  <c r="K90" i="1"/>
  <c r="J62" i="1"/>
  <c r="J53" i="1"/>
  <c r="K80" i="1"/>
  <c r="H88" i="1"/>
  <c r="K95" i="1"/>
  <c r="K76" i="1"/>
  <c r="K100" i="1"/>
  <c r="Q80" i="1"/>
  <c r="Q99" i="1"/>
  <c r="H58" i="1"/>
  <c r="Q4" i="1"/>
  <c r="J90" i="1"/>
  <c r="K20" i="1"/>
  <c r="J99" i="1"/>
  <c r="J26" i="1"/>
  <c r="J64" i="1"/>
  <c r="J30" i="1"/>
  <c r="K84" i="1"/>
  <c r="J21" i="1"/>
  <c r="Q95" i="1"/>
  <c r="J65" i="1"/>
  <c r="J93" i="1"/>
  <c r="J60" i="1"/>
  <c r="R62" i="1"/>
  <c r="K21" i="1"/>
  <c r="Q62" i="1"/>
  <c r="K55" i="1"/>
  <c r="K29" i="1"/>
  <c r="J67" i="1"/>
  <c r="J25" i="1"/>
  <c r="K77" i="1"/>
  <c r="J3" i="1"/>
  <c r="J20" i="1"/>
  <c r="K34" i="1"/>
  <c r="J61" i="1"/>
  <c r="R55" i="1"/>
  <c r="J76" i="1"/>
  <c r="J40" i="1"/>
  <c r="D25" i="976" l="1"/>
  <c r="B3" i="989"/>
  <c r="A54" i="1008"/>
  <c r="B5" i="1010"/>
  <c r="C40" i="1012"/>
  <c r="C40" i="1017"/>
  <c r="C40" i="1019"/>
  <c r="M14" i="1019"/>
  <c r="I59" i="1049"/>
  <c r="I59" i="1051"/>
  <c r="I59" i="1053"/>
  <c r="J59" i="1057"/>
  <c r="K65" i="987"/>
  <c r="K68" i="987"/>
  <c r="K67" i="987"/>
  <c r="K66" i="987"/>
  <c r="K69" i="987"/>
  <c r="C40" i="1000"/>
  <c r="K6" i="1004"/>
  <c r="C69" i="1004"/>
  <c r="B33" i="1019"/>
  <c r="E40" i="1019"/>
  <c r="F6" i="1019" s="1"/>
  <c r="D25" i="975"/>
  <c r="I11" i="984"/>
  <c r="C59" i="989"/>
  <c r="C69" i="998"/>
  <c r="G68" i="998"/>
  <c r="F142" i="1000"/>
  <c r="J15" i="1000" s="1"/>
  <c r="I13" i="1000" s="1"/>
  <c r="A54" i="1018"/>
  <c r="B40" i="1019"/>
  <c r="A54" i="1022"/>
  <c r="K44" i="1030"/>
  <c r="H62" i="1033"/>
  <c r="J59" i="1063"/>
  <c r="C74" i="993"/>
  <c r="C73" i="993"/>
  <c r="C72" i="993"/>
  <c r="C75" i="993"/>
  <c r="D25" i="983"/>
  <c r="C59" i="996"/>
  <c r="G68" i="1004"/>
  <c r="G67" i="1005"/>
  <c r="A54" i="1012"/>
  <c r="B33" i="1018"/>
  <c r="B5" i="1036"/>
  <c r="I59" i="1052"/>
  <c r="J59" i="1058"/>
  <c r="J59" i="1069"/>
  <c r="N67" i="988"/>
  <c r="E67" i="988"/>
  <c r="N66" i="988"/>
  <c r="E66" i="988"/>
  <c r="N65" i="988"/>
  <c r="E65" i="988"/>
  <c r="E69" i="988" s="1"/>
  <c r="N68" i="988"/>
  <c r="E40" i="1000"/>
  <c r="F6" i="1000" s="1"/>
  <c r="G68" i="1002"/>
  <c r="G67" i="1004"/>
  <c r="B33" i="1007"/>
  <c r="G65" i="1004"/>
  <c r="C40" i="1015"/>
  <c r="C40" i="1018"/>
  <c r="C142" i="1018"/>
  <c r="B5" i="1023"/>
  <c r="J16" i="1036"/>
  <c r="H59" i="1041"/>
  <c r="D24" i="974"/>
  <c r="C59" i="993"/>
  <c r="F68" i="998"/>
  <c r="G65" i="1006"/>
  <c r="F65" i="1006" s="1"/>
  <c r="C142" i="1007"/>
  <c r="E59" i="1012"/>
  <c r="E59" i="1018"/>
  <c r="C40" i="1021"/>
  <c r="G59" i="1029"/>
  <c r="J16" i="1033"/>
  <c r="J59" i="1059"/>
  <c r="J59" i="1070"/>
  <c r="E40" i="1014"/>
  <c r="F6" i="1014" s="1"/>
  <c r="E142" i="1014"/>
  <c r="D69" i="1001"/>
  <c r="I3" i="1030"/>
  <c r="I4" i="1030" s="1"/>
  <c r="J16" i="1030"/>
  <c r="C69" i="996"/>
  <c r="E69" i="1004"/>
  <c r="J16" i="1027"/>
  <c r="B5" i="1013"/>
  <c r="C69" i="999"/>
  <c r="D76" i="1003"/>
  <c r="E69" i="1003"/>
  <c r="B5" i="1016"/>
  <c r="N3" i="1016"/>
  <c r="N4" i="1016"/>
  <c r="J16" i="1032"/>
  <c r="C69" i="1005"/>
  <c r="C69" i="993"/>
  <c r="B5" i="1025"/>
  <c r="N4" i="1025"/>
  <c r="N3" i="1025"/>
  <c r="B40" i="1009"/>
  <c r="B69" i="995"/>
  <c r="F16" i="1023"/>
  <c r="N3" i="1023"/>
  <c r="N4" i="1023"/>
  <c r="D69" i="990"/>
  <c r="N3" i="1022"/>
  <c r="N4" i="1022"/>
  <c r="E40" i="1021"/>
  <c r="F6" i="1021" s="1"/>
  <c r="M14" i="1021"/>
  <c r="N3" i="1021"/>
  <c r="B40" i="1017"/>
  <c r="D76" i="987"/>
  <c r="B71" i="980"/>
  <c r="D3" i="980"/>
  <c r="B64" i="980"/>
  <c r="I64" i="980"/>
  <c r="F71" i="980"/>
  <c r="A16" i="980"/>
  <c r="F3" i="980"/>
  <c r="F64" i="980"/>
  <c r="M64" i="980"/>
  <c r="D71" i="980"/>
  <c r="D64" i="980"/>
  <c r="M4" i="980"/>
  <c r="K64" i="986"/>
  <c r="M4" i="986"/>
  <c r="K58" i="1071"/>
  <c r="K57" i="1071"/>
  <c r="L56" i="1071"/>
  <c r="K58" i="1070"/>
  <c r="K57" i="1070"/>
  <c r="L56" i="1070"/>
  <c r="K58" i="1069"/>
  <c r="K57" i="1069"/>
  <c r="L56" i="1069"/>
  <c r="K58" i="1067"/>
  <c r="K57" i="1067"/>
  <c r="L56" i="1067"/>
  <c r="K58" i="1066"/>
  <c r="K57" i="1066"/>
  <c r="K59" i="1066" s="1"/>
  <c r="L56" i="1066"/>
  <c r="K58" i="1065"/>
  <c r="K57" i="1065"/>
  <c r="K59" i="1065" s="1"/>
  <c r="L56" i="1065"/>
  <c r="J59" i="1064"/>
  <c r="K58" i="1064"/>
  <c r="K57" i="1064"/>
  <c r="K59" i="1064" s="1"/>
  <c r="L56" i="1064"/>
  <c r="K58" i="1063"/>
  <c r="K57" i="1063"/>
  <c r="L56" i="1063"/>
  <c r="K58" i="1062"/>
  <c r="K57" i="1062"/>
  <c r="L56" i="1062"/>
  <c r="K58" i="1061"/>
  <c r="K57" i="1061"/>
  <c r="K59" i="1061" s="1"/>
  <c r="L56" i="1061"/>
  <c r="M56" i="1060"/>
  <c r="L58" i="1060"/>
  <c r="L57" i="1060"/>
  <c r="L59" i="1060" s="1"/>
  <c r="K58" i="1059"/>
  <c r="K57" i="1059"/>
  <c r="L56" i="1059"/>
  <c r="K58" i="1058"/>
  <c r="K57" i="1058"/>
  <c r="L56" i="1058"/>
  <c r="K58" i="1057"/>
  <c r="K57" i="1057"/>
  <c r="K59" i="1057" s="1"/>
  <c r="L56" i="1057"/>
  <c r="J59" i="1056"/>
  <c r="K58" i="1056"/>
  <c r="K57" i="1056"/>
  <c r="K59" i="1056" s="1"/>
  <c r="L56" i="1056"/>
  <c r="K58" i="1055"/>
  <c r="K57" i="1055"/>
  <c r="K59" i="1055" s="1"/>
  <c r="L56" i="1055"/>
  <c r="K58" i="1054"/>
  <c r="K57" i="1054"/>
  <c r="L56" i="1054"/>
  <c r="K56" i="1053"/>
  <c r="J58" i="1053"/>
  <c r="J57" i="1053"/>
  <c r="K56" i="1052"/>
  <c r="J58" i="1052"/>
  <c r="J57" i="1052"/>
  <c r="K56" i="1051"/>
  <c r="J58" i="1051"/>
  <c r="J57" i="1051"/>
  <c r="J59" i="1051" s="1"/>
  <c r="K56" i="1050"/>
  <c r="J58" i="1050"/>
  <c r="J57" i="1050"/>
  <c r="J59" i="1050" s="1"/>
  <c r="K56" i="1049"/>
  <c r="J58" i="1049"/>
  <c r="J57" i="1049"/>
  <c r="K56" i="1048"/>
  <c r="J58" i="1048"/>
  <c r="J57" i="1048"/>
  <c r="I59" i="1047"/>
  <c r="K56" i="1047"/>
  <c r="J58" i="1047"/>
  <c r="J57" i="1047"/>
  <c r="I59" i="1046"/>
  <c r="K56" i="1046"/>
  <c r="J58" i="1046"/>
  <c r="J57" i="1046"/>
  <c r="I59" i="1045"/>
  <c r="K56" i="1045"/>
  <c r="J58" i="1045"/>
  <c r="J57" i="1045"/>
  <c r="H59" i="1044"/>
  <c r="J56" i="1044"/>
  <c r="I58" i="1044"/>
  <c r="I57" i="1044"/>
  <c r="H59" i="1043"/>
  <c r="J56" i="1043"/>
  <c r="I58" i="1043"/>
  <c r="I57" i="1043"/>
  <c r="H59" i="1042"/>
  <c r="J56" i="1042"/>
  <c r="I57" i="1042"/>
  <c r="I59" i="1042" s="1"/>
  <c r="I58" i="1042"/>
  <c r="J56" i="1041"/>
  <c r="I58" i="1041"/>
  <c r="I57" i="1041"/>
  <c r="H59" i="1040"/>
  <c r="J56" i="1040"/>
  <c r="I57" i="1040"/>
  <c r="I58" i="1040"/>
  <c r="H59" i="1039"/>
  <c r="J56" i="1039"/>
  <c r="I58" i="1039"/>
  <c r="I57" i="1039"/>
  <c r="I59" i="1039" s="1"/>
  <c r="J56" i="1038"/>
  <c r="I58" i="1038"/>
  <c r="I57" i="1038"/>
  <c r="I59" i="1038" s="1"/>
  <c r="J56" i="1037"/>
  <c r="I58" i="1037"/>
  <c r="I57" i="1037"/>
  <c r="J56" i="1036"/>
  <c r="I58" i="1036"/>
  <c r="I57" i="1036"/>
  <c r="J56" i="1035"/>
  <c r="I58" i="1035"/>
  <c r="I57" i="1035"/>
  <c r="I59" i="1035" s="1"/>
  <c r="H59" i="1034"/>
  <c r="J56" i="1034"/>
  <c r="I58" i="1034"/>
  <c r="I57" i="1034"/>
  <c r="I59" i="1034" s="1"/>
  <c r="K51" i="1033"/>
  <c r="N62" i="1033"/>
  <c r="N6" i="1033"/>
  <c r="K9" i="1033"/>
  <c r="E44" i="1033"/>
  <c r="E62" i="1033"/>
  <c r="G59" i="1033"/>
  <c r="I56" i="1033"/>
  <c r="H57" i="1033"/>
  <c r="H58" i="1033"/>
  <c r="E51" i="1032"/>
  <c r="H62" i="1032"/>
  <c r="N6" i="1032"/>
  <c r="K9" i="1032"/>
  <c r="E62" i="1032"/>
  <c r="K3" i="1032"/>
  <c r="K4" i="1032" s="1"/>
  <c r="J3" i="1032"/>
  <c r="J4" i="1032" s="1"/>
  <c r="I3" i="1032"/>
  <c r="I4" i="1032" s="1"/>
  <c r="G59" i="1032"/>
  <c r="I56" i="1032"/>
  <c r="H57" i="1032"/>
  <c r="H59" i="1032" s="1"/>
  <c r="H58" i="1032"/>
  <c r="K44" i="1031"/>
  <c r="J3" i="1031"/>
  <c r="J4" i="1031" s="1"/>
  <c r="G40" i="1031"/>
  <c r="B4" i="1031" s="1"/>
  <c r="D14" i="1031"/>
  <c r="B14" i="1031"/>
  <c r="G14" i="1031"/>
  <c r="F34" i="1031"/>
  <c r="F14" i="1031"/>
  <c r="F33" i="1031"/>
  <c r="E14" i="1031"/>
  <c r="C14" i="1031"/>
  <c r="G59" i="1031"/>
  <c r="I56" i="1031"/>
  <c r="H57" i="1031"/>
  <c r="H59" i="1031" s="1"/>
  <c r="H58" i="1031"/>
  <c r="H62" i="1030"/>
  <c r="K3" i="1030"/>
  <c r="K4" i="1030" s="1"/>
  <c r="K62" i="1030"/>
  <c r="J3" i="1030"/>
  <c r="J4" i="1030" s="1"/>
  <c r="N6" i="1030"/>
  <c r="K9" i="1030"/>
  <c r="E62" i="1030"/>
  <c r="G59" i="1030"/>
  <c r="I56" i="1030"/>
  <c r="H57" i="1030"/>
  <c r="H58" i="1030"/>
  <c r="J16" i="1029"/>
  <c r="H62" i="1029"/>
  <c r="K44" i="1029"/>
  <c r="N62" i="1029"/>
  <c r="K51" i="1029"/>
  <c r="E44" i="1029"/>
  <c r="E62" i="1029"/>
  <c r="A53" i="1029"/>
  <c r="N6" i="1029" s="1"/>
  <c r="I3" i="1029"/>
  <c r="I4" i="1029" s="1"/>
  <c r="J3" i="1029"/>
  <c r="J4" i="1029" s="1"/>
  <c r="K3" i="1029"/>
  <c r="K4" i="1029" s="1"/>
  <c r="I56" i="1029"/>
  <c r="H57" i="1029"/>
  <c r="H58" i="1029"/>
  <c r="K62" i="1028"/>
  <c r="N62" i="1028"/>
  <c r="A53" i="1028"/>
  <c r="N6" i="1028" s="1"/>
  <c r="K3" i="1028"/>
  <c r="K4" i="1028" s="1"/>
  <c r="I3" i="1028"/>
  <c r="I4" i="1028" s="1"/>
  <c r="J3" i="1028"/>
  <c r="J4" i="1028" s="1"/>
  <c r="G59" i="1028"/>
  <c r="I56" i="1028"/>
  <c r="H57" i="1028"/>
  <c r="H58" i="1028"/>
  <c r="H62" i="1027"/>
  <c r="A53" i="1027"/>
  <c r="N6" i="1027" s="1"/>
  <c r="E44" i="1027"/>
  <c r="I56" i="1027"/>
  <c r="H57" i="1027"/>
  <c r="H59" i="1027" s="1"/>
  <c r="H58" i="1027"/>
  <c r="J16" i="1026"/>
  <c r="H62" i="1026"/>
  <c r="J3" i="1026"/>
  <c r="J4" i="1026" s="1"/>
  <c r="K62" i="1026"/>
  <c r="N62" i="1026"/>
  <c r="K3" i="1026"/>
  <c r="K4" i="1026" s="1"/>
  <c r="E62" i="1026"/>
  <c r="A53" i="1026"/>
  <c r="N6" i="1026" s="1"/>
  <c r="G59" i="1026"/>
  <c r="I56" i="1026"/>
  <c r="H58" i="1026"/>
  <c r="H57" i="1026"/>
  <c r="D51" i="1025"/>
  <c r="N62" i="1025"/>
  <c r="E16" i="1025"/>
  <c r="F16" i="1025"/>
  <c r="C142" i="1025"/>
  <c r="D16" i="1025"/>
  <c r="J3" i="1025" s="1"/>
  <c r="J4" i="1025" s="1"/>
  <c r="B16" i="1025"/>
  <c r="I15" i="1025"/>
  <c r="D15" i="1025"/>
  <c r="I9" i="1025"/>
  <c r="C15" i="1025"/>
  <c r="F15" i="1025"/>
  <c r="B15" i="1025"/>
  <c r="E15" i="1025"/>
  <c r="I3" i="1025"/>
  <c r="I4" i="1025" s="1"/>
  <c r="F59" i="1025"/>
  <c r="I6" i="1025" s="1"/>
  <c r="E50" i="1025"/>
  <c r="E51" i="1025" s="1"/>
  <c r="E49" i="1025"/>
  <c r="E62" i="1025" s="1"/>
  <c r="G58" i="1025"/>
  <c r="G57" i="1025"/>
  <c r="H56" i="1025"/>
  <c r="C53" i="1025"/>
  <c r="I3" i="1024"/>
  <c r="I4" i="1024" s="1"/>
  <c r="J62" i="1024"/>
  <c r="F33" i="1024"/>
  <c r="B14" i="1024"/>
  <c r="J3" i="1024"/>
  <c r="J4" i="1024" s="1"/>
  <c r="A53" i="1024"/>
  <c r="N6" i="1024" s="1"/>
  <c r="E62" i="1024"/>
  <c r="D14" i="1024"/>
  <c r="G14" i="1024"/>
  <c r="K3" i="1024"/>
  <c r="K4" i="1024" s="1"/>
  <c r="C14" i="1024"/>
  <c r="E14" i="1024"/>
  <c r="F34" i="1024"/>
  <c r="K50" i="1024"/>
  <c r="K49" i="1024"/>
  <c r="G58" i="1024"/>
  <c r="G57" i="1024"/>
  <c r="H56" i="1024"/>
  <c r="B16" i="1023"/>
  <c r="D16" i="1023"/>
  <c r="E16" i="1023"/>
  <c r="D15" i="1023"/>
  <c r="I15" i="1023"/>
  <c r="I9" i="1023"/>
  <c r="C15" i="1023"/>
  <c r="F15" i="1023"/>
  <c r="E15" i="1023"/>
  <c r="J16" i="1023" s="1"/>
  <c r="B15" i="1023"/>
  <c r="F59" i="1023"/>
  <c r="I6" i="1023" s="1"/>
  <c r="E50" i="1023"/>
  <c r="H62" i="1023" s="1"/>
  <c r="E49" i="1023"/>
  <c r="G58" i="1023"/>
  <c r="G57" i="1023"/>
  <c r="H56" i="1023"/>
  <c r="C53" i="1023"/>
  <c r="K50" i="1023"/>
  <c r="K44" i="1023" s="1"/>
  <c r="K49" i="1023"/>
  <c r="K51" i="1023" s="1"/>
  <c r="E51" i="1023"/>
  <c r="K62" i="1022"/>
  <c r="N62" i="1022"/>
  <c r="F15" i="1022"/>
  <c r="B15" i="1022"/>
  <c r="D15" i="1022"/>
  <c r="I15" i="1022"/>
  <c r="I9" i="1022"/>
  <c r="C15" i="1022"/>
  <c r="E15" i="1022"/>
  <c r="C142" i="1022"/>
  <c r="D16" i="1022"/>
  <c r="F16" i="1022"/>
  <c r="B16" i="1022"/>
  <c r="C16" i="1022"/>
  <c r="E16" i="1022"/>
  <c r="C53" i="1022"/>
  <c r="G58" i="1022"/>
  <c r="G57" i="1022"/>
  <c r="G59" i="1022" s="1"/>
  <c r="H56" i="1022"/>
  <c r="E50" i="1022"/>
  <c r="E51" i="1022" s="1"/>
  <c r="E49" i="1022"/>
  <c r="E44" i="1022" s="1"/>
  <c r="I14" i="1021"/>
  <c r="K51" i="1021"/>
  <c r="N62" i="1021"/>
  <c r="B33" i="1021"/>
  <c r="B40" i="1021"/>
  <c r="D40" i="1021" s="1"/>
  <c r="G40" i="1021" s="1"/>
  <c r="B4" i="1021" s="1"/>
  <c r="C15" i="1021"/>
  <c r="I3" i="1021" s="1"/>
  <c r="I4" i="1021" s="1"/>
  <c r="F15" i="1021"/>
  <c r="D15" i="1021"/>
  <c r="J3" i="1021" s="1"/>
  <c r="J4" i="1021" s="1"/>
  <c r="B15" i="1021"/>
  <c r="I15" i="1021"/>
  <c r="E15" i="1021"/>
  <c r="K3" i="1021" s="1"/>
  <c r="K4" i="1021" s="1"/>
  <c r="I9" i="1021"/>
  <c r="E50" i="1021"/>
  <c r="E51" i="1021" s="1"/>
  <c r="E49" i="1021"/>
  <c r="E62" i="1021" s="1"/>
  <c r="E44" i="1021"/>
  <c r="C53" i="1021"/>
  <c r="G58" i="1021"/>
  <c r="G57" i="1021"/>
  <c r="H56" i="1021"/>
  <c r="G40" i="1020"/>
  <c r="B4" i="1020" s="1"/>
  <c r="F69" i="1020"/>
  <c r="D62" i="1020"/>
  <c r="N5" i="1020" s="1"/>
  <c r="D16" i="1020"/>
  <c r="E59" i="1020"/>
  <c r="K48" i="1020"/>
  <c r="K47" i="1020"/>
  <c r="M62" i="1020" s="1"/>
  <c r="K46" i="1020"/>
  <c r="J62" i="1020" s="1"/>
  <c r="D50" i="1020"/>
  <c r="D51" i="1020" s="1"/>
  <c r="D49" i="1020"/>
  <c r="D44" i="1020" s="1"/>
  <c r="K6" i="1020" s="1"/>
  <c r="E48" i="1020"/>
  <c r="E47" i="1020"/>
  <c r="G62" i="1020" s="1"/>
  <c r="I14" i="1020" s="1"/>
  <c r="E46" i="1020"/>
  <c r="J50" i="1020"/>
  <c r="J44" i="1020" s="1"/>
  <c r="J49" i="1020"/>
  <c r="D53" i="1020"/>
  <c r="E52" i="1020"/>
  <c r="E54" i="1020" s="1"/>
  <c r="D54" i="1020"/>
  <c r="G56" i="1020"/>
  <c r="F58" i="1020"/>
  <c r="F57" i="1020"/>
  <c r="F69" i="1019"/>
  <c r="E59" i="1019"/>
  <c r="D50" i="1019"/>
  <c r="D51" i="1019" s="1"/>
  <c r="D49" i="1019"/>
  <c r="D44" i="1019" s="1"/>
  <c r="K6" i="1019" s="1"/>
  <c r="E48" i="1019"/>
  <c r="E47" i="1019"/>
  <c r="G62" i="1019" s="1"/>
  <c r="I14" i="1019" s="1"/>
  <c r="E46" i="1019"/>
  <c r="D62" i="1019" s="1"/>
  <c r="N5" i="1019" s="1"/>
  <c r="E52" i="1019"/>
  <c r="E54" i="1019" s="1"/>
  <c r="D54" i="1019"/>
  <c r="D40" i="1019"/>
  <c r="G40" i="1019" s="1"/>
  <c r="B4" i="1019" s="1"/>
  <c r="D53" i="1019"/>
  <c r="K50" i="1019"/>
  <c r="K44" i="1019" s="1"/>
  <c r="K49" i="1019"/>
  <c r="K51" i="1019" s="1"/>
  <c r="G56" i="1019"/>
  <c r="F58" i="1019"/>
  <c r="F57" i="1019"/>
  <c r="E14" i="1019"/>
  <c r="G14" i="1019"/>
  <c r="B14" i="1019"/>
  <c r="F14" i="1019"/>
  <c r="D14" i="1019"/>
  <c r="C14" i="1019"/>
  <c r="F33" i="1019"/>
  <c r="B5" i="1019" s="1"/>
  <c r="F34" i="1019"/>
  <c r="F142" i="1018"/>
  <c r="J15" i="1018" s="1"/>
  <c r="I13" i="1018" s="1"/>
  <c r="I14" i="1018" s="1"/>
  <c r="E40" i="1018"/>
  <c r="F6" i="1018" s="1"/>
  <c r="I9" i="1018"/>
  <c r="F15" i="1018"/>
  <c r="C15" i="1018"/>
  <c r="B15" i="1018"/>
  <c r="E15" i="1018"/>
  <c r="D15" i="1018"/>
  <c r="D44" i="1018"/>
  <c r="K6" i="1018" s="1"/>
  <c r="F69" i="1018"/>
  <c r="D16" i="1018" s="1"/>
  <c r="E50" i="1018"/>
  <c r="E51" i="1018" s="1"/>
  <c r="E49" i="1018"/>
  <c r="E44" i="1018" s="1"/>
  <c r="D14" i="1018"/>
  <c r="C14" i="1018"/>
  <c r="G14" i="1018"/>
  <c r="B14" i="1018"/>
  <c r="F14" i="1018"/>
  <c r="E14" i="1018"/>
  <c r="F33" i="1018"/>
  <c r="F34" i="1018"/>
  <c r="K48" i="1018"/>
  <c r="K47" i="1018"/>
  <c r="M62" i="1018" s="1"/>
  <c r="K46" i="1018"/>
  <c r="J62" i="1018" s="1"/>
  <c r="G56" i="1018"/>
  <c r="F58" i="1018"/>
  <c r="F57" i="1018"/>
  <c r="J50" i="1018"/>
  <c r="J49" i="1018"/>
  <c r="J51" i="1018" s="1"/>
  <c r="D40" i="1018"/>
  <c r="D51" i="1017"/>
  <c r="I44" i="1017"/>
  <c r="M14" i="1017"/>
  <c r="F69" i="1017"/>
  <c r="B16" i="1017" s="1"/>
  <c r="I9" i="1017"/>
  <c r="E15" i="1017"/>
  <c r="D15" i="1017"/>
  <c r="B15" i="1017"/>
  <c r="F15" i="1017"/>
  <c r="C15" i="1017"/>
  <c r="B33" i="1017"/>
  <c r="G14" i="1017" s="1"/>
  <c r="D40" i="1017"/>
  <c r="G40" i="1017" s="1"/>
  <c r="B4" i="1017" s="1"/>
  <c r="E50" i="1017"/>
  <c r="E51" i="1017" s="1"/>
  <c r="E49" i="1017"/>
  <c r="E44" i="1017" s="1"/>
  <c r="G56" i="1017"/>
  <c r="F58" i="1017"/>
  <c r="F57" i="1017"/>
  <c r="E16" i="1017"/>
  <c r="C16" i="1017"/>
  <c r="C142" i="1017"/>
  <c r="E142" i="1017"/>
  <c r="F142" i="1017"/>
  <c r="J15" i="1017" s="1"/>
  <c r="I13" i="1017" s="1"/>
  <c r="I14" i="1017" s="1"/>
  <c r="D142" i="1017"/>
  <c r="J50" i="1017"/>
  <c r="J44" i="1017" s="1"/>
  <c r="J49" i="1017"/>
  <c r="J51" i="1017" s="1"/>
  <c r="D53" i="1017"/>
  <c r="K48" i="1017"/>
  <c r="K47" i="1017"/>
  <c r="M62" i="1017" s="1"/>
  <c r="K46" i="1017"/>
  <c r="J62" i="1017" s="1"/>
  <c r="K44" i="1016"/>
  <c r="N62" i="1016"/>
  <c r="B16" i="1016"/>
  <c r="D16" i="1016"/>
  <c r="F16" i="1016"/>
  <c r="C16" i="1016"/>
  <c r="F59" i="1016"/>
  <c r="I6" i="1016" s="1"/>
  <c r="E48" i="1016"/>
  <c r="E47" i="1016"/>
  <c r="G62" i="1016" s="1"/>
  <c r="I14" i="1016" s="1"/>
  <c r="E46" i="1016"/>
  <c r="D62" i="1016" s="1"/>
  <c r="N5" i="1016" s="1"/>
  <c r="D53" i="1016"/>
  <c r="E52" i="1016"/>
  <c r="E54" i="1016" s="1"/>
  <c r="D54" i="1016"/>
  <c r="A54" i="1016" s="1"/>
  <c r="D50" i="1016"/>
  <c r="D49" i="1016"/>
  <c r="G58" i="1016"/>
  <c r="G57" i="1016"/>
  <c r="G59" i="1016" s="1"/>
  <c r="H56" i="1016"/>
  <c r="B33" i="1015"/>
  <c r="G14" i="1015" s="1"/>
  <c r="B40" i="1015"/>
  <c r="E40" i="1015"/>
  <c r="F6" i="1015" s="1"/>
  <c r="F69" i="1015"/>
  <c r="C16" i="1015" s="1"/>
  <c r="E59" i="1015"/>
  <c r="D40" i="1015"/>
  <c r="K50" i="1015"/>
  <c r="K44" i="1015" s="1"/>
  <c r="K49" i="1015"/>
  <c r="K62" i="1015" s="1"/>
  <c r="F14" i="1015"/>
  <c r="B14" i="1015"/>
  <c r="C14" i="1015"/>
  <c r="G56" i="1015"/>
  <c r="F58" i="1015"/>
  <c r="F57" i="1015"/>
  <c r="D53" i="1015"/>
  <c r="D44" i="1015"/>
  <c r="K6" i="1015" s="1"/>
  <c r="K51" i="1015"/>
  <c r="E52" i="1015"/>
  <c r="E54" i="1015" s="1"/>
  <c r="D54" i="1015"/>
  <c r="A54" i="1015" s="1"/>
  <c r="D50" i="1015"/>
  <c r="D51" i="1015" s="1"/>
  <c r="D49" i="1015"/>
  <c r="E16" i="1015"/>
  <c r="F142" i="1015"/>
  <c r="J15" i="1015" s="1"/>
  <c r="I13" i="1015" s="1"/>
  <c r="D142" i="1015"/>
  <c r="C142" i="1015"/>
  <c r="E142" i="1015"/>
  <c r="E48" i="1015"/>
  <c r="E47" i="1015"/>
  <c r="G62" i="1015" s="1"/>
  <c r="E46" i="1015"/>
  <c r="D62" i="1015" s="1"/>
  <c r="N5" i="1015" s="1"/>
  <c r="D14" i="1014"/>
  <c r="C51" i="1014"/>
  <c r="F69" i="1014"/>
  <c r="D40" i="1014"/>
  <c r="G40" i="1014" s="1"/>
  <c r="B4" i="1014" s="1"/>
  <c r="E59" i="1014"/>
  <c r="J50" i="1014"/>
  <c r="J44" i="1014" s="1"/>
  <c r="J49" i="1014"/>
  <c r="J51" i="1014" s="1"/>
  <c r="D50" i="1014"/>
  <c r="D51" i="1014" s="1"/>
  <c r="D49" i="1014"/>
  <c r="D44" i="1014" s="1"/>
  <c r="K6" i="1014" s="1"/>
  <c r="G56" i="1014"/>
  <c r="F58" i="1014"/>
  <c r="F57" i="1014"/>
  <c r="D53" i="1014"/>
  <c r="E52" i="1014"/>
  <c r="E54" i="1014" s="1"/>
  <c r="D54" i="1014"/>
  <c r="K48" i="1014"/>
  <c r="K47" i="1014"/>
  <c r="M62" i="1014" s="1"/>
  <c r="K46" i="1014"/>
  <c r="J62" i="1014" s="1"/>
  <c r="E48" i="1014"/>
  <c r="E47" i="1014"/>
  <c r="G62" i="1014" s="1"/>
  <c r="I14" i="1014" s="1"/>
  <c r="E46" i="1014"/>
  <c r="D62" i="1014" s="1"/>
  <c r="N5" i="1014" s="1"/>
  <c r="F69" i="1013"/>
  <c r="K48" i="1013"/>
  <c r="K47" i="1013"/>
  <c r="M62" i="1013" s="1"/>
  <c r="K46" i="1013"/>
  <c r="J62" i="1013" s="1"/>
  <c r="G56" i="1013"/>
  <c r="F58" i="1013"/>
  <c r="F57" i="1013"/>
  <c r="D50" i="1013"/>
  <c r="D51" i="1013" s="1"/>
  <c r="D49" i="1013"/>
  <c r="D44" i="1013" s="1"/>
  <c r="K6" i="1013" s="1"/>
  <c r="E48" i="1013"/>
  <c r="E47" i="1013"/>
  <c r="G62" i="1013" s="1"/>
  <c r="I14" i="1013" s="1"/>
  <c r="E46" i="1013"/>
  <c r="D62" i="1013" s="1"/>
  <c r="N5" i="1013" s="1"/>
  <c r="E52" i="1013"/>
  <c r="E54" i="1013" s="1"/>
  <c r="D54" i="1013"/>
  <c r="A54" i="1013" s="1"/>
  <c r="J50" i="1013"/>
  <c r="J44" i="1013" s="1"/>
  <c r="J49" i="1013"/>
  <c r="J51" i="1013" s="1"/>
  <c r="D53" i="1013"/>
  <c r="F142" i="1012"/>
  <c r="J15" i="1012" s="1"/>
  <c r="I13" i="1012" s="1"/>
  <c r="I14" i="1012" s="1"/>
  <c r="E40" i="1012"/>
  <c r="F6" i="1012" s="1"/>
  <c r="B33" i="1012"/>
  <c r="F14" i="1012" s="1"/>
  <c r="B40" i="1012"/>
  <c r="D40" i="1012" s="1"/>
  <c r="G40" i="1012" s="1"/>
  <c r="B4" i="1012" s="1"/>
  <c r="M14" i="1012"/>
  <c r="I9" i="1012"/>
  <c r="B15" i="1012"/>
  <c r="E15" i="1012"/>
  <c r="D15" i="1012"/>
  <c r="F15" i="1012"/>
  <c r="C15" i="1012"/>
  <c r="F69" i="1012"/>
  <c r="E50" i="1012"/>
  <c r="E51" i="1012" s="1"/>
  <c r="E49" i="1012"/>
  <c r="E44" i="1012" s="1"/>
  <c r="G56" i="1012"/>
  <c r="F58" i="1012"/>
  <c r="F57" i="1012"/>
  <c r="K48" i="1012"/>
  <c r="K47" i="1012"/>
  <c r="M62" i="1012" s="1"/>
  <c r="K46" i="1012"/>
  <c r="C53" i="1012" s="1"/>
  <c r="E14" i="1012"/>
  <c r="D14" i="1012"/>
  <c r="J50" i="1012"/>
  <c r="J44" i="1012" s="1"/>
  <c r="J49" i="1012"/>
  <c r="J51" i="1012" s="1"/>
  <c r="C44" i="1011"/>
  <c r="F69" i="1011"/>
  <c r="E48" i="1011"/>
  <c r="E47" i="1011"/>
  <c r="G62" i="1011" s="1"/>
  <c r="I14" i="1011" s="1"/>
  <c r="E46" i="1011"/>
  <c r="D62" i="1011" s="1"/>
  <c r="N5" i="1011" s="1"/>
  <c r="J50" i="1011"/>
  <c r="J49" i="1011"/>
  <c r="J51" i="1011" s="1"/>
  <c r="D53" i="1011"/>
  <c r="E52" i="1011"/>
  <c r="E54" i="1011" s="1"/>
  <c r="D54" i="1011"/>
  <c r="G56" i="1011"/>
  <c r="F58" i="1011"/>
  <c r="F57" i="1011"/>
  <c r="K48" i="1011"/>
  <c r="K47" i="1011"/>
  <c r="M62" i="1011" s="1"/>
  <c r="K46" i="1011"/>
  <c r="J62" i="1011" s="1"/>
  <c r="D51" i="1011"/>
  <c r="D50" i="1011"/>
  <c r="D49" i="1011"/>
  <c r="D44" i="1011" s="1"/>
  <c r="K6" i="1011" s="1"/>
  <c r="J44" i="1011"/>
  <c r="J44" i="1010"/>
  <c r="F69" i="1010"/>
  <c r="E59" i="1010"/>
  <c r="C142" i="1010"/>
  <c r="D50" i="1010"/>
  <c r="D51" i="1010" s="1"/>
  <c r="D49" i="1010"/>
  <c r="D44" i="1010" s="1"/>
  <c r="K6" i="1010" s="1"/>
  <c r="E48" i="1010"/>
  <c r="E47" i="1010"/>
  <c r="G62" i="1010" s="1"/>
  <c r="I14" i="1010" s="1"/>
  <c r="E46" i="1010"/>
  <c r="D62" i="1010" s="1"/>
  <c r="N5" i="1010" s="1"/>
  <c r="G56" i="1010"/>
  <c r="F58" i="1010"/>
  <c r="F57" i="1010"/>
  <c r="D53" i="1010"/>
  <c r="K50" i="1010"/>
  <c r="K44" i="1010" s="1"/>
  <c r="K49" i="1010"/>
  <c r="K51" i="1010" s="1"/>
  <c r="E52" i="1010"/>
  <c r="E54" i="1010" s="1"/>
  <c r="D54" i="1010"/>
  <c r="A54" i="1010" s="1"/>
  <c r="I14" i="1009"/>
  <c r="C40" i="1009"/>
  <c r="M14" i="1009"/>
  <c r="B33" i="1009"/>
  <c r="D14" i="1009" s="1"/>
  <c r="E40" i="1009"/>
  <c r="F6" i="1009" s="1"/>
  <c r="C15" i="1009"/>
  <c r="I15" i="1009"/>
  <c r="F15" i="1009"/>
  <c r="D15" i="1009"/>
  <c r="B15" i="1009"/>
  <c r="E15" i="1009"/>
  <c r="I9" i="1009"/>
  <c r="D44" i="1009"/>
  <c r="K6" i="1009" s="1"/>
  <c r="F69" i="1009"/>
  <c r="E59" i="1009"/>
  <c r="E50" i="1009"/>
  <c r="H62" i="1009" s="1"/>
  <c r="E49" i="1009"/>
  <c r="E62" i="1009" s="1"/>
  <c r="J50" i="1009"/>
  <c r="J44" i="1009" s="1"/>
  <c r="J49" i="1009"/>
  <c r="G56" i="1009"/>
  <c r="F58" i="1009"/>
  <c r="F57" i="1009"/>
  <c r="F14" i="1009"/>
  <c r="D40" i="1009"/>
  <c r="K48" i="1009"/>
  <c r="K47" i="1009"/>
  <c r="M62" i="1009" s="1"/>
  <c r="K46" i="1009"/>
  <c r="J62" i="1009" s="1"/>
  <c r="E40" i="1008"/>
  <c r="F6" i="1008" s="1"/>
  <c r="F142" i="1008"/>
  <c r="J15" i="1008" s="1"/>
  <c r="I13" i="1008" s="1"/>
  <c r="I14" i="1008" s="1"/>
  <c r="E15" i="1008"/>
  <c r="B15" i="1008"/>
  <c r="D15" i="1008"/>
  <c r="I9" i="1008"/>
  <c r="C15" i="1008"/>
  <c r="F15" i="1008"/>
  <c r="F69" i="1008"/>
  <c r="E16" i="1008" s="1"/>
  <c r="B40" i="1008"/>
  <c r="B33" i="1008"/>
  <c r="C40" i="1008"/>
  <c r="D40" i="1008" s="1"/>
  <c r="G40" i="1008" s="1"/>
  <c r="B4" i="1008" s="1"/>
  <c r="G56" i="1008"/>
  <c r="F58" i="1008"/>
  <c r="F57" i="1008"/>
  <c r="J50" i="1008"/>
  <c r="J44" i="1008" s="1"/>
  <c r="J49" i="1008"/>
  <c r="E50" i="1008"/>
  <c r="E51" i="1008" s="1"/>
  <c r="E49" i="1008"/>
  <c r="K48" i="1008"/>
  <c r="K47" i="1008"/>
  <c r="M62" i="1008" s="1"/>
  <c r="K46" i="1008"/>
  <c r="J62" i="1008" s="1"/>
  <c r="J51" i="1008"/>
  <c r="C40" i="1007"/>
  <c r="D40" i="1007" s="1"/>
  <c r="G40" i="1007" s="1"/>
  <c r="B4" i="1007" s="1"/>
  <c r="F69" i="1007"/>
  <c r="E59" i="1007"/>
  <c r="D53" i="1007"/>
  <c r="E14" i="1007"/>
  <c r="F34" i="1007"/>
  <c r="D14" i="1007"/>
  <c r="F14" i="1007"/>
  <c r="C14" i="1007"/>
  <c r="G14" i="1007"/>
  <c r="B14" i="1007"/>
  <c r="F33" i="1007"/>
  <c r="J50" i="1007"/>
  <c r="J44" i="1007" s="1"/>
  <c r="J49" i="1007"/>
  <c r="E48" i="1007"/>
  <c r="E47" i="1007"/>
  <c r="G62" i="1007" s="1"/>
  <c r="I14" i="1007" s="1"/>
  <c r="E46" i="1007"/>
  <c r="D62" i="1007" s="1"/>
  <c r="N5" i="1007" s="1"/>
  <c r="K48" i="1007"/>
  <c r="K47" i="1007"/>
  <c r="M62" i="1007" s="1"/>
  <c r="K46" i="1007"/>
  <c r="J62" i="1007" s="1"/>
  <c r="D50" i="1007"/>
  <c r="D51" i="1007" s="1"/>
  <c r="D49" i="1007"/>
  <c r="D44" i="1007" s="1"/>
  <c r="K6" i="1007" s="1"/>
  <c r="E52" i="1007"/>
  <c r="E54" i="1007" s="1"/>
  <c r="D54" i="1007"/>
  <c r="G56" i="1007"/>
  <c r="F58" i="1007"/>
  <c r="F57" i="1007"/>
  <c r="B44" i="1006"/>
  <c r="H44" i="1006"/>
  <c r="C40" i="1006"/>
  <c r="E40" i="1006"/>
  <c r="F6" i="1006" s="1"/>
  <c r="B40" i="1006"/>
  <c r="B33" i="1006"/>
  <c r="C14" i="1006" s="1"/>
  <c r="M14" i="1006"/>
  <c r="D59" i="1006"/>
  <c r="G68" i="1006"/>
  <c r="F68" i="1006" s="1"/>
  <c r="G67" i="1006"/>
  <c r="F67" i="1006" s="1"/>
  <c r="C54" i="1006"/>
  <c r="D52" i="1006"/>
  <c r="E53" i="1006"/>
  <c r="B51" i="1006"/>
  <c r="I50" i="1006"/>
  <c r="I44" i="1006" s="1"/>
  <c r="I49" i="1006"/>
  <c r="I51" i="1006" s="1"/>
  <c r="D40" i="1006"/>
  <c r="F56" i="1006"/>
  <c r="E58" i="1006"/>
  <c r="E57" i="1006"/>
  <c r="E59" i="1006" s="1"/>
  <c r="E45" i="1006"/>
  <c r="D48" i="1006"/>
  <c r="D47" i="1006"/>
  <c r="D46" i="1006"/>
  <c r="K45" i="1006"/>
  <c r="J48" i="1006"/>
  <c r="J47" i="1006"/>
  <c r="J46" i="1006"/>
  <c r="D14" i="1006"/>
  <c r="C50" i="1006"/>
  <c r="C51" i="1006" s="1"/>
  <c r="C49" i="1006"/>
  <c r="C44" i="1006" s="1"/>
  <c r="H51" i="1006"/>
  <c r="F68" i="1005"/>
  <c r="F69" i="1005" s="1"/>
  <c r="D69" i="1005"/>
  <c r="E69" i="1005"/>
  <c r="F142" i="1005" s="1"/>
  <c r="J15" i="1005" s="1"/>
  <c r="I13" i="1005" s="1"/>
  <c r="B69" i="1005"/>
  <c r="L69" i="1005"/>
  <c r="D76" i="1005"/>
  <c r="D59" i="1005"/>
  <c r="D142" i="1005"/>
  <c r="E142" i="1005"/>
  <c r="D50" i="1005"/>
  <c r="D49" i="1005"/>
  <c r="D44" i="1005" s="1"/>
  <c r="K6" i="1005" s="1"/>
  <c r="H44" i="1005"/>
  <c r="E52" i="1005"/>
  <c r="E54" i="1005" s="1"/>
  <c r="D54" i="1005"/>
  <c r="A54" i="1005" s="1"/>
  <c r="K45" i="1005"/>
  <c r="J48" i="1005"/>
  <c r="J47" i="1005"/>
  <c r="J46" i="1005"/>
  <c r="E48" i="1005"/>
  <c r="E47" i="1005"/>
  <c r="G62" i="1005" s="1"/>
  <c r="E46" i="1005"/>
  <c r="D62" i="1005" s="1"/>
  <c r="N5" i="1005" s="1"/>
  <c r="E76" i="1005"/>
  <c r="B76" i="1005"/>
  <c r="C76" i="1005"/>
  <c r="D53" i="1005"/>
  <c r="I50" i="1005"/>
  <c r="I44" i="1005" s="1"/>
  <c r="I49" i="1005"/>
  <c r="I51" i="1005" s="1"/>
  <c r="H51" i="1005"/>
  <c r="D51" i="1005"/>
  <c r="F56" i="1005"/>
  <c r="E58" i="1005"/>
  <c r="E57" i="1005"/>
  <c r="F15" i="1004"/>
  <c r="C15" i="1004"/>
  <c r="I9" i="1004"/>
  <c r="B15" i="1004"/>
  <c r="D15" i="1004"/>
  <c r="E15" i="1004"/>
  <c r="B69" i="1004"/>
  <c r="B33" i="1004" s="1"/>
  <c r="D69" i="1004"/>
  <c r="C40" i="1004" s="1"/>
  <c r="F67" i="1004"/>
  <c r="C76" i="1004"/>
  <c r="F68" i="1004"/>
  <c r="F65" i="1004"/>
  <c r="D59" i="1004"/>
  <c r="C142" i="1004"/>
  <c r="F142" i="1004"/>
  <c r="J15" i="1004" s="1"/>
  <c r="I13" i="1004" s="1"/>
  <c r="I14" i="1004" s="1"/>
  <c r="D142" i="1004"/>
  <c r="I50" i="1004"/>
  <c r="I44" i="1004" s="1"/>
  <c r="I49" i="1004"/>
  <c r="I51" i="1004" s="1"/>
  <c r="D76" i="1004"/>
  <c r="E50" i="1004"/>
  <c r="H62" i="1004" s="1"/>
  <c r="E49" i="1004"/>
  <c r="E62" i="1004" s="1"/>
  <c r="J48" i="1004"/>
  <c r="J47" i="1004"/>
  <c r="J46" i="1004"/>
  <c r="K45" i="1004"/>
  <c r="M14" i="1004"/>
  <c r="F56" i="1004"/>
  <c r="E58" i="1004"/>
  <c r="E57" i="1004"/>
  <c r="E51" i="1004"/>
  <c r="E52" i="1004"/>
  <c r="E54" i="1004" s="1"/>
  <c r="D54" i="1004"/>
  <c r="A54" i="1004" s="1"/>
  <c r="B76" i="1004"/>
  <c r="E53" i="1004"/>
  <c r="E76" i="1004"/>
  <c r="E44" i="1004"/>
  <c r="J62" i="1003"/>
  <c r="B51" i="1003"/>
  <c r="B69" i="1003"/>
  <c r="C40" i="1003" s="1"/>
  <c r="C69" i="1003"/>
  <c r="B33" i="1003" s="1"/>
  <c r="D69" i="1003"/>
  <c r="D59" i="1003"/>
  <c r="G65" i="1003"/>
  <c r="F65" i="1003" s="1"/>
  <c r="L69" i="1003"/>
  <c r="G66" i="1003"/>
  <c r="F66" i="1003" s="1"/>
  <c r="G67" i="1003"/>
  <c r="F67" i="1003" s="1"/>
  <c r="F68" i="1003"/>
  <c r="C54" i="1003"/>
  <c r="D52" i="1003"/>
  <c r="K48" i="1003"/>
  <c r="K47" i="1003"/>
  <c r="M62" i="1003" s="1"/>
  <c r="K46" i="1003"/>
  <c r="D142" i="1003"/>
  <c r="F142" i="1003"/>
  <c r="J15" i="1003" s="1"/>
  <c r="I13" i="1003" s="1"/>
  <c r="E53" i="1003"/>
  <c r="B40" i="1003"/>
  <c r="E76" i="1003"/>
  <c r="B76" i="1003"/>
  <c r="F56" i="1003"/>
  <c r="E58" i="1003"/>
  <c r="E57" i="1003"/>
  <c r="E142" i="1003"/>
  <c r="C142" i="1003"/>
  <c r="C50" i="1003"/>
  <c r="C51" i="1003" s="1"/>
  <c r="C49" i="1003"/>
  <c r="C44" i="1003" s="1"/>
  <c r="J50" i="1003"/>
  <c r="J44" i="1003" s="1"/>
  <c r="J49" i="1003"/>
  <c r="C76" i="1003"/>
  <c r="B44" i="1003"/>
  <c r="E45" i="1003"/>
  <c r="D48" i="1003"/>
  <c r="D47" i="1003"/>
  <c r="D46" i="1003"/>
  <c r="E40" i="1003"/>
  <c r="F6" i="1003" s="1"/>
  <c r="M14" i="1003"/>
  <c r="L69" i="1002"/>
  <c r="F68" i="1002"/>
  <c r="F69" i="1002" s="1"/>
  <c r="E69" i="1002"/>
  <c r="F142" i="1002" s="1"/>
  <c r="J15" i="1002" s="1"/>
  <c r="I13" i="1002" s="1"/>
  <c r="B69" i="1002"/>
  <c r="C69" i="1002"/>
  <c r="D142" i="1002" s="1"/>
  <c r="D69" i="1002"/>
  <c r="D76" i="1002"/>
  <c r="D59" i="1002"/>
  <c r="I50" i="1002"/>
  <c r="I44" i="1002" s="1"/>
  <c r="I49" i="1002"/>
  <c r="E48" i="1002"/>
  <c r="E47" i="1002"/>
  <c r="G62" i="1002" s="1"/>
  <c r="E46" i="1002"/>
  <c r="D62" i="1002" s="1"/>
  <c r="N5" i="1002" s="1"/>
  <c r="K45" i="1002"/>
  <c r="J48" i="1002"/>
  <c r="J47" i="1002"/>
  <c r="J46" i="1002"/>
  <c r="D53" i="1002" s="1"/>
  <c r="E76" i="1002"/>
  <c r="H51" i="1002"/>
  <c r="F56" i="1002"/>
  <c r="E58" i="1002"/>
  <c r="E57" i="1002"/>
  <c r="I51" i="1002"/>
  <c r="B76" i="1002"/>
  <c r="E53" i="1002"/>
  <c r="C76" i="1002"/>
  <c r="E142" i="1002"/>
  <c r="E52" i="1002"/>
  <c r="E54" i="1002" s="1"/>
  <c r="D54" i="1002"/>
  <c r="A54" i="1002" s="1"/>
  <c r="D50" i="1002"/>
  <c r="D51" i="1002" s="1"/>
  <c r="D49" i="1002"/>
  <c r="D44" i="1002" s="1"/>
  <c r="K6" i="1002" s="1"/>
  <c r="M14" i="1002"/>
  <c r="C76" i="1001"/>
  <c r="B69" i="1001"/>
  <c r="E69" i="1001"/>
  <c r="M14" i="1001" s="1"/>
  <c r="C69" i="1001"/>
  <c r="D142" i="1001" s="1"/>
  <c r="B44" i="1001"/>
  <c r="D59" i="1001"/>
  <c r="G67" i="1001"/>
  <c r="F67" i="1001" s="1"/>
  <c r="F68" i="1001"/>
  <c r="G65" i="1001"/>
  <c r="F65" i="1001" s="1"/>
  <c r="G66" i="1001"/>
  <c r="F66" i="1001" s="1"/>
  <c r="F142" i="1001"/>
  <c r="J15" i="1001" s="1"/>
  <c r="I13" i="1001" s="1"/>
  <c r="C142" i="1001"/>
  <c r="E142" i="1001"/>
  <c r="D76" i="1001"/>
  <c r="J50" i="1001"/>
  <c r="J44" i="1001" s="1"/>
  <c r="J49" i="1001"/>
  <c r="E53" i="1001"/>
  <c r="B51" i="1001"/>
  <c r="B76" i="1001"/>
  <c r="F56" i="1001"/>
  <c r="E58" i="1001"/>
  <c r="E57" i="1001"/>
  <c r="E59" i="1001" s="1"/>
  <c r="K48" i="1001"/>
  <c r="K47" i="1001"/>
  <c r="M62" i="1001" s="1"/>
  <c r="K46" i="1001"/>
  <c r="J62" i="1001" s="1"/>
  <c r="E76" i="1001"/>
  <c r="C54" i="1001"/>
  <c r="D52" i="1001"/>
  <c r="E45" i="1001"/>
  <c r="D48" i="1001"/>
  <c r="D47" i="1001"/>
  <c r="D46" i="1001"/>
  <c r="E40" i="1001"/>
  <c r="F6" i="1001" s="1"/>
  <c r="C50" i="1001"/>
  <c r="C51" i="1001" s="1"/>
  <c r="C49" i="1001"/>
  <c r="C44" i="1001" s="1"/>
  <c r="M14" i="1000"/>
  <c r="B40" i="1000"/>
  <c r="H44" i="1000"/>
  <c r="D59" i="1000"/>
  <c r="G67" i="1000"/>
  <c r="F67" i="1000" s="1"/>
  <c r="G68" i="1000"/>
  <c r="F68" i="1000" s="1"/>
  <c r="G66" i="1000"/>
  <c r="F66" i="1000" s="1"/>
  <c r="G65" i="1000"/>
  <c r="F65" i="1000" s="1"/>
  <c r="F56" i="1000"/>
  <c r="E58" i="1000"/>
  <c r="E57" i="1000"/>
  <c r="E59" i="1000" s="1"/>
  <c r="H51" i="1000"/>
  <c r="E45" i="1000"/>
  <c r="D48" i="1000"/>
  <c r="D47" i="1000"/>
  <c r="D46" i="1000"/>
  <c r="K45" i="1000"/>
  <c r="J48" i="1000"/>
  <c r="J47" i="1000"/>
  <c r="J46" i="1000"/>
  <c r="C50" i="1000"/>
  <c r="C49" i="1000"/>
  <c r="C54" i="1000"/>
  <c r="D52" i="1000"/>
  <c r="B51" i="1000"/>
  <c r="D40" i="1000"/>
  <c r="G40" i="1000" s="1"/>
  <c r="B4" i="1000" s="1"/>
  <c r="E53" i="1000"/>
  <c r="I50" i="1000"/>
  <c r="I44" i="1000" s="1"/>
  <c r="I49" i="1000"/>
  <c r="I51" i="1000" s="1"/>
  <c r="E14" i="1000"/>
  <c r="D14" i="1000"/>
  <c r="C14" i="1000"/>
  <c r="B14" i="1000"/>
  <c r="G14" i="1000"/>
  <c r="F14" i="1000"/>
  <c r="F34" i="1000"/>
  <c r="F33" i="1000"/>
  <c r="B44" i="1000"/>
  <c r="C51" i="1000"/>
  <c r="E69" i="999"/>
  <c r="F142" i="999" s="1"/>
  <c r="J15" i="999" s="1"/>
  <c r="I13" i="999" s="1"/>
  <c r="B69" i="999"/>
  <c r="D69" i="999"/>
  <c r="E142" i="999" s="1"/>
  <c r="G65" i="999"/>
  <c r="F65" i="999" s="1"/>
  <c r="E76" i="999"/>
  <c r="B76" i="999"/>
  <c r="G66" i="999"/>
  <c r="F66" i="999" s="1"/>
  <c r="D59" i="999"/>
  <c r="G68" i="999"/>
  <c r="F68" i="999" s="1"/>
  <c r="C76" i="999"/>
  <c r="D142" i="999"/>
  <c r="C142" i="999"/>
  <c r="B40" i="999"/>
  <c r="C40" i="999"/>
  <c r="C50" i="999"/>
  <c r="C49" i="999"/>
  <c r="C44" i="999" s="1"/>
  <c r="H51" i="999"/>
  <c r="E45" i="999"/>
  <c r="D48" i="999"/>
  <c r="D47" i="999"/>
  <c r="D46" i="999"/>
  <c r="D76" i="999"/>
  <c r="B44" i="999"/>
  <c r="E53" i="999"/>
  <c r="B51" i="999"/>
  <c r="C54" i="999"/>
  <c r="D52" i="999"/>
  <c r="I50" i="999"/>
  <c r="I44" i="999" s="1"/>
  <c r="I49" i="999"/>
  <c r="I51" i="999" s="1"/>
  <c r="F56" i="999"/>
  <c r="E58" i="999"/>
  <c r="E57" i="999"/>
  <c r="K45" i="999"/>
  <c r="J48" i="999"/>
  <c r="J47" i="999"/>
  <c r="J46" i="999"/>
  <c r="C51" i="998"/>
  <c r="D69" i="998"/>
  <c r="B69" i="998"/>
  <c r="C142" i="998" s="1"/>
  <c r="E69" i="998"/>
  <c r="L69" i="998"/>
  <c r="G67" i="998"/>
  <c r="F67" i="998" s="1"/>
  <c r="E53" i="998"/>
  <c r="D59" i="998"/>
  <c r="G66" i="998"/>
  <c r="F66" i="998" s="1"/>
  <c r="F69" i="998" s="1"/>
  <c r="F142" i="998"/>
  <c r="J15" i="998" s="1"/>
  <c r="I13" i="998" s="1"/>
  <c r="D142" i="998"/>
  <c r="E142" i="998"/>
  <c r="D76" i="998"/>
  <c r="C76" i="998"/>
  <c r="E52" i="998"/>
  <c r="E54" i="998" s="1"/>
  <c r="D54" i="998"/>
  <c r="A54" i="998" s="1"/>
  <c r="E76" i="998"/>
  <c r="K45" i="998"/>
  <c r="J48" i="998"/>
  <c r="J47" i="998"/>
  <c r="J46" i="998"/>
  <c r="E48" i="998"/>
  <c r="E47" i="998"/>
  <c r="G62" i="998" s="1"/>
  <c r="E46" i="998"/>
  <c r="D62" i="998" s="1"/>
  <c r="N5" i="998" s="1"/>
  <c r="I50" i="998"/>
  <c r="I49" i="998"/>
  <c r="I51" i="998" s="1"/>
  <c r="B76" i="998"/>
  <c r="F56" i="998"/>
  <c r="E58" i="998"/>
  <c r="E57" i="998"/>
  <c r="E59" i="998" s="1"/>
  <c r="H44" i="998"/>
  <c r="H51" i="998"/>
  <c r="D50" i="998"/>
  <c r="D51" i="998" s="1"/>
  <c r="D49" i="998"/>
  <c r="D44" i="998" s="1"/>
  <c r="K6" i="998" s="1"/>
  <c r="E76" i="997"/>
  <c r="L69" i="997"/>
  <c r="H51" i="997"/>
  <c r="B69" i="997"/>
  <c r="C142" i="997" s="1"/>
  <c r="C69" i="997"/>
  <c r="D69" i="997"/>
  <c r="E142" i="997" s="1"/>
  <c r="E68" i="997"/>
  <c r="E69" i="997" s="1"/>
  <c r="G68" i="997"/>
  <c r="G65" i="997"/>
  <c r="F65" i="997" s="1"/>
  <c r="D59" i="997"/>
  <c r="G66" i="997"/>
  <c r="F66" i="997" s="1"/>
  <c r="E52" i="997"/>
  <c r="E54" i="997" s="1"/>
  <c r="D54" i="997"/>
  <c r="A54" i="997" s="1"/>
  <c r="C76" i="997"/>
  <c r="K45" i="997"/>
  <c r="J48" i="997"/>
  <c r="J47" i="997"/>
  <c r="J46" i="997"/>
  <c r="D53" i="997" s="1"/>
  <c r="D142" i="997"/>
  <c r="F56" i="997"/>
  <c r="E58" i="997"/>
  <c r="E57" i="997"/>
  <c r="E59" i="997" s="1"/>
  <c r="D76" i="997"/>
  <c r="E53" i="997"/>
  <c r="D50" i="997"/>
  <c r="D51" i="997" s="1"/>
  <c r="D49" i="997"/>
  <c r="D44" i="997" s="1"/>
  <c r="K6" i="997" s="1"/>
  <c r="I50" i="997"/>
  <c r="I44" i="997" s="1"/>
  <c r="I49" i="997"/>
  <c r="I51" i="997" s="1"/>
  <c r="B76" i="997"/>
  <c r="E48" i="997"/>
  <c r="E47" i="997"/>
  <c r="G62" i="997" s="1"/>
  <c r="E46" i="997"/>
  <c r="D62" i="997" s="1"/>
  <c r="N5" i="997" s="1"/>
  <c r="H51" i="996"/>
  <c r="D69" i="996"/>
  <c r="D76" i="996"/>
  <c r="L69" i="996"/>
  <c r="E68" i="996"/>
  <c r="E69" i="996" s="1"/>
  <c r="E56" i="996"/>
  <c r="D57" i="996"/>
  <c r="D58" i="996"/>
  <c r="G67" i="996" s="1"/>
  <c r="F67" i="996" s="1"/>
  <c r="D142" i="996"/>
  <c r="B76" i="996"/>
  <c r="B54" i="996"/>
  <c r="C52" i="996"/>
  <c r="B50" i="996"/>
  <c r="B49" i="996"/>
  <c r="B44" i="996" s="1"/>
  <c r="I50" i="996"/>
  <c r="I44" i="996" s="1"/>
  <c r="I49" i="996"/>
  <c r="I51" i="996" s="1"/>
  <c r="D45" i="996"/>
  <c r="C48" i="996"/>
  <c r="C47" i="996"/>
  <c r="C46" i="996"/>
  <c r="K45" i="996"/>
  <c r="J48" i="996"/>
  <c r="J47" i="996"/>
  <c r="J46" i="996"/>
  <c r="E76" i="996"/>
  <c r="E142" i="996"/>
  <c r="C142" i="996"/>
  <c r="H44" i="996"/>
  <c r="C76" i="996"/>
  <c r="B53" i="996"/>
  <c r="C69" i="995"/>
  <c r="B40" i="995" s="1"/>
  <c r="D69" i="995"/>
  <c r="L69" i="995"/>
  <c r="C59" i="995"/>
  <c r="B53" i="995"/>
  <c r="E56" i="995"/>
  <c r="D57" i="995"/>
  <c r="D58" i="995"/>
  <c r="D142" i="995"/>
  <c r="C76" i="995"/>
  <c r="B50" i="995"/>
  <c r="B49" i="995"/>
  <c r="H49" i="995"/>
  <c r="H50" i="995"/>
  <c r="C40" i="995"/>
  <c r="D76" i="995"/>
  <c r="B54" i="995"/>
  <c r="C52" i="995"/>
  <c r="J45" i="995"/>
  <c r="I48" i="995"/>
  <c r="I47" i="995"/>
  <c r="I46" i="995"/>
  <c r="E76" i="995"/>
  <c r="E142" i="995"/>
  <c r="C142" i="995"/>
  <c r="B76" i="995"/>
  <c r="D45" i="995"/>
  <c r="C48" i="995"/>
  <c r="C47" i="995"/>
  <c r="C46" i="995"/>
  <c r="B44" i="994"/>
  <c r="C59" i="994"/>
  <c r="E56" i="994"/>
  <c r="D57" i="994"/>
  <c r="D58" i="994"/>
  <c r="G68" i="994" s="1"/>
  <c r="N68" i="994"/>
  <c r="N67" i="994"/>
  <c r="E67" i="994"/>
  <c r="N66" i="994"/>
  <c r="E66" i="994"/>
  <c r="N65" i="994"/>
  <c r="E65" i="994"/>
  <c r="G66" i="994"/>
  <c r="F66" i="994" s="1"/>
  <c r="G65" i="994"/>
  <c r="H49" i="994"/>
  <c r="H50" i="994"/>
  <c r="E45" i="994"/>
  <c r="D48" i="994"/>
  <c r="D47" i="994"/>
  <c r="D46" i="994"/>
  <c r="C74" i="994"/>
  <c r="C73" i="994"/>
  <c r="C72" i="994"/>
  <c r="C75" i="994"/>
  <c r="O67" i="994"/>
  <c r="O66" i="994"/>
  <c r="O65" i="994"/>
  <c r="F65" i="994"/>
  <c r="O68" i="994"/>
  <c r="I69" i="994"/>
  <c r="I65" i="994"/>
  <c r="I68" i="994"/>
  <c r="I67" i="994"/>
  <c r="I66" i="994"/>
  <c r="J68" i="994"/>
  <c r="J67" i="994"/>
  <c r="J66" i="994"/>
  <c r="J69" i="994"/>
  <c r="J65" i="994"/>
  <c r="H44" i="994"/>
  <c r="C50" i="994"/>
  <c r="C51" i="994" s="1"/>
  <c r="C49" i="994"/>
  <c r="C44" i="994" s="1"/>
  <c r="B67" i="994"/>
  <c r="B66" i="994"/>
  <c r="B65" i="994"/>
  <c r="B68" i="994"/>
  <c r="C66" i="994"/>
  <c r="C65" i="994"/>
  <c r="C69" i="994" s="1"/>
  <c r="C68" i="994"/>
  <c r="C67" i="994"/>
  <c r="D65" i="994"/>
  <c r="D68" i="994"/>
  <c r="E68" i="994" s="1"/>
  <c r="D67" i="994"/>
  <c r="D66" i="994"/>
  <c r="B51" i="994"/>
  <c r="L66" i="994"/>
  <c r="N64" i="994"/>
  <c r="L65" i="994"/>
  <c r="L68" i="994"/>
  <c r="L67" i="994"/>
  <c r="M65" i="994"/>
  <c r="M68" i="994"/>
  <c r="M67" i="994"/>
  <c r="M66" i="994"/>
  <c r="O64" i="994"/>
  <c r="B75" i="994"/>
  <c r="B74" i="994"/>
  <c r="B73" i="994"/>
  <c r="B72" i="994"/>
  <c r="J45" i="994"/>
  <c r="I48" i="994"/>
  <c r="I47" i="994"/>
  <c r="I46" i="994"/>
  <c r="C54" i="994"/>
  <c r="D52" i="994"/>
  <c r="K67" i="994"/>
  <c r="K66" i="994"/>
  <c r="K69" i="994"/>
  <c r="K65" i="994"/>
  <c r="K68" i="994"/>
  <c r="D73" i="994"/>
  <c r="D72" i="994"/>
  <c r="D75" i="994"/>
  <c r="D74" i="994"/>
  <c r="E72" i="994"/>
  <c r="E75" i="994"/>
  <c r="E74" i="994"/>
  <c r="E73" i="994"/>
  <c r="F75" i="994"/>
  <c r="F74" i="994"/>
  <c r="F73" i="994"/>
  <c r="F72" i="994"/>
  <c r="H51" i="994"/>
  <c r="B69" i="993"/>
  <c r="C40" i="993" s="1"/>
  <c r="D69" i="993"/>
  <c r="E142" i="993" s="1"/>
  <c r="E69" i="993"/>
  <c r="B40" i="993" s="1"/>
  <c r="L69" i="993"/>
  <c r="C142" i="993"/>
  <c r="D142" i="993"/>
  <c r="E76" i="993"/>
  <c r="C54" i="993"/>
  <c r="D52" i="993"/>
  <c r="D76" i="993"/>
  <c r="D50" i="993"/>
  <c r="D51" i="993" s="1"/>
  <c r="D49" i="993"/>
  <c r="D44" i="993" s="1"/>
  <c r="K6" i="993" s="1"/>
  <c r="J45" i="993"/>
  <c r="I48" i="993"/>
  <c r="I47" i="993"/>
  <c r="I46" i="993"/>
  <c r="E56" i="993"/>
  <c r="D57" i="993"/>
  <c r="D58" i="993"/>
  <c r="B76" i="993"/>
  <c r="E48" i="993"/>
  <c r="E47" i="993"/>
  <c r="G62" i="993" s="1"/>
  <c r="E46" i="993"/>
  <c r="D62" i="993" s="1"/>
  <c r="N5" i="993" s="1"/>
  <c r="H49" i="993"/>
  <c r="H50" i="993"/>
  <c r="B76" i="992"/>
  <c r="D76" i="992"/>
  <c r="B69" i="992"/>
  <c r="E69" i="992"/>
  <c r="C69" i="992"/>
  <c r="C40" i="992" s="1"/>
  <c r="D69" i="992"/>
  <c r="E142" i="992" s="1"/>
  <c r="C142" i="992"/>
  <c r="F142" i="992"/>
  <c r="J15" i="992" s="1"/>
  <c r="I13" i="992" s="1"/>
  <c r="E76" i="992"/>
  <c r="B50" i="992"/>
  <c r="B49" i="992"/>
  <c r="B54" i="992"/>
  <c r="C52" i="992"/>
  <c r="J45" i="992"/>
  <c r="I48" i="992"/>
  <c r="I47" i="992"/>
  <c r="I46" i="992"/>
  <c r="B53" i="992"/>
  <c r="B44" i="992"/>
  <c r="H49" i="992"/>
  <c r="H50" i="992"/>
  <c r="E56" i="992"/>
  <c r="D57" i="992"/>
  <c r="G65" i="992" s="1"/>
  <c r="F65" i="992" s="1"/>
  <c r="D58" i="992"/>
  <c r="C76" i="992"/>
  <c r="D45" i="992"/>
  <c r="C48" i="992"/>
  <c r="C47" i="992"/>
  <c r="C46" i="992"/>
  <c r="C59" i="991"/>
  <c r="E56" i="991"/>
  <c r="D58" i="991"/>
  <c r="D57" i="991"/>
  <c r="C74" i="991"/>
  <c r="C73" i="991"/>
  <c r="C72" i="991"/>
  <c r="C75" i="991"/>
  <c r="K67" i="991"/>
  <c r="K66" i="991"/>
  <c r="K69" i="991"/>
  <c r="K65" i="991"/>
  <c r="K68" i="991"/>
  <c r="L66" i="991"/>
  <c r="N64" i="991"/>
  <c r="L65" i="991"/>
  <c r="L67" i="991"/>
  <c r="L68" i="991"/>
  <c r="M65" i="991"/>
  <c r="M68" i="991"/>
  <c r="M67" i="991"/>
  <c r="M66" i="991"/>
  <c r="O64" i="991"/>
  <c r="B75" i="991"/>
  <c r="B74" i="991"/>
  <c r="B72" i="991"/>
  <c r="B73" i="991"/>
  <c r="I50" i="991"/>
  <c r="I44" i="991" s="1"/>
  <c r="I49" i="991"/>
  <c r="B50" i="991"/>
  <c r="B49" i="991"/>
  <c r="O67" i="991"/>
  <c r="O66" i="991"/>
  <c r="O65" i="991"/>
  <c r="O68" i="991"/>
  <c r="E72" i="991"/>
  <c r="E75" i="991"/>
  <c r="E73" i="991"/>
  <c r="E74" i="991"/>
  <c r="F75" i="991"/>
  <c r="F74" i="991"/>
  <c r="F73" i="991"/>
  <c r="F72" i="991"/>
  <c r="K45" i="991"/>
  <c r="J48" i="991"/>
  <c r="J47" i="991"/>
  <c r="J46" i="991"/>
  <c r="B54" i="991"/>
  <c r="C52" i="991"/>
  <c r="H44" i="991"/>
  <c r="D73" i="991"/>
  <c r="D72" i="991"/>
  <c r="D75" i="991"/>
  <c r="D74" i="991"/>
  <c r="C66" i="991"/>
  <c r="C65" i="991"/>
  <c r="C67" i="991"/>
  <c r="C68" i="991"/>
  <c r="D65" i="991"/>
  <c r="D68" i="991"/>
  <c r="D67" i="991"/>
  <c r="D66" i="991"/>
  <c r="B53" i="991"/>
  <c r="D45" i="991"/>
  <c r="C48" i="991"/>
  <c r="C47" i="991"/>
  <c r="C46" i="991"/>
  <c r="N68" i="991"/>
  <c r="E68" i="991" s="1"/>
  <c r="N67" i="991"/>
  <c r="E67" i="991"/>
  <c r="N65" i="991"/>
  <c r="E65" i="991"/>
  <c r="E69" i="991" s="1"/>
  <c r="N66" i="991"/>
  <c r="E66" i="991"/>
  <c r="G68" i="991"/>
  <c r="B67" i="991"/>
  <c r="B66" i="991"/>
  <c r="B65" i="991"/>
  <c r="B68" i="991"/>
  <c r="I69" i="991"/>
  <c r="I65" i="991"/>
  <c r="I68" i="991"/>
  <c r="I66" i="991"/>
  <c r="I67" i="991"/>
  <c r="J68" i="991"/>
  <c r="J67" i="991"/>
  <c r="J66" i="991"/>
  <c r="J69" i="991"/>
  <c r="J65" i="991"/>
  <c r="B51" i="991"/>
  <c r="H51" i="991"/>
  <c r="L69" i="990"/>
  <c r="E69" i="990"/>
  <c r="B69" i="990"/>
  <c r="B40" i="990" s="1"/>
  <c r="C69" i="990"/>
  <c r="D142" i="990" s="1"/>
  <c r="C59" i="990"/>
  <c r="E142" i="990"/>
  <c r="F142" i="990"/>
  <c r="J15" i="990" s="1"/>
  <c r="I13" i="990" s="1"/>
  <c r="E56" i="990"/>
  <c r="D58" i="990"/>
  <c r="D57" i="990"/>
  <c r="B53" i="990"/>
  <c r="D45" i="990"/>
  <c r="C48" i="990"/>
  <c r="C47" i="990"/>
  <c r="C46" i="990"/>
  <c r="M14" i="990"/>
  <c r="H50" i="990"/>
  <c r="H49" i="990"/>
  <c r="D76" i="990"/>
  <c r="B76" i="990"/>
  <c r="C76" i="990"/>
  <c r="J45" i="990"/>
  <c r="I48" i="990"/>
  <c r="I47" i="990"/>
  <c r="I46" i="990"/>
  <c r="E76" i="990"/>
  <c r="B50" i="990"/>
  <c r="B49" i="990"/>
  <c r="H51" i="990"/>
  <c r="B54" i="990"/>
  <c r="C52" i="990"/>
  <c r="B53" i="989"/>
  <c r="N68" i="989"/>
  <c r="N67" i="989"/>
  <c r="E67" i="989"/>
  <c r="N66" i="989"/>
  <c r="E66" i="989"/>
  <c r="N65" i="989"/>
  <c r="E65" i="989"/>
  <c r="O67" i="989"/>
  <c r="O66" i="989"/>
  <c r="O65" i="989"/>
  <c r="O68" i="989"/>
  <c r="I69" i="989"/>
  <c r="I65" i="989"/>
  <c r="I68" i="989"/>
  <c r="I67" i="989"/>
  <c r="I66" i="989"/>
  <c r="J68" i="989"/>
  <c r="J67" i="989"/>
  <c r="J66" i="989"/>
  <c r="J69" i="989"/>
  <c r="J65" i="989"/>
  <c r="E56" i="989"/>
  <c r="D57" i="989"/>
  <c r="D59" i="989" s="1"/>
  <c r="D58" i="989"/>
  <c r="I50" i="989"/>
  <c r="I49" i="989"/>
  <c r="I51" i="989" s="1"/>
  <c r="B50" i="989"/>
  <c r="B49" i="989"/>
  <c r="L66" i="989"/>
  <c r="N64" i="989"/>
  <c r="L65" i="989"/>
  <c r="L68" i="989"/>
  <c r="L67" i="989"/>
  <c r="M65" i="989"/>
  <c r="M68" i="989"/>
  <c r="M67" i="989"/>
  <c r="M66" i="989"/>
  <c r="O64" i="989"/>
  <c r="B75" i="989"/>
  <c r="B74" i="989"/>
  <c r="B73" i="989"/>
  <c r="B72" i="989"/>
  <c r="K45" i="989"/>
  <c r="J48" i="989"/>
  <c r="J47" i="989"/>
  <c r="J46" i="989"/>
  <c r="B54" i="989"/>
  <c r="C52" i="989"/>
  <c r="C74" i="989"/>
  <c r="C73" i="989"/>
  <c r="C72" i="989"/>
  <c r="C75" i="989"/>
  <c r="K67" i="989"/>
  <c r="K66" i="989"/>
  <c r="K69" i="989"/>
  <c r="K65" i="989"/>
  <c r="K68" i="989"/>
  <c r="D73" i="989"/>
  <c r="D72" i="989"/>
  <c r="D75" i="989"/>
  <c r="D74" i="989"/>
  <c r="E72" i="989"/>
  <c r="E75" i="989"/>
  <c r="E74" i="989"/>
  <c r="E73" i="989"/>
  <c r="F75" i="989"/>
  <c r="F74" i="989"/>
  <c r="F73" i="989"/>
  <c r="F72" i="989"/>
  <c r="H44" i="989"/>
  <c r="H51" i="989"/>
  <c r="D45" i="989"/>
  <c r="C48" i="989"/>
  <c r="C47" i="989"/>
  <c r="C46" i="989"/>
  <c r="B67" i="989"/>
  <c r="B66" i="989"/>
  <c r="B65" i="989"/>
  <c r="B68" i="989"/>
  <c r="C66" i="989"/>
  <c r="C65" i="989"/>
  <c r="C68" i="989"/>
  <c r="C67" i="989"/>
  <c r="D65" i="989"/>
  <c r="D68" i="989"/>
  <c r="E68" i="989" s="1"/>
  <c r="D67" i="989"/>
  <c r="D66" i="989"/>
  <c r="L69" i="988"/>
  <c r="B44" i="988"/>
  <c r="C69" i="988"/>
  <c r="D69" i="988"/>
  <c r="B76" i="988"/>
  <c r="C59" i="988"/>
  <c r="C54" i="988"/>
  <c r="D52" i="988"/>
  <c r="D142" i="988"/>
  <c r="E45" i="988"/>
  <c r="D48" i="988"/>
  <c r="D47" i="988"/>
  <c r="D46" i="988"/>
  <c r="H50" i="988"/>
  <c r="H49" i="988"/>
  <c r="C50" i="988"/>
  <c r="C51" i="988" s="1"/>
  <c r="C49" i="988"/>
  <c r="C44" i="988" s="1"/>
  <c r="E56" i="988"/>
  <c r="D57" i="988"/>
  <c r="D58" i="988"/>
  <c r="J45" i="988"/>
  <c r="I48" i="988"/>
  <c r="I47" i="988"/>
  <c r="I46" i="988"/>
  <c r="D76" i="988"/>
  <c r="E76" i="988"/>
  <c r="E142" i="988"/>
  <c r="C142" i="988"/>
  <c r="L69" i="987"/>
  <c r="C69" i="987"/>
  <c r="E69" i="987"/>
  <c r="M14" i="987" s="1"/>
  <c r="D69" i="987"/>
  <c r="B69" i="987"/>
  <c r="C59" i="987"/>
  <c r="G68" i="987"/>
  <c r="F68" i="987" s="1"/>
  <c r="B76" i="987"/>
  <c r="C54" i="987"/>
  <c r="D52" i="987"/>
  <c r="J50" i="987"/>
  <c r="J49" i="987"/>
  <c r="J51" i="987" s="1"/>
  <c r="H44" i="987"/>
  <c r="C50" i="987"/>
  <c r="C49" i="987"/>
  <c r="C44" i="987" s="1"/>
  <c r="K48" i="987"/>
  <c r="K47" i="987"/>
  <c r="M62" i="987" s="1"/>
  <c r="K46" i="987"/>
  <c r="J62" i="987" s="1"/>
  <c r="E76" i="987"/>
  <c r="E45" i="987"/>
  <c r="D48" i="987"/>
  <c r="D47" i="987"/>
  <c r="D46" i="987"/>
  <c r="D142" i="987"/>
  <c r="J44" i="987"/>
  <c r="B44" i="987"/>
  <c r="E56" i="987"/>
  <c r="D57" i="987"/>
  <c r="G67" i="987" s="1"/>
  <c r="F67" i="987" s="1"/>
  <c r="D58" i="987"/>
  <c r="H51" i="987"/>
  <c r="E142" i="987"/>
  <c r="C51" i="987"/>
  <c r="C76" i="987"/>
  <c r="F25" i="986"/>
  <c r="B3" i="986" s="1"/>
  <c r="D25" i="986"/>
  <c r="I11" i="986"/>
  <c r="J19" i="986"/>
  <c r="C66" i="986"/>
  <c r="C65" i="986"/>
  <c r="C67" i="986"/>
  <c r="C68" i="986"/>
  <c r="C45" i="986"/>
  <c r="B52" i="986"/>
  <c r="B48" i="986"/>
  <c r="B47" i="986"/>
  <c r="B46" i="986"/>
  <c r="B59" i="986"/>
  <c r="O67" i="986"/>
  <c r="O66" i="986"/>
  <c r="O65" i="986"/>
  <c r="O68" i="986"/>
  <c r="I50" i="986"/>
  <c r="I49" i="986"/>
  <c r="I51" i="986" s="1"/>
  <c r="B67" i="986"/>
  <c r="B66" i="986"/>
  <c r="B65" i="986"/>
  <c r="B68" i="986"/>
  <c r="I69" i="986"/>
  <c r="I65" i="986"/>
  <c r="I68" i="986"/>
  <c r="I66" i="986"/>
  <c r="I67" i="986"/>
  <c r="J68" i="986"/>
  <c r="J67" i="986"/>
  <c r="J66" i="986"/>
  <c r="J69" i="986"/>
  <c r="J65" i="986"/>
  <c r="C74" i="986"/>
  <c r="C73" i="986"/>
  <c r="C72" i="986"/>
  <c r="C75" i="986"/>
  <c r="K45" i="986"/>
  <c r="J48" i="986"/>
  <c r="J47" i="986"/>
  <c r="J46" i="986"/>
  <c r="L66" i="986"/>
  <c r="N64" i="986"/>
  <c r="L65" i="986"/>
  <c r="L67" i="986"/>
  <c r="L69" i="986" s="1"/>
  <c r="L68" i="986"/>
  <c r="D65" i="986"/>
  <c r="D68" i="986"/>
  <c r="D67" i="986"/>
  <c r="D66" i="986"/>
  <c r="M65" i="986"/>
  <c r="M68" i="986"/>
  <c r="M67" i="986"/>
  <c r="M66" i="986"/>
  <c r="O64" i="986"/>
  <c r="B75" i="986"/>
  <c r="B74" i="986"/>
  <c r="B72" i="986"/>
  <c r="B73" i="986"/>
  <c r="C58" i="986"/>
  <c r="C57" i="986"/>
  <c r="D56" i="986"/>
  <c r="N68" i="986"/>
  <c r="E68" i="986" s="1"/>
  <c r="N67" i="986"/>
  <c r="E67" i="986"/>
  <c r="N65" i="986"/>
  <c r="E65" i="986"/>
  <c r="N66" i="986"/>
  <c r="E66" i="986"/>
  <c r="E72" i="986"/>
  <c r="E75" i="986"/>
  <c r="E73" i="986"/>
  <c r="E74" i="986"/>
  <c r="F75" i="986"/>
  <c r="F74" i="986"/>
  <c r="F73" i="986"/>
  <c r="F72" i="986"/>
  <c r="D73" i="986"/>
  <c r="D72" i="986"/>
  <c r="D75" i="986"/>
  <c r="D74" i="986"/>
  <c r="H50" i="986"/>
  <c r="H49" i="986"/>
  <c r="I44" i="986"/>
  <c r="D24" i="985"/>
  <c r="F25" i="985"/>
  <c r="B3" i="985" s="1"/>
  <c r="D25" i="985"/>
  <c r="J19" i="985"/>
  <c r="H50" i="985"/>
  <c r="H49" i="985"/>
  <c r="H51" i="985" s="1"/>
  <c r="B59" i="985"/>
  <c r="F71" i="985"/>
  <c r="B71" i="985"/>
  <c r="J64" i="985"/>
  <c r="D64" i="985"/>
  <c r="E71" i="985"/>
  <c r="M64" i="985"/>
  <c r="I64" i="985"/>
  <c r="C64" i="985"/>
  <c r="A16" i="985"/>
  <c r="D71" i="985"/>
  <c r="L64" i="985"/>
  <c r="F64" i="985"/>
  <c r="B64" i="985"/>
  <c r="K64" i="985"/>
  <c r="C71" i="985"/>
  <c r="E64" i="985"/>
  <c r="D3" i="985"/>
  <c r="F3" i="985"/>
  <c r="I11" i="985"/>
  <c r="I1" i="985"/>
  <c r="C45" i="985"/>
  <c r="B52" i="985"/>
  <c r="B48" i="985"/>
  <c r="B46" i="985"/>
  <c r="B47" i="985"/>
  <c r="C58" i="985"/>
  <c r="C57" i="985"/>
  <c r="D56" i="985"/>
  <c r="J45" i="985"/>
  <c r="I48" i="985"/>
  <c r="I47" i="985"/>
  <c r="I46" i="985"/>
  <c r="B3" i="984"/>
  <c r="I1" i="984"/>
  <c r="C58" i="984"/>
  <c r="C57" i="984"/>
  <c r="D56" i="984"/>
  <c r="I45" i="984"/>
  <c r="H47" i="984"/>
  <c r="H48" i="984"/>
  <c r="H46" i="984"/>
  <c r="F71" i="984"/>
  <c r="B71" i="984"/>
  <c r="J64" i="984"/>
  <c r="D64" i="984"/>
  <c r="E71" i="984"/>
  <c r="M64" i="984"/>
  <c r="I64" i="984"/>
  <c r="C64" i="984"/>
  <c r="A16" i="984"/>
  <c r="D71" i="984"/>
  <c r="L64" i="984"/>
  <c r="F64" i="984"/>
  <c r="B64" i="984"/>
  <c r="K64" i="984"/>
  <c r="F3" i="984"/>
  <c r="E64" i="984"/>
  <c r="D3" i="984"/>
  <c r="C71" i="984"/>
  <c r="B50" i="984"/>
  <c r="B49" i="984"/>
  <c r="B53" i="984"/>
  <c r="B59" i="984"/>
  <c r="B54" i="984"/>
  <c r="C52" i="984"/>
  <c r="J19" i="984"/>
  <c r="D45" i="984"/>
  <c r="C48" i="984"/>
  <c r="C47" i="984"/>
  <c r="C46" i="984"/>
  <c r="B59" i="983"/>
  <c r="I11" i="983"/>
  <c r="I1" i="983"/>
  <c r="B50" i="983"/>
  <c r="B51" i="983" s="1"/>
  <c r="B49" i="983"/>
  <c r="B53" i="983"/>
  <c r="C58" i="983"/>
  <c r="C57" i="983"/>
  <c r="D56" i="983"/>
  <c r="J19" i="983"/>
  <c r="B3" i="983" s="1"/>
  <c r="F71" i="983"/>
  <c r="B71" i="983"/>
  <c r="J64" i="983"/>
  <c r="D64" i="983"/>
  <c r="E71" i="983"/>
  <c r="M64" i="983"/>
  <c r="I64" i="983"/>
  <c r="C64" i="983"/>
  <c r="D71" i="983"/>
  <c r="L64" i="983"/>
  <c r="F64" i="983"/>
  <c r="B64" i="983"/>
  <c r="K64" i="983"/>
  <c r="F3" i="983"/>
  <c r="E64" i="983"/>
  <c r="D3" i="983"/>
  <c r="C71" i="983"/>
  <c r="A16" i="983"/>
  <c r="B54" i="983"/>
  <c r="C52" i="983"/>
  <c r="I45" i="983"/>
  <c r="H47" i="983"/>
  <c r="H48" i="983"/>
  <c r="H46" i="983"/>
  <c r="D45" i="983"/>
  <c r="C48" i="983"/>
  <c r="C47" i="983"/>
  <c r="C46" i="983"/>
  <c r="J19" i="982"/>
  <c r="B3" i="982" s="1"/>
  <c r="I11" i="982"/>
  <c r="I1" i="982"/>
  <c r="B50" i="982"/>
  <c r="B49" i="982"/>
  <c r="B53" i="982"/>
  <c r="C58" i="982"/>
  <c r="C57" i="982"/>
  <c r="D56" i="982"/>
  <c r="F71" i="982"/>
  <c r="B71" i="982"/>
  <c r="J64" i="982"/>
  <c r="D64" i="982"/>
  <c r="E71" i="982"/>
  <c r="M64" i="982"/>
  <c r="I64" i="982"/>
  <c r="C64" i="982"/>
  <c r="D71" i="982"/>
  <c r="L64" i="982"/>
  <c r="F64" i="982"/>
  <c r="B64" i="982"/>
  <c r="K64" i="982"/>
  <c r="F3" i="982"/>
  <c r="E64" i="982"/>
  <c r="D3" i="982"/>
  <c r="A16" i="982"/>
  <c r="C71" i="982"/>
  <c r="B54" i="982"/>
  <c r="C52" i="982"/>
  <c r="B59" i="982"/>
  <c r="I45" i="982"/>
  <c r="H47" i="982"/>
  <c r="H48" i="982"/>
  <c r="H46" i="982"/>
  <c r="D45" i="982"/>
  <c r="C48" i="982"/>
  <c r="C47" i="982"/>
  <c r="C46" i="982"/>
  <c r="J19" i="981"/>
  <c r="B3" i="981" s="1"/>
  <c r="C58" i="981"/>
  <c r="C57" i="981"/>
  <c r="D56" i="981"/>
  <c r="I11" i="981"/>
  <c r="I1" i="981"/>
  <c r="B50" i="981"/>
  <c r="B49" i="981"/>
  <c r="B53" i="981"/>
  <c r="I45" i="981"/>
  <c r="H47" i="981"/>
  <c r="H48" i="981"/>
  <c r="H46" i="981"/>
  <c r="F71" i="981"/>
  <c r="B71" i="981"/>
  <c r="J64" i="981"/>
  <c r="D64" i="981"/>
  <c r="E71" i="981"/>
  <c r="M64" i="981"/>
  <c r="I64" i="981"/>
  <c r="C64" i="981"/>
  <c r="D71" i="981"/>
  <c r="L64" i="981"/>
  <c r="F64" i="981"/>
  <c r="B64" i="981"/>
  <c r="K64" i="981"/>
  <c r="F3" i="981"/>
  <c r="E64" i="981"/>
  <c r="D3" i="981"/>
  <c r="A16" i="981"/>
  <c r="C71" i="981"/>
  <c r="B54" i="981"/>
  <c r="C52" i="981"/>
  <c r="B59" i="981"/>
  <c r="D45" i="981"/>
  <c r="C48" i="981"/>
  <c r="C47" i="981"/>
  <c r="C46" i="981"/>
  <c r="J19" i="980"/>
  <c r="B3" i="980" s="1"/>
  <c r="I11" i="980"/>
  <c r="K67" i="980"/>
  <c r="K66" i="980"/>
  <c r="K69" i="980"/>
  <c r="K65" i="980"/>
  <c r="K68" i="980"/>
  <c r="C74" i="980"/>
  <c r="C73" i="980"/>
  <c r="C72" i="980"/>
  <c r="C75" i="980"/>
  <c r="C58" i="980"/>
  <c r="C57" i="980"/>
  <c r="D56" i="980"/>
  <c r="C45" i="980"/>
  <c r="B52" i="980"/>
  <c r="B48" i="980"/>
  <c r="B46" i="980"/>
  <c r="B47" i="980"/>
  <c r="O67" i="980"/>
  <c r="O66" i="980"/>
  <c r="O65" i="980"/>
  <c r="O68" i="980"/>
  <c r="I69" i="980"/>
  <c r="I65" i="980"/>
  <c r="I68" i="980"/>
  <c r="I67" i="980"/>
  <c r="I66" i="980"/>
  <c r="J68" i="980"/>
  <c r="J67" i="980"/>
  <c r="J66" i="980"/>
  <c r="J69" i="980"/>
  <c r="J65" i="980"/>
  <c r="B67" i="980"/>
  <c r="B66" i="980"/>
  <c r="B65" i="980"/>
  <c r="B68" i="980"/>
  <c r="D65" i="980"/>
  <c r="D68" i="980"/>
  <c r="D67" i="980"/>
  <c r="D66" i="980"/>
  <c r="N68" i="980"/>
  <c r="E68" i="980"/>
  <c r="N67" i="980"/>
  <c r="E67" i="980"/>
  <c r="N66" i="980"/>
  <c r="E66" i="980"/>
  <c r="N65" i="980"/>
  <c r="E65" i="980"/>
  <c r="B59" i="980"/>
  <c r="L66" i="980"/>
  <c r="N64" i="980"/>
  <c r="L65" i="980"/>
  <c r="L68" i="980"/>
  <c r="L67" i="980"/>
  <c r="M65" i="980"/>
  <c r="M68" i="980"/>
  <c r="M67" i="980"/>
  <c r="M66" i="980"/>
  <c r="O64" i="980"/>
  <c r="B75" i="980"/>
  <c r="B74" i="980"/>
  <c r="B73" i="980"/>
  <c r="B72" i="980"/>
  <c r="C66" i="980"/>
  <c r="C65" i="980"/>
  <c r="C68" i="980"/>
  <c r="C67" i="980"/>
  <c r="I45" i="980"/>
  <c r="H46" i="980"/>
  <c r="H47" i="980"/>
  <c r="H48" i="980"/>
  <c r="D73" i="980"/>
  <c r="D72" i="980"/>
  <c r="D75" i="980"/>
  <c r="D74" i="980"/>
  <c r="E72" i="980"/>
  <c r="E75" i="980"/>
  <c r="E74" i="980"/>
  <c r="E73" i="980"/>
  <c r="F75" i="980"/>
  <c r="F74" i="980"/>
  <c r="F73" i="980"/>
  <c r="F72" i="980"/>
  <c r="J19" i="979"/>
  <c r="B3" i="979" s="1"/>
  <c r="B53" i="979"/>
  <c r="C58" i="979"/>
  <c r="C57" i="979"/>
  <c r="D56" i="979"/>
  <c r="I11" i="979"/>
  <c r="I1" i="979"/>
  <c r="B50" i="979"/>
  <c r="B49" i="979"/>
  <c r="I45" i="979"/>
  <c r="H47" i="979"/>
  <c r="H48" i="979"/>
  <c r="H46" i="979"/>
  <c r="F71" i="979"/>
  <c r="B71" i="979"/>
  <c r="J64" i="979"/>
  <c r="D64" i="979"/>
  <c r="E71" i="979"/>
  <c r="M64" i="979"/>
  <c r="I64" i="979"/>
  <c r="C64" i="979"/>
  <c r="A16" i="979"/>
  <c r="D71" i="979"/>
  <c r="L64" i="979"/>
  <c r="F64" i="979"/>
  <c r="B64" i="979"/>
  <c r="K64" i="979"/>
  <c r="F3" i="979"/>
  <c r="E64" i="979"/>
  <c r="D3" i="979"/>
  <c r="C71" i="979"/>
  <c r="B54" i="979"/>
  <c r="C52" i="979"/>
  <c r="B59" i="979"/>
  <c r="D45" i="979"/>
  <c r="C48" i="979"/>
  <c r="C47" i="979"/>
  <c r="C46" i="979"/>
  <c r="B3" i="978"/>
  <c r="J19" i="978"/>
  <c r="H49" i="978"/>
  <c r="H50" i="978"/>
  <c r="H51" i="978"/>
  <c r="F71" i="978"/>
  <c r="B71" i="978"/>
  <c r="J64" i="978"/>
  <c r="D64" i="978"/>
  <c r="E71" i="978"/>
  <c r="M64" i="978"/>
  <c r="I64" i="978"/>
  <c r="C64" i="978"/>
  <c r="D71" i="978"/>
  <c r="L64" i="978"/>
  <c r="F64" i="978"/>
  <c r="B64" i="978"/>
  <c r="K64" i="978"/>
  <c r="A16" i="978"/>
  <c r="E64" i="978"/>
  <c r="F3" i="978"/>
  <c r="C71" i="978"/>
  <c r="D3" i="978"/>
  <c r="B59" i="978"/>
  <c r="I1" i="978"/>
  <c r="I11" i="978"/>
  <c r="C45" i="978"/>
  <c r="B52" i="978"/>
  <c r="B48" i="978"/>
  <c r="B46" i="978"/>
  <c r="B47" i="978"/>
  <c r="C58" i="978"/>
  <c r="C57" i="978"/>
  <c r="D56" i="978"/>
  <c r="J45" i="978"/>
  <c r="I48" i="978"/>
  <c r="I47" i="978"/>
  <c r="I46" i="978"/>
  <c r="B3" i="977"/>
  <c r="J19" i="977"/>
  <c r="I11" i="977"/>
  <c r="L66" i="977"/>
  <c r="N64" i="977"/>
  <c r="L65" i="977"/>
  <c r="L68" i="977"/>
  <c r="L67" i="977"/>
  <c r="M65" i="977"/>
  <c r="M68" i="977"/>
  <c r="M67" i="977"/>
  <c r="M66" i="977"/>
  <c r="O64" i="977"/>
  <c r="C58" i="977"/>
  <c r="C57" i="977"/>
  <c r="D56" i="977"/>
  <c r="D73" i="977"/>
  <c r="D72" i="977"/>
  <c r="D75" i="977"/>
  <c r="D74" i="977"/>
  <c r="E72" i="977"/>
  <c r="E75" i="977"/>
  <c r="E74" i="977"/>
  <c r="E73" i="977"/>
  <c r="F75" i="977"/>
  <c r="F74" i="977"/>
  <c r="F73" i="977"/>
  <c r="F72" i="977"/>
  <c r="C74" i="977"/>
  <c r="C73" i="977"/>
  <c r="C72" i="977"/>
  <c r="C75" i="977"/>
  <c r="K67" i="977"/>
  <c r="K66" i="977"/>
  <c r="K69" i="977"/>
  <c r="K65" i="977"/>
  <c r="K68" i="977"/>
  <c r="B67" i="977"/>
  <c r="B66" i="977"/>
  <c r="B65" i="977"/>
  <c r="B68" i="977"/>
  <c r="C66" i="977"/>
  <c r="C65" i="977"/>
  <c r="C68" i="977"/>
  <c r="C67" i="977"/>
  <c r="D65" i="977"/>
  <c r="D68" i="977"/>
  <c r="E68" i="977" s="1"/>
  <c r="E69" i="977" s="1"/>
  <c r="D67" i="977"/>
  <c r="D66" i="977"/>
  <c r="I45" i="977"/>
  <c r="H47" i="977"/>
  <c r="H48" i="977"/>
  <c r="H46" i="977"/>
  <c r="B75" i="977"/>
  <c r="B74" i="977"/>
  <c r="B73" i="977"/>
  <c r="B72" i="977"/>
  <c r="C45" i="977"/>
  <c r="B52" i="977"/>
  <c r="B48" i="977"/>
  <c r="B46" i="977"/>
  <c r="B47" i="977"/>
  <c r="B59" i="977"/>
  <c r="O67" i="977"/>
  <c r="O66" i="977"/>
  <c r="O65" i="977"/>
  <c r="O68" i="977"/>
  <c r="I69" i="977"/>
  <c r="I65" i="977"/>
  <c r="I68" i="977"/>
  <c r="I67" i="977"/>
  <c r="I66" i="977"/>
  <c r="J68" i="977"/>
  <c r="J67" i="977"/>
  <c r="J66" i="977"/>
  <c r="J69" i="977"/>
  <c r="J65" i="977"/>
  <c r="J19" i="976"/>
  <c r="B3" i="976" s="1"/>
  <c r="I11" i="976"/>
  <c r="O67" i="976"/>
  <c r="O66" i="976"/>
  <c r="O65" i="976"/>
  <c r="O68" i="976"/>
  <c r="C58" i="976"/>
  <c r="C57" i="976"/>
  <c r="D56" i="976"/>
  <c r="L66" i="976"/>
  <c r="N64" i="976"/>
  <c r="L65" i="976"/>
  <c r="L68" i="976"/>
  <c r="L67" i="976"/>
  <c r="M65" i="976"/>
  <c r="M68" i="976"/>
  <c r="M67" i="976"/>
  <c r="M66" i="976"/>
  <c r="O64" i="976"/>
  <c r="B75" i="976"/>
  <c r="B74" i="976"/>
  <c r="B73" i="976"/>
  <c r="B72" i="976"/>
  <c r="I69" i="976"/>
  <c r="I65" i="976"/>
  <c r="I68" i="976"/>
  <c r="I67" i="976"/>
  <c r="I66" i="976"/>
  <c r="J68" i="976"/>
  <c r="J67" i="976"/>
  <c r="J66" i="976"/>
  <c r="J69" i="976"/>
  <c r="J65" i="976"/>
  <c r="K67" i="976"/>
  <c r="K66" i="976"/>
  <c r="K69" i="976"/>
  <c r="K65" i="976"/>
  <c r="K68" i="976"/>
  <c r="N68" i="976"/>
  <c r="N67" i="976"/>
  <c r="E67" i="976"/>
  <c r="N66" i="976"/>
  <c r="E66" i="976"/>
  <c r="N65" i="976"/>
  <c r="E65" i="976"/>
  <c r="D73" i="976"/>
  <c r="D72" i="976"/>
  <c r="D75" i="976"/>
  <c r="D74" i="976"/>
  <c r="E72" i="976"/>
  <c r="E75" i="976"/>
  <c r="E74" i="976"/>
  <c r="E73" i="976"/>
  <c r="F75" i="976"/>
  <c r="F74" i="976"/>
  <c r="F73" i="976"/>
  <c r="F72" i="976"/>
  <c r="B59" i="976"/>
  <c r="I45" i="976"/>
  <c r="H47" i="976"/>
  <c r="H48" i="976"/>
  <c r="H46" i="976"/>
  <c r="C74" i="976"/>
  <c r="C73" i="976"/>
  <c r="C72" i="976"/>
  <c r="C75" i="976"/>
  <c r="B67" i="976"/>
  <c r="B66" i="976"/>
  <c r="B65" i="976"/>
  <c r="B68" i="976"/>
  <c r="C66" i="976"/>
  <c r="C65" i="976"/>
  <c r="C68" i="976"/>
  <c r="C67" i="976"/>
  <c r="D65" i="976"/>
  <c r="D68" i="976"/>
  <c r="E68" i="976" s="1"/>
  <c r="D67" i="976"/>
  <c r="D66" i="976"/>
  <c r="C45" i="976"/>
  <c r="B52" i="976"/>
  <c r="B48" i="976"/>
  <c r="B46" i="976"/>
  <c r="B47" i="976"/>
  <c r="B3" i="975"/>
  <c r="B59" i="975"/>
  <c r="H49" i="975"/>
  <c r="H50" i="975"/>
  <c r="J19" i="975"/>
  <c r="C58" i="975"/>
  <c r="C57" i="975"/>
  <c r="D56" i="975"/>
  <c r="F71" i="975"/>
  <c r="B71" i="975"/>
  <c r="J64" i="975"/>
  <c r="D64" i="975"/>
  <c r="E71" i="975"/>
  <c r="M64" i="975"/>
  <c r="I64" i="975"/>
  <c r="C64" i="975"/>
  <c r="D71" i="975"/>
  <c r="L64" i="975"/>
  <c r="F64" i="975"/>
  <c r="B64" i="975"/>
  <c r="K64" i="975"/>
  <c r="D3" i="975"/>
  <c r="E64" i="975"/>
  <c r="A16" i="975"/>
  <c r="C71" i="975"/>
  <c r="F3" i="975"/>
  <c r="I11" i="975"/>
  <c r="I1" i="975"/>
  <c r="C45" i="975"/>
  <c r="B52" i="975"/>
  <c r="B48" i="975"/>
  <c r="B46" i="975"/>
  <c r="B47" i="975"/>
  <c r="J45" i="975"/>
  <c r="I48" i="975"/>
  <c r="I47" i="975"/>
  <c r="I46" i="975"/>
  <c r="J19" i="974"/>
  <c r="E64" i="974"/>
  <c r="D3" i="974"/>
  <c r="I1" i="974"/>
  <c r="I11" i="974"/>
  <c r="D73" i="974"/>
  <c r="D72" i="974"/>
  <c r="D75" i="974"/>
  <c r="D74" i="974"/>
  <c r="M65" i="974"/>
  <c r="M68" i="974"/>
  <c r="M67" i="974"/>
  <c r="M66" i="974"/>
  <c r="O64" i="974"/>
  <c r="B75" i="974"/>
  <c r="B74" i="974"/>
  <c r="B73" i="974"/>
  <c r="B72" i="974"/>
  <c r="B67" i="974"/>
  <c r="B66" i="974"/>
  <c r="B65" i="974"/>
  <c r="B69" i="974" s="1"/>
  <c r="B68" i="974"/>
  <c r="E72" i="974"/>
  <c r="E75" i="974"/>
  <c r="E74" i="974"/>
  <c r="E73" i="974"/>
  <c r="F75" i="974"/>
  <c r="F74" i="974"/>
  <c r="F73" i="974"/>
  <c r="F72" i="974"/>
  <c r="C45" i="974"/>
  <c r="B52" i="974"/>
  <c r="B48" i="974"/>
  <c r="B46" i="974"/>
  <c r="B47" i="974"/>
  <c r="B3" i="974"/>
  <c r="C58" i="974"/>
  <c r="C57" i="974"/>
  <c r="D56" i="974"/>
  <c r="O67" i="974"/>
  <c r="O66" i="974"/>
  <c r="O65" i="974"/>
  <c r="O68" i="974"/>
  <c r="C66" i="974"/>
  <c r="C65" i="974"/>
  <c r="C68" i="974"/>
  <c r="C67" i="974"/>
  <c r="D65" i="974"/>
  <c r="D69" i="974" s="1"/>
  <c r="D68" i="974"/>
  <c r="D67" i="974"/>
  <c r="D66" i="974"/>
  <c r="I45" i="974"/>
  <c r="H47" i="974"/>
  <c r="H48" i="974"/>
  <c r="H46" i="974"/>
  <c r="C74" i="974"/>
  <c r="C73" i="974"/>
  <c r="C72" i="974"/>
  <c r="C75" i="974"/>
  <c r="K67" i="974"/>
  <c r="K66" i="974"/>
  <c r="K69" i="974"/>
  <c r="K65" i="974"/>
  <c r="K68" i="974"/>
  <c r="L66" i="974"/>
  <c r="N64" i="974"/>
  <c r="L65" i="974"/>
  <c r="L68" i="974"/>
  <c r="L67" i="974"/>
  <c r="I69" i="974"/>
  <c r="I65" i="974"/>
  <c r="I68" i="974"/>
  <c r="I67" i="974"/>
  <c r="I66" i="974"/>
  <c r="J68" i="974"/>
  <c r="J67" i="974"/>
  <c r="J66" i="974"/>
  <c r="J69" i="974"/>
  <c r="J65" i="974"/>
  <c r="B59" i="974"/>
  <c r="R95" i="1"/>
  <c r="J18" i="1"/>
  <c r="R3" i="1"/>
  <c r="K86" i="1"/>
  <c r="K85" i="1"/>
  <c r="K35" i="1"/>
  <c r="K79" i="1"/>
  <c r="R40" i="1"/>
  <c r="Q18" i="1"/>
  <c r="J42" i="1"/>
  <c r="Q15" i="1"/>
  <c r="Q66" i="1"/>
  <c r="R80" i="1"/>
  <c r="J15" i="1"/>
  <c r="R100" i="1"/>
  <c r="K18" i="1"/>
  <c r="Q14" i="1"/>
  <c r="Q42" i="1"/>
  <c r="K15" i="1"/>
  <c r="R56" i="1"/>
  <c r="R91" i="1"/>
  <c r="R93" i="1"/>
  <c r="J14" i="1"/>
  <c r="J35" i="1"/>
  <c r="K31" i="1"/>
  <c r="R4" i="1"/>
  <c r="K42" i="1"/>
  <c r="R61" i="1"/>
  <c r="K14" i="1"/>
  <c r="R73" i="1"/>
  <c r="R11" i="1"/>
  <c r="R64" i="1"/>
  <c r="K10" i="1"/>
  <c r="C40" i="988" l="1"/>
  <c r="M14" i="988"/>
  <c r="F142" i="988"/>
  <c r="J15" i="988" s="1"/>
  <c r="I13" i="988" s="1"/>
  <c r="C142" i="990"/>
  <c r="E40" i="993"/>
  <c r="F6" i="993" s="1"/>
  <c r="G68" i="993"/>
  <c r="F68" i="993" s="1"/>
  <c r="E59" i="1002"/>
  <c r="E40" i="1004"/>
  <c r="F6" i="1004" s="1"/>
  <c r="B14" i="1009"/>
  <c r="F34" i="1012"/>
  <c r="F34" i="1015"/>
  <c r="G40" i="1018"/>
  <c r="B4" i="1018" s="1"/>
  <c r="A54" i="1020"/>
  <c r="G59" i="1023"/>
  <c r="J59" i="1049"/>
  <c r="K59" i="1054"/>
  <c r="K59" i="1059"/>
  <c r="I59" i="1036"/>
  <c r="I59" i="1043"/>
  <c r="J59" i="1047"/>
  <c r="J59" i="1052"/>
  <c r="C59" i="979"/>
  <c r="F142" i="987"/>
  <c r="J15" i="987" s="1"/>
  <c r="I13" i="987" s="1"/>
  <c r="E40" i="992"/>
  <c r="F6" i="992" s="1"/>
  <c r="E40" i="995"/>
  <c r="F6" i="995" s="1"/>
  <c r="B33" i="999"/>
  <c r="C40" i="1001"/>
  <c r="B40" i="1002"/>
  <c r="C40" i="1005"/>
  <c r="E14" i="1006"/>
  <c r="A54" i="1007"/>
  <c r="E14" i="1009"/>
  <c r="B14" i="1012"/>
  <c r="A54" i="1014"/>
  <c r="D16" i="1015"/>
  <c r="B5" i="1018"/>
  <c r="E44" i="1025"/>
  <c r="H59" i="1030"/>
  <c r="B40" i="988"/>
  <c r="D40" i="988" s="1"/>
  <c r="G40" i="988" s="1"/>
  <c r="B4" i="988" s="1"/>
  <c r="C40" i="990"/>
  <c r="E40" i="990"/>
  <c r="F6" i="990" s="1"/>
  <c r="B33" i="995"/>
  <c r="F68" i="997"/>
  <c r="B40" i="998"/>
  <c r="E59" i="999"/>
  <c r="B5" i="1000"/>
  <c r="E59" i="1004"/>
  <c r="E142" i="1004"/>
  <c r="M14" i="1005"/>
  <c r="E62" i="1012"/>
  <c r="F16" i="1015"/>
  <c r="D14" i="1015"/>
  <c r="K59" i="1069"/>
  <c r="C59" i="976"/>
  <c r="B33" i="987"/>
  <c r="B33" i="990"/>
  <c r="B33" i="993"/>
  <c r="I15" i="1008"/>
  <c r="F59" i="1013"/>
  <c r="I6" i="1013" s="1"/>
  <c r="F59" i="1015"/>
  <c r="I6" i="1015" s="1"/>
  <c r="F59" i="1017"/>
  <c r="I6" i="1017" s="1"/>
  <c r="K59" i="1058"/>
  <c r="E53" i="988"/>
  <c r="D69" i="991"/>
  <c r="D142" i="992"/>
  <c r="M14" i="999"/>
  <c r="B40" i="1004"/>
  <c r="C76" i="993"/>
  <c r="F142" i="993"/>
  <c r="J15" i="993" s="1"/>
  <c r="I13" i="993" s="1"/>
  <c r="E40" i="999"/>
  <c r="F6" i="999" s="1"/>
  <c r="F33" i="1009"/>
  <c r="G40" i="1015"/>
  <c r="B4" i="1015" s="1"/>
  <c r="H62" i="1017"/>
  <c r="I59" i="1040"/>
  <c r="B5" i="1031"/>
  <c r="J16" i="1031"/>
  <c r="N3" i="1019"/>
  <c r="N4" i="1019"/>
  <c r="B16" i="1015"/>
  <c r="E14" i="1015"/>
  <c r="N3" i="1015"/>
  <c r="N4" i="1015"/>
  <c r="N3" i="1018"/>
  <c r="N4" i="1018"/>
  <c r="N3" i="998"/>
  <c r="N4" i="998"/>
  <c r="I15" i="1012"/>
  <c r="N3" i="1012"/>
  <c r="N4" i="1012"/>
  <c r="F16" i="1011"/>
  <c r="N4" i="1011"/>
  <c r="N3" i="1011"/>
  <c r="N3" i="1013"/>
  <c r="N4" i="1013"/>
  <c r="B69" i="989"/>
  <c r="C142" i="989" s="1"/>
  <c r="B16" i="1005"/>
  <c r="N4" i="1005"/>
  <c r="N3" i="1005"/>
  <c r="C142" i="1005"/>
  <c r="B5" i="1007"/>
  <c r="N4" i="1007"/>
  <c r="N3" i="1007"/>
  <c r="B16" i="1010"/>
  <c r="N3" i="1010"/>
  <c r="N4" i="1010"/>
  <c r="D16" i="1010"/>
  <c r="J16" i="1025"/>
  <c r="N3" i="1002"/>
  <c r="N4" i="1002"/>
  <c r="N4" i="1009"/>
  <c r="N3" i="1009"/>
  <c r="N3" i="1008"/>
  <c r="N4" i="1008"/>
  <c r="F33" i="1006"/>
  <c r="C142" i="987"/>
  <c r="J16" i="1022"/>
  <c r="C14" i="1017"/>
  <c r="D16" i="1017"/>
  <c r="J3" i="1017" s="1"/>
  <c r="J4" i="1017" s="1"/>
  <c r="N4" i="1017"/>
  <c r="N3" i="1017"/>
  <c r="F33" i="1017"/>
  <c r="N3" i="1014"/>
  <c r="N4" i="1014"/>
  <c r="C16" i="1020"/>
  <c r="N3" i="1020"/>
  <c r="N4" i="1020"/>
  <c r="B5" i="1024"/>
  <c r="B69" i="980"/>
  <c r="C59" i="983"/>
  <c r="C59" i="980"/>
  <c r="C59" i="977"/>
  <c r="D69" i="977"/>
  <c r="C59" i="975"/>
  <c r="E69" i="986"/>
  <c r="F142" i="986" s="1"/>
  <c r="J15" i="986" s="1"/>
  <c r="I13" i="986" s="1"/>
  <c r="K65" i="986"/>
  <c r="K69" i="986"/>
  <c r="K68" i="986"/>
  <c r="K67" i="986"/>
  <c r="K66" i="986"/>
  <c r="C59" i="985"/>
  <c r="C59" i="981"/>
  <c r="B69" i="976"/>
  <c r="C142" i="976" s="1"/>
  <c r="K59" i="1071"/>
  <c r="M56" i="1071"/>
  <c r="L58" i="1071"/>
  <c r="L57" i="1071"/>
  <c r="K59" i="1070"/>
  <c r="M56" i="1070"/>
  <c r="L58" i="1070"/>
  <c r="L57" i="1070"/>
  <c r="M56" i="1069"/>
  <c r="L58" i="1069"/>
  <c r="L57" i="1069"/>
  <c r="K59" i="1067"/>
  <c r="M56" i="1067"/>
  <c r="L58" i="1067"/>
  <c r="L57" i="1067"/>
  <c r="M56" i="1066"/>
  <c r="L58" i="1066"/>
  <c r="L57" i="1066"/>
  <c r="L59" i="1066" s="1"/>
  <c r="M56" i="1065"/>
  <c r="L58" i="1065"/>
  <c r="L57" i="1065"/>
  <c r="L59" i="1065" s="1"/>
  <c r="M56" i="1064"/>
  <c r="L58" i="1064"/>
  <c r="L57" i="1064"/>
  <c r="L59" i="1064" s="1"/>
  <c r="K59" i="1063"/>
  <c r="M56" i="1063"/>
  <c r="L58" i="1063"/>
  <c r="L57" i="1063"/>
  <c r="K59" i="1062"/>
  <c r="M56" i="1062"/>
  <c r="L58" i="1062"/>
  <c r="L57" i="1062"/>
  <c r="M56" i="1061"/>
  <c r="L58" i="1061"/>
  <c r="L57" i="1061"/>
  <c r="M58" i="1060"/>
  <c r="B61" i="1060" s="1"/>
  <c r="M57" i="1060"/>
  <c r="M56" i="1059"/>
  <c r="L58" i="1059"/>
  <c r="L57" i="1059"/>
  <c r="L59" i="1059" s="1"/>
  <c r="M56" i="1058"/>
  <c r="L58" i="1058"/>
  <c r="L57" i="1058"/>
  <c r="M56" i="1057"/>
  <c r="L58" i="1057"/>
  <c r="L57" i="1057"/>
  <c r="M56" i="1056"/>
  <c r="L58" i="1056"/>
  <c r="L57" i="1056"/>
  <c r="M56" i="1055"/>
  <c r="L58" i="1055"/>
  <c r="L57" i="1055"/>
  <c r="M56" i="1054"/>
  <c r="L58" i="1054"/>
  <c r="L57" i="1054"/>
  <c r="J59" i="1053"/>
  <c r="K58" i="1053"/>
  <c r="K57" i="1053"/>
  <c r="K59" i="1053" s="1"/>
  <c r="L56" i="1053"/>
  <c r="K58" i="1052"/>
  <c r="K57" i="1052"/>
  <c r="K59" i="1052" s="1"/>
  <c r="L56" i="1052"/>
  <c r="K58" i="1051"/>
  <c r="K57" i="1051"/>
  <c r="K59" i="1051" s="1"/>
  <c r="L56" i="1051"/>
  <c r="K58" i="1050"/>
  <c r="K57" i="1050"/>
  <c r="L56" i="1050"/>
  <c r="K58" i="1049"/>
  <c r="K57" i="1049"/>
  <c r="K59" i="1049" s="1"/>
  <c r="L56" i="1049"/>
  <c r="J59" i="1048"/>
  <c r="K58" i="1048"/>
  <c r="K57" i="1048"/>
  <c r="L56" i="1048"/>
  <c r="K58" i="1047"/>
  <c r="K57" i="1047"/>
  <c r="K59" i="1047" s="1"/>
  <c r="L56" i="1047"/>
  <c r="J59" i="1046"/>
  <c r="K58" i="1046"/>
  <c r="K57" i="1046"/>
  <c r="L56" i="1046"/>
  <c r="J59" i="1045"/>
  <c r="K58" i="1045"/>
  <c r="K57" i="1045"/>
  <c r="K59" i="1045" s="1"/>
  <c r="L56" i="1045"/>
  <c r="I59" i="1044"/>
  <c r="K56" i="1044"/>
  <c r="J58" i="1044"/>
  <c r="J57" i="1044"/>
  <c r="J59" i="1044" s="1"/>
  <c r="K56" i="1043"/>
  <c r="J58" i="1043"/>
  <c r="J57" i="1043"/>
  <c r="J59" i="1043" s="1"/>
  <c r="K56" i="1042"/>
  <c r="J58" i="1042"/>
  <c r="J57" i="1042"/>
  <c r="J59" i="1042" s="1"/>
  <c r="I59" i="1041"/>
  <c r="K56" i="1041"/>
  <c r="J58" i="1041"/>
  <c r="J57" i="1041"/>
  <c r="K56" i="1040"/>
  <c r="J58" i="1040"/>
  <c r="J57" i="1040"/>
  <c r="K56" i="1039"/>
  <c r="J58" i="1039"/>
  <c r="J57" i="1039"/>
  <c r="K56" i="1038"/>
  <c r="J58" i="1038"/>
  <c r="J57" i="1038"/>
  <c r="J59" i="1038" s="1"/>
  <c r="I59" i="1037"/>
  <c r="K56" i="1037"/>
  <c r="J58" i="1037"/>
  <c r="J57" i="1037"/>
  <c r="K56" i="1036"/>
  <c r="J58" i="1036"/>
  <c r="J57" i="1036"/>
  <c r="K56" i="1035"/>
  <c r="J58" i="1035"/>
  <c r="J57" i="1035"/>
  <c r="K56" i="1034"/>
  <c r="J58" i="1034"/>
  <c r="J57" i="1034"/>
  <c r="J59" i="1034" s="1"/>
  <c r="H59" i="1033"/>
  <c r="J56" i="1033"/>
  <c r="I58" i="1033"/>
  <c r="I57" i="1033"/>
  <c r="I59" i="1033" s="1"/>
  <c r="J56" i="1032"/>
  <c r="I58" i="1032"/>
  <c r="I57" i="1032"/>
  <c r="J56" i="1031"/>
  <c r="I58" i="1031"/>
  <c r="I57" i="1031"/>
  <c r="J56" i="1030"/>
  <c r="I58" i="1030"/>
  <c r="I57" i="1030"/>
  <c r="K9" i="1029"/>
  <c r="H59" i="1029"/>
  <c r="J56" i="1029"/>
  <c r="I58" i="1029"/>
  <c r="I57" i="1029"/>
  <c r="K9" i="1028"/>
  <c r="H59" i="1028"/>
  <c r="J56" i="1028"/>
  <c r="I58" i="1028"/>
  <c r="I57" i="1028"/>
  <c r="K9" i="1027"/>
  <c r="J56" i="1027"/>
  <c r="I58" i="1027"/>
  <c r="I57" i="1027"/>
  <c r="I59" i="1027" s="1"/>
  <c r="K9" i="1026"/>
  <c r="H59" i="1026"/>
  <c r="I58" i="1026"/>
  <c r="I57" i="1026"/>
  <c r="J56" i="1026"/>
  <c r="K3" i="1025"/>
  <c r="K4" i="1025" s="1"/>
  <c r="H62" i="1025"/>
  <c r="A53" i="1025"/>
  <c r="N6" i="1025" s="1"/>
  <c r="G59" i="1025"/>
  <c r="I56" i="1025"/>
  <c r="H57" i="1025"/>
  <c r="H59" i="1025" s="1"/>
  <c r="H58" i="1025"/>
  <c r="J16" i="1024"/>
  <c r="K51" i="1024"/>
  <c r="K62" i="1024"/>
  <c r="K44" i="1024"/>
  <c r="N62" i="1024"/>
  <c r="K9" i="1024"/>
  <c r="G59" i="1024"/>
  <c r="I56" i="1024"/>
  <c r="H57" i="1024"/>
  <c r="H59" i="1024" s="1"/>
  <c r="H58" i="1024"/>
  <c r="K3" i="1023"/>
  <c r="K4" i="1023" s="1"/>
  <c r="J3" i="1023"/>
  <c r="J4" i="1023" s="1"/>
  <c r="I3" i="1023"/>
  <c r="I4" i="1023" s="1"/>
  <c r="K62" i="1023"/>
  <c r="N62" i="1023"/>
  <c r="A53" i="1023"/>
  <c r="N6" i="1023" s="1"/>
  <c r="E44" i="1023"/>
  <c r="E62" i="1023"/>
  <c r="I56" i="1023"/>
  <c r="H57" i="1023"/>
  <c r="H58" i="1023"/>
  <c r="H62" i="1022"/>
  <c r="A53" i="1022"/>
  <c r="N6" i="1022" s="1"/>
  <c r="E62" i="1022"/>
  <c r="I3" i="1022"/>
  <c r="I4" i="1022" s="1"/>
  <c r="K3" i="1022"/>
  <c r="K4" i="1022" s="1"/>
  <c r="J3" i="1022"/>
  <c r="J4" i="1022" s="1"/>
  <c r="I56" i="1022"/>
  <c r="H57" i="1022"/>
  <c r="H59" i="1022" s="1"/>
  <c r="H58" i="1022"/>
  <c r="H62" i="1021"/>
  <c r="B14" i="1021"/>
  <c r="F34" i="1021"/>
  <c r="E14" i="1021"/>
  <c r="D14" i="1021"/>
  <c r="F14" i="1021"/>
  <c r="C14" i="1021"/>
  <c r="G14" i="1021"/>
  <c r="F33" i="1021"/>
  <c r="B5" i="1021" s="1"/>
  <c r="A53" i="1021"/>
  <c r="N6" i="1021" s="1"/>
  <c r="G59" i="1021"/>
  <c r="I56" i="1021"/>
  <c r="H57" i="1021"/>
  <c r="H58" i="1021"/>
  <c r="J51" i="1020"/>
  <c r="F16" i="1020"/>
  <c r="E16" i="1020"/>
  <c r="B16" i="1020"/>
  <c r="F15" i="1020"/>
  <c r="I15" i="1020"/>
  <c r="E15" i="1020"/>
  <c r="I9" i="1020"/>
  <c r="C15" i="1020"/>
  <c r="B15" i="1020"/>
  <c r="D15" i="1020"/>
  <c r="F59" i="1020"/>
  <c r="I6" i="1020" s="1"/>
  <c r="C53" i="1020"/>
  <c r="K50" i="1020"/>
  <c r="K49" i="1020"/>
  <c r="K62" i="1020" s="1"/>
  <c r="G58" i="1020"/>
  <c r="G57" i="1020"/>
  <c r="G59" i="1020" s="1"/>
  <c r="H56" i="1020"/>
  <c r="E50" i="1020"/>
  <c r="E51" i="1020" s="1"/>
  <c r="E49" i="1020"/>
  <c r="E44" i="1020" s="1"/>
  <c r="K51" i="1020"/>
  <c r="K62" i="1019"/>
  <c r="N62" i="1019"/>
  <c r="B15" i="1019"/>
  <c r="F15" i="1019"/>
  <c r="D15" i="1019"/>
  <c r="I15" i="1019"/>
  <c r="I9" i="1019"/>
  <c r="C15" i="1019"/>
  <c r="E15" i="1019"/>
  <c r="A54" i="1019"/>
  <c r="D16" i="1019"/>
  <c r="F16" i="1019"/>
  <c r="C16" i="1019"/>
  <c r="B16" i="1019"/>
  <c r="E16" i="1019"/>
  <c r="F59" i="1019"/>
  <c r="I6" i="1019" s="1"/>
  <c r="C53" i="1019"/>
  <c r="G58" i="1019"/>
  <c r="G57" i="1019"/>
  <c r="G59" i="1019" s="1"/>
  <c r="H56" i="1019"/>
  <c r="E50" i="1019"/>
  <c r="E51" i="1019" s="1"/>
  <c r="E49" i="1019"/>
  <c r="E44" i="1019" s="1"/>
  <c r="H62" i="1018"/>
  <c r="J44" i="1018"/>
  <c r="I15" i="1018"/>
  <c r="E62" i="1018"/>
  <c r="F16" i="1018"/>
  <c r="E16" i="1018"/>
  <c r="B16" i="1018"/>
  <c r="C16" i="1018"/>
  <c r="F59" i="1018"/>
  <c r="I6" i="1018" s="1"/>
  <c r="C53" i="1018"/>
  <c r="G58" i="1018"/>
  <c r="G57" i="1018"/>
  <c r="G59" i="1018" s="1"/>
  <c r="H56" i="1018"/>
  <c r="K50" i="1018"/>
  <c r="K44" i="1018" s="1"/>
  <c r="K49" i="1018"/>
  <c r="K62" i="1018" s="1"/>
  <c r="F16" i="1017"/>
  <c r="F14" i="1017"/>
  <c r="F34" i="1017"/>
  <c r="B14" i="1017"/>
  <c r="I15" i="1017"/>
  <c r="D14" i="1017"/>
  <c r="E14" i="1017"/>
  <c r="E62" i="1017"/>
  <c r="K3" i="1017"/>
  <c r="K4" i="1017" s="1"/>
  <c r="C53" i="1017"/>
  <c r="K50" i="1017"/>
  <c r="K44" i="1017" s="1"/>
  <c r="K49" i="1017"/>
  <c r="K51" i="1017" s="1"/>
  <c r="G58" i="1017"/>
  <c r="G57" i="1017"/>
  <c r="H56" i="1017"/>
  <c r="D51" i="1016"/>
  <c r="I15" i="1016"/>
  <c r="F15" i="1016"/>
  <c r="I9" i="1016"/>
  <c r="C15" i="1016"/>
  <c r="I3" i="1016" s="1"/>
  <c r="I4" i="1016" s="1"/>
  <c r="B15" i="1016"/>
  <c r="D15" i="1016"/>
  <c r="J3" i="1016" s="1"/>
  <c r="J4" i="1016" s="1"/>
  <c r="E15" i="1016"/>
  <c r="K3" i="1016" s="1"/>
  <c r="K4" i="1016" s="1"/>
  <c r="D44" i="1016"/>
  <c r="K6" i="1016" s="1"/>
  <c r="C53" i="1016"/>
  <c r="I56" i="1016"/>
  <c r="H57" i="1016"/>
  <c r="H58" i="1016"/>
  <c r="E50" i="1016"/>
  <c r="E51" i="1016" s="1"/>
  <c r="E49" i="1016"/>
  <c r="E44" i="1016" s="1"/>
  <c r="I14" i="1015"/>
  <c r="N62" i="1015"/>
  <c r="F33" i="1015"/>
  <c r="B5" i="1015" s="1"/>
  <c r="C15" i="1015"/>
  <c r="D15" i="1015"/>
  <c r="F15" i="1015"/>
  <c r="E15" i="1015"/>
  <c r="I15" i="1015"/>
  <c r="I9" i="1015"/>
  <c r="B15" i="1015"/>
  <c r="J3" i="1015"/>
  <c r="J4" i="1015" s="1"/>
  <c r="K3" i="1015"/>
  <c r="K4" i="1015" s="1"/>
  <c r="E50" i="1015"/>
  <c r="E51" i="1015" s="1"/>
  <c r="E49" i="1015"/>
  <c r="E62" i="1015" s="1"/>
  <c r="G58" i="1015"/>
  <c r="G57" i="1015"/>
  <c r="G59" i="1015" s="1"/>
  <c r="H56" i="1015"/>
  <c r="C53" i="1015"/>
  <c r="E16" i="1014"/>
  <c r="K3" i="1014" s="1"/>
  <c r="K4" i="1014" s="1"/>
  <c r="D16" i="1014"/>
  <c r="C16" i="1014"/>
  <c r="I3" i="1014" s="1"/>
  <c r="I4" i="1014" s="1"/>
  <c r="F16" i="1014"/>
  <c r="B16" i="1014"/>
  <c r="D15" i="1014"/>
  <c r="E15" i="1014"/>
  <c r="F15" i="1014"/>
  <c r="I15" i="1014"/>
  <c r="B15" i="1014"/>
  <c r="I9" i="1014"/>
  <c r="C15" i="1014"/>
  <c r="F59" i="1014"/>
  <c r="I6" i="1014" s="1"/>
  <c r="J3" i="1014"/>
  <c r="J4" i="1014" s="1"/>
  <c r="K50" i="1014"/>
  <c r="K44" i="1014" s="1"/>
  <c r="K49" i="1014"/>
  <c r="K62" i="1014" s="1"/>
  <c r="G58" i="1014"/>
  <c r="G57" i="1014"/>
  <c r="H56" i="1014"/>
  <c r="E50" i="1014"/>
  <c r="E51" i="1014" s="1"/>
  <c r="E49" i="1014"/>
  <c r="C53" i="1014"/>
  <c r="E16" i="1013"/>
  <c r="K3" i="1013" s="1"/>
  <c r="K4" i="1013" s="1"/>
  <c r="B16" i="1013"/>
  <c r="C16" i="1013"/>
  <c r="F16" i="1013"/>
  <c r="C15" i="1013"/>
  <c r="B15" i="1013"/>
  <c r="D15" i="1013"/>
  <c r="E15" i="1013"/>
  <c r="I15" i="1013"/>
  <c r="F15" i="1013"/>
  <c r="I9" i="1013"/>
  <c r="D16" i="1013"/>
  <c r="J3" i="1013" s="1"/>
  <c r="J4" i="1013" s="1"/>
  <c r="E50" i="1013"/>
  <c r="E51" i="1013" s="1"/>
  <c r="E49" i="1013"/>
  <c r="E44" i="1013" s="1"/>
  <c r="C53" i="1013"/>
  <c r="G58" i="1013"/>
  <c r="G57" i="1013"/>
  <c r="H56" i="1013"/>
  <c r="K50" i="1013"/>
  <c r="K44" i="1013" s="1"/>
  <c r="K49" i="1013"/>
  <c r="H62" i="1012"/>
  <c r="J62" i="1012"/>
  <c r="C14" i="1012"/>
  <c r="G14" i="1012"/>
  <c r="F33" i="1012"/>
  <c r="B5" i="1012" s="1"/>
  <c r="A53" i="1012"/>
  <c r="N6" i="1012" s="1"/>
  <c r="B16" i="1012"/>
  <c r="E16" i="1012"/>
  <c r="K3" i="1012" s="1"/>
  <c r="K4" i="1012" s="1"/>
  <c r="C16" i="1012"/>
  <c r="I3" i="1012" s="1"/>
  <c r="I4" i="1012" s="1"/>
  <c r="F16" i="1012"/>
  <c r="D16" i="1012"/>
  <c r="J3" i="1012" s="1"/>
  <c r="J4" i="1012" s="1"/>
  <c r="F59" i="1012"/>
  <c r="I6" i="1012" s="1"/>
  <c r="K50" i="1012"/>
  <c r="K44" i="1012" s="1"/>
  <c r="K49" i="1012"/>
  <c r="K62" i="1012" s="1"/>
  <c r="G58" i="1012"/>
  <c r="G57" i="1012"/>
  <c r="H56" i="1012"/>
  <c r="K51" i="1012"/>
  <c r="E15" i="1011"/>
  <c r="I15" i="1011"/>
  <c r="B15" i="1011"/>
  <c r="I9" i="1011"/>
  <c r="C15" i="1011"/>
  <c r="D15" i="1011"/>
  <c r="F15" i="1011"/>
  <c r="A54" i="1011"/>
  <c r="B16" i="1011"/>
  <c r="D16" i="1011"/>
  <c r="C16" i="1011"/>
  <c r="E16" i="1011"/>
  <c r="K3" i="1011"/>
  <c r="K4" i="1011" s="1"/>
  <c r="F59" i="1011"/>
  <c r="I6" i="1011" s="1"/>
  <c r="C53" i="1011"/>
  <c r="G58" i="1011"/>
  <c r="G57" i="1011"/>
  <c r="H56" i="1011"/>
  <c r="K50" i="1011"/>
  <c r="K49" i="1011"/>
  <c r="K51" i="1011" s="1"/>
  <c r="E50" i="1011"/>
  <c r="E51" i="1011" s="1"/>
  <c r="E49" i="1011"/>
  <c r="N62" i="1010"/>
  <c r="K62" i="1010"/>
  <c r="E16" i="1010"/>
  <c r="F16" i="1010"/>
  <c r="C16" i="1010"/>
  <c r="F15" i="1010"/>
  <c r="D15" i="1010"/>
  <c r="B15" i="1010"/>
  <c r="I15" i="1010"/>
  <c r="E15" i="1010"/>
  <c r="I9" i="1010"/>
  <c r="C15" i="1010"/>
  <c r="F59" i="1010"/>
  <c r="I6" i="1010" s="1"/>
  <c r="E50" i="1010"/>
  <c r="E51" i="1010" s="1"/>
  <c r="E49" i="1010"/>
  <c r="E44" i="1010" s="1"/>
  <c r="C53" i="1010"/>
  <c r="G58" i="1010"/>
  <c r="G57" i="1010"/>
  <c r="G59" i="1010" s="1"/>
  <c r="H56" i="1010"/>
  <c r="E51" i="1009"/>
  <c r="E16" i="1009"/>
  <c r="K3" i="1009" s="1"/>
  <c r="K4" i="1009" s="1"/>
  <c r="J51" i="1009"/>
  <c r="C16" i="1009"/>
  <c r="F34" i="1009"/>
  <c r="B5" i="1009" s="1"/>
  <c r="G14" i="1009"/>
  <c r="G40" i="1009"/>
  <c r="B4" i="1009" s="1"/>
  <c r="C14" i="1009"/>
  <c r="B16" i="1009"/>
  <c r="E44" i="1009"/>
  <c r="I3" i="1009"/>
  <c r="I4" i="1009" s="1"/>
  <c r="F16" i="1009"/>
  <c r="D16" i="1009"/>
  <c r="J3" i="1009" s="1"/>
  <c r="J4" i="1009" s="1"/>
  <c r="F59" i="1009"/>
  <c r="I6" i="1009" s="1"/>
  <c r="K50" i="1009"/>
  <c r="K44" i="1009" s="1"/>
  <c r="K49" i="1009"/>
  <c r="K51" i="1009" s="1"/>
  <c r="G58" i="1009"/>
  <c r="G57" i="1009"/>
  <c r="H56" i="1009"/>
  <c r="C53" i="1009"/>
  <c r="H62" i="1008"/>
  <c r="F16" i="1008"/>
  <c r="B16" i="1008"/>
  <c r="E44" i="1008"/>
  <c r="E62" i="1008"/>
  <c r="C16" i="1008"/>
  <c r="G14" i="1008"/>
  <c r="F34" i="1008"/>
  <c r="E14" i="1008"/>
  <c r="B14" i="1008"/>
  <c r="D14" i="1008"/>
  <c r="F14" i="1008"/>
  <c r="C14" i="1008"/>
  <c r="F33" i="1008"/>
  <c r="D16" i="1008"/>
  <c r="J3" i="1008" s="1"/>
  <c r="J4" i="1008" s="1"/>
  <c r="I3" i="1008"/>
  <c r="I4" i="1008" s="1"/>
  <c r="K3" i="1008"/>
  <c r="K4" i="1008" s="1"/>
  <c r="F59" i="1008"/>
  <c r="I6" i="1008" s="1"/>
  <c r="G58" i="1008"/>
  <c r="G57" i="1008"/>
  <c r="H56" i="1008"/>
  <c r="K50" i="1008"/>
  <c r="K44" i="1008" s="1"/>
  <c r="K49" i="1008"/>
  <c r="C53" i="1008"/>
  <c r="J51" i="1007"/>
  <c r="B15" i="1007"/>
  <c r="I15" i="1007"/>
  <c r="D15" i="1007"/>
  <c r="I9" i="1007"/>
  <c r="C15" i="1007"/>
  <c r="F15" i="1007"/>
  <c r="E15" i="1007"/>
  <c r="D142" i="1007"/>
  <c r="B16" i="1007"/>
  <c r="E16" i="1007"/>
  <c r="C16" i="1007"/>
  <c r="F16" i="1007"/>
  <c r="D16" i="1007"/>
  <c r="F59" i="1007"/>
  <c r="I6" i="1007" s="1"/>
  <c r="G58" i="1007"/>
  <c r="G57" i="1007"/>
  <c r="H56" i="1007"/>
  <c r="K50" i="1007"/>
  <c r="K44" i="1007" s="1"/>
  <c r="K49" i="1007"/>
  <c r="K51" i="1007" s="1"/>
  <c r="C53" i="1007"/>
  <c r="E50" i="1007"/>
  <c r="E51" i="1007" s="1"/>
  <c r="E49" i="1007"/>
  <c r="E44" i="1007" s="1"/>
  <c r="F69" i="1006"/>
  <c r="B14" i="1006"/>
  <c r="G40" i="1006"/>
  <c r="B4" i="1006" s="1"/>
  <c r="F34" i="1006"/>
  <c r="G14" i="1006"/>
  <c r="F14" i="1006"/>
  <c r="D16" i="1006"/>
  <c r="J50" i="1006"/>
  <c r="J44" i="1006" s="1"/>
  <c r="J49" i="1006"/>
  <c r="D50" i="1006"/>
  <c r="D49" i="1006"/>
  <c r="E52" i="1006"/>
  <c r="E54" i="1006" s="1"/>
  <c r="D54" i="1006"/>
  <c r="D53" i="1006"/>
  <c r="D44" i="1006"/>
  <c r="K6" i="1006" s="1"/>
  <c r="K48" i="1006"/>
  <c r="K47" i="1006"/>
  <c r="M62" i="1006" s="1"/>
  <c r="K46" i="1006"/>
  <c r="J62" i="1006" s="1"/>
  <c r="E48" i="1006"/>
  <c r="E47" i="1006"/>
  <c r="G62" i="1006" s="1"/>
  <c r="I14" i="1006" s="1"/>
  <c r="E46" i="1006"/>
  <c r="D62" i="1006" s="1"/>
  <c r="N5" i="1006" s="1"/>
  <c r="G56" i="1006"/>
  <c r="F58" i="1006"/>
  <c r="F57" i="1006"/>
  <c r="I14" i="1005"/>
  <c r="C16" i="1005"/>
  <c r="E16" i="1005"/>
  <c r="F16" i="1005"/>
  <c r="D16" i="1005"/>
  <c r="B15" i="1005"/>
  <c r="E15" i="1005"/>
  <c r="I9" i="1005"/>
  <c r="I15" i="1005"/>
  <c r="F15" i="1005"/>
  <c r="C15" i="1005"/>
  <c r="D15" i="1005"/>
  <c r="B40" i="1005"/>
  <c r="D40" i="1005" s="1"/>
  <c r="G40" i="1005" s="1"/>
  <c r="B4" i="1005" s="1"/>
  <c r="E40" i="1005"/>
  <c r="F6" i="1005" s="1"/>
  <c r="B33" i="1005"/>
  <c r="E14" i="1005" s="1"/>
  <c r="E59" i="1005"/>
  <c r="K48" i="1005"/>
  <c r="K47" i="1005"/>
  <c r="M62" i="1005" s="1"/>
  <c r="K46" i="1005"/>
  <c r="J62" i="1005" s="1"/>
  <c r="G56" i="1005"/>
  <c r="F58" i="1005"/>
  <c r="F57" i="1005"/>
  <c r="I3" i="1005"/>
  <c r="I4" i="1005" s="1"/>
  <c r="E50" i="1005"/>
  <c r="E51" i="1005" s="1"/>
  <c r="E49" i="1005"/>
  <c r="E44" i="1005" s="1"/>
  <c r="J50" i="1005"/>
  <c r="J44" i="1005" s="1"/>
  <c r="J49" i="1005"/>
  <c r="J51" i="1005" s="1"/>
  <c r="I15" i="1004"/>
  <c r="F69" i="1004"/>
  <c r="G56" i="1004"/>
  <c r="F58" i="1004"/>
  <c r="F57" i="1004"/>
  <c r="D40" i="1004"/>
  <c r="G40" i="1004" s="1"/>
  <c r="B4" i="1004" s="1"/>
  <c r="D53" i="1004"/>
  <c r="D14" i="1004"/>
  <c r="C14" i="1004"/>
  <c r="F33" i="1004"/>
  <c r="G14" i="1004"/>
  <c r="B14" i="1004"/>
  <c r="F14" i="1004"/>
  <c r="E14" i="1004"/>
  <c r="F34" i="1004"/>
  <c r="K48" i="1004"/>
  <c r="K47" i="1004"/>
  <c r="M62" i="1004" s="1"/>
  <c r="K46" i="1004"/>
  <c r="J62" i="1004" s="1"/>
  <c r="J50" i="1004"/>
  <c r="J44" i="1004" s="1"/>
  <c r="J49" i="1004"/>
  <c r="J51" i="1003"/>
  <c r="F69" i="1003"/>
  <c r="E59" i="1003"/>
  <c r="E48" i="1003"/>
  <c r="E47" i="1003"/>
  <c r="G62" i="1003" s="1"/>
  <c r="I14" i="1003" s="1"/>
  <c r="E46" i="1003"/>
  <c r="D62" i="1003" s="1"/>
  <c r="N5" i="1003" s="1"/>
  <c r="D40" i="1003"/>
  <c r="G40" i="1003" s="1"/>
  <c r="B4" i="1003" s="1"/>
  <c r="E52" i="1003"/>
  <c r="E54" i="1003" s="1"/>
  <c r="D54" i="1003"/>
  <c r="D53" i="1003"/>
  <c r="E14" i="1003"/>
  <c r="F14" i="1003"/>
  <c r="G14" i="1003"/>
  <c r="B14" i="1003"/>
  <c r="D14" i="1003"/>
  <c r="C14" i="1003"/>
  <c r="F33" i="1003"/>
  <c r="F34" i="1003"/>
  <c r="D50" i="1003"/>
  <c r="D51" i="1003" s="1"/>
  <c r="D49" i="1003"/>
  <c r="D44" i="1003" s="1"/>
  <c r="K6" i="1003" s="1"/>
  <c r="G56" i="1003"/>
  <c r="F58" i="1003"/>
  <c r="F57" i="1003"/>
  <c r="K50" i="1003"/>
  <c r="K44" i="1003" s="1"/>
  <c r="K49" i="1003"/>
  <c r="K51" i="1003" s="1"/>
  <c r="I14" i="1002"/>
  <c r="C142" i="1002"/>
  <c r="F16" i="1002"/>
  <c r="C16" i="1002"/>
  <c r="I3" i="1002" s="1"/>
  <c r="I4" i="1002" s="1"/>
  <c r="D16" i="1002"/>
  <c r="B16" i="1002"/>
  <c r="E16" i="1002"/>
  <c r="I9" i="1002"/>
  <c r="C15" i="1002"/>
  <c r="B15" i="1002"/>
  <c r="F15" i="1002"/>
  <c r="E15" i="1002"/>
  <c r="K3" i="1002" s="1"/>
  <c r="K4" i="1002" s="1"/>
  <c r="I15" i="1002"/>
  <c r="D15" i="1002"/>
  <c r="C40" i="1002"/>
  <c r="D40" i="1002" s="1"/>
  <c r="G40" i="1002" s="1"/>
  <c r="B4" i="1002" s="1"/>
  <c r="B33" i="1002"/>
  <c r="E14" i="1002" s="1"/>
  <c r="E40" i="1002"/>
  <c r="F6" i="1002" s="1"/>
  <c r="G14" i="1002"/>
  <c r="C14" i="1002"/>
  <c r="F34" i="1002"/>
  <c r="E50" i="1002"/>
  <c r="H62" i="1002" s="1"/>
  <c r="E49" i="1002"/>
  <c r="E62" i="1002" s="1"/>
  <c r="K48" i="1002"/>
  <c r="K47" i="1002"/>
  <c r="M62" i="1002" s="1"/>
  <c r="K46" i="1002"/>
  <c r="J62" i="1002" s="1"/>
  <c r="J3" i="1002"/>
  <c r="J4" i="1002" s="1"/>
  <c r="G56" i="1002"/>
  <c r="F58" i="1002"/>
  <c r="F57" i="1002"/>
  <c r="F59" i="1002" s="1"/>
  <c r="I6" i="1002" s="1"/>
  <c r="J50" i="1002"/>
  <c r="J44" i="1002" s="1"/>
  <c r="J49" i="1002"/>
  <c r="J51" i="1002" s="1"/>
  <c r="J51" i="1001"/>
  <c r="F69" i="1001"/>
  <c r="D16" i="1001" s="1"/>
  <c r="B40" i="1001"/>
  <c r="D40" i="1001" s="1"/>
  <c r="G40" i="1001" s="1"/>
  <c r="B4" i="1001" s="1"/>
  <c r="B33" i="1001"/>
  <c r="C14" i="1001" s="1"/>
  <c r="B16" i="1001"/>
  <c r="D53" i="1001"/>
  <c r="E52" i="1001"/>
  <c r="E54" i="1001" s="1"/>
  <c r="D54" i="1001"/>
  <c r="A54" i="1001" s="1"/>
  <c r="E48" i="1001"/>
  <c r="E47" i="1001"/>
  <c r="G62" i="1001" s="1"/>
  <c r="I14" i="1001" s="1"/>
  <c r="E46" i="1001"/>
  <c r="D62" i="1001" s="1"/>
  <c r="N5" i="1001" s="1"/>
  <c r="K50" i="1001"/>
  <c r="K49" i="1001"/>
  <c r="K51" i="1001" s="1"/>
  <c r="D50" i="1001"/>
  <c r="D51" i="1001" s="1"/>
  <c r="D49" i="1001"/>
  <c r="D44" i="1001" s="1"/>
  <c r="K6" i="1001" s="1"/>
  <c r="G56" i="1001"/>
  <c r="F58" i="1001"/>
  <c r="F57" i="1001"/>
  <c r="M62" i="1000"/>
  <c r="C44" i="1000"/>
  <c r="F69" i="1000"/>
  <c r="D16" i="1000" s="1"/>
  <c r="K48" i="1000"/>
  <c r="K47" i="1000"/>
  <c r="K46" i="1000"/>
  <c r="J62" i="1000" s="1"/>
  <c r="D53" i="1000"/>
  <c r="G56" i="1000"/>
  <c r="F58" i="1000"/>
  <c r="F57" i="1000"/>
  <c r="E52" i="1000"/>
  <c r="E54" i="1000" s="1"/>
  <c r="D54" i="1000"/>
  <c r="E48" i="1000"/>
  <c r="E47" i="1000"/>
  <c r="G62" i="1000" s="1"/>
  <c r="I14" i="1000" s="1"/>
  <c r="E46" i="1000"/>
  <c r="D62" i="1000" s="1"/>
  <c r="N5" i="1000" s="1"/>
  <c r="J50" i="1000"/>
  <c r="J44" i="1000" s="1"/>
  <c r="J49" i="1000"/>
  <c r="J51" i="1000" s="1"/>
  <c r="D50" i="1000"/>
  <c r="D51" i="1000" s="1"/>
  <c r="D49" i="1000"/>
  <c r="D44" i="1000" s="1"/>
  <c r="K6" i="1000" s="1"/>
  <c r="C51" i="999"/>
  <c r="F69" i="999"/>
  <c r="D16" i="999" s="1"/>
  <c r="D40" i="999"/>
  <c r="D50" i="999"/>
  <c r="D51" i="999" s="1"/>
  <c r="D49" i="999"/>
  <c r="J50" i="999"/>
  <c r="J44" i="999" s="1"/>
  <c r="J49" i="999"/>
  <c r="J51" i="999" s="1"/>
  <c r="E48" i="999"/>
  <c r="E47" i="999"/>
  <c r="G62" i="999" s="1"/>
  <c r="I14" i="999" s="1"/>
  <c r="E46" i="999"/>
  <c r="D62" i="999" s="1"/>
  <c r="N5" i="999" s="1"/>
  <c r="K48" i="999"/>
  <c r="K47" i="999"/>
  <c r="M62" i="999" s="1"/>
  <c r="K46" i="999"/>
  <c r="J62" i="999" s="1"/>
  <c r="G56" i="999"/>
  <c r="F58" i="999"/>
  <c r="F57" i="999"/>
  <c r="D53" i="999"/>
  <c r="D44" i="999"/>
  <c r="K6" i="999" s="1"/>
  <c r="E52" i="999"/>
  <c r="E54" i="999" s="1"/>
  <c r="D54" i="999"/>
  <c r="A54" i="999" s="1"/>
  <c r="D14" i="999"/>
  <c r="E14" i="999"/>
  <c r="C14" i="999"/>
  <c r="G14" i="999"/>
  <c r="B14" i="999"/>
  <c r="F14" i="999"/>
  <c r="F34" i="999"/>
  <c r="F33" i="999"/>
  <c r="I14" i="998"/>
  <c r="I44" i="998"/>
  <c r="D53" i="998"/>
  <c r="I9" i="998"/>
  <c r="I15" i="998"/>
  <c r="C15" i="998"/>
  <c r="D15" i="998"/>
  <c r="F15" i="998"/>
  <c r="B15" i="998"/>
  <c r="E15" i="998"/>
  <c r="D16" i="998"/>
  <c r="F16" i="998"/>
  <c r="C16" i="998"/>
  <c r="B16" i="998"/>
  <c r="E16" i="998"/>
  <c r="K3" i="998" s="1"/>
  <c r="K4" i="998" s="1"/>
  <c r="M14" i="998"/>
  <c r="C40" i="998"/>
  <c r="D40" i="998" s="1"/>
  <c r="G40" i="998" s="1"/>
  <c r="B4" i="998" s="1"/>
  <c r="E40" i="998"/>
  <c r="F6" i="998" s="1"/>
  <c r="B33" i="998"/>
  <c r="C14" i="998" s="1"/>
  <c r="D14" i="998"/>
  <c r="B14" i="998"/>
  <c r="G14" i="998"/>
  <c r="F34" i="998"/>
  <c r="E50" i="998"/>
  <c r="H62" i="998" s="1"/>
  <c r="E49" i="998"/>
  <c r="E62" i="998" s="1"/>
  <c r="K48" i="998"/>
  <c r="K47" i="998"/>
  <c r="M62" i="998" s="1"/>
  <c r="K46" i="998"/>
  <c r="J62" i="998" s="1"/>
  <c r="G56" i="998"/>
  <c r="F58" i="998"/>
  <c r="F57" i="998"/>
  <c r="F59" i="998" s="1"/>
  <c r="I6" i="998" s="1"/>
  <c r="E51" i="998"/>
  <c r="J50" i="998"/>
  <c r="J44" i="998" s="1"/>
  <c r="J49" i="998"/>
  <c r="J51" i="998" s="1"/>
  <c r="I3" i="998"/>
  <c r="I4" i="998" s="1"/>
  <c r="E44" i="998"/>
  <c r="C53" i="998"/>
  <c r="I9" i="997"/>
  <c r="C15" i="997"/>
  <c r="F15" i="997"/>
  <c r="E15" i="997"/>
  <c r="B15" i="997"/>
  <c r="D15" i="997"/>
  <c r="B40" i="997"/>
  <c r="B33" i="997"/>
  <c r="G14" i="997" s="1"/>
  <c r="E40" i="997"/>
  <c r="F6" i="997" s="1"/>
  <c r="C40" i="997"/>
  <c r="D40" i="997" s="1"/>
  <c r="G40" i="997" s="1"/>
  <c r="B4" i="997" s="1"/>
  <c r="M14" i="997"/>
  <c r="F69" i="997"/>
  <c r="F34" i="997"/>
  <c r="G56" i="997"/>
  <c r="F58" i="997"/>
  <c r="F57" i="997"/>
  <c r="J50" i="997"/>
  <c r="J44" i="997" s="1"/>
  <c r="J49" i="997"/>
  <c r="E50" i="997"/>
  <c r="E51" i="997" s="1"/>
  <c r="E49" i="997"/>
  <c r="E44" i="997" s="1"/>
  <c r="K48" i="997"/>
  <c r="K47" i="997"/>
  <c r="M62" i="997" s="1"/>
  <c r="K46" i="997"/>
  <c r="C53" i="997" s="1"/>
  <c r="E40" i="996"/>
  <c r="F6" i="996" s="1"/>
  <c r="B40" i="996"/>
  <c r="B33" i="996"/>
  <c r="D14" i="996" s="1"/>
  <c r="M14" i="996"/>
  <c r="C40" i="996"/>
  <c r="D59" i="996"/>
  <c r="G66" i="996"/>
  <c r="F66" i="996" s="1"/>
  <c r="G68" i="996"/>
  <c r="F68" i="996" s="1"/>
  <c r="G65" i="996"/>
  <c r="F65" i="996" s="1"/>
  <c r="J50" i="996"/>
  <c r="J44" i="996" s="1"/>
  <c r="J49" i="996"/>
  <c r="C50" i="996"/>
  <c r="C49" i="996"/>
  <c r="C44" i="996" s="1"/>
  <c r="K48" i="996"/>
  <c r="K47" i="996"/>
  <c r="M62" i="996" s="1"/>
  <c r="K46" i="996"/>
  <c r="J62" i="996" s="1"/>
  <c r="E45" i="996"/>
  <c r="D48" i="996"/>
  <c r="D47" i="996"/>
  <c r="D46" i="996"/>
  <c r="D40" i="996"/>
  <c r="G40" i="996" s="1"/>
  <c r="B4" i="996" s="1"/>
  <c r="F56" i="996"/>
  <c r="E58" i="996"/>
  <c r="E57" i="996"/>
  <c r="C51" i="996"/>
  <c r="E53" i="996"/>
  <c r="B51" i="996"/>
  <c r="E14" i="996"/>
  <c r="G14" i="996"/>
  <c r="C54" i="996"/>
  <c r="D52" i="996"/>
  <c r="H44" i="995"/>
  <c r="H51" i="995"/>
  <c r="D59" i="995"/>
  <c r="G65" i="995"/>
  <c r="F65" i="995" s="1"/>
  <c r="G68" i="995"/>
  <c r="F68" i="995" s="1"/>
  <c r="G66" i="995"/>
  <c r="F66" i="995" s="1"/>
  <c r="G67" i="995"/>
  <c r="F67" i="995" s="1"/>
  <c r="D40" i="995"/>
  <c r="G40" i="995" s="1"/>
  <c r="B4" i="995" s="1"/>
  <c r="K45" i="995"/>
  <c r="J48" i="995"/>
  <c r="J47" i="995"/>
  <c r="J46" i="995"/>
  <c r="C50" i="995"/>
  <c r="C51" i="995" s="1"/>
  <c r="C49" i="995"/>
  <c r="C44" i="995" s="1"/>
  <c r="C54" i="995"/>
  <c r="D52" i="995"/>
  <c r="E14" i="995"/>
  <c r="D14" i="995"/>
  <c r="C14" i="995"/>
  <c r="F14" i="995"/>
  <c r="B14" i="995"/>
  <c r="G14" i="995"/>
  <c r="F34" i="995"/>
  <c r="F33" i="995"/>
  <c r="B5" i="995" s="1"/>
  <c r="B44" i="995"/>
  <c r="F56" i="995"/>
  <c r="E58" i="995"/>
  <c r="E57" i="995"/>
  <c r="E45" i="995"/>
  <c r="D48" i="995"/>
  <c r="D47" i="995"/>
  <c r="D46" i="995"/>
  <c r="E53" i="995"/>
  <c r="B51" i="995"/>
  <c r="I50" i="995"/>
  <c r="I44" i="995" s="1"/>
  <c r="I49" i="995"/>
  <c r="I51" i="995" s="1"/>
  <c r="L69" i="994"/>
  <c r="F68" i="994"/>
  <c r="D69" i="994"/>
  <c r="E142" i="994" s="1"/>
  <c r="E69" i="994"/>
  <c r="F142" i="994" s="1"/>
  <c r="J15" i="994" s="1"/>
  <c r="I13" i="994" s="1"/>
  <c r="B69" i="994"/>
  <c r="G67" i="994"/>
  <c r="F67" i="994" s="1"/>
  <c r="B76" i="994"/>
  <c r="D59" i="994"/>
  <c r="E53" i="994"/>
  <c r="C40" i="994"/>
  <c r="D76" i="994"/>
  <c r="C142" i="994"/>
  <c r="E48" i="994"/>
  <c r="E47" i="994"/>
  <c r="G62" i="994" s="1"/>
  <c r="E46" i="994"/>
  <c r="D62" i="994" s="1"/>
  <c r="N5" i="994" s="1"/>
  <c r="D50" i="994"/>
  <c r="D51" i="994" s="1"/>
  <c r="D49" i="994"/>
  <c r="E76" i="994"/>
  <c r="I50" i="994"/>
  <c r="I44" i="994" s="1"/>
  <c r="I49" i="994"/>
  <c r="I51" i="994" s="1"/>
  <c r="E52" i="994"/>
  <c r="E54" i="994" s="1"/>
  <c r="D54" i="994"/>
  <c r="A54" i="994" s="1"/>
  <c r="K45" i="994"/>
  <c r="J48" i="994"/>
  <c r="J47" i="994"/>
  <c r="J46" i="994"/>
  <c r="D142" i="994"/>
  <c r="C76" i="994"/>
  <c r="F56" i="994"/>
  <c r="E58" i="994"/>
  <c r="E57" i="994"/>
  <c r="E59" i="994" s="1"/>
  <c r="I14" i="993"/>
  <c r="M14" i="993"/>
  <c r="B15" i="993"/>
  <c r="E15" i="993"/>
  <c r="I15" i="993"/>
  <c r="D15" i="993"/>
  <c r="I9" i="993"/>
  <c r="C15" i="993"/>
  <c r="F15" i="993"/>
  <c r="G65" i="993"/>
  <c r="F65" i="993" s="1"/>
  <c r="D59" i="993"/>
  <c r="G67" i="993"/>
  <c r="F67" i="993" s="1"/>
  <c r="G66" i="993"/>
  <c r="F66" i="993" s="1"/>
  <c r="H51" i="993"/>
  <c r="I50" i="993"/>
  <c r="I44" i="993" s="1"/>
  <c r="I49" i="993"/>
  <c r="I51" i="993" s="1"/>
  <c r="D40" i="993"/>
  <c r="G40" i="993" s="1"/>
  <c r="B4" i="993" s="1"/>
  <c r="E50" i="993"/>
  <c r="E51" i="993" s="1"/>
  <c r="E49" i="993"/>
  <c r="E44" i="993" s="1"/>
  <c r="F56" i="993"/>
  <c r="E58" i="993"/>
  <c r="E57" i="993"/>
  <c r="K45" i="993"/>
  <c r="J48" i="993"/>
  <c r="J47" i="993"/>
  <c r="J46" i="993"/>
  <c r="E52" i="993"/>
  <c r="E54" i="993" s="1"/>
  <c r="D54" i="993"/>
  <c r="H44" i="993"/>
  <c r="E14" i="993"/>
  <c r="D14" i="993"/>
  <c r="F14" i="993"/>
  <c r="B14" i="993"/>
  <c r="C14" i="993"/>
  <c r="G14" i="993"/>
  <c r="F33" i="993"/>
  <c r="F34" i="993"/>
  <c r="E53" i="993"/>
  <c r="B51" i="992"/>
  <c r="M14" i="992"/>
  <c r="B33" i="992"/>
  <c r="E14" i="992" s="1"/>
  <c r="H44" i="992"/>
  <c r="B40" i="992"/>
  <c r="D40" i="992" s="1"/>
  <c r="G40" i="992" s="1"/>
  <c r="B4" i="992" s="1"/>
  <c r="G67" i="992"/>
  <c r="F67" i="992" s="1"/>
  <c r="G68" i="992"/>
  <c r="F68" i="992" s="1"/>
  <c r="D59" i="992"/>
  <c r="G66" i="992"/>
  <c r="F66" i="992" s="1"/>
  <c r="E53" i="992"/>
  <c r="F56" i="992"/>
  <c r="E58" i="992"/>
  <c r="E57" i="992"/>
  <c r="I50" i="992"/>
  <c r="I44" i="992" s="1"/>
  <c r="I49" i="992"/>
  <c r="I51" i="992" s="1"/>
  <c r="E45" i="992"/>
  <c r="D48" i="992"/>
  <c r="D47" i="992"/>
  <c r="D46" i="992"/>
  <c r="H51" i="992"/>
  <c r="C50" i="992"/>
  <c r="C51" i="992" s="1"/>
  <c r="C49" i="992"/>
  <c r="C44" i="992" s="1"/>
  <c r="K45" i="992"/>
  <c r="J48" i="992"/>
  <c r="J47" i="992"/>
  <c r="J46" i="992"/>
  <c r="C54" i="992"/>
  <c r="D52" i="992"/>
  <c r="I51" i="991"/>
  <c r="B69" i="991"/>
  <c r="B44" i="991"/>
  <c r="C69" i="991"/>
  <c r="B40" i="991" s="1"/>
  <c r="F68" i="991"/>
  <c r="G67" i="991"/>
  <c r="F67" i="991" s="1"/>
  <c r="G65" i="991"/>
  <c r="F65" i="991" s="1"/>
  <c r="G66" i="991"/>
  <c r="F66" i="991" s="1"/>
  <c r="L69" i="991"/>
  <c r="D59" i="991"/>
  <c r="C142" i="991"/>
  <c r="E142" i="991"/>
  <c r="D142" i="991"/>
  <c r="F142" i="991"/>
  <c r="J15" i="991" s="1"/>
  <c r="I13" i="991" s="1"/>
  <c r="C40" i="991"/>
  <c r="E53" i="991"/>
  <c r="M14" i="991"/>
  <c r="C50" i="991"/>
  <c r="C51" i="991" s="1"/>
  <c r="C49" i="991"/>
  <c r="C44" i="991" s="1"/>
  <c r="D76" i="991"/>
  <c r="C54" i="991"/>
  <c r="D52" i="991"/>
  <c r="J50" i="991"/>
  <c r="J44" i="991" s="1"/>
  <c r="J49" i="991"/>
  <c r="J51" i="991" s="1"/>
  <c r="B76" i="991"/>
  <c r="C76" i="991"/>
  <c r="E45" i="991"/>
  <c r="D48" i="991"/>
  <c r="D47" i="991"/>
  <c r="D46" i="991"/>
  <c r="K48" i="991"/>
  <c r="K47" i="991"/>
  <c r="M62" i="991" s="1"/>
  <c r="K46" i="991"/>
  <c r="J62" i="991" s="1"/>
  <c r="E76" i="991"/>
  <c r="F56" i="991"/>
  <c r="E58" i="991"/>
  <c r="E57" i="991"/>
  <c r="B51" i="990"/>
  <c r="B44" i="990"/>
  <c r="D59" i="990"/>
  <c r="G67" i="990"/>
  <c r="F67" i="990" s="1"/>
  <c r="G66" i="990"/>
  <c r="F66" i="990" s="1"/>
  <c r="G65" i="990"/>
  <c r="F65" i="990" s="1"/>
  <c r="G68" i="990"/>
  <c r="F68" i="990" s="1"/>
  <c r="C50" i="990"/>
  <c r="C49" i="990"/>
  <c r="C44" i="990" s="1"/>
  <c r="H44" i="990"/>
  <c r="C54" i="990"/>
  <c r="D52" i="990"/>
  <c r="D40" i="990"/>
  <c r="G40" i="990" s="1"/>
  <c r="B4" i="990" s="1"/>
  <c r="I50" i="990"/>
  <c r="I44" i="990" s="1"/>
  <c r="I49" i="990"/>
  <c r="I51" i="990" s="1"/>
  <c r="E45" i="990"/>
  <c r="D48" i="990"/>
  <c r="D47" i="990"/>
  <c r="D46" i="990"/>
  <c r="G14" i="990"/>
  <c r="C14" i="990"/>
  <c r="F14" i="990"/>
  <c r="B14" i="990"/>
  <c r="E14" i="990"/>
  <c r="D14" i="990"/>
  <c r="F34" i="990"/>
  <c r="F33" i="990"/>
  <c r="K45" i="990"/>
  <c r="J48" i="990"/>
  <c r="J47" i="990"/>
  <c r="J46" i="990"/>
  <c r="E53" i="990"/>
  <c r="C51" i="990"/>
  <c r="F56" i="990"/>
  <c r="E58" i="990"/>
  <c r="E57" i="990"/>
  <c r="B40" i="987"/>
  <c r="E76" i="989"/>
  <c r="B51" i="989"/>
  <c r="I44" i="989"/>
  <c r="L69" i="989"/>
  <c r="D69" i="989"/>
  <c r="E142" i="989" s="1"/>
  <c r="C69" i="989"/>
  <c r="D142" i="989" s="1"/>
  <c r="E69" i="989"/>
  <c r="G66" i="989"/>
  <c r="F66" i="989" s="1"/>
  <c r="G67" i="989"/>
  <c r="F67" i="989" s="1"/>
  <c r="G68" i="989"/>
  <c r="F68" i="989" s="1"/>
  <c r="G65" i="989"/>
  <c r="F65" i="989" s="1"/>
  <c r="C50" i="989"/>
  <c r="C51" i="989" s="1"/>
  <c r="C49" i="989"/>
  <c r="C44" i="989" s="1"/>
  <c r="B76" i="989"/>
  <c r="B44" i="989"/>
  <c r="E45" i="989"/>
  <c r="D48" i="989"/>
  <c r="D47" i="989"/>
  <c r="D46" i="989"/>
  <c r="C54" i="989"/>
  <c r="D52" i="989"/>
  <c r="J50" i="989"/>
  <c r="J44" i="989" s="1"/>
  <c r="J49" i="989"/>
  <c r="J51" i="989" s="1"/>
  <c r="F56" i="989"/>
  <c r="E58" i="989"/>
  <c r="E57" i="989"/>
  <c r="E59" i="989" s="1"/>
  <c r="E53" i="989"/>
  <c r="D76" i="989"/>
  <c r="C76" i="989"/>
  <c r="K48" i="989"/>
  <c r="K47" i="989"/>
  <c r="M62" i="989" s="1"/>
  <c r="K46" i="989"/>
  <c r="J62" i="989" s="1"/>
  <c r="B33" i="988"/>
  <c r="C14" i="988" s="1"/>
  <c r="E40" i="988"/>
  <c r="F6" i="988" s="1"/>
  <c r="D59" i="988"/>
  <c r="G66" i="988"/>
  <c r="F66" i="988" s="1"/>
  <c r="G67" i="988"/>
  <c r="F67" i="988" s="1"/>
  <c r="G68" i="988"/>
  <c r="F68" i="988" s="1"/>
  <c r="G65" i="988"/>
  <c r="F65" i="988" s="1"/>
  <c r="E14" i="988"/>
  <c r="D14" i="988"/>
  <c r="F14" i="988"/>
  <c r="B14" i="988"/>
  <c r="G14" i="988"/>
  <c r="F33" i="988"/>
  <c r="I50" i="988"/>
  <c r="I44" i="988" s="1"/>
  <c r="I49" i="988"/>
  <c r="I51" i="988" s="1"/>
  <c r="F56" i="988"/>
  <c r="E58" i="988"/>
  <c r="E57" i="988"/>
  <c r="H44" i="988"/>
  <c r="D50" i="988"/>
  <c r="D51" i="988" s="1"/>
  <c r="D49" i="988"/>
  <c r="D44" i="988" s="1"/>
  <c r="K6" i="988" s="1"/>
  <c r="H51" i="988"/>
  <c r="E52" i="988"/>
  <c r="E54" i="988" s="1"/>
  <c r="D54" i="988"/>
  <c r="K45" i="988"/>
  <c r="J48" i="988"/>
  <c r="J47" i="988"/>
  <c r="J46" i="988"/>
  <c r="E48" i="988"/>
  <c r="E47" i="988"/>
  <c r="G62" i="988" s="1"/>
  <c r="I14" i="988" s="1"/>
  <c r="E46" i="988"/>
  <c r="D62" i="988" s="1"/>
  <c r="N5" i="988" s="1"/>
  <c r="C40" i="987"/>
  <c r="E40" i="987"/>
  <c r="F6" i="987" s="1"/>
  <c r="D59" i="987"/>
  <c r="G66" i="987"/>
  <c r="F66" i="987" s="1"/>
  <c r="G65" i="987"/>
  <c r="F65" i="987" s="1"/>
  <c r="E53" i="987"/>
  <c r="K50" i="987"/>
  <c r="K44" i="987" s="1"/>
  <c r="K49" i="987"/>
  <c r="K51" i="987" s="1"/>
  <c r="E14" i="987"/>
  <c r="D14" i="987"/>
  <c r="F14" i="987"/>
  <c r="G14" i="987"/>
  <c r="C14" i="987"/>
  <c r="B14" i="987"/>
  <c r="F33" i="987"/>
  <c r="F34" i="987"/>
  <c r="D53" i="987"/>
  <c r="F56" i="987"/>
  <c r="E58" i="987"/>
  <c r="E57" i="987"/>
  <c r="E59" i="987" s="1"/>
  <c r="D50" i="987"/>
  <c r="D51" i="987" s="1"/>
  <c r="D49" i="987"/>
  <c r="D44" i="987" s="1"/>
  <c r="K6" i="987" s="1"/>
  <c r="D40" i="987"/>
  <c r="E52" i="987"/>
  <c r="E54" i="987" s="1"/>
  <c r="D54" i="987"/>
  <c r="A54" i="987" s="1"/>
  <c r="E48" i="987"/>
  <c r="E47" i="987"/>
  <c r="G62" i="987" s="1"/>
  <c r="E46" i="987"/>
  <c r="D62" i="987" s="1"/>
  <c r="N5" i="987" s="1"/>
  <c r="B69" i="986"/>
  <c r="C69" i="986"/>
  <c r="D142" i="986" s="1"/>
  <c r="D69" i="986"/>
  <c r="E40" i="986" s="1"/>
  <c r="F6" i="986" s="1"/>
  <c r="C59" i="986"/>
  <c r="C142" i="986"/>
  <c r="J50" i="986"/>
  <c r="J44" i="986" s="1"/>
  <c r="J49" i="986"/>
  <c r="J51" i="986" s="1"/>
  <c r="K48" i="986"/>
  <c r="K47" i="986"/>
  <c r="M62" i="986" s="1"/>
  <c r="K46" i="986"/>
  <c r="J62" i="986" s="1"/>
  <c r="C76" i="986"/>
  <c r="B50" i="986"/>
  <c r="B49" i="986"/>
  <c r="D76" i="986"/>
  <c r="E56" i="986"/>
  <c r="D58" i="986"/>
  <c r="D57" i="986"/>
  <c r="B76" i="986"/>
  <c r="H44" i="986"/>
  <c r="H51" i="986"/>
  <c r="B54" i="986"/>
  <c r="C52" i="986"/>
  <c r="E76" i="986"/>
  <c r="B53" i="986"/>
  <c r="D45" i="986"/>
  <c r="C48" i="986"/>
  <c r="C47" i="986"/>
  <c r="C46" i="986"/>
  <c r="E56" i="985"/>
  <c r="D57" i="985"/>
  <c r="G68" i="985" s="1"/>
  <c r="D58" i="985"/>
  <c r="B53" i="985"/>
  <c r="K67" i="985"/>
  <c r="K66" i="985"/>
  <c r="K69" i="985"/>
  <c r="K65" i="985"/>
  <c r="K68" i="985"/>
  <c r="D73" i="985"/>
  <c r="D72" i="985"/>
  <c r="D75" i="985"/>
  <c r="D74" i="985"/>
  <c r="M65" i="985"/>
  <c r="M68" i="985"/>
  <c r="M67" i="985"/>
  <c r="M66" i="985"/>
  <c r="O64" i="985"/>
  <c r="B75" i="985"/>
  <c r="B74" i="985"/>
  <c r="B73" i="985"/>
  <c r="B72" i="985"/>
  <c r="B50" i="985"/>
  <c r="B49" i="985"/>
  <c r="B67" i="985"/>
  <c r="B66" i="985"/>
  <c r="B65" i="985"/>
  <c r="B68" i="985"/>
  <c r="E72" i="985"/>
  <c r="E75" i="985"/>
  <c r="E74" i="985"/>
  <c r="E73" i="985"/>
  <c r="F75" i="985"/>
  <c r="F74" i="985"/>
  <c r="F73" i="985"/>
  <c r="F72" i="985"/>
  <c r="I50" i="985"/>
  <c r="I44" i="985" s="1"/>
  <c r="I49" i="985"/>
  <c r="I51" i="985" s="1"/>
  <c r="B54" i="985"/>
  <c r="C52" i="985"/>
  <c r="N68" i="985"/>
  <c r="N67" i="985"/>
  <c r="E67" i="985"/>
  <c r="N66" i="985"/>
  <c r="E66" i="985"/>
  <c r="N65" i="985"/>
  <c r="E65" i="985"/>
  <c r="G66" i="985"/>
  <c r="G65" i="985"/>
  <c r="O67" i="985"/>
  <c r="F67" i="985"/>
  <c r="O66" i="985"/>
  <c r="F66" i="985"/>
  <c r="O65" i="985"/>
  <c r="F65" i="985"/>
  <c r="O68" i="985"/>
  <c r="C66" i="985"/>
  <c r="C65" i="985"/>
  <c r="C68" i="985"/>
  <c r="C67" i="985"/>
  <c r="D65" i="985"/>
  <c r="D68" i="985"/>
  <c r="E68" i="985" s="1"/>
  <c r="D67" i="985"/>
  <c r="D66" i="985"/>
  <c r="H44" i="985"/>
  <c r="K45" i="985"/>
  <c r="J48" i="985"/>
  <c r="J47" i="985"/>
  <c r="J46" i="985"/>
  <c r="D45" i="985"/>
  <c r="C48" i="985"/>
  <c r="C47" i="985"/>
  <c r="C46" i="985"/>
  <c r="C74" i="985"/>
  <c r="C73" i="985"/>
  <c r="C72" i="985"/>
  <c r="C75" i="985"/>
  <c r="L66" i="985"/>
  <c r="N64" i="985"/>
  <c r="L65" i="985"/>
  <c r="L68" i="985"/>
  <c r="L67" i="985"/>
  <c r="I69" i="985"/>
  <c r="I65" i="985"/>
  <c r="I68" i="985"/>
  <c r="I67" i="985"/>
  <c r="I66" i="985"/>
  <c r="J68" i="985"/>
  <c r="J67" i="985"/>
  <c r="J66" i="985"/>
  <c r="J69" i="985"/>
  <c r="J65" i="985"/>
  <c r="B44" i="984"/>
  <c r="C59" i="984"/>
  <c r="C50" i="984"/>
  <c r="C49" i="984"/>
  <c r="C44" i="984" s="1"/>
  <c r="N68" i="984"/>
  <c r="N67" i="984"/>
  <c r="E67" i="984"/>
  <c r="N66" i="984"/>
  <c r="E66" i="984"/>
  <c r="N65" i="984"/>
  <c r="E65" i="984"/>
  <c r="B67" i="984"/>
  <c r="B66" i="984"/>
  <c r="B65" i="984"/>
  <c r="B68" i="984"/>
  <c r="E72" i="984"/>
  <c r="E75" i="984"/>
  <c r="E74" i="984"/>
  <c r="E73" i="984"/>
  <c r="F75" i="984"/>
  <c r="F74" i="984"/>
  <c r="F73" i="984"/>
  <c r="F72" i="984"/>
  <c r="J45" i="984"/>
  <c r="I48" i="984"/>
  <c r="I47" i="984"/>
  <c r="I46" i="984"/>
  <c r="E45" i="984"/>
  <c r="D48" i="984"/>
  <c r="D47" i="984"/>
  <c r="D46" i="984"/>
  <c r="C54" i="984"/>
  <c r="D52" i="984"/>
  <c r="O67" i="984"/>
  <c r="O66" i="984"/>
  <c r="O65" i="984"/>
  <c r="O68" i="984"/>
  <c r="C66" i="984"/>
  <c r="C65" i="984"/>
  <c r="C69" i="984" s="1"/>
  <c r="C68" i="984"/>
  <c r="C67" i="984"/>
  <c r="D65" i="984"/>
  <c r="D68" i="984"/>
  <c r="E68" i="984" s="1"/>
  <c r="D67" i="984"/>
  <c r="D66" i="984"/>
  <c r="E56" i="984"/>
  <c r="D57" i="984"/>
  <c r="D58" i="984"/>
  <c r="B51" i="984"/>
  <c r="C74" i="984"/>
  <c r="C73" i="984"/>
  <c r="C72" i="984"/>
  <c r="C75" i="984"/>
  <c r="L66" i="984"/>
  <c r="N64" i="984"/>
  <c r="L65" i="984"/>
  <c r="L68" i="984"/>
  <c r="L67" i="984"/>
  <c r="I69" i="984"/>
  <c r="I65" i="984"/>
  <c r="I68" i="984"/>
  <c r="I67" i="984"/>
  <c r="I66" i="984"/>
  <c r="J68" i="984"/>
  <c r="J67" i="984"/>
  <c r="J66" i="984"/>
  <c r="J69" i="984"/>
  <c r="J65" i="984"/>
  <c r="H49" i="984"/>
  <c r="H50" i="984"/>
  <c r="C51" i="984"/>
  <c r="K67" i="984"/>
  <c r="K66" i="984"/>
  <c r="K69" i="984"/>
  <c r="K65" i="984"/>
  <c r="K68" i="984"/>
  <c r="D73" i="984"/>
  <c r="D72" i="984"/>
  <c r="D75" i="984"/>
  <c r="D74" i="984"/>
  <c r="M65" i="984"/>
  <c r="M68" i="984"/>
  <c r="M67" i="984"/>
  <c r="M66" i="984"/>
  <c r="O64" i="984"/>
  <c r="B75" i="984"/>
  <c r="B74" i="984"/>
  <c r="B73" i="984"/>
  <c r="B72" i="984"/>
  <c r="E45" i="983"/>
  <c r="D48" i="983"/>
  <c r="D47" i="983"/>
  <c r="D46" i="983"/>
  <c r="H49" i="983"/>
  <c r="H51" i="983" s="1"/>
  <c r="H50" i="983"/>
  <c r="N68" i="983"/>
  <c r="N67" i="983"/>
  <c r="E67" i="983"/>
  <c r="N66" i="983"/>
  <c r="E66" i="983"/>
  <c r="N65" i="983"/>
  <c r="E65" i="983"/>
  <c r="B67" i="983"/>
  <c r="B66" i="983"/>
  <c r="B65" i="983"/>
  <c r="B68" i="983"/>
  <c r="C66" i="983"/>
  <c r="C65" i="983"/>
  <c r="C68" i="983"/>
  <c r="C67" i="983"/>
  <c r="D65" i="983"/>
  <c r="D68" i="983"/>
  <c r="E68" i="983" s="1"/>
  <c r="D67" i="983"/>
  <c r="D66" i="983"/>
  <c r="B44" i="983"/>
  <c r="O67" i="983"/>
  <c r="O66" i="983"/>
  <c r="O65" i="983"/>
  <c r="O68" i="983"/>
  <c r="I69" i="983"/>
  <c r="I65" i="983"/>
  <c r="I68" i="983"/>
  <c r="I67" i="983"/>
  <c r="I66" i="983"/>
  <c r="J68" i="983"/>
  <c r="J67" i="983"/>
  <c r="J66" i="983"/>
  <c r="J69" i="983"/>
  <c r="J65" i="983"/>
  <c r="E56" i="983"/>
  <c r="D57" i="983"/>
  <c r="D58" i="983"/>
  <c r="J45" i="983"/>
  <c r="I48" i="983"/>
  <c r="I47" i="983"/>
  <c r="I46" i="983"/>
  <c r="C74" i="983"/>
  <c r="C73" i="983"/>
  <c r="C72" i="983"/>
  <c r="C75" i="983"/>
  <c r="L66" i="983"/>
  <c r="N64" i="983"/>
  <c r="L65" i="983"/>
  <c r="L68" i="983"/>
  <c r="L67" i="983"/>
  <c r="M65" i="983"/>
  <c r="M68" i="983"/>
  <c r="M67" i="983"/>
  <c r="M66" i="983"/>
  <c r="O64" i="983"/>
  <c r="B75" i="983"/>
  <c r="B74" i="983"/>
  <c r="B73" i="983"/>
  <c r="B72" i="983"/>
  <c r="C50" i="983"/>
  <c r="C51" i="983" s="1"/>
  <c r="C49" i="983"/>
  <c r="C44" i="983" s="1"/>
  <c r="C54" i="983"/>
  <c r="D52" i="983"/>
  <c r="K67" i="983"/>
  <c r="K66" i="983"/>
  <c r="K69" i="983"/>
  <c r="K65" i="983"/>
  <c r="K68" i="983"/>
  <c r="D73" i="983"/>
  <c r="D72" i="983"/>
  <c r="D75" i="983"/>
  <c r="D74" i="983"/>
  <c r="E72" i="983"/>
  <c r="E75" i="983"/>
  <c r="E74" i="983"/>
  <c r="E73" i="983"/>
  <c r="F75" i="983"/>
  <c r="F74" i="983"/>
  <c r="F73" i="983"/>
  <c r="F72" i="983"/>
  <c r="B51" i="982"/>
  <c r="B44" i="982"/>
  <c r="C59" i="982"/>
  <c r="E45" i="982"/>
  <c r="D48" i="982"/>
  <c r="D47" i="982"/>
  <c r="D46" i="982"/>
  <c r="H49" i="982"/>
  <c r="H50" i="982"/>
  <c r="H44" i="982" s="1"/>
  <c r="L66" i="982"/>
  <c r="N64" i="982"/>
  <c r="L65" i="982"/>
  <c r="L68" i="982"/>
  <c r="L67" i="982"/>
  <c r="M65" i="982"/>
  <c r="M68" i="982"/>
  <c r="M67" i="982"/>
  <c r="M66" i="982"/>
  <c r="O64" i="982"/>
  <c r="B75" i="982"/>
  <c r="B74" i="982"/>
  <c r="B73" i="982"/>
  <c r="B72" i="982"/>
  <c r="C54" i="982"/>
  <c r="D52" i="982"/>
  <c r="K67" i="982"/>
  <c r="K66" i="982"/>
  <c r="K69" i="982"/>
  <c r="K65" i="982"/>
  <c r="K68" i="982"/>
  <c r="D73" i="982"/>
  <c r="D72" i="982"/>
  <c r="D75" i="982"/>
  <c r="D74" i="982"/>
  <c r="E72" i="982"/>
  <c r="E75" i="982"/>
  <c r="E74" i="982"/>
  <c r="E73" i="982"/>
  <c r="F75" i="982"/>
  <c r="F74" i="982"/>
  <c r="F73" i="982"/>
  <c r="F72" i="982"/>
  <c r="J45" i="982"/>
  <c r="I48" i="982"/>
  <c r="I47" i="982"/>
  <c r="I46" i="982"/>
  <c r="N68" i="982"/>
  <c r="N67" i="982"/>
  <c r="E67" i="982"/>
  <c r="N66" i="982"/>
  <c r="E66" i="982"/>
  <c r="N65" i="982"/>
  <c r="E65" i="982"/>
  <c r="B67" i="982"/>
  <c r="B66" i="982"/>
  <c r="B65" i="982"/>
  <c r="B68" i="982"/>
  <c r="C66" i="982"/>
  <c r="C65" i="982"/>
  <c r="C68" i="982"/>
  <c r="C67" i="982"/>
  <c r="D65" i="982"/>
  <c r="D68" i="982"/>
  <c r="E68" i="982" s="1"/>
  <c r="D67" i="982"/>
  <c r="D66" i="982"/>
  <c r="E56" i="982"/>
  <c r="D57" i="982"/>
  <c r="D58" i="982"/>
  <c r="C50" i="982"/>
  <c r="C51" i="982" s="1"/>
  <c r="C49" i="982"/>
  <c r="C44" i="982" s="1"/>
  <c r="H51" i="982"/>
  <c r="C74" i="982"/>
  <c r="C73" i="982"/>
  <c r="C72" i="982"/>
  <c r="C75" i="982"/>
  <c r="O67" i="982"/>
  <c r="O66" i="982"/>
  <c r="O65" i="982"/>
  <c r="O68" i="982"/>
  <c r="I69" i="982"/>
  <c r="I65" i="982"/>
  <c r="I68" i="982"/>
  <c r="I67" i="982"/>
  <c r="I66" i="982"/>
  <c r="J68" i="982"/>
  <c r="J67" i="982"/>
  <c r="J66" i="982"/>
  <c r="J69" i="982"/>
  <c r="J65" i="982"/>
  <c r="B51" i="981"/>
  <c r="B44" i="981"/>
  <c r="C74" i="981"/>
  <c r="C73" i="981"/>
  <c r="C72" i="981"/>
  <c r="C75" i="981"/>
  <c r="E45" i="981"/>
  <c r="D48" i="981"/>
  <c r="D47" i="981"/>
  <c r="D46" i="981"/>
  <c r="L66" i="981"/>
  <c r="N64" i="981"/>
  <c r="L69" i="981"/>
  <c r="L65" i="981"/>
  <c r="L68" i="981"/>
  <c r="L67" i="981"/>
  <c r="M65" i="981"/>
  <c r="M68" i="981"/>
  <c r="M67" i="981"/>
  <c r="M66" i="981"/>
  <c r="O64" i="981"/>
  <c r="B75" i="981"/>
  <c r="B74" i="981"/>
  <c r="B73" i="981"/>
  <c r="B72" i="981"/>
  <c r="E56" i="981"/>
  <c r="D57" i="981"/>
  <c r="G65" i="981" s="1"/>
  <c r="F65" i="981" s="1"/>
  <c r="D58" i="981"/>
  <c r="C50" i="981"/>
  <c r="C49" i="981"/>
  <c r="C44" i="981" s="1"/>
  <c r="O67" i="981"/>
  <c r="O66" i="981"/>
  <c r="O65" i="981"/>
  <c r="O68" i="981"/>
  <c r="I69" i="981"/>
  <c r="I65" i="981"/>
  <c r="I68" i="981"/>
  <c r="I67" i="981"/>
  <c r="I66" i="981"/>
  <c r="J68" i="981"/>
  <c r="J67" i="981"/>
  <c r="J66" i="981"/>
  <c r="J69" i="981"/>
  <c r="J65" i="981"/>
  <c r="H49" i="981"/>
  <c r="H50" i="981"/>
  <c r="C54" i="981"/>
  <c r="D52" i="981"/>
  <c r="K67" i="981"/>
  <c r="K66" i="981"/>
  <c r="K69" i="981"/>
  <c r="K65" i="981"/>
  <c r="K68" i="981"/>
  <c r="D73" i="981"/>
  <c r="D72" i="981"/>
  <c r="D75" i="981"/>
  <c r="D74" i="981"/>
  <c r="E72" i="981"/>
  <c r="E75" i="981"/>
  <c r="E74" i="981"/>
  <c r="E73" i="981"/>
  <c r="F75" i="981"/>
  <c r="F74" i="981"/>
  <c r="F73" i="981"/>
  <c r="F72" i="981"/>
  <c r="J45" i="981"/>
  <c r="I48" i="981"/>
  <c r="I47" i="981"/>
  <c r="I46" i="981"/>
  <c r="C51" i="981"/>
  <c r="N68" i="981"/>
  <c r="N67" i="981"/>
  <c r="E67" i="981"/>
  <c r="N66" i="981"/>
  <c r="E66" i="981"/>
  <c r="N65" i="981"/>
  <c r="E65" i="981"/>
  <c r="B67" i="981"/>
  <c r="B66" i="981"/>
  <c r="B65" i="981"/>
  <c r="B68" i="981"/>
  <c r="C66" i="981"/>
  <c r="C65" i="981"/>
  <c r="C68" i="981"/>
  <c r="C67" i="981"/>
  <c r="D65" i="981"/>
  <c r="D68" i="981"/>
  <c r="E68" i="981" s="1"/>
  <c r="D67" i="981"/>
  <c r="D66" i="981"/>
  <c r="C69" i="980"/>
  <c r="B40" i="980" s="1"/>
  <c r="D69" i="980"/>
  <c r="E40" i="980" s="1"/>
  <c r="F6" i="980" s="1"/>
  <c r="E69" i="980"/>
  <c r="E76" i="980"/>
  <c r="L69" i="980"/>
  <c r="F142" i="980"/>
  <c r="J15" i="980" s="1"/>
  <c r="I13" i="980" s="1"/>
  <c r="D142" i="980"/>
  <c r="C142" i="980"/>
  <c r="E142" i="980"/>
  <c r="B76" i="980"/>
  <c r="B53" i="980"/>
  <c r="E56" i="980"/>
  <c r="D57" i="980"/>
  <c r="D58" i="980"/>
  <c r="C76" i="980"/>
  <c r="H49" i="980"/>
  <c r="H50" i="980"/>
  <c r="C40" i="980"/>
  <c r="D45" i="980"/>
  <c r="C48" i="980"/>
  <c r="C47" i="980"/>
  <c r="C46" i="980"/>
  <c r="D76" i="980"/>
  <c r="H51" i="980"/>
  <c r="M14" i="980"/>
  <c r="B50" i="980"/>
  <c r="B49" i="980"/>
  <c r="J45" i="980"/>
  <c r="I48" i="980"/>
  <c r="I47" i="980"/>
  <c r="I46" i="980"/>
  <c r="B54" i="980"/>
  <c r="C52" i="980"/>
  <c r="B51" i="979"/>
  <c r="C50" i="979"/>
  <c r="C51" i="979" s="1"/>
  <c r="C49" i="979"/>
  <c r="C44" i="979" s="1"/>
  <c r="C74" i="979"/>
  <c r="C73" i="979"/>
  <c r="C72" i="979"/>
  <c r="C75" i="979"/>
  <c r="L66" i="979"/>
  <c r="N64" i="979"/>
  <c r="L65" i="979"/>
  <c r="L68" i="979"/>
  <c r="L67" i="979"/>
  <c r="I69" i="979"/>
  <c r="I65" i="979"/>
  <c r="I68" i="979"/>
  <c r="I67" i="979"/>
  <c r="I66" i="979"/>
  <c r="J68" i="979"/>
  <c r="J67" i="979"/>
  <c r="J66" i="979"/>
  <c r="J69" i="979"/>
  <c r="J65" i="979"/>
  <c r="H49" i="979"/>
  <c r="H50" i="979"/>
  <c r="H44" i="979" s="1"/>
  <c r="E45" i="979"/>
  <c r="D48" i="979"/>
  <c r="D47" i="979"/>
  <c r="D46" i="979"/>
  <c r="K67" i="979"/>
  <c r="K66" i="979"/>
  <c r="K69" i="979"/>
  <c r="K65" i="979"/>
  <c r="K68" i="979"/>
  <c r="D73" i="979"/>
  <c r="D72" i="979"/>
  <c r="D75" i="979"/>
  <c r="D74" i="979"/>
  <c r="M65" i="979"/>
  <c r="M68" i="979"/>
  <c r="M67" i="979"/>
  <c r="M66" i="979"/>
  <c r="O64" i="979"/>
  <c r="B75" i="979"/>
  <c r="B74" i="979"/>
  <c r="B73" i="979"/>
  <c r="B72" i="979"/>
  <c r="B44" i="979"/>
  <c r="C54" i="979"/>
  <c r="D52" i="979"/>
  <c r="N68" i="979"/>
  <c r="N67" i="979"/>
  <c r="E67" i="979"/>
  <c r="N66" i="979"/>
  <c r="E66" i="979"/>
  <c r="N65" i="979"/>
  <c r="E65" i="979"/>
  <c r="G68" i="979"/>
  <c r="B67" i="979"/>
  <c r="B66" i="979"/>
  <c r="B65" i="979"/>
  <c r="B68" i="979"/>
  <c r="E72" i="979"/>
  <c r="E75" i="979"/>
  <c r="E74" i="979"/>
  <c r="E73" i="979"/>
  <c r="F75" i="979"/>
  <c r="F74" i="979"/>
  <c r="F73" i="979"/>
  <c r="F72" i="979"/>
  <c r="J45" i="979"/>
  <c r="I48" i="979"/>
  <c r="I47" i="979"/>
  <c r="I46" i="979"/>
  <c r="E53" i="979" s="1"/>
  <c r="E56" i="979"/>
  <c r="D57" i="979"/>
  <c r="G67" i="979" s="1"/>
  <c r="F67" i="979" s="1"/>
  <c r="D58" i="979"/>
  <c r="O67" i="979"/>
  <c r="O66" i="979"/>
  <c r="O65" i="979"/>
  <c r="O68" i="979"/>
  <c r="C66" i="979"/>
  <c r="C65" i="979"/>
  <c r="C68" i="979"/>
  <c r="C67" i="979"/>
  <c r="D65" i="979"/>
  <c r="D68" i="979"/>
  <c r="E68" i="979" s="1"/>
  <c r="D67" i="979"/>
  <c r="D66" i="979"/>
  <c r="H51" i="979"/>
  <c r="C59" i="978"/>
  <c r="E56" i="978"/>
  <c r="D57" i="978"/>
  <c r="D59" i="978" s="1"/>
  <c r="D58" i="978"/>
  <c r="B53" i="978"/>
  <c r="C74" i="978"/>
  <c r="C73" i="978"/>
  <c r="C72" i="978"/>
  <c r="C75" i="978"/>
  <c r="L66" i="978"/>
  <c r="N64" i="978"/>
  <c r="L65" i="978"/>
  <c r="L68" i="978"/>
  <c r="L67" i="978"/>
  <c r="M65" i="978"/>
  <c r="M68" i="978"/>
  <c r="M67" i="978"/>
  <c r="M66" i="978"/>
  <c r="O64" i="978"/>
  <c r="B75" i="978"/>
  <c r="B74" i="978"/>
  <c r="B73" i="978"/>
  <c r="B72" i="978"/>
  <c r="H44" i="978"/>
  <c r="B50" i="978"/>
  <c r="B49" i="978"/>
  <c r="K67" i="978"/>
  <c r="K66" i="978"/>
  <c r="K69" i="978"/>
  <c r="K65" i="978"/>
  <c r="K68" i="978"/>
  <c r="D73" i="978"/>
  <c r="D72" i="978"/>
  <c r="D75" i="978"/>
  <c r="D74" i="978"/>
  <c r="E72" i="978"/>
  <c r="E75" i="978"/>
  <c r="E74" i="978"/>
  <c r="E73" i="978"/>
  <c r="F75" i="978"/>
  <c r="F74" i="978"/>
  <c r="F73" i="978"/>
  <c r="F72" i="978"/>
  <c r="I50" i="978"/>
  <c r="I44" i="978" s="1"/>
  <c r="I49" i="978"/>
  <c r="I51" i="978" s="1"/>
  <c r="B54" i="978"/>
  <c r="C52" i="978"/>
  <c r="B67" i="978"/>
  <c r="B66" i="978"/>
  <c r="B65" i="978"/>
  <c r="B68" i="978"/>
  <c r="C66" i="978"/>
  <c r="C65" i="978"/>
  <c r="C68" i="978"/>
  <c r="C67" i="978"/>
  <c r="D65" i="978"/>
  <c r="D68" i="978"/>
  <c r="D67" i="978"/>
  <c r="D66" i="978"/>
  <c r="K45" i="978"/>
  <c r="J48" i="978"/>
  <c r="J47" i="978"/>
  <c r="J46" i="978"/>
  <c r="B51" i="978"/>
  <c r="D45" i="978"/>
  <c r="C48" i="978"/>
  <c r="C47" i="978"/>
  <c r="C46" i="978"/>
  <c r="N68" i="978"/>
  <c r="N67" i="978"/>
  <c r="E67" i="978"/>
  <c r="N66" i="978"/>
  <c r="E66" i="978"/>
  <c r="N65" i="978"/>
  <c r="E65" i="978"/>
  <c r="G68" i="978"/>
  <c r="G65" i="978"/>
  <c r="G67" i="978"/>
  <c r="O67" i="978"/>
  <c r="F67" i="978"/>
  <c r="O66" i="978"/>
  <c r="O65" i="978"/>
  <c r="F65" i="978"/>
  <c r="O68" i="978"/>
  <c r="I69" i="978"/>
  <c r="I65" i="978"/>
  <c r="I68" i="978"/>
  <c r="I67" i="978"/>
  <c r="I66" i="978"/>
  <c r="J68" i="978"/>
  <c r="J67" i="978"/>
  <c r="J66" i="978"/>
  <c r="J69" i="978"/>
  <c r="J65" i="978"/>
  <c r="M14" i="977"/>
  <c r="B69" i="977"/>
  <c r="C142" i="977" s="1"/>
  <c r="C69" i="977"/>
  <c r="D142" i="977" s="1"/>
  <c r="B76" i="977"/>
  <c r="D76" i="977"/>
  <c r="L69" i="977"/>
  <c r="B53" i="977"/>
  <c r="B50" i="977"/>
  <c r="B51" i="977" s="1"/>
  <c r="B49" i="977"/>
  <c r="H49" i="977"/>
  <c r="H50" i="977"/>
  <c r="E76" i="977"/>
  <c r="B54" i="977"/>
  <c r="C52" i="977"/>
  <c r="H44" i="977"/>
  <c r="E56" i="977"/>
  <c r="D57" i="977"/>
  <c r="D58" i="977"/>
  <c r="D45" i="977"/>
  <c r="C48" i="977"/>
  <c r="C47" i="977"/>
  <c r="C46" i="977"/>
  <c r="J45" i="977"/>
  <c r="I48" i="977"/>
  <c r="I47" i="977"/>
  <c r="I46" i="977"/>
  <c r="E142" i="977"/>
  <c r="C76" i="977"/>
  <c r="E69" i="976"/>
  <c r="M14" i="976" s="1"/>
  <c r="C69" i="976"/>
  <c r="D69" i="976"/>
  <c r="E142" i="976" s="1"/>
  <c r="C76" i="976"/>
  <c r="D76" i="976"/>
  <c r="L69" i="976"/>
  <c r="B50" i="976"/>
  <c r="B49" i="976"/>
  <c r="B54" i="976"/>
  <c r="C52" i="976"/>
  <c r="E76" i="976"/>
  <c r="B76" i="976"/>
  <c r="H49" i="976"/>
  <c r="H51" i="976" s="1"/>
  <c r="H50" i="976"/>
  <c r="E56" i="976"/>
  <c r="D57" i="976"/>
  <c r="D58" i="976"/>
  <c r="B51" i="976"/>
  <c r="D45" i="976"/>
  <c r="C48" i="976"/>
  <c r="C47" i="976"/>
  <c r="C46" i="976"/>
  <c r="J45" i="976"/>
  <c r="I48" i="976"/>
  <c r="I47" i="976"/>
  <c r="I46" i="976"/>
  <c r="B53" i="976"/>
  <c r="L69" i="974"/>
  <c r="H44" i="975"/>
  <c r="B53" i="975"/>
  <c r="B67" i="975"/>
  <c r="B66" i="975"/>
  <c r="B65" i="975"/>
  <c r="B68" i="975"/>
  <c r="C66" i="975"/>
  <c r="C65" i="975"/>
  <c r="C68" i="975"/>
  <c r="C67" i="975"/>
  <c r="D65" i="975"/>
  <c r="D68" i="975"/>
  <c r="D67" i="975"/>
  <c r="D66" i="975"/>
  <c r="I50" i="975"/>
  <c r="I44" i="975" s="1"/>
  <c r="I49" i="975"/>
  <c r="B50" i="975"/>
  <c r="B49" i="975"/>
  <c r="N68" i="975"/>
  <c r="E68" i="975" s="1"/>
  <c r="N67" i="975"/>
  <c r="E67" i="975"/>
  <c r="N66" i="975"/>
  <c r="E66" i="975"/>
  <c r="N65" i="975"/>
  <c r="E65" i="975"/>
  <c r="O67" i="975"/>
  <c r="O66" i="975"/>
  <c r="O65" i="975"/>
  <c r="O68" i="975"/>
  <c r="I69" i="975"/>
  <c r="I65" i="975"/>
  <c r="I68" i="975"/>
  <c r="I67" i="975"/>
  <c r="I66" i="975"/>
  <c r="J68" i="975"/>
  <c r="J67" i="975"/>
  <c r="J66" i="975"/>
  <c r="J69" i="975"/>
  <c r="J65" i="975"/>
  <c r="K45" i="975"/>
  <c r="J48" i="975"/>
  <c r="J47" i="975"/>
  <c r="J46" i="975"/>
  <c r="B54" i="975"/>
  <c r="C52" i="975"/>
  <c r="L66" i="975"/>
  <c r="N64" i="975"/>
  <c r="L65" i="975"/>
  <c r="L68" i="975"/>
  <c r="L67" i="975"/>
  <c r="M65" i="975"/>
  <c r="M68" i="975"/>
  <c r="M67" i="975"/>
  <c r="M66" i="975"/>
  <c r="O64" i="975"/>
  <c r="B75" i="975"/>
  <c r="B74" i="975"/>
  <c r="B73" i="975"/>
  <c r="B72" i="975"/>
  <c r="E56" i="975"/>
  <c r="D57" i="975"/>
  <c r="D58" i="975"/>
  <c r="H51" i="975"/>
  <c r="I51" i="975"/>
  <c r="D45" i="975"/>
  <c r="C48" i="975"/>
  <c r="C47" i="975"/>
  <c r="C46" i="975"/>
  <c r="C74" i="975"/>
  <c r="C73" i="975"/>
  <c r="C72" i="975"/>
  <c r="C75" i="975"/>
  <c r="K67" i="975"/>
  <c r="K66" i="975"/>
  <c r="K69" i="975"/>
  <c r="K65" i="975"/>
  <c r="K68" i="975"/>
  <c r="D73" i="975"/>
  <c r="D72" i="975"/>
  <c r="D75" i="975"/>
  <c r="D74" i="975"/>
  <c r="E72" i="975"/>
  <c r="E75" i="975"/>
  <c r="E74" i="975"/>
  <c r="E73" i="975"/>
  <c r="F75" i="975"/>
  <c r="F74" i="975"/>
  <c r="F73" i="975"/>
  <c r="F72" i="975"/>
  <c r="E66" i="974"/>
  <c r="N68" i="974"/>
  <c r="E68" i="974" s="1"/>
  <c r="N67" i="974"/>
  <c r="N65" i="974"/>
  <c r="N66" i="974"/>
  <c r="E67" i="974"/>
  <c r="E65" i="974"/>
  <c r="E69" i="974" s="1"/>
  <c r="E76" i="974"/>
  <c r="J45" i="974"/>
  <c r="I48" i="974"/>
  <c r="I47" i="974"/>
  <c r="I46" i="974"/>
  <c r="E56" i="974"/>
  <c r="D57" i="974"/>
  <c r="D58" i="974"/>
  <c r="C59" i="974"/>
  <c r="B53" i="974"/>
  <c r="D76" i="974"/>
  <c r="C76" i="974"/>
  <c r="H49" i="974"/>
  <c r="H50" i="974"/>
  <c r="H44" i="974" s="1"/>
  <c r="B50" i="974"/>
  <c r="B49" i="974"/>
  <c r="B76" i="974"/>
  <c r="D45" i="974"/>
  <c r="C48" i="974"/>
  <c r="C47" i="974"/>
  <c r="C46" i="974"/>
  <c r="C69" i="974"/>
  <c r="B54" i="974"/>
  <c r="C52" i="974"/>
  <c r="B40" i="974"/>
  <c r="B33" i="974"/>
  <c r="J49" i="1"/>
  <c r="J47" i="1"/>
  <c r="Q31" i="1"/>
  <c r="J86" i="1"/>
  <c r="R14" i="1"/>
  <c r="J72" i="1"/>
  <c r="J31" i="1"/>
  <c r="Q7" i="1"/>
  <c r="J8" i="1"/>
  <c r="Q78" i="1"/>
  <c r="J85" i="1"/>
  <c r="K49" i="1"/>
  <c r="K7" i="1"/>
  <c r="K8" i="1"/>
  <c r="Q10" i="1"/>
  <c r="Q96" i="1"/>
  <c r="K66" i="1"/>
  <c r="R15" i="1"/>
  <c r="K87" i="1"/>
  <c r="Q83" i="1"/>
  <c r="R42" i="1"/>
  <c r="J79" i="1"/>
  <c r="Q72" i="1"/>
  <c r="Q47" i="1"/>
  <c r="Q87" i="1"/>
  <c r="K72" i="1"/>
  <c r="J7" i="1"/>
  <c r="J96" i="1"/>
  <c r="R18" i="1"/>
  <c r="K78" i="1"/>
  <c r="J87" i="1"/>
  <c r="J78" i="1"/>
  <c r="Q37" i="1"/>
  <c r="Q49" i="1"/>
  <c r="K47" i="1"/>
  <c r="Q52" i="1"/>
  <c r="Q8" i="1"/>
  <c r="J83" i="1"/>
  <c r="K45" i="1"/>
  <c r="K96" i="1"/>
  <c r="J66" i="1"/>
  <c r="J52" i="1"/>
  <c r="K83" i="1"/>
  <c r="K52" i="1"/>
  <c r="K37" i="1"/>
  <c r="J37" i="1"/>
  <c r="Q35" i="1"/>
  <c r="J10" i="1"/>
  <c r="J45" i="1"/>
  <c r="R79" i="1"/>
  <c r="Q86" i="1"/>
  <c r="K63" i="1"/>
  <c r="Q79" i="1"/>
  <c r="G66" i="984" l="1"/>
  <c r="F66" i="984" s="1"/>
  <c r="G67" i="985"/>
  <c r="N62" i="987"/>
  <c r="A54" i="988"/>
  <c r="B33" i="991"/>
  <c r="B5" i="999"/>
  <c r="E44" i="1002"/>
  <c r="B14" i="1002"/>
  <c r="F59" i="1005"/>
  <c r="I6" i="1005" s="1"/>
  <c r="G59" i="1009"/>
  <c r="I59" i="1028"/>
  <c r="I59" i="1032"/>
  <c r="J59" i="1037"/>
  <c r="K59" i="1046"/>
  <c r="L59" i="1056"/>
  <c r="G66" i="979"/>
  <c r="F66" i="979" s="1"/>
  <c r="D14" i="997"/>
  <c r="G40" i="999"/>
  <c r="B4" i="999" s="1"/>
  <c r="F33" i="1005"/>
  <c r="G59" i="1008"/>
  <c r="G59" i="1013"/>
  <c r="J16" i="1018"/>
  <c r="J16" i="1020"/>
  <c r="I59" i="1030"/>
  <c r="J59" i="1040"/>
  <c r="L59" i="1054"/>
  <c r="B40" i="976"/>
  <c r="M14" i="994"/>
  <c r="F14" i="997"/>
  <c r="A54" i="1003"/>
  <c r="F59" i="1004"/>
  <c r="I6" i="1004" s="1"/>
  <c r="G14" i="1005"/>
  <c r="J16" i="1015"/>
  <c r="L59" i="1057"/>
  <c r="M14" i="986"/>
  <c r="N62" i="1012"/>
  <c r="G14" i="992"/>
  <c r="D142" i="976"/>
  <c r="G66" i="978"/>
  <c r="F66" i="978" s="1"/>
  <c r="B33" i="980"/>
  <c r="E142" i="986"/>
  <c r="I14" i="987"/>
  <c r="B5" i="990"/>
  <c r="E40" i="991"/>
  <c r="F6" i="991" s="1"/>
  <c r="F69" i="994"/>
  <c r="A54" i="1000"/>
  <c r="E51" i="1002"/>
  <c r="F33" i="1002"/>
  <c r="F59" i="1003"/>
  <c r="I6" i="1003" s="1"/>
  <c r="K51" i="1014"/>
  <c r="E44" i="1015"/>
  <c r="H59" i="1021"/>
  <c r="I59" i="1029"/>
  <c r="I59" i="1031"/>
  <c r="J59" i="1036"/>
  <c r="J59" i="1041"/>
  <c r="L59" i="1055"/>
  <c r="L59" i="1071"/>
  <c r="C40" i="986"/>
  <c r="E59" i="992"/>
  <c r="A54" i="993"/>
  <c r="F59" i="997"/>
  <c r="I6" i="997" s="1"/>
  <c r="B16" i="1000"/>
  <c r="D14" i="1002"/>
  <c r="B5" i="1004"/>
  <c r="F59" i="1006"/>
  <c r="I6" i="1006" s="1"/>
  <c r="K59" i="1050"/>
  <c r="L59" i="1058"/>
  <c r="L59" i="1061"/>
  <c r="L59" i="1069"/>
  <c r="B40" i="986"/>
  <c r="N62" i="1009"/>
  <c r="E62" i="1016"/>
  <c r="K51" i="1018"/>
  <c r="J16" i="1019"/>
  <c r="F16" i="1001"/>
  <c r="N4" i="1001"/>
  <c r="N3" i="1001"/>
  <c r="N4" i="1004"/>
  <c r="N3" i="1004"/>
  <c r="F14" i="998"/>
  <c r="E14" i="998"/>
  <c r="J16" i="998" s="1"/>
  <c r="J3" i="998"/>
  <c r="J4" i="998" s="1"/>
  <c r="C69" i="979"/>
  <c r="E76" i="979"/>
  <c r="J16" i="1012"/>
  <c r="I3" i="1013"/>
  <c r="I4" i="1013" s="1"/>
  <c r="N3" i="999"/>
  <c r="N4" i="999"/>
  <c r="B5" i="1003"/>
  <c r="D16" i="1003"/>
  <c r="N4" i="1003"/>
  <c r="N3" i="1003"/>
  <c r="E40" i="994"/>
  <c r="F6" i="994" s="1"/>
  <c r="B16" i="994"/>
  <c r="N4" i="994"/>
  <c r="N3" i="994"/>
  <c r="N3" i="997"/>
  <c r="N4" i="997"/>
  <c r="D14" i="1005"/>
  <c r="J16" i="1007"/>
  <c r="B5" i="993"/>
  <c r="B5" i="1002"/>
  <c r="J16" i="1009"/>
  <c r="B5" i="1008"/>
  <c r="F16" i="1006"/>
  <c r="N4" i="1006"/>
  <c r="N3" i="1006"/>
  <c r="B5" i="1006"/>
  <c r="E16" i="1000"/>
  <c r="N3" i="1000"/>
  <c r="N4" i="1000"/>
  <c r="B5" i="1017"/>
  <c r="D14" i="992"/>
  <c r="B14" i="992"/>
  <c r="F34" i="992"/>
  <c r="B33" i="986"/>
  <c r="L69" i="985"/>
  <c r="G66" i="983"/>
  <c r="F66" i="983" s="1"/>
  <c r="G65" i="977"/>
  <c r="F65" i="977" s="1"/>
  <c r="F142" i="976"/>
  <c r="J15" i="976" s="1"/>
  <c r="I13" i="976" s="1"/>
  <c r="D76" i="983"/>
  <c r="G68" i="980"/>
  <c r="F68" i="980" s="1"/>
  <c r="D59" i="975"/>
  <c r="C69" i="975"/>
  <c r="G68" i="986"/>
  <c r="F68" i="986" s="1"/>
  <c r="D69" i="985"/>
  <c r="B69" i="985"/>
  <c r="B69" i="981"/>
  <c r="B69" i="983"/>
  <c r="D59" i="983"/>
  <c r="M58" i="1071"/>
  <c r="B61" i="1071" s="1"/>
  <c r="M57" i="1071"/>
  <c r="L59" i="1070"/>
  <c r="M58" i="1070"/>
  <c r="B61" i="1070" s="1"/>
  <c r="M57" i="1070"/>
  <c r="M58" i="1069"/>
  <c r="B61" i="1069" s="1"/>
  <c r="M57" i="1069"/>
  <c r="L59" i="1067"/>
  <c r="M58" i="1067"/>
  <c r="B61" i="1067" s="1"/>
  <c r="M57" i="1067"/>
  <c r="M58" i="1066"/>
  <c r="B61" i="1066" s="1"/>
  <c r="M57" i="1066"/>
  <c r="M58" i="1065"/>
  <c r="B61" i="1065" s="1"/>
  <c r="M57" i="1065"/>
  <c r="M58" i="1064"/>
  <c r="B61" i="1064" s="1"/>
  <c r="M57" i="1064"/>
  <c r="L59" i="1063"/>
  <c r="M58" i="1063"/>
  <c r="B61" i="1063" s="1"/>
  <c r="M57" i="1063"/>
  <c r="L59" i="1062"/>
  <c r="M58" i="1062"/>
  <c r="B61" i="1062" s="1"/>
  <c r="M57" i="1062"/>
  <c r="M58" i="1061"/>
  <c r="B61" i="1061" s="1"/>
  <c r="M57" i="1061"/>
  <c r="M59" i="1060"/>
  <c r="B60" i="1060"/>
  <c r="B62" i="1060" s="1"/>
  <c r="M58" i="1059"/>
  <c r="B61" i="1059" s="1"/>
  <c r="M57" i="1059"/>
  <c r="M58" i="1058"/>
  <c r="B61" i="1058" s="1"/>
  <c r="M57" i="1058"/>
  <c r="M58" i="1057"/>
  <c r="B61" i="1057" s="1"/>
  <c r="M57" i="1057"/>
  <c r="M58" i="1056"/>
  <c r="B61" i="1056" s="1"/>
  <c r="M57" i="1056"/>
  <c r="M58" i="1055"/>
  <c r="B61" i="1055" s="1"/>
  <c r="M57" i="1055"/>
  <c r="M58" i="1054"/>
  <c r="B61" i="1054" s="1"/>
  <c r="M57" i="1054"/>
  <c r="M56" i="1053"/>
  <c r="L58" i="1053"/>
  <c r="L57" i="1053"/>
  <c r="M56" i="1052"/>
  <c r="L58" i="1052"/>
  <c r="L57" i="1052"/>
  <c r="L59" i="1052" s="1"/>
  <c r="M56" i="1051"/>
  <c r="L58" i="1051"/>
  <c r="L57" i="1051"/>
  <c r="M56" i="1050"/>
  <c r="L58" i="1050"/>
  <c r="L57" i="1050"/>
  <c r="M56" i="1049"/>
  <c r="L58" i="1049"/>
  <c r="L57" i="1049"/>
  <c r="K59" i="1048"/>
  <c r="M56" i="1048"/>
  <c r="L58" i="1048"/>
  <c r="L57" i="1048"/>
  <c r="M56" i="1047"/>
  <c r="L58" i="1047"/>
  <c r="L57" i="1047"/>
  <c r="M56" i="1046"/>
  <c r="L58" i="1046"/>
  <c r="L57" i="1046"/>
  <c r="M56" i="1045"/>
  <c r="L58" i="1045"/>
  <c r="L57" i="1045"/>
  <c r="K58" i="1044"/>
  <c r="K57" i="1044"/>
  <c r="K59" i="1044" s="1"/>
  <c r="L56" i="1044"/>
  <c r="K58" i="1043"/>
  <c r="K57" i="1043"/>
  <c r="L56" i="1043"/>
  <c r="K58" i="1042"/>
  <c r="K57" i="1042"/>
  <c r="L56" i="1042"/>
  <c r="K58" i="1041"/>
  <c r="K57" i="1041"/>
  <c r="L56" i="1041"/>
  <c r="K58" i="1040"/>
  <c r="K57" i="1040"/>
  <c r="K59" i="1040" s="1"/>
  <c r="L56" i="1040"/>
  <c r="J59" i="1039"/>
  <c r="K58" i="1039"/>
  <c r="K57" i="1039"/>
  <c r="K59" i="1039" s="1"/>
  <c r="L56" i="1039"/>
  <c r="K58" i="1038"/>
  <c r="K57" i="1038"/>
  <c r="L56" i="1038"/>
  <c r="K58" i="1037"/>
  <c r="K57" i="1037"/>
  <c r="L56" i="1037"/>
  <c r="K58" i="1036"/>
  <c r="K57" i="1036"/>
  <c r="L56" i="1036"/>
  <c r="J59" i="1035"/>
  <c r="K58" i="1035"/>
  <c r="K57" i="1035"/>
  <c r="L56" i="1035"/>
  <c r="K58" i="1034"/>
  <c r="K57" i="1034"/>
  <c r="K59" i="1034" s="1"/>
  <c r="L56" i="1034"/>
  <c r="K56" i="1033"/>
  <c r="J58" i="1033"/>
  <c r="J57" i="1033"/>
  <c r="J59" i="1033" s="1"/>
  <c r="K56" i="1032"/>
  <c r="J58" i="1032"/>
  <c r="J57" i="1032"/>
  <c r="K56" i="1031"/>
  <c r="J58" i="1031"/>
  <c r="J57" i="1031"/>
  <c r="K56" i="1030"/>
  <c r="J58" i="1030"/>
  <c r="J57" i="1030"/>
  <c r="K56" i="1029"/>
  <c r="J58" i="1029"/>
  <c r="J57" i="1029"/>
  <c r="J59" i="1029" s="1"/>
  <c r="K56" i="1028"/>
  <c r="J58" i="1028"/>
  <c r="J57" i="1028"/>
  <c r="J59" i="1028" s="1"/>
  <c r="K56" i="1027"/>
  <c r="J58" i="1027"/>
  <c r="J57" i="1027"/>
  <c r="I59" i="1026"/>
  <c r="K56" i="1026"/>
  <c r="J57" i="1026"/>
  <c r="J59" i="1026" s="1"/>
  <c r="J58" i="1026"/>
  <c r="K9" i="1025"/>
  <c r="J56" i="1025"/>
  <c r="I58" i="1025"/>
  <c r="I57" i="1025"/>
  <c r="J56" i="1024"/>
  <c r="I58" i="1024"/>
  <c r="I57" i="1024"/>
  <c r="K9" i="1023"/>
  <c r="H59" i="1023"/>
  <c r="J56" i="1023"/>
  <c r="I58" i="1023"/>
  <c r="I57" i="1023"/>
  <c r="K9" i="1022"/>
  <c r="J56" i="1022"/>
  <c r="I58" i="1022"/>
  <c r="I57" i="1022"/>
  <c r="J16" i="1021"/>
  <c r="K9" i="1021"/>
  <c r="J56" i="1021"/>
  <c r="I58" i="1021"/>
  <c r="I57" i="1021"/>
  <c r="I59" i="1021" s="1"/>
  <c r="H62" i="1020"/>
  <c r="K44" i="1020"/>
  <c r="N62" i="1020"/>
  <c r="J3" i="1020"/>
  <c r="J4" i="1020" s="1"/>
  <c r="K3" i="1020"/>
  <c r="K4" i="1020" s="1"/>
  <c r="I3" i="1020"/>
  <c r="I4" i="1020" s="1"/>
  <c r="A53" i="1020"/>
  <c r="N6" i="1020" s="1"/>
  <c r="E62" i="1020"/>
  <c r="I56" i="1020"/>
  <c r="H57" i="1020"/>
  <c r="H58" i="1020"/>
  <c r="H62" i="1019"/>
  <c r="A53" i="1019"/>
  <c r="N6" i="1019" s="1"/>
  <c r="E62" i="1019"/>
  <c r="K3" i="1019"/>
  <c r="K4" i="1019" s="1"/>
  <c r="J3" i="1019"/>
  <c r="J4" i="1019" s="1"/>
  <c r="I3" i="1019"/>
  <c r="I4" i="1019" s="1"/>
  <c r="I56" i="1019"/>
  <c r="H57" i="1019"/>
  <c r="H58" i="1019"/>
  <c r="N62" i="1018"/>
  <c r="A53" i="1018"/>
  <c r="N6" i="1018" s="1"/>
  <c r="J3" i="1018"/>
  <c r="J4" i="1018" s="1"/>
  <c r="I3" i="1018"/>
  <c r="I4" i="1018" s="1"/>
  <c r="K3" i="1018"/>
  <c r="K4" i="1018" s="1"/>
  <c r="I56" i="1018"/>
  <c r="H57" i="1018"/>
  <c r="H58" i="1018"/>
  <c r="J16" i="1017"/>
  <c r="I3" i="1017"/>
  <c r="I4" i="1017" s="1"/>
  <c r="K62" i="1017"/>
  <c r="N62" i="1017"/>
  <c r="A53" i="1017"/>
  <c r="N6" i="1017" s="1"/>
  <c r="G59" i="1017"/>
  <c r="I56" i="1017"/>
  <c r="H57" i="1017"/>
  <c r="H58" i="1017"/>
  <c r="J16" i="1016"/>
  <c r="H62" i="1016"/>
  <c r="A53" i="1016"/>
  <c r="N6" i="1016" s="1"/>
  <c r="H59" i="1016"/>
  <c r="I58" i="1016"/>
  <c r="I57" i="1016"/>
  <c r="J56" i="1016"/>
  <c r="I3" i="1015"/>
  <c r="I4" i="1015" s="1"/>
  <c r="H62" i="1015"/>
  <c r="A53" i="1015"/>
  <c r="N6" i="1015" s="1"/>
  <c r="I56" i="1015"/>
  <c r="H57" i="1015"/>
  <c r="H59" i="1015" s="1"/>
  <c r="H58" i="1015"/>
  <c r="J16" i="1014"/>
  <c r="H62" i="1014"/>
  <c r="N62" i="1014"/>
  <c r="A53" i="1014"/>
  <c r="N6" i="1014" s="1"/>
  <c r="E44" i="1014"/>
  <c r="E62" i="1014"/>
  <c r="G59" i="1014"/>
  <c r="I56" i="1014"/>
  <c r="H57" i="1014"/>
  <c r="H58" i="1014"/>
  <c r="J16" i="1013"/>
  <c r="H62" i="1013"/>
  <c r="K51" i="1013"/>
  <c r="K62" i="1013"/>
  <c r="N62" i="1013"/>
  <c r="A53" i="1013"/>
  <c r="N6" i="1013" s="1"/>
  <c r="E62" i="1013"/>
  <c r="I56" i="1013"/>
  <c r="H57" i="1013"/>
  <c r="H58" i="1013"/>
  <c r="K9" i="1012"/>
  <c r="G59" i="1012"/>
  <c r="I56" i="1012"/>
  <c r="H57" i="1012"/>
  <c r="H59" i="1012" s="1"/>
  <c r="H58" i="1012"/>
  <c r="J16" i="1011"/>
  <c r="H62" i="1011"/>
  <c r="K44" i="1011"/>
  <c r="N62" i="1011"/>
  <c r="K62" i="1011"/>
  <c r="I3" i="1011"/>
  <c r="I4" i="1011" s="1"/>
  <c r="J3" i="1011"/>
  <c r="J4" i="1011" s="1"/>
  <c r="E44" i="1011"/>
  <c r="E62" i="1011"/>
  <c r="A53" i="1011"/>
  <c r="N6" i="1011" s="1"/>
  <c r="G59" i="1011"/>
  <c r="I56" i="1011"/>
  <c r="H57" i="1011"/>
  <c r="H58" i="1011"/>
  <c r="I3" i="1010"/>
  <c r="I4" i="1010" s="1"/>
  <c r="J16" i="1010"/>
  <c r="H62" i="1010"/>
  <c r="K3" i="1010"/>
  <c r="K4" i="1010" s="1"/>
  <c r="J3" i="1010"/>
  <c r="J4" i="1010" s="1"/>
  <c r="A53" i="1010"/>
  <c r="N6" i="1010" s="1"/>
  <c r="E62" i="1010"/>
  <c r="I56" i="1010"/>
  <c r="H57" i="1010"/>
  <c r="H59" i="1010" s="1"/>
  <c r="H58" i="1010"/>
  <c r="K62" i="1009"/>
  <c r="A53" i="1009"/>
  <c r="N6" i="1009" s="1"/>
  <c r="I56" i="1009"/>
  <c r="H57" i="1009"/>
  <c r="H58" i="1009"/>
  <c r="J16" i="1008"/>
  <c r="K51" i="1008"/>
  <c r="K62" i="1008"/>
  <c r="N62" i="1008"/>
  <c r="A53" i="1008"/>
  <c r="N6" i="1008" s="1"/>
  <c r="I56" i="1008"/>
  <c r="H57" i="1008"/>
  <c r="H58" i="1008"/>
  <c r="H62" i="1007"/>
  <c r="K62" i="1007"/>
  <c r="N62" i="1007"/>
  <c r="A53" i="1007"/>
  <c r="N6" i="1007" s="1"/>
  <c r="E62" i="1007"/>
  <c r="I3" i="1007"/>
  <c r="I4" i="1007" s="1"/>
  <c r="J3" i="1007"/>
  <c r="J4" i="1007" s="1"/>
  <c r="K3" i="1007"/>
  <c r="K4" i="1007" s="1"/>
  <c r="G59" i="1007"/>
  <c r="I56" i="1007"/>
  <c r="H58" i="1007"/>
  <c r="H57" i="1007"/>
  <c r="H59" i="1007" s="1"/>
  <c r="D51" i="1006"/>
  <c r="B16" i="1006"/>
  <c r="E16" i="1006"/>
  <c r="J51" i="1006"/>
  <c r="C16" i="1006"/>
  <c r="C15" i="1006"/>
  <c r="I3" i="1006" s="1"/>
  <c r="I4" i="1006" s="1"/>
  <c r="B15" i="1006"/>
  <c r="D15" i="1006"/>
  <c r="J3" i="1006" s="1"/>
  <c r="J4" i="1006" s="1"/>
  <c r="E15" i="1006"/>
  <c r="F15" i="1006"/>
  <c r="I15" i="1006"/>
  <c r="I9" i="1006"/>
  <c r="A54" i="1006"/>
  <c r="K50" i="1006"/>
  <c r="N62" i="1006" s="1"/>
  <c r="K49" i="1006"/>
  <c r="K51" i="1006" s="1"/>
  <c r="E50" i="1006"/>
  <c r="E51" i="1006" s="1"/>
  <c r="E49" i="1006"/>
  <c r="E62" i="1006" s="1"/>
  <c r="G58" i="1006"/>
  <c r="G57" i="1006"/>
  <c r="H56" i="1006"/>
  <c r="E44" i="1006"/>
  <c r="C53" i="1006"/>
  <c r="J3" i="1005"/>
  <c r="J4" i="1005" s="1"/>
  <c r="H62" i="1005"/>
  <c r="C53" i="1005"/>
  <c r="A53" i="1005" s="1"/>
  <c r="N6" i="1005" s="1"/>
  <c r="K3" i="1005"/>
  <c r="K4" i="1005" s="1"/>
  <c r="F14" i="1005"/>
  <c r="F34" i="1005"/>
  <c r="B5" i="1005" s="1"/>
  <c r="B14" i="1005"/>
  <c r="C14" i="1005"/>
  <c r="E62" i="1005"/>
  <c r="G58" i="1005"/>
  <c r="G57" i="1005"/>
  <c r="G59" i="1005" s="1"/>
  <c r="H56" i="1005"/>
  <c r="K50" i="1005"/>
  <c r="K44" i="1005" s="1"/>
  <c r="K49" i="1005"/>
  <c r="K51" i="1005" s="1"/>
  <c r="J51" i="1004"/>
  <c r="C16" i="1004"/>
  <c r="F16" i="1004"/>
  <c r="E16" i="1004"/>
  <c r="D16" i="1004"/>
  <c r="B16" i="1004"/>
  <c r="C53" i="1004"/>
  <c r="K50" i="1004"/>
  <c r="K44" i="1004" s="1"/>
  <c r="K49" i="1004"/>
  <c r="K51" i="1004" s="1"/>
  <c r="G58" i="1004"/>
  <c r="G57" i="1004"/>
  <c r="G59" i="1004" s="1"/>
  <c r="H56" i="1004"/>
  <c r="N62" i="1003"/>
  <c r="K62" i="1003"/>
  <c r="F16" i="1003"/>
  <c r="E16" i="1003"/>
  <c r="F15" i="1003"/>
  <c r="D15" i="1003"/>
  <c r="C15" i="1003"/>
  <c r="B15" i="1003"/>
  <c r="I15" i="1003"/>
  <c r="E15" i="1003"/>
  <c r="I9" i="1003"/>
  <c r="B16" i="1003"/>
  <c r="C16" i="1003"/>
  <c r="J16" i="1003" s="1"/>
  <c r="G58" i="1003"/>
  <c r="G57" i="1003"/>
  <c r="G59" i="1003" s="1"/>
  <c r="H56" i="1003"/>
  <c r="C53" i="1003"/>
  <c r="E50" i="1003"/>
  <c r="E51" i="1003" s="1"/>
  <c r="E49" i="1003"/>
  <c r="E44" i="1003" s="1"/>
  <c r="F14" i="1002"/>
  <c r="J16" i="1002" s="1"/>
  <c r="G58" i="1002"/>
  <c r="G57" i="1002"/>
  <c r="G59" i="1002" s="1"/>
  <c r="H56" i="1002"/>
  <c r="K50" i="1002"/>
  <c r="K44" i="1002" s="1"/>
  <c r="K49" i="1002"/>
  <c r="K51" i="1002" s="1"/>
  <c r="C53" i="1002"/>
  <c r="K44" i="1001"/>
  <c r="N62" i="1001"/>
  <c r="E16" i="1001"/>
  <c r="K62" i="1001"/>
  <c r="C16" i="1001"/>
  <c r="F15" i="1001"/>
  <c r="B15" i="1001"/>
  <c r="D15" i="1001"/>
  <c r="J3" i="1001" s="1"/>
  <c r="J4" i="1001" s="1"/>
  <c r="I15" i="1001"/>
  <c r="I9" i="1001"/>
  <c r="C15" i="1001"/>
  <c r="E15" i="1001"/>
  <c r="K3" i="1001" s="1"/>
  <c r="K4" i="1001" s="1"/>
  <c r="D14" i="1001"/>
  <c r="G14" i="1001"/>
  <c r="E14" i="1001"/>
  <c r="F34" i="1001"/>
  <c r="B14" i="1001"/>
  <c r="F14" i="1001"/>
  <c r="F33" i="1001"/>
  <c r="F59" i="1001"/>
  <c r="I6" i="1001" s="1"/>
  <c r="E50" i="1001"/>
  <c r="E49" i="1001"/>
  <c r="E44" i="1001" s="1"/>
  <c r="G58" i="1001"/>
  <c r="G57" i="1001"/>
  <c r="G59" i="1001" s="1"/>
  <c r="H56" i="1001"/>
  <c r="C53" i="1001"/>
  <c r="C16" i="1000"/>
  <c r="B15" i="1000"/>
  <c r="D15" i="1000"/>
  <c r="J3" i="1000" s="1"/>
  <c r="J4" i="1000" s="1"/>
  <c r="I15" i="1000"/>
  <c r="I9" i="1000"/>
  <c r="C15" i="1000"/>
  <c r="F15" i="1000"/>
  <c r="E15" i="1000"/>
  <c r="F16" i="1000"/>
  <c r="K3" i="1000"/>
  <c r="K4" i="1000" s="1"/>
  <c r="F59" i="1000"/>
  <c r="I6" i="1000" s="1"/>
  <c r="E50" i="1000"/>
  <c r="E51" i="1000" s="1"/>
  <c r="E49" i="1000"/>
  <c r="E44" i="1000" s="1"/>
  <c r="G58" i="1000"/>
  <c r="G57" i="1000"/>
  <c r="G59" i="1000" s="1"/>
  <c r="H56" i="1000"/>
  <c r="C53" i="1000"/>
  <c r="K50" i="1000"/>
  <c r="K44" i="1000" s="1"/>
  <c r="K49" i="1000"/>
  <c r="K62" i="1000" s="1"/>
  <c r="B16" i="999"/>
  <c r="C16" i="999"/>
  <c r="F16" i="999"/>
  <c r="E16" i="999"/>
  <c r="B15" i="999"/>
  <c r="D15" i="999"/>
  <c r="J3" i="999" s="1"/>
  <c r="J4" i="999" s="1"/>
  <c r="I15" i="999"/>
  <c r="I9" i="999"/>
  <c r="C15" i="999"/>
  <c r="E15" i="999"/>
  <c r="F15" i="999"/>
  <c r="F59" i="999"/>
  <c r="I6" i="999" s="1"/>
  <c r="E50" i="999"/>
  <c r="E51" i="999" s="1"/>
  <c r="E49" i="999"/>
  <c r="E44" i="999" s="1"/>
  <c r="K50" i="999"/>
  <c r="N62" i="999" s="1"/>
  <c r="K49" i="999"/>
  <c r="K51" i="999" s="1"/>
  <c r="G58" i="999"/>
  <c r="G57" i="999"/>
  <c r="H56" i="999"/>
  <c r="C53" i="999"/>
  <c r="A53" i="998"/>
  <c r="N6" i="998" s="1"/>
  <c r="F33" i="998"/>
  <c r="B5" i="998" s="1"/>
  <c r="G58" i="998"/>
  <c r="G57" i="998"/>
  <c r="H56" i="998"/>
  <c r="K50" i="998"/>
  <c r="K44" i="998" s="1"/>
  <c r="K49" i="998"/>
  <c r="K51" i="998" s="1"/>
  <c r="H62" i="997"/>
  <c r="J51" i="997"/>
  <c r="J62" i="997"/>
  <c r="F33" i="997"/>
  <c r="B5" i="997" s="1"/>
  <c r="B14" i="997"/>
  <c r="C14" i="997"/>
  <c r="E14" i="997"/>
  <c r="E62" i="997"/>
  <c r="A53" i="997"/>
  <c r="N6" i="997" s="1"/>
  <c r="F142" i="997"/>
  <c r="J15" i="997" s="1"/>
  <c r="F16" i="997"/>
  <c r="C16" i="997"/>
  <c r="B16" i="997"/>
  <c r="E16" i="997"/>
  <c r="D16" i="997"/>
  <c r="K50" i="997"/>
  <c r="K44" i="997" s="1"/>
  <c r="K49" i="997"/>
  <c r="K62" i="997" s="1"/>
  <c r="G58" i="997"/>
  <c r="G57" i="997"/>
  <c r="H56" i="997"/>
  <c r="J51" i="996"/>
  <c r="F34" i="996"/>
  <c r="B14" i="996"/>
  <c r="F33" i="996"/>
  <c r="B5" i="996" s="1"/>
  <c r="C14" i="996"/>
  <c r="F14" i="996"/>
  <c r="F69" i="996"/>
  <c r="E59" i="996"/>
  <c r="F142" i="996"/>
  <c r="J15" i="996" s="1"/>
  <c r="I13" i="996" s="1"/>
  <c r="E52" i="996"/>
  <c r="E54" i="996" s="1"/>
  <c r="A54" i="996" s="1"/>
  <c r="D54" i="996"/>
  <c r="G56" i="996"/>
  <c r="F58" i="996"/>
  <c r="F57" i="996"/>
  <c r="F59" i="996" s="1"/>
  <c r="I6" i="996" s="1"/>
  <c r="D50" i="996"/>
  <c r="D49" i="996"/>
  <c r="D44" i="996" s="1"/>
  <c r="K6" i="996" s="1"/>
  <c r="K50" i="996"/>
  <c r="K44" i="996" s="1"/>
  <c r="K49" i="996"/>
  <c r="K51" i="996" s="1"/>
  <c r="D53" i="996"/>
  <c r="E48" i="996"/>
  <c r="E47" i="996"/>
  <c r="G62" i="996" s="1"/>
  <c r="E46" i="996"/>
  <c r="D62" i="996" s="1"/>
  <c r="N5" i="996" s="1"/>
  <c r="F69" i="995"/>
  <c r="F142" i="995"/>
  <c r="J15" i="995" s="1"/>
  <c r="I13" i="995" s="1"/>
  <c r="F16" i="995"/>
  <c r="E59" i="995"/>
  <c r="E48" i="995"/>
  <c r="E47" i="995"/>
  <c r="G62" i="995" s="1"/>
  <c r="E46" i="995"/>
  <c r="D62" i="995" s="1"/>
  <c r="N5" i="995" s="1"/>
  <c r="D50" i="995"/>
  <c r="D49" i="995"/>
  <c r="D53" i="995"/>
  <c r="E52" i="995"/>
  <c r="E54" i="995" s="1"/>
  <c r="D54" i="995"/>
  <c r="K48" i="995"/>
  <c r="K47" i="995"/>
  <c r="M62" i="995" s="1"/>
  <c r="K46" i="995"/>
  <c r="J62" i="995" s="1"/>
  <c r="G56" i="995"/>
  <c r="F58" i="995"/>
  <c r="F57" i="995"/>
  <c r="J50" i="995"/>
  <c r="J49" i="995"/>
  <c r="J51" i="995" s="1"/>
  <c r="I14" i="994"/>
  <c r="B40" i="994"/>
  <c r="E16" i="994"/>
  <c r="F16" i="994"/>
  <c r="I9" i="994"/>
  <c r="I15" i="994"/>
  <c r="F15" i="994"/>
  <c r="C15" i="994"/>
  <c r="D15" i="994"/>
  <c r="J3" i="994" s="1"/>
  <c r="J4" i="994" s="1"/>
  <c r="B15" i="994"/>
  <c r="E15" i="994"/>
  <c r="D44" i="994"/>
  <c r="K6" i="994" s="1"/>
  <c r="C16" i="994"/>
  <c r="D16" i="994"/>
  <c r="B33" i="994"/>
  <c r="F14" i="994" s="1"/>
  <c r="E50" i="994"/>
  <c r="H62" i="994" s="1"/>
  <c r="E49" i="994"/>
  <c r="E62" i="994" s="1"/>
  <c r="F33" i="994"/>
  <c r="J50" i="994"/>
  <c r="J44" i="994" s="1"/>
  <c r="J49" i="994"/>
  <c r="J51" i="994" s="1"/>
  <c r="G56" i="994"/>
  <c r="F58" i="994"/>
  <c r="F57" i="994"/>
  <c r="F59" i="994" s="1"/>
  <c r="I6" i="994" s="1"/>
  <c r="K48" i="994"/>
  <c r="K47" i="994"/>
  <c r="M62" i="994" s="1"/>
  <c r="K46" i="994"/>
  <c r="J62" i="994" s="1"/>
  <c r="D53" i="994"/>
  <c r="D40" i="994"/>
  <c r="G40" i="994" s="1"/>
  <c r="B4" i="994" s="1"/>
  <c r="H62" i="993"/>
  <c r="E62" i="993"/>
  <c r="F69" i="993"/>
  <c r="E59" i="993"/>
  <c r="K48" i="993"/>
  <c r="K47" i="993"/>
  <c r="M62" i="993" s="1"/>
  <c r="K46" i="993"/>
  <c r="J62" i="993" s="1"/>
  <c r="J50" i="993"/>
  <c r="J44" i="993" s="1"/>
  <c r="J49" i="993"/>
  <c r="J51" i="993" s="1"/>
  <c r="D53" i="993"/>
  <c r="G56" i="993"/>
  <c r="F58" i="993"/>
  <c r="F57" i="993"/>
  <c r="F33" i="992"/>
  <c r="B5" i="992" s="1"/>
  <c r="C14" i="992"/>
  <c r="F69" i="992"/>
  <c r="F14" i="992"/>
  <c r="K48" i="992"/>
  <c r="K47" i="992"/>
  <c r="M62" i="992" s="1"/>
  <c r="K46" i="992"/>
  <c r="J62" i="992" s="1"/>
  <c r="D50" i="992"/>
  <c r="D51" i="992" s="1"/>
  <c r="D49" i="992"/>
  <c r="D44" i="992" s="1"/>
  <c r="K6" i="992" s="1"/>
  <c r="E48" i="992"/>
  <c r="E47" i="992"/>
  <c r="G62" i="992" s="1"/>
  <c r="I14" i="992" s="1"/>
  <c r="E46" i="992"/>
  <c r="D62" i="992" s="1"/>
  <c r="N5" i="992" s="1"/>
  <c r="D53" i="992"/>
  <c r="G56" i="992"/>
  <c r="F58" i="992"/>
  <c r="F57" i="992"/>
  <c r="F59" i="992" s="1"/>
  <c r="I6" i="992" s="1"/>
  <c r="E52" i="992"/>
  <c r="E54" i="992" s="1"/>
  <c r="D54" i="992"/>
  <c r="A54" i="992" s="1"/>
  <c r="J50" i="992"/>
  <c r="J44" i="992" s="1"/>
  <c r="J49" i="992"/>
  <c r="J51" i="992" s="1"/>
  <c r="F69" i="991"/>
  <c r="E59" i="991"/>
  <c r="D50" i="991"/>
  <c r="D51" i="991" s="1"/>
  <c r="D49" i="991"/>
  <c r="D44" i="991" s="1"/>
  <c r="K6" i="991" s="1"/>
  <c r="E52" i="991"/>
  <c r="E54" i="991" s="1"/>
  <c r="D54" i="991"/>
  <c r="G56" i="991"/>
  <c r="F58" i="991"/>
  <c r="F57" i="991"/>
  <c r="F59" i="991" s="1"/>
  <c r="I6" i="991" s="1"/>
  <c r="K50" i="991"/>
  <c r="K44" i="991" s="1"/>
  <c r="K49" i="991"/>
  <c r="K62" i="991" s="1"/>
  <c r="E48" i="991"/>
  <c r="E47" i="991"/>
  <c r="G62" i="991" s="1"/>
  <c r="I14" i="991" s="1"/>
  <c r="E46" i="991"/>
  <c r="D62" i="991" s="1"/>
  <c r="N5" i="991" s="1"/>
  <c r="D53" i="991"/>
  <c r="D40" i="991"/>
  <c r="G40" i="991" s="1"/>
  <c r="B4" i="991" s="1"/>
  <c r="D14" i="991"/>
  <c r="C14" i="991"/>
  <c r="G14" i="991"/>
  <c r="B14" i="991"/>
  <c r="E14" i="991"/>
  <c r="F14" i="991"/>
  <c r="F34" i="991"/>
  <c r="F33" i="991"/>
  <c r="D62" i="990"/>
  <c r="N5" i="990" s="1"/>
  <c r="F69" i="990"/>
  <c r="E59" i="990"/>
  <c r="G56" i="990"/>
  <c r="F58" i="990"/>
  <c r="F57" i="990"/>
  <c r="J50" i="990"/>
  <c r="J44" i="990" s="1"/>
  <c r="J49" i="990"/>
  <c r="D50" i="990"/>
  <c r="D49" i="990"/>
  <c r="D44" i="990" s="1"/>
  <c r="K6" i="990" s="1"/>
  <c r="K48" i="990"/>
  <c r="K47" i="990"/>
  <c r="M62" i="990" s="1"/>
  <c r="K46" i="990"/>
  <c r="J62" i="990" s="1"/>
  <c r="E48" i="990"/>
  <c r="E47" i="990"/>
  <c r="G62" i="990" s="1"/>
  <c r="I14" i="990" s="1"/>
  <c r="E46" i="990"/>
  <c r="E52" i="990"/>
  <c r="E54" i="990" s="1"/>
  <c r="D54" i="990"/>
  <c r="D53" i="990"/>
  <c r="D51" i="990"/>
  <c r="B5" i="987"/>
  <c r="M14" i="989"/>
  <c r="F142" i="989"/>
  <c r="J15" i="989" s="1"/>
  <c r="I13" i="989" s="1"/>
  <c r="E40" i="989"/>
  <c r="F6" i="989" s="1"/>
  <c r="C40" i="989"/>
  <c r="B33" i="989"/>
  <c r="F14" i="989" s="1"/>
  <c r="F69" i="989"/>
  <c r="B40" i="989"/>
  <c r="C14" i="989"/>
  <c r="B14" i="989"/>
  <c r="K50" i="989"/>
  <c r="K44" i="989" s="1"/>
  <c r="K49" i="989"/>
  <c r="K51" i="989" s="1"/>
  <c r="E52" i="989"/>
  <c r="E54" i="989" s="1"/>
  <c r="D54" i="989"/>
  <c r="A54" i="989" s="1"/>
  <c r="D50" i="989"/>
  <c r="D51" i="989" s="1"/>
  <c r="D49" i="989"/>
  <c r="G56" i="989"/>
  <c r="F58" i="989"/>
  <c r="F57" i="989"/>
  <c r="E48" i="989"/>
  <c r="E47" i="989"/>
  <c r="G62" i="989" s="1"/>
  <c r="E46" i="989"/>
  <c r="D62" i="989" s="1"/>
  <c r="N5" i="989" s="1"/>
  <c r="D53" i="989"/>
  <c r="F69" i="988"/>
  <c r="D16" i="988" s="1"/>
  <c r="I9" i="988"/>
  <c r="F15" i="988"/>
  <c r="E15" i="988"/>
  <c r="B15" i="988"/>
  <c r="I15" i="988"/>
  <c r="D15" i="988"/>
  <c r="C15" i="988"/>
  <c r="F34" i="988"/>
  <c r="B5" i="988" s="1"/>
  <c r="E59" i="988"/>
  <c r="D53" i="988"/>
  <c r="J50" i="988"/>
  <c r="J44" i="988" s="1"/>
  <c r="J49" i="988"/>
  <c r="J51" i="988" s="1"/>
  <c r="G56" i="988"/>
  <c r="F58" i="988"/>
  <c r="F57" i="988"/>
  <c r="E50" i="988"/>
  <c r="E51" i="988" s="1"/>
  <c r="E49" i="988"/>
  <c r="K48" i="988"/>
  <c r="K47" i="988"/>
  <c r="M62" i="988" s="1"/>
  <c r="K46" i="988"/>
  <c r="C53" i="988" s="1"/>
  <c r="K62" i="987"/>
  <c r="G40" i="987"/>
  <c r="B4" i="987" s="1"/>
  <c r="F15" i="987"/>
  <c r="I15" i="987"/>
  <c r="D15" i="987"/>
  <c r="E15" i="987"/>
  <c r="C15" i="987"/>
  <c r="B15" i="987"/>
  <c r="I9" i="987"/>
  <c r="F69" i="987"/>
  <c r="E50" i="987"/>
  <c r="E51" i="987" s="1"/>
  <c r="E49" i="987"/>
  <c r="C53" i="987"/>
  <c r="G56" i="987"/>
  <c r="F58" i="987"/>
  <c r="F57" i="987"/>
  <c r="B44" i="986"/>
  <c r="G67" i="986"/>
  <c r="F67" i="986" s="1"/>
  <c r="D59" i="986"/>
  <c r="G65" i="986"/>
  <c r="F65" i="986" s="1"/>
  <c r="G66" i="986"/>
  <c r="F66" i="986" s="1"/>
  <c r="C50" i="986"/>
  <c r="C49" i="986"/>
  <c r="E45" i="986"/>
  <c r="D48" i="986"/>
  <c r="D47" i="986"/>
  <c r="D46" i="986"/>
  <c r="E14" i="986"/>
  <c r="C14" i="986"/>
  <c r="D14" i="986"/>
  <c r="G14" i="986"/>
  <c r="B14" i="986"/>
  <c r="F14" i="986"/>
  <c r="F33" i="986"/>
  <c r="F34" i="986"/>
  <c r="E53" i="986"/>
  <c r="D40" i="986"/>
  <c r="G40" i="986" s="1"/>
  <c r="B4" i="986" s="1"/>
  <c r="C54" i="986"/>
  <c r="D52" i="986"/>
  <c r="F56" i="986"/>
  <c r="E58" i="986"/>
  <c r="E57" i="986"/>
  <c r="K50" i="986"/>
  <c r="K44" i="986" s="1"/>
  <c r="K49" i="986"/>
  <c r="C51" i="986"/>
  <c r="B51" i="986"/>
  <c r="B76" i="985"/>
  <c r="M62" i="985"/>
  <c r="E69" i="985"/>
  <c r="B33" i="985" s="1"/>
  <c r="B51" i="985"/>
  <c r="C69" i="985"/>
  <c r="D142" i="985" s="1"/>
  <c r="D59" i="985"/>
  <c r="C76" i="985"/>
  <c r="F68" i="985"/>
  <c r="F69" i="985" s="1"/>
  <c r="E53" i="985"/>
  <c r="J50" i="985"/>
  <c r="J44" i="985" s="1"/>
  <c r="J49" i="985"/>
  <c r="J51" i="985" s="1"/>
  <c r="K48" i="985"/>
  <c r="K47" i="985"/>
  <c r="K46" i="985"/>
  <c r="J62" i="985" s="1"/>
  <c r="B44" i="985"/>
  <c r="C50" i="985"/>
  <c r="C51" i="985" s="1"/>
  <c r="C49" i="985"/>
  <c r="C44" i="985" s="1"/>
  <c r="E76" i="985"/>
  <c r="E142" i="985"/>
  <c r="C142" i="985"/>
  <c r="D76" i="985"/>
  <c r="F56" i="985"/>
  <c r="E58" i="985"/>
  <c r="E57" i="985"/>
  <c r="E45" i="985"/>
  <c r="D48" i="985"/>
  <c r="D47" i="985"/>
  <c r="D46" i="985"/>
  <c r="E40" i="985"/>
  <c r="F6" i="985" s="1"/>
  <c r="C54" i="985"/>
  <c r="D52" i="985"/>
  <c r="E69" i="984"/>
  <c r="E40" i="984" s="1"/>
  <c r="F6" i="984" s="1"/>
  <c r="D69" i="984"/>
  <c r="B69" i="984"/>
  <c r="B40" i="984" s="1"/>
  <c r="L69" i="984"/>
  <c r="E76" i="984"/>
  <c r="D59" i="984"/>
  <c r="G67" i="984"/>
  <c r="F67" i="984" s="1"/>
  <c r="E53" i="984"/>
  <c r="G68" i="984"/>
  <c r="F68" i="984" s="1"/>
  <c r="G65" i="984"/>
  <c r="F65" i="984" s="1"/>
  <c r="H44" i="984"/>
  <c r="F56" i="984"/>
  <c r="E58" i="984"/>
  <c r="E57" i="984"/>
  <c r="E52" i="984"/>
  <c r="E54" i="984" s="1"/>
  <c r="D54" i="984"/>
  <c r="A54" i="984" s="1"/>
  <c r="D50" i="984"/>
  <c r="D49" i="984"/>
  <c r="D44" i="984" s="1"/>
  <c r="K6" i="984" s="1"/>
  <c r="I50" i="984"/>
  <c r="I49" i="984"/>
  <c r="D76" i="984"/>
  <c r="H51" i="984"/>
  <c r="E48" i="984"/>
  <c r="E47" i="984"/>
  <c r="G62" i="984" s="1"/>
  <c r="E46" i="984"/>
  <c r="D62" i="984" s="1"/>
  <c r="N5" i="984" s="1"/>
  <c r="K45" i="984"/>
  <c r="J48" i="984"/>
  <c r="J47" i="984"/>
  <c r="J46" i="984"/>
  <c r="E142" i="984"/>
  <c r="C142" i="984"/>
  <c r="B76" i="984"/>
  <c r="C76" i="984"/>
  <c r="I51" i="984"/>
  <c r="I44" i="984"/>
  <c r="D142" i="984"/>
  <c r="F142" i="984"/>
  <c r="J15" i="984" s="1"/>
  <c r="I13" i="984" s="1"/>
  <c r="H44" i="983"/>
  <c r="C69" i="983"/>
  <c r="D142" i="983" s="1"/>
  <c r="D69" i="983"/>
  <c r="E69" i="983"/>
  <c r="L69" i="983"/>
  <c r="G67" i="983"/>
  <c r="F67" i="983" s="1"/>
  <c r="G68" i="983"/>
  <c r="F68" i="983" s="1"/>
  <c r="G65" i="983"/>
  <c r="F65" i="983" s="1"/>
  <c r="E76" i="983"/>
  <c r="K45" i="983"/>
  <c r="J48" i="983"/>
  <c r="J47" i="983"/>
  <c r="J46" i="983"/>
  <c r="D53" i="983"/>
  <c r="E142" i="983"/>
  <c r="E52" i="983"/>
  <c r="E54" i="983" s="1"/>
  <c r="D54" i="983"/>
  <c r="B76" i="983"/>
  <c r="C76" i="983"/>
  <c r="F56" i="983"/>
  <c r="E58" i="983"/>
  <c r="E57" i="983"/>
  <c r="D50" i="983"/>
  <c r="D51" i="983" s="1"/>
  <c r="D49" i="983"/>
  <c r="D44" i="983" s="1"/>
  <c r="K6" i="983" s="1"/>
  <c r="I50" i="983"/>
  <c r="I44" i="983" s="1"/>
  <c r="I49" i="983"/>
  <c r="I51" i="983" s="1"/>
  <c r="E53" i="983"/>
  <c r="E48" i="983"/>
  <c r="E47" i="983"/>
  <c r="G62" i="983" s="1"/>
  <c r="E46" i="983"/>
  <c r="D62" i="983" s="1"/>
  <c r="N5" i="983" s="1"/>
  <c r="C69" i="982"/>
  <c r="D142" i="982" s="1"/>
  <c r="D69" i="982"/>
  <c r="E142" i="982" s="1"/>
  <c r="E69" i="982"/>
  <c r="B69" i="982"/>
  <c r="D59" i="982"/>
  <c r="G65" i="982"/>
  <c r="F65" i="982" s="1"/>
  <c r="E76" i="982"/>
  <c r="L69" i="982"/>
  <c r="G66" i="982"/>
  <c r="F66" i="982" s="1"/>
  <c r="E53" i="982"/>
  <c r="C76" i="982"/>
  <c r="G67" i="982"/>
  <c r="F67" i="982" s="1"/>
  <c r="B76" i="982"/>
  <c r="G68" i="982"/>
  <c r="F68" i="982" s="1"/>
  <c r="I50" i="982"/>
  <c r="I44" i="982" s="1"/>
  <c r="I49" i="982"/>
  <c r="I51" i="982" s="1"/>
  <c r="F56" i="982"/>
  <c r="E58" i="982"/>
  <c r="E57" i="982"/>
  <c r="K45" i="982"/>
  <c r="J48" i="982"/>
  <c r="J47" i="982"/>
  <c r="J46" i="982"/>
  <c r="E52" i="982"/>
  <c r="E54" i="982" s="1"/>
  <c r="D54" i="982"/>
  <c r="D76" i="982"/>
  <c r="D50" i="982"/>
  <c r="D51" i="982" s="1"/>
  <c r="D49" i="982"/>
  <c r="D44" i="982" s="1"/>
  <c r="K6" i="982" s="1"/>
  <c r="F142" i="982"/>
  <c r="J15" i="982" s="1"/>
  <c r="I13" i="982" s="1"/>
  <c r="E48" i="982"/>
  <c r="E47" i="982"/>
  <c r="G62" i="982" s="1"/>
  <c r="E46" i="982"/>
  <c r="D62" i="982" s="1"/>
  <c r="N5" i="982" s="1"/>
  <c r="B76" i="981"/>
  <c r="C76" i="981"/>
  <c r="C69" i="981"/>
  <c r="D142" i="981" s="1"/>
  <c r="D69" i="981"/>
  <c r="E142" i="981" s="1"/>
  <c r="E69" i="981"/>
  <c r="E40" i="981" s="1"/>
  <c r="F6" i="981" s="1"/>
  <c r="D59" i="981"/>
  <c r="E53" i="981"/>
  <c r="G66" i="981"/>
  <c r="F66" i="981" s="1"/>
  <c r="E76" i="981"/>
  <c r="G67" i="981"/>
  <c r="F67" i="981" s="1"/>
  <c r="G68" i="981"/>
  <c r="F68" i="981" s="1"/>
  <c r="C142" i="981"/>
  <c r="F142" i="981"/>
  <c r="J15" i="981" s="1"/>
  <c r="I13" i="981" s="1"/>
  <c r="K45" i="981"/>
  <c r="J48" i="981"/>
  <c r="J47" i="981"/>
  <c r="J46" i="981"/>
  <c r="D50" i="981"/>
  <c r="D49" i="981"/>
  <c r="E52" i="981"/>
  <c r="E54" i="981" s="1"/>
  <c r="D54" i="981"/>
  <c r="H44" i="981"/>
  <c r="E48" i="981"/>
  <c r="E47" i="981"/>
  <c r="G62" i="981" s="1"/>
  <c r="E46" i="981"/>
  <c r="D62" i="981" s="1"/>
  <c r="N5" i="981" s="1"/>
  <c r="F56" i="981"/>
  <c r="E58" i="981"/>
  <c r="E57" i="981"/>
  <c r="H51" i="981"/>
  <c r="I50" i="981"/>
  <c r="I44" i="981" s="1"/>
  <c r="I49" i="981"/>
  <c r="I51" i="981" s="1"/>
  <c r="D76" i="981"/>
  <c r="D44" i="981"/>
  <c r="K6" i="981" s="1"/>
  <c r="H44" i="980"/>
  <c r="D59" i="980"/>
  <c r="G66" i="980"/>
  <c r="F66" i="980" s="1"/>
  <c r="G65" i="980"/>
  <c r="F65" i="980" s="1"/>
  <c r="G67" i="980"/>
  <c r="F67" i="980" s="1"/>
  <c r="E53" i="980"/>
  <c r="B51" i="980"/>
  <c r="B44" i="980"/>
  <c r="C54" i="980"/>
  <c r="D52" i="980"/>
  <c r="I50" i="980"/>
  <c r="I44" i="980" s="1"/>
  <c r="I49" i="980"/>
  <c r="I51" i="980" s="1"/>
  <c r="C50" i="980"/>
  <c r="C51" i="980" s="1"/>
  <c r="C49" i="980"/>
  <c r="C44" i="980" s="1"/>
  <c r="D40" i="980"/>
  <c r="G40" i="980" s="1"/>
  <c r="B4" i="980" s="1"/>
  <c r="K45" i="980"/>
  <c r="J48" i="980"/>
  <c r="J47" i="980"/>
  <c r="J46" i="980"/>
  <c r="E45" i="980"/>
  <c r="D48" i="980"/>
  <c r="D47" i="980"/>
  <c r="D46" i="980"/>
  <c r="E14" i="980"/>
  <c r="C14" i="980"/>
  <c r="G14" i="980"/>
  <c r="B14" i="980"/>
  <c r="F14" i="980"/>
  <c r="D14" i="980"/>
  <c r="F33" i="980"/>
  <c r="F34" i="980"/>
  <c r="F56" i="980"/>
  <c r="E58" i="980"/>
  <c r="E57" i="980"/>
  <c r="D69" i="979"/>
  <c r="E142" i="979" s="1"/>
  <c r="B69" i="979"/>
  <c r="E69" i="979"/>
  <c r="M14" i="979" s="1"/>
  <c r="F68" i="979"/>
  <c r="L69" i="979"/>
  <c r="D59" i="979"/>
  <c r="G65" i="979"/>
  <c r="F65" i="979" s="1"/>
  <c r="I50" i="979"/>
  <c r="I49" i="979"/>
  <c r="I51" i="979" s="1"/>
  <c r="D76" i="979"/>
  <c r="F56" i="979"/>
  <c r="E58" i="979"/>
  <c r="E57" i="979"/>
  <c r="K45" i="979"/>
  <c r="J48" i="979"/>
  <c r="J47" i="979"/>
  <c r="J46" i="979"/>
  <c r="B76" i="979"/>
  <c r="D50" i="979"/>
  <c r="D51" i="979" s="1"/>
  <c r="D49" i="979"/>
  <c r="D44" i="979" s="1"/>
  <c r="K6" i="979" s="1"/>
  <c r="E52" i="979"/>
  <c r="E54" i="979" s="1"/>
  <c r="D54" i="979"/>
  <c r="E48" i="979"/>
  <c r="E47" i="979"/>
  <c r="G62" i="979" s="1"/>
  <c r="E46" i="979"/>
  <c r="D62" i="979" s="1"/>
  <c r="N5" i="979" s="1"/>
  <c r="C76" i="979"/>
  <c r="I44" i="979"/>
  <c r="D142" i="979"/>
  <c r="F142" i="979"/>
  <c r="J15" i="979" s="1"/>
  <c r="I13" i="979" s="1"/>
  <c r="D76" i="978"/>
  <c r="C69" i="978"/>
  <c r="B69" i="978"/>
  <c r="D69" i="978"/>
  <c r="E76" i="978"/>
  <c r="C76" i="978"/>
  <c r="B76" i="978"/>
  <c r="E68" i="978"/>
  <c r="F68" i="978" s="1"/>
  <c r="F69" i="978" s="1"/>
  <c r="L69" i="978"/>
  <c r="C50" i="978"/>
  <c r="C49" i="978"/>
  <c r="C44" i="978" s="1"/>
  <c r="C54" i="978"/>
  <c r="D52" i="978"/>
  <c r="E45" i="978"/>
  <c r="D48" i="978"/>
  <c r="D47" i="978"/>
  <c r="D46" i="978"/>
  <c r="D142" i="978"/>
  <c r="B44" i="978"/>
  <c r="E53" i="978"/>
  <c r="J50" i="978"/>
  <c r="J44" i="978" s="1"/>
  <c r="J49" i="978"/>
  <c r="J51" i="978" s="1"/>
  <c r="F56" i="978"/>
  <c r="E58" i="978"/>
  <c r="E57" i="978"/>
  <c r="E59" i="978" s="1"/>
  <c r="C51" i="978"/>
  <c r="K48" i="978"/>
  <c r="K47" i="978"/>
  <c r="M62" i="978" s="1"/>
  <c r="K46" i="978"/>
  <c r="J62" i="978" s="1"/>
  <c r="E142" i="978"/>
  <c r="C142" i="978"/>
  <c r="B33" i="977"/>
  <c r="E14" i="977" s="1"/>
  <c r="B40" i="977"/>
  <c r="E40" i="977"/>
  <c r="F6" i="977" s="1"/>
  <c r="C40" i="977"/>
  <c r="D59" i="977"/>
  <c r="G66" i="977"/>
  <c r="F66" i="977" s="1"/>
  <c r="G68" i="977"/>
  <c r="F68" i="977" s="1"/>
  <c r="G67" i="977"/>
  <c r="F67" i="977" s="1"/>
  <c r="C50" i="977"/>
  <c r="C49" i="977"/>
  <c r="F56" i="977"/>
  <c r="E58" i="977"/>
  <c r="E57" i="977"/>
  <c r="K45" i="977"/>
  <c r="J48" i="977"/>
  <c r="J47" i="977"/>
  <c r="J46" i="977"/>
  <c r="E45" i="977"/>
  <c r="D48" i="977"/>
  <c r="D47" i="977"/>
  <c r="D46" i="977"/>
  <c r="B44" i="977"/>
  <c r="I50" i="977"/>
  <c r="I49" i="977"/>
  <c r="I51" i="977" s="1"/>
  <c r="E53" i="977"/>
  <c r="G14" i="977"/>
  <c r="D14" i="977"/>
  <c r="F33" i="977"/>
  <c r="C54" i="977"/>
  <c r="D52" i="977"/>
  <c r="I44" i="977"/>
  <c r="C51" i="977"/>
  <c r="H51" i="977"/>
  <c r="B33" i="976"/>
  <c r="E14" i="976" s="1"/>
  <c r="B44" i="976"/>
  <c r="C40" i="976"/>
  <c r="D40" i="976" s="1"/>
  <c r="E40" i="976"/>
  <c r="F6" i="976" s="1"/>
  <c r="D59" i="976"/>
  <c r="G65" i="976"/>
  <c r="F65" i="976" s="1"/>
  <c r="G66" i="976"/>
  <c r="F66" i="976" s="1"/>
  <c r="G67" i="976"/>
  <c r="F67" i="976" s="1"/>
  <c r="G68" i="976"/>
  <c r="F68" i="976" s="1"/>
  <c r="E53" i="976"/>
  <c r="F56" i="976"/>
  <c r="E58" i="976"/>
  <c r="E57" i="976"/>
  <c r="F14" i="976"/>
  <c r="F33" i="976"/>
  <c r="H44" i="976"/>
  <c r="I50" i="976"/>
  <c r="I49" i="976"/>
  <c r="I51" i="976" s="1"/>
  <c r="C50" i="976"/>
  <c r="C51" i="976" s="1"/>
  <c r="C49" i="976"/>
  <c r="C44" i="976" s="1"/>
  <c r="C54" i="976"/>
  <c r="D52" i="976"/>
  <c r="K45" i="976"/>
  <c r="J48" i="976"/>
  <c r="J47" i="976"/>
  <c r="J46" i="976"/>
  <c r="E45" i="976"/>
  <c r="D48" i="976"/>
  <c r="D47" i="976"/>
  <c r="D46" i="976"/>
  <c r="L69" i="975"/>
  <c r="B51" i="975"/>
  <c r="D69" i="975"/>
  <c r="E69" i="975"/>
  <c r="B69" i="975"/>
  <c r="B76" i="975"/>
  <c r="G66" i="975"/>
  <c r="F66" i="975" s="1"/>
  <c r="G67" i="975"/>
  <c r="F67" i="975" s="1"/>
  <c r="G68" i="975"/>
  <c r="F68" i="975" s="1"/>
  <c r="G65" i="975"/>
  <c r="F65" i="975" s="1"/>
  <c r="E45" i="975"/>
  <c r="D48" i="975"/>
  <c r="D47" i="975"/>
  <c r="D46" i="975"/>
  <c r="F56" i="975"/>
  <c r="E58" i="975"/>
  <c r="E57" i="975"/>
  <c r="E59" i="975" s="1"/>
  <c r="C54" i="975"/>
  <c r="D52" i="975"/>
  <c r="J50" i="975"/>
  <c r="J44" i="975" s="1"/>
  <c r="J49" i="975"/>
  <c r="M14" i="975"/>
  <c r="B44" i="975"/>
  <c r="E53" i="975"/>
  <c r="K48" i="975"/>
  <c r="K47" i="975"/>
  <c r="M62" i="975" s="1"/>
  <c r="K46" i="975"/>
  <c r="J62" i="975" s="1"/>
  <c r="D142" i="975"/>
  <c r="D76" i="975"/>
  <c r="C76" i="975"/>
  <c r="E76" i="975"/>
  <c r="C50" i="975"/>
  <c r="C51" i="975" s="1"/>
  <c r="C49" i="975"/>
  <c r="C44" i="975" s="1"/>
  <c r="E142" i="975"/>
  <c r="M14" i="974"/>
  <c r="C54" i="974"/>
  <c r="D52" i="974"/>
  <c r="E53" i="974"/>
  <c r="G67" i="974"/>
  <c r="F67" i="974" s="1"/>
  <c r="D59" i="974"/>
  <c r="G66" i="974"/>
  <c r="F66" i="974" s="1"/>
  <c r="G65" i="974"/>
  <c r="F65" i="974" s="1"/>
  <c r="I50" i="974"/>
  <c r="I44" i="974" s="1"/>
  <c r="I49" i="974"/>
  <c r="C40" i="974"/>
  <c r="D40" i="974" s="1"/>
  <c r="B44" i="974"/>
  <c r="G68" i="974"/>
  <c r="F68" i="974" s="1"/>
  <c r="H51" i="974"/>
  <c r="F56" i="974"/>
  <c r="E58" i="974"/>
  <c r="E57" i="974"/>
  <c r="K45" i="974"/>
  <c r="J48" i="974"/>
  <c r="J47" i="974"/>
  <c r="J46" i="974"/>
  <c r="E14" i="974"/>
  <c r="D14" i="974"/>
  <c r="B14" i="974"/>
  <c r="G14" i="974"/>
  <c r="F14" i="974"/>
  <c r="C14" i="974"/>
  <c r="F33" i="974"/>
  <c r="B5" i="974" s="1"/>
  <c r="F34" i="974"/>
  <c r="C50" i="974"/>
  <c r="C51" i="974" s="1"/>
  <c r="C49" i="974"/>
  <c r="B51" i="974"/>
  <c r="I51" i="974"/>
  <c r="E45" i="974"/>
  <c r="D48" i="974"/>
  <c r="D47" i="974"/>
  <c r="D46" i="974"/>
  <c r="E40" i="974"/>
  <c r="F6" i="974" s="1"/>
  <c r="G69" i="873"/>
  <c r="R86" i="1"/>
  <c r="J44" i="1"/>
  <c r="K94" i="1"/>
  <c r="R52" i="1"/>
  <c r="K68" i="1"/>
  <c r="J69" i="1"/>
  <c r="R96" i="1"/>
  <c r="J94" i="1"/>
  <c r="R78" i="1"/>
  <c r="J28" i="1"/>
  <c r="K23" i="1"/>
  <c r="K69" i="1"/>
  <c r="R31" i="1"/>
  <c r="K71" i="1"/>
  <c r="R49" i="1"/>
  <c r="J71" i="1"/>
  <c r="J68" i="1"/>
  <c r="R47" i="1"/>
  <c r="J23" i="1"/>
  <c r="Q71" i="1"/>
  <c r="K28" i="1"/>
  <c r="Q85" i="1"/>
  <c r="Q94" i="1"/>
  <c r="R83" i="1"/>
  <c r="J27" i="1"/>
  <c r="Q69" i="1"/>
  <c r="Q68" i="1"/>
  <c r="Q63" i="1"/>
  <c r="Q23" i="1"/>
  <c r="R35" i="1"/>
  <c r="R66" i="1"/>
  <c r="R72" i="1"/>
  <c r="K27" i="1"/>
  <c r="R87" i="1"/>
  <c r="R63" i="1"/>
  <c r="R8" i="1"/>
  <c r="K44" i="1"/>
  <c r="Q28" i="1"/>
  <c r="R10" i="1"/>
  <c r="R7" i="1"/>
  <c r="A54" i="983" l="1"/>
  <c r="F59" i="989"/>
  <c r="I6" i="989" s="1"/>
  <c r="E14" i="989"/>
  <c r="F59" i="990"/>
  <c r="I6" i="990" s="1"/>
  <c r="A54" i="995"/>
  <c r="K44" i="999"/>
  <c r="B5" i="1001"/>
  <c r="K44" i="1006"/>
  <c r="H59" i="1014"/>
  <c r="I59" i="1016"/>
  <c r="H59" i="1018"/>
  <c r="I59" i="1022"/>
  <c r="F33" i="989"/>
  <c r="K59" i="1041"/>
  <c r="L59" i="1049"/>
  <c r="C40" i="981"/>
  <c r="F34" i="989"/>
  <c r="A54" i="991"/>
  <c r="K62" i="996"/>
  <c r="K3" i="999"/>
  <c r="K4" i="999" s="1"/>
  <c r="F34" i="976"/>
  <c r="A54" i="979"/>
  <c r="A54" i="981"/>
  <c r="G14" i="989"/>
  <c r="A54" i="990"/>
  <c r="K51" i="997"/>
  <c r="I3" i="999"/>
  <c r="I4" i="999" s="1"/>
  <c r="G59" i="1006"/>
  <c r="K3" i="1006"/>
  <c r="K4" i="1006" s="1"/>
  <c r="H59" i="1009"/>
  <c r="I59" i="1025"/>
  <c r="J59" i="1027"/>
  <c r="K59" i="1037"/>
  <c r="L59" i="1045"/>
  <c r="L59" i="1050"/>
  <c r="K59" i="1035"/>
  <c r="L59" i="1053"/>
  <c r="B14" i="976"/>
  <c r="E40" i="979"/>
  <c r="F6" i="979" s="1"/>
  <c r="F142" i="983"/>
  <c r="J15" i="983" s="1"/>
  <c r="I13" i="983" s="1"/>
  <c r="D14" i="989"/>
  <c r="G14" i="994"/>
  <c r="G59" i="997"/>
  <c r="J16" i="1004"/>
  <c r="B33" i="975"/>
  <c r="K51" i="991"/>
  <c r="H59" i="1017"/>
  <c r="M14" i="985"/>
  <c r="B40" i="985"/>
  <c r="I3" i="1001"/>
  <c r="I4" i="1001" s="1"/>
  <c r="B16" i="996"/>
  <c r="N4" i="996"/>
  <c r="N3" i="996"/>
  <c r="D16" i="996"/>
  <c r="C142" i="975"/>
  <c r="J16" i="999"/>
  <c r="C16" i="989"/>
  <c r="N4" i="989"/>
  <c r="N3" i="989"/>
  <c r="B5" i="991"/>
  <c r="C16" i="991"/>
  <c r="N3" i="991"/>
  <c r="N4" i="991"/>
  <c r="N4" i="993"/>
  <c r="N3" i="993"/>
  <c r="F16" i="988"/>
  <c r="N4" i="988"/>
  <c r="N3" i="988"/>
  <c r="J16" i="1006"/>
  <c r="I3" i="1000"/>
  <c r="I4" i="1000" s="1"/>
  <c r="N4" i="995"/>
  <c r="N3" i="995"/>
  <c r="F16" i="990"/>
  <c r="N3" i="990"/>
  <c r="N4" i="990"/>
  <c r="N4" i="978"/>
  <c r="E16" i="992"/>
  <c r="N3" i="992"/>
  <c r="N4" i="992"/>
  <c r="C40" i="985"/>
  <c r="E59" i="983"/>
  <c r="F16" i="987"/>
  <c r="N3" i="987"/>
  <c r="N4" i="987"/>
  <c r="B5" i="980"/>
  <c r="B14" i="977"/>
  <c r="F34" i="977"/>
  <c r="B5" i="977" s="1"/>
  <c r="C14" i="977"/>
  <c r="E40" i="975"/>
  <c r="F6" i="975" s="1"/>
  <c r="C40" i="984"/>
  <c r="B40" i="975"/>
  <c r="C40" i="975"/>
  <c r="E59" i="984"/>
  <c r="E59" i="986"/>
  <c r="N3" i="985"/>
  <c r="N4" i="985"/>
  <c r="B33" i="981"/>
  <c r="F69" i="981"/>
  <c r="E59" i="976"/>
  <c r="M59" i="1071"/>
  <c r="B60" i="1071"/>
  <c r="B62" i="1071" s="1"/>
  <c r="M59" i="1070"/>
  <c r="B60" i="1070"/>
  <c r="B62" i="1070" s="1"/>
  <c r="M59" i="1069"/>
  <c r="B60" i="1069"/>
  <c r="B62" i="1069" s="1"/>
  <c r="M59" i="1067"/>
  <c r="B60" i="1067"/>
  <c r="B62" i="1067" s="1"/>
  <c r="M59" i="1066"/>
  <c r="B60" i="1066"/>
  <c r="B62" i="1066" s="1"/>
  <c r="M59" i="1065"/>
  <c r="B60" i="1065"/>
  <c r="B62" i="1065" s="1"/>
  <c r="M59" i="1064"/>
  <c r="B60" i="1064"/>
  <c r="B62" i="1064" s="1"/>
  <c r="M59" i="1063"/>
  <c r="B60" i="1063"/>
  <c r="B62" i="1063" s="1"/>
  <c r="M59" i="1062"/>
  <c r="B60" i="1062"/>
  <c r="B62" i="1062" s="1"/>
  <c r="M59" i="1061"/>
  <c r="B60" i="1061"/>
  <c r="B62" i="1061" s="1"/>
  <c r="M59" i="1059"/>
  <c r="B60" i="1059"/>
  <c r="B62" i="1059" s="1"/>
  <c r="M59" i="1058"/>
  <c r="B60" i="1058"/>
  <c r="B62" i="1058" s="1"/>
  <c r="M59" i="1057"/>
  <c r="B60" i="1057"/>
  <c r="B62" i="1057" s="1"/>
  <c r="M59" i="1056"/>
  <c r="B60" i="1056"/>
  <c r="B62" i="1056" s="1"/>
  <c r="M59" i="1055"/>
  <c r="B60" i="1055"/>
  <c r="B62" i="1055" s="1"/>
  <c r="M59" i="1054"/>
  <c r="B60" i="1054"/>
  <c r="B62" i="1054" s="1"/>
  <c r="M58" i="1053"/>
  <c r="B61" i="1053" s="1"/>
  <c r="M57" i="1053"/>
  <c r="M58" i="1052"/>
  <c r="B61" i="1052" s="1"/>
  <c r="M57" i="1052"/>
  <c r="L59" i="1051"/>
  <c r="M58" i="1051"/>
  <c r="B61" i="1051" s="1"/>
  <c r="M57" i="1051"/>
  <c r="M58" i="1050"/>
  <c r="B61" i="1050" s="1"/>
  <c r="M57" i="1050"/>
  <c r="M58" i="1049"/>
  <c r="B61" i="1049" s="1"/>
  <c r="M57" i="1049"/>
  <c r="L59" i="1048"/>
  <c r="M58" i="1048"/>
  <c r="B61" i="1048" s="1"/>
  <c r="M57" i="1048"/>
  <c r="L59" i="1047"/>
  <c r="M58" i="1047"/>
  <c r="B61" i="1047" s="1"/>
  <c r="M57" i="1047"/>
  <c r="L59" i="1046"/>
  <c r="M58" i="1046"/>
  <c r="B61" i="1046" s="1"/>
  <c r="M57" i="1046"/>
  <c r="M58" i="1045"/>
  <c r="B61" i="1045" s="1"/>
  <c r="M57" i="1045"/>
  <c r="M56" i="1044"/>
  <c r="L58" i="1044"/>
  <c r="L57" i="1044"/>
  <c r="K59" i="1043"/>
  <c r="M56" i="1043"/>
  <c r="L58" i="1043"/>
  <c r="L57" i="1043"/>
  <c r="K59" i="1042"/>
  <c r="M56" i="1042"/>
  <c r="L58" i="1042"/>
  <c r="L57" i="1042"/>
  <c r="M56" i="1041"/>
  <c r="L58" i="1041"/>
  <c r="L57" i="1041"/>
  <c r="L59" i="1041" s="1"/>
  <c r="M56" i="1040"/>
  <c r="L58" i="1040"/>
  <c r="L57" i="1040"/>
  <c r="L59" i="1040" s="1"/>
  <c r="M56" i="1039"/>
  <c r="L58" i="1039"/>
  <c r="L57" i="1039"/>
  <c r="L59" i="1039" s="1"/>
  <c r="K59" i="1038"/>
  <c r="M56" i="1038"/>
  <c r="L58" i="1038"/>
  <c r="L57" i="1038"/>
  <c r="M56" i="1037"/>
  <c r="L58" i="1037"/>
  <c r="L57" i="1037"/>
  <c r="K59" i="1036"/>
  <c r="M56" i="1036"/>
  <c r="L58" i="1036"/>
  <c r="L57" i="1036"/>
  <c r="M56" i="1035"/>
  <c r="L58" i="1035"/>
  <c r="L57" i="1035"/>
  <c r="M56" i="1034"/>
  <c r="L58" i="1034"/>
  <c r="L57" i="1034"/>
  <c r="L59" i="1034" s="1"/>
  <c r="K58" i="1033"/>
  <c r="K57" i="1033"/>
  <c r="L56" i="1033"/>
  <c r="J59" i="1032"/>
  <c r="K58" i="1032"/>
  <c r="K57" i="1032"/>
  <c r="L56" i="1032"/>
  <c r="J59" i="1031"/>
  <c r="K58" i="1031"/>
  <c r="K57" i="1031"/>
  <c r="L56" i="1031"/>
  <c r="J59" i="1030"/>
  <c r="K58" i="1030"/>
  <c r="K57" i="1030"/>
  <c r="L56" i="1030"/>
  <c r="E59" i="982"/>
  <c r="B33" i="982"/>
  <c r="G14" i="982" s="1"/>
  <c r="A54" i="982"/>
  <c r="M14" i="982"/>
  <c r="K58" i="1029"/>
  <c r="K57" i="1029"/>
  <c r="L56" i="1029"/>
  <c r="K58" i="1028"/>
  <c r="K57" i="1028"/>
  <c r="K59" i="1028" s="1"/>
  <c r="L56" i="1028"/>
  <c r="K58" i="1027"/>
  <c r="K57" i="1027"/>
  <c r="K59" i="1027" s="1"/>
  <c r="L56" i="1027"/>
  <c r="K58" i="1026"/>
  <c r="K57" i="1026"/>
  <c r="L56" i="1026"/>
  <c r="K56" i="1025"/>
  <c r="J58" i="1025"/>
  <c r="J57" i="1025"/>
  <c r="I59" i="1024"/>
  <c r="K56" i="1024"/>
  <c r="J58" i="1024"/>
  <c r="J57" i="1024"/>
  <c r="I59" i="1023"/>
  <c r="K56" i="1023"/>
  <c r="J58" i="1023"/>
  <c r="J57" i="1023"/>
  <c r="K56" i="1022"/>
  <c r="J58" i="1022"/>
  <c r="J57" i="1022"/>
  <c r="K56" i="1021"/>
  <c r="J58" i="1021"/>
  <c r="J57" i="1021"/>
  <c r="K9" i="1020"/>
  <c r="H59" i="1020"/>
  <c r="J56" i="1020"/>
  <c r="I58" i="1020"/>
  <c r="I57" i="1020"/>
  <c r="K9" i="1019"/>
  <c r="H59" i="1019"/>
  <c r="J56" i="1019"/>
  <c r="I58" i="1019"/>
  <c r="I57" i="1019"/>
  <c r="K9" i="1018"/>
  <c r="J56" i="1018"/>
  <c r="I58" i="1018"/>
  <c r="I57" i="1018"/>
  <c r="K9" i="1017"/>
  <c r="J56" i="1017"/>
  <c r="I58" i="1017"/>
  <c r="I57" i="1017"/>
  <c r="K9" i="1016"/>
  <c r="K56" i="1016"/>
  <c r="J57" i="1016"/>
  <c r="J59" i="1016" s="1"/>
  <c r="J58" i="1016"/>
  <c r="K9" i="1015"/>
  <c r="J56" i="1015"/>
  <c r="I58" i="1015"/>
  <c r="I57" i="1015"/>
  <c r="K9" i="1014"/>
  <c r="J56" i="1014"/>
  <c r="I58" i="1014"/>
  <c r="I57" i="1014"/>
  <c r="K9" i="1013"/>
  <c r="H59" i="1013"/>
  <c r="J56" i="1013"/>
  <c r="I58" i="1013"/>
  <c r="I57" i="1013"/>
  <c r="J56" i="1012"/>
  <c r="I58" i="1012"/>
  <c r="I57" i="1012"/>
  <c r="K9" i="1011"/>
  <c r="H59" i="1011"/>
  <c r="J56" i="1011"/>
  <c r="I58" i="1011"/>
  <c r="I57" i="1011"/>
  <c r="K9" i="1010"/>
  <c r="J56" i="1010"/>
  <c r="I58" i="1010"/>
  <c r="I57" i="1010"/>
  <c r="K9" i="1009"/>
  <c r="J56" i="1009"/>
  <c r="I58" i="1009"/>
  <c r="I57" i="1009"/>
  <c r="K9" i="1008"/>
  <c r="H59" i="1008"/>
  <c r="J56" i="1008"/>
  <c r="I58" i="1008"/>
  <c r="I57" i="1008"/>
  <c r="I59" i="1008" s="1"/>
  <c r="K9" i="1007"/>
  <c r="J56" i="1007"/>
  <c r="I58" i="1007"/>
  <c r="I57" i="1007"/>
  <c r="H62" i="1006"/>
  <c r="K62" i="1006"/>
  <c r="A53" i="1006"/>
  <c r="N6" i="1006" s="1"/>
  <c r="I56" i="1006"/>
  <c r="H57" i="1006"/>
  <c r="H58" i="1006"/>
  <c r="J16" i="1005"/>
  <c r="N62" i="1005"/>
  <c r="K62" i="1005"/>
  <c r="K9" i="1005"/>
  <c r="I56" i="1005"/>
  <c r="H57" i="1005"/>
  <c r="H58" i="1005"/>
  <c r="N62" i="1004"/>
  <c r="K62" i="1004"/>
  <c r="A53" i="1004"/>
  <c r="N6" i="1004" s="1"/>
  <c r="K3" i="1004"/>
  <c r="K4" i="1004" s="1"/>
  <c r="J3" i="1004"/>
  <c r="J4" i="1004" s="1"/>
  <c r="I3" i="1004"/>
  <c r="I4" i="1004" s="1"/>
  <c r="I56" i="1004"/>
  <c r="H57" i="1004"/>
  <c r="H59" i="1004" s="1"/>
  <c r="H58" i="1004"/>
  <c r="H62" i="1003"/>
  <c r="E62" i="1003"/>
  <c r="A53" i="1003"/>
  <c r="N6" i="1003" s="1"/>
  <c r="K3" i="1003"/>
  <c r="K4" i="1003" s="1"/>
  <c r="J3" i="1003"/>
  <c r="J4" i="1003" s="1"/>
  <c r="I3" i="1003"/>
  <c r="I4" i="1003" s="1"/>
  <c r="I56" i="1003"/>
  <c r="H57" i="1003"/>
  <c r="H58" i="1003"/>
  <c r="K62" i="1002"/>
  <c r="N62" i="1002"/>
  <c r="A53" i="1002"/>
  <c r="N6" i="1002" s="1"/>
  <c r="I56" i="1002"/>
  <c r="H57" i="1002"/>
  <c r="H58" i="1002"/>
  <c r="J16" i="1001"/>
  <c r="E51" i="1001"/>
  <c r="H62" i="1001"/>
  <c r="E62" i="1001"/>
  <c r="A53" i="1001"/>
  <c r="N6" i="1001" s="1"/>
  <c r="I56" i="1001"/>
  <c r="H57" i="1001"/>
  <c r="H58" i="1001"/>
  <c r="J16" i="1000"/>
  <c r="H62" i="1000"/>
  <c r="K51" i="1000"/>
  <c r="N62" i="1000"/>
  <c r="E62" i="1000"/>
  <c r="A53" i="1000"/>
  <c r="N6" i="1000" s="1"/>
  <c r="I56" i="1000"/>
  <c r="H57" i="1000"/>
  <c r="H59" i="1000" s="1"/>
  <c r="H58" i="1000"/>
  <c r="H62" i="999"/>
  <c r="K62" i="999"/>
  <c r="A53" i="999"/>
  <c r="N6" i="999" s="1"/>
  <c r="E62" i="999"/>
  <c r="G59" i="999"/>
  <c r="I56" i="999"/>
  <c r="H57" i="999"/>
  <c r="H58" i="999"/>
  <c r="N62" i="998"/>
  <c r="K62" i="998"/>
  <c r="K9" i="998"/>
  <c r="G59" i="998"/>
  <c r="I56" i="998"/>
  <c r="H57" i="998"/>
  <c r="H58" i="998"/>
  <c r="J16" i="997"/>
  <c r="N62" i="997"/>
  <c r="I13" i="997"/>
  <c r="I14" i="997" s="1"/>
  <c r="I15" i="997"/>
  <c r="K9" i="997"/>
  <c r="K3" i="997"/>
  <c r="K4" i="997" s="1"/>
  <c r="J3" i="997"/>
  <c r="J4" i="997" s="1"/>
  <c r="I3" i="997"/>
  <c r="I4" i="997" s="1"/>
  <c r="I56" i="997"/>
  <c r="H57" i="997"/>
  <c r="H58" i="997"/>
  <c r="I14" i="996"/>
  <c r="D51" i="996"/>
  <c r="E16" i="996"/>
  <c r="N62" i="996"/>
  <c r="C16" i="996"/>
  <c r="I3" i="996" s="1"/>
  <c r="I4" i="996" s="1"/>
  <c r="F16" i="996"/>
  <c r="C15" i="996"/>
  <c r="F15" i="996"/>
  <c r="E15" i="996"/>
  <c r="B15" i="996"/>
  <c r="D15" i="996"/>
  <c r="J3" i="996" s="1"/>
  <c r="J4" i="996" s="1"/>
  <c r="I9" i="996"/>
  <c r="I15" i="996"/>
  <c r="G58" i="996"/>
  <c r="G57" i="996"/>
  <c r="H56" i="996"/>
  <c r="C53" i="996"/>
  <c r="E50" i="996"/>
  <c r="E51" i="996" s="1"/>
  <c r="E49" i="996"/>
  <c r="E44" i="996" s="1"/>
  <c r="H62" i="995"/>
  <c r="D51" i="995"/>
  <c r="I14" i="995"/>
  <c r="J44" i="995"/>
  <c r="D16" i="995"/>
  <c r="K62" i="995"/>
  <c r="E16" i="995"/>
  <c r="B16" i="995"/>
  <c r="C16" i="995"/>
  <c r="D44" i="995"/>
  <c r="K6" i="995" s="1"/>
  <c r="C15" i="995"/>
  <c r="D15" i="995"/>
  <c r="J3" i="995" s="1"/>
  <c r="J4" i="995" s="1"/>
  <c r="F15" i="995"/>
  <c r="B15" i="995"/>
  <c r="E15" i="995"/>
  <c r="I15" i="995"/>
  <c r="I9" i="995"/>
  <c r="F59" i="995"/>
  <c r="I6" i="995" s="1"/>
  <c r="E50" i="995"/>
  <c r="E51" i="995" s="1"/>
  <c r="E49" i="995"/>
  <c r="E62" i="995" s="1"/>
  <c r="G58" i="995"/>
  <c r="G57" i="995"/>
  <c r="H56" i="995"/>
  <c r="E44" i="995"/>
  <c r="C53" i="995"/>
  <c r="K50" i="995"/>
  <c r="K44" i="995" s="1"/>
  <c r="K49" i="995"/>
  <c r="K51" i="995" s="1"/>
  <c r="K3" i="994"/>
  <c r="K4" i="994" s="1"/>
  <c r="E51" i="994"/>
  <c r="I3" i="994"/>
  <c r="I4" i="994" s="1"/>
  <c r="B14" i="994"/>
  <c r="D14" i="994"/>
  <c r="E44" i="994"/>
  <c r="C14" i="994"/>
  <c r="E14" i="994"/>
  <c r="F34" i="994"/>
  <c r="B5" i="994" s="1"/>
  <c r="G58" i="994"/>
  <c r="G57" i="994"/>
  <c r="H56" i="994"/>
  <c r="K50" i="994"/>
  <c r="K49" i="994"/>
  <c r="K51" i="994" s="1"/>
  <c r="C53" i="994"/>
  <c r="D16" i="993"/>
  <c r="F16" i="993"/>
  <c r="C16" i="993"/>
  <c r="I3" i="993" s="1"/>
  <c r="I4" i="993" s="1"/>
  <c r="B16" i="993"/>
  <c r="E16" i="993"/>
  <c r="K3" i="993" s="1"/>
  <c r="K4" i="993" s="1"/>
  <c r="F59" i="993"/>
  <c r="I6" i="993" s="1"/>
  <c r="J3" i="993"/>
  <c r="J4" i="993" s="1"/>
  <c r="C53" i="993"/>
  <c r="G58" i="993"/>
  <c r="G57" i="993"/>
  <c r="H56" i="993"/>
  <c r="K50" i="993"/>
  <c r="K44" i="993" s="1"/>
  <c r="K49" i="993"/>
  <c r="K51" i="993" s="1"/>
  <c r="D16" i="992"/>
  <c r="J3" i="992" s="1"/>
  <c r="J4" i="992" s="1"/>
  <c r="F16" i="992"/>
  <c r="C16" i="992"/>
  <c r="B16" i="992"/>
  <c r="D15" i="992"/>
  <c r="F15" i="992"/>
  <c r="C15" i="992"/>
  <c r="I3" i="992" s="1"/>
  <c r="I4" i="992" s="1"/>
  <c r="E15" i="992"/>
  <c r="K3" i="992" s="1"/>
  <c r="K4" i="992" s="1"/>
  <c r="I15" i="992"/>
  <c r="B15" i="992"/>
  <c r="I9" i="992"/>
  <c r="C53" i="992"/>
  <c r="K50" i="992"/>
  <c r="K44" i="992" s="1"/>
  <c r="K49" i="992"/>
  <c r="K51" i="992" s="1"/>
  <c r="G58" i="992"/>
  <c r="G57" i="992"/>
  <c r="G59" i="992" s="1"/>
  <c r="H56" i="992"/>
  <c r="E50" i="992"/>
  <c r="E51" i="992" s="1"/>
  <c r="E49" i="992"/>
  <c r="E44" i="992" s="1"/>
  <c r="F16" i="991"/>
  <c r="N62" i="991"/>
  <c r="D16" i="991"/>
  <c r="D15" i="991"/>
  <c r="I15" i="991"/>
  <c r="I9" i="991"/>
  <c r="F15" i="991"/>
  <c r="C15" i="991"/>
  <c r="B15" i="991"/>
  <c r="E15" i="991"/>
  <c r="B16" i="991"/>
  <c r="E16" i="991"/>
  <c r="E50" i="991"/>
  <c r="E51" i="991" s="1"/>
  <c r="E49" i="991"/>
  <c r="E62" i="991" s="1"/>
  <c r="G58" i="991"/>
  <c r="G57" i="991"/>
  <c r="H56" i="991"/>
  <c r="C53" i="991"/>
  <c r="J51" i="990"/>
  <c r="E15" i="990"/>
  <c r="K3" i="990" s="1"/>
  <c r="K4" i="990" s="1"/>
  <c r="C15" i="990"/>
  <c r="I9" i="990"/>
  <c r="D15" i="990"/>
  <c r="F15" i="990"/>
  <c r="B15" i="990"/>
  <c r="I15" i="990"/>
  <c r="B16" i="990"/>
  <c r="D16" i="990"/>
  <c r="C16" i="990"/>
  <c r="I3" i="990" s="1"/>
  <c r="I4" i="990" s="1"/>
  <c r="E16" i="990"/>
  <c r="E50" i="990"/>
  <c r="H62" i="990" s="1"/>
  <c r="E49" i="990"/>
  <c r="E44" i="990" s="1"/>
  <c r="C53" i="990"/>
  <c r="G58" i="990"/>
  <c r="G57" i="990"/>
  <c r="G59" i="990" s="1"/>
  <c r="H56" i="990"/>
  <c r="K50" i="990"/>
  <c r="K44" i="990" s="1"/>
  <c r="K49" i="990"/>
  <c r="K51" i="990" s="1"/>
  <c r="D40" i="989"/>
  <c r="G40" i="989" s="1"/>
  <c r="B4" i="989" s="1"/>
  <c r="B5" i="989"/>
  <c r="I14" i="989"/>
  <c r="D16" i="989"/>
  <c r="B16" i="989"/>
  <c r="N62" i="989"/>
  <c r="E16" i="989"/>
  <c r="F16" i="989"/>
  <c r="K62" i="989"/>
  <c r="I15" i="989"/>
  <c r="D15" i="989"/>
  <c r="I9" i="989"/>
  <c r="C15" i="989"/>
  <c r="F15" i="989"/>
  <c r="B15" i="989"/>
  <c r="E15" i="989"/>
  <c r="D44" i="989"/>
  <c r="K6" i="989" s="1"/>
  <c r="E50" i="989"/>
  <c r="E51" i="989" s="1"/>
  <c r="E49" i="989"/>
  <c r="E44" i="989" s="1"/>
  <c r="C53" i="989"/>
  <c r="G58" i="989"/>
  <c r="G57" i="989"/>
  <c r="H56" i="989"/>
  <c r="H62" i="988"/>
  <c r="B16" i="988"/>
  <c r="C16" i="988"/>
  <c r="J62" i="988"/>
  <c r="E16" i="988"/>
  <c r="A53" i="988"/>
  <c r="N6" i="988" s="1"/>
  <c r="E44" i="988"/>
  <c r="E62" i="988"/>
  <c r="F59" i="988"/>
  <c r="I6" i="988" s="1"/>
  <c r="K3" i="988"/>
  <c r="K4" i="988" s="1"/>
  <c r="J3" i="988"/>
  <c r="J4" i="988" s="1"/>
  <c r="K50" i="988"/>
  <c r="K44" i="988" s="1"/>
  <c r="K49" i="988"/>
  <c r="K62" i="988" s="1"/>
  <c r="G58" i="988"/>
  <c r="G57" i="988"/>
  <c r="H56" i="988"/>
  <c r="K51" i="988"/>
  <c r="H62" i="987"/>
  <c r="B16" i="987"/>
  <c r="A53" i="987"/>
  <c r="N6" i="987" s="1"/>
  <c r="E44" i="987"/>
  <c r="E62" i="987"/>
  <c r="C16" i="987"/>
  <c r="E16" i="987"/>
  <c r="D16" i="987"/>
  <c r="F59" i="987"/>
  <c r="I6" i="987" s="1"/>
  <c r="G58" i="987"/>
  <c r="G57" i="987"/>
  <c r="H56" i="987"/>
  <c r="B5" i="986"/>
  <c r="M14" i="981"/>
  <c r="B5" i="976"/>
  <c r="G14" i="976"/>
  <c r="K51" i="986"/>
  <c r="K62" i="986"/>
  <c r="F69" i="986"/>
  <c r="N62" i="986"/>
  <c r="C44" i="986"/>
  <c r="D50" i="986"/>
  <c r="D51" i="986" s="1"/>
  <c r="D49" i="986"/>
  <c r="G56" i="986"/>
  <c r="F58" i="986"/>
  <c r="F57" i="986"/>
  <c r="E48" i="986"/>
  <c r="E47" i="986"/>
  <c r="G62" i="986" s="1"/>
  <c r="I14" i="986" s="1"/>
  <c r="E46" i="986"/>
  <c r="D62" i="986" s="1"/>
  <c r="N5" i="986" s="1"/>
  <c r="E52" i="986"/>
  <c r="E54" i="986" s="1"/>
  <c r="D54" i="986"/>
  <c r="A54" i="986" s="1"/>
  <c r="D53" i="986"/>
  <c r="D44" i="986"/>
  <c r="K6" i="986" s="1"/>
  <c r="N62" i="985"/>
  <c r="D62" i="985"/>
  <c r="N5" i="985" s="1"/>
  <c r="F142" i="985"/>
  <c r="J15" i="985" s="1"/>
  <c r="I13" i="985" s="1"/>
  <c r="F16" i="985"/>
  <c r="C16" i="985"/>
  <c r="B16" i="985"/>
  <c r="D16" i="985"/>
  <c r="E16" i="985"/>
  <c r="D40" i="985"/>
  <c r="G40" i="985" s="1"/>
  <c r="B4" i="985" s="1"/>
  <c r="E59" i="985"/>
  <c r="D53" i="985"/>
  <c r="K50" i="985"/>
  <c r="K44" i="985" s="1"/>
  <c r="K49" i="985"/>
  <c r="K62" i="985" s="1"/>
  <c r="E52" i="985"/>
  <c r="E54" i="985" s="1"/>
  <c r="D54" i="985"/>
  <c r="A54" i="985" s="1"/>
  <c r="D50" i="985"/>
  <c r="D51" i="985" s="1"/>
  <c r="D49" i="985"/>
  <c r="G56" i="985"/>
  <c r="F58" i="985"/>
  <c r="F57" i="985"/>
  <c r="E14" i="985"/>
  <c r="D14" i="985"/>
  <c r="C14" i="985"/>
  <c r="F14" i="985"/>
  <c r="B14" i="985"/>
  <c r="G14" i="985"/>
  <c r="F33" i="985"/>
  <c r="F34" i="985"/>
  <c r="K51" i="985"/>
  <c r="E48" i="985"/>
  <c r="E47" i="985"/>
  <c r="G62" i="985" s="1"/>
  <c r="E46" i="985"/>
  <c r="I14" i="984"/>
  <c r="D51" i="984"/>
  <c r="D53" i="984"/>
  <c r="M14" i="984"/>
  <c r="B33" i="984"/>
  <c r="C14" i="984" s="1"/>
  <c r="F15" i="984"/>
  <c r="C15" i="984"/>
  <c r="I9" i="984"/>
  <c r="B15" i="984"/>
  <c r="I15" i="984"/>
  <c r="D15" i="984"/>
  <c r="E15" i="984"/>
  <c r="E62" i="984"/>
  <c r="F69" i="984"/>
  <c r="D40" i="984"/>
  <c r="G40" i="984" s="1"/>
  <c r="B4" i="984" s="1"/>
  <c r="J50" i="984"/>
  <c r="J49" i="984"/>
  <c r="J51" i="984" s="1"/>
  <c r="E50" i="984"/>
  <c r="E51" i="984" s="1"/>
  <c r="E49" i="984"/>
  <c r="E44" i="984" s="1"/>
  <c r="G56" i="984"/>
  <c r="F58" i="984"/>
  <c r="F57" i="984"/>
  <c r="K48" i="984"/>
  <c r="K47" i="984"/>
  <c r="M62" i="984" s="1"/>
  <c r="K46" i="984"/>
  <c r="C53" i="984" s="1"/>
  <c r="D14" i="984"/>
  <c r="F34" i="984"/>
  <c r="I14" i="983"/>
  <c r="F69" i="983"/>
  <c r="C16" i="983" s="1"/>
  <c r="C40" i="983"/>
  <c r="M14" i="983"/>
  <c r="B40" i="983"/>
  <c r="B33" i="983"/>
  <c r="G14" i="983" s="1"/>
  <c r="E40" i="983"/>
  <c r="F6" i="983" s="1"/>
  <c r="E15" i="983"/>
  <c r="I15" i="983"/>
  <c r="F15" i="983"/>
  <c r="I9" i="983"/>
  <c r="C15" i="983"/>
  <c r="D15" i="983"/>
  <c r="B15" i="983"/>
  <c r="G56" i="983"/>
  <c r="F58" i="983"/>
  <c r="F57" i="983"/>
  <c r="J50" i="983"/>
  <c r="J44" i="983" s="1"/>
  <c r="J49" i="983"/>
  <c r="J51" i="983" s="1"/>
  <c r="K48" i="983"/>
  <c r="K47" i="983"/>
  <c r="M62" i="983" s="1"/>
  <c r="K46" i="983"/>
  <c r="J62" i="983" s="1"/>
  <c r="E50" i="983"/>
  <c r="E51" i="983" s="1"/>
  <c r="E49" i="983"/>
  <c r="E44" i="983" s="1"/>
  <c r="I14" i="982"/>
  <c r="C40" i="982"/>
  <c r="I15" i="982"/>
  <c r="F15" i="982"/>
  <c r="I9" i="982"/>
  <c r="C15" i="982"/>
  <c r="E15" i="982"/>
  <c r="B15" i="982"/>
  <c r="D15" i="982"/>
  <c r="E40" i="982"/>
  <c r="F6" i="982" s="1"/>
  <c r="B40" i="982"/>
  <c r="F69" i="982"/>
  <c r="D53" i="982"/>
  <c r="E14" i="982"/>
  <c r="B14" i="982"/>
  <c r="D14" i="982"/>
  <c r="F33" i="982"/>
  <c r="E50" i="982"/>
  <c r="E51" i="982" s="1"/>
  <c r="E49" i="982"/>
  <c r="E44" i="982" s="1"/>
  <c r="J50" i="982"/>
  <c r="J44" i="982" s="1"/>
  <c r="J49" i="982"/>
  <c r="J51" i="982" s="1"/>
  <c r="K48" i="982"/>
  <c r="K47" i="982"/>
  <c r="M62" i="982" s="1"/>
  <c r="K46" i="982"/>
  <c r="J62" i="982" s="1"/>
  <c r="G56" i="982"/>
  <c r="F58" i="982"/>
  <c r="F57" i="982"/>
  <c r="I14" i="981"/>
  <c r="D51" i="981"/>
  <c r="M62" i="981"/>
  <c r="I15" i="981"/>
  <c r="F15" i="981"/>
  <c r="I9" i="981"/>
  <c r="C15" i="981"/>
  <c r="D15" i="981"/>
  <c r="B15" i="981"/>
  <c r="E15" i="981"/>
  <c r="E16" i="981"/>
  <c r="F16" i="981"/>
  <c r="B40" i="981"/>
  <c r="D40" i="981" s="1"/>
  <c r="G40" i="981" s="1"/>
  <c r="B4" i="981" s="1"/>
  <c r="C16" i="981"/>
  <c r="B16" i="981"/>
  <c r="E59" i="981"/>
  <c r="D53" i="981"/>
  <c r="E14" i="981"/>
  <c r="G14" i="981"/>
  <c r="B14" i="981"/>
  <c r="F14" i="981"/>
  <c r="C14" i="981"/>
  <c r="D14" i="981"/>
  <c r="F33" i="981"/>
  <c r="F34" i="981"/>
  <c r="E50" i="981"/>
  <c r="H62" i="981" s="1"/>
  <c r="E49" i="981"/>
  <c r="E44" i="981" s="1"/>
  <c r="J50" i="981"/>
  <c r="J44" i="981" s="1"/>
  <c r="J49" i="981"/>
  <c r="J51" i="981" s="1"/>
  <c r="G56" i="981"/>
  <c r="F58" i="981"/>
  <c r="F57" i="981"/>
  <c r="K48" i="981"/>
  <c r="K47" i="981"/>
  <c r="K46" i="981"/>
  <c r="J62" i="981" s="1"/>
  <c r="F69" i="980"/>
  <c r="E59" i="980"/>
  <c r="D50" i="980"/>
  <c r="D51" i="980" s="1"/>
  <c r="D49" i="980"/>
  <c r="G56" i="980"/>
  <c r="F58" i="980"/>
  <c r="F57" i="980"/>
  <c r="E48" i="980"/>
  <c r="E47" i="980"/>
  <c r="G62" i="980" s="1"/>
  <c r="I14" i="980" s="1"/>
  <c r="E46" i="980"/>
  <c r="D62" i="980" s="1"/>
  <c r="N5" i="980" s="1"/>
  <c r="D53" i="980"/>
  <c r="J50" i="980"/>
  <c r="J44" i="980" s="1"/>
  <c r="J49" i="980"/>
  <c r="J51" i="980" s="1"/>
  <c r="E52" i="980"/>
  <c r="E54" i="980" s="1"/>
  <c r="D54" i="980"/>
  <c r="K48" i="980"/>
  <c r="K47" i="980"/>
  <c r="M62" i="980" s="1"/>
  <c r="K46" i="980"/>
  <c r="J62" i="980" s="1"/>
  <c r="I14" i="979"/>
  <c r="C40" i="979"/>
  <c r="B40" i="979"/>
  <c r="D40" i="979" s="1"/>
  <c r="G40" i="979" s="1"/>
  <c r="B4" i="979" s="1"/>
  <c r="B33" i="979"/>
  <c r="D14" i="979" s="1"/>
  <c r="I9" i="979"/>
  <c r="F15" i="979"/>
  <c r="C15" i="979"/>
  <c r="B15" i="979"/>
  <c r="E15" i="979"/>
  <c r="I15" i="979"/>
  <c r="D15" i="979"/>
  <c r="F69" i="979"/>
  <c r="E59" i="979"/>
  <c r="K48" i="979"/>
  <c r="K47" i="979"/>
  <c r="M62" i="979" s="1"/>
  <c r="K46" i="979"/>
  <c r="C53" i="979" s="1"/>
  <c r="E50" i="979"/>
  <c r="E51" i="979" s="1"/>
  <c r="E49" i="979"/>
  <c r="E44" i="979" s="1"/>
  <c r="D53" i="979"/>
  <c r="J50" i="979"/>
  <c r="J44" i="979" s="1"/>
  <c r="J49" i="979"/>
  <c r="J51" i="979" s="1"/>
  <c r="G56" i="979"/>
  <c r="F58" i="979"/>
  <c r="F57" i="979"/>
  <c r="F59" i="979" s="1"/>
  <c r="I6" i="979" s="1"/>
  <c r="E69" i="978"/>
  <c r="F142" i="978" s="1"/>
  <c r="J15" i="978" s="1"/>
  <c r="I13" i="978" s="1"/>
  <c r="D62" i="978"/>
  <c r="N5" i="978" s="1"/>
  <c r="D16" i="978"/>
  <c r="F16" i="978"/>
  <c r="E16" i="978"/>
  <c r="B16" i="978"/>
  <c r="C16" i="978"/>
  <c r="K50" i="978"/>
  <c r="K44" i="978" s="1"/>
  <c r="K49" i="978"/>
  <c r="K62" i="978" s="1"/>
  <c r="G56" i="978"/>
  <c r="F58" i="978"/>
  <c r="F57" i="978"/>
  <c r="E48" i="978"/>
  <c r="E47" i="978"/>
  <c r="G62" i="978" s="1"/>
  <c r="E46" i="978"/>
  <c r="D53" i="978"/>
  <c r="E52" i="978"/>
  <c r="E54" i="978" s="1"/>
  <c r="D54" i="978"/>
  <c r="D50" i="978"/>
  <c r="D51" i="978" s="1"/>
  <c r="D49" i="978"/>
  <c r="D44" i="978" s="1"/>
  <c r="K6" i="978" s="1"/>
  <c r="D40" i="977"/>
  <c r="G40" i="977" s="1"/>
  <c r="B4" i="977" s="1"/>
  <c r="F14" i="977"/>
  <c r="F69" i="977"/>
  <c r="E16" i="977" s="1"/>
  <c r="C44" i="977"/>
  <c r="F142" i="977"/>
  <c r="J15" i="977" s="1"/>
  <c r="I13" i="977" s="1"/>
  <c r="E59" i="977"/>
  <c r="G56" i="977"/>
  <c r="F58" i="977"/>
  <c r="F57" i="977"/>
  <c r="E48" i="977"/>
  <c r="E47" i="977"/>
  <c r="G62" i="977" s="1"/>
  <c r="E46" i="977"/>
  <c r="D62" i="977" s="1"/>
  <c r="N5" i="977" s="1"/>
  <c r="K48" i="977"/>
  <c r="K47" i="977"/>
  <c r="M62" i="977" s="1"/>
  <c r="K46" i="977"/>
  <c r="J62" i="977" s="1"/>
  <c r="D50" i="977"/>
  <c r="D51" i="977" s="1"/>
  <c r="D49" i="977"/>
  <c r="D44" i="977" s="1"/>
  <c r="K6" i="977" s="1"/>
  <c r="J50" i="977"/>
  <c r="J44" i="977" s="1"/>
  <c r="J49" i="977"/>
  <c r="J51" i="977" s="1"/>
  <c r="D53" i="977"/>
  <c r="E52" i="977"/>
  <c r="E54" i="977" s="1"/>
  <c r="D54" i="977"/>
  <c r="I44" i="976"/>
  <c r="G40" i="976"/>
  <c r="B4" i="976" s="1"/>
  <c r="C14" i="976"/>
  <c r="D14" i="976"/>
  <c r="F69" i="976"/>
  <c r="D53" i="976"/>
  <c r="G56" i="976"/>
  <c r="F58" i="976"/>
  <c r="F57" i="976"/>
  <c r="E52" i="976"/>
  <c r="E54" i="976" s="1"/>
  <c r="D54" i="976"/>
  <c r="A54" i="976" s="1"/>
  <c r="D50" i="976"/>
  <c r="D49" i="976"/>
  <c r="J50" i="976"/>
  <c r="J44" i="976" s="1"/>
  <c r="J49" i="976"/>
  <c r="J51" i="976" s="1"/>
  <c r="E48" i="976"/>
  <c r="E47" i="976"/>
  <c r="G62" i="976" s="1"/>
  <c r="I14" i="976" s="1"/>
  <c r="E46" i="976"/>
  <c r="D62" i="976" s="1"/>
  <c r="N5" i="976" s="1"/>
  <c r="K48" i="976"/>
  <c r="K47" i="976"/>
  <c r="M62" i="976" s="1"/>
  <c r="K46" i="976"/>
  <c r="J62" i="976" s="1"/>
  <c r="J51" i="975"/>
  <c r="F69" i="975"/>
  <c r="D40" i="975"/>
  <c r="G40" i="975" s="1"/>
  <c r="B4" i="975" s="1"/>
  <c r="E14" i="975"/>
  <c r="F14" i="975"/>
  <c r="D14" i="975"/>
  <c r="G14" i="975"/>
  <c r="B14" i="975"/>
  <c r="C14" i="975"/>
  <c r="F33" i="975"/>
  <c r="F34" i="975"/>
  <c r="K50" i="975"/>
  <c r="K44" i="975" s="1"/>
  <c r="K49" i="975"/>
  <c r="K51" i="975" s="1"/>
  <c r="D50" i="975"/>
  <c r="D51" i="975" s="1"/>
  <c r="D49" i="975"/>
  <c r="E52" i="975"/>
  <c r="E54" i="975" s="1"/>
  <c r="D54" i="975"/>
  <c r="A54" i="975" s="1"/>
  <c r="G56" i="975"/>
  <c r="F58" i="975"/>
  <c r="F57" i="975"/>
  <c r="E48" i="975"/>
  <c r="E47" i="975"/>
  <c r="G62" i="975" s="1"/>
  <c r="E46" i="975"/>
  <c r="D62" i="975" s="1"/>
  <c r="N5" i="975" s="1"/>
  <c r="D53" i="975"/>
  <c r="F69" i="974"/>
  <c r="G40" i="974"/>
  <c r="B4" i="974" s="1"/>
  <c r="D53" i="974"/>
  <c r="D62" i="974"/>
  <c r="N5" i="974" s="1"/>
  <c r="J50" i="974"/>
  <c r="J49" i="974"/>
  <c r="J51" i="974" s="1"/>
  <c r="D50" i="974"/>
  <c r="D49" i="974"/>
  <c r="D44" i="974" s="1"/>
  <c r="K48" i="974"/>
  <c r="K47" i="974"/>
  <c r="M62" i="974" s="1"/>
  <c r="K46" i="974"/>
  <c r="C44" i="974"/>
  <c r="E48" i="974"/>
  <c r="E47" i="974"/>
  <c r="E46" i="974"/>
  <c r="J62" i="974"/>
  <c r="E59" i="974"/>
  <c r="E52" i="974"/>
  <c r="E54" i="974" s="1"/>
  <c r="A54" i="974" s="1"/>
  <c r="D54" i="974"/>
  <c r="G56" i="974"/>
  <c r="F58" i="974"/>
  <c r="F57" i="974"/>
  <c r="N2" i="873"/>
  <c r="N1" i="873"/>
  <c r="M1" i="873" s="1"/>
  <c r="N2" i="917"/>
  <c r="N1" i="917"/>
  <c r="M1" i="917" s="1"/>
  <c r="N2" i="918"/>
  <c r="N1" i="918"/>
  <c r="M1" i="918" s="1"/>
  <c r="J51" i="1"/>
  <c r="Q89" i="1"/>
  <c r="R23" i="1"/>
  <c r="Q17" i="1"/>
  <c r="K92" i="1"/>
  <c r="J2" i="973"/>
  <c r="K6" i="1"/>
  <c r="J57" i="1"/>
  <c r="R69" i="1"/>
  <c r="J98" i="1"/>
  <c r="K24" i="1"/>
  <c r="J89" i="1"/>
  <c r="Q57" i="1"/>
  <c r="R71" i="1"/>
  <c r="Q51" i="1"/>
  <c r="R85" i="1"/>
  <c r="R28" i="1"/>
  <c r="J24" i="1"/>
  <c r="J6" i="1"/>
  <c r="J82" i="1"/>
  <c r="J63" i="1"/>
  <c r="R37" i="1"/>
  <c r="J92" i="1"/>
  <c r="K19" i="1"/>
  <c r="Q44" i="1"/>
  <c r="Q45" i="1"/>
  <c r="Q27" i="1"/>
  <c r="Q19" i="1"/>
  <c r="R94" i="1"/>
  <c r="K58" i="1"/>
  <c r="K57" i="1"/>
  <c r="R44" i="1"/>
  <c r="K17" i="1"/>
  <c r="R27" i="1"/>
  <c r="K98" i="1"/>
  <c r="Q6" i="1"/>
  <c r="J3" i="973"/>
  <c r="A54" i="980" l="1"/>
  <c r="G14" i="984"/>
  <c r="G59" i="989"/>
  <c r="I3" i="995"/>
  <c r="I4" i="995" s="1"/>
  <c r="H59" i="1003"/>
  <c r="I59" i="1015"/>
  <c r="I59" i="1017"/>
  <c r="J59" i="1023"/>
  <c r="K59" i="1031"/>
  <c r="L59" i="1036"/>
  <c r="H59" i="1001"/>
  <c r="H59" i="1005"/>
  <c r="K6" i="974"/>
  <c r="B40" i="978"/>
  <c r="F14" i="979"/>
  <c r="A54" i="977"/>
  <c r="E14" i="979"/>
  <c r="J16" i="988"/>
  <c r="E44" i="991"/>
  <c r="J16" i="993"/>
  <c r="G59" i="994"/>
  <c r="K3" i="995"/>
  <c r="K4" i="995" s="1"/>
  <c r="I59" i="1012"/>
  <c r="J59" i="1024"/>
  <c r="K59" i="1026"/>
  <c r="K59" i="1030"/>
  <c r="K59" i="1032"/>
  <c r="L59" i="1037"/>
  <c r="L59" i="1042"/>
  <c r="L59" i="1044"/>
  <c r="I59" i="1020"/>
  <c r="J59" i="1022"/>
  <c r="K59" i="1029"/>
  <c r="E62" i="983"/>
  <c r="K51" i="978"/>
  <c r="F33" i="984"/>
  <c r="B5" i="984" s="1"/>
  <c r="H59" i="997"/>
  <c r="N4" i="982"/>
  <c r="N3" i="982"/>
  <c r="J16" i="996"/>
  <c r="C16" i="979"/>
  <c r="N3" i="979"/>
  <c r="N4" i="979"/>
  <c r="J16" i="991"/>
  <c r="F14" i="984"/>
  <c r="J16" i="995"/>
  <c r="C40" i="978"/>
  <c r="N3" i="978"/>
  <c r="J16" i="992"/>
  <c r="F34" i="983"/>
  <c r="F14" i="983"/>
  <c r="F59" i="981"/>
  <c r="I6" i="981" s="1"/>
  <c r="D16" i="974"/>
  <c r="N3" i="974"/>
  <c r="N4" i="974"/>
  <c r="E16" i="974"/>
  <c r="F33" i="983"/>
  <c r="B14" i="983"/>
  <c r="D14" i="983"/>
  <c r="E14" i="983"/>
  <c r="C14" i="983"/>
  <c r="B16" i="980"/>
  <c r="N3" i="980"/>
  <c r="N4" i="980"/>
  <c r="D16" i="984"/>
  <c r="N3" i="984"/>
  <c r="N4" i="984"/>
  <c r="D16" i="977"/>
  <c r="N4" i="977"/>
  <c r="N3" i="977"/>
  <c r="B16" i="975"/>
  <c r="N3" i="975"/>
  <c r="N4" i="975"/>
  <c r="D16" i="986"/>
  <c r="N3" i="986"/>
  <c r="N4" i="986"/>
  <c r="F16" i="986"/>
  <c r="B5" i="985"/>
  <c r="B5" i="981"/>
  <c r="D16" i="981"/>
  <c r="J17" i="981" s="1"/>
  <c r="N4" i="981"/>
  <c r="N3" i="981"/>
  <c r="I3" i="981" s="1"/>
  <c r="I4" i="981" s="1"/>
  <c r="F59" i="976"/>
  <c r="I6" i="976" s="1"/>
  <c r="B16" i="976"/>
  <c r="N4" i="976"/>
  <c r="N3" i="976"/>
  <c r="F59" i="983"/>
  <c r="I6" i="983" s="1"/>
  <c r="D16" i="983"/>
  <c r="N3" i="983"/>
  <c r="N4" i="983"/>
  <c r="M59" i="1053"/>
  <c r="B60" i="1053"/>
  <c r="B62" i="1053" s="1"/>
  <c r="M59" i="1052"/>
  <c r="B60" i="1052"/>
  <c r="B62" i="1052" s="1"/>
  <c r="M59" i="1051"/>
  <c r="B60" i="1051"/>
  <c r="B62" i="1051" s="1"/>
  <c r="M59" i="1050"/>
  <c r="B60" i="1050"/>
  <c r="B62" i="1050" s="1"/>
  <c r="M59" i="1049"/>
  <c r="B60" i="1049"/>
  <c r="B62" i="1049" s="1"/>
  <c r="M59" i="1048"/>
  <c r="B60" i="1048"/>
  <c r="B62" i="1048" s="1"/>
  <c r="M59" i="1047"/>
  <c r="B60" i="1047"/>
  <c r="B62" i="1047" s="1"/>
  <c r="M59" i="1046"/>
  <c r="B60" i="1046"/>
  <c r="B62" i="1046" s="1"/>
  <c r="M59" i="1045"/>
  <c r="B60" i="1045"/>
  <c r="B62" i="1045" s="1"/>
  <c r="M58" i="1044"/>
  <c r="B61" i="1044" s="1"/>
  <c r="M57" i="1044"/>
  <c r="L59" i="1043"/>
  <c r="M58" i="1043"/>
  <c r="B61" i="1043" s="1"/>
  <c r="M57" i="1043"/>
  <c r="M58" i="1042"/>
  <c r="B61" i="1042" s="1"/>
  <c r="M57" i="1042"/>
  <c r="M58" i="1041"/>
  <c r="B61" i="1041" s="1"/>
  <c r="M57" i="1041"/>
  <c r="M58" i="1040"/>
  <c r="B61" i="1040" s="1"/>
  <c r="M57" i="1040"/>
  <c r="M58" i="1039"/>
  <c r="B61" i="1039" s="1"/>
  <c r="M57" i="1039"/>
  <c r="L59" i="1038"/>
  <c r="M58" i="1038"/>
  <c r="B61" i="1038" s="1"/>
  <c r="M57" i="1038"/>
  <c r="M58" i="1037"/>
  <c r="B61" i="1037" s="1"/>
  <c r="M57" i="1037"/>
  <c r="M58" i="1036"/>
  <c r="B61" i="1036" s="1"/>
  <c r="M57" i="1036"/>
  <c r="L59" i="1035"/>
  <c r="M58" i="1035"/>
  <c r="B61" i="1035" s="1"/>
  <c r="M57" i="1035"/>
  <c r="M58" i="1034"/>
  <c r="B61" i="1034" s="1"/>
  <c r="M57" i="1034"/>
  <c r="K59" i="1033"/>
  <c r="M56" i="1033"/>
  <c r="L58" i="1033"/>
  <c r="L57" i="1033"/>
  <c r="L59" i="1033" s="1"/>
  <c r="M56" i="1032"/>
  <c r="L58" i="1032"/>
  <c r="L57" i="1032"/>
  <c r="M56" i="1031"/>
  <c r="L58" i="1031"/>
  <c r="L57" i="1031"/>
  <c r="M56" i="1030"/>
  <c r="L58" i="1030"/>
  <c r="L57" i="1030"/>
  <c r="L59" i="1030" s="1"/>
  <c r="F34" i="982"/>
  <c r="F14" i="982"/>
  <c r="C14" i="982"/>
  <c r="F59" i="982"/>
  <c r="I6" i="982" s="1"/>
  <c r="B16" i="982"/>
  <c r="M56" i="1029"/>
  <c r="L58" i="1029"/>
  <c r="L57" i="1029"/>
  <c r="L59" i="1029" s="1"/>
  <c r="M56" i="1028"/>
  <c r="L58" i="1028"/>
  <c r="L57" i="1028"/>
  <c r="L59" i="1028" s="1"/>
  <c r="M56" i="1027"/>
  <c r="L58" i="1027"/>
  <c r="L57" i="1027"/>
  <c r="M56" i="1026"/>
  <c r="L58" i="1026"/>
  <c r="L57" i="1026"/>
  <c r="J59" i="1025"/>
  <c r="K58" i="1025"/>
  <c r="K57" i="1025"/>
  <c r="K59" i="1025" s="1"/>
  <c r="L56" i="1025"/>
  <c r="K58" i="1024"/>
  <c r="K57" i="1024"/>
  <c r="L56" i="1024"/>
  <c r="K58" i="1023"/>
  <c r="K57" i="1023"/>
  <c r="L56" i="1023"/>
  <c r="K58" i="1022"/>
  <c r="K57" i="1022"/>
  <c r="L56" i="1022"/>
  <c r="J59" i="1021"/>
  <c r="K58" i="1021"/>
  <c r="K57" i="1021"/>
  <c r="L56" i="1021"/>
  <c r="K56" i="1020"/>
  <c r="J58" i="1020"/>
  <c r="J57" i="1020"/>
  <c r="I59" i="1019"/>
  <c r="K56" i="1019"/>
  <c r="J58" i="1019"/>
  <c r="J57" i="1019"/>
  <c r="I59" i="1018"/>
  <c r="K56" i="1018"/>
  <c r="J58" i="1018"/>
  <c r="J57" i="1018"/>
  <c r="K56" i="1017"/>
  <c r="J58" i="1017"/>
  <c r="J57" i="1017"/>
  <c r="J59" i="1017" s="1"/>
  <c r="K58" i="1016"/>
  <c r="K57" i="1016"/>
  <c r="L56" i="1016"/>
  <c r="K56" i="1015"/>
  <c r="J58" i="1015"/>
  <c r="J57" i="1015"/>
  <c r="I59" i="1014"/>
  <c r="K56" i="1014"/>
  <c r="J58" i="1014"/>
  <c r="J57" i="1014"/>
  <c r="I59" i="1013"/>
  <c r="K56" i="1013"/>
  <c r="J58" i="1013"/>
  <c r="J57" i="1013"/>
  <c r="K56" i="1012"/>
  <c r="J58" i="1012"/>
  <c r="J57" i="1012"/>
  <c r="I59" i="1011"/>
  <c r="K56" i="1011"/>
  <c r="J58" i="1011"/>
  <c r="J57" i="1011"/>
  <c r="I59" i="1010"/>
  <c r="K56" i="1010"/>
  <c r="J58" i="1010"/>
  <c r="J57" i="1010"/>
  <c r="I59" i="1009"/>
  <c r="K56" i="1009"/>
  <c r="J58" i="1009"/>
  <c r="J57" i="1009"/>
  <c r="K56" i="1008"/>
  <c r="J58" i="1008"/>
  <c r="J57" i="1008"/>
  <c r="J59" i="1008" s="1"/>
  <c r="I59" i="1007"/>
  <c r="K56" i="1007"/>
  <c r="J58" i="1007"/>
  <c r="J57" i="1007"/>
  <c r="K9" i="1006"/>
  <c r="H59" i="1006"/>
  <c r="J56" i="1006"/>
  <c r="I58" i="1006"/>
  <c r="I57" i="1006"/>
  <c r="J56" i="1005"/>
  <c r="I58" i="1005"/>
  <c r="I57" i="1005"/>
  <c r="K9" i="1004"/>
  <c r="J56" i="1004"/>
  <c r="I58" i="1004"/>
  <c r="I57" i="1004"/>
  <c r="K9" i="1003"/>
  <c r="J56" i="1003"/>
  <c r="I58" i="1003"/>
  <c r="I57" i="1003"/>
  <c r="I59" i="1003" s="1"/>
  <c r="K9" i="1002"/>
  <c r="H59" i="1002"/>
  <c r="J56" i="1002"/>
  <c r="I58" i="1002"/>
  <c r="I57" i="1002"/>
  <c r="K9" i="1001"/>
  <c r="J56" i="1001"/>
  <c r="I58" i="1001"/>
  <c r="I57" i="1001"/>
  <c r="K9" i="1000"/>
  <c r="J56" i="1000"/>
  <c r="I58" i="1000"/>
  <c r="I57" i="1000"/>
  <c r="I59" i="1000" s="1"/>
  <c r="K9" i="999"/>
  <c r="H59" i="999"/>
  <c r="J56" i="999"/>
  <c r="I58" i="999"/>
  <c r="I57" i="999"/>
  <c r="H59" i="998"/>
  <c r="J56" i="998"/>
  <c r="I58" i="998"/>
  <c r="I57" i="998"/>
  <c r="J56" i="997"/>
  <c r="I58" i="997"/>
  <c r="I57" i="997"/>
  <c r="K3" i="996"/>
  <c r="K4" i="996" s="1"/>
  <c r="H62" i="996"/>
  <c r="A53" i="996"/>
  <c r="N6" i="996" s="1"/>
  <c r="E62" i="996"/>
  <c r="G59" i="996"/>
  <c r="I56" i="996"/>
  <c r="H57" i="996"/>
  <c r="H58" i="996"/>
  <c r="N62" i="995"/>
  <c r="A53" i="995"/>
  <c r="N6" i="995" s="1"/>
  <c r="G59" i="995"/>
  <c r="I56" i="995"/>
  <c r="H57" i="995"/>
  <c r="H58" i="995"/>
  <c r="J16" i="994"/>
  <c r="K44" i="994"/>
  <c r="N62" i="994"/>
  <c r="K62" i="994"/>
  <c r="A53" i="994"/>
  <c r="N6" i="994" s="1"/>
  <c r="I56" i="994"/>
  <c r="H57" i="994"/>
  <c r="H58" i="994"/>
  <c r="K62" i="993"/>
  <c r="N62" i="993"/>
  <c r="A53" i="993"/>
  <c r="N6" i="993" s="1"/>
  <c r="G59" i="993"/>
  <c r="I56" i="993"/>
  <c r="H57" i="993"/>
  <c r="H58" i="993"/>
  <c r="H62" i="992"/>
  <c r="K62" i="992"/>
  <c r="N62" i="992"/>
  <c r="E62" i="992"/>
  <c r="A53" i="992"/>
  <c r="N6" i="992" s="1"/>
  <c r="I56" i="992"/>
  <c r="H57" i="992"/>
  <c r="H59" i="992" s="1"/>
  <c r="H58" i="992"/>
  <c r="H62" i="991"/>
  <c r="A53" i="991"/>
  <c r="N6" i="991" s="1"/>
  <c r="K3" i="991"/>
  <c r="K4" i="991" s="1"/>
  <c r="J3" i="991"/>
  <c r="J4" i="991" s="1"/>
  <c r="I3" i="991"/>
  <c r="I4" i="991" s="1"/>
  <c r="G59" i="991"/>
  <c r="H57" i="991"/>
  <c r="H59" i="991" s="1"/>
  <c r="H58" i="991"/>
  <c r="I56" i="991"/>
  <c r="J16" i="990"/>
  <c r="E51" i="990"/>
  <c r="N62" i="990"/>
  <c r="K62" i="990"/>
  <c r="J3" i="990"/>
  <c r="J4" i="990" s="1"/>
  <c r="A53" i="990"/>
  <c r="N6" i="990" s="1"/>
  <c r="E62" i="990"/>
  <c r="I56" i="990"/>
  <c r="H58" i="990"/>
  <c r="H57" i="990"/>
  <c r="I3" i="988"/>
  <c r="I4" i="988" s="1"/>
  <c r="J16" i="987"/>
  <c r="J16" i="989"/>
  <c r="H62" i="989"/>
  <c r="I3" i="989"/>
  <c r="I4" i="989" s="1"/>
  <c r="K3" i="989"/>
  <c r="K4" i="989" s="1"/>
  <c r="J3" i="989"/>
  <c r="J4" i="989" s="1"/>
  <c r="A53" i="989"/>
  <c r="N6" i="989" s="1"/>
  <c r="E62" i="989"/>
  <c r="I56" i="989"/>
  <c r="H57" i="989"/>
  <c r="H58" i="989"/>
  <c r="N62" i="988"/>
  <c r="K9" i="988"/>
  <c r="G59" i="988"/>
  <c r="I56" i="988"/>
  <c r="H57" i="988"/>
  <c r="H58" i="988"/>
  <c r="J3" i="987"/>
  <c r="J4" i="987" s="1"/>
  <c r="K3" i="987"/>
  <c r="K4" i="987" s="1"/>
  <c r="I3" i="987"/>
  <c r="I4" i="987" s="1"/>
  <c r="K9" i="987"/>
  <c r="G59" i="987"/>
  <c r="I56" i="987"/>
  <c r="H58" i="987"/>
  <c r="H57" i="987"/>
  <c r="H59" i="987" s="1"/>
  <c r="C16" i="986"/>
  <c r="I3" i="986" s="1"/>
  <c r="I4" i="986" s="1"/>
  <c r="B14" i="984"/>
  <c r="K3" i="981"/>
  <c r="K4" i="981" s="1"/>
  <c r="B5" i="982"/>
  <c r="B5" i="975"/>
  <c r="B16" i="986"/>
  <c r="E16" i="986"/>
  <c r="F15" i="986"/>
  <c r="I15" i="986"/>
  <c r="E15" i="986"/>
  <c r="I9" i="986"/>
  <c r="C15" i="986"/>
  <c r="B15" i="986"/>
  <c r="D15" i="986"/>
  <c r="F59" i="986"/>
  <c r="I6" i="986" s="1"/>
  <c r="G58" i="986"/>
  <c r="G57" i="986"/>
  <c r="H56" i="986"/>
  <c r="C53" i="986"/>
  <c r="E50" i="986"/>
  <c r="H62" i="986" s="1"/>
  <c r="E49" i="986"/>
  <c r="I14" i="985"/>
  <c r="D44" i="985"/>
  <c r="K6" i="985" s="1"/>
  <c r="B15" i="985"/>
  <c r="I15" i="985"/>
  <c r="I9" i="985"/>
  <c r="C15" i="985"/>
  <c r="I3" i="985" s="1"/>
  <c r="I4" i="985" s="1"/>
  <c r="D15" i="985"/>
  <c r="J3" i="985" s="1"/>
  <c r="J4" i="985" s="1"/>
  <c r="F15" i="985"/>
  <c r="E15" i="985"/>
  <c r="K3" i="985" s="1"/>
  <c r="K4" i="985" s="1"/>
  <c r="F59" i="985"/>
  <c r="I6" i="985" s="1"/>
  <c r="C53" i="985"/>
  <c r="G58" i="985"/>
  <c r="G57" i="985"/>
  <c r="H56" i="985"/>
  <c r="E50" i="985"/>
  <c r="E51" i="985" s="1"/>
  <c r="E49" i="985"/>
  <c r="E44" i="985" s="1"/>
  <c r="H62" i="984"/>
  <c r="J62" i="984"/>
  <c r="J44" i="984"/>
  <c r="E14" i="984"/>
  <c r="A53" i="984"/>
  <c r="N6" i="984" s="1"/>
  <c r="F16" i="984"/>
  <c r="C16" i="984"/>
  <c r="E16" i="984"/>
  <c r="B16" i="984"/>
  <c r="F59" i="984"/>
  <c r="I6" i="984" s="1"/>
  <c r="G58" i="984"/>
  <c r="G57" i="984"/>
  <c r="H56" i="984"/>
  <c r="K50" i="984"/>
  <c r="K44" i="984" s="1"/>
  <c r="K49" i="984"/>
  <c r="K51" i="984" s="1"/>
  <c r="H62" i="983"/>
  <c r="F16" i="983"/>
  <c r="E16" i="983"/>
  <c r="B16" i="983"/>
  <c r="C142" i="983"/>
  <c r="D40" i="983"/>
  <c r="G40" i="983" s="1"/>
  <c r="B4" i="983" s="1"/>
  <c r="G58" i="983"/>
  <c r="G57" i="983"/>
  <c r="H56" i="983"/>
  <c r="K50" i="983"/>
  <c r="K44" i="983" s="1"/>
  <c r="K49" i="983"/>
  <c r="C53" i="983"/>
  <c r="H62" i="982"/>
  <c r="D40" i="982"/>
  <c r="G40" i="982" s="1"/>
  <c r="B4" i="982" s="1"/>
  <c r="E62" i="982"/>
  <c r="C142" i="982"/>
  <c r="F16" i="982"/>
  <c r="C16" i="982"/>
  <c r="D16" i="982"/>
  <c r="E16" i="982"/>
  <c r="K50" i="982"/>
  <c r="K44" i="982" s="1"/>
  <c r="K49" i="982"/>
  <c r="K51" i="982" s="1"/>
  <c r="C53" i="982"/>
  <c r="G58" i="982"/>
  <c r="G57" i="982"/>
  <c r="H56" i="982"/>
  <c r="E51" i="981"/>
  <c r="J16" i="981"/>
  <c r="E62" i="981"/>
  <c r="C53" i="981"/>
  <c r="G58" i="981"/>
  <c r="G57" i="981"/>
  <c r="G59" i="981" s="1"/>
  <c r="H56" i="981"/>
  <c r="K50" i="981"/>
  <c r="K44" i="981" s="1"/>
  <c r="K49" i="981"/>
  <c r="D16" i="980"/>
  <c r="N62" i="980"/>
  <c r="F16" i="980"/>
  <c r="E16" i="980"/>
  <c r="C16" i="980"/>
  <c r="C15" i="980"/>
  <c r="B15" i="980"/>
  <c r="I15" i="980"/>
  <c r="E15" i="980"/>
  <c r="I9" i="980"/>
  <c r="D15" i="980"/>
  <c r="F15" i="980"/>
  <c r="D44" i="980"/>
  <c r="K6" i="980" s="1"/>
  <c r="F59" i="980"/>
  <c r="I6" i="980" s="1"/>
  <c r="C53" i="980"/>
  <c r="G58" i="980"/>
  <c r="G57" i="980"/>
  <c r="H56" i="980"/>
  <c r="K50" i="980"/>
  <c r="K44" i="980" s="1"/>
  <c r="K49" i="980"/>
  <c r="K62" i="980" s="1"/>
  <c r="E50" i="980"/>
  <c r="E51" i="980" s="1"/>
  <c r="E49" i="980"/>
  <c r="E44" i="980" s="1"/>
  <c r="H62" i="979"/>
  <c r="J62" i="979"/>
  <c r="F34" i="979"/>
  <c r="B14" i="979"/>
  <c r="F33" i="979"/>
  <c r="C14" i="979"/>
  <c r="G14" i="979"/>
  <c r="A53" i="979"/>
  <c r="N6" i="979" s="1"/>
  <c r="E62" i="979"/>
  <c r="C142" i="979"/>
  <c r="F16" i="979"/>
  <c r="D16" i="979"/>
  <c r="B16" i="979"/>
  <c r="E16" i="979"/>
  <c r="K50" i="979"/>
  <c r="K44" i="979" s="1"/>
  <c r="K49" i="979"/>
  <c r="K51" i="979" s="1"/>
  <c r="G58" i="979"/>
  <c r="G57" i="979"/>
  <c r="H56" i="979"/>
  <c r="I14" i="978"/>
  <c r="N62" i="978"/>
  <c r="D40" i="978"/>
  <c r="M14" i="978"/>
  <c r="E40" i="978"/>
  <c r="F6" i="978" s="1"/>
  <c r="B33" i="978"/>
  <c r="A54" i="978"/>
  <c r="C15" i="978"/>
  <c r="I3" i="978" s="1"/>
  <c r="I4" i="978" s="1"/>
  <c r="E15" i="978"/>
  <c r="K3" i="978" s="1"/>
  <c r="K4" i="978" s="1"/>
  <c r="B15" i="978"/>
  <c r="F15" i="978"/>
  <c r="I15" i="978"/>
  <c r="D15" i="978"/>
  <c r="J3" i="978" s="1"/>
  <c r="J4" i="978" s="1"/>
  <c r="I9" i="978"/>
  <c r="F59" i="978"/>
  <c r="I6" i="978" s="1"/>
  <c r="C53" i="978"/>
  <c r="G58" i="978"/>
  <c r="G57" i="978"/>
  <c r="H56" i="978"/>
  <c r="E50" i="978"/>
  <c r="E51" i="978" s="1"/>
  <c r="E49" i="978"/>
  <c r="E44" i="978" s="1"/>
  <c r="I14" i="977"/>
  <c r="F16" i="977"/>
  <c r="B16" i="977"/>
  <c r="C16" i="977"/>
  <c r="C15" i="977"/>
  <c r="B15" i="977"/>
  <c r="D15" i="977"/>
  <c r="F15" i="977"/>
  <c r="I15" i="977"/>
  <c r="I9" i="977"/>
  <c r="E15" i="977"/>
  <c r="F59" i="977"/>
  <c r="I6" i="977" s="1"/>
  <c r="E50" i="977"/>
  <c r="E51" i="977" s="1"/>
  <c r="E49" i="977"/>
  <c r="E44" i="977" s="1"/>
  <c r="K50" i="977"/>
  <c r="K44" i="977" s="1"/>
  <c r="K49" i="977"/>
  <c r="K62" i="977" s="1"/>
  <c r="C53" i="977"/>
  <c r="G58" i="977"/>
  <c r="G57" i="977"/>
  <c r="H56" i="977"/>
  <c r="D51" i="976"/>
  <c r="E16" i="976"/>
  <c r="D16" i="976"/>
  <c r="C16" i="976"/>
  <c r="F16" i="976"/>
  <c r="F15" i="976"/>
  <c r="I15" i="976"/>
  <c r="B15" i="976"/>
  <c r="I9" i="976"/>
  <c r="D15" i="976"/>
  <c r="E15" i="976"/>
  <c r="C15" i="976"/>
  <c r="I3" i="976" s="1"/>
  <c r="I4" i="976" s="1"/>
  <c r="D44" i="976"/>
  <c r="K6" i="976" s="1"/>
  <c r="K3" i="976"/>
  <c r="K4" i="976" s="1"/>
  <c r="C53" i="976"/>
  <c r="G58" i="976"/>
  <c r="G57" i="976"/>
  <c r="H56" i="976"/>
  <c r="E50" i="976"/>
  <c r="E51" i="976" s="1"/>
  <c r="E49" i="976"/>
  <c r="E44" i="976" s="1"/>
  <c r="K50" i="976"/>
  <c r="K44" i="976" s="1"/>
  <c r="K49" i="976"/>
  <c r="K51" i="976" s="1"/>
  <c r="N62" i="975"/>
  <c r="K62" i="975"/>
  <c r="E16" i="975"/>
  <c r="F16" i="975"/>
  <c r="D16" i="975"/>
  <c r="J3" i="975" s="1"/>
  <c r="J4" i="975" s="1"/>
  <c r="F142" i="975"/>
  <c r="J15" i="975" s="1"/>
  <c r="I13" i="975" s="1"/>
  <c r="I14" i="975" s="1"/>
  <c r="C16" i="975"/>
  <c r="E15" i="975"/>
  <c r="B15" i="975"/>
  <c r="I9" i="975"/>
  <c r="C15" i="975"/>
  <c r="D15" i="975"/>
  <c r="F15" i="975"/>
  <c r="D44" i="975"/>
  <c r="K6" i="975" s="1"/>
  <c r="F59" i="975"/>
  <c r="I6" i="975" s="1"/>
  <c r="C53" i="975"/>
  <c r="G58" i="975"/>
  <c r="G57" i="975"/>
  <c r="H56" i="975"/>
  <c r="E50" i="975"/>
  <c r="E51" i="975" s="1"/>
  <c r="E49" i="975"/>
  <c r="E62" i="975" s="1"/>
  <c r="I3" i="974"/>
  <c r="I4" i="974" s="1"/>
  <c r="C16" i="974"/>
  <c r="B16" i="974"/>
  <c r="F16" i="974"/>
  <c r="F142" i="974"/>
  <c r="J15" i="974" s="1"/>
  <c r="I13" i="974" s="1"/>
  <c r="C142" i="974"/>
  <c r="E142" i="974"/>
  <c r="D142" i="974"/>
  <c r="G58" i="974"/>
  <c r="G57" i="974"/>
  <c r="G59" i="974" s="1"/>
  <c r="H56" i="974"/>
  <c r="C53" i="974"/>
  <c r="K50" i="974"/>
  <c r="N62" i="974" s="1"/>
  <c r="K49" i="974"/>
  <c r="K62" i="974" s="1"/>
  <c r="G62" i="974"/>
  <c r="J44" i="974"/>
  <c r="F59" i="974"/>
  <c r="I6" i="974" s="1"/>
  <c r="E50" i="974"/>
  <c r="E51" i="974" s="1"/>
  <c r="E49" i="974"/>
  <c r="E62" i="974" s="1"/>
  <c r="D51" i="974"/>
  <c r="C15" i="974"/>
  <c r="F15" i="974"/>
  <c r="B15" i="974"/>
  <c r="J16" i="974" s="1"/>
  <c r="E15" i="974"/>
  <c r="D15" i="974"/>
  <c r="I9" i="974"/>
  <c r="K15" i="873"/>
  <c r="N14" i="873"/>
  <c r="M11" i="873"/>
  <c r="M10" i="873"/>
  <c r="M9" i="873"/>
  <c r="L17" i="873"/>
  <c r="K1" i="873"/>
  <c r="K15" i="917"/>
  <c r="N14" i="917"/>
  <c r="M11" i="917"/>
  <c r="M10" i="917"/>
  <c r="M9" i="917"/>
  <c r="L17" i="917"/>
  <c r="K1" i="917"/>
  <c r="K15" i="918"/>
  <c r="N14" i="918"/>
  <c r="M11" i="918"/>
  <c r="M10" i="918"/>
  <c r="M9" i="918"/>
  <c r="L17" i="918"/>
  <c r="K1" i="918"/>
  <c r="F10" i="873"/>
  <c r="E10" i="873"/>
  <c r="D10" i="873"/>
  <c r="C10" i="873"/>
  <c r="B10" i="873"/>
  <c r="F10" i="917"/>
  <c r="E10" i="917"/>
  <c r="D10" i="917"/>
  <c r="C10" i="917"/>
  <c r="B10" i="917"/>
  <c r="F10" i="918"/>
  <c r="E10" i="918"/>
  <c r="D10" i="918"/>
  <c r="C10" i="918"/>
  <c r="B10" i="918"/>
  <c r="R45" i="1"/>
  <c r="K82" i="1"/>
  <c r="R89" i="1"/>
  <c r="J17" i="1"/>
  <c r="Q82" i="1"/>
  <c r="R82" i="1"/>
  <c r="J7" i="973"/>
  <c r="Q88" i="1"/>
  <c r="R24" i="1"/>
  <c r="Q9" i="1"/>
  <c r="R6" i="1"/>
  <c r="R68" i="1"/>
  <c r="J50" i="1"/>
  <c r="J5" i="973"/>
  <c r="J3" i="976" l="1"/>
  <c r="J4" i="976" s="1"/>
  <c r="K3" i="986"/>
  <c r="K4" i="986" s="1"/>
  <c r="H59" i="988"/>
  <c r="I59" i="999"/>
  <c r="J59" i="1013"/>
  <c r="J59" i="1015"/>
  <c r="L59" i="1027"/>
  <c r="H59" i="990"/>
  <c r="J59" i="1011"/>
  <c r="J59" i="1018"/>
  <c r="K59" i="1022"/>
  <c r="N62" i="977"/>
  <c r="H59" i="994"/>
  <c r="I59" i="998"/>
  <c r="J59" i="1014"/>
  <c r="K59" i="1016"/>
  <c r="L59" i="1032"/>
  <c r="I59" i="1006"/>
  <c r="J59" i="1010"/>
  <c r="J59" i="1019"/>
  <c r="K59" i="1021"/>
  <c r="L59" i="1026"/>
  <c r="J16" i="985"/>
  <c r="B5" i="983"/>
  <c r="B5" i="979"/>
  <c r="I3" i="980"/>
  <c r="I4" i="980" s="1"/>
  <c r="G59" i="977"/>
  <c r="I15" i="975"/>
  <c r="G59" i="986"/>
  <c r="J3" i="981"/>
  <c r="J4" i="981" s="1"/>
  <c r="M59" i="1044"/>
  <c r="B60" i="1044"/>
  <c r="B62" i="1044" s="1"/>
  <c r="M59" i="1043"/>
  <c r="B60" i="1043"/>
  <c r="B62" i="1043" s="1"/>
  <c r="M59" i="1042"/>
  <c r="B60" i="1042"/>
  <c r="B62" i="1042" s="1"/>
  <c r="M59" i="1041"/>
  <c r="B60" i="1041"/>
  <c r="B62" i="1041" s="1"/>
  <c r="M59" i="1040"/>
  <c r="B60" i="1040"/>
  <c r="B62" i="1040" s="1"/>
  <c r="M59" i="1039"/>
  <c r="B60" i="1039"/>
  <c r="B62" i="1039" s="1"/>
  <c r="M59" i="1038"/>
  <c r="B60" i="1038"/>
  <c r="B62" i="1038" s="1"/>
  <c r="M59" i="1037"/>
  <c r="B60" i="1037"/>
  <c r="B62" i="1037" s="1"/>
  <c r="M59" i="1036"/>
  <c r="B60" i="1036"/>
  <c r="B62" i="1036" s="1"/>
  <c r="M59" i="1035"/>
  <c r="B60" i="1035"/>
  <c r="B62" i="1035" s="1"/>
  <c r="M59" i="1034"/>
  <c r="B60" i="1034"/>
  <c r="B62" i="1034" s="1"/>
  <c r="M58" i="1033"/>
  <c r="B61" i="1033" s="1"/>
  <c r="M57" i="1033"/>
  <c r="M58" i="1032"/>
  <c r="B61" i="1032" s="1"/>
  <c r="M57" i="1032"/>
  <c r="L59" i="1031"/>
  <c r="M58" i="1031"/>
  <c r="B61" i="1031" s="1"/>
  <c r="M57" i="1031"/>
  <c r="M58" i="1030"/>
  <c r="B61" i="1030" s="1"/>
  <c r="M57" i="1030"/>
  <c r="J17" i="982"/>
  <c r="J3" i="982"/>
  <c r="J4" i="982" s="1"/>
  <c r="G59" i="982"/>
  <c r="M58" i="1029"/>
  <c r="B61" i="1029" s="1"/>
  <c r="M57" i="1029"/>
  <c r="M58" i="1028"/>
  <c r="B61" i="1028" s="1"/>
  <c r="M57" i="1028"/>
  <c r="M58" i="1027"/>
  <c r="B61" i="1027" s="1"/>
  <c r="M57" i="1027"/>
  <c r="M58" i="1026"/>
  <c r="B61" i="1026" s="1"/>
  <c r="M57" i="1026"/>
  <c r="M56" i="1025"/>
  <c r="L58" i="1025"/>
  <c r="L57" i="1025"/>
  <c r="K59" i="1024"/>
  <c r="M56" i="1024"/>
  <c r="L58" i="1024"/>
  <c r="L57" i="1024"/>
  <c r="K59" i="1023"/>
  <c r="M56" i="1023"/>
  <c r="L58" i="1023"/>
  <c r="L57" i="1023"/>
  <c r="M56" i="1022"/>
  <c r="L58" i="1022"/>
  <c r="L57" i="1022"/>
  <c r="M56" i="1021"/>
  <c r="L58" i="1021"/>
  <c r="L57" i="1021"/>
  <c r="J59" i="1020"/>
  <c r="K58" i="1020"/>
  <c r="K57" i="1020"/>
  <c r="L56" i="1020"/>
  <c r="K58" i="1019"/>
  <c r="K57" i="1019"/>
  <c r="L56" i="1019"/>
  <c r="K58" i="1018"/>
  <c r="K57" i="1018"/>
  <c r="K59" i="1018" s="1"/>
  <c r="L56" i="1018"/>
  <c r="K58" i="1017"/>
  <c r="K57" i="1017"/>
  <c r="K59" i="1017" s="1"/>
  <c r="L56" i="1017"/>
  <c r="M56" i="1016"/>
  <c r="L58" i="1016"/>
  <c r="L57" i="1016"/>
  <c r="L59" i="1016" s="1"/>
  <c r="K58" i="1015"/>
  <c r="K57" i="1015"/>
  <c r="L56" i="1015"/>
  <c r="K58" i="1014"/>
  <c r="K57" i="1014"/>
  <c r="L56" i="1014"/>
  <c r="K58" i="1013"/>
  <c r="K57" i="1013"/>
  <c r="L56" i="1013"/>
  <c r="J59" i="1012"/>
  <c r="K58" i="1012"/>
  <c r="K57" i="1012"/>
  <c r="L56" i="1012"/>
  <c r="K58" i="1011"/>
  <c r="K57" i="1011"/>
  <c r="L56" i="1011"/>
  <c r="K58" i="1010"/>
  <c r="K57" i="1010"/>
  <c r="L56" i="1010"/>
  <c r="J59" i="1009"/>
  <c r="K58" i="1009"/>
  <c r="K57" i="1009"/>
  <c r="K59" i="1009" s="1"/>
  <c r="L56" i="1009"/>
  <c r="K58" i="1008"/>
  <c r="K57" i="1008"/>
  <c r="K59" i="1008" s="1"/>
  <c r="L56" i="1008"/>
  <c r="J59" i="1007"/>
  <c r="K58" i="1007"/>
  <c r="K57" i="1007"/>
  <c r="K59" i="1007" s="1"/>
  <c r="L56" i="1007"/>
  <c r="K56" i="1006"/>
  <c r="J58" i="1006"/>
  <c r="J57" i="1006"/>
  <c r="J59" i="1006" s="1"/>
  <c r="I59" i="1005"/>
  <c r="K56" i="1005"/>
  <c r="J58" i="1005"/>
  <c r="J57" i="1005"/>
  <c r="I59" i="1004"/>
  <c r="K56" i="1004"/>
  <c r="J58" i="1004"/>
  <c r="J57" i="1004"/>
  <c r="J59" i="1004" s="1"/>
  <c r="K56" i="1003"/>
  <c r="J58" i="1003"/>
  <c r="J57" i="1003"/>
  <c r="J59" i="1003" s="1"/>
  <c r="I59" i="1002"/>
  <c r="K56" i="1002"/>
  <c r="J58" i="1002"/>
  <c r="J57" i="1002"/>
  <c r="J59" i="1002" s="1"/>
  <c r="I59" i="1001"/>
  <c r="K56" i="1001"/>
  <c r="J58" i="1001"/>
  <c r="J57" i="1001"/>
  <c r="K56" i="1000"/>
  <c r="J58" i="1000"/>
  <c r="J57" i="1000"/>
  <c r="K56" i="999"/>
  <c r="J58" i="999"/>
  <c r="J57" i="999"/>
  <c r="K56" i="998"/>
  <c r="J58" i="998"/>
  <c r="J57" i="998"/>
  <c r="J59" i="998" s="1"/>
  <c r="I59" i="997"/>
  <c r="K56" i="997"/>
  <c r="J58" i="997"/>
  <c r="J57" i="997"/>
  <c r="K9" i="996"/>
  <c r="H59" i="996"/>
  <c r="J56" i="996"/>
  <c r="I58" i="996"/>
  <c r="I57" i="996"/>
  <c r="K9" i="995"/>
  <c r="H59" i="995"/>
  <c r="J56" i="995"/>
  <c r="I58" i="995"/>
  <c r="I57" i="995"/>
  <c r="K9" i="994"/>
  <c r="J56" i="994"/>
  <c r="I58" i="994"/>
  <c r="I57" i="994"/>
  <c r="K9" i="993"/>
  <c r="H59" i="993"/>
  <c r="J56" i="993"/>
  <c r="I58" i="993"/>
  <c r="I57" i="993"/>
  <c r="I59" i="993" s="1"/>
  <c r="K9" i="992"/>
  <c r="J56" i="992"/>
  <c r="I58" i="992"/>
  <c r="I57" i="992"/>
  <c r="I59" i="992" s="1"/>
  <c r="K9" i="991"/>
  <c r="J56" i="991"/>
  <c r="I57" i="991"/>
  <c r="I58" i="991"/>
  <c r="K9" i="990"/>
  <c r="J56" i="990"/>
  <c r="I58" i="990"/>
  <c r="I57" i="990"/>
  <c r="K9" i="989"/>
  <c r="H59" i="989"/>
  <c r="J56" i="989"/>
  <c r="I58" i="989"/>
  <c r="I57" i="989"/>
  <c r="I59" i="989" s="1"/>
  <c r="J56" i="988"/>
  <c r="I58" i="988"/>
  <c r="I57" i="988"/>
  <c r="I59" i="988" s="1"/>
  <c r="J56" i="987"/>
  <c r="I57" i="987"/>
  <c r="I59" i="987" s="1"/>
  <c r="I58" i="987"/>
  <c r="J3" i="974"/>
  <c r="J4" i="974" s="1"/>
  <c r="J3" i="986"/>
  <c r="J4" i="986" s="1"/>
  <c r="J16" i="984"/>
  <c r="J16" i="983"/>
  <c r="G40" i="978"/>
  <c r="B4" i="978" s="1"/>
  <c r="J16" i="986"/>
  <c r="E51" i="986"/>
  <c r="A53" i="986"/>
  <c r="N6" i="986" s="1"/>
  <c r="E44" i="986"/>
  <c r="E62" i="986"/>
  <c r="H57" i="986"/>
  <c r="I56" i="986"/>
  <c r="H58" i="986"/>
  <c r="H62" i="985"/>
  <c r="A53" i="985"/>
  <c r="N6" i="985" s="1"/>
  <c r="E62" i="985"/>
  <c r="G59" i="985"/>
  <c r="I56" i="985"/>
  <c r="H57" i="985"/>
  <c r="H58" i="985"/>
  <c r="K62" i="984"/>
  <c r="N62" i="984"/>
  <c r="K9" i="984"/>
  <c r="J3" i="984"/>
  <c r="J4" i="984" s="1"/>
  <c r="I3" i="984"/>
  <c r="I4" i="984" s="1"/>
  <c r="K3" i="984"/>
  <c r="K4" i="984" s="1"/>
  <c r="G59" i="984"/>
  <c r="I56" i="984"/>
  <c r="H57" i="984"/>
  <c r="H58" i="984"/>
  <c r="K51" i="983"/>
  <c r="K62" i="983"/>
  <c r="N62" i="983"/>
  <c r="J3" i="983"/>
  <c r="J4" i="983" s="1"/>
  <c r="K3" i="983"/>
  <c r="K4" i="983" s="1"/>
  <c r="I3" i="983"/>
  <c r="I4" i="983" s="1"/>
  <c r="A53" i="983"/>
  <c r="N6" i="983" s="1"/>
  <c r="G59" i="983"/>
  <c r="I56" i="983"/>
  <c r="H57" i="983"/>
  <c r="H58" i="983"/>
  <c r="J16" i="982"/>
  <c r="K62" i="982"/>
  <c r="N62" i="982"/>
  <c r="A53" i="982"/>
  <c r="N6" i="982" s="1"/>
  <c r="K3" i="982"/>
  <c r="K4" i="982" s="1"/>
  <c r="I3" i="982"/>
  <c r="I4" i="982" s="1"/>
  <c r="I56" i="982"/>
  <c r="H57" i="982"/>
  <c r="H58" i="982"/>
  <c r="K51" i="981"/>
  <c r="K62" i="981"/>
  <c r="N62" i="981"/>
  <c r="A53" i="981"/>
  <c r="N6" i="981" s="1"/>
  <c r="I56" i="981"/>
  <c r="H57" i="981"/>
  <c r="H58" i="981"/>
  <c r="K3" i="980"/>
  <c r="K4" i="980" s="1"/>
  <c r="J17" i="980"/>
  <c r="J16" i="980"/>
  <c r="H62" i="980"/>
  <c r="K51" i="980"/>
  <c r="J3" i="980"/>
  <c r="J4" i="980" s="1"/>
  <c r="E62" i="980"/>
  <c r="A53" i="980"/>
  <c r="N6" i="980" s="1"/>
  <c r="G59" i="980"/>
  <c r="I56" i="980"/>
  <c r="H57" i="980"/>
  <c r="H58" i="980"/>
  <c r="N62" i="979"/>
  <c r="K62" i="979"/>
  <c r="J17" i="979"/>
  <c r="J16" i="979"/>
  <c r="K9" i="979"/>
  <c r="I3" i="979"/>
  <c r="I4" i="979" s="1"/>
  <c r="K3" i="979"/>
  <c r="K4" i="979" s="1"/>
  <c r="J3" i="979"/>
  <c r="J4" i="979" s="1"/>
  <c r="G59" i="979"/>
  <c r="I56" i="979"/>
  <c r="H57" i="979"/>
  <c r="H58" i="979"/>
  <c r="H62" i="978"/>
  <c r="E14" i="978"/>
  <c r="B14" i="978"/>
  <c r="D14" i="978"/>
  <c r="F14" i="978"/>
  <c r="C14" i="978"/>
  <c r="F34" i="978"/>
  <c r="G14" i="978"/>
  <c r="F33" i="978"/>
  <c r="E62" i="978"/>
  <c r="A53" i="978"/>
  <c r="N6" i="978" s="1"/>
  <c r="G59" i="978"/>
  <c r="I56" i="978"/>
  <c r="H57" i="978"/>
  <c r="H59" i="978" s="1"/>
  <c r="H58" i="978"/>
  <c r="J16" i="977"/>
  <c r="J17" i="977"/>
  <c r="H62" i="977"/>
  <c r="J3" i="977"/>
  <c r="J4" i="977" s="1"/>
  <c r="K51" i="977"/>
  <c r="I3" i="977"/>
  <c r="I4" i="977" s="1"/>
  <c r="K3" i="977"/>
  <c r="K4" i="977" s="1"/>
  <c r="A53" i="977"/>
  <c r="N6" i="977" s="1"/>
  <c r="E62" i="977"/>
  <c r="I56" i="977"/>
  <c r="H57" i="977"/>
  <c r="H58" i="977"/>
  <c r="J17" i="976"/>
  <c r="J16" i="976"/>
  <c r="H62" i="976"/>
  <c r="K62" i="976"/>
  <c r="N62" i="976"/>
  <c r="A53" i="976"/>
  <c r="N6" i="976" s="1"/>
  <c r="E62" i="976"/>
  <c r="G59" i="976"/>
  <c r="I56" i="976"/>
  <c r="H57" i="976"/>
  <c r="H58" i="976"/>
  <c r="I14" i="974"/>
  <c r="J17" i="975"/>
  <c r="J16" i="975"/>
  <c r="H62" i="975"/>
  <c r="K3" i="975"/>
  <c r="K4" i="975" s="1"/>
  <c r="I3" i="975"/>
  <c r="I4" i="975" s="1"/>
  <c r="A53" i="975"/>
  <c r="N6" i="975" s="1"/>
  <c r="E44" i="975"/>
  <c r="G59" i="975"/>
  <c r="I56" i="975"/>
  <c r="H57" i="975"/>
  <c r="H58" i="975"/>
  <c r="K3" i="974"/>
  <c r="K4" i="974" s="1"/>
  <c r="I15" i="974"/>
  <c r="K51" i="974"/>
  <c r="H62" i="974"/>
  <c r="A53" i="974"/>
  <c r="N6" i="974" s="1"/>
  <c r="K44" i="974"/>
  <c r="E44" i="974"/>
  <c r="I56" i="974"/>
  <c r="H57" i="974"/>
  <c r="H59" i="974" s="1"/>
  <c r="H58" i="974"/>
  <c r="I17" i="873"/>
  <c r="I16" i="873"/>
  <c r="I17" i="917"/>
  <c r="J17" i="917" s="1"/>
  <c r="I16" i="917"/>
  <c r="I17" i="918"/>
  <c r="J17" i="918" s="1"/>
  <c r="I16" i="918"/>
  <c r="R57" i="1"/>
  <c r="R17" i="1"/>
  <c r="K51" i="1"/>
  <c r="Q97" i="1"/>
  <c r="K88" i="1"/>
  <c r="Q81" i="1"/>
  <c r="Q58" i="1"/>
  <c r="Q98" i="1"/>
  <c r="K89" i="1"/>
  <c r="R51" i="1"/>
  <c r="K81" i="1"/>
  <c r="Q24" i="1"/>
  <c r="R19" i="1"/>
  <c r="Q13" i="1"/>
  <c r="J58" i="1"/>
  <c r="J19" i="1"/>
  <c r="R98" i="1"/>
  <c r="Q5" i="1"/>
  <c r="R58" i="1"/>
  <c r="J5" i="1"/>
  <c r="R88" i="1"/>
  <c r="R13" i="1"/>
  <c r="Q50" i="1"/>
  <c r="R50" i="1"/>
  <c r="K13" i="1"/>
  <c r="K5" i="1"/>
  <c r="R5" i="1"/>
  <c r="J13" i="1"/>
  <c r="K50" i="1"/>
  <c r="R92" i="1"/>
  <c r="R97" i="1"/>
  <c r="J81" i="1"/>
  <c r="J88" i="1"/>
  <c r="K97" i="1"/>
  <c r="J9" i="1"/>
  <c r="R81" i="1"/>
  <c r="Q92" i="1"/>
  <c r="R9" i="1"/>
  <c r="J97" i="1"/>
  <c r="K9" i="1"/>
  <c r="I59" i="994" l="1"/>
  <c r="K59" i="1011"/>
  <c r="I59" i="996"/>
  <c r="H59" i="981"/>
  <c r="I59" i="995"/>
  <c r="K59" i="1010"/>
  <c r="L59" i="1023"/>
  <c r="B5" i="978"/>
  <c r="H59" i="975"/>
  <c r="H59" i="977"/>
  <c r="H59" i="985"/>
  <c r="H59" i="976"/>
  <c r="H59" i="983"/>
  <c r="M59" i="1033"/>
  <c r="B60" i="1033"/>
  <c r="B62" i="1033" s="1"/>
  <c r="M59" i="1032"/>
  <c r="B60" i="1032"/>
  <c r="B62" i="1032" s="1"/>
  <c r="M59" i="1031"/>
  <c r="B60" i="1031"/>
  <c r="B62" i="1031" s="1"/>
  <c r="M59" i="1030"/>
  <c r="B60" i="1030"/>
  <c r="B62" i="1030" s="1"/>
  <c r="H59" i="982"/>
  <c r="M59" i="1029"/>
  <c r="B60" i="1029"/>
  <c r="B62" i="1029" s="1"/>
  <c r="M59" i="1028"/>
  <c r="B60" i="1028"/>
  <c r="B62" i="1028" s="1"/>
  <c r="M59" i="1027"/>
  <c r="B60" i="1027"/>
  <c r="B62" i="1027" s="1"/>
  <c r="M59" i="1026"/>
  <c r="B60" i="1026"/>
  <c r="B62" i="1026" s="1"/>
  <c r="L59" i="1025"/>
  <c r="M58" i="1025"/>
  <c r="B61" i="1025" s="1"/>
  <c r="M57" i="1025"/>
  <c r="L59" i="1024"/>
  <c r="M58" i="1024"/>
  <c r="B61" i="1024" s="1"/>
  <c r="M57" i="1024"/>
  <c r="M58" i="1023"/>
  <c r="B61" i="1023" s="1"/>
  <c r="M57" i="1023"/>
  <c r="L59" i="1022"/>
  <c r="M58" i="1022"/>
  <c r="B61" i="1022" s="1"/>
  <c r="M57" i="1022"/>
  <c r="L59" i="1021"/>
  <c r="M58" i="1021"/>
  <c r="B61" i="1021" s="1"/>
  <c r="M57" i="1021"/>
  <c r="K59" i="1020"/>
  <c r="M56" i="1020"/>
  <c r="L58" i="1020"/>
  <c r="L57" i="1020"/>
  <c r="K59" i="1019"/>
  <c r="M56" i="1019"/>
  <c r="L58" i="1019"/>
  <c r="L57" i="1019"/>
  <c r="M56" i="1018"/>
  <c r="L58" i="1018"/>
  <c r="L57" i="1018"/>
  <c r="M56" i="1017"/>
  <c r="L58" i="1017"/>
  <c r="L57" i="1017"/>
  <c r="L59" i="1017" s="1"/>
  <c r="M58" i="1016"/>
  <c r="B61" i="1016" s="1"/>
  <c r="M57" i="1016"/>
  <c r="K59" i="1015"/>
  <c r="M56" i="1015"/>
  <c r="L58" i="1015"/>
  <c r="L57" i="1015"/>
  <c r="K59" i="1014"/>
  <c r="M56" i="1014"/>
  <c r="L58" i="1014"/>
  <c r="L57" i="1014"/>
  <c r="K59" i="1013"/>
  <c r="M56" i="1013"/>
  <c r="L58" i="1013"/>
  <c r="L57" i="1013"/>
  <c r="K59" i="1012"/>
  <c r="M56" i="1012"/>
  <c r="L58" i="1012"/>
  <c r="L57" i="1012"/>
  <c r="L59" i="1012" s="1"/>
  <c r="M56" i="1011"/>
  <c r="L58" i="1011"/>
  <c r="L57" i="1011"/>
  <c r="M56" i="1010"/>
  <c r="L58" i="1010"/>
  <c r="L57" i="1010"/>
  <c r="L59" i="1010" s="1"/>
  <c r="M56" i="1009"/>
  <c r="L58" i="1009"/>
  <c r="L57" i="1009"/>
  <c r="M56" i="1008"/>
  <c r="L58" i="1008"/>
  <c r="L57" i="1008"/>
  <c r="M56" i="1007"/>
  <c r="L58" i="1007"/>
  <c r="L57" i="1007"/>
  <c r="K58" i="1006"/>
  <c r="K57" i="1006"/>
  <c r="L56" i="1006"/>
  <c r="J59" i="1005"/>
  <c r="K58" i="1005"/>
  <c r="K57" i="1005"/>
  <c r="L56" i="1005"/>
  <c r="K58" i="1004"/>
  <c r="K57" i="1004"/>
  <c r="L56" i="1004"/>
  <c r="K58" i="1003"/>
  <c r="K57" i="1003"/>
  <c r="K59" i="1003" s="1"/>
  <c r="L56" i="1003"/>
  <c r="K58" i="1002"/>
  <c r="K57" i="1002"/>
  <c r="K59" i="1002" s="1"/>
  <c r="L56" i="1002"/>
  <c r="J59" i="1001"/>
  <c r="K58" i="1001"/>
  <c r="K57" i="1001"/>
  <c r="K59" i="1001" s="1"/>
  <c r="L56" i="1001"/>
  <c r="J59" i="1000"/>
  <c r="K58" i="1000"/>
  <c r="K57" i="1000"/>
  <c r="K59" i="1000" s="1"/>
  <c r="L56" i="1000"/>
  <c r="J59" i="999"/>
  <c r="K58" i="999"/>
  <c r="K57" i="999"/>
  <c r="K59" i="999" s="1"/>
  <c r="L56" i="999"/>
  <c r="K58" i="998"/>
  <c r="K57" i="998"/>
  <c r="L56" i="998"/>
  <c r="J59" i="997"/>
  <c r="K58" i="997"/>
  <c r="K57" i="997"/>
  <c r="L56" i="997"/>
  <c r="K56" i="996"/>
  <c r="J58" i="996"/>
  <c r="J57" i="996"/>
  <c r="J59" i="996" s="1"/>
  <c r="K56" i="995"/>
  <c r="J58" i="995"/>
  <c r="J57" i="995"/>
  <c r="K56" i="994"/>
  <c r="J58" i="994"/>
  <c r="J57" i="994"/>
  <c r="J59" i="994" s="1"/>
  <c r="K56" i="993"/>
  <c r="J58" i="993"/>
  <c r="J57" i="993"/>
  <c r="J59" i="993" s="1"/>
  <c r="K56" i="992"/>
  <c r="J58" i="992"/>
  <c r="J57" i="992"/>
  <c r="J59" i="992" s="1"/>
  <c r="I59" i="991"/>
  <c r="K56" i="991"/>
  <c r="J58" i="991"/>
  <c r="J57" i="991"/>
  <c r="J59" i="991" s="1"/>
  <c r="I59" i="990"/>
  <c r="K56" i="990"/>
  <c r="J58" i="990"/>
  <c r="J57" i="990"/>
  <c r="J59" i="990" s="1"/>
  <c r="K56" i="989"/>
  <c r="J58" i="989"/>
  <c r="J57" i="989"/>
  <c r="K56" i="988"/>
  <c r="J58" i="988"/>
  <c r="J57" i="988"/>
  <c r="K56" i="987"/>
  <c r="J58" i="987"/>
  <c r="J57" i="987"/>
  <c r="J59" i="987" s="1"/>
  <c r="K9" i="986"/>
  <c r="H59" i="986"/>
  <c r="J56" i="986"/>
  <c r="I57" i="986"/>
  <c r="I58" i="986"/>
  <c r="K9" i="985"/>
  <c r="J56" i="985"/>
  <c r="I58" i="985"/>
  <c r="I57" i="985"/>
  <c r="H59" i="984"/>
  <c r="J56" i="984"/>
  <c r="I58" i="984"/>
  <c r="I57" i="984"/>
  <c r="K9" i="983"/>
  <c r="J56" i="983"/>
  <c r="I58" i="983"/>
  <c r="I57" i="983"/>
  <c r="K9" i="982"/>
  <c r="J56" i="982"/>
  <c r="I58" i="982"/>
  <c r="I57" i="982"/>
  <c r="K9" i="981"/>
  <c r="J56" i="981"/>
  <c r="I58" i="981"/>
  <c r="I57" i="981"/>
  <c r="K9" i="980"/>
  <c r="H59" i="980"/>
  <c r="J56" i="980"/>
  <c r="I58" i="980"/>
  <c r="I57" i="980"/>
  <c r="H59" i="979"/>
  <c r="J56" i="979"/>
  <c r="I58" i="979"/>
  <c r="I57" i="979"/>
  <c r="J17" i="978"/>
  <c r="J16" i="978"/>
  <c r="K9" i="978"/>
  <c r="J56" i="978"/>
  <c r="I58" i="978"/>
  <c r="I57" i="978"/>
  <c r="I59" i="978" s="1"/>
  <c r="K9" i="977"/>
  <c r="J56" i="977"/>
  <c r="I58" i="977"/>
  <c r="I57" i="977"/>
  <c r="K9" i="976"/>
  <c r="J56" i="976"/>
  <c r="I58" i="976"/>
  <c r="I57" i="976"/>
  <c r="K9" i="975"/>
  <c r="J56" i="975"/>
  <c r="I58" i="975"/>
  <c r="I57" i="975"/>
  <c r="J56" i="974"/>
  <c r="I58" i="974"/>
  <c r="I57" i="974"/>
  <c r="I59" i="974" s="1"/>
  <c r="K9" i="974"/>
  <c r="I59" i="976" l="1"/>
  <c r="L59" i="1008"/>
  <c r="L59" i="1013"/>
  <c r="L59" i="1015"/>
  <c r="L59" i="1020"/>
  <c r="K59" i="1006"/>
  <c r="L59" i="1009"/>
  <c r="J59" i="995"/>
  <c r="L59" i="1019"/>
  <c r="J59" i="988"/>
  <c r="L59" i="1007"/>
  <c r="I59" i="980"/>
  <c r="I59" i="981"/>
  <c r="I59" i="977"/>
  <c r="I59" i="984"/>
  <c r="I59" i="975"/>
  <c r="I59" i="983"/>
  <c r="M59" i="1025"/>
  <c r="B60" i="1025"/>
  <c r="B62" i="1025" s="1"/>
  <c r="M59" i="1024"/>
  <c r="B60" i="1024"/>
  <c r="B62" i="1024" s="1"/>
  <c r="M59" i="1023"/>
  <c r="B60" i="1023"/>
  <c r="B62" i="1023" s="1"/>
  <c r="M59" i="1022"/>
  <c r="B60" i="1022"/>
  <c r="B62" i="1022" s="1"/>
  <c r="M59" i="1021"/>
  <c r="B60" i="1021"/>
  <c r="B62" i="1021" s="1"/>
  <c r="M58" i="1020"/>
  <c r="B61" i="1020" s="1"/>
  <c r="M57" i="1020"/>
  <c r="M58" i="1019"/>
  <c r="B61" i="1019" s="1"/>
  <c r="M57" i="1019"/>
  <c r="L59" i="1018"/>
  <c r="M58" i="1018"/>
  <c r="B61" i="1018" s="1"/>
  <c r="M57" i="1018"/>
  <c r="M58" i="1017"/>
  <c r="B61" i="1017" s="1"/>
  <c r="M57" i="1017"/>
  <c r="M59" i="1016"/>
  <c r="B60" i="1016"/>
  <c r="B62" i="1016" s="1"/>
  <c r="M58" i="1015"/>
  <c r="B61" i="1015" s="1"/>
  <c r="M57" i="1015"/>
  <c r="L59" i="1014"/>
  <c r="M58" i="1014"/>
  <c r="B61" i="1014" s="1"/>
  <c r="M57" i="1014"/>
  <c r="M58" i="1013"/>
  <c r="B61" i="1013" s="1"/>
  <c r="M57" i="1013"/>
  <c r="M58" i="1012"/>
  <c r="B61" i="1012" s="1"/>
  <c r="M57" i="1012"/>
  <c r="L59" i="1011"/>
  <c r="M58" i="1011"/>
  <c r="B61" i="1011" s="1"/>
  <c r="M57" i="1011"/>
  <c r="M58" i="1010"/>
  <c r="B61" i="1010" s="1"/>
  <c r="M57" i="1010"/>
  <c r="M58" i="1009"/>
  <c r="B61" i="1009" s="1"/>
  <c r="M57" i="1009"/>
  <c r="M58" i="1008"/>
  <c r="B61" i="1008" s="1"/>
  <c r="M57" i="1008"/>
  <c r="M58" i="1007"/>
  <c r="B61" i="1007" s="1"/>
  <c r="M57" i="1007"/>
  <c r="M56" i="1006"/>
  <c r="L58" i="1006"/>
  <c r="L57" i="1006"/>
  <c r="K59" i="1005"/>
  <c r="M56" i="1005"/>
  <c r="L58" i="1005"/>
  <c r="L57" i="1005"/>
  <c r="K59" i="1004"/>
  <c r="M56" i="1004"/>
  <c r="L58" i="1004"/>
  <c r="L57" i="1004"/>
  <c r="M56" i="1003"/>
  <c r="L58" i="1003"/>
  <c r="L57" i="1003"/>
  <c r="M56" i="1002"/>
  <c r="L58" i="1002"/>
  <c r="L57" i="1002"/>
  <c r="M56" i="1001"/>
  <c r="L58" i="1001"/>
  <c r="L57" i="1001"/>
  <c r="L59" i="1001" s="1"/>
  <c r="M56" i="1000"/>
  <c r="L58" i="1000"/>
  <c r="L57" i="1000"/>
  <c r="M56" i="999"/>
  <c r="L58" i="999"/>
  <c r="L57" i="999"/>
  <c r="L59" i="999" s="1"/>
  <c r="K59" i="998"/>
  <c r="M56" i="998"/>
  <c r="L58" i="998"/>
  <c r="L57" i="998"/>
  <c r="K59" i="997"/>
  <c r="M56" i="997"/>
  <c r="L58" i="997"/>
  <c r="L57" i="997"/>
  <c r="K58" i="996"/>
  <c r="K57" i="996"/>
  <c r="L56" i="996"/>
  <c r="K58" i="995"/>
  <c r="K57" i="995"/>
  <c r="L56" i="995"/>
  <c r="K58" i="994"/>
  <c r="K57" i="994"/>
  <c r="K59" i="994" s="1"/>
  <c r="L56" i="994"/>
  <c r="K58" i="993"/>
  <c r="K57" i="993"/>
  <c r="K59" i="993" s="1"/>
  <c r="L56" i="993"/>
  <c r="K58" i="992"/>
  <c r="K57" i="992"/>
  <c r="K59" i="992" s="1"/>
  <c r="L56" i="992"/>
  <c r="K58" i="991"/>
  <c r="K57" i="991"/>
  <c r="L56" i="991"/>
  <c r="K58" i="990"/>
  <c r="K57" i="990"/>
  <c r="L56" i="990"/>
  <c r="J59" i="989"/>
  <c r="K58" i="989"/>
  <c r="K57" i="989"/>
  <c r="K59" i="989" s="1"/>
  <c r="L56" i="989"/>
  <c r="K58" i="988"/>
  <c r="K57" i="988"/>
  <c r="K59" i="988" s="1"/>
  <c r="L56" i="988"/>
  <c r="K58" i="987"/>
  <c r="K57" i="987"/>
  <c r="K59" i="987" s="1"/>
  <c r="L56" i="987"/>
  <c r="I59" i="986"/>
  <c r="K56" i="986"/>
  <c r="J58" i="986"/>
  <c r="J57" i="986"/>
  <c r="I59" i="985"/>
  <c r="K56" i="985"/>
  <c r="J58" i="985"/>
  <c r="J57" i="985"/>
  <c r="K56" i="984"/>
  <c r="J58" i="984"/>
  <c r="J57" i="984"/>
  <c r="K56" i="983"/>
  <c r="J58" i="983"/>
  <c r="J57" i="983"/>
  <c r="I59" i="982"/>
  <c r="K56" i="982"/>
  <c r="J58" i="982"/>
  <c r="J57" i="982"/>
  <c r="K56" i="981"/>
  <c r="J58" i="981"/>
  <c r="J57" i="981"/>
  <c r="J59" i="981" s="1"/>
  <c r="K56" i="980"/>
  <c r="J58" i="980"/>
  <c r="J57" i="980"/>
  <c r="I59" i="979"/>
  <c r="K56" i="979"/>
  <c r="J58" i="979"/>
  <c r="J57" i="979"/>
  <c r="K56" i="978"/>
  <c r="J58" i="978"/>
  <c r="J57" i="978"/>
  <c r="J59" i="978" s="1"/>
  <c r="K56" i="977"/>
  <c r="J58" i="977"/>
  <c r="J57" i="977"/>
  <c r="K56" i="976"/>
  <c r="J58" i="976"/>
  <c r="J57" i="976"/>
  <c r="K56" i="975"/>
  <c r="J58" i="975"/>
  <c r="J57" i="975"/>
  <c r="K56" i="974"/>
  <c r="J58" i="974"/>
  <c r="J57" i="974"/>
  <c r="L3" i="186"/>
  <c r="L2" i="186"/>
  <c r="L59" i="1005" l="1"/>
  <c r="L59" i="1004"/>
  <c r="L59" i="1006"/>
  <c r="J59" i="977"/>
  <c r="J59" i="983"/>
  <c r="J59" i="985"/>
  <c r="M59" i="1020"/>
  <c r="B60" i="1020"/>
  <c r="B62" i="1020" s="1"/>
  <c r="M59" i="1019"/>
  <c r="B60" i="1019"/>
  <c r="B62" i="1019" s="1"/>
  <c r="M59" i="1018"/>
  <c r="B60" i="1018"/>
  <c r="B62" i="1018" s="1"/>
  <c r="M59" i="1017"/>
  <c r="B60" i="1017"/>
  <c r="B62" i="1017" s="1"/>
  <c r="M59" i="1015"/>
  <c r="B60" i="1015"/>
  <c r="B62" i="1015" s="1"/>
  <c r="M59" i="1014"/>
  <c r="B60" i="1014"/>
  <c r="B62" i="1014" s="1"/>
  <c r="M59" i="1013"/>
  <c r="B60" i="1013"/>
  <c r="B62" i="1013" s="1"/>
  <c r="M59" i="1012"/>
  <c r="B60" i="1012"/>
  <c r="B62" i="1012" s="1"/>
  <c r="M59" i="1011"/>
  <c r="B60" i="1011"/>
  <c r="B62" i="1011" s="1"/>
  <c r="M59" i="1010"/>
  <c r="B60" i="1010"/>
  <c r="B62" i="1010" s="1"/>
  <c r="M59" i="1009"/>
  <c r="B60" i="1009"/>
  <c r="B62" i="1009" s="1"/>
  <c r="M59" i="1008"/>
  <c r="B60" i="1008"/>
  <c r="B62" i="1008" s="1"/>
  <c r="M59" i="1007"/>
  <c r="B60" i="1007"/>
  <c r="B62" i="1007" s="1"/>
  <c r="M58" i="1006"/>
  <c r="B61" i="1006" s="1"/>
  <c r="M57" i="1006"/>
  <c r="M58" i="1005"/>
  <c r="B61" i="1005" s="1"/>
  <c r="M57" i="1005"/>
  <c r="M58" i="1004"/>
  <c r="B61" i="1004" s="1"/>
  <c r="M57" i="1004"/>
  <c r="L59" i="1003"/>
  <c r="M58" i="1003"/>
  <c r="B61" i="1003" s="1"/>
  <c r="M57" i="1003"/>
  <c r="L59" i="1002"/>
  <c r="M58" i="1002"/>
  <c r="B61" i="1002" s="1"/>
  <c r="M57" i="1002"/>
  <c r="M58" i="1001"/>
  <c r="B61" i="1001" s="1"/>
  <c r="M57" i="1001"/>
  <c r="L59" i="1000"/>
  <c r="M58" i="1000"/>
  <c r="B61" i="1000" s="1"/>
  <c r="M57" i="1000"/>
  <c r="M58" i="999"/>
  <c r="B61" i="999" s="1"/>
  <c r="M57" i="999"/>
  <c r="L59" i="998"/>
  <c r="M58" i="998"/>
  <c r="B61" i="998" s="1"/>
  <c r="M57" i="998"/>
  <c r="L59" i="997"/>
  <c r="M58" i="997"/>
  <c r="B61" i="997" s="1"/>
  <c r="M57" i="997"/>
  <c r="K59" i="996"/>
  <c r="M56" i="996"/>
  <c r="L58" i="996"/>
  <c r="L57" i="996"/>
  <c r="L59" i="996" s="1"/>
  <c r="K59" i="995"/>
  <c r="M56" i="995"/>
  <c r="L58" i="995"/>
  <c r="L57" i="995"/>
  <c r="L59" i="995" s="1"/>
  <c r="M56" i="994"/>
  <c r="L58" i="994"/>
  <c r="L57" i="994"/>
  <c r="M56" i="993"/>
  <c r="L58" i="993"/>
  <c r="L57" i="993"/>
  <c r="L59" i="993" s="1"/>
  <c r="M56" i="992"/>
  <c r="L58" i="992"/>
  <c r="L57" i="992"/>
  <c r="K59" i="991"/>
  <c r="M56" i="991"/>
  <c r="L58" i="991"/>
  <c r="L57" i="991"/>
  <c r="K59" i="990"/>
  <c r="M56" i="990"/>
  <c r="L58" i="990"/>
  <c r="L57" i="990"/>
  <c r="M56" i="989"/>
  <c r="L58" i="989"/>
  <c r="L57" i="989"/>
  <c r="L59" i="989" s="1"/>
  <c r="M56" i="988"/>
  <c r="L58" i="988"/>
  <c r="L57" i="988"/>
  <c r="M56" i="987"/>
  <c r="L57" i="987"/>
  <c r="L58" i="987"/>
  <c r="J59" i="986"/>
  <c r="K58" i="986"/>
  <c r="K57" i="986"/>
  <c r="L56" i="986"/>
  <c r="K58" i="985"/>
  <c r="K57" i="985"/>
  <c r="L56" i="985"/>
  <c r="J59" i="984"/>
  <c r="K58" i="984"/>
  <c r="K57" i="984"/>
  <c r="L56" i="984"/>
  <c r="K58" i="983"/>
  <c r="K57" i="983"/>
  <c r="L56" i="983"/>
  <c r="J59" i="982"/>
  <c r="K58" i="982"/>
  <c r="K57" i="982"/>
  <c r="L56" i="982"/>
  <c r="K58" i="981"/>
  <c r="K57" i="981"/>
  <c r="L56" i="981"/>
  <c r="J59" i="980"/>
  <c r="K58" i="980"/>
  <c r="K57" i="980"/>
  <c r="L56" i="980"/>
  <c r="J59" i="979"/>
  <c r="K58" i="979"/>
  <c r="K57" i="979"/>
  <c r="K59" i="979" s="1"/>
  <c r="L56" i="979"/>
  <c r="K58" i="978"/>
  <c r="K57" i="978"/>
  <c r="L56" i="978"/>
  <c r="K58" i="977"/>
  <c r="K57" i="977"/>
  <c r="L56" i="977"/>
  <c r="J59" i="976"/>
  <c r="K58" i="976"/>
  <c r="K57" i="976"/>
  <c r="K59" i="976" s="1"/>
  <c r="L56" i="976"/>
  <c r="J59" i="975"/>
  <c r="K58" i="975"/>
  <c r="K57" i="975"/>
  <c r="L56" i="975"/>
  <c r="J59" i="974"/>
  <c r="K58" i="974"/>
  <c r="K57" i="974"/>
  <c r="K59" i="974" s="1"/>
  <c r="L56" i="974"/>
  <c r="X94" i="873"/>
  <c r="W94" i="873"/>
  <c r="V94" i="873"/>
  <c r="U94" i="873"/>
  <c r="T94" i="873"/>
  <c r="S94" i="873"/>
  <c r="R94" i="873"/>
  <c r="Q94" i="873"/>
  <c r="P94" i="873"/>
  <c r="O94" i="873"/>
  <c r="N94" i="873"/>
  <c r="M94" i="873"/>
  <c r="L94" i="873"/>
  <c r="K94" i="873"/>
  <c r="J94" i="873"/>
  <c r="I94" i="873"/>
  <c r="H94" i="873"/>
  <c r="G94" i="873"/>
  <c r="F94" i="873"/>
  <c r="E94" i="873"/>
  <c r="D94" i="873"/>
  <c r="C94" i="873"/>
  <c r="B94" i="873"/>
  <c r="F143" i="873"/>
  <c r="E143" i="873"/>
  <c r="D143" i="873"/>
  <c r="C143" i="873"/>
  <c r="B143" i="873"/>
  <c r="B142" i="873"/>
  <c r="F137" i="873"/>
  <c r="E137" i="873"/>
  <c r="D137" i="873"/>
  <c r="C137" i="873"/>
  <c r="B137" i="873"/>
  <c r="F103" i="873"/>
  <c r="E103" i="873"/>
  <c r="D103" i="873"/>
  <c r="C103" i="873"/>
  <c r="B103" i="873"/>
  <c r="E39" i="873"/>
  <c r="C39" i="873"/>
  <c r="B39" i="873"/>
  <c r="E38" i="873"/>
  <c r="C38" i="873"/>
  <c r="B38" i="873"/>
  <c r="E37" i="873"/>
  <c r="C37" i="873"/>
  <c r="B37" i="873"/>
  <c r="E36" i="873"/>
  <c r="C36" i="873"/>
  <c r="B36" i="873"/>
  <c r="D34" i="873"/>
  <c r="B34" i="873"/>
  <c r="D33" i="873"/>
  <c r="D32" i="873"/>
  <c r="B32" i="873"/>
  <c r="F32" i="873" s="1"/>
  <c r="D31" i="873"/>
  <c r="B31" i="873"/>
  <c r="F31" i="873" s="1"/>
  <c r="D30" i="873"/>
  <c r="B30" i="873"/>
  <c r="F30" i="873" s="1"/>
  <c r="C27" i="873"/>
  <c r="D27" i="873" s="1"/>
  <c r="B27" i="873"/>
  <c r="C26" i="873"/>
  <c r="D26" i="873" s="1"/>
  <c r="B26" i="873"/>
  <c r="B22" i="873"/>
  <c r="F22" i="873" s="1"/>
  <c r="D21" i="873"/>
  <c r="B21" i="873"/>
  <c r="B20" i="873"/>
  <c r="D19" i="873"/>
  <c r="B19" i="873"/>
  <c r="D4" i="873"/>
  <c r="E4" i="873" s="1"/>
  <c r="D1" i="873"/>
  <c r="Y94" i="917"/>
  <c r="X94" i="917"/>
  <c r="W94" i="917"/>
  <c r="V94" i="917"/>
  <c r="U94" i="917"/>
  <c r="T94" i="917"/>
  <c r="S94" i="917"/>
  <c r="R94" i="917"/>
  <c r="Q94" i="917"/>
  <c r="P94" i="917"/>
  <c r="O94" i="917"/>
  <c r="N94" i="917"/>
  <c r="M94" i="917"/>
  <c r="L94" i="917"/>
  <c r="K94" i="917"/>
  <c r="J94" i="917"/>
  <c r="I94" i="917"/>
  <c r="H94" i="917"/>
  <c r="G94" i="917"/>
  <c r="F94" i="917"/>
  <c r="E94" i="917"/>
  <c r="D94" i="917"/>
  <c r="C94" i="917"/>
  <c r="B94" i="917"/>
  <c r="F117" i="917"/>
  <c r="E117" i="917"/>
  <c r="D117" i="917"/>
  <c r="C117" i="917"/>
  <c r="B117" i="917"/>
  <c r="C116" i="917"/>
  <c r="B116" i="917"/>
  <c r="F111" i="917"/>
  <c r="E111" i="917"/>
  <c r="D111" i="917"/>
  <c r="C111" i="917"/>
  <c r="B111" i="917"/>
  <c r="F103" i="917"/>
  <c r="E103" i="917"/>
  <c r="D103" i="917"/>
  <c r="C103" i="917"/>
  <c r="B103" i="917"/>
  <c r="E39" i="917"/>
  <c r="C39" i="917"/>
  <c r="B39" i="917"/>
  <c r="E38" i="917"/>
  <c r="C38" i="917"/>
  <c r="B38" i="917"/>
  <c r="E36" i="917"/>
  <c r="C36" i="917"/>
  <c r="B36" i="917"/>
  <c r="D34" i="917"/>
  <c r="B34" i="917"/>
  <c r="D33" i="917"/>
  <c r="D32" i="917"/>
  <c r="B32" i="917"/>
  <c r="F32" i="917" s="1"/>
  <c r="D31" i="917"/>
  <c r="B31" i="917"/>
  <c r="F31" i="917" s="1"/>
  <c r="D30" i="917"/>
  <c r="B30" i="917"/>
  <c r="F30" i="917" s="1"/>
  <c r="C25" i="917"/>
  <c r="D25" i="917" s="1"/>
  <c r="B25" i="917"/>
  <c r="B22" i="917"/>
  <c r="F22" i="917" s="1"/>
  <c r="D21" i="917"/>
  <c r="B21" i="917"/>
  <c r="B20" i="917"/>
  <c r="D19" i="917"/>
  <c r="B19" i="917"/>
  <c r="D4" i="917"/>
  <c r="E4" i="917" s="1"/>
  <c r="D1" i="917"/>
  <c r="C1" i="917"/>
  <c r="B1" i="917" s="1"/>
  <c r="Y94" i="918"/>
  <c r="X94" i="918"/>
  <c r="W94" i="918"/>
  <c r="V94" i="918"/>
  <c r="U94" i="918"/>
  <c r="T94" i="918"/>
  <c r="S94" i="918"/>
  <c r="R94" i="918"/>
  <c r="Q94" i="918"/>
  <c r="P94" i="918"/>
  <c r="O94" i="918"/>
  <c r="N94" i="918"/>
  <c r="M94" i="918"/>
  <c r="L94" i="918"/>
  <c r="K94" i="918"/>
  <c r="J94" i="918"/>
  <c r="I94" i="918"/>
  <c r="H94" i="918"/>
  <c r="G94" i="918"/>
  <c r="F94" i="918"/>
  <c r="E94" i="918"/>
  <c r="D94" i="918"/>
  <c r="C94" i="918"/>
  <c r="B94" i="918"/>
  <c r="F117" i="918"/>
  <c r="E117" i="918"/>
  <c r="D117" i="918"/>
  <c r="C117" i="918"/>
  <c r="B117" i="918"/>
  <c r="C116" i="918"/>
  <c r="B116" i="918"/>
  <c r="F111" i="918"/>
  <c r="E111" i="918"/>
  <c r="D111" i="918"/>
  <c r="C111" i="918"/>
  <c r="B111" i="918"/>
  <c r="F103" i="918"/>
  <c r="E103" i="918"/>
  <c r="D103" i="918"/>
  <c r="C24" i="918" s="1"/>
  <c r="C103" i="918"/>
  <c r="B103" i="918"/>
  <c r="E39" i="918"/>
  <c r="C39" i="918"/>
  <c r="D39" i="918" s="1"/>
  <c r="B39" i="918"/>
  <c r="E38" i="918"/>
  <c r="C38" i="918"/>
  <c r="B38" i="918"/>
  <c r="E36" i="918"/>
  <c r="C36" i="918"/>
  <c r="D36" i="918" s="1"/>
  <c r="B36" i="918"/>
  <c r="D34" i="918"/>
  <c r="B34" i="918"/>
  <c r="D33" i="918"/>
  <c r="D32" i="918"/>
  <c r="B32" i="918"/>
  <c r="F32" i="918" s="1"/>
  <c r="D31" i="918"/>
  <c r="B31" i="918"/>
  <c r="F31" i="918" s="1"/>
  <c r="D30" i="918"/>
  <c r="B30" i="918"/>
  <c r="F30" i="918" s="1"/>
  <c r="C25" i="918"/>
  <c r="D25" i="918" s="1"/>
  <c r="B25" i="918"/>
  <c r="F22" i="918"/>
  <c r="B22" i="918"/>
  <c r="D21" i="918"/>
  <c r="B21" i="918"/>
  <c r="B20" i="918"/>
  <c r="D19" i="918"/>
  <c r="B19" i="918"/>
  <c r="D4" i="918"/>
  <c r="E4" i="918" s="1"/>
  <c r="D1" i="918"/>
  <c r="C1" i="918"/>
  <c r="B1" i="918" s="1"/>
  <c r="Z7" i="973"/>
  <c r="V7" i="973"/>
  <c r="Z6" i="973"/>
  <c r="V6" i="973"/>
  <c r="Z4" i="973"/>
  <c r="V4" i="973"/>
  <c r="Z3" i="973"/>
  <c r="V3" i="973"/>
  <c r="Z2" i="973"/>
  <c r="V2" i="973"/>
  <c r="Z5" i="973"/>
  <c r="V5" i="973"/>
  <c r="AC22" i="1"/>
  <c r="Z22" i="1"/>
  <c r="Y22" i="1"/>
  <c r="X22" i="1"/>
  <c r="W22" i="1"/>
  <c r="I22" i="1"/>
  <c r="AC46" i="1"/>
  <c r="Z46" i="1"/>
  <c r="Y46" i="1"/>
  <c r="X46" i="1"/>
  <c r="W46" i="1"/>
  <c r="I46" i="1"/>
  <c r="AC38" i="1"/>
  <c r="Z38" i="1"/>
  <c r="Y38" i="1"/>
  <c r="X38" i="1"/>
  <c r="W38" i="1"/>
  <c r="I38" i="1"/>
  <c r="AC26" i="1"/>
  <c r="Z26" i="1"/>
  <c r="Y26" i="1"/>
  <c r="X26" i="1"/>
  <c r="W26" i="1"/>
  <c r="I26" i="1"/>
  <c r="AC53" i="1"/>
  <c r="Z53" i="1"/>
  <c r="Y53" i="1"/>
  <c r="X53" i="1"/>
  <c r="W53" i="1"/>
  <c r="I53" i="1"/>
  <c r="AC30" i="1"/>
  <c r="Z30" i="1"/>
  <c r="Y30" i="1"/>
  <c r="X30" i="1"/>
  <c r="W30" i="1"/>
  <c r="I30" i="1"/>
  <c r="AC20" i="1"/>
  <c r="Z20" i="1"/>
  <c r="Y20" i="1"/>
  <c r="X20" i="1"/>
  <c r="W20" i="1"/>
  <c r="I20" i="1"/>
  <c r="AC80" i="1"/>
  <c r="Z80" i="1"/>
  <c r="Y80" i="1"/>
  <c r="X80" i="1"/>
  <c r="W80" i="1"/>
  <c r="I80" i="1"/>
  <c r="AC34" i="1"/>
  <c r="Z34" i="1"/>
  <c r="Y34" i="1"/>
  <c r="X34" i="1"/>
  <c r="W34" i="1"/>
  <c r="I34" i="1"/>
  <c r="AC41" i="1"/>
  <c r="Z41" i="1"/>
  <c r="Y41" i="1"/>
  <c r="X41" i="1"/>
  <c r="W41" i="1"/>
  <c r="I41" i="1"/>
  <c r="AC76" i="1"/>
  <c r="Z76" i="1"/>
  <c r="Y76" i="1"/>
  <c r="X76" i="1"/>
  <c r="W76" i="1"/>
  <c r="I76" i="1"/>
  <c r="AC62" i="1"/>
  <c r="Z62" i="1"/>
  <c r="Y62" i="1"/>
  <c r="X62" i="1"/>
  <c r="W62" i="1"/>
  <c r="I62" i="1"/>
  <c r="AC2" i="1"/>
  <c r="Z2" i="1"/>
  <c r="Y2" i="1"/>
  <c r="X2" i="1"/>
  <c r="W2" i="1"/>
  <c r="I2" i="1"/>
  <c r="AC24" i="1"/>
  <c r="Z24" i="1"/>
  <c r="Y24" i="1"/>
  <c r="X24" i="1"/>
  <c r="W24" i="1"/>
  <c r="I24" i="1"/>
  <c r="AC36" i="1"/>
  <c r="Z36" i="1"/>
  <c r="Y36" i="1"/>
  <c r="X36" i="1"/>
  <c r="W36" i="1"/>
  <c r="I36" i="1"/>
  <c r="AC100" i="1"/>
  <c r="Z100" i="1"/>
  <c r="Y100" i="1"/>
  <c r="X100" i="1"/>
  <c r="W100" i="1"/>
  <c r="I100" i="1"/>
  <c r="AC18" i="1"/>
  <c r="Z18" i="1"/>
  <c r="Y18" i="1"/>
  <c r="X18" i="1"/>
  <c r="W18" i="1"/>
  <c r="I18" i="1"/>
  <c r="AC92" i="1"/>
  <c r="Z92" i="1"/>
  <c r="Y92" i="1"/>
  <c r="X92" i="1"/>
  <c r="W92" i="1"/>
  <c r="I92" i="1"/>
  <c r="AC87" i="1"/>
  <c r="Z87" i="1"/>
  <c r="Y87" i="1"/>
  <c r="X87" i="1"/>
  <c r="W87" i="1"/>
  <c r="I87" i="1"/>
  <c r="AC40" i="1"/>
  <c r="Z40" i="1"/>
  <c r="Y40" i="1"/>
  <c r="X40" i="1"/>
  <c r="W40" i="1"/>
  <c r="I40" i="1"/>
  <c r="AC12" i="1"/>
  <c r="Z12" i="1"/>
  <c r="Y12" i="1"/>
  <c r="X12" i="1"/>
  <c r="W12" i="1"/>
  <c r="I12" i="1"/>
  <c r="AC91" i="1"/>
  <c r="Z91" i="1"/>
  <c r="Y91" i="1"/>
  <c r="X91" i="1"/>
  <c r="W91" i="1"/>
  <c r="I91" i="1"/>
  <c r="AC95" i="1"/>
  <c r="Z95" i="1"/>
  <c r="Y95" i="1"/>
  <c r="X95" i="1"/>
  <c r="W95" i="1"/>
  <c r="I95" i="1"/>
  <c r="AC90" i="1"/>
  <c r="Z90" i="1"/>
  <c r="Y90" i="1"/>
  <c r="X90" i="1"/>
  <c r="W90" i="1"/>
  <c r="I90" i="1"/>
  <c r="AC11" i="1"/>
  <c r="Z11" i="1"/>
  <c r="Y11" i="1"/>
  <c r="X11" i="1"/>
  <c r="W11" i="1"/>
  <c r="I11" i="1"/>
  <c r="AC54" i="1"/>
  <c r="Z54" i="1"/>
  <c r="Y54" i="1"/>
  <c r="X54" i="1"/>
  <c r="W54" i="1"/>
  <c r="I54" i="1"/>
  <c r="AC74" i="1"/>
  <c r="Z74" i="1"/>
  <c r="Y74" i="1"/>
  <c r="X74" i="1"/>
  <c r="W74" i="1"/>
  <c r="I74" i="1"/>
  <c r="AC84" i="1"/>
  <c r="Z84" i="1"/>
  <c r="Y84" i="1"/>
  <c r="X84" i="1"/>
  <c r="W84" i="1"/>
  <c r="I84" i="1"/>
  <c r="AC29" i="1"/>
  <c r="Z29" i="1"/>
  <c r="Y29" i="1"/>
  <c r="X29" i="1"/>
  <c r="W29" i="1"/>
  <c r="I29" i="1"/>
  <c r="AC42" i="1"/>
  <c r="Z42" i="1"/>
  <c r="Y42" i="1"/>
  <c r="X42" i="1"/>
  <c r="W42" i="1"/>
  <c r="I42" i="1"/>
  <c r="AC64" i="1"/>
  <c r="Z64" i="1"/>
  <c r="Y64" i="1"/>
  <c r="X64" i="1"/>
  <c r="W64" i="1"/>
  <c r="I64" i="1"/>
  <c r="AC21" i="1"/>
  <c r="Z21" i="1"/>
  <c r="Y21" i="1"/>
  <c r="X21" i="1"/>
  <c r="W21" i="1"/>
  <c r="I21" i="1"/>
  <c r="AC27" i="1"/>
  <c r="Z27" i="1"/>
  <c r="Y27" i="1"/>
  <c r="X27" i="1"/>
  <c r="W27" i="1"/>
  <c r="I27" i="1"/>
  <c r="AC99" i="1"/>
  <c r="Z99" i="1"/>
  <c r="Y99" i="1"/>
  <c r="X99" i="1"/>
  <c r="W99" i="1"/>
  <c r="I99" i="1"/>
  <c r="AC7" i="1"/>
  <c r="Z7" i="1"/>
  <c r="Y7" i="1"/>
  <c r="X7" i="1"/>
  <c r="W7" i="1"/>
  <c r="I7" i="1"/>
  <c r="AC85" i="1"/>
  <c r="Z85" i="1"/>
  <c r="Y85" i="1"/>
  <c r="X85" i="1"/>
  <c r="W85" i="1"/>
  <c r="I85" i="1"/>
  <c r="AC93" i="1"/>
  <c r="Z93" i="1"/>
  <c r="Y93" i="1"/>
  <c r="X93" i="1"/>
  <c r="W93" i="1"/>
  <c r="I93" i="1"/>
  <c r="AC19" i="1"/>
  <c r="Z19" i="1"/>
  <c r="Y19" i="1"/>
  <c r="X19" i="1"/>
  <c r="W19" i="1"/>
  <c r="I19" i="1"/>
  <c r="AC79" i="1"/>
  <c r="Z79" i="1"/>
  <c r="Y79" i="1"/>
  <c r="X79" i="1"/>
  <c r="W79" i="1"/>
  <c r="I79" i="1"/>
  <c r="AC77" i="1"/>
  <c r="Z77" i="1"/>
  <c r="Y77" i="1"/>
  <c r="X77" i="1"/>
  <c r="W77" i="1"/>
  <c r="I77" i="1"/>
  <c r="AC72" i="1"/>
  <c r="Z72" i="1"/>
  <c r="Y72" i="1"/>
  <c r="X72" i="1"/>
  <c r="W72" i="1"/>
  <c r="I72" i="1"/>
  <c r="AC75" i="1"/>
  <c r="Z75" i="1"/>
  <c r="Y75" i="1"/>
  <c r="X75" i="1"/>
  <c r="W75" i="1"/>
  <c r="I75" i="1"/>
  <c r="AC60" i="1"/>
  <c r="Z60" i="1"/>
  <c r="Y60" i="1"/>
  <c r="X60" i="1"/>
  <c r="W60" i="1"/>
  <c r="I60" i="1"/>
  <c r="AC8" i="1"/>
  <c r="Z8" i="1"/>
  <c r="Y8" i="1"/>
  <c r="X8" i="1"/>
  <c r="W8" i="1"/>
  <c r="I8" i="1"/>
  <c r="AC56" i="1"/>
  <c r="Z56" i="1"/>
  <c r="Y56" i="1"/>
  <c r="X56" i="1"/>
  <c r="W56" i="1"/>
  <c r="I56" i="1"/>
  <c r="AC81" i="1"/>
  <c r="Z81" i="1"/>
  <c r="Y81" i="1"/>
  <c r="X81" i="1"/>
  <c r="W81" i="1"/>
  <c r="I81" i="1"/>
  <c r="AC15" i="1"/>
  <c r="Z15" i="1"/>
  <c r="Y15" i="1"/>
  <c r="X15" i="1"/>
  <c r="W15" i="1"/>
  <c r="I15" i="1"/>
  <c r="AC78" i="1"/>
  <c r="Z78" i="1"/>
  <c r="Y78" i="1"/>
  <c r="X78" i="1"/>
  <c r="W78" i="1"/>
  <c r="I78" i="1"/>
  <c r="AC14" i="1"/>
  <c r="Z14" i="1"/>
  <c r="Y14" i="1"/>
  <c r="X14" i="1"/>
  <c r="W14" i="1"/>
  <c r="I14" i="1"/>
  <c r="AC59" i="1"/>
  <c r="Z59" i="1"/>
  <c r="Y59" i="1"/>
  <c r="X59" i="1"/>
  <c r="W59" i="1"/>
  <c r="I59" i="1"/>
  <c r="AC39" i="1"/>
  <c r="Z39" i="1"/>
  <c r="Y39" i="1"/>
  <c r="X39" i="1"/>
  <c r="W39" i="1"/>
  <c r="I39" i="1"/>
  <c r="AC71" i="1"/>
  <c r="Z71" i="1"/>
  <c r="Y71" i="1"/>
  <c r="X71" i="1"/>
  <c r="W71" i="1"/>
  <c r="I71" i="1"/>
  <c r="AC86" i="1"/>
  <c r="Z86" i="1"/>
  <c r="Y86" i="1"/>
  <c r="X86" i="1"/>
  <c r="W86" i="1"/>
  <c r="I86" i="1"/>
  <c r="AC66" i="1"/>
  <c r="Z66" i="1"/>
  <c r="Y66" i="1"/>
  <c r="X66" i="1"/>
  <c r="W66" i="1"/>
  <c r="I66" i="1"/>
  <c r="AC68" i="1"/>
  <c r="Z68" i="1"/>
  <c r="Y68" i="1"/>
  <c r="X68" i="1"/>
  <c r="W68" i="1"/>
  <c r="I68" i="1"/>
  <c r="AC89" i="1"/>
  <c r="Z89" i="1"/>
  <c r="Y89" i="1"/>
  <c r="X89" i="1"/>
  <c r="W89" i="1"/>
  <c r="I89" i="1"/>
  <c r="AC67" i="1"/>
  <c r="Z67" i="1"/>
  <c r="Y67" i="1"/>
  <c r="X67" i="1"/>
  <c r="W67" i="1"/>
  <c r="I67" i="1"/>
  <c r="AC16" i="1"/>
  <c r="Z16" i="1"/>
  <c r="Y16" i="1"/>
  <c r="X16" i="1"/>
  <c r="W16" i="1"/>
  <c r="I16" i="1"/>
  <c r="AC73" i="1"/>
  <c r="Z73" i="1"/>
  <c r="Y73" i="1"/>
  <c r="X73" i="1"/>
  <c r="W73" i="1"/>
  <c r="I73" i="1"/>
  <c r="AC6" i="1"/>
  <c r="Z6" i="1"/>
  <c r="Y6" i="1"/>
  <c r="X6" i="1"/>
  <c r="W6" i="1"/>
  <c r="I6" i="1"/>
  <c r="AC96" i="1"/>
  <c r="Z96" i="1"/>
  <c r="Y96" i="1"/>
  <c r="X96" i="1"/>
  <c r="W96" i="1"/>
  <c r="I96" i="1"/>
  <c r="AC51" i="1"/>
  <c r="Z51" i="1"/>
  <c r="Y51" i="1"/>
  <c r="X51" i="1"/>
  <c r="W51" i="1"/>
  <c r="I51" i="1"/>
  <c r="AC61" i="1"/>
  <c r="Z61" i="1"/>
  <c r="Y61" i="1"/>
  <c r="X61" i="1"/>
  <c r="W61" i="1"/>
  <c r="I61" i="1"/>
  <c r="AC69" i="1"/>
  <c r="Z69" i="1"/>
  <c r="Y69" i="1"/>
  <c r="X69" i="1"/>
  <c r="W69" i="1"/>
  <c r="I69" i="1"/>
  <c r="AC4" i="1"/>
  <c r="Z4" i="1"/>
  <c r="Y4" i="1"/>
  <c r="X4" i="1"/>
  <c r="W4" i="1"/>
  <c r="I4" i="1"/>
  <c r="AC23" i="1"/>
  <c r="Z23" i="1"/>
  <c r="Y23" i="1"/>
  <c r="X23" i="1"/>
  <c r="W23" i="1"/>
  <c r="I23" i="1"/>
  <c r="AC57" i="1"/>
  <c r="Z57" i="1"/>
  <c r="Y57" i="1"/>
  <c r="X57" i="1"/>
  <c r="W57" i="1"/>
  <c r="I57" i="1"/>
  <c r="AC97" i="1"/>
  <c r="Z97" i="1"/>
  <c r="Y97" i="1"/>
  <c r="X97" i="1"/>
  <c r="W97" i="1"/>
  <c r="I97" i="1"/>
  <c r="AC3" i="1"/>
  <c r="Z3" i="1"/>
  <c r="Y3" i="1"/>
  <c r="X3" i="1"/>
  <c r="W3" i="1"/>
  <c r="I3" i="1"/>
  <c r="AC63" i="1"/>
  <c r="Z63" i="1"/>
  <c r="Y63" i="1"/>
  <c r="X63" i="1"/>
  <c r="W63" i="1"/>
  <c r="I63" i="1"/>
  <c r="AC88" i="1"/>
  <c r="Z88" i="1"/>
  <c r="Y88" i="1"/>
  <c r="X88" i="1"/>
  <c r="W88" i="1"/>
  <c r="I88" i="1"/>
  <c r="AC31" i="1"/>
  <c r="Z31" i="1"/>
  <c r="Y31" i="1"/>
  <c r="X31" i="1"/>
  <c r="W31" i="1"/>
  <c r="I31" i="1"/>
  <c r="AC37" i="1"/>
  <c r="Z37" i="1"/>
  <c r="Y37" i="1"/>
  <c r="X37" i="1"/>
  <c r="W37" i="1"/>
  <c r="I37" i="1"/>
  <c r="AC44" i="1"/>
  <c r="Z44" i="1"/>
  <c r="Y44" i="1"/>
  <c r="X44" i="1"/>
  <c r="W44" i="1"/>
  <c r="I44" i="1"/>
  <c r="AC49" i="1"/>
  <c r="Z49" i="1"/>
  <c r="Y49" i="1"/>
  <c r="X49" i="1"/>
  <c r="W49" i="1"/>
  <c r="I49" i="1"/>
  <c r="AC47" i="1"/>
  <c r="Z47" i="1"/>
  <c r="Y47" i="1"/>
  <c r="X47" i="1"/>
  <c r="W47" i="1"/>
  <c r="I47" i="1"/>
  <c r="AC98" i="1"/>
  <c r="Z98" i="1"/>
  <c r="Y98" i="1"/>
  <c r="X98" i="1"/>
  <c r="W98" i="1"/>
  <c r="I98" i="1"/>
  <c r="AC17" i="1"/>
  <c r="Z17" i="1"/>
  <c r="Y17" i="1"/>
  <c r="X17" i="1"/>
  <c r="W17" i="1"/>
  <c r="I17" i="1"/>
  <c r="AC65" i="1"/>
  <c r="Z65" i="1"/>
  <c r="Y65" i="1"/>
  <c r="X65" i="1"/>
  <c r="W65" i="1"/>
  <c r="I65" i="1"/>
  <c r="AC28" i="1"/>
  <c r="Z28" i="1"/>
  <c r="Y28" i="1"/>
  <c r="X28" i="1"/>
  <c r="W28" i="1"/>
  <c r="I28" i="1"/>
  <c r="AC45" i="1"/>
  <c r="Z45" i="1"/>
  <c r="Y45" i="1"/>
  <c r="X45" i="1"/>
  <c r="W45" i="1"/>
  <c r="I45" i="1"/>
  <c r="AC83" i="1"/>
  <c r="Z83" i="1"/>
  <c r="Y83" i="1"/>
  <c r="X83" i="1"/>
  <c r="W83" i="1"/>
  <c r="I83" i="1"/>
  <c r="AC25" i="1"/>
  <c r="Y25" i="1"/>
  <c r="W25" i="1"/>
  <c r="AC50" i="1"/>
  <c r="Y50" i="1"/>
  <c r="W50" i="1"/>
  <c r="AC35" i="1"/>
  <c r="Y35" i="1"/>
  <c r="X35" i="1"/>
  <c r="AC33" i="1"/>
  <c r="Y33" i="1"/>
  <c r="Z33" i="1"/>
  <c r="AC32" i="1"/>
  <c r="Y32" i="1"/>
  <c r="W32" i="1"/>
  <c r="AC70" i="1"/>
  <c r="Y70" i="1"/>
  <c r="Z70" i="1"/>
  <c r="AC43" i="1"/>
  <c r="Y43" i="1"/>
  <c r="Z43" i="1"/>
  <c r="AC13" i="1"/>
  <c r="Y13" i="1"/>
  <c r="X13" i="1"/>
  <c r="AC9" i="1"/>
  <c r="Y9" i="1"/>
  <c r="X9" i="1"/>
  <c r="AC10" i="1"/>
  <c r="Y10" i="1"/>
  <c r="W10" i="1"/>
  <c r="AC58" i="1"/>
  <c r="Y58" i="1"/>
  <c r="AC82" i="1"/>
  <c r="Y82" i="1"/>
  <c r="W82" i="1"/>
  <c r="AC5" i="1"/>
  <c r="Y5" i="1"/>
  <c r="Z5" i="1"/>
  <c r="AC55" i="1"/>
  <c r="Y55" i="1"/>
  <c r="W55" i="1"/>
  <c r="AC94" i="1"/>
  <c r="Y94" i="1"/>
  <c r="X94" i="1"/>
  <c r="AC52" i="1"/>
  <c r="Y52" i="1"/>
  <c r="AC48" i="1"/>
  <c r="Y48" i="1"/>
  <c r="I14" i="186"/>
  <c r="Q7" i="973" s="1"/>
  <c r="I3" i="186"/>
  <c r="T2" i="186"/>
  <c r="S2" i="186"/>
  <c r="R2" i="186"/>
  <c r="Q2" i="186"/>
  <c r="P2" i="186"/>
  <c r="O2" i="186"/>
  <c r="I2" i="186"/>
  <c r="D3" i="757"/>
  <c r="C3" i="757"/>
  <c r="D2" i="757"/>
  <c r="D5" i="757" s="1"/>
  <c r="C2" i="757"/>
  <c r="C5" i="757" s="1"/>
  <c r="B2" i="757"/>
  <c r="B3" i="757" s="1"/>
  <c r="Y3" i="973"/>
  <c r="Y4" i="973"/>
  <c r="X7" i="973"/>
  <c r="AA71" i="1"/>
  <c r="V61" i="1"/>
  <c r="S3" i="973"/>
  <c r="AA68" i="1"/>
  <c r="X2" i="973"/>
  <c r="AA6" i="1"/>
  <c r="V27" i="1"/>
  <c r="H32" i="1"/>
  <c r="V77" i="1"/>
  <c r="AA17" i="1"/>
  <c r="AA88" i="1"/>
  <c r="AA64" i="1"/>
  <c r="V72" i="1"/>
  <c r="X5" i="973"/>
  <c r="V29" i="1"/>
  <c r="AA47" i="1"/>
  <c r="H70" i="1"/>
  <c r="AA32" i="1"/>
  <c r="V7" i="1"/>
  <c r="V33" i="1"/>
  <c r="H33" i="1"/>
  <c r="AA34" i="1"/>
  <c r="S7" i="973"/>
  <c r="Y7" i="973"/>
  <c r="V87" i="1"/>
  <c r="V22" i="1"/>
  <c r="AA55" i="1"/>
  <c r="G6" i="973"/>
  <c r="V84" i="1"/>
  <c r="AA50" i="1"/>
  <c r="V52" i="1"/>
  <c r="V5" i="1"/>
  <c r="S4" i="973"/>
  <c r="G4" i="973"/>
  <c r="X6" i="973"/>
  <c r="S2" i="973"/>
  <c r="S6" i="973"/>
  <c r="S5" i="973"/>
  <c r="X3" i="973"/>
  <c r="AA100" i="1"/>
  <c r="AA85" i="1"/>
  <c r="Y5" i="973"/>
  <c r="V24" i="1"/>
  <c r="AA99" i="1"/>
  <c r="X4" i="973"/>
  <c r="Y6" i="973"/>
  <c r="B24" i="917" l="1"/>
  <c r="F24" i="917" s="1"/>
  <c r="D38" i="918"/>
  <c r="B24" i="918"/>
  <c r="F24" i="918" s="1"/>
  <c r="L59" i="991"/>
  <c r="F20" i="918"/>
  <c r="D20" i="917"/>
  <c r="D4" i="757"/>
  <c r="D20" i="918"/>
  <c r="L59" i="990"/>
  <c r="L59" i="992"/>
  <c r="K59" i="986"/>
  <c r="K59" i="980"/>
  <c r="K59" i="981"/>
  <c r="K59" i="984"/>
  <c r="K59" i="975"/>
  <c r="K59" i="985"/>
  <c r="K59" i="982"/>
  <c r="M59" i="1006"/>
  <c r="B60" i="1006"/>
  <c r="B62" i="1006" s="1"/>
  <c r="M59" i="1005"/>
  <c r="B60" i="1005"/>
  <c r="B62" i="1005" s="1"/>
  <c r="M59" i="1004"/>
  <c r="B60" i="1004"/>
  <c r="B62" i="1004" s="1"/>
  <c r="M59" i="1003"/>
  <c r="B60" i="1003"/>
  <c r="B62" i="1003" s="1"/>
  <c r="M59" i="1002"/>
  <c r="B60" i="1002"/>
  <c r="B62" i="1002" s="1"/>
  <c r="M59" i="1001"/>
  <c r="B60" i="1001"/>
  <c r="B62" i="1001" s="1"/>
  <c r="M59" i="1000"/>
  <c r="B60" i="1000"/>
  <c r="B62" i="1000" s="1"/>
  <c r="M59" i="999"/>
  <c r="B60" i="999"/>
  <c r="B62" i="999" s="1"/>
  <c r="M59" i="998"/>
  <c r="B60" i="998"/>
  <c r="B62" i="998" s="1"/>
  <c r="M59" i="997"/>
  <c r="B60" i="997"/>
  <c r="B62" i="997" s="1"/>
  <c r="M58" i="996"/>
  <c r="B61" i="996" s="1"/>
  <c r="M57" i="996"/>
  <c r="M58" i="995"/>
  <c r="B61" i="995" s="1"/>
  <c r="M57" i="995"/>
  <c r="L59" i="994"/>
  <c r="M58" i="994"/>
  <c r="B61" i="994" s="1"/>
  <c r="M57" i="994"/>
  <c r="M58" i="993"/>
  <c r="B61" i="993" s="1"/>
  <c r="M57" i="993"/>
  <c r="M58" i="992"/>
  <c r="B61" i="992" s="1"/>
  <c r="M57" i="992"/>
  <c r="M58" i="991"/>
  <c r="B61" i="991" s="1"/>
  <c r="M57" i="991"/>
  <c r="M58" i="990"/>
  <c r="B61" i="990" s="1"/>
  <c r="M57" i="990"/>
  <c r="M58" i="989"/>
  <c r="B61" i="989" s="1"/>
  <c r="M57" i="989"/>
  <c r="L59" i="988"/>
  <c r="M58" i="988"/>
  <c r="B61" i="988" s="1"/>
  <c r="M57" i="988"/>
  <c r="L59" i="987"/>
  <c r="M58" i="987"/>
  <c r="B61" i="987" s="1"/>
  <c r="M57" i="987"/>
  <c r="D39" i="917"/>
  <c r="G39" i="917" s="1"/>
  <c r="C24" i="917"/>
  <c r="D24" i="917" s="1"/>
  <c r="F21" i="917"/>
  <c r="D36" i="917"/>
  <c r="G36" i="917" s="1"/>
  <c r="D38" i="917"/>
  <c r="G38" i="917" s="1"/>
  <c r="G37" i="917" s="1"/>
  <c r="K11" i="917"/>
  <c r="I11" i="917" s="1"/>
  <c r="G13" i="917"/>
  <c r="C13" i="917"/>
  <c r="F13" i="917"/>
  <c r="B13" i="917"/>
  <c r="E13" i="917"/>
  <c r="D13" i="917"/>
  <c r="F20" i="917"/>
  <c r="F19" i="917"/>
  <c r="F21" i="918"/>
  <c r="G36" i="918"/>
  <c r="G39" i="918"/>
  <c r="F19" i="918"/>
  <c r="F25" i="918"/>
  <c r="H45" i="918"/>
  <c r="K11" i="918"/>
  <c r="G38" i="918"/>
  <c r="G37" i="918" s="1"/>
  <c r="E13" i="918"/>
  <c r="D13" i="918"/>
  <c r="G13" i="918"/>
  <c r="C13" i="918"/>
  <c r="F13" i="918"/>
  <c r="B13" i="918"/>
  <c r="M56" i="986"/>
  <c r="L58" i="986"/>
  <c r="L57" i="986"/>
  <c r="M56" i="985"/>
  <c r="L58" i="985"/>
  <c r="L57" i="985"/>
  <c r="M56" i="984"/>
  <c r="L58" i="984"/>
  <c r="L57" i="984"/>
  <c r="L59" i="984" s="1"/>
  <c r="K59" i="983"/>
  <c r="M56" i="983"/>
  <c r="L58" i="983"/>
  <c r="L57" i="983"/>
  <c r="M56" i="982"/>
  <c r="L58" i="982"/>
  <c r="L57" i="982"/>
  <c r="M56" i="981"/>
  <c r="L58" i="981"/>
  <c r="L57" i="981"/>
  <c r="M56" i="980"/>
  <c r="L58" i="980"/>
  <c r="L57" i="980"/>
  <c r="M56" i="979"/>
  <c r="L58" i="979"/>
  <c r="L57" i="979"/>
  <c r="L59" i="979" s="1"/>
  <c r="K59" i="978"/>
  <c r="M56" i="978"/>
  <c r="L58" i="978"/>
  <c r="L57" i="978"/>
  <c r="L59" i="978" s="1"/>
  <c r="K59" i="977"/>
  <c r="M56" i="977"/>
  <c r="L58" i="977"/>
  <c r="L57" i="977"/>
  <c r="M56" i="976"/>
  <c r="L58" i="976"/>
  <c r="L57" i="976"/>
  <c r="M56" i="975"/>
  <c r="L58" i="975"/>
  <c r="L57" i="975"/>
  <c r="M56" i="974"/>
  <c r="L58" i="974"/>
  <c r="L57" i="974"/>
  <c r="L59" i="974" s="1"/>
  <c r="D39" i="873"/>
  <c r="G39" i="873" s="1"/>
  <c r="F19" i="873"/>
  <c r="F21" i="873"/>
  <c r="C24" i="873"/>
  <c r="D24" i="873" s="1"/>
  <c r="B25" i="873"/>
  <c r="B24" i="873"/>
  <c r="F24" i="873" s="1"/>
  <c r="D38" i="873"/>
  <c r="G38" i="873" s="1"/>
  <c r="D37" i="873"/>
  <c r="G37" i="873" s="1"/>
  <c r="G13" i="873"/>
  <c r="C13" i="873"/>
  <c r="D13" i="873"/>
  <c r="F13" i="873"/>
  <c r="B13" i="873"/>
  <c r="E13" i="873"/>
  <c r="D36" i="873"/>
  <c r="G36" i="873" s="1"/>
  <c r="C25" i="873"/>
  <c r="D25" i="873" s="1"/>
  <c r="L24" i="873"/>
  <c r="K11" i="873"/>
  <c r="I1" i="873" s="1"/>
  <c r="B64" i="918"/>
  <c r="L4" i="186"/>
  <c r="B56" i="918"/>
  <c r="C56" i="918" s="1"/>
  <c r="D20" i="873"/>
  <c r="F20" i="873" s="1"/>
  <c r="B56" i="917"/>
  <c r="B58" i="917" s="1"/>
  <c r="B56" i="873"/>
  <c r="B57" i="873" s="1"/>
  <c r="T5" i="973"/>
  <c r="T2" i="973"/>
  <c r="T3" i="973"/>
  <c r="T4" i="973"/>
  <c r="T6" i="973"/>
  <c r="T7" i="973"/>
  <c r="I4" i="186"/>
  <c r="I8" i="186" s="1"/>
  <c r="I9" i="186" s="1"/>
  <c r="B5" i="757"/>
  <c r="Z94" i="1"/>
  <c r="Z58" i="1"/>
  <c r="Z9" i="1"/>
  <c r="Z13" i="1"/>
  <c r="Z32" i="1"/>
  <c r="Z35" i="1"/>
  <c r="Z25" i="1"/>
  <c r="B4" i="757"/>
  <c r="W48" i="1"/>
  <c r="W94" i="1"/>
  <c r="W5" i="1"/>
  <c r="W58" i="1"/>
  <c r="W9" i="1"/>
  <c r="W13" i="1"/>
  <c r="W43" i="1"/>
  <c r="W70" i="1"/>
  <c r="W33" i="1"/>
  <c r="W35" i="1"/>
  <c r="C4" i="757"/>
  <c r="I48" i="1"/>
  <c r="T48" i="1"/>
  <c r="X48" i="1"/>
  <c r="I52" i="1"/>
  <c r="T52" i="1"/>
  <c r="X52" i="1"/>
  <c r="I94" i="1"/>
  <c r="T94" i="1"/>
  <c r="I55" i="1"/>
  <c r="T55" i="1"/>
  <c r="X55" i="1"/>
  <c r="I5" i="1"/>
  <c r="T5" i="1"/>
  <c r="X5" i="1"/>
  <c r="I82" i="1"/>
  <c r="T82" i="1"/>
  <c r="X82" i="1"/>
  <c r="I58" i="1"/>
  <c r="T58" i="1"/>
  <c r="X58" i="1"/>
  <c r="I10" i="1"/>
  <c r="T10" i="1"/>
  <c r="X10" i="1"/>
  <c r="I9" i="1"/>
  <c r="T9" i="1"/>
  <c r="I13" i="1"/>
  <c r="T13" i="1"/>
  <c r="I43" i="1"/>
  <c r="T43" i="1"/>
  <c r="X43" i="1"/>
  <c r="I70" i="1"/>
  <c r="T70" i="1"/>
  <c r="X70" i="1"/>
  <c r="I32" i="1"/>
  <c r="T32" i="1"/>
  <c r="X32" i="1"/>
  <c r="I33" i="1"/>
  <c r="T33" i="1"/>
  <c r="X33" i="1"/>
  <c r="I35" i="1"/>
  <c r="T35" i="1"/>
  <c r="I50" i="1"/>
  <c r="T50" i="1"/>
  <c r="X50" i="1"/>
  <c r="I25" i="1"/>
  <c r="T25" i="1"/>
  <c r="X25" i="1"/>
  <c r="T83" i="1"/>
  <c r="T45" i="1"/>
  <c r="T28" i="1"/>
  <c r="T65" i="1"/>
  <c r="T17" i="1"/>
  <c r="T98" i="1"/>
  <c r="T47" i="1"/>
  <c r="T49" i="1"/>
  <c r="T44" i="1"/>
  <c r="T37" i="1"/>
  <c r="T31" i="1"/>
  <c r="T88" i="1"/>
  <c r="T63" i="1"/>
  <c r="T3" i="1"/>
  <c r="T97" i="1"/>
  <c r="T57" i="1"/>
  <c r="T23" i="1"/>
  <c r="T4" i="1"/>
  <c r="T69" i="1"/>
  <c r="T61" i="1"/>
  <c r="T51" i="1"/>
  <c r="T96" i="1"/>
  <c r="T6" i="1"/>
  <c r="T73" i="1"/>
  <c r="T16" i="1"/>
  <c r="T67" i="1"/>
  <c r="T89" i="1"/>
  <c r="T68" i="1"/>
  <c r="T66" i="1"/>
  <c r="T86" i="1"/>
  <c r="T71" i="1"/>
  <c r="T39" i="1"/>
  <c r="T59" i="1"/>
  <c r="T14" i="1"/>
  <c r="T78" i="1"/>
  <c r="T15" i="1"/>
  <c r="T81" i="1"/>
  <c r="T56" i="1"/>
  <c r="T8" i="1"/>
  <c r="T60" i="1"/>
  <c r="T75" i="1"/>
  <c r="T72" i="1"/>
  <c r="T77" i="1"/>
  <c r="T79" i="1"/>
  <c r="T19" i="1"/>
  <c r="T93" i="1"/>
  <c r="T85" i="1"/>
  <c r="T7" i="1"/>
  <c r="T99" i="1"/>
  <c r="T27" i="1"/>
  <c r="T21" i="1"/>
  <c r="T64" i="1"/>
  <c r="T42" i="1"/>
  <c r="T29" i="1"/>
  <c r="T84" i="1"/>
  <c r="T74" i="1"/>
  <c r="T54" i="1"/>
  <c r="T11" i="1"/>
  <c r="T90" i="1"/>
  <c r="T95" i="1"/>
  <c r="T91" i="1"/>
  <c r="T12" i="1"/>
  <c r="T40" i="1"/>
  <c r="T87" i="1"/>
  <c r="T92" i="1"/>
  <c r="T18" i="1"/>
  <c r="T100" i="1"/>
  <c r="T36" i="1"/>
  <c r="T24" i="1"/>
  <c r="T2" i="1"/>
  <c r="T62" i="1"/>
  <c r="T76" i="1"/>
  <c r="T41" i="1"/>
  <c r="T34" i="1"/>
  <c r="T80" i="1"/>
  <c r="T20" i="1"/>
  <c r="T30" i="1"/>
  <c r="T53" i="1"/>
  <c r="T26" i="1"/>
  <c r="T38" i="1"/>
  <c r="T46" i="1"/>
  <c r="T22" i="1"/>
  <c r="H5" i="973"/>
  <c r="Q5" i="973"/>
  <c r="U5" i="973"/>
  <c r="H2" i="973"/>
  <c r="Q2" i="973"/>
  <c r="U2" i="973"/>
  <c r="H3" i="973"/>
  <c r="Q3" i="973"/>
  <c r="U3" i="973"/>
  <c r="H4" i="973"/>
  <c r="Q4" i="973"/>
  <c r="U4" i="973"/>
  <c r="H6" i="973"/>
  <c r="Q6" i="973"/>
  <c r="U6" i="973"/>
  <c r="H7" i="973"/>
  <c r="U7" i="973"/>
  <c r="Z52" i="1"/>
  <c r="Z10" i="1"/>
  <c r="W5" i="973"/>
  <c r="W2" i="973"/>
  <c r="W3" i="973"/>
  <c r="W4" i="973"/>
  <c r="W6" i="973"/>
  <c r="W7" i="973"/>
  <c r="Z48" i="1"/>
  <c r="Z55" i="1"/>
  <c r="Z82" i="1"/>
  <c r="Z50" i="1"/>
  <c r="W52" i="1"/>
  <c r="H48" i="918"/>
  <c r="H47" i="918"/>
  <c r="I45" i="918"/>
  <c r="F25" i="917"/>
  <c r="B57" i="918"/>
  <c r="B45" i="917"/>
  <c r="H45" i="917"/>
  <c r="M4" i="917"/>
  <c r="B45" i="918"/>
  <c r="B52" i="918" s="1"/>
  <c r="B58" i="873"/>
  <c r="C56" i="873"/>
  <c r="L21" i="873"/>
  <c r="I22" i="873"/>
  <c r="L23" i="873"/>
  <c r="N24" i="873"/>
  <c r="M4" i="873"/>
  <c r="N21" i="873"/>
  <c r="L22" i="873"/>
  <c r="N23" i="873"/>
  <c r="I25" i="873"/>
  <c r="F27" i="873" s="1"/>
  <c r="N22" i="873"/>
  <c r="I20" i="873" s="1"/>
  <c r="I24" i="873"/>
  <c r="F26" i="873" s="1"/>
  <c r="B45" i="873"/>
  <c r="H45" i="873"/>
  <c r="J20" i="873"/>
  <c r="I21" i="873"/>
  <c r="I23" i="873"/>
  <c r="AA2" i="1"/>
  <c r="V59" i="1"/>
  <c r="AA24" i="1"/>
  <c r="V66" i="1"/>
  <c r="V98" i="1"/>
  <c r="V50" i="1"/>
  <c r="V57" i="1"/>
  <c r="AA84" i="1"/>
  <c r="V80" i="1"/>
  <c r="AA11" i="1"/>
  <c r="V6" i="1"/>
  <c r="V88" i="1"/>
  <c r="V63" i="1"/>
  <c r="AA44" i="1"/>
  <c r="V99" i="1"/>
  <c r="V19" i="1"/>
  <c r="AA87" i="1"/>
  <c r="V12" i="1"/>
  <c r="AA76" i="1"/>
  <c r="V38" i="1"/>
  <c r="V100" i="1"/>
  <c r="AA67" i="1"/>
  <c r="AA95" i="1"/>
  <c r="V89" i="1"/>
  <c r="V91" i="1"/>
  <c r="V45" i="1"/>
  <c r="V14" i="1"/>
  <c r="V85" i="1"/>
  <c r="D24" i="918" l="1"/>
  <c r="B57" i="917"/>
  <c r="B59" i="917" s="1"/>
  <c r="L59" i="981"/>
  <c r="L59" i="976"/>
  <c r="L59" i="980"/>
  <c r="L59" i="975"/>
  <c r="K64" i="918"/>
  <c r="K65" i="918" s="1"/>
  <c r="M64" i="918"/>
  <c r="I64" i="918"/>
  <c r="I69" i="918" s="1"/>
  <c r="M4" i="918"/>
  <c r="J64" i="918"/>
  <c r="J67" i="918" s="1"/>
  <c r="L59" i="985"/>
  <c r="L59" i="982"/>
  <c r="M59" i="996"/>
  <c r="B60" i="996"/>
  <c r="B62" i="996" s="1"/>
  <c r="M59" i="995"/>
  <c r="B60" i="995"/>
  <c r="B62" i="995" s="1"/>
  <c r="M59" i="994"/>
  <c r="B60" i="994"/>
  <c r="B62" i="994" s="1"/>
  <c r="M59" i="993"/>
  <c r="B60" i="993"/>
  <c r="B62" i="993" s="1"/>
  <c r="M59" i="992"/>
  <c r="B60" i="992"/>
  <c r="B62" i="992" s="1"/>
  <c r="M59" i="991"/>
  <c r="B60" i="991"/>
  <c r="B62" i="991" s="1"/>
  <c r="M59" i="990"/>
  <c r="B60" i="990"/>
  <c r="B62" i="990" s="1"/>
  <c r="M59" i="989"/>
  <c r="B60" i="989"/>
  <c r="B62" i="989" s="1"/>
  <c r="M59" i="988"/>
  <c r="B60" i="988"/>
  <c r="B62" i="988" s="1"/>
  <c r="M59" i="987"/>
  <c r="B60" i="987"/>
  <c r="B62" i="987" s="1"/>
  <c r="B3" i="917"/>
  <c r="B3" i="918"/>
  <c r="I11" i="918"/>
  <c r="C52" i="918"/>
  <c r="B54" i="918"/>
  <c r="L59" i="986"/>
  <c r="M58" i="986"/>
  <c r="B61" i="986" s="1"/>
  <c r="M57" i="986"/>
  <c r="M58" i="985"/>
  <c r="B61" i="985" s="1"/>
  <c r="M57" i="985"/>
  <c r="M58" i="984"/>
  <c r="B61" i="984" s="1"/>
  <c r="M57" i="984"/>
  <c r="L59" i="983"/>
  <c r="M58" i="983"/>
  <c r="B61" i="983" s="1"/>
  <c r="M57" i="983"/>
  <c r="M58" i="982"/>
  <c r="B61" i="982" s="1"/>
  <c r="M57" i="982"/>
  <c r="M58" i="981"/>
  <c r="B61" i="981" s="1"/>
  <c r="M57" i="981"/>
  <c r="M58" i="980"/>
  <c r="B61" i="980" s="1"/>
  <c r="M57" i="980"/>
  <c r="M58" i="979"/>
  <c r="B61" i="979" s="1"/>
  <c r="M57" i="979"/>
  <c r="M58" i="978"/>
  <c r="B61" i="978" s="1"/>
  <c r="M57" i="978"/>
  <c r="L59" i="977"/>
  <c r="M58" i="977"/>
  <c r="B61" i="977" s="1"/>
  <c r="M57" i="977"/>
  <c r="M58" i="976"/>
  <c r="B61" i="976" s="1"/>
  <c r="M57" i="976"/>
  <c r="M58" i="975"/>
  <c r="B61" i="975" s="1"/>
  <c r="M57" i="975"/>
  <c r="M58" i="974"/>
  <c r="B61" i="974" s="1"/>
  <c r="M57" i="974"/>
  <c r="F25" i="873"/>
  <c r="J19" i="873"/>
  <c r="C56" i="917"/>
  <c r="C57" i="917" s="1"/>
  <c r="E64" i="918"/>
  <c r="E66" i="918" s="1"/>
  <c r="D64" i="918"/>
  <c r="B58" i="918"/>
  <c r="D71" i="918"/>
  <c r="A16" i="918"/>
  <c r="L64" i="918"/>
  <c r="F3" i="918"/>
  <c r="F71" i="918"/>
  <c r="F75" i="918" s="1"/>
  <c r="D3" i="918"/>
  <c r="C64" i="918"/>
  <c r="F64" i="918"/>
  <c r="C71" i="918"/>
  <c r="C75" i="918" s="1"/>
  <c r="B71" i="918"/>
  <c r="B75" i="918" s="1"/>
  <c r="E71" i="918"/>
  <c r="E75" i="918" s="1"/>
  <c r="A16" i="873"/>
  <c r="L14" i="873"/>
  <c r="I11" i="873"/>
  <c r="A16" i="917"/>
  <c r="B3" i="873"/>
  <c r="L5" i="186"/>
  <c r="L6" i="186" s="1"/>
  <c r="L7" i="186" s="1"/>
  <c r="B48" i="918"/>
  <c r="B47" i="918"/>
  <c r="B46" i="918"/>
  <c r="B53" i="918" s="1"/>
  <c r="C45" i="918"/>
  <c r="C72" i="918"/>
  <c r="I45" i="917"/>
  <c r="H48" i="917"/>
  <c r="H47" i="917"/>
  <c r="B72" i="918"/>
  <c r="E74" i="918"/>
  <c r="E73" i="918"/>
  <c r="E72" i="918"/>
  <c r="D56" i="918"/>
  <c r="C58" i="918"/>
  <c r="C57" i="918"/>
  <c r="J45" i="918"/>
  <c r="I48" i="918"/>
  <c r="I47" i="918"/>
  <c r="I45" i="873"/>
  <c r="H48" i="873"/>
  <c r="H47" i="873"/>
  <c r="H46" i="873"/>
  <c r="L66" i="918"/>
  <c r="L65" i="918"/>
  <c r="L67" i="918"/>
  <c r="L68" i="918"/>
  <c r="L69" i="918"/>
  <c r="K69" i="918"/>
  <c r="K66" i="918"/>
  <c r="K67" i="918"/>
  <c r="K68" i="918"/>
  <c r="C45" i="917"/>
  <c r="B52" i="917"/>
  <c r="B48" i="917"/>
  <c r="B47" i="917"/>
  <c r="B46" i="917"/>
  <c r="J69" i="918"/>
  <c r="J66" i="918"/>
  <c r="J65" i="918"/>
  <c r="M67" i="918"/>
  <c r="M68" i="918"/>
  <c r="M66" i="918"/>
  <c r="M65" i="918"/>
  <c r="I5" i="186"/>
  <c r="I6" i="186" s="1"/>
  <c r="I7" i="186" s="1"/>
  <c r="C45" i="873"/>
  <c r="B52" i="873"/>
  <c r="B48" i="873"/>
  <c r="B47" i="873"/>
  <c r="B46" i="873"/>
  <c r="E71" i="873"/>
  <c r="M64" i="873"/>
  <c r="O64" i="873" s="1"/>
  <c r="I64" i="873"/>
  <c r="C64" i="873"/>
  <c r="F3" i="873"/>
  <c r="D71" i="873"/>
  <c r="L64" i="873"/>
  <c r="N64" i="873" s="1"/>
  <c r="F64" i="873"/>
  <c r="B64" i="873"/>
  <c r="D3" i="873"/>
  <c r="C71" i="873"/>
  <c r="K64" i="873"/>
  <c r="E64" i="873"/>
  <c r="F71" i="873"/>
  <c r="B71" i="873"/>
  <c r="J64" i="873"/>
  <c r="D64" i="873"/>
  <c r="D56" i="873"/>
  <c r="C58" i="873"/>
  <c r="C57" i="873"/>
  <c r="E67" i="918"/>
  <c r="D68" i="918"/>
  <c r="D67" i="918"/>
  <c r="D66" i="918"/>
  <c r="D65" i="918"/>
  <c r="I67" i="918"/>
  <c r="I68" i="918"/>
  <c r="I66" i="918"/>
  <c r="I65" i="918"/>
  <c r="B59" i="918"/>
  <c r="B59" i="873"/>
  <c r="B67" i="918"/>
  <c r="B66" i="918"/>
  <c r="B65" i="918"/>
  <c r="B68" i="918"/>
  <c r="F71" i="917"/>
  <c r="B71" i="917"/>
  <c r="J64" i="917"/>
  <c r="D64" i="917"/>
  <c r="D3" i="917"/>
  <c r="E71" i="917"/>
  <c r="M64" i="917"/>
  <c r="I64" i="917"/>
  <c r="C64" i="917"/>
  <c r="D71" i="917"/>
  <c r="L64" i="917"/>
  <c r="F64" i="917"/>
  <c r="B64" i="917"/>
  <c r="C71" i="917"/>
  <c r="K64" i="917"/>
  <c r="E64" i="917"/>
  <c r="F3" i="917"/>
  <c r="F73" i="918"/>
  <c r="F72" i="918"/>
  <c r="F74" i="918"/>
  <c r="C67" i="918"/>
  <c r="C66" i="918"/>
  <c r="C65" i="918"/>
  <c r="C68" i="918"/>
  <c r="H50" i="918"/>
  <c r="K2" i="973"/>
  <c r="K6" i="973"/>
  <c r="K4" i="973"/>
  <c r="J68" i="918" l="1"/>
  <c r="E65" i="918"/>
  <c r="C73" i="918"/>
  <c r="C76" i="918" s="1"/>
  <c r="C74" i="918"/>
  <c r="B74" i="918"/>
  <c r="D56" i="917"/>
  <c r="C58" i="917"/>
  <c r="C59" i="917" s="1"/>
  <c r="B73" i="918"/>
  <c r="C52" i="917"/>
  <c r="B54" i="917"/>
  <c r="D52" i="918"/>
  <c r="C54" i="918"/>
  <c r="M59" i="986"/>
  <c r="B60" i="986"/>
  <c r="B62" i="986" s="1"/>
  <c r="M59" i="985"/>
  <c r="B60" i="985"/>
  <c r="B62" i="985" s="1"/>
  <c r="M59" i="984"/>
  <c r="B60" i="984"/>
  <c r="B62" i="984" s="1"/>
  <c r="M59" i="983"/>
  <c r="B60" i="983"/>
  <c r="B62" i="983" s="1"/>
  <c r="M59" i="982"/>
  <c r="B60" i="982"/>
  <c r="B62" i="982" s="1"/>
  <c r="M59" i="981"/>
  <c r="B60" i="981"/>
  <c r="B62" i="981" s="1"/>
  <c r="M59" i="980"/>
  <c r="B60" i="980"/>
  <c r="B62" i="980" s="1"/>
  <c r="M59" i="979"/>
  <c r="B60" i="979"/>
  <c r="B62" i="979" s="1"/>
  <c r="M59" i="978"/>
  <c r="B60" i="978"/>
  <c r="B62" i="978" s="1"/>
  <c r="M59" i="977"/>
  <c r="B60" i="977"/>
  <c r="B62" i="977" s="1"/>
  <c r="M59" i="976"/>
  <c r="B60" i="976"/>
  <c r="B62" i="976" s="1"/>
  <c r="M59" i="975"/>
  <c r="B60" i="975"/>
  <c r="B62" i="975" s="1"/>
  <c r="M59" i="974"/>
  <c r="B60" i="974"/>
  <c r="B62" i="974" s="1"/>
  <c r="C59" i="873"/>
  <c r="D75" i="918"/>
  <c r="D74" i="918"/>
  <c r="D73" i="918"/>
  <c r="D72" i="918"/>
  <c r="O67" i="873"/>
  <c r="O68" i="873"/>
  <c r="O65" i="873"/>
  <c r="O66" i="873"/>
  <c r="N65" i="873"/>
  <c r="N67" i="873"/>
  <c r="N68" i="873"/>
  <c r="N66" i="873"/>
  <c r="C52" i="873"/>
  <c r="B54" i="873"/>
  <c r="E76" i="918"/>
  <c r="D67" i="917"/>
  <c r="D66" i="917"/>
  <c r="D65" i="917"/>
  <c r="D68" i="917"/>
  <c r="C74" i="917"/>
  <c r="C73" i="917"/>
  <c r="C72" i="917"/>
  <c r="C75" i="917"/>
  <c r="D73" i="917"/>
  <c r="D72" i="917"/>
  <c r="D75" i="917"/>
  <c r="D74" i="917"/>
  <c r="E72" i="917"/>
  <c r="E75" i="917"/>
  <c r="E74" i="917"/>
  <c r="E73" i="917"/>
  <c r="B75" i="917"/>
  <c r="B74" i="917"/>
  <c r="B73" i="917"/>
  <c r="B72" i="917"/>
  <c r="D69" i="918"/>
  <c r="B74" i="873"/>
  <c r="B73" i="873"/>
  <c r="B72" i="873"/>
  <c r="B75" i="873"/>
  <c r="C73" i="873"/>
  <c r="C72" i="873"/>
  <c r="C75" i="873"/>
  <c r="C74" i="873"/>
  <c r="L65" i="873"/>
  <c r="L68" i="873"/>
  <c r="L67" i="873"/>
  <c r="L66" i="873"/>
  <c r="C65" i="873"/>
  <c r="C68" i="873"/>
  <c r="C67" i="873"/>
  <c r="C66" i="873"/>
  <c r="I69" i="917"/>
  <c r="I66" i="917"/>
  <c r="I65" i="917"/>
  <c r="I67" i="917"/>
  <c r="I68" i="917"/>
  <c r="B68" i="917"/>
  <c r="B67" i="917"/>
  <c r="B66" i="917"/>
  <c r="B65" i="917"/>
  <c r="C67" i="917"/>
  <c r="C66" i="917"/>
  <c r="C65" i="917"/>
  <c r="C68" i="917"/>
  <c r="F75" i="917"/>
  <c r="F74" i="917"/>
  <c r="F73" i="917"/>
  <c r="F72" i="917"/>
  <c r="B69" i="918"/>
  <c r="F74" i="873"/>
  <c r="F73" i="873"/>
  <c r="F72" i="873"/>
  <c r="F75" i="873"/>
  <c r="D72" i="873"/>
  <c r="D75" i="873"/>
  <c r="D74" i="873"/>
  <c r="D73" i="873"/>
  <c r="I68" i="873"/>
  <c r="I67" i="873"/>
  <c r="I66" i="873"/>
  <c r="I69" i="873"/>
  <c r="I65" i="873"/>
  <c r="B50" i="873"/>
  <c r="B49" i="873"/>
  <c r="B44" i="873" s="1"/>
  <c r="E56" i="917"/>
  <c r="D58" i="917"/>
  <c r="D57" i="917"/>
  <c r="B53" i="917"/>
  <c r="D45" i="917"/>
  <c r="C48" i="917"/>
  <c r="C47" i="917"/>
  <c r="C46" i="917"/>
  <c r="I50" i="918"/>
  <c r="I44" i="918" s="1"/>
  <c r="C59" i="918"/>
  <c r="B50" i="918"/>
  <c r="B49" i="918"/>
  <c r="E56" i="873"/>
  <c r="D58" i="873"/>
  <c r="D57" i="873"/>
  <c r="G65" i="873" s="1"/>
  <c r="D68" i="873"/>
  <c r="D67" i="873"/>
  <c r="D66" i="873"/>
  <c r="D65" i="873"/>
  <c r="E67" i="873"/>
  <c r="E66" i="873"/>
  <c r="E65" i="873"/>
  <c r="E68" i="873"/>
  <c r="B66" i="873"/>
  <c r="B65" i="873"/>
  <c r="B68" i="873"/>
  <c r="B67" i="873"/>
  <c r="M68" i="873"/>
  <c r="M67" i="873"/>
  <c r="M66" i="873"/>
  <c r="M65" i="873"/>
  <c r="H50" i="873"/>
  <c r="H49" i="873"/>
  <c r="H51" i="873" s="1"/>
  <c r="K45" i="918"/>
  <c r="J48" i="918"/>
  <c r="J47" i="918"/>
  <c r="H50" i="917"/>
  <c r="D45" i="918"/>
  <c r="C48" i="918"/>
  <c r="C47" i="918"/>
  <c r="C46" i="918"/>
  <c r="E67" i="917"/>
  <c r="E66" i="917"/>
  <c r="E65" i="917"/>
  <c r="C69" i="918"/>
  <c r="D116" i="918" s="1"/>
  <c r="K67" i="917"/>
  <c r="K68" i="917"/>
  <c r="K69" i="917"/>
  <c r="K66" i="917"/>
  <c r="K65" i="917"/>
  <c r="L68" i="917"/>
  <c r="L66" i="917"/>
  <c r="L65" i="917"/>
  <c r="L69" i="917" s="1"/>
  <c r="L67" i="917"/>
  <c r="M66" i="917"/>
  <c r="M65" i="917"/>
  <c r="M67" i="917"/>
  <c r="M68" i="917"/>
  <c r="J66" i="917"/>
  <c r="J65" i="917"/>
  <c r="J67" i="917"/>
  <c r="J68" i="917"/>
  <c r="J69" i="917"/>
  <c r="H44" i="918"/>
  <c r="J67" i="873"/>
  <c r="J66" i="873"/>
  <c r="J69" i="873"/>
  <c r="J65" i="873"/>
  <c r="J68" i="873"/>
  <c r="K66" i="873"/>
  <c r="K69" i="873"/>
  <c r="K65" i="873"/>
  <c r="K68" i="873"/>
  <c r="K67" i="873"/>
  <c r="E75" i="873"/>
  <c r="E74" i="873"/>
  <c r="E73" i="873"/>
  <c r="E72" i="873"/>
  <c r="B53" i="873"/>
  <c r="C48" i="873"/>
  <c r="C47" i="873"/>
  <c r="C46" i="873"/>
  <c r="D45" i="873"/>
  <c r="B50" i="917"/>
  <c r="B49" i="917"/>
  <c r="B44" i="917" s="1"/>
  <c r="I48" i="873"/>
  <c r="I47" i="873"/>
  <c r="I46" i="873"/>
  <c r="J45" i="873"/>
  <c r="E56" i="918"/>
  <c r="D58" i="918"/>
  <c r="D57" i="918"/>
  <c r="J45" i="917"/>
  <c r="I48" i="917"/>
  <c r="I47" i="917"/>
  <c r="B44" i="918"/>
  <c r="Y2" i="973"/>
  <c r="E116" i="918" l="1"/>
  <c r="B76" i="918"/>
  <c r="F65" i="873"/>
  <c r="L69" i="873"/>
  <c r="B69" i="917"/>
  <c r="D52" i="917"/>
  <c r="C54" i="917"/>
  <c r="D76" i="918"/>
  <c r="E52" i="918"/>
  <c r="E54" i="918" s="1"/>
  <c r="D54" i="918"/>
  <c r="G67" i="873"/>
  <c r="G66" i="873"/>
  <c r="D76" i="873"/>
  <c r="G68" i="873"/>
  <c r="D52" i="873"/>
  <c r="C54" i="873"/>
  <c r="B76" i="917"/>
  <c r="V74" i="1"/>
  <c r="K7" i="973"/>
  <c r="E52" i="917" l="1"/>
  <c r="E54" i="917" s="1"/>
  <c r="D54" i="917"/>
  <c r="A54" i="918"/>
  <c r="E52" i="873"/>
  <c r="E54" i="873" s="1"/>
  <c r="D54" i="873"/>
  <c r="V54" i="1"/>
  <c r="V15" i="1"/>
  <c r="V44" i="1"/>
  <c r="K3" i="973"/>
  <c r="A54" i="917" l="1"/>
  <c r="A54" i="873"/>
  <c r="I50" i="917"/>
  <c r="I44" i="917" s="1"/>
  <c r="I50" i="873"/>
  <c r="I44" i="873" s="1"/>
  <c r="I49" i="873"/>
  <c r="I51" i="873" s="1"/>
  <c r="C50" i="873"/>
  <c r="C51" i="873" s="1"/>
  <c r="C49" i="873"/>
  <c r="C44" i="873" s="1"/>
  <c r="E45" i="918"/>
  <c r="D48" i="918"/>
  <c r="D47" i="918"/>
  <c r="D46" i="918"/>
  <c r="J50" i="918"/>
  <c r="B51" i="918"/>
  <c r="C76" i="873"/>
  <c r="C76" i="917"/>
  <c r="J48" i="917"/>
  <c r="J47" i="917"/>
  <c r="K45" i="917"/>
  <c r="D59" i="918"/>
  <c r="K45" i="873"/>
  <c r="J48" i="873"/>
  <c r="J47" i="873"/>
  <c r="J46" i="873"/>
  <c r="E45" i="873"/>
  <c r="D48" i="873"/>
  <c r="D47" i="873"/>
  <c r="D46" i="873"/>
  <c r="K48" i="918"/>
  <c r="K47" i="918"/>
  <c r="D59" i="873"/>
  <c r="D59" i="917"/>
  <c r="B51" i="873"/>
  <c r="D76" i="917"/>
  <c r="E53" i="873"/>
  <c r="E76" i="873"/>
  <c r="E69" i="873"/>
  <c r="H44" i="873"/>
  <c r="C50" i="917"/>
  <c r="C49" i="917"/>
  <c r="C44" i="917" s="1"/>
  <c r="C69" i="917"/>
  <c r="D116" i="917" s="1"/>
  <c r="E76" i="917"/>
  <c r="D69" i="917"/>
  <c r="E116" i="917" s="1"/>
  <c r="E58" i="918"/>
  <c r="E57" i="918"/>
  <c r="F56" i="918"/>
  <c r="C50" i="918"/>
  <c r="C49" i="918"/>
  <c r="C44" i="918" s="1"/>
  <c r="J44" i="918"/>
  <c r="M62" i="918"/>
  <c r="B51" i="917"/>
  <c r="B69" i="873"/>
  <c r="D69" i="873"/>
  <c r="F56" i="873"/>
  <c r="E58" i="873"/>
  <c r="E57" i="873"/>
  <c r="H44" i="917"/>
  <c r="D48" i="917"/>
  <c r="D47" i="917"/>
  <c r="D46" i="917"/>
  <c r="E45" i="917"/>
  <c r="F56" i="917"/>
  <c r="E58" i="917"/>
  <c r="E57" i="917"/>
  <c r="C69" i="873"/>
  <c r="D142" i="873" s="1"/>
  <c r="B76" i="873"/>
  <c r="V64" i="1"/>
  <c r="V28" i="1"/>
  <c r="V68" i="1"/>
  <c r="AA77" i="1"/>
  <c r="K5" i="973"/>
  <c r="E142" i="873" l="1"/>
  <c r="E59" i="917"/>
  <c r="M14" i="873"/>
  <c r="E59" i="873"/>
  <c r="F68" i="873"/>
  <c r="F66" i="873"/>
  <c r="F67" i="873"/>
  <c r="F58" i="873"/>
  <c r="F57" i="873"/>
  <c r="G56" i="873"/>
  <c r="G56" i="918"/>
  <c r="F58" i="918"/>
  <c r="F57" i="918"/>
  <c r="E40" i="873"/>
  <c r="F6" i="873" s="1"/>
  <c r="F142" i="873"/>
  <c r="J15" i="873" s="1"/>
  <c r="C51" i="917"/>
  <c r="D53" i="873"/>
  <c r="J50" i="873"/>
  <c r="J44" i="873" s="1"/>
  <c r="J49" i="873"/>
  <c r="J51" i="873" s="1"/>
  <c r="K48" i="917"/>
  <c r="K47" i="917"/>
  <c r="E48" i="918"/>
  <c r="E47" i="918"/>
  <c r="E46" i="918"/>
  <c r="E59" i="918"/>
  <c r="C51" i="918"/>
  <c r="K48" i="873"/>
  <c r="K47" i="873"/>
  <c r="K46" i="873"/>
  <c r="J62" i="873" s="1"/>
  <c r="D62" i="918"/>
  <c r="N5" i="918" s="1"/>
  <c r="G56" i="917"/>
  <c r="F58" i="917"/>
  <c r="F57" i="917"/>
  <c r="D50" i="917"/>
  <c r="D51" i="917" s="1"/>
  <c r="D49" i="917"/>
  <c r="D44" i="917" s="1"/>
  <c r="K6" i="917" s="1"/>
  <c r="B33" i="873"/>
  <c r="C40" i="873"/>
  <c r="B40" i="873"/>
  <c r="C142" i="873"/>
  <c r="K50" i="918"/>
  <c r="G66" i="918" s="1"/>
  <c r="G65" i="918" s="1"/>
  <c r="D50" i="873"/>
  <c r="D51" i="873" s="1"/>
  <c r="D49" i="873"/>
  <c r="D44" i="873" s="1"/>
  <c r="K6" i="873" s="1"/>
  <c r="E48" i="917"/>
  <c r="E47" i="917"/>
  <c r="E46" i="917"/>
  <c r="D62" i="917"/>
  <c r="N5" i="917" s="1"/>
  <c r="E48" i="873"/>
  <c r="E47" i="873"/>
  <c r="E46" i="873"/>
  <c r="J50" i="917"/>
  <c r="N62" i="918"/>
  <c r="D50" i="918"/>
  <c r="D49" i="918"/>
  <c r="M62" i="873"/>
  <c r="V20" i="1"/>
  <c r="AA86" i="1"/>
  <c r="AB92" i="1"/>
  <c r="V60" i="1"/>
  <c r="V55" i="1"/>
  <c r="E68" i="918" l="1"/>
  <c r="E69" i="918" s="1"/>
  <c r="F65" i="918"/>
  <c r="E15" i="917"/>
  <c r="D15" i="917"/>
  <c r="C15" i="917"/>
  <c r="F15" i="917"/>
  <c r="B15" i="917"/>
  <c r="I9" i="917"/>
  <c r="E15" i="918"/>
  <c r="D15" i="918"/>
  <c r="B15" i="918"/>
  <c r="C15" i="918"/>
  <c r="F15" i="918"/>
  <c r="I9" i="918"/>
  <c r="E53" i="918"/>
  <c r="C53" i="918"/>
  <c r="D53" i="918"/>
  <c r="G14" i="873"/>
  <c r="E14" i="873"/>
  <c r="B14" i="873"/>
  <c r="F14" i="873"/>
  <c r="C14" i="873"/>
  <c r="D14" i="873"/>
  <c r="I13" i="873"/>
  <c r="F59" i="917"/>
  <c r="I6" i="917" s="1"/>
  <c r="V82" i="1"/>
  <c r="AB76" i="1"/>
  <c r="V8" i="1"/>
  <c r="K33" i="1"/>
  <c r="V26" i="1"/>
  <c r="J6" i="973"/>
  <c r="V93" i="1"/>
  <c r="V79" i="1"/>
  <c r="V16" i="1"/>
  <c r="V34" i="1"/>
  <c r="K32" i="1"/>
  <c r="AA15" i="1"/>
  <c r="AA19" i="1"/>
  <c r="L89" i="1"/>
  <c r="V62" i="1"/>
  <c r="AA20" i="1"/>
  <c r="AB79" i="1"/>
  <c r="V3" i="1"/>
  <c r="AA54" i="1"/>
  <c r="V48" i="1"/>
  <c r="J4" i="973"/>
  <c r="F116" i="918" l="1"/>
  <c r="J15" i="918" s="1"/>
  <c r="M14" i="918"/>
  <c r="B40" i="918"/>
  <c r="B33" i="918"/>
  <c r="E40" i="918"/>
  <c r="F6" i="918" s="1"/>
  <c r="C40" i="918"/>
  <c r="A53" i="918"/>
  <c r="N6" i="918" s="1"/>
  <c r="V30" i="1"/>
  <c r="AA53" i="1"/>
  <c r="AB17" i="1"/>
  <c r="V42" i="1"/>
  <c r="V56" i="1"/>
  <c r="V51" i="1"/>
  <c r="AA10" i="1"/>
  <c r="AA91" i="1"/>
  <c r="AA25" i="1"/>
  <c r="AB21" i="1"/>
  <c r="V90" i="1"/>
  <c r="L66" i="1"/>
  <c r="AA23" i="1"/>
  <c r="AB19" i="1"/>
  <c r="V96" i="1"/>
  <c r="AA75" i="1"/>
  <c r="V69" i="1"/>
  <c r="V53" i="1"/>
  <c r="AB42" i="1"/>
  <c r="AA38" i="1"/>
  <c r="N2" i="973"/>
  <c r="I13" i="918" l="1"/>
  <c r="I15" i="918"/>
  <c r="B14" i="918"/>
  <c r="E14" i="918"/>
  <c r="F34" i="918"/>
  <c r="D14" i="918"/>
  <c r="C14" i="918"/>
  <c r="G14" i="918"/>
  <c r="F14" i="918"/>
  <c r="F33" i="918"/>
  <c r="B5" i="918" s="1"/>
  <c r="D40" i="918"/>
  <c r="G40" i="918" s="1"/>
  <c r="B4" i="918" s="1"/>
  <c r="K9" i="918"/>
  <c r="V46" i="1"/>
  <c r="V76" i="1"/>
  <c r="V18" i="1"/>
  <c r="V41" i="1"/>
  <c r="AA45" i="1"/>
  <c r="V4" i="1"/>
  <c r="L94" i="1"/>
  <c r="V83" i="1"/>
  <c r="AA8" i="1"/>
  <c r="V70" i="1"/>
  <c r="L58" i="1"/>
  <c r="L45" i="1"/>
  <c r="V35" i="1"/>
  <c r="L71" i="1"/>
  <c r="AB51" i="1"/>
  <c r="L68" i="1"/>
  <c r="AB46" i="1"/>
  <c r="J32" i="1"/>
  <c r="AA27" i="1"/>
  <c r="V43" i="1"/>
  <c r="AB82" i="1"/>
  <c r="L63" i="1"/>
  <c r="AB5" i="1"/>
  <c r="N64" i="1"/>
  <c r="L5" i="1"/>
  <c r="L40" i="1"/>
  <c r="V2" i="1"/>
  <c r="L57" i="1"/>
  <c r="AA69" i="1"/>
  <c r="AB15" i="1"/>
  <c r="AB99" i="1"/>
  <c r="AB24" i="1"/>
  <c r="AA61" i="1"/>
  <c r="R32" i="1"/>
  <c r="AA52" i="1"/>
  <c r="AA82" i="1"/>
  <c r="L76" i="1"/>
  <c r="AA73" i="1"/>
  <c r="F66" i="918" l="1"/>
  <c r="F68" i="918"/>
  <c r="F67" i="918"/>
  <c r="E50" i="873"/>
  <c r="H62" i="873" s="1"/>
  <c r="E49" i="873"/>
  <c r="E44" i="873" s="1"/>
  <c r="H56" i="918"/>
  <c r="G58" i="918"/>
  <c r="G57" i="918"/>
  <c r="F59" i="873"/>
  <c r="I6" i="873" s="1"/>
  <c r="D51" i="918"/>
  <c r="D40" i="873"/>
  <c r="G40" i="873" s="1"/>
  <c r="B4" i="873" s="1"/>
  <c r="K44" i="918"/>
  <c r="G62" i="917"/>
  <c r="F69" i="873"/>
  <c r="C53" i="873"/>
  <c r="D62" i="873"/>
  <c r="N5" i="873" s="1"/>
  <c r="E50" i="917"/>
  <c r="E51" i="917" s="1"/>
  <c r="E49" i="917"/>
  <c r="E44" i="917" s="1"/>
  <c r="F33" i="873"/>
  <c r="F34" i="873"/>
  <c r="G58" i="917"/>
  <c r="G57" i="917"/>
  <c r="H56" i="917"/>
  <c r="K50" i="873"/>
  <c r="K44" i="873" s="1"/>
  <c r="K49" i="873"/>
  <c r="K51" i="873" s="1"/>
  <c r="G62" i="918"/>
  <c r="I14" i="918" s="1"/>
  <c r="K50" i="917"/>
  <c r="G66" i="917" s="1"/>
  <c r="G65" i="917" s="1"/>
  <c r="F59" i="918"/>
  <c r="I6" i="918" s="1"/>
  <c r="E51" i="873"/>
  <c r="J44" i="917"/>
  <c r="G62" i="873"/>
  <c r="I14" i="873" s="1"/>
  <c r="D44" i="918"/>
  <c r="K6" i="918" s="1"/>
  <c r="E50" i="918"/>
  <c r="H62" i="918" s="1"/>
  <c r="E49" i="918"/>
  <c r="E62" i="918" s="1"/>
  <c r="H56" i="873"/>
  <c r="G58" i="873"/>
  <c r="G57" i="873"/>
  <c r="M62" i="917"/>
  <c r="AB95" i="1"/>
  <c r="L4" i="973"/>
  <c r="AB29" i="1"/>
  <c r="L90" i="1"/>
  <c r="L41" i="1"/>
  <c r="L7" i="973"/>
  <c r="L27" i="1"/>
  <c r="P75" i="1"/>
  <c r="M65" i="1"/>
  <c r="L16" i="1"/>
  <c r="AB40" i="1"/>
  <c r="S92" i="1"/>
  <c r="AB35" i="1"/>
  <c r="V97" i="1"/>
  <c r="O5" i="973"/>
  <c r="M6" i="1"/>
  <c r="V40" i="1"/>
  <c r="V95" i="1"/>
  <c r="L93" i="1"/>
  <c r="AB22" i="1"/>
  <c r="M74" i="1"/>
  <c r="AB37" i="1"/>
  <c r="L87" i="1"/>
  <c r="L84" i="1"/>
  <c r="AB96" i="1"/>
  <c r="L53" i="1"/>
  <c r="M89" i="1"/>
  <c r="L7" i="1"/>
  <c r="AB57" i="1"/>
  <c r="P31" i="1"/>
  <c r="AB25" i="1"/>
  <c r="AB9" i="1"/>
  <c r="M59" i="1"/>
  <c r="AA59" i="1"/>
  <c r="V13" i="1"/>
  <c r="V58" i="1"/>
  <c r="P45" i="1"/>
  <c r="S62" i="1"/>
  <c r="AB87" i="1"/>
  <c r="AA12" i="1"/>
  <c r="L56" i="1"/>
  <c r="AB85" i="1"/>
  <c r="S54" i="1"/>
  <c r="L15" i="1"/>
  <c r="AB28" i="1"/>
  <c r="AA39" i="1"/>
  <c r="AB78" i="1"/>
  <c r="L52" i="1"/>
  <c r="AA57" i="1"/>
  <c r="O6" i="973"/>
  <c r="L85" i="1"/>
  <c r="AB86" i="1"/>
  <c r="AB34" i="1"/>
  <c r="L75" i="1"/>
  <c r="AB38" i="1"/>
  <c r="M21" i="1"/>
  <c r="AB64" i="1"/>
  <c r="L4" i="1"/>
  <c r="AA37" i="1"/>
  <c r="P18" i="1"/>
  <c r="AA98" i="1"/>
  <c r="L9" i="1"/>
  <c r="L42" i="1"/>
  <c r="L36" i="1"/>
  <c r="L2" i="1"/>
  <c r="AB50" i="1"/>
  <c r="P93" i="1"/>
  <c r="V86" i="1"/>
  <c r="AB69" i="1"/>
  <c r="V78" i="1"/>
  <c r="AA51" i="1"/>
  <c r="L31" i="1"/>
  <c r="L60" i="1"/>
  <c r="L17" i="1"/>
  <c r="AA26" i="1"/>
  <c r="L8" i="1"/>
  <c r="M14" i="1"/>
  <c r="AB89" i="1"/>
  <c r="M51" i="1"/>
  <c r="AB16" i="1"/>
  <c r="AB27" i="1"/>
  <c r="AA5" i="1"/>
  <c r="AA35" i="1"/>
  <c r="AB23" i="1"/>
  <c r="AA16" i="1"/>
  <c r="M86" i="1"/>
  <c r="AB33" i="1"/>
  <c r="AB80" i="1"/>
  <c r="L92" i="1"/>
  <c r="AA93" i="1"/>
  <c r="V65" i="1"/>
  <c r="V11" i="1"/>
  <c r="V67" i="1"/>
  <c r="L50" i="1"/>
  <c r="P55" i="1"/>
  <c r="L77" i="1"/>
  <c r="V37" i="1"/>
  <c r="AB93" i="1"/>
  <c r="L13" i="1"/>
  <c r="AB84" i="1"/>
  <c r="AB49" i="1"/>
  <c r="L3" i="1"/>
  <c r="AA80" i="1"/>
  <c r="L35" i="1"/>
  <c r="V73" i="1"/>
  <c r="AA7" i="1"/>
  <c r="AB94" i="1"/>
  <c r="S99" i="1"/>
  <c r="AB53" i="1"/>
  <c r="AA92" i="1"/>
  <c r="M64" i="1"/>
  <c r="AB71" i="1"/>
  <c r="AA21" i="1"/>
  <c r="AA60" i="1"/>
  <c r="AA9" i="1"/>
  <c r="L98" i="1"/>
  <c r="M47" i="1"/>
  <c r="M96" i="1"/>
  <c r="AB26" i="1"/>
  <c r="AA96" i="1"/>
  <c r="M57" i="1"/>
  <c r="L47" i="1"/>
  <c r="L32" i="1"/>
  <c r="AB47" i="1"/>
  <c r="V21" i="1"/>
  <c r="AA79" i="1"/>
  <c r="AA3" i="1"/>
  <c r="L83" i="1"/>
  <c r="L33" i="1"/>
  <c r="L96" i="1"/>
  <c r="AA22" i="1"/>
  <c r="L88" i="1"/>
  <c r="V75" i="1"/>
  <c r="AA74" i="1"/>
  <c r="L54" i="1"/>
  <c r="L24" i="1"/>
  <c r="AA46" i="1"/>
  <c r="P89" i="1"/>
  <c r="AB77" i="1"/>
  <c r="L62" i="1"/>
  <c r="AA31" i="1"/>
  <c r="L44" i="1"/>
  <c r="N93" i="1"/>
  <c r="L28" i="1"/>
  <c r="L97" i="1"/>
  <c r="S61" i="1"/>
  <c r="V32" i="1"/>
  <c r="L61" i="1"/>
  <c r="AA28" i="1"/>
  <c r="M85" i="1"/>
  <c r="M52" i="1"/>
  <c r="P53" i="1"/>
  <c r="AB6" i="1"/>
  <c r="S91" i="1"/>
  <c r="P60" i="1"/>
  <c r="L43" i="1"/>
  <c r="AA78" i="1"/>
  <c r="AB8" i="1"/>
  <c r="L65" i="1"/>
  <c r="L69" i="1"/>
  <c r="M68" i="1"/>
  <c r="P73" i="1"/>
  <c r="AA43" i="1"/>
  <c r="AB72" i="1"/>
  <c r="L19" i="1"/>
  <c r="AA49" i="1"/>
  <c r="AB43" i="1"/>
  <c r="AB32" i="1"/>
  <c r="S18" i="1"/>
  <c r="AB100" i="1"/>
  <c r="AA56" i="1"/>
  <c r="V9" i="1"/>
  <c r="S68" i="1"/>
  <c r="M3" i="973"/>
  <c r="AB60" i="1"/>
  <c r="L70" i="1"/>
  <c r="L14" i="1"/>
  <c r="AB55" i="1"/>
  <c r="L79" i="1"/>
  <c r="V23" i="1"/>
  <c r="L95" i="1"/>
  <c r="AA72" i="1"/>
  <c r="AA83" i="1"/>
  <c r="M4" i="973"/>
  <c r="E62" i="917" l="1"/>
  <c r="E68" i="917"/>
  <c r="E69" i="917" s="1"/>
  <c r="F65" i="917"/>
  <c r="E62" i="873"/>
  <c r="K62" i="873"/>
  <c r="G59" i="918"/>
  <c r="N4" i="873"/>
  <c r="N3" i="873"/>
  <c r="N62" i="873"/>
  <c r="M73" i="1"/>
  <c r="M60" i="1"/>
  <c r="AB67" i="1"/>
  <c r="L48" i="1"/>
  <c r="AA14" i="1"/>
  <c r="AB30" i="1"/>
  <c r="AB65" i="1"/>
  <c r="AA97" i="1"/>
  <c r="AA66" i="1"/>
  <c r="V17" i="1"/>
  <c r="L30" i="1"/>
  <c r="N55" i="1"/>
  <c r="V25" i="1"/>
  <c r="P27" i="1"/>
  <c r="M12" i="1"/>
  <c r="AB36" i="1"/>
  <c r="AB4" i="1"/>
  <c r="AB90" i="1"/>
  <c r="P2" i="1"/>
  <c r="L74" i="1"/>
  <c r="AA30" i="1"/>
  <c r="AA70" i="1"/>
  <c r="M48" i="1"/>
  <c r="L73" i="1"/>
  <c r="N24" i="1"/>
  <c r="O6" i="1"/>
  <c r="N94" i="1"/>
  <c r="AB61" i="1"/>
  <c r="AA58" i="1"/>
  <c r="L38" i="1"/>
  <c r="N51" i="1"/>
  <c r="O31" i="1"/>
  <c r="AB20" i="1"/>
  <c r="AA40" i="1"/>
  <c r="L11" i="1"/>
  <c r="AB74" i="1"/>
  <c r="L59" i="1"/>
  <c r="AA13" i="1"/>
  <c r="L10" i="1"/>
  <c r="N89" i="1"/>
  <c r="AB75" i="1"/>
  <c r="M15" i="1"/>
  <c r="L78" i="1"/>
  <c r="AB39" i="1"/>
  <c r="V81" i="1"/>
  <c r="L21" i="1"/>
  <c r="L46" i="1"/>
  <c r="AB18" i="1"/>
  <c r="P22" i="1"/>
  <c r="M90" i="1"/>
  <c r="L51" i="1"/>
  <c r="L22" i="1"/>
  <c r="V10" i="1"/>
  <c r="AB11" i="1"/>
  <c r="AB54" i="1"/>
  <c r="AA48" i="1"/>
  <c r="L34" i="1"/>
  <c r="L6" i="1"/>
  <c r="L86" i="1"/>
  <c r="N67" i="1"/>
  <c r="L18" i="1"/>
  <c r="P8" i="1"/>
  <c r="AB10" i="1"/>
  <c r="N60" i="1"/>
  <c r="M34" i="1"/>
  <c r="AB88" i="1"/>
  <c r="V49" i="1"/>
  <c r="AB48" i="1"/>
  <c r="L20" i="1"/>
  <c r="S29" i="1"/>
  <c r="L23" i="1"/>
  <c r="AA33" i="1"/>
  <c r="AB98" i="1"/>
  <c r="L12" i="1"/>
  <c r="P42" i="1"/>
  <c r="V94" i="1"/>
  <c r="P30" i="1"/>
  <c r="AA90" i="1"/>
  <c r="M67" i="1"/>
  <c r="AB59" i="1"/>
  <c r="AA63" i="1"/>
  <c r="O49" i="1"/>
  <c r="M38" i="1"/>
  <c r="M44" i="1"/>
  <c r="L26" i="1"/>
  <c r="AA29" i="1"/>
  <c r="AB58" i="1"/>
  <c r="V92" i="1"/>
  <c r="AA4" i="1"/>
  <c r="AB31" i="1"/>
  <c r="V31" i="1"/>
  <c r="L67" i="1"/>
  <c r="AB45" i="1"/>
  <c r="AB44" i="1"/>
  <c r="AB14" i="1"/>
  <c r="AA41" i="1"/>
  <c r="V36" i="1"/>
  <c r="AA81" i="1"/>
  <c r="L91" i="1"/>
  <c r="AA65" i="1"/>
  <c r="N6" i="973"/>
  <c r="M32" i="1"/>
  <c r="AB83" i="1"/>
  <c r="L82" i="1"/>
  <c r="L64" i="1"/>
  <c r="AB73" i="1"/>
  <c r="AB63" i="1"/>
  <c r="AB56" i="1"/>
  <c r="AB70" i="1"/>
  <c r="L80" i="1"/>
  <c r="L99" i="1"/>
  <c r="L5" i="973"/>
  <c r="M14" i="917" l="1"/>
  <c r="F116" i="917"/>
  <c r="J15" i="917" s="1"/>
  <c r="B33" i="917"/>
  <c r="E40" i="917"/>
  <c r="F6" i="917" s="1"/>
  <c r="C40" i="917"/>
  <c r="B40" i="917"/>
  <c r="E15" i="873"/>
  <c r="D15" i="873"/>
  <c r="B15" i="873"/>
  <c r="F15" i="873"/>
  <c r="C15" i="873"/>
  <c r="I9" i="873"/>
  <c r="I15" i="873"/>
  <c r="D16" i="873"/>
  <c r="F16" i="873"/>
  <c r="E16" i="873"/>
  <c r="C16" i="873"/>
  <c r="B16" i="873"/>
  <c r="F69" i="918"/>
  <c r="F66" i="917"/>
  <c r="F68" i="917"/>
  <c r="F67" i="917"/>
  <c r="E53" i="917"/>
  <c r="D53" i="917"/>
  <c r="C53" i="917"/>
  <c r="G59" i="873"/>
  <c r="K44" i="917"/>
  <c r="E44" i="918"/>
  <c r="H62" i="917"/>
  <c r="I56" i="918"/>
  <c r="H58" i="918"/>
  <c r="H57" i="918"/>
  <c r="E51" i="918"/>
  <c r="A53" i="873"/>
  <c r="N6" i="873" s="1"/>
  <c r="N62" i="917"/>
  <c r="I56" i="917"/>
  <c r="H58" i="917"/>
  <c r="H57" i="917"/>
  <c r="B5" i="873"/>
  <c r="I56" i="873"/>
  <c r="H58" i="873"/>
  <c r="H57" i="873"/>
  <c r="G59" i="917"/>
  <c r="AA18" i="1"/>
  <c r="N3" i="1"/>
  <c r="AA42" i="1"/>
  <c r="AB52" i="1"/>
  <c r="AB81" i="1"/>
  <c r="AB7" i="1"/>
  <c r="L29" i="1"/>
  <c r="M23" i="1"/>
  <c r="V39" i="1"/>
  <c r="AB2" i="1"/>
  <c r="AA89" i="1"/>
  <c r="V71" i="1"/>
  <c r="AB91" i="1"/>
  <c r="D40" i="917" l="1"/>
  <c r="G40" i="917" s="1"/>
  <c r="B4" i="917" s="1"/>
  <c r="C14" i="917"/>
  <c r="D14" i="917"/>
  <c r="B14" i="917"/>
  <c r="E14" i="917"/>
  <c r="G14" i="917"/>
  <c r="F14" i="917"/>
  <c r="F33" i="917"/>
  <c r="F34" i="917"/>
  <c r="I13" i="917"/>
  <c r="I14" i="917" s="1"/>
  <c r="I15" i="917"/>
  <c r="L39" i="1"/>
  <c r="Q70" i="1"/>
  <c r="K70" i="1"/>
  <c r="L55" i="1"/>
  <c r="M33" i="1"/>
  <c r="AB13" i="1"/>
  <c r="AA36" i="1"/>
  <c r="L6" i="973"/>
  <c r="AB66" i="1"/>
  <c r="AA62" i="1"/>
  <c r="P59" i="1"/>
  <c r="AB68" i="1"/>
  <c r="AA94" i="1"/>
  <c r="AB41" i="1"/>
  <c r="M24" i="1"/>
  <c r="P11" i="1"/>
  <c r="V47" i="1"/>
  <c r="L25" i="1"/>
  <c r="AB12" i="1"/>
  <c r="L37" i="1"/>
  <c r="N96" i="1"/>
  <c r="L81" i="1"/>
  <c r="P62" i="1"/>
  <c r="P51" i="1"/>
  <c r="N34" i="1"/>
  <c r="L49" i="1"/>
  <c r="L72" i="1"/>
  <c r="AB3" i="1"/>
  <c r="AB97" i="1"/>
  <c r="J70" i="1"/>
  <c r="M88" i="1"/>
  <c r="I6" i="973"/>
  <c r="B5" i="917" l="1"/>
  <c r="L100" i="1"/>
  <c r="M83" i="1"/>
  <c r="AB62" i="1"/>
  <c r="M80" i="1"/>
  <c r="N46" i="1"/>
  <c r="P10" i="1"/>
  <c r="L3" i="973"/>
  <c r="F23" i="186" l="1"/>
  <c r="F24" i="186"/>
  <c r="P71" i="1"/>
  <c r="J33" i="1"/>
  <c r="R70" i="1"/>
  <c r="P3" i="1"/>
  <c r="O54" i="1"/>
  <c r="N7" i="973"/>
  <c r="N4" i="918" l="1"/>
  <c r="N3" i="918"/>
  <c r="H59" i="873"/>
  <c r="K9" i="873"/>
  <c r="J17" i="873"/>
  <c r="J16" i="873"/>
  <c r="K3" i="873"/>
  <c r="K4" i="873" s="1"/>
  <c r="J3" i="873"/>
  <c r="J4" i="873" s="1"/>
  <c r="I3" i="873"/>
  <c r="D16" i="918"/>
  <c r="B16" i="918"/>
  <c r="C16" i="918"/>
  <c r="F16" i="918"/>
  <c r="E16" i="918"/>
  <c r="F69" i="917"/>
  <c r="J56" i="873"/>
  <c r="I58" i="873"/>
  <c r="I57" i="873"/>
  <c r="J56" i="917"/>
  <c r="I58" i="917"/>
  <c r="I57" i="917"/>
  <c r="I58" i="918"/>
  <c r="I57" i="918"/>
  <c r="J56" i="918"/>
  <c r="A53" i="917"/>
  <c r="N6" i="917" s="1"/>
  <c r="H59" i="917"/>
  <c r="H59" i="918"/>
  <c r="N88" i="1"/>
  <c r="S74" i="1"/>
  <c r="Q32" i="1"/>
  <c r="R33" i="1"/>
  <c r="M97" i="1"/>
  <c r="P54" i="1"/>
  <c r="N79" i="1"/>
  <c r="P90" i="1"/>
  <c r="N19" i="1"/>
  <c r="M78" i="1"/>
  <c r="M7" i="1"/>
  <c r="P91" i="1"/>
  <c r="O29" i="1"/>
  <c r="S36" i="1"/>
  <c r="P15" i="1"/>
  <c r="N3" i="917" l="1"/>
  <c r="N4" i="917"/>
  <c r="K9" i="917"/>
  <c r="I4" i="873"/>
  <c r="J16" i="918"/>
  <c r="J3" i="918"/>
  <c r="J4" i="918" s="1"/>
  <c r="I3" i="918"/>
  <c r="K3" i="918"/>
  <c r="K4" i="918" s="1"/>
  <c r="D16" i="917"/>
  <c r="E16" i="917"/>
  <c r="C16" i="917"/>
  <c r="B16" i="917"/>
  <c r="F16" i="917"/>
  <c r="I59" i="918"/>
  <c r="S15" i="1"/>
  <c r="N83" i="1"/>
  <c r="O76" i="1"/>
  <c r="P82" i="1"/>
  <c r="O71" i="1"/>
  <c r="S38" i="1"/>
  <c r="S10" i="1"/>
  <c r="S49" i="1"/>
  <c r="S24" i="1"/>
  <c r="N47" i="1"/>
  <c r="S3" i="1"/>
  <c r="N52" i="1"/>
  <c r="S75" i="1"/>
  <c r="S2" i="1"/>
  <c r="O28" i="1"/>
  <c r="S28" i="1"/>
  <c r="N32" i="1"/>
  <c r="M98" i="1"/>
  <c r="M39" i="1"/>
  <c r="N68" i="1"/>
  <c r="P37" i="1"/>
  <c r="M26" i="1"/>
  <c r="S20" i="1"/>
  <c r="S90" i="1"/>
  <c r="S71" i="1"/>
  <c r="N49" i="1"/>
  <c r="Q33" i="1"/>
  <c r="J16" i="917" l="1"/>
  <c r="I4" i="918"/>
  <c r="K3" i="917"/>
  <c r="K4" i="917" s="1"/>
  <c r="J3" i="917"/>
  <c r="J4" i="917" s="1"/>
  <c r="I3" i="917"/>
  <c r="I59" i="873"/>
  <c r="J58" i="873"/>
  <c r="J57" i="873"/>
  <c r="K56" i="873"/>
  <c r="K56" i="918"/>
  <c r="J58" i="918"/>
  <c r="J57" i="918"/>
  <c r="K56" i="917"/>
  <c r="J58" i="917"/>
  <c r="J57" i="917"/>
  <c r="I59" i="917"/>
  <c r="M71" i="1"/>
  <c r="S50" i="1"/>
  <c r="M11" i="1"/>
  <c r="J59" i="917" l="1"/>
  <c r="J59" i="873"/>
  <c r="I4" i="917"/>
  <c r="L56" i="918"/>
  <c r="K58" i="918"/>
  <c r="K57" i="918"/>
  <c r="K58" i="917"/>
  <c r="K57" i="917"/>
  <c r="L56" i="917"/>
  <c r="J59" i="918"/>
  <c r="L56" i="873"/>
  <c r="K58" i="873"/>
  <c r="K57" i="873"/>
  <c r="K59" i="873" l="1"/>
  <c r="K59" i="918"/>
  <c r="M56" i="917"/>
  <c r="L58" i="917"/>
  <c r="L57" i="917"/>
  <c r="K59" i="917"/>
  <c r="M56" i="918"/>
  <c r="L58" i="918"/>
  <c r="L57" i="918"/>
  <c r="M56" i="873"/>
  <c r="L58" i="873"/>
  <c r="L57" i="873"/>
  <c r="L59" i="917" l="1"/>
  <c r="L59" i="873"/>
  <c r="M58" i="873"/>
  <c r="B61" i="873" s="1"/>
  <c r="M57" i="873"/>
  <c r="L59" i="918"/>
  <c r="M58" i="917"/>
  <c r="B61" i="917" s="1"/>
  <c r="M57" i="917"/>
  <c r="M58" i="918"/>
  <c r="B61" i="918" s="1"/>
  <c r="M57" i="918"/>
  <c r="F1" i="186" l="1"/>
  <c r="M59" i="873"/>
  <c r="B60" i="873"/>
  <c r="B62" i="873" s="1"/>
  <c r="M59" i="918"/>
  <c r="B60" i="918"/>
  <c r="B62" i="918" s="1"/>
  <c r="M59" i="917"/>
  <c r="B60" i="917"/>
  <c r="B62" i="917" s="1"/>
  <c r="F3" i="186" l="1"/>
  <c r="M2" i="973"/>
  <c r="P26" i="1"/>
  <c r="O63" i="1"/>
  <c r="N73" i="1"/>
  <c r="P81" i="1"/>
  <c r="S73" i="1"/>
  <c r="S67" i="1"/>
  <c r="O44" i="1"/>
  <c r="O60" i="1"/>
  <c r="U18" i="1"/>
  <c r="O74" i="1"/>
  <c r="M91" i="1"/>
  <c r="I7" i="973"/>
  <c r="M35" i="1"/>
  <c r="P9" i="1"/>
  <c r="U24" i="1"/>
  <c r="S45" i="1"/>
  <c r="M42" i="1"/>
  <c r="S46" i="1"/>
  <c r="N53" i="1"/>
  <c r="O55" i="1"/>
  <c r="O77" i="1"/>
  <c r="N12" i="1"/>
  <c r="U95" i="1"/>
  <c r="U69" i="1"/>
  <c r="M62" i="1"/>
  <c r="P38" i="1"/>
  <c r="U47" i="1"/>
  <c r="O97" i="1"/>
  <c r="S76" i="1"/>
  <c r="U5" i="1"/>
  <c r="M72" i="1"/>
  <c r="P5" i="1"/>
  <c r="N27" i="1"/>
  <c r="S65" i="1"/>
  <c r="S63" i="1"/>
  <c r="O68" i="1"/>
  <c r="U81" i="1"/>
  <c r="U30" i="1"/>
  <c r="S44" i="1"/>
  <c r="O99" i="1"/>
  <c r="U10" i="1"/>
  <c r="U46" i="1"/>
  <c r="N57" i="1"/>
  <c r="S80" i="1"/>
  <c r="U58" i="1"/>
  <c r="O14" i="1"/>
  <c r="N61" i="1"/>
  <c r="M77" i="1"/>
  <c r="O82" i="1"/>
  <c r="S97" i="1"/>
  <c r="S88" i="1"/>
  <c r="U36" i="1"/>
  <c r="S26" i="1"/>
  <c r="N31" i="1"/>
  <c r="O45" i="1"/>
  <c r="N80" i="1"/>
  <c r="N54" i="1"/>
  <c r="U74" i="1"/>
  <c r="M37" i="1"/>
  <c r="U63" i="1"/>
  <c r="N23" i="1"/>
  <c r="O56" i="1"/>
  <c r="S57" i="1"/>
  <c r="S41" i="1"/>
  <c r="U6" i="1"/>
  <c r="M45" i="1"/>
  <c r="P65" i="1"/>
  <c r="U29" i="1"/>
  <c r="M4" i="1"/>
  <c r="U68" i="1"/>
  <c r="N21" i="1"/>
  <c r="N74" i="1"/>
  <c r="N6" i="1"/>
  <c r="O65" i="1"/>
  <c r="M27" i="1"/>
  <c r="U53" i="1"/>
  <c r="O73" i="1"/>
  <c r="R6" i="973"/>
  <c r="P94" i="1"/>
  <c r="N36" i="1"/>
  <c r="U13" i="1"/>
  <c r="O2" i="973"/>
  <c r="U34" i="1"/>
  <c r="N33" i="1"/>
  <c r="O33" i="1"/>
  <c r="U87" i="1"/>
  <c r="U56" i="1"/>
  <c r="N7" i="1"/>
  <c r="M41" i="1"/>
  <c r="S33" i="1"/>
  <c r="R5" i="973"/>
  <c r="O79" i="1"/>
  <c r="U96" i="1"/>
  <c r="O66" i="1"/>
  <c r="S72" i="1"/>
  <c r="P21" i="1"/>
  <c r="N41" i="1"/>
  <c r="N5" i="1"/>
  <c r="S79" i="1"/>
  <c r="P87" i="1"/>
  <c r="P7" i="973"/>
  <c r="U67" i="1"/>
  <c r="S86" i="1"/>
  <c r="U79" i="1"/>
  <c r="S66" i="1"/>
  <c r="M16" i="1"/>
  <c r="S11" i="1"/>
  <c r="U52" i="1"/>
  <c r="I2" i="973"/>
  <c r="U65" i="1"/>
  <c r="P40" i="1"/>
  <c r="N95" i="1"/>
  <c r="O20" i="1"/>
  <c r="S27" i="1"/>
  <c r="O18" i="1"/>
  <c r="O34" i="1"/>
  <c r="S84" i="1"/>
  <c r="P76" i="1"/>
  <c r="O93" i="1"/>
  <c r="U26" i="1"/>
  <c r="S17" i="1"/>
  <c r="P84" i="1"/>
  <c r="O53" i="1"/>
  <c r="N35" i="1"/>
  <c r="N76" i="1"/>
  <c r="U51" i="1"/>
  <c r="U66" i="1"/>
  <c r="O40" i="1"/>
  <c r="S51" i="1"/>
  <c r="O47" i="1"/>
  <c r="S98" i="1"/>
  <c r="N59" i="1"/>
  <c r="O42" i="1"/>
  <c r="P47" i="1"/>
  <c r="P7" i="1"/>
  <c r="M87" i="1"/>
  <c r="N81" i="1"/>
  <c r="N84" i="1"/>
  <c r="P56" i="1"/>
  <c r="S56" i="1"/>
  <c r="P92" i="1"/>
  <c r="M66" i="1"/>
  <c r="M17" i="1"/>
  <c r="L2" i="973"/>
  <c r="O86" i="1"/>
  <c r="N86" i="1"/>
  <c r="P44" i="1"/>
  <c r="N13" i="1"/>
  <c r="O64" i="1"/>
  <c r="P98" i="1"/>
  <c r="P5" i="973"/>
  <c r="P78" i="1"/>
  <c r="P16" i="1"/>
  <c r="U2" i="1"/>
  <c r="P50" i="1"/>
  <c r="S70" i="1"/>
  <c r="P39" i="1"/>
  <c r="R4" i="973"/>
  <c r="N29" i="1"/>
  <c r="M43" i="1"/>
  <c r="S12" i="1"/>
  <c r="U31" i="1"/>
  <c r="M7" i="973"/>
  <c r="P57" i="1"/>
  <c r="U11" i="1"/>
  <c r="M70" i="1"/>
  <c r="P77" i="1"/>
  <c r="S31" i="1"/>
  <c r="N18" i="1"/>
  <c r="O4" i="1"/>
  <c r="N75" i="1"/>
  <c r="O59" i="1"/>
  <c r="M58" i="1"/>
  <c r="U41" i="1"/>
  <c r="U9" i="1"/>
  <c r="N3" i="973"/>
  <c r="N28" i="1"/>
  <c r="U32" i="1"/>
  <c r="P34" i="1"/>
  <c r="M79" i="1"/>
  <c r="U48" i="1"/>
  <c r="S40" i="1"/>
  <c r="S85" i="1"/>
  <c r="S42" i="1"/>
  <c r="N99" i="1"/>
  <c r="M55" i="1"/>
  <c r="U83" i="1"/>
  <c r="O37" i="1"/>
  <c r="O98" i="1"/>
  <c r="N26" i="1"/>
  <c r="O51" i="1"/>
  <c r="M94" i="1"/>
  <c r="P80" i="1"/>
  <c r="O78" i="1"/>
  <c r="N77" i="1"/>
  <c r="N17" i="1"/>
  <c r="U61" i="1"/>
  <c r="U54" i="1"/>
  <c r="O39" i="1"/>
  <c r="S87" i="1"/>
  <c r="U15" i="1"/>
  <c r="U23" i="1"/>
  <c r="S48" i="1"/>
  <c r="U35" i="1"/>
  <c r="O89" i="1"/>
  <c r="S19" i="1"/>
  <c r="M25" i="1"/>
  <c r="S22" i="1"/>
  <c r="U77" i="1"/>
  <c r="S35" i="1"/>
  <c r="O19" i="1"/>
  <c r="M63" i="1"/>
  <c r="P61" i="1"/>
  <c r="N97" i="1"/>
  <c r="R2" i="973"/>
  <c r="U70" i="1"/>
  <c r="O52" i="1"/>
  <c r="P6" i="1"/>
  <c r="M50" i="1"/>
  <c r="S94" i="1"/>
  <c r="M36" i="1"/>
  <c r="P97" i="1"/>
  <c r="S78" i="1"/>
  <c r="S6" i="1"/>
  <c r="P74" i="1"/>
  <c r="O21" i="1"/>
  <c r="N48" i="1"/>
  <c r="O69" i="1"/>
  <c r="O90" i="1"/>
  <c r="M10" i="1"/>
  <c r="N4" i="1"/>
  <c r="O87" i="1"/>
  <c r="M6" i="973"/>
  <c r="S9" i="1"/>
  <c r="M54" i="1"/>
  <c r="S25" i="1"/>
  <c r="M22" i="1"/>
  <c r="O25" i="1"/>
  <c r="M95" i="1"/>
  <c r="P3" i="973"/>
  <c r="S93" i="1"/>
  <c r="U91" i="1"/>
  <c r="P86" i="1"/>
  <c r="I5" i="973"/>
  <c r="O12" i="1"/>
  <c r="U50" i="1"/>
  <c r="N63" i="1"/>
  <c r="N2" i="1"/>
  <c r="U28" i="1"/>
  <c r="U84" i="1"/>
  <c r="O83" i="1"/>
  <c r="P28" i="1"/>
  <c r="U49" i="1"/>
  <c r="O2" i="1"/>
  <c r="I3" i="973"/>
  <c r="P85" i="1"/>
  <c r="S47" i="1"/>
  <c r="M61" i="1"/>
  <c r="S64" i="1"/>
  <c r="N30" i="1"/>
  <c r="O3" i="1"/>
  <c r="P4" i="1"/>
  <c r="N50" i="1"/>
  <c r="S81" i="1"/>
  <c r="M20" i="1"/>
  <c r="O96" i="1"/>
  <c r="N14" i="1"/>
  <c r="O10" i="1"/>
  <c r="N40" i="1"/>
  <c r="O50" i="1"/>
  <c r="N44" i="1"/>
  <c r="U7" i="1"/>
  <c r="N65" i="1"/>
  <c r="U39" i="1"/>
  <c r="U44" i="1"/>
  <c r="N16" i="1"/>
  <c r="U14" i="1"/>
  <c r="O95" i="1"/>
  <c r="P88" i="1"/>
  <c r="N98" i="1"/>
  <c r="O81" i="1"/>
  <c r="S83" i="1"/>
  <c r="S16" i="1"/>
  <c r="N38" i="1"/>
  <c r="N42" i="1"/>
  <c r="M30" i="1"/>
  <c r="U55" i="1"/>
  <c r="M49" i="1"/>
  <c r="M5" i="1"/>
  <c r="P19" i="1"/>
  <c r="I4" i="973"/>
  <c r="O30" i="1"/>
  <c r="O3" i="973"/>
  <c r="O84" i="1"/>
  <c r="P64" i="1"/>
  <c r="O5" i="1"/>
  <c r="U16" i="1"/>
  <c r="O72" i="1"/>
  <c r="U92" i="1"/>
  <c r="M100" i="1"/>
  <c r="M53" i="1"/>
  <c r="M8" i="1"/>
  <c r="O100" i="1"/>
  <c r="N11" i="1"/>
  <c r="R3" i="973"/>
  <c r="N45" i="1"/>
  <c r="P17" i="1"/>
  <c r="N39" i="1"/>
  <c r="O88" i="1"/>
  <c r="O27" i="1"/>
  <c r="O48" i="1"/>
  <c r="P58" i="1"/>
  <c r="M19" i="1"/>
  <c r="M46" i="1"/>
  <c r="N71" i="1"/>
  <c r="U37" i="1"/>
  <c r="S53" i="1"/>
  <c r="O17" i="1"/>
  <c r="N9" i="1"/>
  <c r="O43" i="1"/>
  <c r="M2" i="1"/>
  <c r="O80" i="1"/>
  <c r="U85" i="1"/>
  <c r="S77" i="1"/>
  <c r="M18" i="1"/>
  <c r="P72" i="1"/>
  <c r="R7" i="973"/>
  <c r="O46" i="1"/>
  <c r="U73" i="1"/>
  <c r="N4" i="973"/>
  <c r="U59" i="1"/>
  <c r="N15" i="1"/>
  <c r="N82" i="1"/>
  <c r="U88" i="1"/>
  <c r="U57" i="1"/>
  <c r="O92" i="1"/>
  <c r="N92" i="1"/>
  <c r="M76" i="1"/>
  <c r="N8" i="1"/>
  <c r="S8" i="1"/>
  <c r="O8" i="1"/>
  <c r="U94" i="1"/>
  <c r="O7" i="1"/>
  <c r="M84" i="1"/>
  <c r="U8" i="1"/>
  <c r="N22" i="1"/>
  <c r="O26" i="1"/>
  <c r="S7" i="1"/>
  <c r="N5" i="973"/>
  <c r="S34" i="1"/>
  <c r="P49" i="1"/>
  <c r="P100" i="1"/>
  <c r="O94" i="1"/>
  <c r="P67" i="1"/>
  <c r="P79" i="1"/>
  <c r="N91" i="1"/>
  <c r="U4" i="1"/>
  <c r="P66" i="1"/>
  <c r="P14" i="1"/>
  <c r="O41" i="1"/>
  <c r="N43" i="1"/>
  <c r="U3" i="1"/>
  <c r="U80" i="1"/>
  <c r="U45" i="1"/>
  <c r="O58" i="1"/>
  <c r="O23" i="1"/>
  <c r="N58" i="1"/>
  <c r="N69" i="1"/>
  <c r="N37" i="1"/>
  <c r="S37" i="1"/>
  <c r="P52" i="1"/>
  <c r="S21" i="1"/>
  <c r="S23" i="1"/>
  <c r="U17" i="1"/>
  <c r="M81" i="1"/>
  <c r="N10" i="1"/>
  <c r="O91" i="1"/>
  <c r="P12" i="1"/>
  <c r="O67" i="1"/>
  <c r="P63" i="1"/>
  <c r="S4" i="1"/>
  <c r="S43" i="1"/>
  <c r="M13" i="1"/>
  <c r="O9" i="1"/>
  <c r="N20" i="1"/>
  <c r="S55" i="1"/>
  <c r="P69" i="1"/>
  <c r="P41" i="1"/>
  <c r="U100" i="1"/>
  <c r="P68" i="1"/>
  <c r="M3" i="1"/>
  <c r="S52" i="1"/>
  <c r="U78" i="1"/>
  <c r="M40" i="1"/>
  <c r="N25" i="1"/>
  <c r="O75" i="1"/>
  <c r="P23" i="1"/>
  <c r="P32" i="1"/>
  <c r="O70" i="1"/>
  <c r="S60" i="1"/>
  <c r="S96" i="1"/>
  <c r="N66" i="1"/>
  <c r="S95" i="1"/>
  <c r="S59" i="1"/>
  <c r="N78" i="1"/>
  <c r="P95" i="1"/>
  <c r="S89" i="1"/>
  <c r="N62" i="1"/>
  <c r="M31" i="1"/>
  <c r="O38" i="1"/>
  <c r="O36" i="1"/>
  <c r="O11" i="1"/>
  <c r="P25" i="1"/>
  <c r="U38" i="1"/>
  <c r="U22" i="1"/>
  <c r="M69" i="1"/>
  <c r="P96" i="1"/>
  <c r="U20" i="1"/>
  <c r="U25" i="1"/>
  <c r="P83" i="1"/>
  <c r="M92" i="1"/>
  <c r="U12" i="1"/>
  <c r="P2" i="973"/>
  <c r="P13" i="1"/>
  <c r="P4" i="973"/>
  <c r="U82" i="1"/>
  <c r="P99" i="1"/>
  <c r="O4" i="973"/>
  <c r="N87" i="1"/>
  <c r="U64" i="1"/>
  <c r="P33" i="1"/>
  <c r="N100" i="1"/>
  <c r="U33" i="1"/>
  <c r="U19" i="1"/>
  <c r="P6" i="973"/>
  <c r="S30" i="1"/>
  <c r="S58" i="1"/>
  <c r="O85" i="1"/>
  <c r="S5" i="1"/>
  <c r="P24" i="1"/>
  <c r="S13" i="1"/>
  <c r="O13" i="1"/>
  <c r="P46" i="1"/>
  <c r="M82" i="1"/>
  <c r="M28" i="1"/>
  <c r="U40" i="1"/>
  <c r="O24" i="1"/>
  <c r="M93" i="1"/>
  <c r="O16" i="1"/>
  <c r="P70" i="1"/>
  <c r="N85" i="1"/>
  <c r="U75" i="1"/>
  <c r="U76" i="1"/>
  <c r="O32" i="1"/>
  <c r="M99" i="1"/>
  <c r="U42" i="1"/>
  <c r="U86" i="1"/>
  <c r="S69" i="1"/>
  <c r="U72" i="1"/>
  <c r="O7" i="973"/>
  <c r="P48" i="1"/>
  <c r="N72" i="1"/>
  <c r="U99" i="1"/>
  <c r="U21" i="1"/>
  <c r="U98" i="1"/>
  <c r="U89" i="1"/>
  <c r="M75" i="1"/>
  <c r="U97" i="1"/>
  <c r="M9" i="1"/>
  <c r="P29" i="1"/>
  <c r="U60" i="1"/>
  <c r="N56" i="1"/>
  <c r="O61" i="1"/>
  <c r="S100" i="1"/>
  <c r="U90" i="1"/>
  <c r="N90" i="1"/>
  <c r="P35" i="1"/>
  <c r="S14" i="1"/>
  <c r="U62" i="1"/>
  <c r="S32" i="1"/>
  <c r="P20" i="1"/>
  <c r="P43" i="1"/>
  <c r="U27" i="1"/>
  <c r="S39" i="1"/>
  <c r="O22" i="1"/>
  <c r="M56" i="1"/>
  <c r="M5" i="973"/>
  <c r="F5" i="186" l="1"/>
  <c r="N70" i="1"/>
  <c r="U93" i="1"/>
  <c r="O57" i="1"/>
  <c r="O35" i="1"/>
  <c r="S82" i="1"/>
  <c r="P36" i="1"/>
  <c r="O62" i="1"/>
  <c r="U43" i="1"/>
  <c r="U71" i="1"/>
  <c r="M29" i="1"/>
  <c r="O15" i="1"/>
  <c r="G25" i="186" l="1"/>
  <c r="G23" i="186"/>
  <c r="G24" i="186"/>
  <c r="H25" i="186"/>
  <c r="H23" i="186"/>
  <c r="H24" i="186"/>
</calcChain>
</file>

<file path=xl/sharedStrings.xml><?xml version="1.0" encoding="utf-8"?>
<sst xmlns="http://schemas.openxmlformats.org/spreadsheetml/2006/main" count="23157" uniqueCount="417">
  <si>
    <t>現金股利</t>
  </si>
  <si>
    <t>股票股利</t>
  </si>
  <si>
    <t>本益比</t>
  </si>
  <si>
    <t>營收</t>
  </si>
  <si>
    <t>毛利</t>
  </si>
  <si>
    <t>營業利益</t>
  </si>
  <si>
    <t>稅前淨利</t>
  </si>
  <si>
    <t>稅後淨利</t>
  </si>
  <si>
    <t>母公司業主淨利</t>
  </si>
  <si>
    <t>每月營收</t>
  </si>
  <si>
    <t>單季EPS</t>
  </si>
  <si>
    <t>業外收支佔稅前淨利比</t>
  </si>
  <si>
    <t>營業現金對稅後淨利比</t>
  </si>
  <si>
    <t>稅後淨利率</t>
  </si>
  <si>
    <t>EPS</t>
    <phoneticPr fontId="7" type="noConversion"/>
  </si>
  <si>
    <t>權益乘數</t>
  </si>
  <si>
    <t>應收帳款收現天數</t>
  </si>
  <si>
    <t>存貨週轉天數</t>
  </si>
  <si>
    <t>總資產週轉</t>
  </si>
  <si>
    <t>營業利益率</t>
  </si>
  <si>
    <t>每股淨值</t>
  </si>
  <si>
    <t>現金及約當現金</t>
  </si>
  <si>
    <t>短期投資</t>
  </si>
  <si>
    <t>其餘流動資產</t>
  </si>
  <si>
    <t>流動資產</t>
  </si>
  <si>
    <t>長期投資</t>
  </si>
  <si>
    <t>固定資產</t>
  </si>
  <si>
    <t>其餘資產</t>
  </si>
  <si>
    <t>短期借款</t>
  </si>
  <si>
    <t>應付短期票券</t>
  </si>
  <si>
    <t>一年內到期長期負債</t>
  </si>
  <si>
    <t>其餘流動負債</t>
  </si>
  <si>
    <t>長期負債</t>
  </si>
  <si>
    <t>其餘負債</t>
  </si>
  <si>
    <t>淨值</t>
  </si>
  <si>
    <t>總負債 + 淨值</t>
  </si>
  <si>
    <t>每股營業現金流入</t>
  </si>
  <si>
    <t>每股投資現金流出</t>
  </si>
  <si>
    <t>每股融資現金流入</t>
  </si>
  <si>
    <t>每股淨現金流入</t>
  </si>
  <si>
    <t>毛利率</t>
  </si>
  <si>
    <t>稅前淨利率</t>
  </si>
  <si>
    <t>營運週轉天數</t>
  </si>
  <si>
    <t>無</t>
  </si>
  <si>
    <t>最新</t>
  </si>
  <si>
    <t>ROE</t>
  </si>
  <si>
    <t>ROE%</t>
    <phoneticPr fontId="3" type="noConversion"/>
  </si>
  <si>
    <t>ROE%</t>
    <phoneticPr fontId="7" type="noConversion"/>
  </si>
  <si>
    <t>ROA</t>
  </si>
  <si>
    <t>P1</t>
    <phoneticPr fontId="3" type="noConversion"/>
  </si>
  <si>
    <t>P2</t>
    <phoneticPr fontId="3" type="noConversion"/>
  </si>
  <si>
    <t>1YR ago</t>
    <phoneticPr fontId="3" type="noConversion"/>
  </si>
  <si>
    <t>P3</t>
    <phoneticPr fontId="3" type="noConversion"/>
  </si>
  <si>
    <t>P4</t>
    <phoneticPr fontId="3" type="noConversion"/>
  </si>
  <si>
    <t>P5</t>
    <phoneticPr fontId="3" type="noConversion"/>
  </si>
  <si>
    <t>獲利穩定</t>
  </si>
  <si>
    <t>張數</t>
    <phoneticPr fontId="3" type="noConversion"/>
  </si>
  <si>
    <t>市值</t>
    <phoneticPr fontId="3" type="noConversion"/>
  </si>
  <si>
    <t>Step-1</t>
    <phoneticPr fontId="3" type="noConversion"/>
  </si>
  <si>
    <t>Step-2</t>
    <phoneticPr fontId="3" type="noConversion"/>
  </si>
  <si>
    <t>&gt; 0</t>
    <phoneticPr fontId="3" type="noConversion"/>
  </si>
  <si>
    <t>Step-3</t>
    <phoneticPr fontId="3" type="noConversion"/>
  </si>
  <si>
    <t>Step-4</t>
    <phoneticPr fontId="3" type="noConversion"/>
  </si>
  <si>
    <r>
      <rPr>
        <sz val="11"/>
        <color theme="1"/>
        <rFont val="新細明體"/>
        <family val="2"/>
        <charset val="136"/>
      </rPr>
      <t>投入資金</t>
    </r>
    <phoneticPr fontId="3" type="noConversion"/>
  </si>
  <si>
    <r>
      <rPr>
        <sz val="11"/>
        <color theme="1"/>
        <rFont val="新細明體"/>
        <family val="2"/>
        <charset val="136"/>
      </rPr>
      <t>平均</t>
    </r>
    <r>
      <rPr>
        <sz val="11"/>
        <color theme="1"/>
        <rFont val="Arial"/>
        <family val="2"/>
      </rPr>
      <t>EPS</t>
    </r>
    <phoneticPr fontId="3" type="noConversion"/>
  </si>
  <si>
    <r>
      <rPr>
        <sz val="11"/>
        <color theme="1"/>
        <rFont val="新細明體"/>
        <family val="2"/>
        <charset val="136"/>
      </rPr>
      <t>分散成</t>
    </r>
    <phoneticPr fontId="3" type="noConversion"/>
  </si>
  <si>
    <r>
      <rPr>
        <sz val="11"/>
        <color theme="1"/>
        <rFont val="新細明體"/>
        <family val="2"/>
        <charset val="136"/>
      </rPr>
      <t>平均</t>
    </r>
    <r>
      <rPr>
        <sz val="11"/>
        <color theme="1"/>
        <rFont val="Arial"/>
        <family val="2"/>
      </rPr>
      <t>ROE</t>
    </r>
    <phoneticPr fontId="3" type="noConversion"/>
  </si>
  <si>
    <r>
      <rPr>
        <sz val="11"/>
        <color theme="1"/>
        <rFont val="新細明體"/>
        <family val="2"/>
        <charset val="136"/>
      </rPr>
      <t>平均每檔</t>
    </r>
    <phoneticPr fontId="3" type="noConversion"/>
  </si>
  <si>
    <r>
      <rPr>
        <sz val="11"/>
        <color theme="1"/>
        <rFont val="新細明體"/>
        <family val="2"/>
        <charset val="136"/>
      </rPr>
      <t>每年配息</t>
    </r>
    <phoneticPr fontId="3" type="noConversion"/>
  </si>
  <si>
    <r>
      <rPr>
        <sz val="11"/>
        <color theme="1"/>
        <rFont val="新細明體"/>
        <family val="2"/>
        <charset val="136"/>
      </rPr>
      <t>淨利率</t>
    </r>
    <phoneticPr fontId="3" type="noConversion"/>
  </si>
  <si>
    <r>
      <rPr>
        <sz val="11"/>
        <color theme="1"/>
        <rFont val="新細明體"/>
        <family val="2"/>
        <charset val="136"/>
      </rPr>
      <t>毛利率</t>
    </r>
    <phoneticPr fontId="3" type="noConversion"/>
  </si>
  <si>
    <r>
      <rPr>
        <sz val="11"/>
        <color theme="1"/>
        <rFont val="新細明體"/>
        <family val="2"/>
        <charset val="136"/>
      </rPr>
      <t>平均盈餘再投資率</t>
    </r>
    <phoneticPr fontId="3" type="noConversion"/>
  </si>
  <si>
    <r>
      <rPr>
        <sz val="11"/>
        <color theme="1"/>
        <rFont val="新細明體"/>
        <family val="2"/>
        <charset val="136"/>
      </rPr>
      <t>平均自由現金</t>
    </r>
    <phoneticPr fontId="3" type="noConversion"/>
  </si>
  <si>
    <r>
      <rPr>
        <sz val="11"/>
        <color theme="1"/>
        <rFont val="新細明體"/>
        <family val="2"/>
        <charset val="136"/>
      </rPr>
      <t>現金活水率</t>
    </r>
    <phoneticPr fontId="3" type="noConversion"/>
  </si>
  <si>
    <r>
      <rPr>
        <sz val="11"/>
        <color theme="1"/>
        <rFont val="新細明體"/>
        <family val="2"/>
        <charset val="136"/>
      </rPr>
      <t>預估</t>
    </r>
    <r>
      <rPr>
        <sz val="11"/>
        <color theme="1"/>
        <rFont val="Arial"/>
        <family val="2"/>
      </rPr>
      <t>EPS</t>
    </r>
    <phoneticPr fontId="3" type="noConversion"/>
  </si>
  <si>
    <t>預估現金殖利率</t>
    <phoneticPr fontId="3" type="noConversion"/>
  </si>
  <si>
    <t>預估保留盈餘成長率</t>
    <phoneticPr fontId="3" type="noConversion"/>
  </si>
  <si>
    <t>價格熱度</t>
    <phoneticPr fontId="3" type="noConversion"/>
  </si>
  <si>
    <t>平均營業現金對稅後淨利比</t>
    <phoneticPr fontId="3" type="noConversion"/>
  </si>
  <si>
    <t>庫存現況</t>
    <phoneticPr fontId="3" type="noConversion"/>
  </si>
  <si>
    <t>成本約</t>
    <phoneticPr fontId="3" type="noConversion"/>
  </si>
  <si>
    <t>損益約</t>
    <phoneticPr fontId="3" type="noConversion"/>
  </si>
  <si>
    <t>報酬率約</t>
    <phoneticPr fontId="3" type="noConversion"/>
  </si>
  <si>
    <r>
      <rPr>
        <sz val="11"/>
        <color theme="1"/>
        <rFont val="新細明體"/>
        <family val="2"/>
        <charset val="136"/>
      </rPr>
      <t>交易量</t>
    </r>
    <r>
      <rPr>
        <sz val="11"/>
        <color theme="1"/>
        <rFont val="新細明體"/>
        <family val="2"/>
        <charset val="136"/>
      </rPr>
      <t>每</t>
    </r>
    <phoneticPr fontId="3" type="noConversion"/>
  </si>
  <si>
    <t>分散成</t>
    <phoneticPr fontId="3" type="noConversion"/>
  </si>
  <si>
    <r>
      <t>(</t>
    </r>
    <r>
      <rPr>
        <sz val="11"/>
        <rFont val="細明體"/>
        <family val="3"/>
        <charset val="136"/>
      </rPr>
      <t>檔</t>
    </r>
    <r>
      <rPr>
        <sz val="11"/>
        <rFont val="Arial"/>
        <family val="2"/>
      </rPr>
      <t>)</t>
    </r>
    <phoneticPr fontId="3" type="noConversion"/>
  </si>
  <si>
    <r>
      <t>(</t>
    </r>
    <r>
      <rPr>
        <sz val="11"/>
        <rFont val="細明體"/>
        <family val="3"/>
        <charset val="136"/>
      </rPr>
      <t>張</t>
    </r>
    <r>
      <rPr>
        <sz val="11"/>
        <rFont val="Arial"/>
        <family val="2"/>
      </rPr>
      <t>)</t>
    </r>
    <phoneticPr fontId="3" type="noConversion"/>
  </si>
  <si>
    <t>&lt; 3</t>
    <phoneticPr fontId="3" type="noConversion"/>
  </si>
  <si>
    <t>3~10</t>
    <phoneticPr fontId="3" type="noConversion"/>
  </si>
  <si>
    <t>10~20</t>
    <phoneticPr fontId="3" type="noConversion"/>
  </si>
  <si>
    <t>&gt; 20</t>
    <phoneticPr fontId="3" type="noConversion"/>
  </si>
  <si>
    <t>檔股票</t>
    <phoneticPr fontId="3" type="noConversion"/>
  </si>
  <si>
    <r>
      <rPr>
        <sz val="11"/>
        <color theme="1"/>
        <rFont val="新細明體"/>
        <family val="2"/>
        <charset val="136"/>
      </rPr>
      <t>張可買</t>
    </r>
    <r>
      <rPr>
        <sz val="11"/>
        <color theme="1"/>
        <rFont val="Arial"/>
        <family val="2"/>
      </rPr>
      <t>1</t>
    </r>
    <r>
      <rPr>
        <sz val="11"/>
        <color theme="1"/>
        <rFont val="新細明體"/>
        <family val="2"/>
        <charset val="136"/>
      </rPr>
      <t>張</t>
    </r>
    <phoneticPr fontId="3" type="noConversion"/>
  </si>
  <si>
    <t>&gt; 100%</t>
    <phoneticPr fontId="3" type="noConversion"/>
  </si>
  <si>
    <t>&gt; 80%</t>
    <phoneticPr fontId="3" type="noConversion"/>
  </si>
  <si>
    <t>價格熱度</t>
    <phoneticPr fontId="3" type="noConversion"/>
  </si>
  <si>
    <r>
      <t>(</t>
    </r>
    <r>
      <rPr>
        <sz val="11"/>
        <color theme="1"/>
        <rFont val="細明體"/>
        <family val="3"/>
        <charset val="136"/>
      </rPr>
      <t>均值</t>
    </r>
    <r>
      <rPr>
        <sz val="11"/>
        <color theme="1"/>
        <rFont val="Arial"/>
        <family val="2"/>
      </rPr>
      <t>)</t>
    </r>
    <phoneticPr fontId="3" type="noConversion"/>
  </si>
  <si>
    <r>
      <rPr>
        <sz val="11"/>
        <color theme="0"/>
        <rFont val="新細明體"/>
        <family val="2"/>
        <charset val="136"/>
      </rPr>
      <t>獲利性評估</t>
    </r>
    <phoneticPr fontId="3" type="noConversion"/>
  </si>
  <si>
    <r>
      <rPr>
        <sz val="11"/>
        <color theme="0"/>
        <rFont val="新細明體"/>
        <family val="2"/>
        <charset val="136"/>
      </rPr>
      <t>安全性評估</t>
    </r>
    <phoneticPr fontId="3" type="noConversion"/>
  </si>
  <si>
    <r>
      <rPr>
        <sz val="11"/>
        <color theme="0"/>
        <rFont val="新細明體"/>
        <family val="2"/>
        <charset val="136"/>
      </rPr>
      <t>內在價值評估</t>
    </r>
    <phoneticPr fontId="3" type="noConversion"/>
  </si>
  <si>
    <r>
      <rPr>
        <sz val="11"/>
        <color theme="0"/>
        <rFont val="新細明體"/>
        <family val="2"/>
        <charset val="136"/>
      </rPr>
      <t>買賣策略</t>
    </r>
    <phoneticPr fontId="3" type="noConversion"/>
  </si>
  <si>
    <t>1-A</t>
    <phoneticPr fontId="3" type="noConversion"/>
  </si>
  <si>
    <t>1-B</t>
    <phoneticPr fontId="3" type="noConversion"/>
  </si>
  <si>
    <t>1-C</t>
    <phoneticPr fontId="3" type="noConversion"/>
  </si>
  <si>
    <t>1-D</t>
    <phoneticPr fontId="3" type="noConversion"/>
  </si>
  <si>
    <t>1-E</t>
    <phoneticPr fontId="3" type="noConversion"/>
  </si>
  <si>
    <t>2-A</t>
    <phoneticPr fontId="3" type="noConversion"/>
  </si>
  <si>
    <t>2-B</t>
    <phoneticPr fontId="3" type="noConversion"/>
  </si>
  <si>
    <t>2-C</t>
    <phoneticPr fontId="3" type="noConversion"/>
  </si>
  <si>
    <t>2-D</t>
    <phoneticPr fontId="3" type="noConversion"/>
  </si>
  <si>
    <t>3-A</t>
    <phoneticPr fontId="3" type="noConversion"/>
  </si>
  <si>
    <t>3-B</t>
    <phoneticPr fontId="3" type="noConversion"/>
  </si>
  <si>
    <t>3-C</t>
    <phoneticPr fontId="3" type="noConversion"/>
  </si>
  <si>
    <t>3-D</t>
    <phoneticPr fontId="3" type="noConversion"/>
  </si>
  <si>
    <t>3-E</t>
    <phoneticPr fontId="3" type="noConversion"/>
  </si>
  <si>
    <t>4-A</t>
    <phoneticPr fontId="3" type="noConversion"/>
  </si>
  <si>
    <t>4-B</t>
    <phoneticPr fontId="3" type="noConversion"/>
  </si>
  <si>
    <t>本益比</t>
    <phoneticPr fontId="3" type="noConversion"/>
  </si>
  <si>
    <t>現金殖利率</t>
    <phoneticPr fontId="3" type="noConversion"/>
  </si>
  <si>
    <t>&gt; 2.5</t>
    <phoneticPr fontId="3" type="noConversion"/>
  </si>
  <si>
    <r>
      <rPr>
        <sz val="11"/>
        <color theme="1"/>
        <rFont val="新細明體"/>
        <family val="2"/>
        <charset val="136"/>
      </rPr>
      <t>賣出</t>
    </r>
    <r>
      <rPr>
        <sz val="11"/>
        <color theme="1"/>
        <rFont val="Arial"/>
        <family val="2"/>
      </rPr>
      <t xml:space="preserve">: </t>
    </r>
    <r>
      <rPr>
        <sz val="11"/>
        <color theme="1"/>
        <rFont val="新細明體"/>
        <family val="2"/>
        <charset val="136"/>
      </rPr>
      <t>價格熱度及</t>
    </r>
    <r>
      <rPr>
        <sz val="11"/>
        <color theme="1"/>
        <rFont val="Arial"/>
        <family val="2"/>
      </rPr>
      <t>K</t>
    </r>
    <r>
      <rPr>
        <sz val="11"/>
        <color theme="1"/>
        <rFont val="新細明體"/>
        <family val="2"/>
        <charset val="136"/>
      </rPr>
      <t>線圖</t>
    </r>
    <phoneticPr fontId="3" type="noConversion"/>
  </si>
  <si>
    <r>
      <rPr>
        <sz val="11"/>
        <color theme="1"/>
        <rFont val="新細明體"/>
        <family val="2"/>
        <charset val="136"/>
      </rPr>
      <t>買入</t>
    </r>
    <r>
      <rPr>
        <sz val="11"/>
        <color theme="1"/>
        <rFont val="Arial"/>
        <family val="2"/>
      </rPr>
      <t xml:space="preserve">: </t>
    </r>
    <r>
      <rPr>
        <sz val="11"/>
        <color theme="1"/>
        <rFont val="新細明體"/>
        <family val="2"/>
        <charset val="136"/>
      </rPr>
      <t>安全邊際及</t>
    </r>
    <r>
      <rPr>
        <sz val="11"/>
        <color theme="1"/>
        <rFont val="Arial"/>
        <family val="2"/>
      </rPr>
      <t>K</t>
    </r>
    <r>
      <rPr>
        <sz val="11"/>
        <color theme="1"/>
        <rFont val="新細明體"/>
        <family val="2"/>
        <charset val="136"/>
      </rPr>
      <t>線圖</t>
    </r>
    <phoneticPr fontId="3" type="noConversion"/>
  </si>
  <si>
    <t>本益比 (+/-標準差)</t>
    <phoneticPr fontId="3" type="noConversion"/>
  </si>
  <si>
    <r>
      <rPr>
        <sz val="11"/>
        <rFont val="細明體"/>
        <family val="3"/>
        <charset val="136"/>
      </rPr>
      <t>閒置</t>
    </r>
    <r>
      <rPr>
        <sz val="11"/>
        <rFont val="Arial"/>
        <family val="2"/>
      </rPr>
      <t>%</t>
    </r>
    <phoneticPr fontId="3" type="noConversion"/>
  </si>
  <si>
    <t>(元)</t>
    <phoneticPr fontId="3" type="noConversion"/>
  </si>
  <si>
    <t>(仟元)</t>
    <phoneticPr fontId="3" type="noConversion"/>
  </si>
  <si>
    <r>
      <rPr>
        <sz val="11"/>
        <rFont val="細明體"/>
        <family val="3"/>
        <charset val="136"/>
      </rPr>
      <t>閒置</t>
    </r>
    <r>
      <rPr>
        <sz val="11"/>
        <rFont val="Arial"/>
        <family val="2"/>
      </rPr>
      <t xml:space="preserve"> $</t>
    </r>
    <phoneticPr fontId="3" type="noConversion"/>
  </si>
  <si>
    <t>部位風險/流通風險</t>
    <phoneticPr fontId="3" type="noConversion"/>
  </si>
  <si>
    <t>(EPS YoY)</t>
    <phoneticPr fontId="3" type="noConversion"/>
  </si>
  <si>
    <t>中華電</t>
    <phoneticPr fontId="3" type="noConversion"/>
  </si>
  <si>
    <t>中保</t>
    <phoneticPr fontId="3" type="noConversion"/>
  </si>
  <si>
    <t>(Mr. Market)</t>
    <phoneticPr fontId="3" type="noConversion"/>
  </si>
  <si>
    <t>FCF/EPS</t>
    <phoneticPr fontId="3" type="noConversion"/>
  </si>
  <si>
    <r>
      <rPr>
        <sz val="11"/>
        <color theme="1"/>
        <rFont val="新細明體"/>
        <family val="2"/>
        <charset val="136"/>
      </rPr>
      <t>股本</t>
    </r>
    <r>
      <rPr>
        <sz val="11"/>
        <color theme="1"/>
        <rFont val="Arial"/>
        <family val="2"/>
      </rPr>
      <t>(</t>
    </r>
    <r>
      <rPr>
        <sz val="11"/>
        <color theme="1"/>
        <rFont val="新細明體"/>
        <family val="2"/>
        <charset val="136"/>
      </rPr>
      <t>億</t>
    </r>
    <r>
      <rPr>
        <sz val="11"/>
        <color theme="1"/>
        <rFont val="Arial"/>
        <family val="2"/>
      </rPr>
      <t>)</t>
    </r>
    <phoneticPr fontId="3" type="noConversion"/>
  </si>
  <si>
    <r>
      <rPr>
        <sz val="11"/>
        <color theme="1"/>
        <rFont val="新細明體"/>
        <family val="2"/>
        <charset val="136"/>
      </rPr>
      <t>董監持股</t>
    </r>
    <phoneticPr fontId="3" type="noConversion"/>
  </si>
  <si>
    <r>
      <rPr>
        <b/>
        <sz val="12"/>
        <color theme="1"/>
        <rFont val="新細明體"/>
        <family val="1"/>
        <charset val="136"/>
      </rPr>
      <t>代號</t>
    </r>
    <phoneticPr fontId="3" type="noConversion"/>
  </si>
  <si>
    <r>
      <rPr>
        <sz val="12"/>
        <color theme="1"/>
        <rFont val="新細明體"/>
        <family val="2"/>
        <charset val="136"/>
      </rPr>
      <t>平均配息</t>
    </r>
    <phoneticPr fontId="3" type="noConversion"/>
  </si>
  <si>
    <r>
      <rPr>
        <sz val="12"/>
        <color theme="1"/>
        <rFont val="新細明體"/>
        <family val="2"/>
        <charset val="136"/>
      </rPr>
      <t>現金</t>
    </r>
  </si>
  <si>
    <r>
      <rPr>
        <sz val="12"/>
        <color theme="1"/>
        <rFont val="新細明體"/>
        <family val="2"/>
        <charset val="136"/>
      </rPr>
      <t>股票</t>
    </r>
  </si>
  <si>
    <r>
      <rPr>
        <sz val="12"/>
        <color theme="1"/>
        <rFont val="新細明體"/>
        <family val="2"/>
        <charset val="136"/>
      </rPr>
      <t>殖利率</t>
    </r>
    <r>
      <rPr>
        <sz val="12"/>
        <color theme="1"/>
        <rFont val="Arial"/>
        <family val="2"/>
      </rPr>
      <t>=5%</t>
    </r>
    <phoneticPr fontId="3" type="noConversion"/>
  </si>
  <si>
    <r>
      <rPr>
        <sz val="12"/>
        <color theme="1"/>
        <rFont val="新細明體"/>
        <family val="2"/>
        <charset val="136"/>
      </rPr>
      <t>殖利率</t>
    </r>
    <r>
      <rPr>
        <sz val="12"/>
        <color theme="1"/>
        <rFont val="Arial"/>
        <family val="2"/>
      </rPr>
      <t>=7.5%</t>
    </r>
    <phoneticPr fontId="3" type="noConversion"/>
  </si>
  <si>
    <r>
      <rPr>
        <sz val="12"/>
        <color theme="1"/>
        <rFont val="新細明體"/>
        <family val="2"/>
        <charset val="136"/>
      </rPr>
      <t>殖利率</t>
    </r>
    <r>
      <rPr>
        <sz val="12"/>
        <color theme="1"/>
        <rFont val="Arial"/>
        <family val="2"/>
      </rPr>
      <t>=10%</t>
    </r>
    <phoneticPr fontId="3" type="noConversion"/>
  </si>
  <si>
    <t>富邦金</t>
    <phoneticPr fontId="3" type="noConversion"/>
  </si>
  <si>
    <t>兆豐金</t>
    <phoneticPr fontId="3" type="noConversion"/>
  </si>
  <si>
    <t>第一金</t>
    <phoneticPr fontId="3" type="noConversion"/>
  </si>
  <si>
    <t>中華食</t>
    <phoneticPr fontId="3" type="noConversion"/>
  </si>
  <si>
    <t>&gt; 2</t>
    <phoneticPr fontId="3" type="noConversion"/>
  </si>
  <si>
    <t>&gt; 12</t>
    <phoneticPr fontId="3" type="noConversion"/>
  </si>
  <si>
    <t>&gt; 20%</t>
    <phoneticPr fontId="3" type="noConversion"/>
  </si>
  <si>
    <t>&gt; 8%</t>
    <phoneticPr fontId="3" type="noConversion"/>
  </si>
  <si>
    <t>&lt; 60%</t>
    <phoneticPr fontId="3" type="noConversion"/>
  </si>
  <si>
    <t>會計師查核(核閱)報告</t>
    <phoneticPr fontId="3" type="noConversion"/>
  </si>
  <si>
    <t>PE(20%)</t>
    <phoneticPr fontId="3" type="noConversion"/>
  </si>
  <si>
    <t>PE(65%)</t>
    <phoneticPr fontId="3" type="noConversion"/>
  </si>
  <si>
    <r>
      <t>1.</t>
    </r>
    <r>
      <rPr>
        <sz val="11"/>
        <color theme="1"/>
        <rFont val="細明體"/>
        <family val="3"/>
        <charset val="136"/>
      </rPr>
      <t>一般行業申報期限：第一季為</t>
    </r>
    <r>
      <rPr>
        <sz val="11"/>
        <color theme="1"/>
        <rFont val="Arial"/>
        <family val="2"/>
      </rPr>
      <t>5</t>
    </r>
    <r>
      <rPr>
        <sz val="11"/>
        <color theme="1"/>
        <rFont val="細明體"/>
        <family val="3"/>
        <charset val="136"/>
      </rPr>
      <t>月</t>
    </r>
    <r>
      <rPr>
        <sz val="11"/>
        <color theme="1"/>
        <rFont val="Arial"/>
        <family val="2"/>
      </rPr>
      <t>15</t>
    </r>
    <r>
      <rPr>
        <sz val="11"/>
        <color theme="1"/>
        <rFont val="細明體"/>
        <family val="3"/>
        <charset val="136"/>
      </rPr>
      <t>日，第二季為</t>
    </r>
    <r>
      <rPr>
        <sz val="11"/>
        <color theme="1"/>
        <rFont val="Arial"/>
        <family val="2"/>
      </rPr>
      <t>8</t>
    </r>
    <r>
      <rPr>
        <sz val="11"/>
        <color theme="1"/>
        <rFont val="細明體"/>
        <family val="3"/>
        <charset val="136"/>
      </rPr>
      <t>月</t>
    </r>
    <r>
      <rPr>
        <sz val="11"/>
        <color theme="1"/>
        <rFont val="Arial"/>
        <family val="2"/>
      </rPr>
      <t>14</t>
    </r>
    <r>
      <rPr>
        <sz val="11"/>
        <color theme="1"/>
        <rFont val="細明體"/>
        <family val="3"/>
        <charset val="136"/>
      </rPr>
      <t>日，第三季為</t>
    </r>
    <r>
      <rPr>
        <sz val="11"/>
        <color theme="1"/>
        <rFont val="Arial"/>
        <family val="2"/>
      </rPr>
      <t>11</t>
    </r>
    <r>
      <rPr>
        <sz val="11"/>
        <color theme="1"/>
        <rFont val="細明體"/>
        <family val="3"/>
        <charset val="136"/>
      </rPr>
      <t>月</t>
    </r>
    <r>
      <rPr>
        <sz val="11"/>
        <color theme="1"/>
        <rFont val="Arial"/>
        <family val="2"/>
      </rPr>
      <t>14</t>
    </r>
    <r>
      <rPr>
        <sz val="11"/>
        <color theme="1"/>
        <rFont val="細明體"/>
        <family val="3"/>
        <charset val="136"/>
      </rPr>
      <t>日，年度為</t>
    </r>
    <r>
      <rPr>
        <sz val="11"/>
        <color theme="1"/>
        <rFont val="Arial"/>
        <family val="2"/>
      </rPr>
      <t>3</t>
    </r>
    <r>
      <rPr>
        <sz val="11"/>
        <color theme="1"/>
        <rFont val="細明體"/>
        <family val="3"/>
        <charset val="136"/>
      </rPr>
      <t>月</t>
    </r>
    <r>
      <rPr>
        <sz val="11"/>
        <color theme="1"/>
        <rFont val="Arial"/>
        <family val="2"/>
      </rPr>
      <t>31</t>
    </r>
    <r>
      <rPr>
        <sz val="11"/>
        <color theme="1"/>
        <rFont val="細明體"/>
        <family val="3"/>
        <charset val="136"/>
      </rPr>
      <t>日。</t>
    </r>
    <phoneticPr fontId="3" type="noConversion"/>
  </si>
  <si>
    <r>
      <t>2.</t>
    </r>
    <r>
      <rPr>
        <sz val="11"/>
        <color theme="1"/>
        <rFont val="細明體"/>
        <family val="3"/>
        <charset val="136"/>
      </rPr>
      <t>金控業申報期限：第一季為</t>
    </r>
    <r>
      <rPr>
        <sz val="11"/>
        <color theme="1"/>
        <rFont val="Arial"/>
        <family val="2"/>
      </rPr>
      <t>5</t>
    </r>
    <r>
      <rPr>
        <sz val="11"/>
        <color theme="1"/>
        <rFont val="細明體"/>
        <family val="3"/>
        <charset val="136"/>
      </rPr>
      <t>月</t>
    </r>
    <r>
      <rPr>
        <sz val="11"/>
        <color theme="1"/>
        <rFont val="Arial"/>
        <family val="2"/>
      </rPr>
      <t>30</t>
    </r>
    <r>
      <rPr>
        <sz val="11"/>
        <color theme="1"/>
        <rFont val="細明體"/>
        <family val="3"/>
        <charset val="136"/>
      </rPr>
      <t>日，第二季為</t>
    </r>
    <r>
      <rPr>
        <sz val="11"/>
        <color theme="1"/>
        <rFont val="Arial"/>
        <family val="2"/>
      </rPr>
      <t>8</t>
    </r>
    <r>
      <rPr>
        <sz val="11"/>
        <color theme="1"/>
        <rFont val="細明體"/>
        <family val="3"/>
        <charset val="136"/>
      </rPr>
      <t>月</t>
    </r>
    <r>
      <rPr>
        <sz val="11"/>
        <color theme="1"/>
        <rFont val="Arial"/>
        <family val="2"/>
      </rPr>
      <t>31</t>
    </r>
    <r>
      <rPr>
        <sz val="11"/>
        <color theme="1"/>
        <rFont val="細明體"/>
        <family val="3"/>
        <charset val="136"/>
      </rPr>
      <t>日，第三季為</t>
    </r>
    <r>
      <rPr>
        <sz val="11"/>
        <color theme="1"/>
        <rFont val="Arial"/>
        <family val="2"/>
      </rPr>
      <t>11</t>
    </r>
    <r>
      <rPr>
        <sz val="11"/>
        <color theme="1"/>
        <rFont val="細明體"/>
        <family val="3"/>
        <charset val="136"/>
      </rPr>
      <t>月</t>
    </r>
    <r>
      <rPr>
        <sz val="11"/>
        <color theme="1"/>
        <rFont val="Arial"/>
        <family val="2"/>
      </rPr>
      <t>29</t>
    </r>
    <r>
      <rPr>
        <sz val="11"/>
        <color theme="1"/>
        <rFont val="細明體"/>
        <family val="3"/>
        <charset val="136"/>
      </rPr>
      <t>日，年度為</t>
    </r>
    <r>
      <rPr>
        <sz val="11"/>
        <color theme="1"/>
        <rFont val="Arial"/>
        <family val="2"/>
      </rPr>
      <t>3</t>
    </r>
    <r>
      <rPr>
        <sz val="11"/>
        <color theme="1"/>
        <rFont val="細明體"/>
        <family val="3"/>
        <charset val="136"/>
      </rPr>
      <t>月</t>
    </r>
    <r>
      <rPr>
        <sz val="11"/>
        <color theme="1"/>
        <rFont val="Arial"/>
        <family val="2"/>
      </rPr>
      <t>31</t>
    </r>
    <r>
      <rPr>
        <sz val="11"/>
        <color theme="1"/>
        <rFont val="細明體"/>
        <family val="3"/>
        <charset val="136"/>
      </rPr>
      <t>日。</t>
    </r>
    <phoneticPr fontId="3" type="noConversion"/>
  </si>
  <si>
    <t>現價熱度</t>
    <phoneticPr fontId="3" type="noConversion"/>
  </si>
  <si>
    <t>購入成本</t>
    <phoneticPr fontId="3" type="noConversion"/>
  </si>
  <si>
    <t>賣出成本</t>
    <phoneticPr fontId="3" type="noConversion"/>
  </si>
  <si>
    <t>殖利率</t>
    <phoneticPr fontId="3" type="noConversion"/>
  </si>
  <si>
    <r>
      <rPr>
        <sz val="10"/>
        <color theme="1"/>
        <rFont val="細明體"/>
        <family val="3"/>
        <charset val="136"/>
      </rPr>
      <t>可消除的非系統風險要</t>
    </r>
    <r>
      <rPr>
        <sz val="10"/>
        <color theme="1"/>
        <rFont val="Arial"/>
        <family val="2"/>
      </rPr>
      <t>(%)</t>
    </r>
    <phoneticPr fontId="3" type="noConversion"/>
  </si>
  <si>
    <r>
      <rPr>
        <sz val="10"/>
        <color theme="1"/>
        <rFont val="細明體"/>
        <family val="3"/>
        <charset val="136"/>
      </rPr>
      <t>預期非系統風險</t>
    </r>
    <r>
      <rPr>
        <sz val="10"/>
        <color theme="1"/>
        <rFont val="Arial"/>
        <family val="2"/>
      </rPr>
      <t>(%)</t>
    </r>
    <phoneticPr fontId="3" type="noConversion"/>
  </si>
  <si>
    <t>EPS</t>
    <phoneticPr fontId="3" type="noConversion"/>
  </si>
  <si>
    <t>EPS</t>
    <phoneticPr fontId="3" type="noConversion"/>
  </si>
  <si>
    <t>GM</t>
    <phoneticPr fontId="3" type="noConversion"/>
  </si>
  <si>
    <t>ROE</t>
    <phoneticPr fontId="3" type="noConversion"/>
  </si>
  <si>
    <t>OPM</t>
    <phoneticPr fontId="3" type="noConversion"/>
  </si>
  <si>
    <t>EPS</t>
    <phoneticPr fontId="3" type="noConversion"/>
  </si>
  <si>
    <t>GM</t>
    <phoneticPr fontId="3" type="noConversion"/>
  </si>
  <si>
    <t>OPM</t>
    <phoneticPr fontId="3" type="noConversion"/>
  </si>
  <si>
    <t>可寧衛</t>
    <phoneticPr fontId="3" type="noConversion"/>
  </si>
  <si>
    <t>聯鈞</t>
    <phoneticPr fontId="3" type="noConversion"/>
  </si>
  <si>
    <t>勤誠</t>
    <phoneticPr fontId="3" type="noConversion"/>
  </si>
  <si>
    <t>盛群</t>
    <phoneticPr fontId="3" type="noConversion"/>
  </si>
  <si>
    <t>(GM YoY)</t>
    <phoneticPr fontId="3" type="noConversion"/>
  </si>
  <si>
    <t>(OPM YoY)</t>
    <phoneticPr fontId="3" type="noConversion"/>
  </si>
  <si>
    <t>(回首頁)</t>
    <phoneticPr fontId="3" type="noConversion"/>
  </si>
  <si>
    <t>市值營收比:</t>
    <phoneticPr fontId="3" type="noConversion"/>
  </si>
  <si>
    <t>扣抵稅率</t>
    <phoneticPr fontId="3" type="noConversion"/>
  </si>
  <si>
    <t>財務體質</t>
    <phoneticPr fontId="7" type="noConversion"/>
  </si>
  <si>
    <t>股本膨脹</t>
    <phoneticPr fontId="3" type="noConversion"/>
  </si>
  <si>
    <t>參考價</t>
    <phoneticPr fontId="3" type="noConversion"/>
  </si>
  <si>
    <t>獲利穩定</t>
    <phoneticPr fontId="3" type="noConversion"/>
  </si>
  <si>
    <t>vs. 收盤價</t>
    <phoneticPr fontId="3" type="noConversion"/>
  </si>
  <si>
    <t>獲利品質</t>
    <phoneticPr fontId="7" type="noConversion"/>
  </si>
  <si>
    <t>近4季EPS</t>
    <phoneticPr fontId="3" type="noConversion"/>
  </si>
  <si>
    <t xml:space="preserve">營收/OPM/EPS, 3年中: </t>
    <phoneticPr fontId="3" type="noConversion"/>
  </si>
  <si>
    <t>月營收表現</t>
    <phoneticPr fontId="3" type="noConversion"/>
  </si>
  <si>
    <t>EPS 表現</t>
    <phoneticPr fontId="3" type="noConversion"/>
  </si>
  <si>
    <t>近4季ROE</t>
    <phoneticPr fontId="3" type="noConversion"/>
  </si>
  <si>
    <t>未來4季EPS</t>
    <phoneticPr fontId="3" type="noConversion"/>
  </si>
  <si>
    <t>綜合估價</t>
    <phoneticPr fontId="3" type="noConversion"/>
  </si>
  <si>
    <t>百分位</t>
    <phoneticPr fontId="3" type="noConversion"/>
  </si>
  <si>
    <t xml:space="preserve">標準差: </t>
    <phoneticPr fontId="3" type="noConversion"/>
  </si>
  <si>
    <t>歷史本益比</t>
    <phoneticPr fontId="7" type="noConversion"/>
  </si>
  <si>
    <t xml:space="preserve">股淨比: </t>
    <phoneticPr fontId="3" type="noConversion"/>
  </si>
  <si>
    <t xml:space="preserve">每股淨值: </t>
    <phoneticPr fontId="3" type="noConversion"/>
  </si>
  <si>
    <t>均值/穩定度</t>
    <phoneticPr fontId="3" type="noConversion"/>
  </si>
  <si>
    <t>4年現金股息</t>
    <phoneticPr fontId="3" type="noConversion"/>
  </si>
  <si>
    <t>保留盈餘</t>
    <phoneticPr fontId="3" type="noConversion"/>
  </si>
  <si>
    <t>每股淨現金</t>
    <phoneticPr fontId="3" type="noConversion"/>
  </si>
  <si>
    <t>營業現金對稅後淨利比</t>
    <phoneticPr fontId="3" type="noConversion"/>
  </si>
  <si>
    <t>4年平均EPS</t>
    <phoneticPr fontId="3" type="noConversion"/>
  </si>
  <si>
    <t>保留盈餘成長率</t>
    <phoneticPr fontId="3" type="noConversion"/>
  </si>
  <si>
    <t>(7~20%佳)</t>
    <phoneticPr fontId="3" type="noConversion"/>
  </si>
  <si>
    <t>最新收盤價</t>
    <phoneticPr fontId="3" type="noConversion"/>
  </si>
  <si>
    <t>(價格熱度)</t>
    <phoneticPr fontId="3" type="noConversion"/>
  </si>
  <si>
    <t>庫存均價</t>
    <phoneticPr fontId="3" type="noConversion"/>
  </si>
  <si>
    <t>張庫存</t>
    <phoneticPr fontId="3" type="noConversion"/>
  </si>
  <si>
    <t>財務健診</t>
    <phoneticPr fontId="3" type="noConversion"/>
  </si>
  <si>
    <t>自由現金</t>
    <phoneticPr fontId="7" type="noConversion"/>
  </si>
  <si>
    <t>(自由現金流有</t>
    <phoneticPr fontId="7" type="noConversion"/>
  </si>
  <si>
    <t>年為正)</t>
    <phoneticPr fontId="7" type="noConversion"/>
  </si>
  <si>
    <t>(配分10)</t>
    <phoneticPr fontId="3" type="noConversion"/>
  </si>
  <si>
    <t>最新一期</t>
    <phoneticPr fontId="3" type="noConversion"/>
  </si>
  <si>
    <t>(配分20)</t>
    <phoneticPr fontId="3" type="noConversion"/>
  </si>
  <si>
    <t>現金活水率</t>
    <phoneticPr fontId="7" type="noConversion"/>
  </si>
  <si>
    <t>(有</t>
    <phoneticPr fontId="7" type="noConversion"/>
  </si>
  <si>
    <t>年大於80%)</t>
    <phoneticPr fontId="7" type="noConversion"/>
  </si>
  <si>
    <t>負債比(-應付)</t>
    <phoneticPr fontId="7" type="noConversion"/>
  </si>
  <si>
    <t>(配分15)</t>
    <phoneticPr fontId="3" type="noConversion"/>
  </si>
  <si>
    <t>流動比</t>
    <phoneticPr fontId="7" type="noConversion"/>
  </si>
  <si>
    <t>投資CF/營業CF</t>
    <phoneticPr fontId="3" type="noConversion"/>
  </si>
  <si>
    <t>速動比</t>
    <phoneticPr fontId="7" type="noConversion"/>
  </si>
  <si>
    <t>平均值</t>
    <phoneticPr fontId="7" type="noConversion"/>
  </si>
  <si>
    <t>標準差</t>
    <phoneticPr fontId="7" type="noConversion"/>
  </si>
  <si>
    <t>穩定度</t>
    <phoneticPr fontId="7" type="noConversion"/>
  </si>
  <si>
    <t>(倍)</t>
    <phoneticPr fontId="3" type="noConversion"/>
  </si>
  <si>
    <t>母公司業主淨利</t>
    <phoneticPr fontId="7" type="noConversion"/>
  </si>
  <si>
    <t>(配分5)</t>
    <phoneticPr fontId="3" type="noConversion"/>
  </si>
  <si>
    <t>(天)</t>
    <phoneticPr fontId="3" type="noConversion"/>
  </si>
  <si>
    <t>業外收支佔稅前淨利比%</t>
    <phoneticPr fontId="3" type="noConversion"/>
  </si>
  <si>
    <t>存貨週轉天數</t>
    <phoneticPr fontId="7" type="noConversion"/>
  </si>
  <si>
    <t>應收帳款收現天數</t>
    <phoneticPr fontId="7" type="noConversion"/>
  </si>
  <si>
    <t>存貨週轉天數</t>
    <phoneticPr fontId="7" type="noConversion"/>
  </si>
  <si>
    <t>獲利評估</t>
    <phoneticPr fontId="3" type="noConversion"/>
  </si>
  <si>
    <t>平均值</t>
    <phoneticPr fontId="7" type="noConversion"/>
  </si>
  <si>
    <t>獲利品質</t>
    <phoneticPr fontId="3" type="noConversion"/>
  </si>
  <si>
    <t>毛利率</t>
    <phoneticPr fontId="7" type="noConversion"/>
  </si>
  <si>
    <t>季度&gt;20%)</t>
    <phoneticPr fontId="7" type="noConversion"/>
  </si>
  <si>
    <t>稅後淨利率</t>
    <phoneticPr fontId="3" type="noConversion"/>
  </si>
  <si>
    <t>季度&gt;8%)</t>
    <phoneticPr fontId="7" type="noConversion"/>
  </si>
  <si>
    <t>季度&gt;3)</t>
    <phoneticPr fontId="7" type="noConversion"/>
  </si>
  <si>
    <t>季度為正</t>
    <phoneticPr fontId="7" type="noConversion"/>
  </si>
  <si>
    <t>現金股利</t>
    <phoneticPr fontId="7" type="noConversion"/>
  </si>
  <si>
    <t>年發放現金)</t>
    <phoneticPr fontId="7" type="noConversion"/>
  </si>
  <si>
    <t>上升年數</t>
    <phoneticPr fontId="3" type="noConversion"/>
  </si>
  <si>
    <t>營收$</t>
    <phoneticPr fontId="3" type="noConversion"/>
  </si>
  <si>
    <t>毛利率</t>
    <phoneticPr fontId="3" type="noConversion"/>
  </si>
  <si>
    <t>營業利益率</t>
    <phoneticPr fontId="3" type="noConversion"/>
  </si>
  <si>
    <t>近期變化</t>
    <phoneticPr fontId="3" type="noConversion"/>
  </si>
  <si>
    <t>獲利預測</t>
    <phoneticPr fontId="3" type="noConversion"/>
  </si>
  <si>
    <t>近一年</t>
    <phoneticPr fontId="3" type="noConversion"/>
  </si>
  <si>
    <t>前一年</t>
    <phoneticPr fontId="3" type="noConversion"/>
  </si>
  <si>
    <t>月營收YoY</t>
    <phoneticPr fontId="7" type="noConversion"/>
  </si>
  <si>
    <t>近一年累計</t>
    <phoneticPr fontId="3" type="noConversion"/>
  </si>
  <si>
    <t>前一年累計</t>
    <phoneticPr fontId="3" type="noConversion"/>
  </si>
  <si>
    <t>近4季GM</t>
    <phoneticPr fontId="3" type="noConversion"/>
  </si>
  <si>
    <t>近4季OPM</t>
    <phoneticPr fontId="3" type="noConversion"/>
  </si>
  <si>
    <t>近一年YoY</t>
    <phoneticPr fontId="3" type="noConversion"/>
  </si>
  <si>
    <t>獲利預測</t>
    <phoneticPr fontId="3" type="noConversion"/>
  </si>
  <si>
    <t>財報數字</t>
    <phoneticPr fontId="3" type="noConversion"/>
  </si>
  <si>
    <t>母公司業主淨利%</t>
    <phoneticPr fontId="7" type="noConversion"/>
  </si>
  <si>
    <t>應收帳款及票據</t>
    <phoneticPr fontId="7" type="noConversion"/>
  </si>
  <si>
    <t>存貨</t>
    <phoneticPr fontId="7" type="noConversion"/>
  </si>
  <si>
    <t>總資產</t>
    <phoneticPr fontId="7" type="noConversion"/>
  </si>
  <si>
    <t>應付帳款及票據</t>
    <phoneticPr fontId="7" type="noConversion"/>
  </si>
  <si>
    <t>預收款項</t>
    <phoneticPr fontId="7" type="noConversion"/>
  </si>
  <si>
    <t>流動負債</t>
    <phoneticPr fontId="7" type="noConversion"/>
  </si>
  <si>
    <t>總負債</t>
    <phoneticPr fontId="7" type="noConversion"/>
  </si>
  <si>
    <t>每股自由現金流入</t>
    <phoneticPr fontId="7" type="noConversion"/>
  </si>
  <si>
    <t>配息財源?</t>
    <phoneticPr fontId="7" type="noConversion"/>
  </si>
  <si>
    <t>現金股利發放率</t>
    <phoneticPr fontId="7" type="noConversion"/>
  </si>
  <si>
    <t>公司</t>
    <phoneticPr fontId="3" type="noConversion"/>
  </si>
  <si>
    <t>成交量</t>
    <phoneticPr fontId="3" type="noConversion"/>
  </si>
  <si>
    <t>庫存均價</t>
    <phoneticPr fontId="3" type="noConversion"/>
  </si>
  <si>
    <t>目前損益</t>
    <phoneticPr fontId="3" type="noConversion"/>
  </si>
  <si>
    <t>體質</t>
    <phoneticPr fontId="3" type="noConversion"/>
  </si>
  <si>
    <t>穩定</t>
    <phoneticPr fontId="3" type="noConversion"/>
  </si>
  <si>
    <t>獲利</t>
    <phoneticPr fontId="3" type="noConversion"/>
  </si>
  <si>
    <t>近3季EPS</t>
    <phoneticPr fontId="3" type="noConversion"/>
  </si>
  <si>
    <t>現價熱度</t>
    <phoneticPr fontId="3" type="noConversion"/>
  </si>
  <si>
    <t>資本額</t>
    <phoneticPr fontId="3" type="noConversion"/>
  </si>
  <si>
    <t>損益</t>
    <phoneticPr fontId="3" type="noConversion"/>
  </si>
  <si>
    <t>市值</t>
    <phoneticPr fontId="3" type="noConversion"/>
  </si>
  <si>
    <t>購入成本</t>
    <phoneticPr fontId="3" type="noConversion"/>
  </si>
  <si>
    <t>賣出成本</t>
    <phoneticPr fontId="3" type="noConversion"/>
  </si>
  <si>
    <t>會計師查核(核閱)報告</t>
    <phoneticPr fontId="3" type="noConversion"/>
  </si>
  <si>
    <t>三星</t>
    <phoneticPr fontId="3" type="noConversion"/>
  </si>
  <si>
    <t>實威</t>
    <phoneticPr fontId="3" type="noConversion"/>
  </si>
  <si>
    <t>矽創</t>
    <phoneticPr fontId="3" type="noConversion"/>
  </si>
  <si>
    <t>凱撒衛</t>
    <phoneticPr fontId="3" type="noConversion"/>
  </si>
  <si>
    <t>正新</t>
    <phoneticPr fontId="3" type="noConversion"/>
  </si>
  <si>
    <t>聯陽</t>
    <phoneticPr fontId="3" type="noConversion"/>
  </si>
  <si>
    <t>神準</t>
    <phoneticPr fontId="3" type="noConversion"/>
  </si>
  <si>
    <t>新普</t>
    <phoneticPr fontId="3" type="noConversion"/>
  </si>
  <si>
    <t>聯發科</t>
    <phoneticPr fontId="3" type="noConversion"/>
  </si>
  <si>
    <t>聯詠</t>
  </si>
  <si>
    <t>禾瑞亞</t>
    <phoneticPr fontId="3" type="noConversion"/>
  </si>
  <si>
    <t>聚鼎</t>
    <phoneticPr fontId="3" type="noConversion"/>
  </si>
  <si>
    <t>德勝</t>
    <phoneticPr fontId="3" type="noConversion"/>
  </si>
  <si>
    <t>崑鼎</t>
    <phoneticPr fontId="3" type="noConversion"/>
  </si>
  <si>
    <t>宜鼎</t>
    <phoneticPr fontId="3" type="noConversion"/>
  </si>
  <si>
    <t>建大</t>
    <phoneticPr fontId="3" type="noConversion"/>
  </si>
  <si>
    <t>群光</t>
    <phoneticPr fontId="3" type="noConversion"/>
  </si>
  <si>
    <t>飛捷</t>
    <phoneticPr fontId="3" type="noConversion"/>
  </si>
  <si>
    <t>為升</t>
    <phoneticPr fontId="3" type="noConversion"/>
  </si>
  <si>
    <t>鑫禾</t>
    <phoneticPr fontId="3" type="noConversion"/>
  </si>
  <si>
    <t>同亨</t>
    <phoneticPr fontId="3" type="noConversion"/>
  </si>
  <si>
    <t>茂順</t>
    <phoneticPr fontId="3" type="noConversion"/>
  </si>
  <si>
    <t>矽格</t>
    <phoneticPr fontId="3" type="noConversion"/>
  </si>
  <si>
    <t>台郡</t>
    <phoneticPr fontId="3" type="noConversion"/>
  </si>
  <si>
    <t>鎰勝</t>
    <phoneticPr fontId="3" type="noConversion"/>
  </si>
  <si>
    <t>群聯</t>
    <phoneticPr fontId="3" type="noConversion"/>
  </si>
  <si>
    <t>居易</t>
    <phoneticPr fontId="3" type="noConversion"/>
  </si>
  <si>
    <t>巨大</t>
    <phoneticPr fontId="3" type="noConversion"/>
  </si>
  <si>
    <t>中聯資</t>
    <phoneticPr fontId="3" type="noConversion"/>
  </si>
  <si>
    <t>中探針</t>
    <phoneticPr fontId="3" type="noConversion"/>
  </si>
  <si>
    <t>伸興</t>
    <phoneticPr fontId="3" type="noConversion"/>
  </si>
  <si>
    <t>鑫永銓</t>
  </si>
  <si>
    <t>宏正</t>
    <phoneticPr fontId="3" type="noConversion"/>
  </si>
  <si>
    <t>劍麟</t>
    <phoneticPr fontId="3" type="noConversion"/>
  </si>
  <si>
    <t>佳格</t>
    <phoneticPr fontId="3" type="noConversion"/>
  </si>
  <si>
    <t>好樂迪</t>
    <phoneticPr fontId="3" type="noConversion"/>
  </si>
  <si>
    <t>亞泰</t>
    <phoneticPr fontId="3" type="noConversion"/>
  </si>
  <si>
    <t>永裕</t>
    <phoneticPr fontId="3" type="noConversion"/>
  </si>
  <si>
    <t>鴻海</t>
    <phoneticPr fontId="3" type="noConversion"/>
  </si>
  <si>
    <t>豐藝</t>
    <phoneticPr fontId="3" type="noConversion"/>
  </si>
  <si>
    <t>豐泰</t>
    <phoneticPr fontId="3" type="noConversion"/>
  </si>
  <si>
    <t>群電</t>
    <phoneticPr fontId="3" type="noConversion"/>
  </si>
  <si>
    <t>立端</t>
    <phoneticPr fontId="3" type="noConversion"/>
  </si>
  <si>
    <t>啟碁</t>
    <phoneticPr fontId="3" type="noConversion"/>
  </si>
  <si>
    <t>台達電</t>
    <phoneticPr fontId="3" type="noConversion"/>
  </si>
  <si>
    <t>大億</t>
    <phoneticPr fontId="3" type="noConversion"/>
  </si>
  <si>
    <t>中磊</t>
    <phoneticPr fontId="3" type="noConversion"/>
  </si>
  <si>
    <t>台積電</t>
    <phoneticPr fontId="3" type="noConversion"/>
  </si>
  <si>
    <t>統一超</t>
    <phoneticPr fontId="3" type="noConversion"/>
  </si>
  <si>
    <t>致伸</t>
    <phoneticPr fontId="3" type="noConversion"/>
  </si>
  <si>
    <t>皇田</t>
    <phoneticPr fontId="3" type="noConversion"/>
  </si>
  <si>
    <t>美利達</t>
    <phoneticPr fontId="3" type="noConversion"/>
  </si>
  <si>
    <t>超眾</t>
    <phoneticPr fontId="3" type="noConversion"/>
  </si>
  <si>
    <t>中保</t>
    <phoneticPr fontId="3" type="noConversion"/>
  </si>
  <si>
    <t>新唐</t>
    <phoneticPr fontId="3" type="noConversion"/>
  </si>
  <si>
    <t>中華電</t>
    <phoneticPr fontId="3" type="noConversion"/>
  </si>
  <si>
    <t>新保</t>
    <phoneticPr fontId="3" type="noConversion"/>
  </si>
  <si>
    <t>同欣電</t>
    <phoneticPr fontId="3" type="noConversion"/>
  </si>
  <si>
    <t>世界</t>
    <phoneticPr fontId="3" type="noConversion"/>
  </si>
  <si>
    <t>全新</t>
    <phoneticPr fontId="3" type="noConversion"/>
  </si>
  <si>
    <t>崇越</t>
    <phoneticPr fontId="3" type="noConversion"/>
  </si>
  <si>
    <t>信錦</t>
    <phoneticPr fontId="3" type="noConversion"/>
  </si>
  <si>
    <t>大恭</t>
    <phoneticPr fontId="3" type="noConversion"/>
  </si>
  <si>
    <t>(ROE YoY)</t>
    <phoneticPr fontId="3" type="noConversion"/>
  </si>
  <si>
    <t>買進</t>
    <phoneticPr fontId="3" type="noConversion"/>
  </si>
  <si>
    <t>應付帳款</t>
    <phoneticPr fontId="7" type="noConversion"/>
  </si>
  <si>
    <t>預收帳款</t>
    <phoneticPr fontId="7" type="noConversion"/>
  </si>
  <si>
    <t>長期負債</t>
    <phoneticPr fontId="7" type="noConversion"/>
  </si>
  <si>
    <t>流動資產</t>
    <phoneticPr fontId="7" type="noConversion"/>
  </si>
  <si>
    <t>應收帳款</t>
    <phoneticPr fontId="7" type="noConversion"/>
  </si>
  <si>
    <t>其餘資產</t>
    <phoneticPr fontId="3" type="noConversion"/>
  </si>
  <si>
    <t>信義</t>
    <phoneticPr fontId="3" type="noConversion"/>
  </si>
  <si>
    <t>Yui</t>
    <phoneticPr fontId="3" type="noConversion"/>
  </si>
  <si>
    <t>Amy</t>
    <phoneticPr fontId="3" type="noConversion"/>
  </si>
  <si>
    <t>上限</t>
    <phoneticPr fontId="3" type="noConversion"/>
  </si>
  <si>
    <t>朋程</t>
    <phoneticPr fontId="3" type="noConversion"/>
  </si>
  <si>
    <t>博大</t>
    <phoneticPr fontId="3" type="noConversion"/>
  </si>
  <si>
    <t>業外損益</t>
    <phoneticPr fontId="7" type="noConversion"/>
  </si>
  <si>
    <t>業外損益($)</t>
    <phoneticPr fontId="3" type="noConversion"/>
  </si>
  <si>
    <t>近5月營收</t>
    <phoneticPr fontId="3" type="noConversion"/>
  </si>
  <si>
    <t>持有</t>
    <phoneticPr fontId="3" type="noConversion"/>
  </si>
  <si>
    <t>牧德</t>
    <phoneticPr fontId="3" type="noConversion"/>
  </si>
  <si>
    <t>普萊德</t>
    <phoneticPr fontId="3" type="noConversion"/>
  </si>
  <si>
    <t>太醫</t>
    <phoneticPr fontId="3" type="noConversion"/>
  </si>
  <si>
    <t>凌通</t>
    <phoneticPr fontId="3" type="noConversion"/>
  </si>
  <si>
    <t xml:space="preserve">本益比MAX: </t>
    <phoneticPr fontId="3" type="noConversion"/>
  </si>
  <si>
    <t xml:space="preserve">本益比MIN: </t>
    <phoneticPr fontId="3" type="noConversion"/>
  </si>
  <si>
    <t>過去4季EPS</t>
    <phoneticPr fontId="3" type="noConversion"/>
  </si>
  <si>
    <t>過去4季本益比</t>
    <phoneticPr fontId="3" type="noConversion"/>
  </si>
  <si>
    <t>未來4季本益比</t>
    <phoneticPr fontId="3" type="noConversion"/>
  </si>
  <si>
    <t>淨利率:</t>
    <phoneticPr fontId="3" type="noConversion"/>
  </si>
  <si>
    <t>代號</t>
    <phoneticPr fontId="3" type="noConversion"/>
  </si>
  <si>
    <t>PER</t>
    <phoneticPr fontId="3" type="noConversion"/>
  </si>
  <si>
    <t>晶睿</t>
    <phoneticPr fontId="3" type="noConversion"/>
  </si>
  <si>
    <t>福興</t>
    <phoneticPr fontId="3" type="noConversion"/>
  </si>
  <si>
    <r>
      <rPr>
        <sz val="12"/>
        <color theme="1"/>
        <rFont val="微軟正黑體"/>
        <family val="2"/>
        <charset val="136"/>
      </rPr>
      <t>代號</t>
    </r>
    <phoneticPr fontId="3" type="noConversion"/>
  </si>
  <si>
    <r>
      <t xml:space="preserve">3. Data Source: </t>
    </r>
    <r>
      <rPr>
        <sz val="11"/>
        <color theme="1"/>
        <rFont val="細明體"/>
        <family val="3"/>
        <charset val="136"/>
      </rPr>
      <t>財報狗</t>
    </r>
    <phoneticPr fontId="3" type="noConversion"/>
  </si>
  <si>
    <t>EPS 年增</t>
    <phoneticPr fontId="3" type="noConversion"/>
  </si>
  <si>
    <t>過去4季EPS</t>
    <phoneticPr fontId="3" type="noConversion"/>
  </si>
  <si>
    <t>今年</t>
    <phoneticPr fontId="3" type="noConversion"/>
  </si>
  <si>
    <r>
      <t>下4</t>
    </r>
    <r>
      <rPr>
        <sz val="11"/>
        <rFont val="微軟正黑體"/>
        <family val="2"/>
        <charset val="136"/>
      </rPr>
      <t>季</t>
    </r>
    <phoneticPr fontId="3" type="noConversion"/>
  </si>
  <si>
    <t>180210</t>
    <phoneticPr fontId="3" type="noConversion"/>
  </si>
  <si>
    <t>年份($B$1)</t>
    <phoneticPr fontId="3" type="noConversion"/>
  </si>
  <si>
    <t>年報/季報/月報</t>
    <phoneticPr fontId="7" type="noConversion"/>
  </si>
  <si>
    <t>TYPE_K</t>
    <phoneticPr fontId="3" type="noConversion"/>
  </si>
  <si>
    <t>上櫃</t>
  </si>
  <si>
    <t>上櫃</t>
    <phoneticPr fontId="3" type="noConversion"/>
  </si>
  <si>
    <t>南僑投控</t>
    <phoneticPr fontId="3" type="noConversion"/>
  </si>
  <si>
    <t>長興材料</t>
    <phoneticPr fontId="3" type="noConversion"/>
  </si>
  <si>
    <t>永記造漆</t>
    <phoneticPr fontId="3" type="noConversion"/>
  </si>
  <si>
    <t>永大機電</t>
    <phoneticPr fontId="3" type="noConversion"/>
  </si>
  <si>
    <t>勝一化工</t>
    <phoneticPr fontId="3" type="noConversion"/>
  </si>
  <si>
    <t>台光電子</t>
    <phoneticPr fontId="3" type="noConversion"/>
  </si>
  <si>
    <t>新麥企業</t>
    <phoneticPr fontId="3" type="noConversion"/>
  </si>
  <si>
    <t>建準電機</t>
    <phoneticPr fontId="3" type="noConversion"/>
  </si>
  <si>
    <t>興勤電子</t>
    <phoneticPr fontId="3" type="noConversion"/>
  </si>
  <si>
    <t>創見資訊</t>
  </si>
  <si>
    <t>可成科技</t>
  </si>
  <si>
    <t>嘉里大榮</t>
  </si>
  <si>
    <t>第一金控</t>
  </si>
  <si>
    <t>信邦電子</t>
  </si>
  <si>
    <t>璟德電子</t>
  </si>
  <si>
    <t>欣銓科技</t>
  </si>
  <si>
    <t>融程電訊</t>
  </si>
  <si>
    <t>創意電子</t>
  </si>
  <si>
    <t>百略醫學</t>
  </si>
  <si>
    <t>鐿鈦科技</t>
  </si>
  <si>
    <t>中華食品</t>
  </si>
  <si>
    <t>東隆興業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</si>
</sst>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76" formatCode="&quot;$&quot;#,##0_);[Red]\(&quot;$&quot;#,##0\)"/>
    <numFmt numFmtId="177" formatCode="&quot;$&quot;#,##0.00_);[Red]\(&quot;$&quot;#,##0.00\)"/>
    <numFmt numFmtId="178" formatCode="_-&quot;$&quot;* #,##0.00_-;\-&quot;$&quot;* #,##0.00_-;_-&quot;$&quot;* &quot;-&quot;??_-;_-@_-"/>
    <numFmt numFmtId="179" formatCode="_-* #,##0.00_-;\-* #,##0.00_-;_-* &quot;-&quot;??_-;_-@_-"/>
    <numFmt numFmtId="180" formatCode="0.00_);[Red]\(0.00\)"/>
    <numFmt numFmtId="181" formatCode="0.0%"/>
    <numFmt numFmtId="182" formatCode="_-* #,##0_-;\-* #,##0_-;_-* &quot;-&quot;??_-;_-@_-"/>
    <numFmt numFmtId="183" formatCode="_-&quot;$&quot;* #,##0.0_-;\-&quot;$&quot;* #,##0.0_-;_-&quot;$&quot;* &quot;-&quot;??_-;_-@_-"/>
    <numFmt numFmtId="184" formatCode="0_);[Red]\(0\)"/>
    <numFmt numFmtId="185" formatCode="0.0_);[Red]\(0.0\)"/>
    <numFmt numFmtId="186" formatCode="_-&quot;$&quot;* #,##0_-;\-&quot;$&quot;* #,##0_-;_-&quot;$&quot;* &quot;-&quot;??_-;_-@_-"/>
    <numFmt numFmtId="187" formatCode="m&quot;月&quot;d&quot;日&quot;"/>
    <numFmt numFmtId="188" formatCode="0.000_);[Red]\(0.000\)"/>
  </numFmts>
  <fonts count="4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細明體"/>
      <family val="3"/>
      <charset val="136"/>
    </font>
    <font>
      <sz val="9"/>
      <name val="新細明體"/>
      <family val="3"/>
      <charset val="136"/>
      <scheme val="minor"/>
    </font>
    <font>
      <sz val="10"/>
      <name val="Arial"/>
      <family val="2"/>
    </font>
    <font>
      <sz val="10"/>
      <name val="細明體"/>
      <family val="3"/>
      <charset val="136"/>
    </font>
    <font>
      <sz val="11"/>
      <name val="Arial"/>
      <family val="2"/>
    </font>
    <font>
      <sz val="11"/>
      <color theme="1"/>
      <name val="Arial"/>
      <family val="2"/>
    </font>
    <font>
      <sz val="11"/>
      <name val="細明體"/>
      <family val="3"/>
      <charset val="136"/>
    </font>
    <font>
      <sz val="11"/>
      <name val="Arial"/>
      <family val="3"/>
      <charset val="136"/>
    </font>
    <font>
      <sz val="11"/>
      <color theme="1"/>
      <name val="新細明體"/>
      <family val="2"/>
      <charset val="136"/>
    </font>
    <font>
      <sz val="11"/>
      <color theme="1"/>
      <name val="Arial"/>
      <family val="2"/>
      <charset val="136"/>
    </font>
    <font>
      <sz val="11"/>
      <color theme="1"/>
      <name val="細明體"/>
      <family val="3"/>
      <charset val="136"/>
    </font>
    <font>
      <b/>
      <sz val="11"/>
      <name val="Arial"/>
      <family val="2"/>
    </font>
    <font>
      <sz val="11"/>
      <color theme="0"/>
      <name val="Arial"/>
      <family val="2"/>
    </font>
    <font>
      <sz val="11"/>
      <color theme="0"/>
      <name val="新細明體"/>
      <family val="2"/>
      <charset val="136"/>
    </font>
    <font>
      <sz val="11"/>
      <color theme="0"/>
      <name val="細明體"/>
      <family val="3"/>
      <charset val="136"/>
    </font>
    <font>
      <b/>
      <sz val="11"/>
      <color theme="1"/>
      <name val="Arial"/>
      <family val="2"/>
    </font>
    <font>
      <b/>
      <sz val="12"/>
      <color theme="1"/>
      <name val="新細明體"/>
      <family val="1"/>
      <charset val="136"/>
    </font>
    <font>
      <sz val="12"/>
      <color theme="1"/>
      <name val="新細明體"/>
      <family val="2"/>
      <charset val="136"/>
    </font>
    <font>
      <b/>
      <sz val="12"/>
      <color theme="1"/>
      <name val="Arial"/>
      <family val="2"/>
    </font>
    <font>
      <sz val="12"/>
      <color theme="1"/>
      <name val="細明體"/>
      <family val="3"/>
      <charset val="136"/>
    </font>
    <font>
      <b/>
      <sz val="10"/>
      <color rgb="FF434343"/>
      <name val="Arial"/>
      <family val="2"/>
    </font>
    <font>
      <sz val="10"/>
      <color rgb="FF434343"/>
      <name val="Arial"/>
      <family val="2"/>
    </font>
    <font>
      <sz val="10"/>
      <color theme="1"/>
      <name val="微軟正黑體"/>
      <family val="2"/>
      <charset val="136"/>
    </font>
    <font>
      <sz val="10"/>
      <color theme="4" tint="-0.249977111117893"/>
      <name val="微軟正黑體"/>
      <family val="2"/>
      <charset val="136"/>
    </font>
    <font>
      <sz val="10"/>
      <color theme="0"/>
      <name val="微軟正黑體"/>
      <family val="2"/>
      <charset val="136"/>
    </font>
    <font>
      <u/>
      <sz val="12"/>
      <color theme="10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0"/>
      <name val="微軟正黑體"/>
      <family val="2"/>
      <charset val="136"/>
    </font>
    <font>
      <sz val="10"/>
      <color rgb="FFFF0000"/>
      <name val="微軟正黑體"/>
      <family val="2"/>
      <charset val="136"/>
    </font>
    <font>
      <sz val="10"/>
      <color rgb="FF232323"/>
      <name val="微軟正黑體"/>
      <family val="2"/>
      <charset val="136"/>
    </font>
    <font>
      <sz val="10"/>
      <color rgb="FF434343"/>
      <name val="微軟正黑體"/>
      <family val="2"/>
      <charset val="136"/>
    </font>
    <font>
      <sz val="11"/>
      <name val="微軟正黑體"/>
      <family val="2"/>
      <charset val="136"/>
    </font>
    <font>
      <sz val="11"/>
      <name val="Arial"/>
      <family val="2"/>
    </font>
    <font>
      <sz val="11"/>
      <name val="微軟正黑體"/>
      <family val="2"/>
      <charset val="136"/>
    </font>
    <font>
      <sz val="11"/>
      <color theme="1"/>
      <name val="微軟正黑體"/>
      <family val="2"/>
      <charset val="136"/>
    </font>
    <font>
      <u/>
      <sz val="11"/>
      <color theme="10"/>
      <name val="Arial"/>
      <family val="2"/>
    </font>
    <font>
      <u/>
      <sz val="11"/>
      <color theme="1"/>
      <name val="Arial"/>
      <family val="2"/>
    </font>
    <font>
      <sz val="12"/>
      <color theme="1"/>
      <name val="微軟正黑體"/>
      <family val="2"/>
      <charset val="136"/>
    </font>
    <font>
      <sz val="11"/>
      <name val="微軟正黑體"/>
      <family val="2"/>
      <charset val="136"/>
    </font>
    <font>
      <sz val="11"/>
      <color theme="1"/>
      <name val="微軟正黑體"/>
      <family val="2"/>
      <charset val="136"/>
    </font>
    <font>
      <u/>
      <sz val="11"/>
      <color theme="10"/>
      <name val="Arial"/>
      <family val="2"/>
    </font>
    <font>
      <u/>
      <sz val="11"/>
      <color theme="1"/>
      <name val="Arial"/>
      <family val="2"/>
    </font>
    <font>
      <sz val="11"/>
      <color theme="0"/>
      <name val="新細明體"/>
      <family val="1"/>
      <charset val="136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7EAF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0" tint="-0.249977111117893"/>
        <bgColor indexed="64"/>
      </patternFill>
    </fill>
  </fills>
  <borders count="30">
    <border>
      <left/>
      <right/>
      <top/>
      <bottom/>
      <diagonal/>
    </border>
    <border>
      <left style="medium">
        <color rgb="FFD2D2D2"/>
      </left>
      <right style="medium">
        <color rgb="FFD2D2D2"/>
      </right>
      <top style="medium">
        <color rgb="FFD2D2D2"/>
      </top>
      <bottom style="medium">
        <color rgb="FFD2D2D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DFDFDF"/>
      </left>
      <right style="medium">
        <color rgb="FFDFDFDF"/>
      </right>
      <top style="medium">
        <color rgb="FFE3E3E3"/>
      </top>
      <bottom style="medium">
        <color rgb="FFE3E3E3"/>
      </bottom>
      <diagonal/>
    </border>
    <border>
      <left style="medium">
        <color rgb="FFDFDFDF"/>
      </left>
      <right style="medium">
        <color rgb="FFD2D2D2"/>
      </right>
      <top style="medium">
        <color rgb="FFDFDFDF"/>
      </top>
      <bottom style="medium">
        <color rgb="FFA3C3DB"/>
      </bottom>
      <diagonal/>
    </border>
    <border>
      <left style="medium">
        <color rgb="FFD2D2D2"/>
      </left>
      <right style="medium">
        <color rgb="FFD2D2D2"/>
      </right>
      <top style="medium">
        <color rgb="FFDFDFDF"/>
      </top>
      <bottom style="medium">
        <color rgb="FFA3C3DB"/>
      </bottom>
      <diagonal/>
    </border>
    <border>
      <left style="medium">
        <color rgb="FFD2D2D2"/>
      </left>
      <right style="medium">
        <color rgb="FFDFDFDF"/>
      </right>
      <top style="medium">
        <color rgb="FFDFDFDF"/>
      </top>
      <bottom style="medium">
        <color rgb="FFA3C3DB"/>
      </bottom>
      <diagonal/>
    </border>
    <border>
      <left style="medium">
        <color rgb="FFDFDFDF"/>
      </left>
      <right style="medium">
        <color rgb="FFDFDFDF"/>
      </right>
      <top style="medium">
        <color rgb="FFE3E3E3"/>
      </top>
      <bottom style="medium">
        <color rgb="FFDFDFDF"/>
      </bottom>
      <diagonal/>
    </border>
    <border>
      <left style="medium">
        <color rgb="FFD2D2D2"/>
      </left>
      <right style="medium">
        <color rgb="FFD2D2D2"/>
      </right>
      <top style="medium">
        <color rgb="FFD2D2D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DFDFDF"/>
      </left>
      <right style="thin">
        <color rgb="FFD2D2D2"/>
      </right>
      <top style="thin">
        <color rgb="FFDFDFDF"/>
      </top>
      <bottom style="thin">
        <color rgb="FFA3C3DB"/>
      </bottom>
      <diagonal/>
    </border>
    <border>
      <left style="thin">
        <color rgb="FFD2D2D2"/>
      </left>
      <right style="thin">
        <color rgb="FFD2D2D2"/>
      </right>
      <top style="thin">
        <color rgb="FFDFDFDF"/>
      </top>
      <bottom style="thin">
        <color rgb="FFA3C3DB"/>
      </bottom>
      <diagonal/>
    </border>
    <border>
      <left style="thin">
        <color rgb="FFD2D2D2"/>
      </left>
      <right style="thin">
        <color rgb="FFDFDFDF"/>
      </right>
      <top style="thin">
        <color rgb="FFDFDFDF"/>
      </top>
      <bottom style="thin">
        <color rgb="FFA3C3DB"/>
      </bottom>
      <diagonal/>
    </border>
    <border>
      <left style="thin">
        <color rgb="FFDFDFDF"/>
      </left>
      <right style="thin">
        <color rgb="FFDFDFDF"/>
      </right>
      <top style="thin">
        <color rgb="FFE3E3E3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E3E3E3"/>
      </top>
      <bottom style="thin">
        <color rgb="FFE3E3E3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E3E3E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DFDFDF"/>
      </left>
      <right style="thin">
        <color rgb="FFD2D2D2"/>
      </right>
      <top style="thin">
        <color rgb="FFDFDFDF"/>
      </top>
      <bottom style="thin">
        <color rgb="FFDFDFDF"/>
      </bottom>
      <diagonal/>
    </border>
    <border>
      <left style="thin">
        <color rgb="FFD2D2D2"/>
      </left>
      <right style="thin">
        <color rgb="FFD2D2D2"/>
      </right>
      <top style="thin">
        <color rgb="FFDFDFDF"/>
      </top>
      <bottom style="thin">
        <color rgb="FFDFDFDF"/>
      </bottom>
      <diagonal/>
    </border>
    <border>
      <left style="thin">
        <color rgb="FFD2D2D2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/>
      <top/>
      <bottom/>
      <diagonal/>
    </border>
    <border>
      <left/>
      <right style="thin">
        <color rgb="FFDFDFDF"/>
      </right>
      <top/>
      <bottom/>
      <diagonal/>
    </border>
  </borders>
  <cellStyleXfs count="19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</cellStyleXfs>
  <cellXfs count="376">
    <xf numFmtId="0" fontId="0" fillId="0" borderId="0" xfId="0">
      <alignment vertical="center"/>
    </xf>
    <xf numFmtId="184" fontId="10" fillId="0" borderId="0" xfId="4" applyNumberFormat="1" applyFont="1" applyFill="1" applyAlignment="1">
      <alignment horizontal="right" vertical="center"/>
    </xf>
    <xf numFmtId="0" fontId="11" fillId="0" borderId="2" xfId="0" applyFont="1" applyBorder="1">
      <alignment vertical="center"/>
    </xf>
    <xf numFmtId="0" fontId="11" fillId="0" borderId="0" xfId="0" applyFont="1">
      <alignment vertical="center"/>
    </xf>
    <xf numFmtId="0" fontId="15" fillId="0" borderId="2" xfId="0" applyFont="1" applyBorder="1">
      <alignment vertical="center"/>
    </xf>
    <xf numFmtId="0" fontId="14" fillId="0" borderId="2" xfId="0" applyFont="1" applyBorder="1">
      <alignment vertical="center"/>
    </xf>
    <xf numFmtId="184" fontId="10" fillId="0" borderId="0" xfId="4" applyNumberFormat="1" applyFont="1" applyFill="1" applyAlignment="1">
      <alignment horizontal="left" vertical="center"/>
    </xf>
    <xf numFmtId="0" fontId="11" fillId="0" borderId="5" xfId="0" applyFont="1" applyBorder="1">
      <alignment vertical="center"/>
    </xf>
    <xf numFmtId="0" fontId="11" fillId="0" borderId="7" xfId="0" applyFont="1" applyBorder="1">
      <alignment vertical="center"/>
    </xf>
    <xf numFmtId="0" fontId="11" fillId="0" borderId="10" xfId="0" applyFont="1" applyBorder="1">
      <alignment vertical="center"/>
    </xf>
    <xf numFmtId="49" fontId="12" fillId="0" borderId="3" xfId="0" applyNumberFormat="1" applyFont="1" applyFill="1" applyBorder="1" applyAlignment="1">
      <alignment horizontal="right" vertical="center"/>
    </xf>
    <xf numFmtId="49" fontId="12" fillId="0" borderId="6" xfId="0" applyNumberFormat="1" applyFont="1" applyFill="1" applyBorder="1" applyAlignment="1">
      <alignment horizontal="right" vertical="center"/>
    </xf>
    <xf numFmtId="49" fontId="12" fillId="0" borderId="8" xfId="0" applyNumberFormat="1" applyFont="1" applyFill="1" applyBorder="1" applyAlignment="1">
      <alignment horizontal="right" vertical="center"/>
    </xf>
    <xf numFmtId="10" fontId="17" fillId="0" borderId="10" xfId="1" applyNumberFormat="1" applyFont="1" applyFill="1" applyBorder="1" applyAlignment="1">
      <alignment horizontal="right" vertical="center"/>
    </xf>
    <xf numFmtId="184" fontId="17" fillId="0" borderId="7" xfId="4" applyNumberFormat="1" applyFont="1" applyFill="1" applyBorder="1" applyAlignment="1">
      <alignment horizontal="right" vertical="center"/>
    </xf>
    <xf numFmtId="0" fontId="5" fillId="0" borderId="2" xfId="0" applyFont="1" applyBorder="1">
      <alignment vertical="center"/>
    </xf>
    <xf numFmtId="9" fontId="5" fillId="0" borderId="2" xfId="1" applyFont="1" applyBorder="1">
      <alignment vertical="center"/>
    </xf>
    <xf numFmtId="0" fontId="10" fillId="7" borderId="2" xfId="0" applyFont="1" applyFill="1" applyBorder="1">
      <alignment vertical="center"/>
    </xf>
    <xf numFmtId="0" fontId="18" fillId="6" borderId="3" xfId="0" applyFont="1" applyFill="1" applyBorder="1">
      <alignment vertical="center"/>
    </xf>
    <xf numFmtId="0" fontId="18" fillId="6" borderId="4" xfId="0" applyFont="1" applyFill="1" applyBorder="1">
      <alignment vertical="center"/>
    </xf>
    <xf numFmtId="0" fontId="18" fillId="6" borderId="6" xfId="0" applyFont="1" applyFill="1" applyBorder="1">
      <alignment vertical="center"/>
    </xf>
    <xf numFmtId="0" fontId="18" fillId="6" borderId="2" xfId="0" applyFont="1" applyFill="1" applyBorder="1">
      <alignment vertical="center"/>
    </xf>
    <xf numFmtId="0" fontId="20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20" fillId="6" borderId="2" xfId="0" applyFont="1" applyFill="1" applyBorder="1">
      <alignment vertical="center"/>
    </xf>
    <xf numFmtId="187" fontId="11" fillId="0" borderId="6" xfId="0" applyNumberFormat="1" applyFont="1" applyBorder="1" applyAlignment="1">
      <alignment horizontal="right" vertical="center"/>
    </xf>
    <xf numFmtId="0" fontId="11" fillId="0" borderId="6" xfId="0" applyFont="1" applyBorder="1" applyAlignment="1">
      <alignment horizontal="right" vertical="center"/>
    </xf>
    <xf numFmtId="0" fontId="11" fillId="0" borderId="8" xfId="0" applyFont="1" applyBorder="1" applyAlignment="1">
      <alignment horizontal="right" vertical="center"/>
    </xf>
    <xf numFmtId="9" fontId="21" fillId="0" borderId="0" xfId="1" applyFont="1">
      <alignment vertical="center"/>
    </xf>
    <xf numFmtId="10" fontId="11" fillId="0" borderId="2" xfId="1" applyNumberFormat="1" applyFont="1" applyFill="1" applyBorder="1">
      <alignment vertical="center"/>
    </xf>
    <xf numFmtId="0" fontId="11" fillId="0" borderId="2" xfId="0" applyFont="1" applyBorder="1" applyAlignment="1">
      <alignment horizontal="right" vertical="center"/>
    </xf>
    <xf numFmtId="0" fontId="14" fillId="0" borderId="2" xfId="0" applyFont="1" applyBorder="1" applyAlignment="1">
      <alignment horizontal="right" vertical="center"/>
    </xf>
    <xf numFmtId="180" fontId="11" fillId="0" borderId="2" xfId="1" applyNumberFormat="1" applyFont="1" applyFill="1" applyBorder="1">
      <alignment vertical="center"/>
    </xf>
    <xf numFmtId="186" fontId="10" fillId="7" borderId="2" xfId="4" applyNumberFormat="1" applyFont="1" applyFill="1" applyBorder="1">
      <alignment vertical="center"/>
    </xf>
    <xf numFmtId="186" fontId="10" fillId="0" borderId="2" xfId="4" applyNumberFormat="1" applyFont="1" applyBorder="1">
      <alignment vertical="center"/>
    </xf>
    <xf numFmtId="176" fontId="10" fillId="0" borderId="7" xfId="4" applyNumberFormat="1" applyFont="1" applyFill="1" applyBorder="1" applyAlignment="1">
      <alignment horizontal="right" vertical="center"/>
    </xf>
    <xf numFmtId="176" fontId="11" fillId="0" borderId="0" xfId="0" applyNumberFormat="1" applyFont="1">
      <alignment vertical="center"/>
    </xf>
    <xf numFmtId="0" fontId="15" fillId="0" borderId="9" xfId="0" applyFont="1" applyBorder="1">
      <alignment vertical="center"/>
    </xf>
    <xf numFmtId="184" fontId="13" fillId="0" borderId="0" xfId="4" applyNumberFormat="1" applyFont="1" applyFill="1" applyAlignment="1">
      <alignment horizontal="right" vertical="center"/>
    </xf>
    <xf numFmtId="0" fontId="11" fillId="0" borderId="0" xfId="0" applyFont="1" applyBorder="1">
      <alignment vertical="center"/>
    </xf>
    <xf numFmtId="180" fontId="11" fillId="0" borderId="0" xfId="1" applyNumberFormat="1" applyFont="1" applyFill="1" applyBorder="1">
      <alignment vertical="center"/>
    </xf>
    <xf numFmtId="10" fontId="11" fillId="0" borderId="0" xfId="1" applyNumberFormat="1" applyFont="1" applyFill="1" applyBorder="1">
      <alignment vertical="center"/>
    </xf>
    <xf numFmtId="0" fontId="5" fillId="0" borderId="2" xfId="0" applyFont="1" applyBorder="1" applyAlignment="1">
      <alignment vertical="center"/>
    </xf>
    <xf numFmtId="0" fontId="11" fillId="0" borderId="6" xfId="0" applyNumberFormat="1" applyFont="1" applyBorder="1" applyAlignment="1">
      <alignment horizontal="center" vertical="center"/>
    </xf>
    <xf numFmtId="0" fontId="11" fillId="0" borderId="8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0" fontId="11" fillId="0" borderId="7" xfId="0" applyNumberFormat="1" applyFont="1" applyBorder="1" applyAlignment="1">
      <alignment horizontal="right" vertical="center"/>
    </xf>
    <xf numFmtId="10" fontId="11" fillId="0" borderId="10" xfId="0" applyNumberFormat="1" applyFont="1" applyBorder="1" applyAlignment="1">
      <alignment horizontal="right" vertical="center"/>
    </xf>
    <xf numFmtId="0" fontId="24" fillId="0" borderId="0" xfId="0" applyFont="1">
      <alignment vertical="center"/>
    </xf>
    <xf numFmtId="0" fontId="4" fillId="0" borderId="0" xfId="0" applyFont="1">
      <alignment vertical="center"/>
    </xf>
    <xf numFmtId="180" fontId="4" fillId="0" borderId="0" xfId="0" applyNumberFormat="1" applyFont="1">
      <alignment vertical="center"/>
    </xf>
    <xf numFmtId="9" fontId="4" fillId="4" borderId="0" xfId="0" applyNumberFormat="1" applyFont="1" applyFill="1">
      <alignment vertical="center"/>
    </xf>
    <xf numFmtId="180" fontId="4" fillId="4" borderId="0" xfId="0" applyNumberFormat="1" applyFont="1" applyFill="1">
      <alignment vertical="center"/>
    </xf>
    <xf numFmtId="0" fontId="4" fillId="4" borderId="0" xfId="0" applyFont="1" applyFill="1">
      <alignment vertical="center"/>
    </xf>
    <xf numFmtId="9" fontId="4" fillId="0" borderId="0" xfId="0" applyNumberFormat="1" applyFont="1">
      <alignment vertical="center"/>
    </xf>
    <xf numFmtId="0" fontId="4" fillId="0" borderId="0" xfId="0" applyFont="1" applyFill="1">
      <alignment vertical="center"/>
    </xf>
    <xf numFmtId="0" fontId="25" fillId="0" borderId="0" xfId="0" applyFont="1">
      <alignment vertical="center"/>
    </xf>
    <xf numFmtId="0" fontId="23" fillId="0" borderId="0" xfId="0" applyFont="1">
      <alignment vertical="center"/>
    </xf>
    <xf numFmtId="0" fontId="20" fillId="0" borderId="0" xfId="0" applyFont="1" applyFill="1" applyBorder="1">
      <alignment vertical="center"/>
    </xf>
    <xf numFmtId="9" fontId="11" fillId="0" borderId="0" xfId="1" applyFont="1" applyFill="1" applyBorder="1">
      <alignment vertical="center"/>
    </xf>
    <xf numFmtId="0" fontId="5" fillId="0" borderId="0" xfId="0" applyFont="1" applyFill="1" applyBorder="1">
      <alignment vertical="center"/>
    </xf>
    <xf numFmtId="0" fontId="6" fillId="0" borderId="0" xfId="0" applyFont="1" applyFill="1" applyBorder="1">
      <alignment vertical="center"/>
    </xf>
    <xf numFmtId="186" fontId="5" fillId="0" borderId="0" xfId="4" applyNumberFormat="1" applyFont="1" applyFill="1" applyBorder="1">
      <alignment vertical="center"/>
    </xf>
    <xf numFmtId="0" fontId="9" fillId="0" borderId="0" xfId="0" applyFont="1" applyFill="1" applyBorder="1" applyAlignment="1">
      <alignment horizontal="right" vertical="center"/>
    </xf>
    <xf numFmtId="0" fontId="8" fillId="0" borderId="0" xfId="0" applyFont="1" applyFill="1" applyBorder="1" applyAlignment="1">
      <alignment horizontal="right" vertical="center"/>
    </xf>
    <xf numFmtId="184" fontId="8" fillId="0" borderId="0" xfId="0" applyNumberFormat="1" applyFont="1" applyFill="1" applyBorder="1" applyAlignment="1">
      <alignment vertical="center"/>
    </xf>
    <xf numFmtId="9" fontId="8" fillId="0" borderId="0" xfId="1" applyFont="1" applyFill="1" applyBorder="1">
      <alignment vertical="center"/>
    </xf>
    <xf numFmtId="0" fontId="27" fillId="2" borderId="11" xfId="0" applyFont="1" applyFill="1" applyBorder="1" applyAlignment="1">
      <alignment horizontal="left" vertical="center" indent="1"/>
    </xf>
    <xf numFmtId="0" fontId="26" fillId="3" borderId="12" xfId="0" applyFont="1" applyFill="1" applyBorder="1" applyAlignment="1">
      <alignment horizontal="center" vertical="center"/>
    </xf>
    <xf numFmtId="0" fontId="26" fillId="3" borderId="13" xfId="0" applyFont="1" applyFill="1" applyBorder="1" applyAlignment="1">
      <alignment horizontal="center" vertical="center"/>
    </xf>
    <xf numFmtId="0" fontId="26" fillId="3" borderId="14" xfId="0" applyFont="1" applyFill="1" applyBorder="1" applyAlignment="1">
      <alignment horizontal="center" vertical="center"/>
    </xf>
    <xf numFmtId="0" fontId="27" fillId="2" borderId="15" xfId="0" applyFont="1" applyFill="1" applyBorder="1" applyAlignment="1">
      <alignment horizontal="left" vertical="center" indent="1"/>
    </xf>
    <xf numFmtId="0" fontId="27" fillId="8" borderId="15" xfId="0" applyFont="1" applyFill="1" applyBorder="1" applyAlignment="1">
      <alignment horizontal="left" vertical="center" indent="1"/>
    </xf>
    <xf numFmtId="0" fontId="11" fillId="0" borderId="0" xfId="0" applyFont="1" applyAlignment="1">
      <alignment vertical="center"/>
    </xf>
    <xf numFmtId="188" fontId="17" fillId="0" borderId="5" xfId="4" applyNumberFormat="1" applyFont="1" applyFill="1" applyBorder="1" applyAlignment="1">
      <alignment horizontal="right" vertical="center"/>
    </xf>
    <xf numFmtId="0" fontId="28" fillId="0" borderId="2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left"/>
    </xf>
    <xf numFmtId="0" fontId="28" fillId="0" borderId="0" xfId="0" applyFont="1" applyAlignment="1"/>
    <xf numFmtId="0" fontId="30" fillId="6" borderId="2" xfId="0" applyFont="1" applyFill="1" applyBorder="1" applyAlignment="1">
      <alignment horizontal="center"/>
    </xf>
    <xf numFmtId="180" fontId="28" fillId="0" borderId="2" xfId="0" applyNumberFormat="1" applyFont="1" applyBorder="1" applyAlignment="1">
      <alignment horizontal="center"/>
    </xf>
    <xf numFmtId="0" fontId="30" fillId="6" borderId="2" xfId="0" applyFont="1" applyFill="1" applyBorder="1" applyAlignment="1">
      <alignment horizontal="right"/>
    </xf>
    <xf numFmtId="181" fontId="28" fillId="0" borderId="2" xfId="1" applyNumberFormat="1" applyFont="1" applyBorder="1" applyAlignment="1">
      <alignment horizontal="center"/>
    </xf>
    <xf numFmtId="0" fontId="31" fillId="0" borderId="0" xfId="2" applyFont="1" applyAlignment="1">
      <alignment horizontal="center" vertical="center"/>
    </xf>
    <xf numFmtId="0" fontId="32" fillId="4" borderId="0" xfId="0" applyFont="1" applyFill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28" fillId="0" borderId="0" xfId="0" applyFont="1" applyFill="1" applyBorder="1" applyAlignment="1">
      <alignment horizontal="right"/>
    </xf>
    <xf numFmtId="0" fontId="28" fillId="0" borderId="0" xfId="0" applyFont="1" applyFill="1" applyBorder="1" applyAlignment="1">
      <alignment horizontal="center"/>
    </xf>
    <xf numFmtId="1" fontId="28" fillId="0" borderId="0" xfId="0" applyNumberFormat="1" applyFont="1" applyFill="1" applyBorder="1" applyAlignment="1">
      <alignment horizontal="center"/>
    </xf>
    <xf numFmtId="0" fontId="30" fillId="0" borderId="0" xfId="0" applyFont="1" applyFill="1" applyBorder="1" applyAlignment="1">
      <alignment horizontal="right"/>
    </xf>
    <xf numFmtId="180" fontId="33" fillId="0" borderId="0" xfId="1" applyNumberFormat="1" applyFont="1" applyFill="1" applyBorder="1" applyAlignment="1">
      <alignment horizontal="center"/>
    </xf>
    <xf numFmtId="0" fontId="32" fillId="0" borderId="0" xfId="0" applyFont="1" applyFill="1" applyAlignment="1">
      <alignment horizontal="center" vertical="center"/>
    </xf>
    <xf numFmtId="181" fontId="28" fillId="0" borderId="2" xfId="1" applyNumberFormat="1" applyFont="1" applyFill="1" applyBorder="1" applyAlignment="1">
      <alignment horizontal="center"/>
    </xf>
    <xf numFmtId="0" fontId="28" fillId="0" borderId="0" xfId="0" applyFont="1" applyFill="1" applyAlignment="1"/>
    <xf numFmtId="1" fontId="28" fillId="0" borderId="2" xfId="0" applyNumberFormat="1" applyFont="1" applyFill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28" fillId="0" borderId="2" xfId="0" applyFont="1" applyBorder="1" applyAlignment="1">
      <alignment horizontal="center"/>
    </xf>
    <xf numFmtId="0" fontId="33" fillId="0" borderId="0" xfId="0" applyFont="1" applyFill="1" applyBorder="1" applyAlignment="1">
      <alignment horizontal="right"/>
    </xf>
    <xf numFmtId="180" fontId="30" fillId="6" borderId="2" xfId="4" applyNumberFormat="1" applyFont="1" applyFill="1" applyBorder="1" applyAlignment="1">
      <alignment horizontal="center"/>
    </xf>
    <xf numFmtId="180" fontId="33" fillId="0" borderId="2" xfId="4" applyNumberFormat="1" applyFont="1" applyFill="1" applyBorder="1" applyAlignment="1">
      <alignment horizontal="center"/>
    </xf>
    <xf numFmtId="180" fontId="33" fillId="0" borderId="0" xfId="4" applyNumberFormat="1" applyFont="1" applyFill="1" applyBorder="1" applyAlignment="1">
      <alignment horizontal="center"/>
    </xf>
    <xf numFmtId="180" fontId="28" fillId="0" borderId="0" xfId="0" applyNumberFormat="1" applyFont="1" applyFill="1" applyBorder="1" applyAlignment="1">
      <alignment horizontal="center"/>
    </xf>
    <xf numFmtId="185" fontId="28" fillId="0" borderId="2" xfId="3" applyNumberFormat="1" applyFont="1" applyFill="1" applyBorder="1" applyAlignment="1">
      <alignment horizontal="center"/>
    </xf>
    <xf numFmtId="185" fontId="28" fillId="7" borderId="2" xfId="3" applyNumberFormat="1" applyFont="1" applyFill="1" applyBorder="1" applyAlignment="1">
      <alignment horizontal="center" vertical="center"/>
    </xf>
    <xf numFmtId="181" fontId="30" fillId="6" borderId="2" xfId="1" applyNumberFormat="1" applyFont="1" applyFill="1" applyBorder="1" applyAlignment="1">
      <alignment horizontal="center"/>
    </xf>
    <xf numFmtId="181" fontId="33" fillId="0" borderId="2" xfId="1" applyNumberFormat="1" applyFont="1" applyFill="1" applyBorder="1" applyAlignment="1">
      <alignment horizontal="center"/>
    </xf>
    <xf numFmtId="181" fontId="33" fillId="0" borderId="0" xfId="1" applyNumberFormat="1" applyFont="1" applyFill="1" applyBorder="1" applyAlignment="1">
      <alignment horizontal="center"/>
    </xf>
    <xf numFmtId="184" fontId="28" fillId="0" borderId="2" xfId="1" applyNumberFormat="1" applyFont="1" applyFill="1" applyBorder="1" applyAlignment="1">
      <alignment horizontal="center"/>
    </xf>
    <xf numFmtId="181" fontId="28" fillId="0" borderId="0" xfId="1" applyNumberFormat="1" applyFont="1" applyFill="1" applyAlignment="1">
      <alignment horizontal="center"/>
    </xf>
    <xf numFmtId="184" fontId="28" fillId="0" borderId="0" xfId="1" applyNumberFormat="1" applyFont="1" applyFill="1" applyBorder="1" applyAlignment="1">
      <alignment horizontal="center"/>
    </xf>
    <xf numFmtId="0" fontId="34" fillId="0" borderId="2" xfId="0" applyFont="1" applyFill="1" applyBorder="1" applyAlignment="1"/>
    <xf numFmtId="9" fontId="28" fillId="0" borderId="2" xfId="1" applyFont="1" applyFill="1" applyBorder="1" applyAlignment="1">
      <alignment horizontal="center" vertical="center"/>
    </xf>
    <xf numFmtId="9" fontId="33" fillId="0" borderId="0" xfId="1" applyFont="1" applyFill="1" applyAlignment="1">
      <alignment horizontal="center" vertical="center"/>
    </xf>
    <xf numFmtId="0" fontId="31" fillId="0" borderId="0" xfId="2" applyFont="1" applyFill="1">
      <alignment vertical="center"/>
    </xf>
    <xf numFmtId="0" fontId="30" fillId="6" borderId="0" xfId="0" applyFont="1" applyFill="1" applyBorder="1" applyAlignment="1">
      <alignment horizontal="left"/>
    </xf>
    <xf numFmtId="0" fontId="28" fillId="6" borderId="0" xfId="0" applyFont="1" applyFill="1" applyBorder="1" applyAlignment="1">
      <alignment horizontal="center"/>
    </xf>
    <xf numFmtId="0" fontId="28" fillId="6" borderId="0" xfId="0" applyFont="1" applyFill="1" applyBorder="1" applyAlignment="1">
      <alignment horizontal="right"/>
    </xf>
    <xf numFmtId="1" fontId="28" fillId="6" borderId="0" xfId="0" applyNumberFormat="1" applyFont="1" applyFill="1" applyBorder="1" applyAlignment="1">
      <alignment horizontal="center"/>
    </xf>
    <xf numFmtId="184" fontId="28" fillId="6" borderId="0" xfId="1" applyNumberFormat="1" applyFont="1" applyFill="1" applyBorder="1" applyAlignment="1">
      <alignment horizontal="center"/>
    </xf>
    <xf numFmtId="184" fontId="28" fillId="6" borderId="0" xfId="1" applyNumberFormat="1" applyFont="1" applyFill="1" applyBorder="1" applyAlignment="1">
      <alignment horizontal="right"/>
    </xf>
    <xf numFmtId="184" fontId="28" fillId="6" borderId="0" xfId="0" applyNumberFormat="1" applyFont="1" applyFill="1" applyBorder="1" applyAlignment="1">
      <alignment horizontal="center"/>
    </xf>
    <xf numFmtId="0" fontId="31" fillId="6" borderId="0" xfId="2" applyFont="1" applyFill="1">
      <alignment vertical="center"/>
    </xf>
    <xf numFmtId="0" fontId="32" fillId="6" borderId="0" xfId="0" applyFont="1" applyFill="1" applyAlignment="1">
      <alignment horizontal="center" vertical="center"/>
    </xf>
    <xf numFmtId="0" fontId="28" fillId="0" borderId="2" xfId="0" applyFont="1" applyBorder="1" applyAlignment="1"/>
    <xf numFmtId="9" fontId="28" fillId="0" borderId="2" xfId="0" applyNumberFormat="1" applyFont="1" applyBorder="1" applyAlignment="1">
      <alignment horizontal="center"/>
    </xf>
    <xf numFmtId="9" fontId="28" fillId="0" borderId="2" xfId="0" applyNumberFormat="1" applyFont="1" applyFill="1" applyBorder="1" applyAlignment="1">
      <alignment horizontal="center"/>
    </xf>
    <xf numFmtId="180" fontId="28" fillId="0" borderId="2" xfId="0" applyNumberFormat="1" applyFont="1" applyFill="1" applyBorder="1" applyAlignment="1">
      <alignment horizontal="center"/>
    </xf>
    <xf numFmtId="9" fontId="28" fillId="0" borderId="2" xfId="1" applyNumberFormat="1" applyFont="1" applyFill="1" applyBorder="1" applyAlignment="1">
      <alignment horizontal="right"/>
    </xf>
    <xf numFmtId="2" fontId="28" fillId="0" borderId="2" xfId="0" applyNumberFormat="1" applyFont="1" applyFill="1" applyBorder="1" applyAlignment="1">
      <alignment horizontal="center"/>
    </xf>
    <xf numFmtId="0" fontId="33" fillId="0" borderId="0" xfId="0" applyFont="1" applyFill="1" applyAlignment="1"/>
    <xf numFmtId="180" fontId="28" fillId="0" borderId="2" xfId="0" applyNumberFormat="1" applyFont="1" applyFill="1" applyBorder="1" applyAlignment="1">
      <alignment horizontal="center" vertical="center"/>
    </xf>
    <xf numFmtId="0" fontId="35" fillId="0" borderId="2" xfId="0" applyFont="1" applyBorder="1" applyAlignment="1">
      <alignment horizontal="right"/>
    </xf>
    <xf numFmtId="178" fontId="33" fillId="0" borderId="2" xfId="4" applyFont="1" applyBorder="1" applyAlignment="1">
      <alignment horizontal="center"/>
    </xf>
    <xf numFmtId="0" fontId="28" fillId="0" borderId="0" xfId="0" applyFont="1" applyFill="1" applyAlignment="1">
      <alignment horizontal="right"/>
    </xf>
    <xf numFmtId="2" fontId="28" fillId="0" borderId="0" xfId="0" applyNumberFormat="1" applyFont="1" applyFill="1" applyAlignment="1"/>
    <xf numFmtId="0" fontId="28" fillId="0" borderId="0" xfId="0" applyFont="1" applyFill="1" applyBorder="1" applyAlignment="1"/>
    <xf numFmtId="0" fontId="28" fillId="0" borderId="0" xfId="0" applyFont="1" applyFill="1" applyAlignment="1">
      <alignment horizontal="right" vertical="center"/>
    </xf>
    <xf numFmtId="0" fontId="28" fillId="0" borderId="2" xfId="0" applyFont="1" applyFill="1" applyBorder="1" applyAlignment="1">
      <alignment horizontal="center" vertical="center"/>
    </xf>
    <xf numFmtId="0" fontId="28" fillId="0" borderId="0" xfId="0" applyFont="1" applyAlignment="1">
      <alignment horizontal="center"/>
    </xf>
    <xf numFmtId="0" fontId="30" fillId="0" borderId="0" xfId="0" applyFont="1" applyFill="1" applyBorder="1" applyAlignment="1">
      <alignment horizontal="center"/>
    </xf>
    <xf numFmtId="0" fontId="33" fillId="0" borderId="2" xfId="0" applyFont="1" applyBorder="1" applyAlignment="1"/>
    <xf numFmtId="178" fontId="28" fillId="0" borderId="2" xfId="4" applyFont="1" applyBorder="1" applyAlignment="1"/>
    <xf numFmtId="0" fontId="28" fillId="0" borderId="2" xfId="0" applyFont="1" applyFill="1" applyBorder="1" applyAlignment="1"/>
    <xf numFmtId="181" fontId="28" fillId="0" borderId="2" xfId="0" applyNumberFormat="1" applyFont="1" applyFill="1" applyBorder="1" applyAlignment="1"/>
    <xf numFmtId="0" fontId="30" fillId="6" borderId="2" xfId="0" applyFont="1" applyFill="1" applyBorder="1" applyAlignment="1">
      <alignment horizontal="left"/>
    </xf>
    <xf numFmtId="181" fontId="28" fillId="0" borderId="2" xfId="1" applyNumberFormat="1" applyFont="1" applyFill="1" applyBorder="1" applyAlignment="1"/>
    <xf numFmtId="180" fontId="28" fillId="0" borderId="0" xfId="0" applyNumberFormat="1" applyFont="1" applyAlignment="1"/>
    <xf numFmtId="177" fontId="28" fillId="0" borderId="2" xfId="4" applyNumberFormat="1" applyFont="1" applyFill="1" applyBorder="1" applyAlignment="1">
      <alignment horizontal="center"/>
    </xf>
    <xf numFmtId="9" fontId="28" fillId="0" borderId="2" xfId="1" applyNumberFormat="1" applyFont="1" applyFill="1" applyBorder="1" applyAlignment="1">
      <alignment horizontal="center"/>
    </xf>
    <xf numFmtId="9" fontId="28" fillId="0" borderId="2" xfId="1" applyFont="1" applyFill="1" applyBorder="1" applyAlignment="1">
      <alignment horizontal="center"/>
    </xf>
    <xf numFmtId="177" fontId="28" fillId="0" borderId="0" xfId="0" applyNumberFormat="1" applyFont="1" applyFill="1" applyAlignment="1">
      <alignment horizontal="center"/>
    </xf>
    <xf numFmtId="0" fontId="33" fillId="0" borderId="2" xfId="0" applyFont="1" applyFill="1" applyBorder="1" applyAlignment="1"/>
    <xf numFmtId="178" fontId="28" fillId="0" borderId="2" xfId="4" applyFont="1" applyFill="1" applyBorder="1" applyAlignment="1"/>
    <xf numFmtId="184" fontId="28" fillId="0" borderId="2" xfId="4" applyNumberFormat="1" applyFont="1" applyFill="1" applyBorder="1" applyAlignment="1">
      <alignment horizontal="center"/>
    </xf>
    <xf numFmtId="0" fontId="28" fillId="0" borderId="0" xfId="0" applyFont="1" applyFill="1" applyAlignment="1">
      <alignment horizontal="center" vertical="center"/>
    </xf>
    <xf numFmtId="0" fontId="33" fillId="0" borderId="2" xfId="0" applyFont="1" applyBorder="1" applyAlignment="1">
      <alignment vertical="center"/>
    </xf>
    <xf numFmtId="178" fontId="33" fillId="0" borderId="2" xfId="4" applyFont="1" applyBorder="1" applyAlignment="1">
      <alignment horizontal="right"/>
    </xf>
    <xf numFmtId="0" fontId="33" fillId="0" borderId="2" xfId="0" applyFont="1" applyBorder="1" applyAlignment="1">
      <alignment horizontal="right"/>
    </xf>
    <xf numFmtId="9" fontId="33" fillId="0" borderId="2" xfId="1" applyFont="1" applyBorder="1" applyAlignment="1">
      <alignment horizontal="center"/>
    </xf>
    <xf numFmtId="185" fontId="28" fillId="5" borderId="0" xfId="0" applyNumberFormat="1" applyFont="1" applyFill="1" applyAlignment="1">
      <alignment horizontal="right"/>
    </xf>
    <xf numFmtId="185" fontId="28" fillId="5" borderId="0" xfId="0" applyNumberFormat="1" applyFont="1" applyFill="1" applyAlignment="1"/>
    <xf numFmtId="9" fontId="33" fillId="0" borderId="2" xfId="1" applyFont="1" applyBorder="1" applyAlignment="1">
      <alignment horizontal="right"/>
    </xf>
    <xf numFmtId="9" fontId="28" fillId="0" borderId="2" xfId="1" applyFont="1" applyBorder="1" applyAlignment="1"/>
    <xf numFmtId="184" fontId="28" fillId="0" borderId="0" xfId="0" applyNumberFormat="1" applyFont="1" applyFill="1" applyBorder="1" applyAlignment="1">
      <alignment horizontal="center"/>
    </xf>
    <xf numFmtId="0" fontId="33" fillId="0" borderId="2" xfId="0" applyFont="1" applyFill="1" applyBorder="1" applyAlignment="1">
      <alignment vertical="center"/>
    </xf>
    <xf numFmtId="181" fontId="28" fillId="0" borderId="2" xfId="1" applyNumberFormat="1" applyFont="1" applyBorder="1" applyAlignment="1"/>
    <xf numFmtId="9" fontId="33" fillId="0" borderId="2" xfId="1" applyNumberFormat="1" applyFont="1" applyFill="1" applyBorder="1" applyAlignment="1">
      <alignment horizontal="center"/>
    </xf>
    <xf numFmtId="185" fontId="28" fillId="0" borderId="0" xfId="0" applyNumberFormat="1" applyFont="1" applyFill="1" applyAlignment="1">
      <alignment horizontal="right"/>
    </xf>
    <xf numFmtId="180" fontId="28" fillId="0" borderId="2" xfId="0" applyNumberFormat="1" applyFont="1" applyBorder="1" applyAlignment="1">
      <alignment horizontal="right"/>
    </xf>
    <xf numFmtId="9" fontId="28" fillId="0" borderId="2" xfId="1" applyFont="1" applyFill="1" applyBorder="1" applyAlignment="1">
      <alignment horizontal="right"/>
    </xf>
    <xf numFmtId="184" fontId="28" fillId="0" borderId="2" xfId="0" applyNumberFormat="1" applyFont="1" applyBorder="1" applyAlignment="1"/>
    <xf numFmtId="9" fontId="28" fillId="0" borderId="2" xfId="1" applyFont="1" applyFill="1" applyBorder="1" applyAlignment="1">
      <alignment horizontal="right" vertical="center"/>
    </xf>
    <xf numFmtId="184" fontId="28" fillId="0" borderId="2" xfId="3" applyNumberFormat="1" applyFont="1" applyFill="1" applyBorder="1" applyAlignment="1">
      <alignment horizontal="right"/>
    </xf>
    <xf numFmtId="181" fontId="33" fillId="0" borderId="2" xfId="1" applyNumberFormat="1" applyFont="1" applyBorder="1" applyAlignment="1">
      <alignment horizontal="right"/>
    </xf>
    <xf numFmtId="9" fontId="28" fillId="0" borderId="2" xfId="1" applyFont="1" applyBorder="1" applyAlignment="1">
      <alignment horizontal="center"/>
    </xf>
    <xf numFmtId="185" fontId="28" fillId="0" borderId="0" xfId="0" applyNumberFormat="1" applyFont="1" applyFill="1" applyBorder="1" applyAlignment="1"/>
    <xf numFmtId="185" fontId="28" fillId="0" borderId="0" xfId="0" applyNumberFormat="1" applyFont="1" applyAlignment="1"/>
    <xf numFmtId="180" fontId="33" fillId="0" borderId="2" xfId="1" applyNumberFormat="1" applyFont="1" applyBorder="1" applyAlignment="1">
      <alignment horizontal="right"/>
    </xf>
    <xf numFmtId="182" fontId="28" fillId="0" borderId="2" xfId="3" applyNumberFormat="1" applyFont="1" applyFill="1" applyBorder="1" applyAlignment="1">
      <alignment horizontal="right"/>
    </xf>
    <xf numFmtId="185" fontId="28" fillId="0" borderId="0" xfId="0" applyNumberFormat="1" applyFont="1" applyFill="1" applyAlignment="1"/>
    <xf numFmtId="179" fontId="28" fillId="0" borderId="2" xfId="3" applyNumberFormat="1" applyFont="1" applyFill="1" applyBorder="1" applyAlignment="1">
      <alignment horizontal="right"/>
    </xf>
    <xf numFmtId="180" fontId="28" fillId="0" borderId="2" xfId="1" applyNumberFormat="1" applyFont="1" applyFill="1" applyBorder="1" applyAlignment="1"/>
    <xf numFmtId="0" fontId="33" fillId="0" borderId="0" xfId="0" applyFont="1" applyBorder="1" applyAlignment="1"/>
    <xf numFmtId="180" fontId="28" fillId="0" borderId="2" xfId="1" applyNumberFormat="1" applyFont="1" applyFill="1" applyBorder="1" applyAlignment="1">
      <alignment horizontal="right"/>
    </xf>
    <xf numFmtId="0" fontId="30" fillId="6" borderId="0" xfId="0" applyFont="1" applyFill="1" applyAlignment="1"/>
    <xf numFmtId="0" fontId="28" fillId="6" borderId="0" xfId="0" applyFont="1" applyFill="1" applyAlignment="1"/>
    <xf numFmtId="181" fontId="28" fillId="0" borderId="0" xfId="1" applyNumberFormat="1" applyFont="1" applyFill="1" applyAlignment="1"/>
    <xf numFmtId="0" fontId="28" fillId="4" borderId="2" xfId="0" applyFont="1" applyFill="1" applyBorder="1" applyAlignment="1"/>
    <xf numFmtId="180" fontId="28" fillId="0" borderId="0" xfId="1" applyNumberFormat="1" applyFont="1" applyFill="1" applyBorder="1" applyAlignment="1">
      <alignment horizontal="right"/>
    </xf>
    <xf numFmtId="180" fontId="28" fillId="0" borderId="2" xfId="0" applyNumberFormat="1" applyFont="1" applyFill="1" applyBorder="1" applyAlignment="1"/>
    <xf numFmtId="180" fontId="28" fillId="0" borderId="0" xfId="0" applyNumberFormat="1" applyFont="1" applyFill="1" applyBorder="1" applyAlignment="1">
      <alignment horizontal="right"/>
    </xf>
    <xf numFmtId="180" fontId="28" fillId="0" borderId="0" xfId="1" applyNumberFormat="1" applyFont="1" applyFill="1" applyBorder="1" applyAlignment="1">
      <alignment horizontal="center"/>
    </xf>
    <xf numFmtId="0" fontId="28" fillId="6" borderId="2" xfId="0" applyFont="1" applyFill="1" applyBorder="1" applyAlignment="1">
      <alignment horizontal="center"/>
    </xf>
    <xf numFmtId="178" fontId="28" fillId="0" borderId="2" xfId="0" applyNumberFormat="1" applyFont="1" applyBorder="1" applyAlignment="1"/>
    <xf numFmtId="184" fontId="28" fillId="4" borderId="2" xfId="0" quotePrefix="1" applyNumberFormat="1" applyFont="1" applyFill="1" applyBorder="1" applyAlignment="1">
      <alignment horizontal="center"/>
    </xf>
    <xf numFmtId="184" fontId="35" fillId="0" borderId="2" xfId="0" applyNumberFormat="1" applyFont="1" applyBorder="1" applyAlignment="1">
      <alignment horizontal="left"/>
    </xf>
    <xf numFmtId="182" fontId="28" fillId="0" borderId="2" xfId="3" applyNumberFormat="1" applyFont="1" applyBorder="1" applyAlignment="1"/>
    <xf numFmtId="3" fontId="28" fillId="0" borderId="0" xfId="0" applyNumberFormat="1" applyFont="1" applyAlignment="1"/>
    <xf numFmtId="184" fontId="35" fillId="0" borderId="2" xfId="0" quotePrefix="1" applyNumberFormat="1" applyFont="1" applyBorder="1" applyAlignment="1">
      <alignment horizontal="left"/>
    </xf>
    <xf numFmtId="0" fontId="35" fillId="4" borderId="2" xfId="0" applyFont="1" applyFill="1" applyBorder="1" applyAlignment="1"/>
    <xf numFmtId="181" fontId="28" fillId="0" borderId="2" xfId="4" applyNumberFormat="1" applyFont="1" applyFill="1" applyBorder="1" applyAlignment="1">
      <alignment horizontal="center"/>
    </xf>
    <xf numFmtId="0" fontId="28" fillId="0" borderId="2" xfId="0" applyFont="1" applyBorder="1" applyAlignment="1">
      <alignment vertical="center"/>
    </xf>
    <xf numFmtId="184" fontId="35" fillId="4" borderId="2" xfId="0" applyNumberFormat="1" applyFont="1" applyFill="1" applyBorder="1" applyAlignment="1">
      <alignment horizontal="right" vertical="center" indent="1"/>
    </xf>
    <xf numFmtId="0" fontId="35" fillId="0" borderId="2" xfId="0" applyFont="1" applyFill="1" applyBorder="1" applyAlignment="1">
      <alignment horizontal="left" vertical="center" indent="1"/>
    </xf>
    <xf numFmtId="184" fontId="28" fillId="0" borderId="2" xfId="0" applyNumberFormat="1" applyFont="1" applyBorder="1" applyAlignment="1">
      <alignment horizontal="center" vertical="center"/>
    </xf>
    <xf numFmtId="180" fontId="28" fillId="0" borderId="2" xfId="3" applyNumberFormat="1" applyFont="1" applyBorder="1" applyAlignment="1"/>
    <xf numFmtId="180" fontId="28" fillId="0" borderId="2" xfId="3" applyNumberFormat="1" applyFont="1" applyFill="1" applyBorder="1" applyAlignment="1"/>
    <xf numFmtId="9" fontId="28" fillId="0" borderId="0" xfId="1" applyFont="1" applyFill="1" applyBorder="1" applyAlignment="1">
      <alignment horizontal="center"/>
    </xf>
    <xf numFmtId="10" fontId="33" fillId="0" borderId="2" xfId="1" applyNumberFormat="1" applyFont="1" applyBorder="1" applyAlignment="1"/>
    <xf numFmtId="181" fontId="33" fillId="0" borderId="2" xfId="1" applyNumberFormat="1" applyFont="1" applyBorder="1" applyAlignment="1"/>
    <xf numFmtId="9" fontId="28" fillId="0" borderId="0" xfId="1" applyFont="1" applyAlignment="1"/>
    <xf numFmtId="9" fontId="28" fillId="9" borderId="0" xfId="1" applyFont="1" applyFill="1" applyBorder="1" applyAlignment="1">
      <alignment horizontal="center"/>
    </xf>
    <xf numFmtId="0" fontId="28" fillId="4" borderId="2" xfId="0" applyFont="1" applyFill="1" applyBorder="1" applyAlignment="1">
      <alignment vertical="center"/>
    </xf>
    <xf numFmtId="180" fontId="28" fillId="0" borderId="2" xfId="0" applyNumberFormat="1" applyFont="1" applyBorder="1" applyAlignment="1">
      <alignment vertical="center"/>
    </xf>
    <xf numFmtId="0" fontId="35" fillId="4" borderId="2" xfId="0" applyFont="1" applyFill="1" applyBorder="1" applyAlignment="1">
      <alignment horizontal="left" vertical="center" indent="1"/>
    </xf>
    <xf numFmtId="10" fontId="28" fillId="0" borderId="2" xfId="1" applyNumberFormat="1" applyFont="1" applyFill="1" applyBorder="1" applyAlignment="1"/>
    <xf numFmtId="9" fontId="28" fillId="0" borderId="0" xfId="0" applyNumberFormat="1" applyFont="1" applyAlignment="1"/>
    <xf numFmtId="0" fontId="28" fillId="0" borderId="0" xfId="0" applyFont="1" applyFill="1" applyBorder="1" applyAlignment="1">
      <alignment vertical="center"/>
    </xf>
    <xf numFmtId="180" fontId="28" fillId="0" borderId="0" xfId="0" applyNumberFormat="1" applyFont="1" applyFill="1" applyBorder="1" applyAlignment="1">
      <alignment vertical="center"/>
    </xf>
    <xf numFmtId="0" fontId="30" fillId="6" borderId="0" xfId="0" applyFont="1" applyFill="1" applyBorder="1" applyAlignment="1">
      <alignment vertical="center"/>
    </xf>
    <xf numFmtId="180" fontId="28" fillId="6" borderId="0" xfId="0" applyNumberFormat="1" applyFont="1" applyFill="1" applyBorder="1" applyAlignment="1">
      <alignment vertical="center"/>
    </xf>
    <xf numFmtId="0" fontId="28" fillId="6" borderId="0" xfId="0" applyFont="1" applyFill="1" applyBorder="1" applyAlignment="1"/>
    <xf numFmtId="0" fontId="35" fillId="0" borderId="0" xfId="0" applyFont="1" applyAlignment="1"/>
    <xf numFmtId="0" fontId="35" fillId="2" borderId="0" xfId="0" applyFont="1" applyFill="1" applyBorder="1" applyAlignment="1">
      <alignment horizontal="right" vertical="center" indent="1"/>
    </xf>
    <xf numFmtId="0" fontId="35" fillId="2" borderId="1" xfId="0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3" fontId="36" fillId="8" borderId="11" xfId="0" applyNumberFormat="1" applyFont="1" applyFill="1" applyBorder="1" applyAlignment="1">
      <alignment horizontal="left" vertical="center" indent="1"/>
    </xf>
    <xf numFmtId="0" fontId="35" fillId="3" borderId="16" xfId="0" applyFont="1" applyFill="1" applyBorder="1" applyAlignment="1">
      <alignment vertical="center"/>
    </xf>
    <xf numFmtId="0" fontId="36" fillId="2" borderId="11" xfId="0" applyFont="1" applyFill="1" applyBorder="1" applyAlignment="1">
      <alignment horizontal="left" vertical="center" indent="1"/>
    </xf>
    <xf numFmtId="0" fontId="35" fillId="2" borderId="16" xfId="0" applyFont="1" applyFill="1" applyBorder="1" applyAlignment="1">
      <alignment vertical="center"/>
    </xf>
    <xf numFmtId="0" fontId="35" fillId="0" borderId="0" xfId="0" applyFont="1" applyFill="1" applyBorder="1" applyAlignment="1">
      <alignment vertical="center"/>
    </xf>
    <xf numFmtId="0" fontId="35" fillId="0" borderId="0" xfId="0" applyFont="1" applyFill="1" applyBorder="1" applyAlignment="1">
      <alignment horizontal="right" vertical="center" indent="1"/>
    </xf>
    <xf numFmtId="0" fontId="35" fillId="2" borderId="0" xfId="0" applyFont="1" applyFill="1" applyBorder="1" applyAlignment="1">
      <alignment vertical="center"/>
    </xf>
    <xf numFmtId="0" fontId="35" fillId="4" borderId="0" xfId="0" applyFont="1" applyFill="1" applyBorder="1" applyAlignment="1">
      <alignment vertical="center"/>
    </xf>
    <xf numFmtId="9" fontId="35" fillId="4" borderId="0" xfId="1" applyFont="1" applyFill="1" applyBorder="1" applyAlignment="1">
      <alignment horizontal="right" vertical="center" indent="1"/>
    </xf>
    <xf numFmtId="0" fontId="28" fillId="0" borderId="0" xfId="0" applyFont="1" applyAlignment="1">
      <alignment horizontal="right"/>
    </xf>
    <xf numFmtId="9" fontId="33" fillId="0" borderId="2" xfId="1" applyNumberFormat="1" applyFont="1" applyBorder="1" applyAlignment="1">
      <alignment horizontal="center"/>
    </xf>
    <xf numFmtId="9" fontId="28" fillId="0" borderId="17" xfId="1" applyFont="1" applyBorder="1" applyAlignment="1"/>
    <xf numFmtId="0" fontId="26" fillId="3" borderId="18" xfId="0" applyFont="1" applyFill="1" applyBorder="1" applyAlignment="1">
      <alignment vertical="center" wrapText="1"/>
    </xf>
    <xf numFmtId="0" fontId="26" fillId="3" borderId="19" xfId="0" applyFont="1" applyFill="1" applyBorder="1" applyAlignment="1">
      <alignment vertical="center" wrapText="1"/>
    </xf>
    <xf numFmtId="0" fontId="26" fillId="3" borderId="20" xfId="0" applyFont="1" applyFill="1" applyBorder="1" applyAlignment="1">
      <alignment vertical="center" wrapText="1"/>
    </xf>
    <xf numFmtId="0" fontId="27" fillId="2" borderId="21" xfId="0" applyFont="1" applyFill="1" applyBorder="1" applyAlignment="1">
      <alignment vertical="center" wrapText="1"/>
    </xf>
    <xf numFmtId="3" fontId="27" fillId="2" borderId="22" xfId="0" applyNumberFormat="1" applyFont="1" applyFill="1" applyBorder="1" applyAlignment="1">
      <alignment vertical="center" wrapText="1"/>
    </xf>
    <xf numFmtId="3" fontId="27" fillId="8" borderId="22" xfId="0" applyNumberFormat="1" applyFont="1" applyFill="1" applyBorder="1" applyAlignment="1">
      <alignment vertical="center" wrapText="1"/>
    </xf>
    <xf numFmtId="0" fontId="27" fillId="2" borderId="22" xfId="0" applyFont="1" applyFill="1" applyBorder="1" applyAlignment="1">
      <alignment vertical="center" wrapText="1"/>
    </xf>
    <xf numFmtId="3" fontId="27" fillId="8" borderId="21" xfId="0" applyNumberFormat="1" applyFont="1" applyFill="1" applyBorder="1" applyAlignment="1">
      <alignment vertical="center" wrapText="1"/>
    </xf>
    <xf numFmtId="0" fontId="27" fillId="8" borderId="22" xfId="0" applyFont="1" applyFill="1" applyBorder="1" applyAlignment="1">
      <alignment vertical="center" wrapText="1"/>
    </xf>
    <xf numFmtId="0" fontId="27" fillId="8" borderId="21" xfId="0" applyFont="1" applyFill="1" applyBorder="1" applyAlignment="1">
      <alignment vertical="center" wrapText="1"/>
    </xf>
    <xf numFmtId="3" fontId="27" fillId="2" borderId="21" xfId="0" applyNumberFormat="1" applyFont="1" applyFill="1" applyBorder="1" applyAlignment="1">
      <alignment vertical="center" wrapText="1"/>
    </xf>
    <xf numFmtId="0" fontId="26" fillId="2" borderId="23" xfId="0" applyFont="1" applyFill="1" applyBorder="1" applyAlignment="1">
      <alignment vertical="center" wrapText="1"/>
    </xf>
    <xf numFmtId="0" fontId="26" fillId="3" borderId="22" xfId="0" applyFont="1" applyFill="1" applyBorder="1" applyAlignment="1">
      <alignment vertical="center" wrapText="1"/>
    </xf>
    <xf numFmtId="0" fontId="26" fillId="2" borderId="22" xfId="0" applyFont="1" applyFill="1" applyBorder="1" applyAlignment="1">
      <alignment vertical="center" wrapText="1"/>
    </xf>
    <xf numFmtId="0" fontId="26" fillId="3" borderId="21" xfId="0" applyFont="1" applyFill="1" applyBorder="1" applyAlignment="1">
      <alignment vertical="center" wrapText="1"/>
    </xf>
    <xf numFmtId="3" fontId="28" fillId="4" borderId="0" xfId="0" applyNumberFormat="1" applyFont="1" applyFill="1" applyAlignment="1"/>
    <xf numFmtId="185" fontId="28" fillId="0" borderId="2" xfId="1" applyNumberFormat="1" applyFont="1" applyFill="1" applyBorder="1" applyAlignment="1">
      <alignment horizontal="right"/>
    </xf>
    <xf numFmtId="184" fontId="28" fillId="0" borderId="2" xfId="1" applyNumberFormat="1" applyFont="1" applyFill="1" applyBorder="1" applyAlignment="1">
      <alignment horizontal="right"/>
    </xf>
    <xf numFmtId="184" fontId="33" fillId="0" borderId="0" xfId="1" applyNumberFormat="1" applyFont="1" applyFill="1" applyBorder="1" applyAlignment="1"/>
    <xf numFmtId="180" fontId="28" fillId="6" borderId="0" xfId="0" applyNumberFormat="1" applyFont="1" applyFill="1" applyBorder="1" applyAlignment="1">
      <alignment horizontal="center"/>
    </xf>
    <xf numFmtId="3" fontId="27" fillId="8" borderId="23" xfId="0" applyNumberFormat="1" applyFont="1" applyFill="1" applyBorder="1" applyAlignment="1">
      <alignment vertical="center" wrapText="1"/>
    </xf>
    <xf numFmtId="0" fontId="37" fillId="0" borderId="24" xfId="0" applyFont="1" applyFill="1" applyBorder="1" applyAlignment="1">
      <alignment horizontal="center" vertical="center"/>
    </xf>
    <xf numFmtId="9" fontId="11" fillId="0" borderId="2" xfId="0" applyNumberFormat="1" applyFont="1" applyBorder="1">
      <alignment vertical="center"/>
    </xf>
    <xf numFmtId="180" fontId="11" fillId="0" borderId="2" xfId="0" applyNumberFormat="1" applyFont="1" applyBorder="1" applyAlignment="1">
      <alignment horizontal="center" vertical="center"/>
    </xf>
    <xf numFmtId="0" fontId="26" fillId="3" borderId="25" xfId="0" applyFont="1" applyFill="1" applyBorder="1" applyAlignment="1">
      <alignment vertical="center" wrapText="1"/>
    </xf>
    <xf numFmtId="0" fontId="26" fillId="3" borderId="26" xfId="0" applyFont="1" applyFill="1" applyBorder="1" applyAlignment="1">
      <alignment vertical="center" wrapText="1"/>
    </xf>
    <xf numFmtId="0" fontId="26" fillId="3" borderId="27" xfId="0" applyFont="1" applyFill="1" applyBorder="1" applyAlignment="1">
      <alignment vertical="center" wrapText="1"/>
    </xf>
    <xf numFmtId="0" fontId="27" fillId="2" borderId="23" xfId="0" applyFont="1" applyFill="1" applyBorder="1" applyAlignment="1">
      <alignment vertical="center" wrapText="1"/>
    </xf>
    <xf numFmtId="176" fontId="37" fillId="0" borderId="0" xfId="1" applyNumberFormat="1" applyFont="1" applyFill="1" applyAlignment="1">
      <alignment horizontal="right" vertical="center"/>
    </xf>
    <xf numFmtId="180" fontId="11" fillId="4" borderId="2" xfId="0" applyNumberFormat="1" applyFont="1" applyFill="1" applyBorder="1" applyAlignment="1">
      <alignment horizontal="center" vertical="center"/>
    </xf>
    <xf numFmtId="184" fontId="12" fillId="0" borderId="0" xfId="4" applyNumberFormat="1" applyFont="1" applyFill="1" applyAlignment="1">
      <alignment horizontal="right" vertical="center"/>
    </xf>
    <xf numFmtId="10" fontId="17" fillId="0" borderId="0" xfId="1" applyNumberFormat="1" applyFont="1" applyFill="1" applyAlignment="1">
      <alignment horizontal="right" vertical="center"/>
    </xf>
    <xf numFmtId="3" fontId="27" fillId="2" borderId="15" xfId="0" applyNumberFormat="1" applyFont="1" applyFill="1" applyBorder="1" applyAlignment="1">
      <alignment horizontal="left" vertical="center" indent="1"/>
    </xf>
    <xf numFmtId="0" fontId="10" fillId="0" borderId="2" xfId="0" applyFont="1" applyFill="1" applyBorder="1">
      <alignment vertical="center"/>
    </xf>
    <xf numFmtId="9" fontId="28" fillId="0" borderId="0" xfId="1" applyNumberFormat="1" applyFont="1" applyFill="1" applyBorder="1" applyAlignment="1">
      <alignment horizontal="right"/>
    </xf>
    <xf numFmtId="3" fontId="27" fillId="2" borderId="11" xfId="0" applyNumberFormat="1" applyFont="1" applyFill="1" applyBorder="1" applyAlignment="1">
      <alignment horizontal="left" vertical="center" indent="1"/>
    </xf>
    <xf numFmtId="0" fontId="27" fillId="8" borderId="11" xfId="0" applyFont="1" applyFill="1" applyBorder="1" applyAlignment="1">
      <alignment horizontal="left" vertical="center" indent="1"/>
    </xf>
    <xf numFmtId="3" fontId="27" fillId="8" borderId="11" xfId="0" applyNumberFormat="1" applyFont="1" applyFill="1" applyBorder="1" applyAlignment="1">
      <alignment horizontal="left" vertical="center" indent="1"/>
    </xf>
    <xf numFmtId="3" fontId="27" fillId="8" borderId="15" xfId="0" applyNumberFormat="1" applyFont="1" applyFill="1" applyBorder="1" applyAlignment="1">
      <alignment horizontal="left" vertical="center" indent="1"/>
    </xf>
    <xf numFmtId="178" fontId="28" fillId="0" borderId="0" xfId="4" applyFont="1" applyAlignment="1"/>
    <xf numFmtId="178" fontId="28" fillId="0" borderId="0" xfId="0" applyNumberFormat="1" applyFont="1" applyAlignment="1"/>
    <xf numFmtId="0" fontId="38" fillId="0" borderId="2" xfId="0" applyNumberFormat="1" applyFont="1" applyFill="1" applyBorder="1" applyAlignment="1">
      <alignment horizontal="right" vertical="center"/>
    </xf>
    <xf numFmtId="49" fontId="39" fillId="0" borderId="2" xfId="0" applyNumberFormat="1" applyFont="1" applyFill="1" applyBorder="1" applyAlignment="1">
      <alignment horizontal="right" vertical="center"/>
    </xf>
    <xf numFmtId="184" fontId="39" fillId="0" borderId="2" xfId="3" applyNumberFormat="1" applyFont="1" applyFill="1" applyBorder="1" applyAlignment="1">
      <alignment horizontal="center" vertical="center"/>
    </xf>
    <xf numFmtId="180" fontId="39" fillId="0" borderId="2" xfId="4" applyNumberFormat="1" applyFont="1" applyFill="1" applyBorder="1" applyAlignment="1">
      <alignment horizontal="center" vertical="center"/>
    </xf>
    <xf numFmtId="188" fontId="39" fillId="0" borderId="2" xfId="4" applyNumberFormat="1" applyFont="1" applyFill="1" applyBorder="1" applyAlignment="1">
      <alignment horizontal="center" vertical="center"/>
    </xf>
    <xf numFmtId="0" fontId="39" fillId="0" borderId="2" xfId="4" applyNumberFormat="1" applyFont="1" applyFill="1" applyBorder="1" applyAlignment="1">
      <alignment horizontal="center" vertical="center"/>
    </xf>
    <xf numFmtId="181" fontId="39" fillId="0" borderId="2" xfId="1" applyNumberFormat="1" applyFont="1" applyFill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184" fontId="39" fillId="0" borderId="2" xfId="4" applyNumberFormat="1" applyFont="1" applyFill="1" applyBorder="1" applyAlignment="1">
      <alignment horizontal="center" vertical="center"/>
    </xf>
    <xf numFmtId="0" fontId="39" fillId="0" borderId="2" xfId="0" applyFont="1" applyBorder="1" applyAlignment="1">
      <alignment horizontal="center" vertical="center"/>
    </xf>
    <xf numFmtId="176" fontId="40" fillId="0" borderId="2" xfId="0" applyNumberFormat="1" applyFont="1" applyFill="1" applyBorder="1" applyAlignment="1">
      <alignment horizontal="center" vertical="center"/>
    </xf>
    <xf numFmtId="0" fontId="39" fillId="0" borderId="0" xfId="0" applyFont="1" applyFill="1" applyAlignment="1">
      <alignment horizontal="center" vertical="center"/>
    </xf>
    <xf numFmtId="0" fontId="41" fillId="0" borderId="2" xfId="2" applyNumberFormat="1" applyFont="1" applyFill="1" applyBorder="1" applyAlignment="1">
      <alignment horizontal="right" vertical="center"/>
    </xf>
    <xf numFmtId="180" fontId="39" fillId="0" borderId="2" xfId="4" applyNumberFormat="1" applyFont="1" applyFill="1" applyBorder="1" applyAlignment="1">
      <alignment horizontal="right" vertical="center"/>
    </xf>
    <xf numFmtId="184" fontId="39" fillId="0" borderId="2" xfId="4" applyNumberFormat="1" applyFont="1" applyFill="1" applyBorder="1" applyAlignment="1">
      <alignment horizontal="right" vertical="center"/>
    </xf>
    <xf numFmtId="188" fontId="39" fillId="0" borderId="2" xfId="4" applyNumberFormat="1" applyFont="1" applyFill="1" applyBorder="1" applyAlignment="1">
      <alignment horizontal="right" vertical="center"/>
    </xf>
    <xf numFmtId="181" fontId="39" fillId="0" borderId="2" xfId="1" applyNumberFormat="1" applyFont="1" applyFill="1" applyBorder="1" applyAlignment="1">
      <alignment horizontal="right" vertical="center"/>
    </xf>
    <xf numFmtId="181" fontId="39" fillId="0" borderId="2" xfId="4" applyNumberFormat="1" applyFont="1" applyFill="1" applyBorder="1" applyAlignment="1">
      <alignment vertical="center"/>
    </xf>
    <xf numFmtId="184" fontId="40" fillId="0" borderId="2" xfId="1" applyNumberFormat="1" applyFont="1" applyFill="1" applyBorder="1" applyAlignment="1">
      <alignment horizontal="center" vertical="center"/>
    </xf>
    <xf numFmtId="184" fontId="40" fillId="0" borderId="2" xfId="1" applyNumberFormat="1" applyFont="1" applyFill="1" applyBorder="1" applyAlignment="1">
      <alignment horizontal="left" vertical="center"/>
    </xf>
    <xf numFmtId="184" fontId="40" fillId="0" borderId="2" xfId="1" applyNumberFormat="1" applyFont="1" applyFill="1" applyBorder="1" applyAlignment="1">
      <alignment horizontal="right" vertical="center"/>
    </xf>
    <xf numFmtId="176" fontId="40" fillId="0" borderId="2" xfId="4" applyNumberFormat="1" applyFont="1" applyFill="1" applyBorder="1">
      <alignment vertical="center"/>
    </xf>
    <xf numFmtId="176" fontId="40" fillId="0" borderId="2" xfId="0" applyNumberFormat="1" applyFont="1" applyFill="1" applyBorder="1">
      <alignment vertical="center"/>
    </xf>
    <xf numFmtId="0" fontId="40" fillId="0" borderId="0" xfId="0" applyFont="1" applyFill="1">
      <alignment vertical="center"/>
    </xf>
    <xf numFmtId="0" fontId="41" fillId="0" borderId="2" xfId="2" applyFont="1" applyFill="1" applyBorder="1">
      <alignment vertical="center"/>
    </xf>
    <xf numFmtId="0" fontId="42" fillId="0" borderId="0" xfId="0" applyNumberFormat="1" applyFont="1" applyFill="1" applyAlignment="1">
      <alignment horizontal="right" vertical="center"/>
    </xf>
    <xf numFmtId="49" fontId="39" fillId="0" borderId="0" xfId="0" applyNumberFormat="1" applyFont="1" applyFill="1" applyAlignment="1">
      <alignment horizontal="right" vertical="center"/>
    </xf>
    <xf numFmtId="180" fontId="39" fillId="0" borderId="0" xfId="4" applyNumberFormat="1" applyFont="1" applyFill="1" applyAlignment="1">
      <alignment horizontal="right" vertical="center"/>
    </xf>
    <xf numFmtId="184" fontId="39" fillId="0" borderId="0" xfId="3" applyNumberFormat="1" applyFont="1" applyFill="1" applyAlignment="1">
      <alignment horizontal="right" vertical="center"/>
    </xf>
    <xf numFmtId="188" fontId="39" fillId="0" borderId="0" xfId="4" applyNumberFormat="1" applyFont="1" applyFill="1" applyAlignment="1">
      <alignment horizontal="right" vertical="center"/>
    </xf>
    <xf numFmtId="181" fontId="39" fillId="0" borderId="0" xfId="1" applyNumberFormat="1" applyFont="1" applyFill="1" applyAlignment="1">
      <alignment horizontal="right" vertical="center"/>
    </xf>
    <xf numFmtId="181" fontId="39" fillId="0" borderId="0" xfId="4" applyNumberFormat="1" applyFont="1" applyFill="1" applyAlignment="1">
      <alignment vertical="center"/>
    </xf>
    <xf numFmtId="0" fontId="40" fillId="0" borderId="0" xfId="0" applyFont="1" applyFill="1" applyAlignment="1">
      <alignment horizontal="center" vertical="center"/>
    </xf>
    <xf numFmtId="9" fontId="40" fillId="0" borderId="0" xfId="1" applyFont="1" applyFill="1">
      <alignment vertical="center"/>
    </xf>
    <xf numFmtId="184" fontId="39" fillId="0" borderId="0" xfId="4" applyNumberFormat="1" applyFont="1" applyFill="1" applyAlignment="1">
      <alignment horizontal="right" vertical="center"/>
    </xf>
    <xf numFmtId="183" fontId="39" fillId="0" borderId="0" xfId="4" applyNumberFormat="1" applyFont="1" applyFill="1" applyAlignment="1">
      <alignment horizontal="right" vertical="center"/>
    </xf>
    <xf numFmtId="0" fontId="40" fillId="0" borderId="0" xfId="0" applyFont="1" applyFill="1" applyAlignment="1">
      <alignment horizontal="right" vertical="center"/>
    </xf>
    <xf numFmtId="186" fontId="40" fillId="0" borderId="0" xfId="4" applyNumberFormat="1" applyFont="1" applyFill="1">
      <alignment vertical="center"/>
    </xf>
    <xf numFmtId="180" fontId="39" fillId="0" borderId="0" xfId="1" applyNumberFormat="1" applyFont="1" applyFill="1" applyAlignment="1">
      <alignment horizontal="right" vertical="center"/>
    </xf>
    <xf numFmtId="0" fontId="43" fillId="0" borderId="2" xfId="0" applyNumberFormat="1" applyFont="1" applyFill="1" applyBorder="1" applyAlignment="1">
      <alignment horizontal="right" vertical="center"/>
    </xf>
    <xf numFmtId="49" fontId="44" fillId="0" borderId="2" xfId="0" applyNumberFormat="1" applyFont="1" applyFill="1" applyBorder="1" applyAlignment="1">
      <alignment horizontal="right" vertical="center"/>
    </xf>
    <xf numFmtId="184" fontId="44" fillId="0" borderId="2" xfId="3" applyNumberFormat="1" applyFont="1" applyFill="1" applyBorder="1" applyAlignment="1">
      <alignment horizontal="center" vertical="center"/>
    </xf>
    <xf numFmtId="180" fontId="44" fillId="0" borderId="2" xfId="4" applyNumberFormat="1" applyFont="1" applyFill="1" applyBorder="1" applyAlignment="1">
      <alignment horizontal="center" vertical="center"/>
    </xf>
    <xf numFmtId="184" fontId="44" fillId="0" borderId="2" xfId="4" applyNumberFormat="1" applyFont="1" applyFill="1" applyBorder="1" applyAlignment="1">
      <alignment horizontal="center" vertical="center"/>
    </xf>
    <xf numFmtId="181" fontId="44" fillId="0" borderId="2" xfId="1" applyNumberFormat="1" applyFont="1" applyFill="1" applyBorder="1" applyAlignment="1">
      <alignment horizontal="center" vertical="center"/>
    </xf>
    <xf numFmtId="0" fontId="45" fillId="0" borderId="2" xfId="0" applyFont="1" applyBorder="1" applyAlignment="1">
      <alignment horizontal="center" vertical="center"/>
    </xf>
    <xf numFmtId="0" fontId="44" fillId="0" borderId="2" xfId="0" applyFont="1" applyFill="1" applyBorder="1" applyAlignment="1">
      <alignment horizontal="center" vertical="center"/>
    </xf>
    <xf numFmtId="0" fontId="44" fillId="0" borderId="2" xfId="0" applyFont="1" applyBorder="1" applyAlignment="1">
      <alignment horizontal="center" vertical="center"/>
    </xf>
    <xf numFmtId="176" fontId="45" fillId="0" borderId="2" xfId="0" applyNumberFormat="1" applyFont="1" applyFill="1" applyBorder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46" fillId="0" borderId="2" xfId="2" applyNumberFormat="1" applyFont="1" applyFill="1" applyBorder="1" applyAlignment="1">
      <alignment horizontal="right" vertical="center"/>
    </xf>
    <xf numFmtId="180" fontId="44" fillId="0" borderId="2" xfId="4" applyNumberFormat="1" applyFont="1" applyFill="1" applyBorder="1" applyAlignment="1">
      <alignment horizontal="right" vertical="center"/>
    </xf>
    <xf numFmtId="184" fontId="44" fillId="0" borderId="2" xfId="4" applyNumberFormat="1" applyFont="1" applyFill="1" applyBorder="1" applyAlignment="1">
      <alignment horizontal="right" vertical="center"/>
    </xf>
    <xf numFmtId="185" fontId="44" fillId="0" borderId="2" xfId="4" applyNumberFormat="1" applyFont="1" applyFill="1" applyBorder="1" applyAlignment="1">
      <alignment horizontal="center" vertical="center"/>
    </xf>
    <xf numFmtId="181" fontId="44" fillId="0" borderId="2" xfId="1" applyNumberFormat="1" applyFont="1" applyFill="1" applyBorder="1" applyAlignment="1">
      <alignment horizontal="right" vertical="center"/>
    </xf>
    <xf numFmtId="181" fontId="44" fillId="0" borderId="2" xfId="4" applyNumberFormat="1" applyFont="1" applyFill="1" applyBorder="1" applyAlignment="1">
      <alignment vertical="center"/>
    </xf>
    <xf numFmtId="184" fontId="45" fillId="0" borderId="2" xfId="1" applyNumberFormat="1" applyFont="1" applyFill="1" applyBorder="1" applyAlignment="1">
      <alignment horizontal="center" vertical="center"/>
    </xf>
    <xf numFmtId="184" fontId="45" fillId="0" borderId="2" xfId="1" applyNumberFormat="1" applyFont="1" applyFill="1" applyBorder="1" applyAlignment="1">
      <alignment horizontal="left" vertical="center"/>
    </xf>
    <xf numFmtId="9" fontId="45" fillId="0" borderId="2" xfId="1" applyNumberFormat="1" applyFont="1" applyFill="1" applyBorder="1" applyAlignment="1">
      <alignment horizontal="center" vertical="center"/>
    </xf>
    <xf numFmtId="184" fontId="45" fillId="0" borderId="2" xfId="1" applyNumberFormat="1" applyFont="1" applyFill="1" applyBorder="1" applyAlignment="1">
      <alignment horizontal="right" vertical="center"/>
    </xf>
    <xf numFmtId="176" fontId="45" fillId="0" borderId="2" xfId="4" applyNumberFormat="1" applyFont="1" applyFill="1" applyBorder="1">
      <alignment vertical="center"/>
    </xf>
    <xf numFmtId="176" fontId="45" fillId="0" borderId="2" xfId="0" applyNumberFormat="1" applyFont="1" applyFill="1" applyBorder="1">
      <alignment vertical="center"/>
    </xf>
    <xf numFmtId="0" fontId="45" fillId="0" borderId="0" xfId="0" applyFont="1" applyFill="1">
      <alignment vertical="center"/>
    </xf>
    <xf numFmtId="0" fontId="46" fillId="0" borderId="2" xfId="2" applyFont="1" applyFill="1" applyBorder="1">
      <alignment vertical="center"/>
    </xf>
    <xf numFmtId="0" fontId="46" fillId="0" borderId="0" xfId="2" applyNumberFormat="1" applyFont="1" applyFill="1" applyBorder="1" applyAlignment="1">
      <alignment horizontal="right" vertical="center"/>
    </xf>
    <xf numFmtId="0" fontId="44" fillId="0" borderId="2" xfId="0" applyFont="1" applyFill="1" applyBorder="1" applyAlignment="1">
      <alignment horizontal="right" vertical="center"/>
    </xf>
    <xf numFmtId="0" fontId="47" fillId="0" borderId="0" xfId="0" applyNumberFormat="1" applyFont="1" applyFill="1" applyAlignment="1">
      <alignment horizontal="right" vertical="center"/>
    </xf>
    <xf numFmtId="49" fontId="44" fillId="0" borderId="0" xfId="0" applyNumberFormat="1" applyFont="1" applyFill="1" applyAlignment="1">
      <alignment horizontal="right" vertical="center"/>
    </xf>
    <xf numFmtId="180" fontId="44" fillId="0" borderId="0" xfId="4" applyNumberFormat="1" applyFont="1" applyFill="1" applyAlignment="1">
      <alignment horizontal="right" vertical="center"/>
    </xf>
    <xf numFmtId="184" fontId="44" fillId="0" borderId="0" xfId="3" applyNumberFormat="1" applyFont="1" applyFill="1" applyAlignment="1">
      <alignment horizontal="right" vertical="center"/>
    </xf>
    <xf numFmtId="184" fontId="44" fillId="0" borderId="0" xfId="4" applyNumberFormat="1" applyFont="1" applyFill="1" applyAlignment="1">
      <alignment horizontal="right" vertical="center"/>
    </xf>
    <xf numFmtId="181" fontId="44" fillId="0" borderId="0" xfId="1" applyNumberFormat="1" applyFont="1" applyFill="1" applyAlignment="1">
      <alignment horizontal="right" vertical="center"/>
    </xf>
    <xf numFmtId="181" fontId="44" fillId="0" borderId="0" xfId="4" applyNumberFormat="1" applyFont="1" applyFill="1" applyAlignment="1">
      <alignment vertical="center"/>
    </xf>
    <xf numFmtId="0" fontId="45" fillId="0" borderId="0" xfId="0" applyFont="1" applyFill="1" applyAlignment="1">
      <alignment horizontal="center" vertical="center"/>
    </xf>
    <xf numFmtId="9" fontId="45" fillId="0" borderId="0" xfId="1" applyFont="1" applyFill="1">
      <alignment vertical="center"/>
    </xf>
    <xf numFmtId="183" fontId="44" fillId="0" borderId="0" xfId="4" applyNumberFormat="1" applyFont="1" applyFill="1" applyAlignment="1">
      <alignment horizontal="right" vertical="center"/>
    </xf>
    <xf numFmtId="0" fontId="45" fillId="0" borderId="0" xfId="0" applyFont="1" applyFill="1" applyAlignment="1">
      <alignment horizontal="right" vertical="center"/>
    </xf>
    <xf numFmtId="186" fontId="45" fillId="0" borderId="0" xfId="4" applyNumberFormat="1" applyFont="1" applyFill="1">
      <alignment vertical="center"/>
    </xf>
    <xf numFmtId="0" fontId="27" fillId="2" borderId="0" xfId="0" applyFont="1" applyFill="1" applyBorder="1" applyAlignment="1">
      <alignment horizontal="left" vertical="center" indent="1"/>
    </xf>
    <xf numFmtId="3" fontId="28" fillId="0" borderId="0" xfId="0" applyNumberFormat="1" applyFont="1" applyFill="1" applyAlignment="1"/>
    <xf numFmtId="9" fontId="35" fillId="0" borderId="0" xfId="1" applyFont="1" applyFill="1" applyBorder="1" applyAlignment="1">
      <alignment horizontal="right" vertical="center" indent="1"/>
    </xf>
    <xf numFmtId="49" fontId="37" fillId="0" borderId="2" xfId="4" applyNumberFormat="1" applyFont="1" applyFill="1" applyBorder="1" applyAlignment="1">
      <alignment horizontal="center" vertical="center"/>
    </xf>
    <xf numFmtId="0" fontId="27" fillId="2" borderId="0" xfId="0" applyFont="1" applyFill="1" applyBorder="1" applyAlignment="1">
      <alignment vertical="center" wrapText="1"/>
    </xf>
    <xf numFmtId="0" fontId="27" fillId="2" borderId="28" xfId="0" applyFont="1" applyFill="1" applyBorder="1" applyAlignment="1">
      <alignment vertical="center" wrapText="1"/>
    </xf>
    <xf numFmtId="0" fontId="27" fillId="2" borderId="29" xfId="0" applyFont="1" applyFill="1" applyBorder="1" applyAlignment="1">
      <alignment vertical="center" wrapText="1"/>
    </xf>
    <xf numFmtId="188" fontId="44" fillId="0" borderId="2" xfId="4" applyNumberFormat="1" applyFont="1" applyFill="1" applyBorder="1" applyAlignment="1">
      <alignment horizontal="center" vertical="center"/>
    </xf>
    <xf numFmtId="188" fontId="44" fillId="0" borderId="2" xfId="4" applyNumberFormat="1" applyFont="1" applyFill="1" applyBorder="1" applyAlignment="1">
      <alignment horizontal="right" vertical="center"/>
    </xf>
    <xf numFmtId="188" fontId="44" fillId="0" borderId="0" xfId="4" applyNumberFormat="1" applyFont="1" applyFill="1" applyAlignment="1">
      <alignment horizontal="right" vertical="center"/>
    </xf>
    <xf numFmtId="0" fontId="37" fillId="0" borderId="2" xfId="0" applyFont="1" applyFill="1" applyBorder="1" applyAlignment="1">
      <alignment horizontal="center" vertical="center"/>
    </xf>
    <xf numFmtId="49" fontId="37" fillId="0" borderId="2" xfId="0" applyNumberFormat="1" applyFont="1" applyFill="1" applyBorder="1" applyAlignment="1">
      <alignment horizontal="right" vertical="center"/>
    </xf>
    <xf numFmtId="185" fontId="28" fillId="4" borderId="2" xfId="3" applyNumberFormat="1" applyFont="1" applyFill="1" applyBorder="1" applyAlignment="1">
      <alignment horizontal="center"/>
    </xf>
    <xf numFmtId="0" fontId="48" fillId="6" borderId="2" xfId="0" applyFont="1" applyFill="1" applyBorder="1">
      <alignment vertical="center"/>
    </xf>
    <xf numFmtId="184" fontId="11" fillId="7" borderId="2" xfId="1" applyNumberFormat="1" applyFont="1" applyFill="1" applyBorder="1" applyAlignment="1">
      <alignment horizontal="center" vertical="center"/>
    </xf>
    <xf numFmtId="0" fontId="28" fillId="0" borderId="2" xfId="0" applyFont="1" applyBorder="1" applyAlignment="1">
      <alignment horizontal="left"/>
    </xf>
    <xf numFmtId="0" fontId="37" fillId="0" borderId="2" xfId="0" applyFont="1" applyFill="1" applyBorder="1" applyAlignment="1">
      <alignment horizontal="right" vertical="center"/>
    </xf>
    <xf numFmtId="0" fontId="0" fillId="0" borderId="0" xfId="0" applyAlignment="1"/>
  </cellXfs>
  <cellStyles count="19">
    <cellStyle name="百分比" xfId="1" builtinId="5"/>
    <cellStyle name="超連結" xfId="2" builtinId="8"/>
    <cellStyle name="貨幣" xfId="4" builtinId="4"/>
    <cellStyle name="貨幣 2" xfId="6" xr:uid="{00000000-0005-0000-0000-00000B000000}"/>
    <cellStyle name="貨幣 2 2" xfId="10" xr:uid="{00000000-0005-0000-0000-00000C000000}"/>
    <cellStyle name="貨幣 2 2 2" xfId="18" xr:uid="{00000000-0005-0000-0000-00000D000000}"/>
    <cellStyle name="貨幣 2 3" xfId="14" xr:uid="{00000000-0005-0000-0000-00000E000000}"/>
    <cellStyle name="貨幣 3" xfId="8" xr:uid="{00000000-0005-0000-0000-00000F000000}"/>
    <cellStyle name="貨幣 3 2" xfId="16" xr:uid="{00000000-0005-0000-0000-000010000000}"/>
    <cellStyle name="貨幣 4" xfId="12" xr:uid="{00000000-0005-0000-0000-000011000000}"/>
    <cellStyle name="千分位" xfId="3" builtinId="3"/>
    <cellStyle name="千分位 2" xfId="5" xr:uid="{00000000-0005-0000-0000-000002000000}"/>
    <cellStyle name="千分位 2 2" xfId="9" xr:uid="{00000000-0005-0000-0000-000003000000}"/>
    <cellStyle name="千分位 2 2 2" xfId="17" xr:uid="{00000000-0005-0000-0000-000004000000}"/>
    <cellStyle name="千分位 2 3" xfId="13" xr:uid="{00000000-0005-0000-0000-000005000000}"/>
    <cellStyle name="千分位 3" xfId="7" xr:uid="{00000000-0005-0000-0000-000006000000}"/>
    <cellStyle name="千分位 3 2" xfId="15" xr:uid="{00000000-0005-0000-0000-000007000000}"/>
    <cellStyle name="千分位 4" xfId="11" xr:uid="{00000000-0005-0000-0000-000008000000}"/>
    <cellStyle name="一般" xfId="0" builtinId="0"/>
  </cellStyles>
  <dxfs count="756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8000"/>
      <color rgb="FFFF0000"/>
      <color rgb="FFFF99CC"/>
      <color rgb="FFCCFFCC"/>
      <color rgb="FFFF9999"/>
      <color rgb="FFFF7C80"/>
      <color rgb="FFFF6699"/>
      <color rgb="FFFFFF66"/>
      <color rgb="FF3333CC"/>
      <color rgb="FF99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策略!$N$2</c:f>
              <c:strCache>
                <c:ptCount val="1"/>
                <c:pt idx="0">
                  <c:v>預期非系統風險(%)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策略!$O$1:$T$1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500</c:v>
                </c:pt>
              </c:numCache>
            </c:numRef>
          </c:cat>
          <c:val>
            <c:numRef>
              <c:f>策略!$O$2:$T$2</c:f>
              <c:numCache>
                <c:formatCode>0%</c:formatCode>
                <c:ptCount val="6"/>
                <c:pt idx="0">
                  <c:v>1</c:v>
                </c:pt>
                <c:pt idx="1">
                  <c:v>0.54</c:v>
                </c:pt>
                <c:pt idx="2">
                  <c:v>0.18999999999999995</c:v>
                </c:pt>
                <c:pt idx="3">
                  <c:v>6.9999999999999951E-2</c:v>
                </c:pt>
                <c:pt idx="4">
                  <c:v>4.0000000000000036E-2</c:v>
                </c:pt>
                <c:pt idx="5">
                  <c:v>1.0000000000000009E-2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E-47F6-A0C8-F9EA5C74C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marker val="1"/>
        <c:smooth val="0"/>
        <c:axId val="187227576"/>
        <c:axId val="187236760"/>
      </c:lineChart>
      <c:catAx>
        <c:axId val="187227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/>
                  <a:t>投資標的數目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7236760"/>
        <c:crosses val="autoZero"/>
        <c:auto val="1"/>
        <c:lblAlgn val="ctr"/>
        <c:lblOffset val="100"/>
        <c:noMultiLvlLbl val="0"/>
      </c:catAx>
      <c:valAx>
        <c:axId val="187236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非系統風險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7227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'0000'!$A$65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'0000'!$B$64:$F$64</c:f>
              <c:numCache>
                <c:formatCode>0_);[Red]\(0\)</c:formatCode>
                <c:ptCount val="5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</c:numCache>
            </c:numRef>
          </c:cat>
          <c:val>
            <c:numRef>
              <c:f>'0000'!$B$65:$F$65</c:f>
              <c:numCache>
                <c:formatCode>0.00_);[Red]\(0.00\)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0-4E5C-A182-B145F146B188}"/>
            </c:ext>
          </c:extLst>
        </c:ser>
        <c:ser>
          <c:idx val="1"/>
          <c:order val="1"/>
          <c:tx>
            <c:strRef>
              <c:f>'0000'!$A$66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'0000'!$B$64:$F$64</c:f>
              <c:numCache>
                <c:formatCode>0_);[Red]\(0\)</c:formatCode>
                <c:ptCount val="5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</c:numCache>
            </c:numRef>
          </c:cat>
          <c:val>
            <c:numRef>
              <c:f>'0000'!$B$66:$F$66</c:f>
              <c:numCache>
                <c:formatCode>0.00_);[Red]\(0.00\)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0-4E5C-A182-B145F146B188}"/>
            </c:ext>
          </c:extLst>
        </c:ser>
        <c:ser>
          <c:idx val="2"/>
          <c:order val="2"/>
          <c:tx>
            <c:strRef>
              <c:f>'0000'!$A$67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'0000'!$B$64:$F$64</c:f>
              <c:numCache>
                <c:formatCode>0_);[Red]\(0\)</c:formatCode>
                <c:ptCount val="5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</c:numCache>
            </c:numRef>
          </c:cat>
          <c:val>
            <c:numRef>
              <c:f>'0000'!$B$67:$F$67</c:f>
              <c:numCache>
                <c:formatCode>0.00_);[Red]\(0.00\)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0-4E5C-A182-B145F146B188}"/>
            </c:ext>
          </c:extLst>
        </c:ser>
        <c:ser>
          <c:idx val="3"/>
          <c:order val="3"/>
          <c:tx>
            <c:strRef>
              <c:f>'0000'!$A$68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'0000'!$B$64:$F$64</c:f>
              <c:numCache>
                <c:formatCode>0_);[Red]\(0\)</c:formatCode>
                <c:ptCount val="5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</c:numCache>
            </c:numRef>
          </c:cat>
          <c:val>
            <c:numRef>
              <c:f>'0000'!$B$68:$F$68</c:f>
              <c:numCache>
                <c:formatCode>0.00_);[Red]\(0.00\)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30-4E5C-A182-B145F146B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'1227'!$A$65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'1227'!$B$64:$F$64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'1227'!$B$65:$F$65</c:f>
              <c:numCache>
                <c:formatCode>0.00_);[Red]\(0.00\)</c:formatCode>
                <c:ptCount val="5"/>
                <c:pt idx="0">
                  <c:v>1.23</c:v>
                </c:pt>
                <c:pt idx="1">
                  <c:v>0.82</c:v>
                </c:pt>
                <c:pt idx="2">
                  <c:v>1.27</c:v>
                </c:pt>
                <c:pt idx="3">
                  <c:v>1.1100000000000001</c:v>
                </c:pt>
                <c:pt idx="4">
                  <c:v>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6-4C27-A656-E3CD595099D1}"/>
            </c:ext>
          </c:extLst>
        </c:ser>
        <c:ser>
          <c:idx val="1"/>
          <c:order val="1"/>
          <c:tx>
            <c:strRef>
              <c:f>'1227'!$A$66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'1227'!$B$64:$F$64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'1227'!$B$66:$F$66</c:f>
              <c:numCache>
                <c:formatCode>0.00_);[Red]\(0.00\)</c:formatCode>
                <c:ptCount val="5"/>
                <c:pt idx="0">
                  <c:v>0.51</c:v>
                </c:pt>
                <c:pt idx="1">
                  <c:v>0.46</c:v>
                </c:pt>
                <c:pt idx="2">
                  <c:v>0.52</c:v>
                </c:pt>
                <c:pt idx="3">
                  <c:v>0.53</c:v>
                </c:pt>
                <c:pt idx="4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96-4C27-A656-E3CD595099D1}"/>
            </c:ext>
          </c:extLst>
        </c:ser>
        <c:ser>
          <c:idx val="2"/>
          <c:order val="2"/>
          <c:tx>
            <c:strRef>
              <c:f>'1227'!$A$67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'1227'!$B$64:$F$64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'1227'!$B$67:$F$67</c:f>
              <c:numCache>
                <c:formatCode>0.00_);[Red]\(0.00\)</c:formatCode>
                <c:ptCount val="5"/>
                <c:pt idx="0">
                  <c:v>0.61</c:v>
                </c:pt>
                <c:pt idx="1">
                  <c:v>0.98</c:v>
                </c:pt>
                <c:pt idx="2">
                  <c:v>1.08</c:v>
                </c:pt>
                <c:pt idx="3">
                  <c:v>0.7</c:v>
                </c:pt>
                <c:pt idx="4">
                  <c:v>0.77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96-4C27-A656-E3CD595099D1}"/>
            </c:ext>
          </c:extLst>
        </c:ser>
        <c:ser>
          <c:idx val="3"/>
          <c:order val="3"/>
          <c:tx>
            <c:strRef>
              <c:f>'1227'!$A$68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'1227'!$B$64:$F$64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'1227'!$B$68:$F$68</c:f>
              <c:numCache>
                <c:formatCode>0.00_);[Red]\(0.00\)</c:formatCode>
                <c:ptCount val="5"/>
                <c:pt idx="0">
                  <c:v>0.64</c:v>
                </c:pt>
                <c:pt idx="1">
                  <c:v>0.71</c:v>
                </c:pt>
                <c:pt idx="2">
                  <c:v>0.76</c:v>
                </c:pt>
                <c:pt idx="3">
                  <c:v>0.81</c:v>
                </c:pt>
                <c:pt idx="4">
                  <c:v>0.8113422277718032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96-4C27-A656-E3CD59509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'1323'!$A$65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'1323'!$B$64:$F$64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'1323'!$B$65:$F$65</c:f>
              <c:numCache>
                <c:formatCode>0.00_);[Red]\(0.00\)</c:formatCode>
                <c:ptCount val="5"/>
                <c:pt idx="0">
                  <c:v>0.66</c:v>
                </c:pt>
                <c:pt idx="1">
                  <c:v>0.68</c:v>
                </c:pt>
                <c:pt idx="2">
                  <c:v>0.52</c:v>
                </c:pt>
                <c:pt idx="3">
                  <c:v>0.68</c:v>
                </c:pt>
                <c:pt idx="4">
                  <c:v>0.51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6-4900-B68B-E127EFCA5C6D}"/>
            </c:ext>
          </c:extLst>
        </c:ser>
        <c:ser>
          <c:idx val="1"/>
          <c:order val="1"/>
          <c:tx>
            <c:strRef>
              <c:f>'1323'!$A$66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'1323'!$B$64:$F$64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'1323'!$B$66:$F$66</c:f>
              <c:numCache>
                <c:formatCode>0.00_);[Red]\(0.00\)</c:formatCode>
                <c:ptCount val="5"/>
                <c:pt idx="0">
                  <c:v>0.79</c:v>
                </c:pt>
                <c:pt idx="1">
                  <c:v>0.65</c:v>
                </c:pt>
                <c:pt idx="2">
                  <c:v>0.44</c:v>
                </c:pt>
                <c:pt idx="3">
                  <c:v>0.77</c:v>
                </c:pt>
                <c:pt idx="4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6-4900-B68B-E127EFCA5C6D}"/>
            </c:ext>
          </c:extLst>
        </c:ser>
        <c:ser>
          <c:idx val="2"/>
          <c:order val="2"/>
          <c:tx>
            <c:strRef>
              <c:f>'1323'!$A$67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'1323'!$B$64:$F$64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'1323'!$B$67:$F$67</c:f>
              <c:numCache>
                <c:formatCode>0.00_);[Red]\(0.00\)</c:formatCode>
                <c:ptCount val="5"/>
                <c:pt idx="0">
                  <c:v>0.69</c:v>
                </c:pt>
                <c:pt idx="1">
                  <c:v>0.86</c:v>
                </c:pt>
                <c:pt idx="2">
                  <c:v>0.69</c:v>
                </c:pt>
                <c:pt idx="3">
                  <c:v>0.95</c:v>
                </c:pt>
                <c:pt idx="4">
                  <c:v>0.84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6-4900-B68B-E127EFCA5C6D}"/>
            </c:ext>
          </c:extLst>
        </c:ser>
        <c:ser>
          <c:idx val="3"/>
          <c:order val="3"/>
          <c:tx>
            <c:strRef>
              <c:f>'1323'!$A$68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'1323'!$B$64:$F$64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'1323'!$B$68:$F$68</c:f>
              <c:numCache>
                <c:formatCode>0.00_);[Red]\(0.00\)</c:formatCode>
                <c:ptCount val="5"/>
                <c:pt idx="0">
                  <c:v>0.7</c:v>
                </c:pt>
                <c:pt idx="1">
                  <c:v>0.89</c:v>
                </c:pt>
                <c:pt idx="2">
                  <c:v>0.89</c:v>
                </c:pt>
                <c:pt idx="3">
                  <c:v>0.71</c:v>
                </c:pt>
                <c:pt idx="4">
                  <c:v>0.87734303573772943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6-4900-B68B-E127EFCA5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'1507'!$A$65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'1507'!$B$64:$F$64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'1507'!$B$65:$F$65</c:f>
              <c:numCache>
                <c:formatCode>0.00_);[Red]\(0.00\)</c:formatCode>
                <c:ptCount val="5"/>
                <c:pt idx="0">
                  <c:v>0.83</c:v>
                </c:pt>
                <c:pt idx="1">
                  <c:v>1.07</c:v>
                </c:pt>
                <c:pt idx="2">
                  <c:v>1.21</c:v>
                </c:pt>
                <c:pt idx="3">
                  <c:v>1.17</c:v>
                </c:pt>
                <c:pt idx="4">
                  <c:v>0.92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1-429F-9A78-465A5CC3400F}"/>
            </c:ext>
          </c:extLst>
        </c:ser>
        <c:ser>
          <c:idx val="1"/>
          <c:order val="1"/>
          <c:tx>
            <c:strRef>
              <c:f>'1507'!$A$66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'1507'!$B$64:$F$64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'1507'!$B$66:$F$66</c:f>
              <c:numCache>
                <c:formatCode>0.00_);[Red]\(0.00\)</c:formatCode>
                <c:ptCount val="5"/>
                <c:pt idx="0">
                  <c:v>0.77</c:v>
                </c:pt>
                <c:pt idx="1">
                  <c:v>1.1000000000000001</c:v>
                </c:pt>
                <c:pt idx="2">
                  <c:v>1.1000000000000001</c:v>
                </c:pt>
                <c:pt idx="3">
                  <c:v>0.91</c:v>
                </c:pt>
                <c:pt idx="4">
                  <c:v>0.82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D1-429F-9A78-465A5CC3400F}"/>
            </c:ext>
          </c:extLst>
        </c:ser>
        <c:ser>
          <c:idx val="2"/>
          <c:order val="2"/>
          <c:tx>
            <c:strRef>
              <c:f>'1507'!$A$67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'1507'!$B$64:$F$64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'1507'!$B$67:$F$67</c:f>
              <c:numCache>
                <c:formatCode>0.00_);[Red]\(0.00\)</c:formatCode>
                <c:ptCount val="5"/>
                <c:pt idx="0">
                  <c:v>1.19</c:v>
                </c:pt>
                <c:pt idx="1">
                  <c:v>1.72</c:v>
                </c:pt>
                <c:pt idx="2">
                  <c:v>1.31</c:v>
                </c:pt>
                <c:pt idx="3">
                  <c:v>1.1000000000000001</c:v>
                </c:pt>
                <c:pt idx="4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D1-429F-9A78-465A5CC3400F}"/>
            </c:ext>
          </c:extLst>
        </c:ser>
        <c:ser>
          <c:idx val="3"/>
          <c:order val="3"/>
          <c:tx>
            <c:strRef>
              <c:f>'1507'!$A$68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'1507'!$B$64:$F$64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'1507'!$B$68:$F$68</c:f>
              <c:numCache>
                <c:formatCode>0.00_);[Red]\(0.00\)</c:formatCode>
                <c:ptCount val="5"/>
                <c:pt idx="0">
                  <c:v>1.41</c:v>
                </c:pt>
                <c:pt idx="1">
                  <c:v>1.06</c:v>
                </c:pt>
                <c:pt idx="2">
                  <c:v>0.91</c:v>
                </c:pt>
                <c:pt idx="3">
                  <c:v>0.62</c:v>
                </c:pt>
                <c:pt idx="4">
                  <c:v>0.65518259658076283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D1-429F-9A78-465A5CC34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'1521'!$A$65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'1521'!$B$65:$F$65</c:f>
              <c:numCache>
                <c:formatCode>0.00_);[Red]\(0.00\)</c:formatCode>
                <c:ptCount val="5"/>
                <c:pt idx="0">
                  <c:v>0.71</c:v>
                </c:pt>
                <c:pt idx="1">
                  <c:v>1.35</c:v>
                </c:pt>
                <c:pt idx="2">
                  <c:v>2.2400000000000002</c:v>
                </c:pt>
                <c:pt idx="3">
                  <c:v>2.0499999999999998</c:v>
                </c:pt>
                <c:pt idx="4">
                  <c:v>1.82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3E-4602-A356-5D66DDE94874}"/>
            </c:ext>
          </c:extLst>
        </c:ser>
        <c:ser>
          <c:idx val="1"/>
          <c:order val="1"/>
          <c:tx>
            <c:strRef>
              <c:f>'1521'!$A$66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'1521'!$B$66:$F$66</c:f>
              <c:numCache>
                <c:formatCode>0.00_);[Red]\(0.00\)</c:formatCode>
                <c:ptCount val="5"/>
                <c:pt idx="0">
                  <c:v>0.81</c:v>
                </c:pt>
                <c:pt idx="1">
                  <c:v>1.21</c:v>
                </c:pt>
                <c:pt idx="2">
                  <c:v>1.22</c:v>
                </c:pt>
                <c:pt idx="3">
                  <c:v>1.5</c:v>
                </c:pt>
                <c:pt idx="4">
                  <c:v>1.63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3E-4602-A356-5D66DDE94874}"/>
            </c:ext>
          </c:extLst>
        </c:ser>
        <c:ser>
          <c:idx val="2"/>
          <c:order val="2"/>
          <c:tx>
            <c:strRef>
              <c:f>'1521'!$A$67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'1521'!$B$67:$F$67</c:f>
              <c:numCache>
                <c:formatCode>0.00_);[Red]\(0.00\)</c:formatCode>
                <c:ptCount val="5"/>
                <c:pt idx="0">
                  <c:v>0.98</c:v>
                </c:pt>
                <c:pt idx="1">
                  <c:v>1.2</c:v>
                </c:pt>
                <c:pt idx="2">
                  <c:v>1.43</c:v>
                </c:pt>
                <c:pt idx="3">
                  <c:v>1.03</c:v>
                </c:pt>
                <c:pt idx="4">
                  <c:v>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3E-4602-A356-5D66DDE94874}"/>
            </c:ext>
          </c:extLst>
        </c:ser>
        <c:ser>
          <c:idx val="3"/>
          <c:order val="3"/>
          <c:tx>
            <c:strRef>
              <c:f>'1521'!$A$68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'1521'!$B$68:$F$68</c:f>
              <c:numCache>
                <c:formatCode>0.00_);[Red]\(0.00\)</c:formatCode>
                <c:ptCount val="5"/>
                <c:pt idx="0">
                  <c:v>1.52</c:v>
                </c:pt>
                <c:pt idx="1">
                  <c:v>1.1399999999999999</c:v>
                </c:pt>
                <c:pt idx="2">
                  <c:v>1.01</c:v>
                </c:pt>
                <c:pt idx="3">
                  <c:v>1.94</c:v>
                </c:pt>
                <c:pt idx="4">
                  <c:v>1.7519713059282167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3E-4602-A356-5D66DDE94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'1558'!$A$65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'1558'!$B$64:$F$64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'1558'!$B$65:$F$65</c:f>
              <c:numCache>
                <c:formatCode>0.00_);[Red]\(0.00\)</c:formatCode>
                <c:ptCount val="5"/>
                <c:pt idx="0">
                  <c:v>2.76</c:v>
                </c:pt>
                <c:pt idx="1">
                  <c:v>2.4500000000000002</c:v>
                </c:pt>
                <c:pt idx="2">
                  <c:v>1.91</c:v>
                </c:pt>
                <c:pt idx="3">
                  <c:v>1.46</c:v>
                </c:pt>
                <c:pt idx="4">
                  <c:v>-1.37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6-409E-8906-D6646629FA0C}"/>
            </c:ext>
          </c:extLst>
        </c:ser>
        <c:ser>
          <c:idx val="1"/>
          <c:order val="1"/>
          <c:tx>
            <c:strRef>
              <c:f>'1558'!$A$66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'1558'!$B$64:$F$64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'1558'!$B$66:$F$66</c:f>
              <c:numCache>
                <c:formatCode>0.00_);[Red]\(0.00\)</c:formatCode>
                <c:ptCount val="5"/>
                <c:pt idx="0">
                  <c:v>3.42</c:v>
                </c:pt>
                <c:pt idx="1">
                  <c:v>2.76</c:v>
                </c:pt>
                <c:pt idx="2">
                  <c:v>3.2</c:v>
                </c:pt>
                <c:pt idx="3">
                  <c:v>4.25</c:v>
                </c:pt>
                <c:pt idx="4">
                  <c:v>4.1100000000000003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96-409E-8906-D6646629FA0C}"/>
            </c:ext>
          </c:extLst>
        </c:ser>
        <c:ser>
          <c:idx val="2"/>
          <c:order val="2"/>
          <c:tx>
            <c:strRef>
              <c:f>'1558'!$A$67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'1558'!$B$64:$F$64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'1558'!$B$67:$F$67</c:f>
              <c:numCache>
                <c:formatCode>0.00_);[Red]\(0.00\)</c:formatCode>
                <c:ptCount val="5"/>
                <c:pt idx="0">
                  <c:v>4.54</c:v>
                </c:pt>
                <c:pt idx="1">
                  <c:v>4.88</c:v>
                </c:pt>
                <c:pt idx="2">
                  <c:v>6.15</c:v>
                </c:pt>
                <c:pt idx="3">
                  <c:v>4.26</c:v>
                </c:pt>
                <c:pt idx="4">
                  <c:v>3.79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96-409E-8906-D6646629FA0C}"/>
            </c:ext>
          </c:extLst>
        </c:ser>
        <c:ser>
          <c:idx val="3"/>
          <c:order val="3"/>
          <c:tx>
            <c:strRef>
              <c:f>'1558'!$A$68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'1558'!$B$64:$F$64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'1558'!$B$68:$F$68</c:f>
              <c:numCache>
                <c:formatCode>0.00_);[Red]\(0.00\)</c:formatCode>
                <c:ptCount val="5"/>
                <c:pt idx="0">
                  <c:v>2.46</c:v>
                </c:pt>
                <c:pt idx="1">
                  <c:v>3.61</c:v>
                </c:pt>
                <c:pt idx="2">
                  <c:v>2.93</c:v>
                </c:pt>
                <c:pt idx="3">
                  <c:v>4.0999999999999996</c:v>
                </c:pt>
                <c:pt idx="4">
                  <c:v>2.8270198594394604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96-409E-8906-D6646629F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'1580'!$A$65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'1580'!$B$64:$F$64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'1580'!$B$65:$F$65</c:f>
              <c:numCache>
                <c:formatCode>0.00_);[Red]\(0.00\)</c:formatCode>
                <c:ptCount val="5"/>
                <c:pt idx="0">
                  <c:v>1.4</c:v>
                </c:pt>
                <c:pt idx="1">
                  <c:v>1.25</c:v>
                </c:pt>
                <c:pt idx="2">
                  <c:v>1.64</c:v>
                </c:pt>
                <c:pt idx="3">
                  <c:v>1.1299999999999999</c:v>
                </c:pt>
                <c:pt idx="4">
                  <c:v>1.44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A-4327-ACAF-E8737B4F20F9}"/>
            </c:ext>
          </c:extLst>
        </c:ser>
        <c:ser>
          <c:idx val="1"/>
          <c:order val="1"/>
          <c:tx>
            <c:strRef>
              <c:f>'1580'!$A$66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'1580'!$B$64:$F$64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'1580'!$B$66:$F$66</c:f>
              <c:numCache>
                <c:formatCode>0.00_);[Red]\(0.00\)</c:formatCode>
                <c:ptCount val="5"/>
                <c:pt idx="0">
                  <c:v>2.58</c:v>
                </c:pt>
                <c:pt idx="1">
                  <c:v>3.15</c:v>
                </c:pt>
                <c:pt idx="2">
                  <c:v>2.0299999999999998</c:v>
                </c:pt>
                <c:pt idx="3">
                  <c:v>3.11</c:v>
                </c:pt>
                <c:pt idx="4">
                  <c:v>2.79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CA-4327-ACAF-E8737B4F20F9}"/>
            </c:ext>
          </c:extLst>
        </c:ser>
        <c:ser>
          <c:idx val="2"/>
          <c:order val="2"/>
          <c:tx>
            <c:strRef>
              <c:f>'1580'!$A$67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'1580'!$B$64:$F$64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'1580'!$B$67:$F$67</c:f>
              <c:numCache>
                <c:formatCode>0.00_);[Red]\(0.00\)</c:formatCode>
                <c:ptCount val="5"/>
                <c:pt idx="0">
                  <c:v>3.67</c:v>
                </c:pt>
                <c:pt idx="1">
                  <c:v>3.27</c:v>
                </c:pt>
                <c:pt idx="2">
                  <c:v>2.78</c:v>
                </c:pt>
                <c:pt idx="3">
                  <c:v>3.57</c:v>
                </c:pt>
                <c:pt idx="4">
                  <c:v>3.69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CA-4327-ACAF-E8737B4F20F9}"/>
            </c:ext>
          </c:extLst>
        </c:ser>
        <c:ser>
          <c:idx val="3"/>
          <c:order val="3"/>
          <c:tx>
            <c:strRef>
              <c:f>'1580'!$A$68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'1580'!$B$64:$F$64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'1580'!$B$68:$F$68</c:f>
              <c:numCache>
                <c:formatCode>0.00_);[Red]\(0.00\)</c:formatCode>
                <c:ptCount val="5"/>
                <c:pt idx="0">
                  <c:v>3.59</c:v>
                </c:pt>
                <c:pt idx="1">
                  <c:v>3.71</c:v>
                </c:pt>
                <c:pt idx="2">
                  <c:v>3.34</c:v>
                </c:pt>
                <c:pt idx="3">
                  <c:v>3.46</c:v>
                </c:pt>
                <c:pt idx="4">
                  <c:v>3.3825325833631696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CA-4327-ACAF-E8737B4F2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'1582'!$A$65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'1582'!$B$64:$F$64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'1582'!$B$65:$F$65</c:f>
              <c:numCache>
                <c:formatCode>0.00_);[Red]\(0.00\)</c:formatCode>
                <c:ptCount val="5"/>
                <c:pt idx="0">
                  <c:v>0.91</c:v>
                </c:pt>
                <c:pt idx="1">
                  <c:v>0.84</c:v>
                </c:pt>
                <c:pt idx="2">
                  <c:v>1.06</c:v>
                </c:pt>
                <c:pt idx="3">
                  <c:v>1.02</c:v>
                </c:pt>
                <c:pt idx="4">
                  <c:v>1.35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E-4E98-B1C2-2B73BDD10230}"/>
            </c:ext>
          </c:extLst>
        </c:ser>
        <c:ser>
          <c:idx val="1"/>
          <c:order val="1"/>
          <c:tx>
            <c:strRef>
              <c:f>'1582'!$A$66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'1582'!$B$64:$F$64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'1582'!$B$66:$F$66</c:f>
              <c:numCache>
                <c:formatCode>0.00_);[Red]\(0.00\)</c:formatCode>
                <c:ptCount val="5"/>
                <c:pt idx="0">
                  <c:v>1.08</c:v>
                </c:pt>
                <c:pt idx="1">
                  <c:v>1.58</c:v>
                </c:pt>
                <c:pt idx="2">
                  <c:v>1.1599999999999999</c:v>
                </c:pt>
                <c:pt idx="3">
                  <c:v>1.36</c:v>
                </c:pt>
                <c:pt idx="4">
                  <c:v>1.66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0E-4E98-B1C2-2B73BDD10230}"/>
            </c:ext>
          </c:extLst>
        </c:ser>
        <c:ser>
          <c:idx val="2"/>
          <c:order val="2"/>
          <c:tx>
            <c:strRef>
              <c:f>'1582'!$A$67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'1582'!$B$64:$F$64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'1582'!$B$67:$F$67</c:f>
              <c:numCache>
                <c:formatCode>0.00_);[Red]\(0.00\)</c:formatCode>
                <c:ptCount val="5"/>
                <c:pt idx="0">
                  <c:v>1.41</c:v>
                </c:pt>
                <c:pt idx="1">
                  <c:v>1.6</c:v>
                </c:pt>
                <c:pt idx="2">
                  <c:v>1.84</c:v>
                </c:pt>
                <c:pt idx="3">
                  <c:v>2</c:v>
                </c:pt>
                <c:pt idx="4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0E-4E98-B1C2-2B73BDD10230}"/>
            </c:ext>
          </c:extLst>
        </c:ser>
        <c:ser>
          <c:idx val="3"/>
          <c:order val="3"/>
          <c:tx>
            <c:strRef>
              <c:f>'1582'!$A$68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'1582'!$B$64:$F$64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'1582'!$B$68:$F$68</c:f>
              <c:numCache>
                <c:formatCode>0.00_);[Red]\(0.00\)</c:formatCode>
                <c:ptCount val="5"/>
                <c:pt idx="0">
                  <c:v>1.03</c:v>
                </c:pt>
                <c:pt idx="1">
                  <c:v>1.69</c:v>
                </c:pt>
                <c:pt idx="2">
                  <c:v>1.22</c:v>
                </c:pt>
                <c:pt idx="3">
                  <c:v>1.68</c:v>
                </c:pt>
                <c:pt idx="4">
                  <c:v>1.2727033643888663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0E-4E98-B1C2-2B73BDD10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'1702'!$A$65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'1702'!$B$64:$F$64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'1702'!$B$65:$F$65</c:f>
              <c:numCache>
                <c:formatCode>0.00_);[Red]\(0.00\)</c:formatCode>
                <c:ptCount val="5"/>
                <c:pt idx="0">
                  <c:v>0.6</c:v>
                </c:pt>
                <c:pt idx="1">
                  <c:v>0.84</c:v>
                </c:pt>
                <c:pt idx="2">
                  <c:v>1.17</c:v>
                </c:pt>
                <c:pt idx="3">
                  <c:v>1.1599999999999999</c:v>
                </c:pt>
                <c:pt idx="4">
                  <c:v>0.86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7-4511-B208-B13CDA705152}"/>
            </c:ext>
          </c:extLst>
        </c:ser>
        <c:ser>
          <c:idx val="1"/>
          <c:order val="1"/>
          <c:tx>
            <c:strRef>
              <c:f>'1702'!$A$66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'1702'!$B$64:$F$64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'1702'!$B$66:$F$66</c:f>
              <c:numCache>
                <c:formatCode>0.00_);[Red]\(0.00\)</c:formatCode>
                <c:ptCount val="5"/>
                <c:pt idx="0">
                  <c:v>0.84</c:v>
                </c:pt>
                <c:pt idx="1">
                  <c:v>1.0900000000000001</c:v>
                </c:pt>
                <c:pt idx="2">
                  <c:v>1.24</c:v>
                </c:pt>
                <c:pt idx="3">
                  <c:v>1.38</c:v>
                </c:pt>
                <c:pt idx="4">
                  <c:v>1.1200000000000001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7-4511-B208-B13CDA705152}"/>
            </c:ext>
          </c:extLst>
        </c:ser>
        <c:ser>
          <c:idx val="2"/>
          <c:order val="2"/>
          <c:tx>
            <c:strRef>
              <c:f>'1702'!$A$67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'1702'!$B$64:$F$64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'1702'!$B$67:$F$67</c:f>
              <c:numCache>
                <c:formatCode>0.00_);[Red]\(0.00\)</c:formatCode>
                <c:ptCount val="5"/>
                <c:pt idx="0">
                  <c:v>1.05</c:v>
                </c:pt>
                <c:pt idx="1">
                  <c:v>0.95</c:v>
                </c:pt>
                <c:pt idx="2">
                  <c:v>0.91</c:v>
                </c:pt>
                <c:pt idx="3">
                  <c:v>1.22</c:v>
                </c:pt>
                <c:pt idx="4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7-4511-B208-B13CDA705152}"/>
            </c:ext>
          </c:extLst>
        </c:ser>
        <c:ser>
          <c:idx val="3"/>
          <c:order val="3"/>
          <c:tx>
            <c:strRef>
              <c:f>'1702'!$A$68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'1702'!$B$64:$F$64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'1702'!$B$68:$F$68</c:f>
              <c:numCache>
                <c:formatCode>0.00_);[Red]\(0.00\)</c:formatCode>
                <c:ptCount val="5"/>
                <c:pt idx="0">
                  <c:v>0.96</c:v>
                </c:pt>
                <c:pt idx="1">
                  <c:v>0.94</c:v>
                </c:pt>
                <c:pt idx="2">
                  <c:v>1.18</c:v>
                </c:pt>
                <c:pt idx="3">
                  <c:v>1.0900000000000001</c:v>
                </c:pt>
                <c:pt idx="4">
                  <c:v>1.3210236972489138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E7-4511-B208-B13CDA705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'1717'!$A$65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'1717'!$B$65:$F$65</c:f>
              <c:numCache>
                <c:formatCode>0.00_);[Red]\(0.00\)</c:formatCode>
                <c:ptCount val="5"/>
                <c:pt idx="0">
                  <c:v>0.27</c:v>
                </c:pt>
                <c:pt idx="1">
                  <c:v>0.35</c:v>
                </c:pt>
                <c:pt idx="2">
                  <c:v>0.53</c:v>
                </c:pt>
                <c:pt idx="3">
                  <c:v>0.55000000000000004</c:v>
                </c:pt>
                <c:pt idx="4">
                  <c:v>0.44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6-42C9-99BD-30D32CDEFCEF}"/>
            </c:ext>
          </c:extLst>
        </c:ser>
        <c:ser>
          <c:idx val="1"/>
          <c:order val="1"/>
          <c:tx>
            <c:strRef>
              <c:f>'1717'!$A$66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'1717'!$B$66:$F$66</c:f>
              <c:numCache>
                <c:formatCode>0.00_);[Red]\(0.00\)</c:formatCode>
                <c:ptCount val="5"/>
                <c:pt idx="0">
                  <c:v>0.51</c:v>
                </c:pt>
                <c:pt idx="1">
                  <c:v>0.63</c:v>
                </c:pt>
                <c:pt idx="2">
                  <c:v>0.64</c:v>
                </c:pt>
                <c:pt idx="3">
                  <c:v>0.79</c:v>
                </c:pt>
                <c:pt idx="4">
                  <c:v>0.26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E6-42C9-99BD-30D32CDEFCEF}"/>
            </c:ext>
          </c:extLst>
        </c:ser>
        <c:ser>
          <c:idx val="2"/>
          <c:order val="2"/>
          <c:tx>
            <c:strRef>
              <c:f>'1717'!$A$67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'1717'!$B$67:$F$67</c:f>
              <c:numCache>
                <c:formatCode>0.00_);[Red]\(0.00\)</c:formatCode>
                <c:ptCount val="5"/>
                <c:pt idx="0">
                  <c:v>0.6</c:v>
                </c:pt>
                <c:pt idx="1">
                  <c:v>0.69</c:v>
                </c:pt>
                <c:pt idx="2">
                  <c:v>0.77</c:v>
                </c:pt>
                <c:pt idx="3">
                  <c:v>0.67</c:v>
                </c:pt>
                <c:pt idx="4">
                  <c:v>0.39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E6-42C9-99BD-30D32CDEFCEF}"/>
            </c:ext>
          </c:extLst>
        </c:ser>
        <c:ser>
          <c:idx val="3"/>
          <c:order val="3"/>
          <c:tx>
            <c:strRef>
              <c:f>'1717'!$A$68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'1717'!$B$68:$F$68</c:f>
              <c:numCache>
                <c:formatCode>0.00_);[Red]\(0.00\)</c:formatCode>
                <c:ptCount val="5"/>
                <c:pt idx="0">
                  <c:v>0.57999999999999996</c:v>
                </c:pt>
                <c:pt idx="1">
                  <c:v>0.61</c:v>
                </c:pt>
                <c:pt idx="2">
                  <c:v>0.87</c:v>
                </c:pt>
                <c:pt idx="3">
                  <c:v>0.41</c:v>
                </c:pt>
                <c:pt idx="4">
                  <c:v>0.47213900575142265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E6-42C9-99BD-30D32CDEF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'1726'!$A$65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'1726'!$B$64:$F$64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'1726'!$B$65:$F$65</c:f>
              <c:numCache>
                <c:formatCode>0.00_);[Red]\(0.00\)</c:formatCode>
                <c:ptCount val="5"/>
                <c:pt idx="0">
                  <c:v>2.02</c:v>
                </c:pt>
                <c:pt idx="1">
                  <c:v>1.58</c:v>
                </c:pt>
                <c:pt idx="2">
                  <c:v>1.34</c:v>
                </c:pt>
                <c:pt idx="3">
                  <c:v>1.5</c:v>
                </c:pt>
                <c:pt idx="4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C-44B0-B02F-992C2C43CFD8}"/>
            </c:ext>
          </c:extLst>
        </c:ser>
        <c:ser>
          <c:idx val="1"/>
          <c:order val="1"/>
          <c:tx>
            <c:strRef>
              <c:f>'1726'!$A$66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'1726'!$B$64:$F$64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'1726'!$B$66:$F$66</c:f>
              <c:numCache>
                <c:formatCode>0.00_);[Red]\(0.00\)</c:formatCode>
                <c:ptCount val="5"/>
                <c:pt idx="0">
                  <c:v>1.1200000000000001</c:v>
                </c:pt>
                <c:pt idx="1">
                  <c:v>1.78</c:v>
                </c:pt>
                <c:pt idx="2">
                  <c:v>1.45</c:v>
                </c:pt>
                <c:pt idx="3">
                  <c:v>1.69</c:v>
                </c:pt>
                <c:pt idx="4">
                  <c:v>1.29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8C-44B0-B02F-992C2C43CFD8}"/>
            </c:ext>
          </c:extLst>
        </c:ser>
        <c:ser>
          <c:idx val="2"/>
          <c:order val="2"/>
          <c:tx>
            <c:strRef>
              <c:f>'1726'!$A$67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'1726'!$B$64:$F$64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'1726'!$B$67:$F$67</c:f>
              <c:numCache>
                <c:formatCode>0.00_);[Red]\(0.00\)</c:formatCode>
                <c:ptCount val="5"/>
                <c:pt idx="0">
                  <c:v>1.58</c:v>
                </c:pt>
                <c:pt idx="1">
                  <c:v>1.49</c:v>
                </c:pt>
                <c:pt idx="2">
                  <c:v>1.65</c:v>
                </c:pt>
                <c:pt idx="3">
                  <c:v>1.66</c:v>
                </c:pt>
                <c:pt idx="4">
                  <c:v>1.03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8C-44B0-B02F-992C2C43CFD8}"/>
            </c:ext>
          </c:extLst>
        </c:ser>
        <c:ser>
          <c:idx val="3"/>
          <c:order val="3"/>
          <c:tx>
            <c:strRef>
              <c:f>'1726'!$A$68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'1726'!$B$64:$F$64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'1726'!$B$68:$F$68</c:f>
              <c:numCache>
                <c:formatCode>0.00_);[Red]\(0.00\)</c:formatCode>
                <c:ptCount val="5"/>
                <c:pt idx="0">
                  <c:v>1.61</c:v>
                </c:pt>
                <c:pt idx="1">
                  <c:v>1.54</c:v>
                </c:pt>
                <c:pt idx="2">
                  <c:v>1.37</c:v>
                </c:pt>
                <c:pt idx="3">
                  <c:v>1.67</c:v>
                </c:pt>
                <c:pt idx="4">
                  <c:v>1.5345590761029628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8C-44B0-B02F-992C2C43C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'1773'!$A$65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'1773'!$B$64:$F$64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'1773'!$B$65:$F$65</c:f>
              <c:numCache>
                <c:formatCode>0.00_);[Red]\(0.00\)</c:formatCode>
                <c:ptCount val="5"/>
                <c:pt idx="0">
                  <c:v>1.03</c:v>
                </c:pt>
                <c:pt idx="1">
                  <c:v>0.92</c:v>
                </c:pt>
                <c:pt idx="2">
                  <c:v>0.9</c:v>
                </c:pt>
                <c:pt idx="3">
                  <c:v>1.1200000000000001</c:v>
                </c:pt>
                <c:pt idx="4">
                  <c:v>1.32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1-4A0A-9F53-6086613F43E8}"/>
            </c:ext>
          </c:extLst>
        </c:ser>
        <c:ser>
          <c:idx val="1"/>
          <c:order val="1"/>
          <c:tx>
            <c:strRef>
              <c:f>'1773'!$A$66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'1773'!$B$64:$F$64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'1773'!$B$66:$F$66</c:f>
              <c:numCache>
                <c:formatCode>0.00_);[Red]\(0.00\)</c:formatCode>
                <c:ptCount val="5"/>
                <c:pt idx="0">
                  <c:v>1</c:v>
                </c:pt>
                <c:pt idx="1">
                  <c:v>0.77</c:v>
                </c:pt>
                <c:pt idx="2">
                  <c:v>1.02</c:v>
                </c:pt>
                <c:pt idx="3">
                  <c:v>1.35</c:v>
                </c:pt>
                <c:pt idx="4">
                  <c:v>1.44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11-4A0A-9F53-6086613F43E8}"/>
            </c:ext>
          </c:extLst>
        </c:ser>
        <c:ser>
          <c:idx val="2"/>
          <c:order val="2"/>
          <c:tx>
            <c:strRef>
              <c:f>'1773'!$A$67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'1773'!$B$64:$F$64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'1773'!$B$67:$F$67</c:f>
              <c:numCache>
                <c:formatCode>0.00_);[Red]\(0.00\)</c:formatCode>
                <c:ptCount val="5"/>
                <c:pt idx="0">
                  <c:v>1.04</c:v>
                </c:pt>
                <c:pt idx="1">
                  <c:v>1.01</c:v>
                </c:pt>
                <c:pt idx="2">
                  <c:v>1.06</c:v>
                </c:pt>
                <c:pt idx="3">
                  <c:v>1.33</c:v>
                </c:pt>
                <c:pt idx="4">
                  <c:v>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11-4A0A-9F53-6086613F43E8}"/>
            </c:ext>
          </c:extLst>
        </c:ser>
        <c:ser>
          <c:idx val="3"/>
          <c:order val="3"/>
          <c:tx>
            <c:strRef>
              <c:f>'1773'!$A$68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'1773'!$B$64:$F$64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'1773'!$B$68:$F$68</c:f>
              <c:numCache>
                <c:formatCode>0.00_);[Red]\(0.00\)</c:formatCode>
                <c:ptCount val="5"/>
                <c:pt idx="0">
                  <c:v>0.99</c:v>
                </c:pt>
                <c:pt idx="1">
                  <c:v>0.89</c:v>
                </c:pt>
                <c:pt idx="2">
                  <c:v>1.08</c:v>
                </c:pt>
                <c:pt idx="3">
                  <c:v>1.43</c:v>
                </c:pt>
                <c:pt idx="4">
                  <c:v>1.5002600737838359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11-4A0A-9F53-6086613F4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'1817'!$A$65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'1817'!$B$64:$F$64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'1817'!$B$65:$F$65</c:f>
              <c:numCache>
                <c:formatCode>0.00_);[Red]\(0.00\)</c:formatCode>
                <c:ptCount val="5"/>
                <c:pt idx="0">
                  <c:v>0.52</c:v>
                </c:pt>
                <c:pt idx="1">
                  <c:v>0.43</c:v>
                </c:pt>
                <c:pt idx="2">
                  <c:v>0.57999999999999996</c:v>
                </c:pt>
                <c:pt idx="3">
                  <c:v>0.64</c:v>
                </c:pt>
                <c:pt idx="4">
                  <c:v>0.66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6-409A-AE9E-579306B1906A}"/>
            </c:ext>
          </c:extLst>
        </c:ser>
        <c:ser>
          <c:idx val="1"/>
          <c:order val="1"/>
          <c:tx>
            <c:strRef>
              <c:f>'1817'!$A$66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'1817'!$B$64:$F$64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'1817'!$B$66:$F$66</c:f>
              <c:numCache>
                <c:formatCode>0.00_);[Red]\(0.00\)</c:formatCode>
                <c:ptCount val="5"/>
                <c:pt idx="0">
                  <c:v>0.64</c:v>
                </c:pt>
                <c:pt idx="1">
                  <c:v>0.56000000000000005</c:v>
                </c:pt>
                <c:pt idx="2">
                  <c:v>0.65</c:v>
                </c:pt>
                <c:pt idx="3">
                  <c:v>0.75</c:v>
                </c:pt>
                <c:pt idx="4">
                  <c:v>0.88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56-409A-AE9E-579306B1906A}"/>
            </c:ext>
          </c:extLst>
        </c:ser>
        <c:ser>
          <c:idx val="2"/>
          <c:order val="2"/>
          <c:tx>
            <c:strRef>
              <c:f>'1817'!$A$67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'1817'!$B$64:$F$64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'1817'!$B$67:$F$67</c:f>
              <c:numCache>
                <c:formatCode>0.00_);[Red]\(0.00\)</c:formatCode>
                <c:ptCount val="5"/>
                <c:pt idx="0">
                  <c:v>0.56999999999999995</c:v>
                </c:pt>
                <c:pt idx="1">
                  <c:v>0.76</c:v>
                </c:pt>
                <c:pt idx="2">
                  <c:v>0.97</c:v>
                </c:pt>
                <c:pt idx="3">
                  <c:v>0.89</c:v>
                </c:pt>
                <c:pt idx="4">
                  <c:v>0.94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56-409A-AE9E-579306B1906A}"/>
            </c:ext>
          </c:extLst>
        </c:ser>
        <c:ser>
          <c:idx val="3"/>
          <c:order val="3"/>
          <c:tx>
            <c:strRef>
              <c:f>'1817'!$A$68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'1817'!$B$64:$F$64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'1817'!$B$68:$F$68</c:f>
              <c:numCache>
                <c:formatCode>0.00_);[Red]\(0.00\)</c:formatCode>
                <c:ptCount val="5"/>
                <c:pt idx="0">
                  <c:v>0.84</c:v>
                </c:pt>
                <c:pt idx="1">
                  <c:v>0.77</c:v>
                </c:pt>
                <c:pt idx="2">
                  <c:v>0.99</c:v>
                </c:pt>
                <c:pt idx="3">
                  <c:v>1.1200000000000001</c:v>
                </c:pt>
                <c:pt idx="4">
                  <c:v>1.2152867670767125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56-409A-AE9E-579306B19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'2105'!$A$65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'2105'!$B$64:$F$64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'2105'!$B$65:$F$65</c:f>
              <c:numCache>
                <c:formatCode>0.00_);[Red]\(0.00\)</c:formatCode>
                <c:ptCount val="5"/>
                <c:pt idx="0">
                  <c:v>1.51</c:v>
                </c:pt>
                <c:pt idx="1">
                  <c:v>1.1299999999999999</c:v>
                </c:pt>
                <c:pt idx="2">
                  <c:v>1.01</c:v>
                </c:pt>
                <c:pt idx="3">
                  <c:v>1.24</c:v>
                </c:pt>
                <c:pt idx="4">
                  <c:v>0.59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A-4605-A9B0-EA0EF20C69B2}"/>
            </c:ext>
          </c:extLst>
        </c:ser>
        <c:ser>
          <c:idx val="1"/>
          <c:order val="1"/>
          <c:tx>
            <c:strRef>
              <c:f>'2105'!$A$66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'2105'!$B$64:$F$64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'2105'!$B$66:$F$66</c:f>
              <c:numCache>
                <c:formatCode>0.00_);[Red]\(0.00\)</c:formatCode>
                <c:ptCount val="5"/>
                <c:pt idx="0">
                  <c:v>1.43</c:v>
                </c:pt>
                <c:pt idx="1">
                  <c:v>1.05</c:v>
                </c:pt>
                <c:pt idx="2">
                  <c:v>1</c:v>
                </c:pt>
                <c:pt idx="3">
                  <c:v>1.23</c:v>
                </c:pt>
                <c:pt idx="4">
                  <c:v>0.53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A-4605-A9B0-EA0EF20C69B2}"/>
            </c:ext>
          </c:extLst>
        </c:ser>
        <c:ser>
          <c:idx val="2"/>
          <c:order val="2"/>
          <c:tx>
            <c:strRef>
              <c:f>'2105'!$A$67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'2105'!$B$64:$F$64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'2105'!$B$67:$F$67</c:f>
              <c:numCache>
                <c:formatCode>0.00_);[Red]\(0.00\)</c:formatCode>
                <c:ptCount val="5"/>
                <c:pt idx="0">
                  <c:v>1.45</c:v>
                </c:pt>
                <c:pt idx="1">
                  <c:v>1.43</c:v>
                </c:pt>
                <c:pt idx="2">
                  <c:v>0.94</c:v>
                </c:pt>
                <c:pt idx="3">
                  <c:v>0.92</c:v>
                </c:pt>
                <c:pt idx="4">
                  <c:v>0.33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A-4605-A9B0-EA0EF20C69B2}"/>
            </c:ext>
          </c:extLst>
        </c:ser>
        <c:ser>
          <c:idx val="3"/>
          <c:order val="3"/>
          <c:tx>
            <c:strRef>
              <c:f>'2105'!$A$68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'2105'!$B$64:$F$64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'2105'!$B$68:$F$68</c:f>
              <c:numCache>
                <c:formatCode>0.00_);[Red]\(0.00\)</c:formatCode>
                <c:ptCount val="5"/>
                <c:pt idx="0">
                  <c:v>1.53</c:v>
                </c:pt>
                <c:pt idx="1">
                  <c:v>1.33</c:v>
                </c:pt>
                <c:pt idx="2">
                  <c:v>0.99</c:v>
                </c:pt>
                <c:pt idx="3">
                  <c:v>0.69</c:v>
                </c:pt>
                <c:pt idx="4">
                  <c:v>0.5684753938706304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FA-4605-A9B0-EA0EF20C6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'2106'!$A$65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'2106'!$B$64:$F$64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'2106'!$B$65:$F$65</c:f>
              <c:numCache>
                <c:formatCode>0.00_);[Red]\(0.00\)</c:formatCode>
                <c:ptCount val="5"/>
                <c:pt idx="0">
                  <c:v>1.05</c:v>
                </c:pt>
                <c:pt idx="1">
                  <c:v>1.1200000000000001</c:v>
                </c:pt>
                <c:pt idx="2">
                  <c:v>0.7</c:v>
                </c:pt>
                <c:pt idx="3">
                  <c:v>0.75</c:v>
                </c:pt>
                <c:pt idx="4">
                  <c:v>0.23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D-4653-A6CC-1875C74B6D79}"/>
            </c:ext>
          </c:extLst>
        </c:ser>
        <c:ser>
          <c:idx val="1"/>
          <c:order val="1"/>
          <c:tx>
            <c:strRef>
              <c:f>'2106'!$A$66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'2106'!$B$64:$F$64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'2106'!$B$66:$F$66</c:f>
              <c:numCache>
                <c:formatCode>0.00_);[Red]\(0.00\)</c:formatCode>
                <c:ptCount val="5"/>
                <c:pt idx="0">
                  <c:v>1.21</c:v>
                </c:pt>
                <c:pt idx="1">
                  <c:v>1.19</c:v>
                </c:pt>
                <c:pt idx="2">
                  <c:v>1.03</c:v>
                </c:pt>
                <c:pt idx="3">
                  <c:v>1.01</c:v>
                </c:pt>
                <c:pt idx="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D-4653-A6CC-1875C74B6D79}"/>
            </c:ext>
          </c:extLst>
        </c:ser>
        <c:ser>
          <c:idx val="2"/>
          <c:order val="2"/>
          <c:tx>
            <c:strRef>
              <c:f>'2106'!$A$67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'2106'!$B$64:$F$64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'2106'!$B$67:$F$67</c:f>
              <c:numCache>
                <c:formatCode>0.00_);[Red]\(0.00\)</c:formatCode>
                <c:ptCount val="5"/>
                <c:pt idx="0">
                  <c:v>1.06</c:v>
                </c:pt>
                <c:pt idx="1">
                  <c:v>1.1499999999999999</c:v>
                </c:pt>
                <c:pt idx="2">
                  <c:v>1.48</c:v>
                </c:pt>
                <c:pt idx="3">
                  <c:v>0.85</c:v>
                </c:pt>
                <c:pt idx="4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D-4653-A6CC-1875C74B6D79}"/>
            </c:ext>
          </c:extLst>
        </c:ser>
        <c:ser>
          <c:idx val="3"/>
          <c:order val="3"/>
          <c:tx>
            <c:strRef>
              <c:f>'2106'!$A$68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'2106'!$B$64:$F$64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'2106'!$B$68:$F$68</c:f>
              <c:numCache>
                <c:formatCode>0.00_);[Red]\(0.00\)</c:formatCode>
                <c:ptCount val="5"/>
                <c:pt idx="0">
                  <c:v>1.01</c:v>
                </c:pt>
                <c:pt idx="1">
                  <c:v>1.19</c:v>
                </c:pt>
                <c:pt idx="2">
                  <c:v>0.91</c:v>
                </c:pt>
                <c:pt idx="3">
                  <c:v>0.96</c:v>
                </c:pt>
                <c:pt idx="4">
                  <c:v>0.56615150931839509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AD-4653-A6CC-1875C74B6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'2114'!$A$65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'2114'!$B$64:$F$64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'2114'!$B$65:$F$65</c:f>
              <c:numCache>
                <c:formatCode>0.00_);[Red]\(0.00\)</c:formatCode>
                <c:ptCount val="5"/>
                <c:pt idx="0">
                  <c:v>1.86</c:v>
                </c:pt>
                <c:pt idx="1">
                  <c:v>1.76</c:v>
                </c:pt>
                <c:pt idx="2">
                  <c:v>1.38</c:v>
                </c:pt>
                <c:pt idx="3">
                  <c:v>1.17</c:v>
                </c:pt>
                <c:pt idx="4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9F-44CD-8011-FE4B3B6281FB}"/>
            </c:ext>
          </c:extLst>
        </c:ser>
        <c:ser>
          <c:idx val="1"/>
          <c:order val="1"/>
          <c:tx>
            <c:strRef>
              <c:f>'2114'!$A$66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'2114'!$B$64:$F$64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'2114'!$B$66:$F$66</c:f>
              <c:numCache>
                <c:formatCode>0.00_);[Red]\(0.00\)</c:formatCode>
                <c:ptCount val="5"/>
                <c:pt idx="0">
                  <c:v>1.61</c:v>
                </c:pt>
                <c:pt idx="1">
                  <c:v>1.87</c:v>
                </c:pt>
                <c:pt idx="2">
                  <c:v>1.27</c:v>
                </c:pt>
                <c:pt idx="3">
                  <c:v>1.41</c:v>
                </c:pt>
                <c:pt idx="4">
                  <c:v>1.27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9F-44CD-8011-FE4B3B6281FB}"/>
            </c:ext>
          </c:extLst>
        </c:ser>
        <c:ser>
          <c:idx val="2"/>
          <c:order val="2"/>
          <c:tx>
            <c:strRef>
              <c:f>'2114'!$A$67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'2114'!$B$64:$F$64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'2114'!$B$67:$F$67</c:f>
              <c:numCache>
                <c:formatCode>0.00_);[Red]\(0.00\)</c:formatCode>
                <c:ptCount val="5"/>
                <c:pt idx="0">
                  <c:v>1.8</c:v>
                </c:pt>
                <c:pt idx="1">
                  <c:v>1.99</c:v>
                </c:pt>
                <c:pt idx="2">
                  <c:v>2.17</c:v>
                </c:pt>
                <c:pt idx="3">
                  <c:v>1</c:v>
                </c:pt>
                <c:pt idx="4">
                  <c:v>1.66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9F-44CD-8011-FE4B3B6281FB}"/>
            </c:ext>
          </c:extLst>
        </c:ser>
        <c:ser>
          <c:idx val="3"/>
          <c:order val="3"/>
          <c:tx>
            <c:strRef>
              <c:f>'2114'!$A$68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'2114'!$B$64:$F$64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'2114'!$B$68:$F$68</c:f>
              <c:numCache>
                <c:formatCode>0.00_);[Red]\(0.00\)</c:formatCode>
                <c:ptCount val="5"/>
                <c:pt idx="0">
                  <c:v>1.85</c:v>
                </c:pt>
                <c:pt idx="1">
                  <c:v>2.0499999999999998</c:v>
                </c:pt>
                <c:pt idx="2">
                  <c:v>1.39</c:v>
                </c:pt>
                <c:pt idx="3">
                  <c:v>1.61</c:v>
                </c:pt>
                <c:pt idx="4">
                  <c:v>1.3025532346318573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9F-44CD-8011-FE4B3B628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'2228'!$A$65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'2228'!$B$64:$F$64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'2228'!$B$65:$F$65</c:f>
              <c:numCache>
                <c:formatCode>0.00_);[Red]\(0.00\)</c:formatCode>
                <c:ptCount val="5"/>
                <c:pt idx="0">
                  <c:v>1.24</c:v>
                </c:pt>
                <c:pt idx="1">
                  <c:v>1.78</c:v>
                </c:pt>
                <c:pt idx="2">
                  <c:v>1.96</c:v>
                </c:pt>
                <c:pt idx="3">
                  <c:v>2.39</c:v>
                </c:pt>
                <c:pt idx="4">
                  <c:v>1.65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8-47C7-B2F9-1760FF1AA194}"/>
            </c:ext>
          </c:extLst>
        </c:ser>
        <c:ser>
          <c:idx val="1"/>
          <c:order val="1"/>
          <c:tx>
            <c:strRef>
              <c:f>'2228'!$A$66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'2228'!$B$64:$F$64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'2228'!$B$66:$F$66</c:f>
              <c:numCache>
                <c:formatCode>0.00_);[Red]\(0.00\)</c:formatCode>
                <c:ptCount val="5"/>
                <c:pt idx="0">
                  <c:v>1.28</c:v>
                </c:pt>
                <c:pt idx="1">
                  <c:v>1.39</c:v>
                </c:pt>
                <c:pt idx="2">
                  <c:v>1.57</c:v>
                </c:pt>
                <c:pt idx="3">
                  <c:v>2.29</c:v>
                </c:pt>
                <c:pt idx="4">
                  <c:v>1.1200000000000001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8-47C7-B2F9-1760FF1AA194}"/>
            </c:ext>
          </c:extLst>
        </c:ser>
        <c:ser>
          <c:idx val="2"/>
          <c:order val="2"/>
          <c:tx>
            <c:strRef>
              <c:f>'2228'!$A$67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'2228'!$B$64:$F$64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'2228'!$B$67:$F$67</c:f>
              <c:numCache>
                <c:formatCode>0.00_);[Red]\(0.00\)</c:formatCode>
                <c:ptCount val="5"/>
                <c:pt idx="0">
                  <c:v>1.33</c:v>
                </c:pt>
                <c:pt idx="1">
                  <c:v>1.9</c:v>
                </c:pt>
                <c:pt idx="2">
                  <c:v>2.7</c:v>
                </c:pt>
                <c:pt idx="3">
                  <c:v>2.17</c:v>
                </c:pt>
                <c:pt idx="4">
                  <c:v>1.96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8-47C7-B2F9-1760FF1AA194}"/>
            </c:ext>
          </c:extLst>
        </c:ser>
        <c:ser>
          <c:idx val="3"/>
          <c:order val="3"/>
          <c:tx>
            <c:strRef>
              <c:f>'2228'!$A$68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'2228'!$B$64:$F$64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'2228'!$B$68:$F$68</c:f>
              <c:numCache>
                <c:formatCode>0.00_);[Red]\(0.00\)</c:formatCode>
                <c:ptCount val="5"/>
                <c:pt idx="0">
                  <c:v>1.26</c:v>
                </c:pt>
                <c:pt idx="1">
                  <c:v>1.71</c:v>
                </c:pt>
                <c:pt idx="2">
                  <c:v>2.38</c:v>
                </c:pt>
                <c:pt idx="3">
                  <c:v>2.25</c:v>
                </c:pt>
                <c:pt idx="4">
                  <c:v>2.0712327163339528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8-47C7-B2F9-1760FF1AA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'2231'!$A$65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'2231'!$B$64:$F$64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'2231'!$B$65:$F$65</c:f>
              <c:numCache>
                <c:formatCode>0.00_);[Red]\(0.00\)</c:formatCode>
                <c:ptCount val="5"/>
                <c:pt idx="0">
                  <c:v>1.29</c:v>
                </c:pt>
                <c:pt idx="1">
                  <c:v>2.31</c:v>
                </c:pt>
                <c:pt idx="2">
                  <c:v>3.56</c:v>
                </c:pt>
                <c:pt idx="3">
                  <c:v>3.2</c:v>
                </c:pt>
                <c:pt idx="4">
                  <c:v>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7-47F9-A5A3-77765EC023FE}"/>
            </c:ext>
          </c:extLst>
        </c:ser>
        <c:ser>
          <c:idx val="1"/>
          <c:order val="1"/>
          <c:tx>
            <c:strRef>
              <c:f>'2231'!$A$66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'2231'!$B$64:$F$64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'2231'!$B$66:$F$66</c:f>
              <c:numCache>
                <c:formatCode>0.00_);[Red]\(0.00\)</c:formatCode>
                <c:ptCount val="5"/>
                <c:pt idx="0">
                  <c:v>1.51</c:v>
                </c:pt>
                <c:pt idx="1">
                  <c:v>2.62</c:v>
                </c:pt>
                <c:pt idx="2">
                  <c:v>3.45</c:v>
                </c:pt>
                <c:pt idx="3">
                  <c:v>3.35</c:v>
                </c:pt>
                <c:pt idx="4">
                  <c:v>3.27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07-47F9-A5A3-77765EC023FE}"/>
            </c:ext>
          </c:extLst>
        </c:ser>
        <c:ser>
          <c:idx val="2"/>
          <c:order val="2"/>
          <c:tx>
            <c:strRef>
              <c:f>'2231'!$A$67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'2231'!$B$64:$F$64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'2231'!$B$67:$F$67</c:f>
              <c:numCache>
                <c:formatCode>0.00_);[Red]\(0.00\)</c:formatCode>
                <c:ptCount val="5"/>
                <c:pt idx="0">
                  <c:v>1.25</c:v>
                </c:pt>
                <c:pt idx="1">
                  <c:v>2.73</c:v>
                </c:pt>
                <c:pt idx="2">
                  <c:v>4.63</c:v>
                </c:pt>
                <c:pt idx="3">
                  <c:v>3.12</c:v>
                </c:pt>
                <c:pt idx="4">
                  <c:v>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07-47F9-A5A3-77765EC023FE}"/>
            </c:ext>
          </c:extLst>
        </c:ser>
        <c:ser>
          <c:idx val="3"/>
          <c:order val="3"/>
          <c:tx>
            <c:strRef>
              <c:f>'2231'!$A$68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'2231'!$B$64:$F$64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'2231'!$B$68:$F$68</c:f>
              <c:numCache>
                <c:formatCode>0.00_);[Red]\(0.00\)</c:formatCode>
                <c:ptCount val="5"/>
                <c:pt idx="0">
                  <c:v>1.95</c:v>
                </c:pt>
                <c:pt idx="1">
                  <c:v>3.43</c:v>
                </c:pt>
                <c:pt idx="2">
                  <c:v>3.33</c:v>
                </c:pt>
                <c:pt idx="3">
                  <c:v>3.35</c:v>
                </c:pt>
                <c:pt idx="4">
                  <c:v>2.765056572157361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07-47F9-A5A3-77765EC02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'2308'!$A$65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'2308'!$B$64:$F$64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'2308'!$B$65:$F$65</c:f>
              <c:numCache>
                <c:formatCode>0.00_);[Red]\(0.00\)</c:formatCode>
                <c:ptCount val="5"/>
                <c:pt idx="0">
                  <c:v>1.73</c:v>
                </c:pt>
                <c:pt idx="1">
                  <c:v>1.87</c:v>
                </c:pt>
                <c:pt idx="2">
                  <c:v>1.59</c:v>
                </c:pt>
                <c:pt idx="3">
                  <c:v>1.5</c:v>
                </c:pt>
                <c:pt idx="4">
                  <c:v>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1-404F-854F-73BE90A1174C}"/>
            </c:ext>
          </c:extLst>
        </c:ser>
        <c:ser>
          <c:idx val="1"/>
          <c:order val="1"/>
          <c:tx>
            <c:strRef>
              <c:f>'2308'!$A$66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'2308'!$B$64:$F$64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'2308'!$B$66:$F$66</c:f>
              <c:numCache>
                <c:formatCode>0.00_);[Red]\(0.00\)</c:formatCode>
                <c:ptCount val="5"/>
                <c:pt idx="0">
                  <c:v>1.78</c:v>
                </c:pt>
                <c:pt idx="1">
                  <c:v>2.16</c:v>
                </c:pt>
                <c:pt idx="2">
                  <c:v>1.55</c:v>
                </c:pt>
                <c:pt idx="3">
                  <c:v>1.65</c:v>
                </c:pt>
                <c:pt idx="4">
                  <c:v>1.63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B1-404F-854F-73BE90A1174C}"/>
            </c:ext>
          </c:extLst>
        </c:ser>
        <c:ser>
          <c:idx val="2"/>
          <c:order val="2"/>
          <c:tx>
            <c:strRef>
              <c:f>'2308'!$A$67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'2308'!$B$64:$F$64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'2308'!$B$67:$F$67</c:f>
              <c:numCache>
                <c:formatCode>0.00_);[Red]\(0.00\)</c:formatCode>
                <c:ptCount val="5"/>
                <c:pt idx="0">
                  <c:v>1.86</c:v>
                </c:pt>
                <c:pt idx="1">
                  <c:v>2.4</c:v>
                </c:pt>
                <c:pt idx="2">
                  <c:v>2.42</c:v>
                </c:pt>
                <c:pt idx="3">
                  <c:v>2.1800000000000002</c:v>
                </c:pt>
                <c:pt idx="4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B1-404F-854F-73BE90A1174C}"/>
            </c:ext>
          </c:extLst>
        </c:ser>
        <c:ser>
          <c:idx val="3"/>
          <c:order val="3"/>
          <c:tx>
            <c:strRef>
              <c:f>'2308'!$A$68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'2308'!$B$64:$F$64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'2308'!$B$68:$F$68</c:f>
              <c:numCache>
                <c:formatCode>0.00_);[Red]\(0.00\)</c:formatCode>
                <c:ptCount val="5"/>
                <c:pt idx="0">
                  <c:v>1.95</c:v>
                </c:pt>
                <c:pt idx="1">
                  <c:v>2.06</c:v>
                </c:pt>
                <c:pt idx="2">
                  <c:v>2.12</c:v>
                </c:pt>
                <c:pt idx="3">
                  <c:v>1.91</c:v>
                </c:pt>
                <c:pt idx="4">
                  <c:v>1.9861731570803021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B1-404F-854F-73BE90A11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'2317'!$A$65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'2317'!$B$65:$F$65</c:f>
              <c:numCache>
                <c:formatCode>0.00_);[Red]\(0.00\)</c:formatCode>
                <c:ptCount val="5"/>
                <c:pt idx="0">
                  <c:v>1.38</c:v>
                </c:pt>
                <c:pt idx="1">
                  <c:v>1.49</c:v>
                </c:pt>
                <c:pt idx="2">
                  <c:v>2.0499999999999998</c:v>
                </c:pt>
                <c:pt idx="3">
                  <c:v>1.76</c:v>
                </c:pt>
                <c:pt idx="4">
                  <c:v>1.63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B-4E83-8A07-601EFB04FE5D}"/>
            </c:ext>
          </c:extLst>
        </c:ser>
        <c:ser>
          <c:idx val="1"/>
          <c:order val="1"/>
          <c:tx>
            <c:strRef>
              <c:f>'2317'!$A$66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'2317'!$B$66:$F$66</c:f>
              <c:numCache>
                <c:formatCode>0.00_);[Red]\(0.00\)</c:formatCode>
                <c:ptCount val="5"/>
                <c:pt idx="0">
                  <c:v>1.3</c:v>
                </c:pt>
                <c:pt idx="1">
                  <c:v>1.37</c:v>
                </c:pt>
                <c:pt idx="2">
                  <c:v>1.65</c:v>
                </c:pt>
                <c:pt idx="3">
                  <c:v>1.02</c:v>
                </c:pt>
                <c:pt idx="4">
                  <c:v>1.03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B-4E83-8A07-601EFB04FE5D}"/>
            </c:ext>
          </c:extLst>
        </c:ser>
        <c:ser>
          <c:idx val="2"/>
          <c:order val="2"/>
          <c:tx>
            <c:strRef>
              <c:f>'2317'!$A$67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'2317'!$B$67:$F$67</c:f>
              <c:numCache>
                <c:formatCode>0.00_);[Red]\(0.00\)</c:formatCode>
                <c:ptCount val="5"/>
                <c:pt idx="0">
                  <c:v>2.34</c:v>
                </c:pt>
                <c:pt idx="1">
                  <c:v>2.2999999999999998</c:v>
                </c:pt>
                <c:pt idx="2">
                  <c:v>2.42</c:v>
                </c:pt>
                <c:pt idx="3">
                  <c:v>2</c:v>
                </c:pt>
                <c:pt idx="4">
                  <c:v>1.21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3B-4E83-8A07-601EFB04FE5D}"/>
            </c:ext>
          </c:extLst>
        </c:ser>
        <c:ser>
          <c:idx val="3"/>
          <c:order val="3"/>
          <c:tx>
            <c:strRef>
              <c:f>'2317'!$A$68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'2317'!$B$68:$F$68</c:f>
              <c:numCache>
                <c:formatCode>0.00_);[Red]\(0.00\)</c:formatCode>
                <c:ptCount val="5"/>
                <c:pt idx="0">
                  <c:v>3.26</c:v>
                </c:pt>
                <c:pt idx="1">
                  <c:v>3.85</c:v>
                </c:pt>
                <c:pt idx="2">
                  <c:v>3.4</c:v>
                </c:pt>
                <c:pt idx="3">
                  <c:v>3.98</c:v>
                </c:pt>
                <c:pt idx="4">
                  <c:v>3.1740785951399997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3B-4E83-8A07-601EFB04F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'2330'!$A$65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'2330'!$B$64:$F$64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'2330'!$B$65:$F$65</c:f>
              <c:numCache>
                <c:formatCode>0.00_);[Red]\(0.00\)</c:formatCode>
                <c:ptCount val="5"/>
                <c:pt idx="0">
                  <c:v>1.53</c:v>
                </c:pt>
                <c:pt idx="1">
                  <c:v>1.85</c:v>
                </c:pt>
                <c:pt idx="2">
                  <c:v>3.05</c:v>
                </c:pt>
                <c:pt idx="3">
                  <c:v>2.5</c:v>
                </c:pt>
                <c:pt idx="4">
                  <c:v>3.38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F-4C5F-8340-FB57FF02D524}"/>
            </c:ext>
          </c:extLst>
        </c:ser>
        <c:ser>
          <c:idx val="1"/>
          <c:order val="1"/>
          <c:tx>
            <c:strRef>
              <c:f>'2330'!$A$66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'2330'!$B$64:$F$64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'2330'!$B$66:$F$66</c:f>
              <c:numCache>
                <c:formatCode>0.00_);[Red]\(0.00\)</c:formatCode>
                <c:ptCount val="5"/>
                <c:pt idx="0">
                  <c:v>2</c:v>
                </c:pt>
                <c:pt idx="1">
                  <c:v>2.2999999999999998</c:v>
                </c:pt>
                <c:pt idx="2">
                  <c:v>3.06</c:v>
                </c:pt>
                <c:pt idx="3">
                  <c:v>2.8</c:v>
                </c:pt>
                <c:pt idx="4">
                  <c:v>2.56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AF-4C5F-8340-FB57FF02D524}"/>
            </c:ext>
          </c:extLst>
        </c:ser>
        <c:ser>
          <c:idx val="2"/>
          <c:order val="2"/>
          <c:tx>
            <c:strRef>
              <c:f>'2330'!$A$67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'2330'!$B$64:$F$64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'2330'!$B$67:$F$67</c:f>
              <c:numCache>
                <c:formatCode>0.00_);[Red]\(0.00\)</c:formatCode>
                <c:ptCount val="5"/>
                <c:pt idx="0">
                  <c:v>2</c:v>
                </c:pt>
                <c:pt idx="1">
                  <c:v>2.94</c:v>
                </c:pt>
                <c:pt idx="2">
                  <c:v>2.91</c:v>
                </c:pt>
                <c:pt idx="3">
                  <c:v>3.73</c:v>
                </c:pt>
                <c:pt idx="4">
                  <c:v>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AF-4C5F-8340-FB57FF02D524}"/>
            </c:ext>
          </c:extLst>
        </c:ser>
        <c:ser>
          <c:idx val="3"/>
          <c:order val="3"/>
          <c:tx>
            <c:strRef>
              <c:f>'2330'!$A$68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'2330'!$B$64:$F$64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'2330'!$B$68:$F$68</c:f>
              <c:numCache>
                <c:formatCode>0.00_);[Red]\(0.00\)</c:formatCode>
                <c:ptCount val="5"/>
                <c:pt idx="0">
                  <c:v>1.73</c:v>
                </c:pt>
                <c:pt idx="1">
                  <c:v>3.08</c:v>
                </c:pt>
                <c:pt idx="2">
                  <c:v>2.81</c:v>
                </c:pt>
                <c:pt idx="3">
                  <c:v>3.86</c:v>
                </c:pt>
                <c:pt idx="4">
                  <c:v>3.77081576108325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AF-4C5F-8340-FB57FF02D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'2383'!$A$65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'2383'!$B$64:$F$64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'2383'!$B$65:$F$65</c:f>
              <c:numCache>
                <c:formatCode>0.00_);[Red]\(0.00\)</c:formatCode>
                <c:ptCount val="5"/>
                <c:pt idx="0">
                  <c:v>0.61</c:v>
                </c:pt>
                <c:pt idx="1">
                  <c:v>0.8</c:v>
                </c:pt>
                <c:pt idx="2">
                  <c:v>1.72</c:v>
                </c:pt>
                <c:pt idx="3">
                  <c:v>1.75</c:v>
                </c:pt>
                <c:pt idx="4">
                  <c:v>2.2599999999999998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F2-89C1-F75DC27BDAE0}"/>
            </c:ext>
          </c:extLst>
        </c:ser>
        <c:ser>
          <c:idx val="1"/>
          <c:order val="1"/>
          <c:tx>
            <c:strRef>
              <c:f>'2383'!$A$66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'2383'!$B$64:$F$64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'2383'!$B$66:$F$66</c:f>
              <c:numCache>
                <c:formatCode>0.00_);[Red]\(0.00\)</c:formatCode>
                <c:ptCount val="5"/>
                <c:pt idx="0">
                  <c:v>0.62</c:v>
                </c:pt>
                <c:pt idx="1">
                  <c:v>0.95</c:v>
                </c:pt>
                <c:pt idx="2">
                  <c:v>1.51</c:v>
                </c:pt>
                <c:pt idx="3">
                  <c:v>1.87</c:v>
                </c:pt>
                <c:pt idx="4">
                  <c:v>2.29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F2-89C1-F75DC27BDAE0}"/>
            </c:ext>
          </c:extLst>
        </c:ser>
        <c:ser>
          <c:idx val="2"/>
          <c:order val="2"/>
          <c:tx>
            <c:strRef>
              <c:f>'2383'!$A$67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'2383'!$B$64:$F$64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'2383'!$B$67:$F$67</c:f>
              <c:numCache>
                <c:formatCode>0.00_);[Red]\(0.00\)</c:formatCode>
                <c:ptCount val="5"/>
                <c:pt idx="0">
                  <c:v>0.87</c:v>
                </c:pt>
                <c:pt idx="1">
                  <c:v>1.46</c:v>
                </c:pt>
                <c:pt idx="2">
                  <c:v>2.4300000000000002</c:v>
                </c:pt>
                <c:pt idx="3">
                  <c:v>2.59</c:v>
                </c:pt>
                <c:pt idx="4">
                  <c:v>2.41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F2-89C1-F75DC27BDAE0}"/>
            </c:ext>
          </c:extLst>
        </c:ser>
        <c:ser>
          <c:idx val="3"/>
          <c:order val="3"/>
          <c:tx>
            <c:strRef>
              <c:f>'2383'!$A$68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'2383'!$B$64:$F$64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'2383'!$B$68:$F$68</c:f>
              <c:numCache>
                <c:formatCode>0.00_);[Red]\(0.00\)</c:formatCode>
                <c:ptCount val="5"/>
                <c:pt idx="0">
                  <c:v>0.59</c:v>
                </c:pt>
                <c:pt idx="1">
                  <c:v>1.72</c:v>
                </c:pt>
                <c:pt idx="2">
                  <c:v>1.89</c:v>
                </c:pt>
                <c:pt idx="3">
                  <c:v>2.4900000000000002</c:v>
                </c:pt>
                <c:pt idx="4">
                  <c:v>2.4686312977357283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F2-89C1-F75DC27B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'2385'!$A$65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'2385'!$B$64:$F$64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'2385'!$B$65:$F$65</c:f>
              <c:numCache>
                <c:formatCode>0.00_);[Red]\(0.00\)</c:formatCode>
                <c:ptCount val="5"/>
                <c:pt idx="0">
                  <c:v>1.49</c:v>
                </c:pt>
                <c:pt idx="1">
                  <c:v>1.04</c:v>
                </c:pt>
                <c:pt idx="2">
                  <c:v>0.91</c:v>
                </c:pt>
                <c:pt idx="3">
                  <c:v>0.78</c:v>
                </c:pt>
                <c:pt idx="4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2-4020-8234-6E1A4B58058E}"/>
            </c:ext>
          </c:extLst>
        </c:ser>
        <c:ser>
          <c:idx val="1"/>
          <c:order val="1"/>
          <c:tx>
            <c:strRef>
              <c:f>'2385'!$A$66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'2385'!$B$64:$F$64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'2385'!$B$66:$F$66</c:f>
              <c:numCache>
                <c:formatCode>0.00_);[Red]\(0.00\)</c:formatCode>
                <c:ptCount val="5"/>
                <c:pt idx="0">
                  <c:v>1.37</c:v>
                </c:pt>
                <c:pt idx="1">
                  <c:v>1.53</c:v>
                </c:pt>
                <c:pt idx="2">
                  <c:v>1.57</c:v>
                </c:pt>
                <c:pt idx="3">
                  <c:v>1.23</c:v>
                </c:pt>
                <c:pt idx="4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62-4020-8234-6E1A4B58058E}"/>
            </c:ext>
          </c:extLst>
        </c:ser>
        <c:ser>
          <c:idx val="2"/>
          <c:order val="2"/>
          <c:tx>
            <c:strRef>
              <c:f>'2385'!$A$67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'2385'!$B$64:$F$64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'2385'!$B$67:$F$67</c:f>
              <c:numCache>
                <c:formatCode>0.00_);[Red]\(0.00\)</c:formatCode>
                <c:ptCount val="5"/>
                <c:pt idx="0">
                  <c:v>1.43</c:v>
                </c:pt>
                <c:pt idx="1">
                  <c:v>1.53</c:v>
                </c:pt>
                <c:pt idx="2">
                  <c:v>1.25</c:v>
                </c:pt>
                <c:pt idx="3">
                  <c:v>1.1499999999999999</c:v>
                </c:pt>
                <c:pt idx="4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62-4020-8234-6E1A4B58058E}"/>
            </c:ext>
          </c:extLst>
        </c:ser>
        <c:ser>
          <c:idx val="3"/>
          <c:order val="3"/>
          <c:tx>
            <c:strRef>
              <c:f>'2385'!$A$68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'2385'!$B$64:$F$64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'2385'!$B$68:$F$68</c:f>
              <c:numCache>
                <c:formatCode>0.00_);[Red]\(0.00\)</c:formatCode>
                <c:ptCount val="5"/>
                <c:pt idx="0">
                  <c:v>1.55</c:v>
                </c:pt>
                <c:pt idx="1">
                  <c:v>2.12</c:v>
                </c:pt>
                <c:pt idx="2">
                  <c:v>2.08</c:v>
                </c:pt>
                <c:pt idx="3">
                  <c:v>2.09</c:v>
                </c:pt>
                <c:pt idx="4">
                  <c:v>1.2383888653131796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62-4020-8234-6E1A4B580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'2412'!$A$65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'2412'!$B$64:$F$64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'2412'!$B$65:$F$65</c:f>
              <c:numCache>
                <c:formatCode>0.00_);[Red]\(0.00\)</c:formatCode>
                <c:ptCount val="5"/>
                <c:pt idx="0">
                  <c:v>1.19</c:v>
                </c:pt>
                <c:pt idx="1">
                  <c:v>1.32</c:v>
                </c:pt>
                <c:pt idx="2">
                  <c:v>1.34</c:v>
                </c:pt>
                <c:pt idx="3">
                  <c:v>1.5</c:v>
                </c:pt>
                <c:pt idx="4">
                  <c:v>1.24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C-4DE8-A44D-966D604D65A3}"/>
            </c:ext>
          </c:extLst>
        </c:ser>
        <c:ser>
          <c:idx val="1"/>
          <c:order val="1"/>
          <c:tx>
            <c:strRef>
              <c:f>'2412'!$A$66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'2412'!$B$64:$F$64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'2412'!$B$66:$F$66</c:f>
              <c:numCache>
                <c:formatCode>0.00_);[Red]\(0.00\)</c:formatCode>
                <c:ptCount val="5"/>
                <c:pt idx="0">
                  <c:v>1.37</c:v>
                </c:pt>
                <c:pt idx="1">
                  <c:v>1.36</c:v>
                </c:pt>
                <c:pt idx="2">
                  <c:v>1.44</c:v>
                </c:pt>
                <c:pt idx="3">
                  <c:v>1.43</c:v>
                </c:pt>
                <c:pt idx="4">
                  <c:v>1.35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7C-4DE8-A44D-966D604D65A3}"/>
            </c:ext>
          </c:extLst>
        </c:ser>
        <c:ser>
          <c:idx val="2"/>
          <c:order val="2"/>
          <c:tx>
            <c:strRef>
              <c:f>'2412'!$A$67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'2412'!$B$64:$F$64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'2412'!$B$67:$F$67</c:f>
              <c:numCache>
                <c:formatCode>0.00_);[Red]\(0.00\)</c:formatCode>
                <c:ptCount val="5"/>
                <c:pt idx="0">
                  <c:v>1.37</c:v>
                </c:pt>
                <c:pt idx="1">
                  <c:v>1.25</c:v>
                </c:pt>
                <c:pt idx="2">
                  <c:v>1.52</c:v>
                </c:pt>
                <c:pt idx="3">
                  <c:v>1.23</c:v>
                </c:pt>
                <c:pt idx="4">
                  <c:v>1.31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7C-4DE8-A44D-966D604D65A3}"/>
            </c:ext>
          </c:extLst>
        </c:ser>
        <c:ser>
          <c:idx val="3"/>
          <c:order val="3"/>
          <c:tx>
            <c:strRef>
              <c:f>'2412'!$A$68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'2412'!$B$64:$F$64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'2412'!$B$68:$F$68</c:f>
              <c:numCache>
                <c:formatCode>0.00_);[Red]\(0.00\)</c:formatCode>
                <c:ptCount val="5"/>
                <c:pt idx="0">
                  <c:v>1.19</c:v>
                </c:pt>
                <c:pt idx="1">
                  <c:v>1.04</c:v>
                </c:pt>
                <c:pt idx="2">
                  <c:v>1.22</c:v>
                </c:pt>
                <c:pt idx="3">
                  <c:v>1</c:v>
                </c:pt>
                <c:pt idx="4">
                  <c:v>1.1818907312887992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7C-4DE8-A44D-966D604D6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'2421'!$A$65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'2421'!$B$65:$F$65</c:f>
              <c:numCache>
                <c:formatCode>0.00_);[Red]\(0.00\)</c:formatCode>
                <c:ptCount val="5"/>
                <c:pt idx="0">
                  <c:v>0.12</c:v>
                </c:pt>
                <c:pt idx="1">
                  <c:v>0.25</c:v>
                </c:pt>
                <c:pt idx="2">
                  <c:v>0.11</c:v>
                </c:pt>
                <c:pt idx="3">
                  <c:v>0.2</c:v>
                </c:pt>
                <c:pt idx="4">
                  <c:v>0.51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F-4977-8BEC-E8858E4BA4F7}"/>
            </c:ext>
          </c:extLst>
        </c:ser>
        <c:ser>
          <c:idx val="1"/>
          <c:order val="1"/>
          <c:tx>
            <c:strRef>
              <c:f>'2421'!$A$66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'2421'!$B$66:$F$66</c:f>
              <c:numCache>
                <c:formatCode>0.00_);[Red]\(0.00\)</c:formatCode>
                <c:ptCount val="5"/>
                <c:pt idx="0">
                  <c:v>0.28999999999999998</c:v>
                </c:pt>
                <c:pt idx="1">
                  <c:v>0.49</c:v>
                </c:pt>
                <c:pt idx="2">
                  <c:v>0.28999999999999998</c:v>
                </c:pt>
                <c:pt idx="3">
                  <c:v>0.56000000000000005</c:v>
                </c:pt>
                <c:pt idx="4">
                  <c:v>0.83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AF-4977-8BEC-E8858E4BA4F7}"/>
            </c:ext>
          </c:extLst>
        </c:ser>
        <c:ser>
          <c:idx val="2"/>
          <c:order val="2"/>
          <c:tx>
            <c:strRef>
              <c:f>'2421'!$A$67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'2421'!$B$67:$F$67</c:f>
              <c:numCache>
                <c:formatCode>0.00_);[Red]\(0.00\)</c:formatCode>
                <c:ptCount val="5"/>
                <c:pt idx="0">
                  <c:v>0.44</c:v>
                </c:pt>
                <c:pt idx="1">
                  <c:v>0.47</c:v>
                </c:pt>
                <c:pt idx="2">
                  <c:v>0.7</c:v>
                </c:pt>
                <c:pt idx="3">
                  <c:v>0.71</c:v>
                </c:pt>
                <c:pt idx="4">
                  <c:v>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AF-4977-8BEC-E8858E4BA4F7}"/>
            </c:ext>
          </c:extLst>
        </c:ser>
        <c:ser>
          <c:idx val="3"/>
          <c:order val="3"/>
          <c:tx>
            <c:strRef>
              <c:f>'2421'!$A$68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'2421'!$B$68:$F$68</c:f>
              <c:numCache>
                <c:formatCode>0.00_);[Red]\(0.00\)</c:formatCode>
                <c:ptCount val="5"/>
                <c:pt idx="0">
                  <c:v>0.36</c:v>
                </c:pt>
                <c:pt idx="1">
                  <c:v>0.3</c:v>
                </c:pt>
                <c:pt idx="2">
                  <c:v>0.66</c:v>
                </c:pt>
                <c:pt idx="3">
                  <c:v>0.82</c:v>
                </c:pt>
                <c:pt idx="4">
                  <c:v>0.6491648674540772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AF-4977-8BEC-E8858E4BA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'2428'!$A$65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'2428'!$B$64:$F$64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'2428'!$B$65:$F$65</c:f>
              <c:numCache>
                <c:formatCode>0.00_);[Red]\(0.00\)</c:formatCode>
                <c:ptCount val="5"/>
                <c:pt idx="0">
                  <c:v>0.66</c:v>
                </c:pt>
                <c:pt idx="1">
                  <c:v>1.2</c:v>
                </c:pt>
                <c:pt idx="2">
                  <c:v>1.0900000000000001</c:v>
                </c:pt>
                <c:pt idx="3">
                  <c:v>0.97</c:v>
                </c:pt>
                <c:pt idx="4">
                  <c:v>1.61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0E-43F3-A836-F5CCCB046481}"/>
            </c:ext>
          </c:extLst>
        </c:ser>
        <c:ser>
          <c:idx val="1"/>
          <c:order val="1"/>
          <c:tx>
            <c:strRef>
              <c:f>'2428'!$A$66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'2428'!$B$64:$F$64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'2428'!$B$66:$F$66</c:f>
              <c:numCache>
                <c:formatCode>0.00_);[Red]\(0.00\)</c:formatCode>
                <c:ptCount val="5"/>
                <c:pt idx="0">
                  <c:v>0.94</c:v>
                </c:pt>
                <c:pt idx="1">
                  <c:v>0.84</c:v>
                </c:pt>
                <c:pt idx="2">
                  <c:v>1.05</c:v>
                </c:pt>
                <c:pt idx="3">
                  <c:v>1.73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0E-43F3-A836-F5CCCB046481}"/>
            </c:ext>
          </c:extLst>
        </c:ser>
        <c:ser>
          <c:idx val="2"/>
          <c:order val="2"/>
          <c:tx>
            <c:strRef>
              <c:f>'2428'!$A$67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'2428'!$B$64:$F$64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'2428'!$B$67:$F$67</c:f>
              <c:numCache>
                <c:formatCode>0.00_);[Red]\(0.00\)</c:formatCode>
                <c:ptCount val="5"/>
                <c:pt idx="0">
                  <c:v>1.1599999999999999</c:v>
                </c:pt>
                <c:pt idx="1">
                  <c:v>1.42</c:v>
                </c:pt>
                <c:pt idx="2">
                  <c:v>2.11</c:v>
                </c:pt>
                <c:pt idx="3">
                  <c:v>2.4500000000000002</c:v>
                </c:pt>
                <c:pt idx="4">
                  <c:v>1.82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0E-43F3-A836-F5CCCB046481}"/>
            </c:ext>
          </c:extLst>
        </c:ser>
        <c:ser>
          <c:idx val="3"/>
          <c:order val="3"/>
          <c:tx>
            <c:strRef>
              <c:f>'2428'!$A$68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'2428'!$B$64:$F$64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'2428'!$B$68:$F$68</c:f>
              <c:numCache>
                <c:formatCode>0.00_);[Red]\(0.00\)</c:formatCode>
                <c:ptCount val="5"/>
                <c:pt idx="0">
                  <c:v>1.26</c:v>
                </c:pt>
                <c:pt idx="1">
                  <c:v>1.41</c:v>
                </c:pt>
                <c:pt idx="2">
                  <c:v>1.1499999999999999</c:v>
                </c:pt>
                <c:pt idx="3">
                  <c:v>1.88</c:v>
                </c:pt>
                <c:pt idx="4">
                  <c:v>1.7485368832288026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0E-43F3-A836-F5CCCB046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'2451'!$A$65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'2451'!$B$64:$F$64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'2451'!$B$65:$F$65</c:f>
              <c:numCache>
                <c:formatCode>0.00_);[Red]\(0.00\)</c:formatCode>
                <c:ptCount val="5"/>
                <c:pt idx="0">
                  <c:v>2.02</c:v>
                </c:pt>
                <c:pt idx="1">
                  <c:v>2.09</c:v>
                </c:pt>
                <c:pt idx="2">
                  <c:v>1.94</c:v>
                </c:pt>
                <c:pt idx="3">
                  <c:v>1.45</c:v>
                </c:pt>
                <c:pt idx="4">
                  <c:v>1.33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5-473B-839E-CBADEAF24DAC}"/>
            </c:ext>
          </c:extLst>
        </c:ser>
        <c:ser>
          <c:idx val="1"/>
          <c:order val="1"/>
          <c:tx>
            <c:strRef>
              <c:f>'2451'!$A$66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'2451'!$B$64:$F$64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'2451'!$B$66:$F$66</c:f>
              <c:numCache>
                <c:formatCode>0.00_);[Red]\(0.00\)</c:formatCode>
                <c:ptCount val="5"/>
                <c:pt idx="0">
                  <c:v>2.33</c:v>
                </c:pt>
                <c:pt idx="1">
                  <c:v>1.95</c:v>
                </c:pt>
                <c:pt idx="2">
                  <c:v>1.1399999999999999</c:v>
                </c:pt>
                <c:pt idx="3">
                  <c:v>1.77</c:v>
                </c:pt>
                <c:pt idx="4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85-473B-839E-CBADEAF24DAC}"/>
            </c:ext>
          </c:extLst>
        </c:ser>
        <c:ser>
          <c:idx val="2"/>
          <c:order val="2"/>
          <c:tx>
            <c:strRef>
              <c:f>'2451'!$A$67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'2451'!$B$64:$F$64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'2451'!$B$67:$F$67</c:f>
              <c:numCache>
                <c:formatCode>0.00_);[Red]\(0.00\)</c:formatCode>
                <c:ptCount val="5"/>
                <c:pt idx="0">
                  <c:v>1.44</c:v>
                </c:pt>
                <c:pt idx="1">
                  <c:v>2.2400000000000002</c:v>
                </c:pt>
                <c:pt idx="2">
                  <c:v>2.52</c:v>
                </c:pt>
                <c:pt idx="3">
                  <c:v>1.1000000000000001</c:v>
                </c:pt>
                <c:pt idx="4">
                  <c:v>1.65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85-473B-839E-CBADEAF24DAC}"/>
            </c:ext>
          </c:extLst>
        </c:ser>
        <c:ser>
          <c:idx val="3"/>
          <c:order val="3"/>
          <c:tx>
            <c:strRef>
              <c:f>'2451'!$A$68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'2451'!$B$64:$F$64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'2451'!$B$68:$F$68</c:f>
              <c:numCache>
                <c:formatCode>0.00_);[Red]\(0.00\)</c:formatCode>
                <c:ptCount val="5"/>
                <c:pt idx="0">
                  <c:v>1.64</c:v>
                </c:pt>
                <c:pt idx="1">
                  <c:v>2.39</c:v>
                </c:pt>
                <c:pt idx="2">
                  <c:v>1.88</c:v>
                </c:pt>
                <c:pt idx="3">
                  <c:v>2.37</c:v>
                </c:pt>
                <c:pt idx="4">
                  <c:v>1.9671516672351439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85-473B-839E-CBADEAF2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'2454'!$A$65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'2454'!$B$64:$F$64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'2454'!$B$65:$F$65</c:f>
              <c:numCache>
                <c:formatCode>0.00_);[Red]\(0.00\)</c:formatCode>
                <c:ptCount val="5"/>
                <c:pt idx="0">
                  <c:v>2.79</c:v>
                </c:pt>
                <c:pt idx="1">
                  <c:v>6.82</c:v>
                </c:pt>
                <c:pt idx="2">
                  <c:v>4.62</c:v>
                </c:pt>
                <c:pt idx="3">
                  <c:v>2.79</c:v>
                </c:pt>
                <c:pt idx="4">
                  <c:v>4.29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60-4003-9FB9-B241BED585D4}"/>
            </c:ext>
          </c:extLst>
        </c:ser>
        <c:ser>
          <c:idx val="1"/>
          <c:order val="1"/>
          <c:tx>
            <c:strRef>
              <c:f>'2454'!$A$66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'2454'!$B$64:$F$64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'2454'!$B$66:$F$66</c:f>
              <c:numCache>
                <c:formatCode>0.00_);[Red]\(0.00\)</c:formatCode>
                <c:ptCount val="5"/>
                <c:pt idx="0">
                  <c:v>5.01</c:v>
                </c:pt>
                <c:pt idx="1">
                  <c:v>8.0299999999999994</c:v>
                </c:pt>
                <c:pt idx="2">
                  <c:v>4.0599999999999996</c:v>
                </c:pt>
                <c:pt idx="3">
                  <c:v>4.16</c:v>
                </c:pt>
                <c:pt idx="4">
                  <c:v>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60-4003-9FB9-B241BED585D4}"/>
            </c:ext>
          </c:extLst>
        </c:ser>
        <c:ser>
          <c:idx val="2"/>
          <c:order val="2"/>
          <c:tx>
            <c:strRef>
              <c:f>'2454'!$A$67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'2454'!$B$64:$F$64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'2454'!$B$67:$F$67</c:f>
              <c:numCache>
                <c:formatCode>0.00_);[Red]\(0.00\)</c:formatCode>
                <c:ptCount val="5"/>
                <c:pt idx="0">
                  <c:v>6.28</c:v>
                </c:pt>
                <c:pt idx="1">
                  <c:v>8.51</c:v>
                </c:pt>
                <c:pt idx="2">
                  <c:v>5.09</c:v>
                </c:pt>
                <c:pt idx="3">
                  <c:v>4.9800000000000004</c:v>
                </c:pt>
                <c:pt idx="4">
                  <c:v>3.26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60-4003-9FB9-B241BED585D4}"/>
            </c:ext>
          </c:extLst>
        </c:ser>
        <c:ser>
          <c:idx val="3"/>
          <c:order val="3"/>
          <c:tx>
            <c:strRef>
              <c:f>'2454'!$A$68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'2454'!$B$64:$F$64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'2454'!$B$68:$F$68</c:f>
              <c:numCache>
                <c:formatCode>0.00_);[Red]\(0.00\)</c:formatCode>
                <c:ptCount val="5"/>
                <c:pt idx="0">
                  <c:v>6.43</c:v>
                </c:pt>
                <c:pt idx="1">
                  <c:v>6.73</c:v>
                </c:pt>
                <c:pt idx="2">
                  <c:v>2.83</c:v>
                </c:pt>
                <c:pt idx="3">
                  <c:v>3.23</c:v>
                </c:pt>
                <c:pt idx="4">
                  <c:v>2.71049281884738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60-4003-9FB9-B241BED58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'2455'!$A$65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'2455'!$B$64:$F$64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'2455'!$B$65:$F$65</c:f>
              <c:numCache>
                <c:formatCode>0.00_);[Red]\(0.00\)</c:formatCode>
                <c:ptCount val="5"/>
                <c:pt idx="0">
                  <c:v>0.54</c:v>
                </c:pt>
                <c:pt idx="1">
                  <c:v>0.3</c:v>
                </c:pt>
                <c:pt idx="2">
                  <c:v>0.54</c:v>
                </c:pt>
                <c:pt idx="3">
                  <c:v>0.65</c:v>
                </c:pt>
                <c:pt idx="4">
                  <c:v>0.41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6-458D-99FF-187608D4D084}"/>
            </c:ext>
          </c:extLst>
        </c:ser>
        <c:ser>
          <c:idx val="1"/>
          <c:order val="1"/>
          <c:tx>
            <c:strRef>
              <c:f>'2455'!$A$66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'2455'!$B$64:$F$64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'2455'!$B$66:$F$66</c:f>
              <c:numCache>
                <c:formatCode>0.00_);[Red]\(0.00\)</c:formatCode>
                <c:ptCount val="5"/>
                <c:pt idx="0">
                  <c:v>0.75</c:v>
                </c:pt>
                <c:pt idx="1">
                  <c:v>0.36</c:v>
                </c:pt>
                <c:pt idx="2">
                  <c:v>0.7</c:v>
                </c:pt>
                <c:pt idx="3">
                  <c:v>0.65</c:v>
                </c:pt>
                <c:pt idx="4">
                  <c:v>0.65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86-458D-99FF-187608D4D084}"/>
            </c:ext>
          </c:extLst>
        </c:ser>
        <c:ser>
          <c:idx val="2"/>
          <c:order val="2"/>
          <c:tx>
            <c:strRef>
              <c:f>'2455'!$A$67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'2455'!$B$64:$F$64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'2455'!$B$67:$F$67</c:f>
              <c:numCache>
                <c:formatCode>0.00_);[Red]\(0.00\)</c:formatCode>
                <c:ptCount val="5"/>
                <c:pt idx="0">
                  <c:v>0.33</c:v>
                </c:pt>
                <c:pt idx="1">
                  <c:v>0.63</c:v>
                </c:pt>
                <c:pt idx="2">
                  <c:v>0.69</c:v>
                </c:pt>
                <c:pt idx="3">
                  <c:v>0.41</c:v>
                </c:pt>
                <c:pt idx="4">
                  <c:v>0.51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86-458D-99FF-187608D4D084}"/>
            </c:ext>
          </c:extLst>
        </c:ser>
        <c:ser>
          <c:idx val="3"/>
          <c:order val="3"/>
          <c:tx>
            <c:strRef>
              <c:f>'2455'!$A$68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'2455'!$B$64:$F$64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'2455'!$B$68:$F$68</c:f>
              <c:numCache>
                <c:formatCode>0.00_);[Red]\(0.00\)</c:formatCode>
                <c:ptCount val="5"/>
                <c:pt idx="0">
                  <c:v>0.25</c:v>
                </c:pt>
                <c:pt idx="1">
                  <c:v>0.61</c:v>
                </c:pt>
                <c:pt idx="2">
                  <c:v>0.47</c:v>
                </c:pt>
                <c:pt idx="3">
                  <c:v>0.28000000000000003</c:v>
                </c:pt>
                <c:pt idx="4">
                  <c:v>0.40065529474495226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86-458D-99FF-187608D4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'2474'!$A$65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'2474'!$B$64:$F$64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'2474'!$B$65:$F$65</c:f>
              <c:numCache>
                <c:formatCode>0.00_);[Red]\(0.00\)</c:formatCode>
                <c:ptCount val="5"/>
                <c:pt idx="0">
                  <c:v>5.22</c:v>
                </c:pt>
                <c:pt idx="1">
                  <c:v>3.97</c:v>
                </c:pt>
                <c:pt idx="2">
                  <c:v>6.04</c:v>
                </c:pt>
                <c:pt idx="3">
                  <c:v>5.4</c:v>
                </c:pt>
                <c:pt idx="4">
                  <c:v>2.71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3-4040-87FF-829D05752192}"/>
            </c:ext>
          </c:extLst>
        </c:ser>
        <c:ser>
          <c:idx val="1"/>
          <c:order val="1"/>
          <c:tx>
            <c:strRef>
              <c:f>'2474'!$A$66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'2474'!$B$64:$F$64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'2474'!$B$66:$F$66</c:f>
              <c:numCache>
                <c:formatCode>0.00_);[Red]\(0.00\)</c:formatCode>
                <c:ptCount val="5"/>
                <c:pt idx="0">
                  <c:v>4.84</c:v>
                </c:pt>
                <c:pt idx="1">
                  <c:v>4.84</c:v>
                </c:pt>
                <c:pt idx="2">
                  <c:v>6.81</c:v>
                </c:pt>
                <c:pt idx="3">
                  <c:v>5.01</c:v>
                </c:pt>
                <c:pt idx="4">
                  <c:v>5.31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3-4040-87FF-829D05752192}"/>
            </c:ext>
          </c:extLst>
        </c:ser>
        <c:ser>
          <c:idx val="2"/>
          <c:order val="2"/>
          <c:tx>
            <c:strRef>
              <c:f>'2474'!$A$67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'2474'!$B$64:$F$64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'2474'!$B$67:$F$67</c:f>
              <c:numCache>
                <c:formatCode>0.00_);[Red]\(0.00\)</c:formatCode>
                <c:ptCount val="5"/>
                <c:pt idx="0">
                  <c:v>3.69</c:v>
                </c:pt>
                <c:pt idx="1">
                  <c:v>6.36</c:v>
                </c:pt>
                <c:pt idx="2">
                  <c:v>10.58</c:v>
                </c:pt>
                <c:pt idx="3">
                  <c:v>5.8</c:v>
                </c:pt>
                <c:pt idx="4">
                  <c:v>9.59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03-4040-87FF-829D05752192}"/>
            </c:ext>
          </c:extLst>
        </c:ser>
        <c:ser>
          <c:idx val="3"/>
          <c:order val="3"/>
          <c:tx>
            <c:strRef>
              <c:f>'2474'!$A$68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'2474'!$B$64:$F$64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'2474'!$B$68:$F$68</c:f>
              <c:numCache>
                <c:formatCode>0.00_);[Red]\(0.00\)</c:formatCode>
                <c:ptCount val="5"/>
                <c:pt idx="0">
                  <c:v>4.62</c:v>
                </c:pt>
                <c:pt idx="1">
                  <c:v>8.4700000000000006</c:v>
                </c:pt>
                <c:pt idx="2">
                  <c:v>9.17</c:v>
                </c:pt>
                <c:pt idx="3">
                  <c:v>12.37</c:v>
                </c:pt>
                <c:pt idx="4">
                  <c:v>12.141804414707277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03-4040-87FF-829D05752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'2608'!$A$65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'2608'!$B$64:$F$64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'2608'!$B$65:$F$65</c:f>
              <c:numCache>
                <c:formatCode>0.00_);[Red]\(0.00\)</c:formatCode>
                <c:ptCount val="5"/>
                <c:pt idx="0">
                  <c:v>0.37</c:v>
                </c:pt>
                <c:pt idx="1">
                  <c:v>0.43</c:v>
                </c:pt>
                <c:pt idx="2">
                  <c:v>0.55000000000000004</c:v>
                </c:pt>
                <c:pt idx="3">
                  <c:v>0.71</c:v>
                </c:pt>
                <c:pt idx="4">
                  <c:v>0.42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4-40A5-B0C0-8B6962FDCA04}"/>
            </c:ext>
          </c:extLst>
        </c:ser>
        <c:ser>
          <c:idx val="1"/>
          <c:order val="1"/>
          <c:tx>
            <c:strRef>
              <c:f>'2608'!$A$66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'2608'!$B$64:$F$64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'2608'!$B$66:$F$66</c:f>
              <c:numCache>
                <c:formatCode>0.00_);[Red]\(0.00\)</c:formatCode>
                <c:ptCount val="5"/>
                <c:pt idx="0">
                  <c:v>0.48</c:v>
                </c:pt>
                <c:pt idx="1">
                  <c:v>0.49</c:v>
                </c:pt>
                <c:pt idx="2">
                  <c:v>0.89</c:v>
                </c:pt>
                <c:pt idx="3">
                  <c:v>0.85</c:v>
                </c:pt>
                <c:pt idx="4">
                  <c:v>0.65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B4-40A5-B0C0-8B6962FDCA04}"/>
            </c:ext>
          </c:extLst>
        </c:ser>
        <c:ser>
          <c:idx val="2"/>
          <c:order val="2"/>
          <c:tx>
            <c:strRef>
              <c:f>'2608'!$A$67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'2608'!$B$64:$F$64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'2608'!$B$67:$F$67</c:f>
              <c:numCache>
                <c:formatCode>0.00_);[Red]\(0.00\)</c:formatCode>
                <c:ptCount val="5"/>
                <c:pt idx="0">
                  <c:v>0.55000000000000004</c:v>
                </c:pt>
                <c:pt idx="1">
                  <c:v>0.59</c:v>
                </c:pt>
                <c:pt idx="2">
                  <c:v>0.66</c:v>
                </c:pt>
                <c:pt idx="3">
                  <c:v>0.54</c:v>
                </c:pt>
                <c:pt idx="4">
                  <c:v>0.83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B4-40A5-B0C0-8B6962FDCA04}"/>
            </c:ext>
          </c:extLst>
        </c:ser>
        <c:ser>
          <c:idx val="3"/>
          <c:order val="3"/>
          <c:tx>
            <c:strRef>
              <c:f>'2608'!$A$68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'2608'!$B$64:$F$64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'2608'!$B$68:$F$68</c:f>
              <c:numCache>
                <c:formatCode>0.00_);[Red]\(0.00\)</c:formatCode>
                <c:ptCount val="5"/>
                <c:pt idx="0">
                  <c:v>0.44</c:v>
                </c:pt>
                <c:pt idx="1">
                  <c:v>0.54</c:v>
                </c:pt>
                <c:pt idx="2">
                  <c:v>0.64</c:v>
                </c:pt>
                <c:pt idx="3">
                  <c:v>0.56999999999999995</c:v>
                </c:pt>
                <c:pt idx="4">
                  <c:v>0.56599307842061863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B4-40A5-B0C0-8B6962FDC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'2886'!$A$65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'2886'!$B$64:$F$64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'2886'!$B$65:$F$65</c:f>
              <c:numCache>
                <c:formatCode>0.00_);[Red]\(0.00\)</c:formatCode>
                <c:ptCount val="5"/>
                <c:pt idx="0">
                  <c:v>0.54</c:v>
                </c:pt>
                <c:pt idx="1">
                  <c:v>0.65</c:v>
                </c:pt>
                <c:pt idx="2">
                  <c:v>0.66</c:v>
                </c:pt>
                <c:pt idx="3">
                  <c:v>0.56000000000000005</c:v>
                </c:pt>
                <c:pt idx="4">
                  <c:v>0.54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C-40C5-8C00-790BA5C7F3A8}"/>
            </c:ext>
          </c:extLst>
        </c:ser>
        <c:ser>
          <c:idx val="1"/>
          <c:order val="1"/>
          <c:tx>
            <c:strRef>
              <c:f>'2886'!$A$66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'2886'!$B$64:$F$64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'2886'!$B$66:$F$66</c:f>
              <c:numCache>
                <c:formatCode>0.00_);[Red]\(0.00\)</c:formatCode>
                <c:ptCount val="5"/>
                <c:pt idx="0">
                  <c:v>0.5</c:v>
                </c:pt>
                <c:pt idx="1">
                  <c:v>0.65</c:v>
                </c:pt>
                <c:pt idx="2">
                  <c:v>0.59</c:v>
                </c:pt>
                <c:pt idx="3">
                  <c:v>0.13</c:v>
                </c:pt>
                <c:pt idx="4">
                  <c:v>0.12615884203786312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C-40C5-8C00-790BA5C7F3A8}"/>
            </c:ext>
          </c:extLst>
        </c:ser>
        <c:ser>
          <c:idx val="2"/>
          <c:order val="2"/>
          <c:tx>
            <c:strRef>
              <c:f>'2886'!$A$67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'2886'!$B$64:$F$64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'2886'!$B$67:$F$67</c:f>
              <c:numCache>
                <c:formatCode>0.00_);[Red]\(0.00\)</c:formatCode>
                <c:ptCount val="5"/>
                <c:pt idx="0">
                  <c:v>0.55000000000000004</c:v>
                </c:pt>
                <c:pt idx="1">
                  <c:v>0.62</c:v>
                </c:pt>
                <c:pt idx="2">
                  <c:v>0.5</c:v>
                </c:pt>
                <c:pt idx="3">
                  <c:v>0.61</c:v>
                </c:pt>
                <c:pt idx="4">
                  <c:v>0.59197610494689612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BC-40C5-8C00-790BA5C7F3A8}"/>
            </c:ext>
          </c:extLst>
        </c:ser>
        <c:ser>
          <c:idx val="3"/>
          <c:order val="3"/>
          <c:tx>
            <c:strRef>
              <c:f>'2886'!$A$68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'2886'!$B$64:$F$64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'2886'!$B$68:$F$68</c:f>
              <c:numCache>
                <c:formatCode>0.00_);[Red]\(0.00\)</c:formatCode>
                <c:ptCount val="5"/>
                <c:pt idx="0">
                  <c:v>0.37</c:v>
                </c:pt>
                <c:pt idx="1">
                  <c:v>0.52</c:v>
                </c:pt>
                <c:pt idx="2">
                  <c:v>0.61</c:v>
                </c:pt>
                <c:pt idx="3">
                  <c:v>0.35</c:v>
                </c:pt>
                <c:pt idx="4">
                  <c:v>0.33965842087116993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BC-40C5-8C00-790BA5C7F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'2892'!$A$65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'2892'!$B$64:$F$64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'2892'!$B$65:$F$65</c:f>
              <c:numCache>
                <c:formatCode>0.00_);[Red]\(0.00\)</c:formatCode>
                <c:ptCount val="5"/>
                <c:pt idx="0">
                  <c:v>0.36</c:v>
                </c:pt>
                <c:pt idx="1">
                  <c:v>0.42</c:v>
                </c:pt>
                <c:pt idx="2">
                  <c:v>0.44</c:v>
                </c:pt>
                <c:pt idx="3">
                  <c:v>0.39</c:v>
                </c:pt>
                <c:pt idx="4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4-49C1-91A0-D589B96A0051}"/>
            </c:ext>
          </c:extLst>
        </c:ser>
        <c:ser>
          <c:idx val="1"/>
          <c:order val="1"/>
          <c:tx>
            <c:strRef>
              <c:f>'2892'!$A$66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'2892'!$B$64:$F$64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'2892'!$B$66:$F$66</c:f>
              <c:numCache>
                <c:formatCode>0.00_);[Red]\(0.00\)</c:formatCode>
                <c:ptCount val="5"/>
                <c:pt idx="0">
                  <c:v>0.39</c:v>
                </c:pt>
                <c:pt idx="1">
                  <c:v>0.49</c:v>
                </c:pt>
                <c:pt idx="2">
                  <c:v>0.41</c:v>
                </c:pt>
                <c:pt idx="3">
                  <c:v>0.36</c:v>
                </c:pt>
                <c:pt idx="4">
                  <c:v>0.43213684294778448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4-49C1-91A0-D589B96A0051}"/>
            </c:ext>
          </c:extLst>
        </c:ser>
        <c:ser>
          <c:idx val="2"/>
          <c:order val="2"/>
          <c:tx>
            <c:strRef>
              <c:f>'2892'!$A$67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'2892'!$B$64:$F$64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'2892'!$B$67:$F$67</c:f>
              <c:numCache>
                <c:formatCode>0.00_);[Red]\(0.00\)</c:formatCode>
                <c:ptCount val="5"/>
                <c:pt idx="0">
                  <c:v>0.34</c:v>
                </c:pt>
                <c:pt idx="1">
                  <c:v>0.38</c:v>
                </c:pt>
                <c:pt idx="2">
                  <c:v>0.39</c:v>
                </c:pt>
                <c:pt idx="3">
                  <c:v>0.39</c:v>
                </c:pt>
                <c:pt idx="4">
                  <c:v>0.46814824652676662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94-49C1-91A0-D589B96A0051}"/>
            </c:ext>
          </c:extLst>
        </c:ser>
        <c:ser>
          <c:idx val="3"/>
          <c:order val="3"/>
          <c:tx>
            <c:strRef>
              <c:f>'2892'!$A$68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'2892'!$B$64:$F$64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'2892'!$B$68:$F$68</c:f>
              <c:numCache>
                <c:formatCode>0.00_);[Red]\(0.00\)</c:formatCode>
                <c:ptCount val="5"/>
                <c:pt idx="0">
                  <c:v>0.19</c:v>
                </c:pt>
                <c:pt idx="1">
                  <c:v>0.26</c:v>
                </c:pt>
                <c:pt idx="2">
                  <c:v>0.38</c:v>
                </c:pt>
                <c:pt idx="3">
                  <c:v>0.33</c:v>
                </c:pt>
                <c:pt idx="4">
                  <c:v>0.39612543936880251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4-49C1-91A0-D589B96A0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'2912'!$A$65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'2912'!$B$64:$F$64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'2912'!$B$65:$F$65</c:f>
              <c:numCache>
                <c:formatCode>0.00_);[Red]\(0.00\)</c:formatCode>
                <c:ptCount val="5"/>
                <c:pt idx="0">
                  <c:v>1.94</c:v>
                </c:pt>
                <c:pt idx="1">
                  <c:v>2.86</c:v>
                </c:pt>
                <c:pt idx="2">
                  <c:v>2.0299999999999998</c:v>
                </c:pt>
                <c:pt idx="3">
                  <c:v>2.35</c:v>
                </c:pt>
                <c:pt idx="4">
                  <c:v>2.64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0-4B48-A310-B8505C386F57}"/>
            </c:ext>
          </c:extLst>
        </c:ser>
        <c:ser>
          <c:idx val="1"/>
          <c:order val="1"/>
          <c:tx>
            <c:strRef>
              <c:f>'2912'!$A$66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'2912'!$B$64:$F$64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'2912'!$B$66:$F$66</c:f>
              <c:numCache>
                <c:formatCode>0.00_);[Red]\(0.00\)</c:formatCode>
                <c:ptCount val="5"/>
                <c:pt idx="0">
                  <c:v>2.2200000000000002</c:v>
                </c:pt>
                <c:pt idx="1">
                  <c:v>2.11</c:v>
                </c:pt>
                <c:pt idx="2">
                  <c:v>2.09</c:v>
                </c:pt>
                <c:pt idx="3">
                  <c:v>2.4900000000000002</c:v>
                </c:pt>
                <c:pt idx="4">
                  <c:v>2.68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40-4B48-A310-B8505C386F57}"/>
            </c:ext>
          </c:extLst>
        </c:ser>
        <c:ser>
          <c:idx val="2"/>
          <c:order val="2"/>
          <c:tx>
            <c:strRef>
              <c:f>'2912'!$A$67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'2912'!$B$64:$F$64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'2912'!$B$67:$F$67</c:f>
              <c:numCache>
                <c:formatCode>0.00_);[Red]\(0.00\)</c:formatCode>
                <c:ptCount val="5"/>
                <c:pt idx="0">
                  <c:v>2.16</c:v>
                </c:pt>
                <c:pt idx="1">
                  <c:v>2.39</c:v>
                </c:pt>
                <c:pt idx="2">
                  <c:v>2.36</c:v>
                </c:pt>
                <c:pt idx="3">
                  <c:v>2.71</c:v>
                </c:pt>
                <c:pt idx="4">
                  <c:v>2.97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40-4B48-A310-B8505C386F57}"/>
            </c:ext>
          </c:extLst>
        </c:ser>
        <c:ser>
          <c:idx val="3"/>
          <c:order val="3"/>
          <c:tx>
            <c:strRef>
              <c:f>'2912'!$A$68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'2912'!$B$64:$F$64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'2912'!$B$68:$F$68</c:f>
              <c:numCache>
                <c:formatCode>0.00_);[Red]\(0.00\)</c:formatCode>
                <c:ptCount val="5"/>
                <c:pt idx="0">
                  <c:v>1.41</c:v>
                </c:pt>
                <c:pt idx="1">
                  <c:v>1.39</c:v>
                </c:pt>
                <c:pt idx="2">
                  <c:v>1.45</c:v>
                </c:pt>
                <c:pt idx="3">
                  <c:v>1.91</c:v>
                </c:pt>
                <c:pt idx="4">
                  <c:v>2.0152503086109119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40-4B48-A310-B8505C386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'3014'!$A$65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'3014'!$B$64:$F$64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'3014'!$B$65:$F$65</c:f>
              <c:numCache>
                <c:formatCode>0.00_);[Red]\(0.00\)</c:formatCode>
                <c:ptCount val="5"/>
                <c:pt idx="0">
                  <c:v>0.16</c:v>
                </c:pt>
                <c:pt idx="1">
                  <c:v>0.65</c:v>
                </c:pt>
                <c:pt idx="2">
                  <c:v>0.62</c:v>
                </c:pt>
                <c:pt idx="3">
                  <c:v>0.49</c:v>
                </c:pt>
                <c:pt idx="4">
                  <c:v>0.56000000000000005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8-4D1E-82EB-B32F00DCB3C1}"/>
            </c:ext>
          </c:extLst>
        </c:ser>
        <c:ser>
          <c:idx val="1"/>
          <c:order val="1"/>
          <c:tx>
            <c:strRef>
              <c:f>'3014'!$A$66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'3014'!$B$64:$F$64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'3014'!$B$66:$F$66</c:f>
              <c:numCache>
                <c:formatCode>0.00_);[Red]\(0.00\)</c:formatCode>
                <c:ptCount val="5"/>
                <c:pt idx="0">
                  <c:v>0.21</c:v>
                </c:pt>
                <c:pt idx="1">
                  <c:v>0.73</c:v>
                </c:pt>
                <c:pt idx="2">
                  <c:v>0.23</c:v>
                </c:pt>
                <c:pt idx="3">
                  <c:v>0.56999999999999995</c:v>
                </c:pt>
                <c:pt idx="4">
                  <c:v>0.59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8-4D1E-82EB-B32F00DCB3C1}"/>
            </c:ext>
          </c:extLst>
        </c:ser>
        <c:ser>
          <c:idx val="2"/>
          <c:order val="2"/>
          <c:tx>
            <c:strRef>
              <c:f>'3014'!$A$67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'3014'!$B$64:$F$64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'3014'!$B$67:$F$67</c:f>
              <c:numCache>
                <c:formatCode>0.00_);[Red]\(0.00\)</c:formatCode>
                <c:ptCount val="5"/>
                <c:pt idx="0">
                  <c:v>0.53</c:v>
                </c:pt>
                <c:pt idx="1">
                  <c:v>0.82</c:v>
                </c:pt>
                <c:pt idx="2">
                  <c:v>0.74</c:v>
                </c:pt>
                <c:pt idx="3">
                  <c:v>0.87</c:v>
                </c:pt>
                <c:pt idx="4">
                  <c:v>0.81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8-4D1E-82EB-B32F00DCB3C1}"/>
            </c:ext>
          </c:extLst>
        </c:ser>
        <c:ser>
          <c:idx val="3"/>
          <c:order val="3"/>
          <c:tx>
            <c:strRef>
              <c:f>'3014'!$A$68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'3014'!$B$64:$F$64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'3014'!$B$68:$F$68</c:f>
              <c:numCache>
                <c:formatCode>0.00_);[Red]\(0.00\)</c:formatCode>
                <c:ptCount val="5"/>
                <c:pt idx="0">
                  <c:v>0.31</c:v>
                </c:pt>
                <c:pt idx="1">
                  <c:v>0.21</c:v>
                </c:pt>
                <c:pt idx="2">
                  <c:v>0.59</c:v>
                </c:pt>
                <c:pt idx="3">
                  <c:v>0.45</c:v>
                </c:pt>
                <c:pt idx="4">
                  <c:v>0.48172985141877411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18-4D1E-82EB-B32F00DCB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'3023'!$A$65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'3023'!$B$64:$F$64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'3023'!$B$65:$F$65</c:f>
              <c:numCache>
                <c:formatCode>0.00_);[Red]\(0.00\)</c:formatCode>
                <c:ptCount val="5"/>
                <c:pt idx="0">
                  <c:v>0.64</c:v>
                </c:pt>
                <c:pt idx="1">
                  <c:v>0.97</c:v>
                </c:pt>
                <c:pt idx="2">
                  <c:v>1.1499999999999999</c:v>
                </c:pt>
                <c:pt idx="3">
                  <c:v>1.41</c:v>
                </c:pt>
                <c:pt idx="4">
                  <c:v>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6-4C4C-951E-D77120A9E954}"/>
            </c:ext>
          </c:extLst>
        </c:ser>
        <c:ser>
          <c:idx val="1"/>
          <c:order val="1"/>
          <c:tx>
            <c:strRef>
              <c:f>'3023'!$A$66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'3023'!$B$64:$F$64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'3023'!$B$66:$F$66</c:f>
              <c:numCache>
                <c:formatCode>0.00_);[Red]\(0.00\)</c:formatCode>
                <c:ptCount val="5"/>
                <c:pt idx="0">
                  <c:v>0.8</c:v>
                </c:pt>
                <c:pt idx="1">
                  <c:v>1.06</c:v>
                </c:pt>
                <c:pt idx="2">
                  <c:v>1.21</c:v>
                </c:pt>
                <c:pt idx="3">
                  <c:v>1.42</c:v>
                </c:pt>
                <c:pt idx="4">
                  <c:v>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6-4C4C-951E-D77120A9E954}"/>
            </c:ext>
          </c:extLst>
        </c:ser>
        <c:ser>
          <c:idx val="2"/>
          <c:order val="2"/>
          <c:tx>
            <c:strRef>
              <c:f>'3023'!$A$67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'3023'!$B$64:$F$64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'3023'!$B$67:$F$67</c:f>
              <c:numCache>
                <c:formatCode>0.00_);[Red]\(0.00\)</c:formatCode>
                <c:ptCount val="5"/>
                <c:pt idx="0">
                  <c:v>1.02</c:v>
                </c:pt>
                <c:pt idx="1">
                  <c:v>1.0900000000000001</c:v>
                </c:pt>
                <c:pt idx="2">
                  <c:v>1.38</c:v>
                </c:pt>
                <c:pt idx="3">
                  <c:v>1.31</c:v>
                </c:pt>
                <c:pt idx="4">
                  <c:v>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26-4C4C-951E-D77120A9E954}"/>
            </c:ext>
          </c:extLst>
        </c:ser>
        <c:ser>
          <c:idx val="3"/>
          <c:order val="3"/>
          <c:tx>
            <c:strRef>
              <c:f>'3023'!$A$68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'3023'!$B$64:$F$64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'3023'!$B$68:$F$68</c:f>
              <c:numCache>
                <c:formatCode>0.00_);[Red]\(0.00\)</c:formatCode>
                <c:ptCount val="5"/>
                <c:pt idx="0">
                  <c:v>0.73</c:v>
                </c:pt>
                <c:pt idx="1">
                  <c:v>0.71</c:v>
                </c:pt>
                <c:pt idx="2">
                  <c:v>0.85</c:v>
                </c:pt>
                <c:pt idx="3">
                  <c:v>1.1000000000000001</c:v>
                </c:pt>
                <c:pt idx="4">
                  <c:v>0.97525611646210009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26-4C4C-951E-D77120A9E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'3034'!$A$65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'3034'!$B$64:$F$64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'3034'!$B$65:$F$65</c:f>
              <c:numCache>
                <c:formatCode>0.00_);[Red]\(0.00\)</c:formatCode>
                <c:ptCount val="5"/>
                <c:pt idx="0">
                  <c:v>1.75</c:v>
                </c:pt>
                <c:pt idx="1">
                  <c:v>2.08</c:v>
                </c:pt>
                <c:pt idx="2">
                  <c:v>2.79</c:v>
                </c:pt>
                <c:pt idx="3">
                  <c:v>2.0099999999999998</c:v>
                </c:pt>
                <c:pt idx="4">
                  <c:v>1.53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9-42F3-B301-D192E3B47CA0}"/>
            </c:ext>
          </c:extLst>
        </c:ser>
        <c:ser>
          <c:idx val="1"/>
          <c:order val="1"/>
          <c:tx>
            <c:strRef>
              <c:f>'3034'!$A$66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'3034'!$B$64:$F$64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'3034'!$B$66:$F$66</c:f>
              <c:numCache>
                <c:formatCode>0.00_);[Red]\(0.00\)</c:formatCode>
                <c:ptCount val="5"/>
                <c:pt idx="0">
                  <c:v>2.0699999999999998</c:v>
                </c:pt>
                <c:pt idx="1">
                  <c:v>2.9</c:v>
                </c:pt>
                <c:pt idx="2">
                  <c:v>2.44</c:v>
                </c:pt>
                <c:pt idx="3">
                  <c:v>2.14</c:v>
                </c:pt>
                <c:pt idx="4">
                  <c:v>2.0099999999999998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69-42F3-B301-D192E3B47CA0}"/>
            </c:ext>
          </c:extLst>
        </c:ser>
        <c:ser>
          <c:idx val="2"/>
          <c:order val="2"/>
          <c:tx>
            <c:strRef>
              <c:f>'3034'!$A$67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'3034'!$B$64:$F$64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'3034'!$B$67:$F$67</c:f>
              <c:numCache>
                <c:formatCode>0.00_);[Red]\(0.00\)</c:formatCode>
                <c:ptCount val="5"/>
                <c:pt idx="0">
                  <c:v>2.04</c:v>
                </c:pt>
                <c:pt idx="1">
                  <c:v>3.43</c:v>
                </c:pt>
                <c:pt idx="2">
                  <c:v>2.79</c:v>
                </c:pt>
                <c:pt idx="3">
                  <c:v>2.02</c:v>
                </c:pt>
                <c:pt idx="4">
                  <c:v>2.5499999999999998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69-42F3-B301-D192E3B47CA0}"/>
            </c:ext>
          </c:extLst>
        </c:ser>
        <c:ser>
          <c:idx val="3"/>
          <c:order val="3"/>
          <c:tx>
            <c:strRef>
              <c:f>'3034'!$A$68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'3034'!$B$64:$F$64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'3034'!$B$68:$F$68</c:f>
              <c:numCache>
                <c:formatCode>0.00_);[Red]\(0.00\)</c:formatCode>
                <c:ptCount val="5"/>
                <c:pt idx="0">
                  <c:v>1.96</c:v>
                </c:pt>
                <c:pt idx="1">
                  <c:v>3.43</c:v>
                </c:pt>
                <c:pt idx="2">
                  <c:v>2.4900000000000002</c:v>
                </c:pt>
                <c:pt idx="3">
                  <c:v>2.06</c:v>
                </c:pt>
                <c:pt idx="4">
                  <c:v>2.0880621199373466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69-42F3-B301-D192E3B4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'3152'!$A$65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'3152'!$B$64:$F$64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'3152'!$B$65:$F$65</c:f>
              <c:numCache>
                <c:formatCode>0.00_);[Red]\(0.00\)</c:formatCode>
                <c:ptCount val="5"/>
                <c:pt idx="0">
                  <c:v>1.4</c:v>
                </c:pt>
                <c:pt idx="1">
                  <c:v>1.53</c:v>
                </c:pt>
                <c:pt idx="2">
                  <c:v>2.0099999999999998</c:v>
                </c:pt>
                <c:pt idx="3">
                  <c:v>2.48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D-4A79-BD93-C679DB0AA12E}"/>
            </c:ext>
          </c:extLst>
        </c:ser>
        <c:ser>
          <c:idx val="1"/>
          <c:order val="1"/>
          <c:tx>
            <c:strRef>
              <c:f>'3152'!$A$66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'3152'!$B$64:$F$64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'3152'!$B$66:$F$66</c:f>
              <c:numCache>
                <c:formatCode>0.00_);[Red]\(0.00\)</c:formatCode>
                <c:ptCount val="5"/>
                <c:pt idx="0">
                  <c:v>1.89</c:v>
                </c:pt>
                <c:pt idx="1">
                  <c:v>1.59</c:v>
                </c:pt>
                <c:pt idx="2">
                  <c:v>2.5</c:v>
                </c:pt>
                <c:pt idx="3">
                  <c:v>2.78</c:v>
                </c:pt>
                <c:pt idx="4">
                  <c:v>3.34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AD-4A79-BD93-C679DB0AA12E}"/>
            </c:ext>
          </c:extLst>
        </c:ser>
        <c:ser>
          <c:idx val="2"/>
          <c:order val="2"/>
          <c:tx>
            <c:strRef>
              <c:f>'3152'!$A$67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'3152'!$B$64:$F$64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'3152'!$B$67:$F$67</c:f>
              <c:numCache>
                <c:formatCode>0.00_);[Red]\(0.00\)</c:formatCode>
                <c:ptCount val="5"/>
                <c:pt idx="0">
                  <c:v>1.88</c:v>
                </c:pt>
                <c:pt idx="1">
                  <c:v>1.77</c:v>
                </c:pt>
                <c:pt idx="2">
                  <c:v>3.52</c:v>
                </c:pt>
                <c:pt idx="3">
                  <c:v>3.05</c:v>
                </c:pt>
                <c:pt idx="4">
                  <c:v>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AD-4A79-BD93-C679DB0AA12E}"/>
            </c:ext>
          </c:extLst>
        </c:ser>
        <c:ser>
          <c:idx val="3"/>
          <c:order val="3"/>
          <c:tx>
            <c:strRef>
              <c:f>'3152'!$A$68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'3152'!$B$64:$F$64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'3152'!$B$68:$F$68</c:f>
              <c:numCache>
                <c:formatCode>0.00_);[Red]\(0.00\)</c:formatCode>
                <c:ptCount val="5"/>
                <c:pt idx="0">
                  <c:v>1.71</c:v>
                </c:pt>
                <c:pt idx="1">
                  <c:v>1.96</c:v>
                </c:pt>
                <c:pt idx="2">
                  <c:v>3.03</c:v>
                </c:pt>
                <c:pt idx="3">
                  <c:v>3.38</c:v>
                </c:pt>
                <c:pt idx="4">
                  <c:v>3.336225077666334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AD-4A79-BD93-C679DB0AA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'3264'!$A$65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'3264'!$B$64:$F$64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'3264'!$B$65:$F$65</c:f>
              <c:numCache>
                <c:formatCode>0.00_);[Red]\(0.00\)</c:formatCode>
                <c:ptCount val="5"/>
                <c:pt idx="0">
                  <c:v>0.28999999999999998</c:v>
                </c:pt>
                <c:pt idx="1">
                  <c:v>0.38</c:v>
                </c:pt>
                <c:pt idx="2">
                  <c:v>0.67</c:v>
                </c:pt>
                <c:pt idx="3">
                  <c:v>0.23</c:v>
                </c:pt>
                <c:pt idx="4">
                  <c:v>0.49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B3-4BC7-856F-568CAC124778}"/>
            </c:ext>
          </c:extLst>
        </c:ser>
        <c:ser>
          <c:idx val="1"/>
          <c:order val="1"/>
          <c:tx>
            <c:strRef>
              <c:f>'3264'!$A$66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'3264'!$B$64:$F$64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'3264'!$B$66:$F$66</c:f>
              <c:numCache>
                <c:formatCode>0.00_);[Red]\(0.00\)</c:formatCode>
                <c:ptCount val="5"/>
                <c:pt idx="0">
                  <c:v>0.43</c:v>
                </c:pt>
                <c:pt idx="1">
                  <c:v>0.68</c:v>
                </c:pt>
                <c:pt idx="2">
                  <c:v>0.46</c:v>
                </c:pt>
                <c:pt idx="3">
                  <c:v>0.49</c:v>
                </c:pt>
                <c:pt idx="4">
                  <c:v>0.54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B3-4BC7-856F-568CAC124778}"/>
            </c:ext>
          </c:extLst>
        </c:ser>
        <c:ser>
          <c:idx val="2"/>
          <c:order val="2"/>
          <c:tx>
            <c:strRef>
              <c:f>'3264'!$A$67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'3264'!$B$64:$F$64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'3264'!$B$67:$F$67</c:f>
              <c:numCache>
                <c:formatCode>0.00_);[Red]\(0.00\)</c:formatCode>
                <c:ptCount val="5"/>
                <c:pt idx="0">
                  <c:v>0.6</c:v>
                </c:pt>
                <c:pt idx="1">
                  <c:v>0.81</c:v>
                </c:pt>
                <c:pt idx="2">
                  <c:v>0.66</c:v>
                </c:pt>
                <c:pt idx="3">
                  <c:v>0.61</c:v>
                </c:pt>
                <c:pt idx="4">
                  <c:v>0.87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B3-4BC7-856F-568CAC124778}"/>
            </c:ext>
          </c:extLst>
        </c:ser>
        <c:ser>
          <c:idx val="3"/>
          <c:order val="3"/>
          <c:tx>
            <c:strRef>
              <c:f>'3264'!$A$68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'3264'!$B$64:$F$64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'3264'!$B$68:$F$68</c:f>
              <c:numCache>
                <c:formatCode>0.00_);[Red]\(0.00\)</c:formatCode>
                <c:ptCount val="5"/>
                <c:pt idx="0">
                  <c:v>0.55000000000000004</c:v>
                </c:pt>
                <c:pt idx="1">
                  <c:v>0.79</c:v>
                </c:pt>
                <c:pt idx="2">
                  <c:v>0.36</c:v>
                </c:pt>
                <c:pt idx="3">
                  <c:v>0.59</c:v>
                </c:pt>
                <c:pt idx="4">
                  <c:v>0.70829164683131474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B3-4BC7-856F-568CAC124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'3416'!$A$65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'3416'!$B$65:$F$65</c:f>
              <c:numCache>
                <c:formatCode>0.00_);[Red]\(0.00\)</c:formatCode>
                <c:ptCount val="5"/>
                <c:pt idx="0">
                  <c:v>1.18</c:v>
                </c:pt>
                <c:pt idx="1">
                  <c:v>0.9</c:v>
                </c:pt>
                <c:pt idx="2">
                  <c:v>0.86</c:v>
                </c:pt>
                <c:pt idx="3">
                  <c:v>0.81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6-47C2-825D-5DB420691E6A}"/>
            </c:ext>
          </c:extLst>
        </c:ser>
        <c:ser>
          <c:idx val="1"/>
          <c:order val="1"/>
          <c:tx>
            <c:strRef>
              <c:f>'3416'!$A$66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'3416'!$B$66:$F$66</c:f>
              <c:numCache>
                <c:formatCode>0.00_);[Red]\(0.00\)</c:formatCode>
                <c:ptCount val="5"/>
                <c:pt idx="0">
                  <c:v>1.1100000000000001</c:v>
                </c:pt>
                <c:pt idx="1">
                  <c:v>0.91</c:v>
                </c:pt>
                <c:pt idx="2">
                  <c:v>0.76</c:v>
                </c:pt>
                <c:pt idx="3">
                  <c:v>0.92</c:v>
                </c:pt>
                <c:pt idx="4">
                  <c:v>0.49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6-47C2-825D-5DB420691E6A}"/>
            </c:ext>
          </c:extLst>
        </c:ser>
        <c:ser>
          <c:idx val="2"/>
          <c:order val="2"/>
          <c:tx>
            <c:strRef>
              <c:f>'3416'!$A$67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'3416'!$B$67:$F$67</c:f>
              <c:numCache>
                <c:formatCode>0.00_);[Red]\(0.00\)</c:formatCode>
                <c:ptCount val="5"/>
                <c:pt idx="0">
                  <c:v>1.22</c:v>
                </c:pt>
                <c:pt idx="1">
                  <c:v>1.33</c:v>
                </c:pt>
                <c:pt idx="2">
                  <c:v>0.91</c:v>
                </c:pt>
                <c:pt idx="3">
                  <c:v>0.64</c:v>
                </c:pt>
                <c:pt idx="4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6-47C2-825D-5DB420691E6A}"/>
            </c:ext>
          </c:extLst>
        </c:ser>
        <c:ser>
          <c:idx val="3"/>
          <c:order val="3"/>
          <c:tx>
            <c:strRef>
              <c:f>'3416'!$A$68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'3416'!$B$68:$F$68</c:f>
              <c:numCache>
                <c:formatCode>0.00_);[Red]\(0.00\)</c:formatCode>
                <c:ptCount val="5"/>
                <c:pt idx="0">
                  <c:v>1.17</c:v>
                </c:pt>
                <c:pt idx="1">
                  <c:v>1.1100000000000001</c:v>
                </c:pt>
                <c:pt idx="2">
                  <c:v>0.99</c:v>
                </c:pt>
                <c:pt idx="3">
                  <c:v>0.69</c:v>
                </c:pt>
                <c:pt idx="4">
                  <c:v>0.67718118607364219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F6-47C2-825D-5DB420691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'3443'!$A$65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'3443'!$B$64:$F$64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'3443'!$B$65:$F$65</c:f>
              <c:numCache>
                <c:formatCode>0.00_);[Red]\(0.00\)</c:formatCode>
                <c:ptCount val="5"/>
                <c:pt idx="0">
                  <c:v>0.68</c:v>
                </c:pt>
                <c:pt idx="1">
                  <c:v>1.03</c:v>
                </c:pt>
                <c:pt idx="2">
                  <c:v>0.83</c:v>
                </c:pt>
                <c:pt idx="3">
                  <c:v>1.19</c:v>
                </c:pt>
                <c:pt idx="4">
                  <c:v>1.07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2-4BFB-ACB0-04209C9F52C1}"/>
            </c:ext>
          </c:extLst>
        </c:ser>
        <c:ser>
          <c:idx val="1"/>
          <c:order val="1"/>
          <c:tx>
            <c:strRef>
              <c:f>'3443'!$A$66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'3443'!$B$64:$F$64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'3443'!$B$66:$F$66</c:f>
              <c:numCache>
                <c:formatCode>0.00_);[Red]\(0.00\)</c:formatCode>
                <c:ptCount val="5"/>
                <c:pt idx="0">
                  <c:v>0.14000000000000001</c:v>
                </c:pt>
                <c:pt idx="1">
                  <c:v>0.86</c:v>
                </c:pt>
                <c:pt idx="2">
                  <c:v>0.66</c:v>
                </c:pt>
                <c:pt idx="3">
                  <c:v>0.75</c:v>
                </c:pt>
                <c:pt idx="4">
                  <c:v>1.29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2-4BFB-ACB0-04209C9F52C1}"/>
            </c:ext>
          </c:extLst>
        </c:ser>
        <c:ser>
          <c:idx val="2"/>
          <c:order val="2"/>
          <c:tx>
            <c:strRef>
              <c:f>'3443'!$A$67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'3443'!$B$64:$F$64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'3443'!$B$67:$F$67</c:f>
              <c:numCache>
                <c:formatCode>0.00_);[Red]\(0.00\)</c:formatCode>
                <c:ptCount val="5"/>
                <c:pt idx="0">
                  <c:v>0.27</c:v>
                </c:pt>
                <c:pt idx="1">
                  <c:v>0.7</c:v>
                </c:pt>
                <c:pt idx="2">
                  <c:v>0.92</c:v>
                </c:pt>
                <c:pt idx="3">
                  <c:v>1.01</c:v>
                </c:pt>
                <c:pt idx="4">
                  <c:v>1.24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2-4BFB-ACB0-04209C9F52C1}"/>
            </c:ext>
          </c:extLst>
        </c:ser>
        <c:ser>
          <c:idx val="3"/>
          <c:order val="3"/>
          <c:tx>
            <c:strRef>
              <c:f>'3443'!$A$68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'3443'!$B$64:$F$64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'3443'!$B$68:$F$68</c:f>
              <c:numCache>
                <c:formatCode>0.00_);[Red]\(0.00\)</c:formatCode>
                <c:ptCount val="5"/>
                <c:pt idx="0">
                  <c:v>1.07</c:v>
                </c:pt>
                <c:pt idx="1">
                  <c:v>0.69</c:v>
                </c:pt>
                <c:pt idx="2">
                  <c:v>1.27</c:v>
                </c:pt>
                <c:pt idx="3">
                  <c:v>1.1599999999999999</c:v>
                </c:pt>
                <c:pt idx="4">
                  <c:v>1.4637486386713694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2-4BFB-ACB0-04209C9F5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'3450'!$A$65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'3450'!$B$64:$F$64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'3450'!$B$65:$F$65</c:f>
              <c:numCache>
                <c:formatCode>0.00_);[Red]\(0.00\)</c:formatCode>
                <c:ptCount val="5"/>
                <c:pt idx="0">
                  <c:v>0.63</c:v>
                </c:pt>
                <c:pt idx="1">
                  <c:v>2.06</c:v>
                </c:pt>
                <c:pt idx="2">
                  <c:v>2.46</c:v>
                </c:pt>
                <c:pt idx="3">
                  <c:v>3.31</c:v>
                </c:pt>
                <c:pt idx="4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7-444C-BB12-B3B30410417B}"/>
            </c:ext>
          </c:extLst>
        </c:ser>
        <c:ser>
          <c:idx val="1"/>
          <c:order val="1"/>
          <c:tx>
            <c:strRef>
              <c:f>'3450'!$A$66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'3450'!$B$64:$F$64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'3450'!$B$66:$F$66</c:f>
              <c:numCache>
                <c:formatCode>0.00_);[Red]\(0.00\)</c:formatCode>
                <c:ptCount val="5"/>
                <c:pt idx="0">
                  <c:v>1.57</c:v>
                </c:pt>
                <c:pt idx="1">
                  <c:v>2.57</c:v>
                </c:pt>
                <c:pt idx="2">
                  <c:v>2.93</c:v>
                </c:pt>
                <c:pt idx="3">
                  <c:v>3.08</c:v>
                </c:pt>
                <c:pt idx="4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97-444C-BB12-B3B30410417B}"/>
            </c:ext>
          </c:extLst>
        </c:ser>
        <c:ser>
          <c:idx val="2"/>
          <c:order val="2"/>
          <c:tx>
            <c:strRef>
              <c:f>'3450'!$A$67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'3450'!$B$64:$F$64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'3450'!$B$67:$F$67</c:f>
              <c:numCache>
                <c:formatCode>0.00_);[Red]\(0.00\)</c:formatCode>
                <c:ptCount val="5"/>
                <c:pt idx="0">
                  <c:v>2.1</c:v>
                </c:pt>
                <c:pt idx="1">
                  <c:v>2.76</c:v>
                </c:pt>
                <c:pt idx="2">
                  <c:v>3.57</c:v>
                </c:pt>
                <c:pt idx="3">
                  <c:v>2.2400000000000002</c:v>
                </c:pt>
                <c:pt idx="4">
                  <c:v>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97-444C-BB12-B3B30410417B}"/>
            </c:ext>
          </c:extLst>
        </c:ser>
        <c:ser>
          <c:idx val="3"/>
          <c:order val="3"/>
          <c:tx>
            <c:strRef>
              <c:f>'3450'!$A$68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'3450'!$B$64:$F$64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'3450'!$B$68:$F$68</c:f>
              <c:numCache>
                <c:formatCode>0.00_);[Red]\(0.00\)</c:formatCode>
                <c:ptCount val="5"/>
                <c:pt idx="0">
                  <c:v>1.82</c:v>
                </c:pt>
                <c:pt idx="1">
                  <c:v>2.39</c:v>
                </c:pt>
                <c:pt idx="2">
                  <c:v>3.91</c:v>
                </c:pt>
                <c:pt idx="3">
                  <c:v>2.7</c:v>
                </c:pt>
                <c:pt idx="4">
                  <c:v>2.0457563501788378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97-444C-BB12-B3B304104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'3454'!$A$65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'3454'!$B$64:$F$64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'3454'!$B$65:$F$65</c:f>
              <c:numCache>
                <c:formatCode>0.00_);[Red]\(0.00\)</c:formatCode>
                <c:ptCount val="5"/>
                <c:pt idx="0">
                  <c:v>2.85</c:v>
                </c:pt>
                <c:pt idx="1">
                  <c:v>1.75</c:v>
                </c:pt>
                <c:pt idx="2">
                  <c:v>1.06</c:v>
                </c:pt>
                <c:pt idx="3">
                  <c:v>1.1599999999999999</c:v>
                </c:pt>
                <c:pt idx="4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0B-4834-A430-7A27A33E4095}"/>
            </c:ext>
          </c:extLst>
        </c:ser>
        <c:ser>
          <c:idx val="1"/>
          <c:order val="1"/>
          <c:tx>
            <c:strRef>
              <c:f>'3454'!$A$66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'3454'!$B$64:$F$64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'3454'!$B$66:$F$66</c:f>
              <c:numCache>
                <c:formatCode>0.00_);[Red]\(0.00\)</c:formatCode>
                <c:ptCount val="5"/>
                <c:pt idx="0">
                  <c:v>3.06</c:v>
                </c:pt>
                <c:pt idx="1">
                  <c:v>0.6</c:v>
                </c:pt>
                <c:pt idx="2">
                  <c:v>2.08</c:v>
                </c:pt>
                <c:pt idx="3">
                  <c:v>2.0699999999999998</c:v>
                </c:pt>
                <c:pt idx="4">
                  <c:v>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0B-4834-A430-7A27A33E4095}"/>
            </c:ext>
          </c:extLst>
        </c:ser>
        <c:ser>
          <c:idx val="2"/>
          <c:order val="2"/>
          <c:tx>
            <c:strRef>
              <c:f>'3454'!$A$67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'3454'!$B$64:$F$64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'3454'!$B$67:$F$67</c:f>
              <c:numCache>
                <c:formatCode>0.00_);[Red]\(0.00\)</c:formatCode>
                <c:ptCount val="5"/>
                <c:pt idx="0">
                  <c:v>2.59</c:v>
                </c:pt>
                <c:pt idx="1">
                  <c:v>1.93</c:v>
                </c:pt>
                <c:pt idx="2">
                  <c:v>2.0499999999999998</c:v>
                </c:pt>
                <c:pt idx="3">
                  <c:v>1.37</c:v>
                </c:pt>
                <c:pt idx="4">
                  <c:v>1.46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0B-4834-A430-7A27A33E4095}"/>
            </c:ext>
          </c:extLst>
        </c:ser>
        <c:ser>
          <c:idx val="3"/>
          <c:order val="3"/>
          <c:tx>
            <c:strRef>
              <c:f>'3454'!$A$68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'3454'!$B$64:$F$64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'3454'!$B$68:$F$68</c:f>
              <c:numCache>
                <c:formatCode>0.00_);[Red]\(0.00\)</c:formatCode>
                <c:ptCount val="5"/>
                <c:pt idx="0">
                  <c:v>1.87</c:v>
                </c:pt>
                <c:pt idx="1">
                  <c:v>0.79</c:v>
                </c:pt>
                <c:pt idx="2">
                  <c:v>1.04</c:v>
                </c:pt>
                <c:pt idx="3">
                  <c:v>2.0099999999999998</c:v>
                </c:pt>
                <c:pt idx="4">
                  <c:v>1.8458947387561138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0B-4834-A430-7A27A33E4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'3556'!$A$65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'3556'!$B$64:$F$64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'3556'!$B$65:$F$65</c:f>
              <c:numCache>
                <c:formatCode>0.00_);[Red]\(0.00\)</c:formatCode>
                <c:ptCount val="5"/>
                <c:pt idx="0">
                  <c:v>2.2000000000000002</c:v>
                </c:pt>
                <c:pt idx="1">
                  <c:v>1.31</c:v>
                </c:pt>
                <c:pt idx="2">
                  <c:v>0.9</c:v>
                </c:pt>
                <c:pt idx="3">
                  <c:v>0.98</c:v>
                </c:pt>
                <c:pt idx="4">
                  <c:v>0.88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F-40B4-A3E0-364588665F87}"/>
            </c:ext>
          </c:extLst>
        </c:ser>
        <c:ser>
          <c:idx val="1"/>
          <c:order val="1"/>
          <c:tx>
            <c:strRef>
              <c:f>'3556'!$A$66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'3556'!$B$64:$F$64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'3556'!$B$66:$F$66</c:f>
              <c:numCache>
                <c:formatCode>0.00_);[Red]\(0.00\)</c:formatCode>
                <c:ptCount val="5"/>
                <c:pt idx="0">
                  <c:v>2.5</c:v>
                </c:pt>
                <c:pt idx="1">
                  <c:v>1.1599999999999999</c:v>
                </c:pt>
                <c:pt idx="2">
                  <c:v>1.43</c:v>
                </c:pt>
                <c:pt idx="3">
                  <c:v>0.9</c:v>
                </c:pt>
                <c:pt idx="4">
                  <c:v>1.02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EF-40B4-A3E0-364588665F87}"/>
            </c:ext>
          </c:extLst>
        </c:ser>
        <c:ser>
          <c:idx val="2"/>
          <c:order val="2"/>
          <c:tx>
            <c:strRef>
              <c:f>'3556'!$A$67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'3556'!$B$64:$F$64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'3556'!$B$67:$F$67</c:f>
              <c:numCache>
                <c:formatCode>0.00_);[Red]\(0.00\)</c:formatCode>
                <c:ptCount val="5"/>
                <c:pt idx="0">
                  <c:v>2.73</c:v>
                </c:pt>
                <c:pt idx="1">
                  <c:v>1.1299999999999999</c:v>
                </c:pt>
                <c:pt idx="2">
                  <c:v>0.88</c:v>
                </c:pt>
                <c:pt idx="3">
                  <c:v>0.83</c:v>
                </c:pt>
                <c:pt idx="4">
                  <c:v>1.06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EF-40B4-A3E0-364588665F87}"/>
            </c:ext>
          </c:extLst>
        </c:ser>
        <c:ser>
          <c:idx val="3"/>
          <c:order val="3"/>
          <c:tx>
            <c:strRef>
              <c:f>'3556'!$A$68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'3556'!$B$64:$F$64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'3556'!$B$68:$F$68</c:f>
              <c:numCache>
                <c:formatCode>0.00_);[Red]\(0.00\)</c:formatCode>
                <c:ptCount val="5"/>
                <c:pt idx="0">
                  <c:v>1.56</c:v>
                </c:pt>
                <c:pt idx="1">
                  <c:v>0.93</c:v>
                </c:pt>
                <c:pt idx="2">
                  <c:v>0.97</c:v>
                </c:pt>
                <c:pt idx="3">
                  <c:v>0.79</c:v>
                </c:pt>
                <c:pt idx="4">
                  <c:v>0.82714955815576119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EF-40B4-A3E0-364588665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'3558'!$A$65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'3558'!$B$64:$F$64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'3558'!$B$65:$F$65</c:f>
              <c:numCache>
                <c:formatCode>0.00_);[Red]\(0.00\)</c:formatCode>
                <c:ptCount val="5"/>
                <c:pt idx="0">
                  <c:v>1.79</c:v>
                </c:pt>
                <c:pt idx="1">
                  <c:v>2.56</c:v>
                </c:pt>
                <c:pt idx="2">
                  <c:v>3.85</c:v>
                </c:pt>
                <c:pt idx="3">
                  <c:v>3.21</c:v>
                </c:pt>
                <c:pt idx="4">
                  <c:v>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2-42B1-ADF5-FBEC6843ECB6}"/>
            </c:ext>
          </c:extLst>
        </c:ser>
        <c:ser>
          <c:idx val="1"/>
          <c:order val="1"/>
          <c:tx>
            <c:strRef>
              <c:f>'3558'!$A$66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'3558'!$B$64:$F$64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'3558'!$B$66:$F$66</c:f>
              <c:numCache>
                <c:formatCode>0.00_);[Red]\(0.00\)</c:formatCode>
                <c:ptCount val="5"/>
                <c:pt idx="0">
                  <c:v>2.56</c:v>
                </c:pt>
                <c:pt idx="1">
                  <c:v>3.34</c:v>
                </c:pt>
                <c:pt idx="2">
                  <c:v>4</c:v>
                </c:pt>
                <c:pt idx="3">
                  <c:v>3.22</c:v>
                </c:pt>
                <c:pt idx="4">
                  <c:v>1.52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42-42B1-ADF5-FBEC6843ECB6}"/>
            </c:ext>
          </c:extLst>
        </c:ser>
        <c:ser>
          <c:idx val="2"/>
          <c:order val="2"/>
          <c:tx>
            <c:strRef>
              <c:f>'3558'!$A$67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'3558'!$B$64:$F$64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'3558'!$B$67:$F$67</c:f>
              <c:numCache>
                <c:formatCode>0.00_);[Red]\(0.00\)</c:formatCode>
                <c:ptCount val="5"/>
                <c:pt idx="0">
                  <c:v>2.93</c:v>
                </c:pt>
                <c:pt idx="1">
                  <c:v>3.25</c:v>
                </c:pt>
                <c:pt idx="2">
                  <c:v>5.14</c:v>
                </c:pt>
                <c:pt idx="3">
                  <c:v>2.3199999999999998</c:v>
                </c:pt>
                <c:pt idx="4">
                  <c:v>2.66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42-42B1-ADF5-FBEC6843ECB6}"/>
            </c:ext>
          </c:extLst>
        </c:ser>
        <c:ser>
          <c:idx val="3"/>
          <c:order val="3"/>
          <c:tx>
            <c:strRef>
              <c:f>'3558'!$A$68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'3558'!$B$64:$F$64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'3558'!$B$68:$F$68</c:f>
              <c:numCache>
                <c:formatCode>0.00_);[Red]\(0.00\)</c:formatCode>
                <c:ptCount val="5"/>
                <c:pt idx="0">
                  <c:v>2.78</c:v>
                </c:pt>
                <c:pt idx="1">
                  <c:v>3.49</c:v>
                </c:pt>
                <c:pt idx="2">
                  <c:v>3.6</c:v>
                </c:pt>
                <c:pt idx="3">
                  <c:v>3.05</c:v>
                </c:pt>
                <c:pt idx="4">
                  <c:v>3.5496556732325053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42-42B1-ADF5-FBEC6843E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'3563'!$A$65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'3563'!$B$64:$F$64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'3563'!$B$65:$F$65</c:f>
              <c:numCache>
                <c:formatCode>0.00_);[Red]\(0.00\)</c:formatCode>
                <c:ptCount val="5"/>
                <c:pt idx="0">
                  <c:v>1.5</c:v>
                </c:pt>
                <c:pt idx="1">
                  <c:v>0.93</c:v>
                </c:pt>
                <c:pt idx="2">
                  <c:v>0.8</c:v>
                </c:pt>
                <c:pt idx="3">
                  <c:v>0.65</c:v>
                </c:pt>
                <c:pt idx="4">
                  <c:v>1.41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7-4F86-90EA-2BFCF53A5956}"/>
            </c:ext>
          </c:extLst>
        </c:ser>
        <c:ser>
          <c:idx val="1"/>
          <c:order val="1"/>
          <c:tx>
            <c:strRef>
              <c:f>'3563'!$A$66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'3563'!$B$64:$F$64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'3563'!$B$66:$F$66</c:f>
              <c:numCache>
                <c:formatCode>0.00_);[Red]\(0.00\)</c:formatCode>
                <c:ptCount val="5"/>
                <c:pt idx="0">
                  <c:v>2.0099999999999998</c:v>
                </c:pt>
                <c:pt idx="1">
                  <c:v>1.01</c:v>
                </c:pt>
                <c:pt idx="2">
                  <c:v>0.93</c:v>
                </c:pt>
                <c:pt idx="3">
                  <c:v>0.93</c:v>
                </c:pt>
                <c:pt idx="4">
                  <c:v>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37-4F86-90EA-2BFCF53A5956}"/>
            </c:ext>
          </c:extLst>
        </c:ser>
        <c:ser>
          <c:idx val="2"/>
          <c:order val="2"/>
          <c:tx>
            <c:strRef>
              <c:f>'3563'!$A$67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'3563'!$B$64:$F$64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'3563'!$B$67:$F$67</c:f>
              <c:numCache>
                <c:formatCode>0.00_);[Red]\(0.00\)</c:formatCode>
                <c:ptCount val="5"/>
                <c:pt idx="0">
                  <c:v>1.71</c:v>
                </c:pt>
                <c:pt idx="1">
                  <c:v>1.38</c:v>
                </c:pt>
                <c:pt idx="2">
                  <c:v>1.51</c:v>
                </c:pt>
                <c:pt idx="3">
                  <c:v>1.53</c:v>
                </c:pt>
                <c:pt idx="4">
                  <c:v>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37-4F86-90EA-2BFCF53A5956}"/>
            </c:ext>
          </c:extLst>
        </c:ser>
        <c:ser>
          <c:idx val="3"/>
          <c:order val="3"/>
          <c:tx>
            <c:strRef>
              <c:f>'3563'!$A$68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'3563'!$B$64:$F$64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'3563'!$B$68:$F$68</c:f>
              <c:numCache>
                <c:formatCode>0.00_);[Red]\(0.00\)</c:formatCode>
                <c:ptCount val="5"/>
                <c:pt idx="0">
                  <c:v>0.44</c:v>
                </c:pt>
                <c:pt idx="1">
                  <c:v>0.71</c:v>
                </c:pt>
                <c:pt idx="2">
                  <c:v>0.48</c:v>
                </c:pt>
                <c:pt idx="3">
                  <c:v>1.55</c:v>
                </c:pt>
                <c:pt idx="4">
                  <c:v>1.6966562837238304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37-4F86-90EA-2BFCF53A5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'4103'!$A$65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'4103'!$B$64:$F$64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'4103'!$B$65:$F$65</c:f>
              <c:numCache>
                <c:formatCode>0.00_);[Red]\(0.00\)</c:formatCode>
                <c:ptCount val="5"/>
                <c:pt idx="0">
                  <c:v>1.2</c:v>
                </c:pt>
                <c:pt idx="1">
                  <c:v>0.67</c:v>
                </c:pt>
                <c:pt idx="2">
                  <c:v>0.8</c:v>
                </c:pt>
                <c:pt idx="3">
                  <c:v>0.69</c:v>
                </c:pt>
                <c:pt idx="4">
                  <c:v>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0-4CD9-B8B9-3F675949AED9}"/>
            </c:ext>
          </c:extLst>
        </c:ser>
        <c:ser>
          <c:idx val="1"/>
          <c:order val="1"/>
          <c:tx>
            <c:strRef>
              <c:f>'4103'!$A$66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'4103'!$B$64:$F$64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'4103'!$B$66:$F$66</c:f>
              <c:numCache>
                <c:formatCode>0.00_);[Red]\(0.00\)</c:formatCode>
                <c:ptCount val="5"/>
                <c:pt idx="0">
                  <c:v>1.19</c:v>
                </c:pt>
                <c:pt idx="1">
                  <c:v>0.74</c:v>
                </c:pt>
                <c:pt idx="2">
                  <c:v>0.68</c:v>
                </c:pt>
                <c:pt idx="3">
                  <c:v>0.79</c:v>
                </c:pt>
                <c:pt idx="4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0-4CD9-B8B9-3F675949AED9}"/>
            </c:ext>
          </c:extLst>
        </c:ser>
        <c:ser>
          <c:idx val="2"/>
          <c:order val="2"/>
          <c:tx>
            <c:strRef>
              <c:f>'4103'!$A$67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'4103'!$B$64:$F$64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'4103'!$B$67:$F$67</c:f>
              <c:numCache>
                <c:formatCode>0.00_);[Red]\(0.00\)</c:formatCode>
                <c:ptCount val="5"/>
                <c:pt idx="0">
                  <c:v>2.38</c:v>
                </c:pt>
                <c:pt idx="1">
                  <c:v>2.33</c:v>
                </c:pt>
                <c:pt idx="2">
                  <c:v>2.8</c:v>
                </c:pt>
                <c:pt idx="3">
                  <c:v>2.2799999999999998</c:v>
                </c:pt>
                <c:pt idx="4">
                  <c:v>2.02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D0-4CD9-B8B9-3F675949AED9}"/>
            </c:ext>
          </c:extLst>
        </c:ser>
        <c:ser>
          <c:idx val="3"/>
          <c:order val="3"/>
          <c:tx>
            <c:strRef>
              <c:f>'4103'!$A$68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'4103'!$B$64:$F$64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'4103'!$B$68:$F$68</c:f>
              <c:numCache>
                <c:formatCode>0.00_);[Red]\(0.00\)</c:formatCode>
                <c:ptCount val="5"/>
                <c:pt idx="0">
                  <c:v>1</c:v>
                </c:pt>
                <c:pt idx="1">
                  <c:v>1.9</c:v>
                </c:pt>
                <c:pt idx="2">
                  <c:v>1.62</c:v>
                </c:pt>
                <c:pt idx="3">
                  <c:v>1.76</c:v>
                </c:pt>
                <c:pt idx="4">
                  <c:v>1.7610147598497266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D0-4CD9-B8B9-3F675949A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'4126'!$A$65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'4126'!$B$64:$F$64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'4126'!$B$65:$F$65</c:f>
              <c:numCache>
                <c:formatCode>0.00_);[Red]\(0.00\)</c:formatCode>
                <c:ptCount val="5"/>
                <c:pt idx="0">
                  <c:v>1.4</c:v>
                </c:pt>
                <c:pt idx="1">
                  <c:v>1.29</c:v>
                </c:pt>
                <c:pt idx="2">
                  <c:v>1.03</c:v>
                </c:pt>
                <c:pt idx="3">
                  <c:v>1.57</c:v>
                </c:pt>
                <c:pt idx="4">
                  <c:v>0.92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7-44BA-BCB4-7637ADC9E5CA}"/>
            </c:ext>
          </c:extLst>
        </c:ser>
        <c:ser>
          <c:idx val="1"/>
          <c:order val="1"/>
          <c:tx>
            <c:strRef>
              <c:f>'4126'!$A$66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'4126'!$B$64:$F$64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'4126'!$B$66:$F$66</c:f>
              <c:numCache>
                <c:formatCode>0.00_);[Red]\(0.00\)</c:formatCode>
                <c:ptCount val="5"/>
                <c:pt idx="0">
                  <c:v>1.36</c:v>
                </c:pt>
                <c:pt idx="1">
                  <c:v>0.86</c:v>
                </c:pt>
                <c:pt idx="2">
                  <c:v>0.71</c:v>
                </c:pt>
                <c:pt idx="3">
                  <c:v>1.37</c:v>
                </c:pt>
                <c:pt idx="4">
                  <c:v>0.84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87-44BA-BCB4-7637ADC9E5CA}"/>
            </c:ext>
          </c:extLst>
        </c:ser>
        <c:ser>
          <c:idx val="2"/>
          <c:order val="2"/>
          <c:tx>
            <c:strRef>
              <c:f>'4126'!$A$67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'4126'!$B$64:$F$64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'4126'!$B$67:$F$67</c:f>
              <c:numCache>
                <c:formatCode>0.00_);[Red]\(0.00\)</c:formatCode>
                <c:ptCount val="5"/>
                <c:pt idx="0">
                  <c:v>1.07</c:v>
                </c:pt>
                <c:pt idx="1">
                  <c:v>1.19</c:v>
                </c:pt>
                <c:pt idx="2">
                  <c:v>1.84</c:v>
                </c:pt>
                <c:pt idx="3">
                  <c:v>1.18</c:v>
                </c:pt>
                <c:pt idx="4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87-44BA-BCB4-7637ADC9E5CA}"/>
            </c:ext>
          </c:extLst>
        </c:ser>
        <c:ser>
          <c:idx val="3"/>
          <c:order val="3"/>
          <c:tx>
            <c:strRef>
              <c:f>'4126'!$A$68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'4126'!$B$64:$F$64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'4126'!$B$68:$F$68</c:f>
              <c:numCache>
                <c:formatCode>0.00_);[Red]\(0.00\)</c:formatCode>
                <c:ptCount val="5"/>
                <c:pt idx="0">
                  <c:v>1.04</c:v>
                </c:pt>
                <c:pt idx="1">
                  <c:v>1.6</c:v>
                </c:pt>
                <c:pt idx="2">
                  <c:v>1.74</c:v>
                </c:pt>
                <c:pt idx="3">
                  <c:v>0.91</c:v>
                </c:pt>
                <c:pt idx="4">
                  <c:v>1.0610316185719961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87-44BA-BCB4-7637ADC9E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'4163'!$A$65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'4163'!$B$64:$F$64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'4163'!$B$65:$F$65</c:f>
              <c:numCache>
                <c:formatCode>0.00_);[Red]\(0.00\)</c:formatCode>
                <c:ptCount val="5"/>
                <c:pt idx="0">
                  <c:v>1.48</c:v>
                </c:pt>
                <c:pt idx="1">
                  <c:v>1.67</c:v>
                </c:pt>
                <c:pt idx="2">
                  <c:v>1.65</c:v>
                </c:pt>
                <c:pt idx="3">
                  <c:v>1.88</c:v>
                </c:pt>
                <c:pt idx="4">
                  <c:v>0.44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D2-4397-B3B4-6D1F67E855B7}"/>
            </c:ext>
          </c:extLst>
        </c:ser>
        <c:ser>
          <c:idx val="1"/>
          <c:order val="1"/>
          <c:tx>
            <c:strRef>
              <c:f>'4163'!$A$66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'4163'!$B$64:$F$64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'4163'!$B$66:$F$66</c:f>
              <c:numCache>
                <c:formatCode>0.00_);[Red]\(0.00\)</c:formatCode>
                <c:ptCount val="5"/>
                <c:pt idx="0">
                  <c:v>1.71</c:v>
                </c:pt>
                <c:pt idx="1">
                  <c:v>2.0499999999999998</c:v>
                </c:pt>
                <c:pt idx="2">
                  <c:v>0.93</c:v>
                </c:pt>
                <c:pt idx="3">
                  <c:v>3.12</c:v>
                </c:pt>
                <c:pt idx="4">
                  <c:v>1.07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D2-4397-B3B4-6D1F67E855B7}"/>
            </c:ext>
          </c:extLst>
        </c:ser>
        <c:ser>
          <c:idx val="2"/>
          <c:order val="2"/>
          <c:tx>
            <c:strRef>
              <c:f>'4163'!$A$67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'4163'!$B$64:$F$64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'4163'!$B$67:$F$67</c:f>
              <c:numCache>
                <c:formatCode>0.00_);[Red]\(0.00\)</c:formatCode>
                <c:ptCount val="5"/>
                <c:pt idx="0">
                  <c:v>1.62</c:v>
                </c:pt>
                <c:pt idx="1">
                  <c:v>2.4500000000000002</c:v>
                </c:pt>
                <c:pt idx="2">
                  <c:v>2.61</c:v>
                </c:pt>
                <c:pt idx="3">
                  <c:v>1.66</c:v>
                </c:pt>
                <c:pt idx="4">
                  <c:v>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D2-4397-B3B4-6D1F67E855B7}"/>
            </c:ext>
          </c:extLst>
        </c:ser>
        <c:ser>
          <c:idx val="3"/>
          <c:order val="3"/>
          <c:tx>
            <c:strRef>
              <c:f>'4163'!$A$68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'4163'!$B$64:$F$64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'4163'!$B$68:$F$68</c:f>
              <c:numCache>
                <c:formatCode>0.00_);[Red]\(0.00\)</c:formatCode>
                <c:ptCount val="5"/>
                <c:pt idx="0">
                  <c:v>1.24</c:v>
                </c:pt>
                <c:pt idx="1">
                  <c:v>1.7</c:v>
                </c:pt>
                <c:pt idx="2">
                  <c:v>2.11</c:v>
                </c:pt>
                <c:pt idx="3">
                  <c:v>2.09</c:v>
                </c:pt>
                <c:pt idx="4">
                  <c:v>1.2976046071356613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D2-4397-B3B4-6D1F67E85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'4205'!$A$65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'4205'!$B$64:$F$64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'4205'!$B$65:$F$65</c:f>
              <c:numCache>
                <c:formatCode>0.00_);[Red]\(0.00\)</c:formatCode>
                <c:ptCount val="5"/>
                <c:pt idx="0">
                  <c:v>0.44</c:v>
                </c:pt>
                <c:pt idx="1">
                  <c:v>0.44</c:v>
                </c:pt>
                <c:pt idx="2">
                  <c:v>0.48</c:v>
                </c:pt>
                <c:pt idx="3">
                  <c:v>0.69</c:v>
                </c:pt>
                <c:pt idx="4">
                  <c:v>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C-4307-95BA-63F8CFE512B0}"/>
            </c:ext>
          </c:extLst>
        </c:ser>
        <c:ser>
          <c:idx val="1"/>
          <c:order val="1"/>
          <c:tx>
            <c:strRef>
              <c:f>'4205'!$A$66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'4205'!$B$64:$F$64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'4205'!$B$66:$F$66</c:f>
              <c:numCache>
                <c:formatCode>0.00_);[Red]\(0.00\)</c:formatCode>
                <c:ptCount val="5"/>
                <c:pt idx="0">
                  <c:v>0.6</c:v>
                </c:pt>
                <c:pt idx="1">
                  <c:v>0.42</c:v>
                </c:pt>
                <c:pt idx="2">
                  <c:v>0.6</c:v>
                </c:pt>
                <c:pt idx="3">
                  <c:v>0.74</c:v>
                </c:pt>
                <c:pt idx="4">
                  <c:v>0.74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C-4307-95BA-63F8CFE512B0}"/>
            </c:ext>
          </c:extLst>
        </c:ser>
        <c:ser>
          <c:idx val="2"/>
          <c:order val="2"/>
          <c:tx>
            <c:strRef>
              <c:f>'4205'!$A$67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'4205'!$B$64:$F$64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'4205'!$B$67:$F$67</c:f>
              <c:numCache>
                <c:formatCode>0.00_);[Red]\(0.00\)</c:formatCode>
                <c:ptCount val="5"/>
                <c:pt idx="0">
                  <c:v>0.46</c:v>
                </c:pt>
                <c:pt idx="1">
                  <c:v>0.57999999999999996</c:v>
                </c:pt>
                <c:pt idx="2">
                  <c:v>0.79</c:v>
                </c:pt>
                <c:pt idx="3">
                  <c:v>0.87</c:v>
                </c:pt>
                <c:pt idx="4">
                  <c:v>0.82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C-4307-95BA-63F8CFE512B0}"/>
            </c:ext>
          </c:extLst>
        </c:ser>
        <c:ser>
          <c:idx val="3"/>
          <c:order val="3"/>
          <c:tx>
            <c:strRef>
              <c:f>'4205'!$A$68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'4205'!$B$64:$F$64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'4205'!$B$68:$F$68</c:f>
              <c:numCache>
                <c:formatCode>0.00_);[Red]\(0.00\)</c:formatCode>
                <c:ptCount val="5"/>
                <c:pt idx="0">
                  <c:v>0.46</c:v>
                </c:pt>
                <c:pt idx="1">
                  <c:v>0.47</c:v>
                </c:pt>
                <c:pt idx="2">
                  <c:v>0.64</c:v>
                </c:pt>
                <c:pt idx="3">
                  <c:v>0.79</c:v>
                </c:pt>
                <c:pt idx="4">
                  <c:v>0.87461893508355459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BC-4307-95BA-63F8CFE51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'4401'!$A$65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'4401'!$B$64:$F$64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'4401'!$B$65:$F$65</c:f>
              <c:numCache>
                <c:formatCode>0.00_);[Red]\(0.00\)</c:formatCode>
                <c:ptCount val="5"/>
                <c:pt idx="0">
                  <c:v>1.1000000000000001</c:v>
                </c:pt>
                <c:pt idx="1">
                  <c:v>0.94</c:v>
                </c:pt>
                <c:pt idx="2">
                  <c:v>0.89</c:v>
                </c:pt>
                <c:pt idx="3">
                  <c:v>1.05</c:v>
                </c:pt>
                <c:pt idx="4">
                  <c:v>1.1499999999999999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0-4627-A9BF-7A5CD6472DBD}"/>
            </c:ext>
          </c:extLst>
        </c:ser>
        <c:ser>
          <c:idx val="1"/>
          <c:order val="1"/>
          <c:tx>
            <c:strRef>
              <c:f>'4401'!$A$66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'4401'!$B$64:$F$64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'4401'!$B$66:$F$66</c:f>
              <c:numCache>
                <c:formatCode>0.00_);[Red]\(0.00\)</c:formatCode>
                <c:ptCount val="5"/>
                <c:pt idx="0">
                  <c:v>1.33</c:v>
                </c:pt>
                <c:pt idx="1">
                  <c:v>1</c:v>
                </c:pt>
                <c:pt idx="2">
                  <c:v>1.46</c:v>
                </c:pt>
                <c:pt idx="3">
                  <c:v>1.1499999999999999</c:v>
                </c:pt>
                <c:pt idx="4">
                  <c:v>1.23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0-4627-A9BF-7A5CD6472DBD}"/>
            </c:ext>
          </c:extLst>
        </c:ser>
        <c:ser>
          <c:idx val="2"/>
          <c:order val="2"/>
          <c:tx>
            <c:strRef>
              <c:f>'4401'!$A$67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'4401'!$B$64:$F$64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'4401'!$B$67:$F$67</c:f>
              <c:numCache>
                <c:formatCode>0.00_);[Red]\(0.00\)</c:formatCode>
                <c:ptCount val="5"/>
                <c:pt idx="0">
                  <c:v>1.36</c:v>
                </c:pt>
                <c:pt idx="1">
                  <c:v>1.02</c:v>
                </c:pt>
                <c:pt idx="2">
                  <c:v>1.1200000000000001</c:v>
                </c:pt>
                <c:pt idx="3">
                  <c:v>1.17</c:v>
                </c:pt>
                <c:pt idx="4">
                  <c:v>1.0900000000000001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0-4627-A9BF-7A5CD6472DBD}"/>
            </c:ext>
          </c:extLst>
        </c:ser>
        <c:ser>
          <c:idx val="3"/>
          <c:order val="3"/>
          <c:tx>
            <c:strRef>
              <c:f>'4401'!$A$68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'4401'!$B$64:$F$64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'4401'!$B$68:$F$68</c:f>
              <c:numCache>
                <c:formatCode>0.00_);[Red]\(0.00\)</c:formatCode>
                <c:ptCount val="5"/>
                <c:pt idx="0">
                  <c:v>1.53</c:v>
                </c:pt>
                <c:pt idx="1">
                  <c:v>0.7</c:v>
                </c:pt>
                <c:pt idx="2">
                  <c:v>1.08</c:v>
                </c:pt>
                <c:pt idx="3">
                  <c:v>1</c:v>
                </c:pt>
                <c:pt idx="4">
                  <c:v>1.1823999625797017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50-4627-A9BF-7A5CD6472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'4706'!$A$65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'4706'!$B$64:$F$64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'4706'!$B$65:$F$65</c:f>
              <c:numCache>
                <c:formatCode>0.00_);[Red]\(0.00\)</c:formatCode>
                <c:ptCount val="5"/>
                <c:pt idx="0">
                  <c:v>0.26</c:v>
                </c:pt>
                <c:pt idx="1">
                  <c:v>0.28000000000000003</c:v>
                </c:pt>
                <c:pt idx="2">
                  <c:v>0.15</c:v>
                </c:pt>
                <c:pt idx="3">
                  <c:v>0.43</c:v>
                </c:pt>
                <c:pt idx="4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C-4DA4-9CBF-EC179BAA9D3C}"/>
            </c:ext>
          </c:extLst>
        </c:ser>
        <c:ser>
          <c:idx val="1"/>
          <c:order val="1"/>
          <c:tx>
            <c:strRef>
              <c:f>'4706'!$A$66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'4706'!$B$64:$F$64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'4706'!$B$66:$F$66</c:f>
              <c:numCache>
                <c:formatCode>0.00_);[Red]\(0.00\)</c:formatCode>
                <c:ptCount val="5"/>
                <c:pt idx="0">
                  <c:v>0.34</c:v>
                </c:pt>
                <c:pt idx="1">
                  <c:v>0.16</c:v>
                </c:pt>
                <c:pt idx="2">
                  <c:v>0.2</c:v>
                </c:pt>
                <c:pt idx="3">
                  <c:v>0.63</c:v>
                </c:pt>
                <c:pt idx="4">
                  <c:v>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CC-4DA4-9CBF-EC179BAA9D3C}"/>
            </c:ext>
          </c:extLst>
        </c:ser>
        <c:ser>
          <c:idx val="2"/>
          <c:order val="2"/>
          <c:tx>
            <c:strRef>
              <c:f>'4706'!$A$67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'4706'!$B$64:$F$64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'4706'!$B$67:$F$67</c:f>
              <c:numCache>
                <c:formatCode>0.00_);[Red]\(0.00\)</c:formatCode>
                <c:ptCount val="5"/>
                <c:pt idx="0">
                  <c:v>0.43</c:v>
                </c:pt>
                <c:pt idx="1">
                  <c:v>0.36</c:v>
                </c:pt>
                <c:pt idx="2">
                  <c:v>0.43</c:v>
                </c:pt>
                <c:pt idx="3">
                  <c:v>0.51</c:v>
                </c:pt>
                <c:pt idx="4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CC-4DA4-9CBF-EC179BAA9D3C}"/>
            </c:ext>
          </c:extLst>
        </c:ser>
        <c:ser>
          <c:idx val="3"/>
          <c:order val="3"/>
          <c:tx>
            <c:strRef>
              <c:f>'4706'!$A$68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'4706'!$B$64:$F$64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'4706'!$B$68:$F$68</c:f>
              <c:numCache>
                <c:formatCode>0.00_);[Red]\(0.00\)</c:formatCode>
                <c:ptCount val="5"/>
                <c:pt idx="0">
                  <c:v>0.24</c:v>
                </c:pt>
                <c:pt idx="1">
                  <c:v>0.17</c:v>
                </c:pt>
                <c:pt idx="2">
                  <c:v>0.56000000000000005</c:v>
                </c:pt>
                <c:pt idx="3">
                  <c:v>0.55000000000000004</c:v>
                </c:pt>
                <c:pt idx="4">
                  <c:v>0.50266341917386093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CC-4DA4-9CBF-EC179BAA9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'4915'!$A$65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'4915'!$B$64:$F$64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'4915'!$B$65:$F$65</c:f>
              <c:numCache>
                <c:formatCode>0.00_);[Red]\(0.00\)</c:formatCode>
                <c:ptCount val="5"/>
                <c:pt idx="0">
                  <c:v>0.54</c:v>
                </c:pt>
                <c:pt idx="1">
                  <c:v>0.75</c:v>
                </c:pt>
                <c:pt idx="2">
                  <c:v>0.85</c:v>
                </c:pt>
                <c:pt idx="3">
                  <c:v>0.91</c:v>
                </c:pt>
                <c:pt idx="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3-4CBC-B9B4-EEB5E5455D32}"/>
            </c:ext>
          </c:extLst>
        </c:ser>
        <c:ser>
          <c:idx val="1"/>
          <c:order val="1"/>
          <c:tx>
            <c:strRef>
              <c:f>'4915'!$A$66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'4915'!$B$64:$F$64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'4915'!$B$66:$F$66</c:f>
              <c:numCache>
                <c:formatCode>0.00_);[Red]\(0.00\)</c:formatCode>
                <c:ptCount val="5"/>
                <c:pt idx="0">
                  <c:v>0.59</c:v>
                </c:pt>
                <c:pt idx="1">
                  <c:v>0.95</c:v>
                </c:pt>
                <c:pt idx="2">
                  <c:v>0.91</c:v>
                </c:pt>
                <c:pt idx="3">
                  <c:v>1.02</c:v>
                </c:pt>
                <c:pt idx="4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E3-4CBC-B9B4-EEB5E5455D32}"/>
            </c:ext>
          </c:extLst>
        </c:ser>
        <c:ser>
          <c:idx val="2"/>
          <c:order val="2"/>
          <c:tx>
            <c:strRef>
              <c:f>'4915'!$A$67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'4915'!$B$64:$F$64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'4915'!$B$67:$F$67</c:f>
              <c:numCache>
                <c:formatCode>0.00_);[Red]\(0.00\)</c:formatCode>
                <c:ptCount val="5"/>
                <c:pt idx="0">
                  <c:v>0.47</c:v>
                </c:pt>
                <c:pt idx="1">
                  <c:v>1.1000000000000001</c:v>
                </c:pt>
                <c:pt idx="2">
                  <c:v>1.1499999999999999</c:v>
                </c:pt>
                <c:pt idx="3">
                  <c:v>1.28</c:v>
                </c:pt>
                <c:pt idx="4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E3-4CBC-B9B4-EEB5E5455D32}"/>
            </c:ext>
          </c:extLst>
        </c:ser>
        <c:ser>
          <c:idx val="3"/>
          <c:order val="3"/>
          <c:tx>
            <c:strRef>
              <c:f>'4915'!$A$68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'4915'!$B$64:$F$64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'4915'!$B$68:$F$68</c:f>
              <c:numCache>
                <c:formatCode>0.00_);[Red]\(0.00\)</c:formatCode>
                <c:ptCount val="5"/>
                <c:pt idx="0">
                  <c:v>-0.04</c:v>
                </c:pt>
                <c:pt idx="1">
                  <c:v>0.77</c:v>
                </c:pt>
                <c:pt idx="2">
                  <c:v>1.1599999999999999</c:v>
                </c:pt>
                <c:pt idx="3">
                  <c:v>1.19</c:v>
                </c:pt>
                <c:pt idx="4">
                  <c:v>1.1628061892031327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E3-4CBC-B9B4-EEB5E5455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'4919'!$A$65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'4919'!$B$64:$F$64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'4919'!$B$65:$F$65</c:f>
              <c:numCache>
                <c:formatCode>0.00_);[Red]\(0.00\)</c:formatCode>
                <c:ptCount val="5"/>
                <c:pt idx="0">
                  <c:v>0.32</c:v>
                </c:pt>
                <c:pt idx="1">
                  <c:v>0.21</c:v>
                </c:pt>
                <c:pt idx="2">
                  <c:v>0.46</c:v>
                </c:pt>
                <c:pt idx="3">
                  <c:v>0.38</c:v>
                </c:pt>
                <c:pt idx="4">
                  <c:v>0.44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4-495C-8158-ACAA16C8F841}"/>
            </c:ext>
          </c:extLst>
        </c:ser>
        <c:ser>
          <c:idx val="1"/>
          <c:order val="1"/>
          <c:tx>
            <c:strRef>
              <c:f>'4919'!$A$66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'4919'!$B$64:$F$64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'4919'!$B$66:$F$66</c:f>
              <c:numCache>
                <c:formatCode>0.00_);[Red]\(0.00\)</c:formatCode>
                <c:ptCount val="5"/>
                <c:pt idx="0">
                  <c:v>0.55000000000000004</c:v>
                </c:pt>
                <c:pt idx="1">
                  <c:v>0.87</c:v>
                </c:pt>
                <c:pt idx="2">
                  <c:v>0.77</c:v>
                </c:pt>
                <c:pt idx="3">
                  <c:v>1.25</c:v>
                </c:pt>
                <c:pt idx="4">
                  <c:v>1.19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4-495C-8158-ACAA16C8F841}"/>
            </c:ext>
          </c:extLst>
        </c:ser>
        <c:ser>
          <c:idx val="2"/>
          <c:order val="2"/>
          <c:tx>
            <c:strRef>
              <c:f>'4919'!$A$67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'4919'!$B$64:$F$64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'4919'!$B$67:$F$67</c:f>
              <c:numCache>
                <c:formatCode>0.00_);[Red]\(0.00\)</c:formatCode>
                <c:ptCount val="5"/>
                <c:pt idx="0">
                  <c:v>0.26</c:v>
                </c:pt>
                <c:pt idx="1">
                  <c:v>0.42</c:v>
                </c:pt>
                <c:pt idx="2">
                  <c:v>0.71</c:v>
                </c:pt>
                <c:pt idx="3">
                  <c:v>0.69</c:v>
                </c:pt>
                <c:pt idx="4">
                  <c:v>0.99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14-495C-8158-ACAA16C8F841}"/>
            </c:ext>
          </c:extLst>
        </c:ser>
        <c:ser>
          <c:idx val="3"/>
          <c:order val="3"/>
          <c:tx>
            <c:strRef>
              <c:f>'4919'!$A$68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'4919'!$B$64:$F$64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'4919'!$B$68:$F$68</c:f>
              <c:numCache>
                <c:formatCode>0.00_);[Red]\(0.00\)</c:formatCode>
                <c:ptCount val="5"/>
                <c:pt idx="0">
                  <c:v>0.12</c:v>
                </c:pt>
                <c:pt idx="1">
                  <c:v>0.15</c:v>
                </c:pt>
                <c:pt idx="2">
                  <c:v>0.31</c:v>
                </c:pt>
                <c:pt idx="3">
                  <c:v>0.63</c:v>
                </c:pt>
                <c:pt idx="4">
                  <c:v>0.79079772908664125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14-495C-8158-ACAA16C8F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'4952'!$A$65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'4952'!$B$64:$F$64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'4952'!$B$65:$F$65</c:f>
              <c:numCache>
                <c:formatCode>0.00_);[Red]\(0.00\)</c:formatCode>
                <c:ptCount val="5"/>
                <c:pt idx="0">
                  <c:v>0.34</c:v>
                </c:pt>
                <c:pt idx="1">
                  <c:v>0.22</c:v>
                </c:pt>
                <c:pt idx="2">
                  <c:v>0.42</c:v>
                </c:pt>
                <c:pt idx="3">
                  <c:v>0.7</c:v>
                </c:pt>
                <c:pt idx="4">
                  <c:v>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0-4DE4-A1FC-171E7040D422}"/>
            </c:ext>
          </c:extLst>
        </c:ser>
        <c:ser>
          <c:idx val="1"/>
          <c:order val="1"/>
          <c:tx>
            <c:strRef>
              <c:f>'4952'!$A$66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'4952'!$B$64:$F$64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'4952'!$B$66:$F$66</c:f>
              <c:numCache>
                <c:formatCode>0.00_);[Red]\(0.00\)</c:formatCode>
                <c:ptCount val="5"/>
                <c:pt idx="0">
                  <c:v>1.3</c:v>
                </c:pt>
                <c:pt idx="1">
                  <c:v>1.17</c:v>
                </c:pt>
                <c:pt idx="2">
                  <c:v>1.2</c:v>
                </c:pt>
                <c:pt idx="3">
                  <c:v>1.56</c:v>
                </c:pt>
                <c:pt idx="4">
                  <c:v>1.23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90-4DE4-A1FC-171E7040D422}"/>
            </c:ext>
          </c:extLst>
        </c:ser>
        <c:ser>
          <c:idx val="2"/>
          <c:order val="2"/>
          <c:tx>
            <c:strRef>
              <c:f>'4952'!$A$67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'4952'!$B$64:$F$64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'4952'!$B$67:$F$67</c:f>
              <c:numCache>
                <c:formatCode>0.00_);[Red]\(0.00\)</c:formatCode>
                <c:ptCount val="5"/>
                <c:pt idx="0">
                  <c:v>1</c:v>
                </c:pt>
                <c:pt idx="1">
                  <c:v>0.89</c:v>
                </c:pt>
                <c:pt idx="2">
                  <c:v>1.24</c:v>
                </c:pt>
                <c:pt idx="3">
                  <c:v>0.93</c:v>
                </c:pt>
                <c:pt idx="4">
                  <c:v>0.88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90-4DE4-A1FC-171E7040D422}"/>
            </c:ext>
          </c:extLst>
        </c:ser>
        <c:ser>
          <c:idx val="3"/>
          <c:order val="3"/>
          <c:tx>
            <c:strRef>
              <c:f>'4952'!$A$68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'4952'!$B$64:$F$64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'4952'!$B$68:$F$68</c:f>
              <c:numCache>
                <c:formatCode>0.00_);[Red]\(0.00\)</c:formatCode>
                <c:ptCount val="5"/>
                <c:pt idx="0">
                  <c:v>0.17</c:v>
                </c:pt>
                <c:pt idx="1">
                  <c:v>0.57999999999999996</c:v>
                </c:pt>
                <c:pt idx="2">
                  <c:v>0.7</c:v>
                </c:pt>
                <c:pt idx="3">
                  <c:v>0.62</c:v>
                </c:pt>
                <c:pt idx="4">
                  <c:v>0.58903972704161245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90-4DE4-A1FC-171E7040D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'4974'!$A$65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'4974'!$B$64:$F$64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'4974'!$B$65:$F$65</c:f>
              <c:numCache>
                <c:formatCode>0.00_);[Red]\(0.00\)</c:formatCode>
                <c:ptCount val="5"/>
                <c:pt idx="0">
                  <c:v>0.64</c:v>
                </c:pt>
                <c:pt idx="1">
                  <c:v>0.88</c:v>
                </c:pt>
                <c:pt idx="2">
                  <c:v>0.9</c:v>
                </c:pt>
                <c:pt idx="3">
                  <c:v>0.03</c:v>
                </c:pt>
                <c:pt idx="4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D3-4160-B5B2-46F3AA4A1E5F}"/>
            </c:ext>
          </c:extLst>
        </c:ser>
        <c:ser>
          <c:idx val="1"/>
          <c:order val="1"/>
          <c:tx>
            <c:strRef>
              <c:f>'4974'!$A$66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'4974'!$B$64:$F$64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'4974'!$B$66:$F$66</c:f>
              <c:numCache>
                <c:formatCode>0.00_);[Red]\(0.00\)</c:formatCode>
                <c:ptCount val="5"/>
                <c:pt idx="0">
                  <c:v>0.99</c:v>
                </c:pt>
                <c:pt idx="1">
                  <c:v>1</c:v>
                </c:pt>
                <c:pt idx="2">
                  <c:v>1.1100000000000001</c:v>
                </c:pt>
                <c:pt idx="3">
                  <c:v>1.2</c:v>
                </c:pt>
                <c:pt idx="4">
                  <c:v>1.33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D3-4160-B5B2-46F3AA4A1E5F}"/>
            </c:ext>
          </c:extLst>
        </c:ser>
        <c:ser>
          <c:idx val="2"/>
          <c:order val="2"/>
          <c:tx>
            <c:strRef>
              <c:f>'4974'!$A$67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'4974'!$B$64:$F$64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'4974'!$B$67:$F$67</c:f>
              <c:numCache>
                <c:formatCode>0.00_);[Red]\(0.00\)</c:formatCode>
                <c:ptCount val="5"/>
                <c:pt idx="0">
                  <c:v>1.18</c:v>
                </c:pt>
                <c:pt idx="1">
                  <c:v>1.28</c:v>
                </c:pt>
                <c:pt idx="2">
                  <c:v>1.4</c:v>
                </c:pt>
                <c:pt idx="3">
                  <c:v>1.82</c:v>
                </c:pt>
                <c:pt idx="4">
                  <c:v>1.1399999999999999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D3-4160-B5B2-46F3AA4A1E5F}"/>
            </c:ext>
          </c:extLst>
        </c:ser>
        <c:ser>
          <c:idx val="3"/>
          <c:order val="3"/>
          <c:tx>
            <c:strRef>
              <c:f>'4974'!$A$68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'4974'!$B$64:$F$64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'4974'!$B$68:$F$68</c:f>
              <c:numCache>
                <c:formatCode>0.00_);[Red]\(0.00\)</c:formatCode>
                <c:ptCount val="5"/>
                <c:pt idx="0">
                  <c:v>1.0900000000000001</c:v>
                </c:pt>
                <c:pt idx="1">
                  <c:v>0.91</c:v>
                </c:pt>
                <c:pt idx="2">
                  <c:v>0.61</c:v>
                </c:pt>
                <c:pt idx="3">
                  <c:v>1.36</c:v>
                </c:pt>
                <c:pt idx="4">
                  <c:v>0.92238620744865207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D3-4160-B5B2-46F3AA4A1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'4999'!$A$65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'4999'!$B$64:$F$64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'4999'!$B$65:$F$65</c:f>
              <c:numCache>
                <c:formatCode>0.00_);[Red]\(0.00\)</c:formatCode>
                <c:ptCount val="5"/>
                <c:pt idx="0">
                  <c:v>1.42</c:v>
                </c:pt>
                <c:pt idx="1">
                  <c:v>0.92</c:v>
                </c:pt>
                <c:pt idx="2">
                  <c:v>1.1200000000000001</c:v>
                </c:pt>
                <c:pt idx="3">
                  <c:v>0.61</c:v>
                </c:pt>
                <c:pt idx="4">
                  <c:v>0.37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79-4964-9443-EB0D895308DA}"/>
            </c:ext>
          </c:extLst>
        </c:ser>
        <c:ser>
          <c:idx val="1"/>
          <c:order val="1"/>
          <c:tx>
            <c:strRef>
              <c:f>'4999'!$A$66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'4999'!$B$64:$F$64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'4999'!$B$66:$F$66</c:f>
              <c:numCache>
                <c:formatCode>0.00_);[Red]\(0.00\)</c:formatCode>
                <c:ptCount val="5"/>
                <c:pt idx="0">
                  <c:v>1.2</c:v>
                </c:pt>
                <c:pt idx="1">
                  <c:v>1.88</c:v>
                </c:pt>
                <c:pt idx="2">
                  <c:v>0.73</c:v>
                </c:pt>
                <c:pt idx="3">
                  <c:v>1.31</c:v>
                </c:pt>
                <c:pt idx="4">
                  <c:v>1.44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79-4964-9443-EB0D895308DA}"/>
            </c:ext>
          </c:extLst>
        </c:ser>
        <c:ser>
          <c:idx val="2"/>
          <c:order val="2"/>
          <c:tx>
            <c:strRef>
              <c:f>'4999'!$A$67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'4999'!$B$64:$F$64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'4999'!$B$67:$F$67</c:f>
              <c:numCache>
                <c:formatCode>0.00_);[Red]\(0.00\)</c:formatCode>
                <c:ptCount val="5"/>
                <c:pt idx="0">
                  <c:v>1.27</c:v>
                </c:pt>
                <c:pt idx="1">
                  <c:v>1.75</c:v>
                </c:pt>
                <c:pt idx="2">
                  <c:v>2.06</c:v>
                </c:pt>
                <c:pt idx="3">
                  <c:v>1.92</c:v>
                </c:pt>
                <c:pt idx="4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79-4964-9443-EB0D895308DA}"/>
            </c:ext>
          </c:extLst>
        </c:ser>
        <c:ser>
          <c:idx val="3"/>
          <c:order val="3"/>
          <c:tx>
            <c:strRef>
              <c:f>'4999'!$A$68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'4999'!$B$64:$F$64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'4999'!$B$68:$F$68</c:f>
              <c:numCache>
                <c:formatCode>0.00_);[Red]\(0.00\)</c:formatCode>
                <c:ptCount val="5"/>
                <c:pt idx="0">
                  <c:v>1.91</c:v>
                </c:pt>
                <c:pt idx="1">
                  <c:v>2.19</c:v>
                </c:pt>
                <c:pt idx="2">
                  <c:v>1.97</c:v>
                </c:pt>
                <c:pt idx="3">
                  <c:v>2.2999999999999998</c:v>
                </c:pt>
                <c:pt idx="4">
                  <c:v>1.4441328415958881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79-4964-9443-EB0D8953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'5007'!$A$65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'5007'!$B$65:$F$65</c:f>
              <c:numCache>
                <c:formatCode>0.00_);[Red]\(0.00\)</c:formatCode>
                <c:ptCount val="5"/>
                <c:pt idx="0">
                  <c:v>0.94</c:v>
                </c:pt>
                <c:pt idx="1">
                  <c:v>1.23</c:v>
                </c:pt>
                <c:pt idx="2">
                  <c:v>0.84</c:v>
                </c:pt>
                <c:pt idx="3">
                  <c:v>0.87</c:v>
                </c:pt>
                <c:pt idx="4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F-4869-8460-C2C1A3142A86}"/>
            </c:ext>
          </c:extLst>
        </c:ser>
        <c:ser>
          <c:idx val="1"/>
          <c:order val="1"/>
          <c:tx>
            <c:strRef>
              <c:f>'5007'!$A$66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'5007'!$B$66:$F$66</c:f>
              <c:numCache>
                <c:formatCode>0.00_);[Red]\(0.00\)</c:formatCode>
                <c:ptCount val="5"/>
                <c:pt idx="0">
                  <c:v>1.1100000000000001</c:v>
                </c:pt>
                <c:pt idx="1">
                  <c:v>1.01</c:v>
                </c:pt>
                <c:pt idx="2">
                  <c:v>0.76</c:v>
                </c:pt>
                <c:pt idx="3">
                  <c:v>0.99</c:v>
                </c:pt>
                <c:pt idx="4">
                  <c:v>0.83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7F-4869-8460-C2C1A3142A86}"/>
            </c:ext>
          </c:extLst>
        </c:ser>
        <c:ser>
          <c:idx val="2"/>
          <c:order val="2"/>
          <c:tx>
            <c:strRef>
              <c:f>'5007'!$A$67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'5007'!$B$67:$F$67</c:f>
              <c:numCache>
                <c:formatCode>0.00_);[Red]\(0.00\)</c:formatCode>
                <c:ptCount val="5"/>
                <c:pt idx="0">
                  <c:v>1.04</c:v>
                </c:pt>
                <c:pt idx="1">
                  <c:v>0.93</c:v>
                </c:pt>
                <c:pt idx="2">
                  <c:v>0.78</c:v>
                </c:pt>
                <c:pt idx="3">
                  <c:v>0.95</c:v>
                </c:pt>
                <c:pt idx="4">
                  <c:v>1.1100000000000001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7F-4869-8460-C2C1A3142A86}"/>
            </c:ext>
          </c:extLst>
        </c:ser>
        <c:ser>
          <c:idx val="3"/>
          <c:order val="3"/>
          <c:tx>
            <c:strRef>
              <c:f>'5007'!$A$68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'5007'!$B$68:$F$68</c:f>
              <c:numCache>
                <c:formatCode>0.00_);[Red]\(0.00\)</c:formatCode>
                <c:ptCount val="5"/>
                <c:pt idx="0">
                  <c:v>0.97</c:v>
                </c:pt>
                <c:pt idx="1">
                  <c:v>0.87</c:v>
                </c:pt>
                <c:pt idx="2">
                  <c:v>0.79</c:v>
                </c:pt>
                <c:pt idx="3">
                  <c:v>0.89</c:v>
                </c:pt>
                <c:pt idx="4">
                  <c:v>1.0182106430413123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7F-4869-8460-C2C1A3142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'5289'!$A$65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'5289'!$B$64:$F$64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'5289'!$B$65:$F$65</c:f>
              <c:numCache>
                <c:formatCode>0.00_);[Red]\(0.00\)</c:formatCode>
                <c:ptCount val="5"/>
                <c:pt idx="0">
                  <c:v>1.74</c:v>
                </c:pt>
                <c:pt idx="1">
                  <c:v>1.67</c:v>
                </c:pt>
                <c:pt idx="2">
                  <c:v>1.84</c:v>
                </c:pt>
                <c:pt idx="3">
                  <c:v>2.04</c:v>
                </c:pt>
                <c:pt idx="4">
                  <c:v>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8-47A4-BDBF-635CAC35B5DA}"/>
            </c:ext>
          </c:extLst>
        </c:ser>
        <c:ser>
          <c:idx val="1"/>
          <c:order val="1"/>
          <c:tx>
            <c:strRef>
              <c:f>'5289'!$A$66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'5289'!$B$64:$F$64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'5289'!$B$66:$F$66</c:f>
              <c:numCache>
                <c:formatCode>0.00_);[Red]\(0.00\)</c:formatCode>
                <c:ptCount val="5"/>
                <c:pt idx="0">
                  <c:v>1.57</c:v>
                </c:pt>
                <c:pt idx="1">
                  <c:v>2.0499999999999998</c:v>
                </c:pt>
                <c:pt idx="2">
                  <c:v>1.91</c:v>
                </c:pt>
                <c:pt idx="3">
                  <c:v>1.5</c:v>
                </c:pt>
                <c:pt idx="4">
                  <c:v>2.88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48-47A4-BDBF-635CAC35B5DA}"/>
            </c:ext>
          </c:extLst>
        </c:ser>
        <c:ser>
          <c:idx val="2"/>
          <c:order val="2"/>
          <c:tx>
            <c:strRef>
              <c:f>'5289'!$A$67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'5289'!$B$64:$F$64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'5289'!$B$67:$F$67</c:f>
              <c:numCache>
                <c:formatCode>0.00_);[Red]\(0.00\)</c:formatCode>
                <c:ptCount val="5"/>
                <c:pt idx="0">
                  <c:v>1.22</c:v>
                </c:pt>
                <c:pt idx="1">
                  <c:v>2.0699999999999998</c:v>
                </c:pt>
                <c:pt idx="2">
                  <c:v>2.84</c:v>
                </c:pt>
                <c:pt idx="3">
                  <c:v>1.63</c:v>
                </c:pt>
                <c:pt idx="4">
                  <c:v>3.39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48-47A4-BDBF-635CAC35B5DA}"/>
            </c:ext>
          </c:extLst>
        </c:ser>
        <c:ser>
          <c:idx val="3"/>
          <c:order val="3"/>
          <c:tx>
            <c:strRef>
              <c:f>'5289'!$A$68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'5289'!$B$64:$F$64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'5289'!$B$68:$F$68</c:f>
              <c:numCache>
                <c:formatCode>0.00_);[Red]\(0.00\)</c:formatCode>
                <c:ptCount val="5"/>
                <c:pt idx="0">
                  <c:v>1.35</c:v>
                </c:pt>
                <c:pt idx="1">
                  <c:v>3.05</c:v>
                </c:pt>
                <c:pt idx="2">
                  <c:v>2.61</c:v>
                </c:pt>
                <c:pt idx="3">
                  <c:v>2.0699999999999998</c:v>
                </c:pt>
                <c:pt idx="4">
                  <c:v>2.6202863516293977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48-47A4-BDBF-635CAC35B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'5347'!$A$65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'5347'!$B$64:$F$64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'5347'!$B$65:$F$65</c:f>
              <c:numCache>
                <c:formatCode>0.00_);[Red]\(0.00\)</c:formatCode>
                <c:ptCount val="5"/>
                <c:pt idx="0">
                  <c:v>0.56999999999999995</c:v>
                </c:pt>
                <c:pt idx="1">
                  <c:v>0.84</c:v>
                </c:pt>
                <c:pt idx="2">
                  <c:v>0.84</c:v>
                </c:pt>
                <c:pt idx="3">
                  <c:v>0.83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D-409E-859A-CAFE4CADAD0A}"/>
            </c:ext>
          </c:extLst>
        </c:ser>
        <c:ser>
          <c:idx val="1"/>
          <c:order val="1"/>
          <c:tx>
            <c:strRef>
              <c:f>'5347'!$A$66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'5347'!$B$64:$F$64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'5347'!$B$66:$F$66</c:f>
              <c:numCache>
                <c:formatCode>0.00_);[Red]\(0.00\)</c:formatCode>
                <c:ptCount val="5"/>
                <c:pt idx="0">
                  <c:v>0.71</c:v>
                </c:pt>
                <c:pt idx="1">
                  <c:v>0.81</c:v>
                </c:pt>
                <c:pt idx="2">
                  <c:v>0.65</c:v>
                </c:pt>
                <c:pt idx="3">
                  <c:v>0.93</c:v>
                </c:pt>
                <c:pt idx="4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D-409E-859A-CAFE4CADAD0A}"/>
            </c:ext>
          </c:extLst>
        </c:ser>
        <c:ser>
          <c:idx val="2"/>
          <c:order val="2"/>
          <c:tx>
            <c:strRef>
              <c:f>'5347'!$A$67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'5347'!$B$64:$F$64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'5347'!$B$67:$F$67</c:f>
              <c:numCache>
                <c:formatCode>0.00_);[Red]\(0.00\)</c:formatCode>
                <c:ptCount val="5"/>
                <c:pt idx="0">
                  <c:v>0.77</c:v>
                </c:pt>
                <c:pt idx="1">
                  <c:v>0.81</c:v>
                </c:pt>
                <c:pt idx="2">
                  <c:v>0.52</c:v>
                </c:pt>
                <c:pt idx="3">
                  <c:v>0.8</c:v>
                </c:pt>
                <c:pt idx="4">
                  <c:v>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4D-409E-859A-CAFE4CADAD0A}"/>
            </c:ext>
          </c:extLst>
        </c:ser>
        <c:ser>
          <c:idx val="3"/>
          <c:order val="3"/>
          <c:tx>
            <c:strRef>
              <c:f>'5347'!$A$68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'5347'!$B$64:$F$64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'5347'!$B$68:$F$68</c:f>
              <c:numCache>
                <c:formatCode>0.00_);[Red]\(0.00\)</c:formatCode>
                <c:ptCount val="5"/>
                <c:pt idx="0">
                  <c:v>0.71</c:v>
                </c:pt>
                <c:pt idx="1">
                  <c:v>0.89</c:v>
                </c:pt>
                <c:pt idx="2">
                  <c:v>0.53</c:v>
                </c:pt>
                <c:pt idx="3">
                  <c:v>0.83</c:v>
                </c:pt>
                <c:pt idx="4">
                  <c:v>0.70283084590900846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4D-409E-859A-CAFE4CADA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'5388'!$A$65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'5388'!$B$64:$F$64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'5388'!$B$65:$F$65</c:f>
              <c:numCache>
                <c:formatCode>0.00_);[Red]\(0.00\)</c:formatCode>
                <c:ptCount val="5"/>
                <c:pt idx="0">
                  <c:v>0.6</c:v>
                </c:pt>
                <c:pt idx="1">
                  <c:v>0.84</c:v>
                </c:pt>
                <c:pt idx="2">
                  <c:v>0.73</c:v>
                </c:pt>
                <c:pt idx="3">
                  <c:v>1.17</c:v>
                </c:pt>
                <c:pt idx="4">
                  <c:v>0.94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39-4AE8-B475-F3D5339EF823}"/>
            </c:ext>
          </c:extLst>
        </c:ser>
        <c:ser>
          <c:idx val="1"/>
          <c:order val="1"/>
          <c:tx>
            <c:strRef>
              <c:f>'5388'!$A$66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'5388'!$B$64:$F$64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'5388'!$B$66:$F$66</c:f>
              <c:numCache>
                <c:formatCode>0.00_);[Red]\(0.00\)</c:formatCode>
                <c:ptCount val="5"/>
                <c:pt idx="0">
                  <c:v>1.39</c:v>
                </c:pt>
                <c:pt idx="1">
                  <c:v>1.22</c:v>
                </c:pt>
                <c:pt idx="2">
                  <c:v>1.43</c:v>
                </c:pt>
                <c:pt idx="3">
                  <c:v>1.43</c:v>
                </c:pt>
                <c:pt idx="4">
                  <c:v>1.31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39-4AE8-B475-F3D5339EF823}"/>
            </c:ext>
          </c:extLst>
        </c:ser>
        <c:ser>
          <c:idx val="2"/>
          <c:order val="2"/>
          <c:tx>
            <c:strRef>
              <c:f>'5388'!$A$67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'5388'!$B$64:$F$64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'5388'!$B$67:$F$67</c:f>
              <c:numCache>
                <c:formatCode>0.00_);[Red]\(0.00\)</c:formatCode>
                <c:ptCount val="5"/>
                <c:pt idx="0">
                  <c:v>1.1499999999999999</c:v>
                </c:pt>
                <c:pt idx="1">
                  <c:v>1.07</c:v>
                </c:pt>
                <c:pt idx="2">
                  <c:v>1.89</c:v>
                </c:pt>
                <c:pt idx="3">
                  <c:v>1.72</c:v>
                </c:pt>
                <c:pt idx="4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39-4AE8-B475-F3D5339EF823}"/>
            </c:ext>
          </c:extLst>
        </c:ser>
        <c:ser>
          <c:idx val="3"/>
          <c:order val="3"/>
          <c:tx>
            <c:strRef>
              <c:f>'5388'!$A$68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'5388'!$B$64:$F$64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'5388'!$B$68:$F$68</c:f>
              <c:numCache>
                <c:formatCode>0.00_);[Red]\(0.00\)</c:formatCode>
                <c:ptCount val="5"/>
                <c:pt idx="0">
                  <c:v>1.1000000000000001</c:v>
                </c:pt>
                <c:pt idx="1">
                  <c:v>1.1299999999999999</c:v>
                </c:pt>
                <c:pt idx="2">
                  <c:v>1.56</c:v>
                </c:pt>
                <c:pt idx="3">
                  <c:v>1.71</c:v>
                </c:pt>
                <c:pt idx="4">
                  <c:v>1.616680050026831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39-4AE8-B475-F3D5339E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'5434'!$A$65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'5434'!$B$64:$F$64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'5434'!$B$65:$F$65</c:f>
              <c:numCache>
                <c:formatCode>0.00_);[Red]\(0.00\)</c:formatCode>
                <c:ptCount val="5"/>
                <c:pt idx="0">
                  <c:v>1.29</c:v>
                </c:pt>
                <c:pt idx="1">
                  <c:v>1.1499999999999999</c:v>
                </c:pt>
                <c:pt idx="2">
                  <c:v>1.38</c:v>
                </c:pt>
                <c:pt idx="3">
                  <c:v>1.76</c:v>
                </c:pt>
                <c:pt idx="4">
                  <c:v>1.53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F-4A60-A9C5-5D1EF6E51DA5}"/>
            </c:ext>
          </c:extLst>
        </c:ser>
        <c:ser>
          <c:idx val="1"/>
          <c:order val="1"/>
          <c:tx>
            <c:strRef>
              <c:f>'5434'!$A$66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'5434'!$B$64:$F$64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'5434'!$B$66:$F$66</c:f>
              <c:numCache>
                <c:formatCode>0.00_);[Red]\(0.00\)</c:formatCode>
                <c:ptCount val="5"/>
                <c:pt idx="0">
                  <c:v>1.5</c:v>
                </c:pt>
                <c:pt idx="1">
                  <c:v>1.41</c:v>
                </c:pt>
                <c:pt idx="2">
                  <c:v>1.49</c:v>
                </c:pt>
                <c:pt idx="3">
                  <c:v>1.84</c:v>
                </c:pt>
                <c:pt idx="4">
                  <c:v>1.33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9F-4A60-A9C5-5D1EF6E51DA5}"/>
            </c:ext>
          </c:extLst>
        </c:ser>
        <c:ser>
          <c:idx val="2"/>
          <c:order val="2"/>
          <c:tx>
            <c:strRef>
              <c:f>'5434'!$A$67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'5434'!$B$64:$F$64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'5434'!$B$67:$F$67</c:f>
              <c:numCache>
                <c:formatCode>0.00_);[Red]\(0.00\)</c:formatCode>
                <c:ptCount val="5"/>
                <c:pt idx="0">
                  <c:v>1.3</c:v>
                </c:pt>
                <c:pt idx="1">
                  <c:v>1.55</c:v>
                </c:pt>
                <c:pt idx="2">
                  <c:v>1.61</c:v>
                </c:pt>
                <c:pt idx="3">
                  <c:v>1.84</c:v>
                </c:pt>
                <c:pt idx="4">
                  <c:v>1.94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9F-4A60-A9C5-5D1EF6E51DA5}"/>
            </c:ext>
          </c:extLst>
        </c:ser>
        <c:ser>
          <c:idx val="3"/>
          <c:order val="3"/>
          <c:tx>
            <c:strRef>
              <c:f>'5434'!$A$68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'5434'!$B$64:$F$64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'5434'!$B$68:$F$68</c:f>
              <c:numCache>
                <c:formatCode>0.00_);[Red]\(0.00\)</c:formatCode>
                <c:ptCount val="5"/>
                <c:pt idx="0">
                  <c:v>1.1599999999999999</c:v>
                </c:pt>
                <c:pt idx="1">
                  <c:v>1.38</c:v>
                </c:pt>
                <c:pt idx="2">
                  <c:v>1.49</c:v>
                </c:pt>
                <c:pt idx="3">
                  <c:v>1.88</c:v>
                </c:pt>
                <c:pt idx="4">
                  <c:v>2.0111764347926369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9F-4A60-A9C5-5D1EF6E51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'5490'!$A$65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'5490'!$B$64:$F$64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'5490'!$B$65:$F$65</c:f>
              <c:numCache>
                <c:formatCode>0.00_);[Red]\(0.00\)</c:formatCode>
                <c:ptCount val="5"/>
                <c:pt idx="0">
                  <c:v>0.42</c:v>
                </c:pt>
                <c:pt idx="1">
                  <c:v>0.13</c:v>
                </c:pt>
                <c:pt idx="2">
                  <c:v>1.1000000000000001</c:v>
                </c:pt>
                <c:pt idx="3">
                  <c:v>0.77</c:v>
                </c:pt>
                <c:pt idx="4">
                  <c:v>0.54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2-4844-A6AC-D0A5486FB2DC}"/>
            </c:ext>
          </c:extLst>
        </c:ser>
        <c:ser>
          <c:idx val="1"/>
          <c:order val="1"/>
          <c:tx>
            <c:strRef>
              <c:f>'5490'!$A$66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'5490'!$B$64:$F$64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'5490'!$B$66:$F$66</c:f>
              <c:numCache>
                <c:formatCode>0.00_);[Red]\(0.00\)</c:formatCode>
                <c:ptCount val="5"/>
                <c:pt idx="0">
                  <c:v>1.08</c:v>
                </c:pt>
                <c:pt idx="1">
                  <c:v>-0.03</c:v>
                </c:pt>
                <c:pt idx="2">
                  <c:v>2.08</c:v>
                </c:pt>
                <c:pt idx="3">
                  <c:v>0.51</c:v>
                </c:pt>
                <c:pt idx="4">
                  <c:v>0.66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2-4844-A6AC-D0A5486FB2DC}"/>
            </c:ext>
          </c:extLst>
        </c:ser>
        <c:ser>
          <c:idx val="2"/>
          <c:order val="2"/>
          <c:tx>
            <c:strRef>
              <c:f>'5490'!$A$67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'5490'!$B$64:$F$64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'5490'!$B$67:$F$67</c:f>
              <c:numCache>
                <c:formatCode>0.00_);[Red]\(0.00\)</c:formatCode>
                <c:ptCount val="5"/>
                <c:pt idx="0">
                  <c:v>1.47</c:v>
                </c:pt>
                <c:pt idx="1">
                  <c:v>0.25</c:v>
                </c:pt>
                <c:pt idx="2">
                  <c:v>0.82</c:v>
                </c:pt>
                <c:pt idx="3">
                  <c:v>0.9</c:v>
                </c:pt>
                <c:pt idx="4">
                  <c:v>-0.23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2-4844-A6AC-D0A5486FB2DC}"/>
            </c:ext>
          </c:extLst>
        </c:ser>
        <c:ser>
          <c:idx val="3"/>
          <c:order val="3"/>
          <c:tx>
            <c:strRef>
              <c:f>'5490'!$A$68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'5490'!$B$64:$F$64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'5490'!$B$68:$F$68</c:f>
              <c:numCache>
                <c:formatCode>0.00_);[Red]\(0.00\)</c:formatCode>
                <c:ptCount val="5"/>
                <c:pt idx="0">
                  <c:v>0.4</c:v>
                </c:pt>
                <c:pt idx="1">
                  <c:v>1.66</c:v>
                </c:pt>
                <c:pt idx="2">
                  <c:v>1.41</c:v>
                </c:pt>
                <c:pt idx="3">
                  <c:v>2.46</c:v>
                </c:pt>
                <c:pt idx="4">
                  <c:v>1.197537601543458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A2-4844-A6AC-D0A5486FB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'6115'!$A$65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'6115'!$B$64:$F$64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'6115'!$B$65:$F$65</c:f>
              <c:numCache>
                <c:formatCode>0.00_);[Red]\(0.00\)</c:formatCode>
                <c:ptCount val="5"/>
                <c:pt idx="0">
                  <c:v>1.19</c:v>
                </c:pt>
                <c:pt idx="1">
                  <c:v>1</c:v>
                </c:pt>
                <c:pt idx="2">
                  <c:v>0.45</c:v>
                </c:pt>
                <c:pt idx="3">
                  <c:v>0.48</c:v>
                </c:pt>
                <c:pt idx="4">
                  <c:v>0.14000000000000001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06-492C-A4C1-0ED051BEA6F1}"/>
            </c:ext>
          </c:extLst>
        </c:ser>
        <c:ser>
          <c:idx val="1"/>
          <c:order val="1"/>
          <c:tx>
            <c:strRef>
              <c:f>'6115'!$A$66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'6115'!$B$64:$F$64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'6115'!$B$66:$F$66</c:f>
              <c:numCache>
                <c:formatCode>0.00_);[Red]\(0.00\)</c:formatCode>
                <c:ptCount val="5"/>
                <c:pt idx="0">
                  <c:v>0.94</c:v>
                </c:pt>
                <c:pt idx="1">
                  <c:v>0.75</c:v>
                </c:pt>
                <c:pt idx="2">
                  <c:v>0.55000000000000004</c:v>
                </c:pt>
                <c:pt idx="3">
                  <c:v>1.25</c:v>
                </c:pt>
                <c:pt idx="4">
                  <c:v>0.88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06-492C-A4C1-0ED051BEA6F1}"/>
            </c:ext>
          </c:extLst>
        </c:ser>
        <c:ser>
          <c:idx val="2"/>
          <c:order val="2"/>
          <c:tx>
            <c:strRef>
              <c:f>'6115'!$A$67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'6115'!$B$64:$F$64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'6115'!$B$67:$F$67</c:f>
              <c:numCache>
                <c:formatCode>0.00_);[Red]\(0.00\)</c:formatCode>
                <c:ptCount val="5"/>
                <c:pt idx="0">
                  <c:v>0.76</c:v>
                </c:pt>
                <c:pt idx="1">
                  <c:v>1.3</c:v>
                </c:pt>
                <c:pt idx="2">
                  <c:v>1.55</c:v>
                </c:pt>
                <c:pt idx="3">
                  <c:v>1.1100000000000001</c:v>
                </c:pt>
                <c:pt idx="4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06-492C-A4C1-0ED051BEA6F1}"/>
            </c:ext>
          </c:extLst>
        </c:ser>
        <c:ser>
          <c:idx val="3"/>
          <c:order val="3"/>
          <c:tx>
            <c:strRef>
              <c:f>'6115'!$A$68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'6115'!$B$64:$F$64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'6115'!$B$68:$F$68</c:f>
              <c:numCache>
                <c:formatCode>0.00_);[Red]\(0.00\)</c:formatCode>
                <c:ptCount val="5"/>
                <c:pt idx="0">
                  <c:v>0.97</c:v>
                </c:pt>
                <c:pt idx="1">
                  <c:v>0.51</c:v>
                </c:pt>
                <c:pt idx="2">
                  <c:v>0.83</c:v>
                </c:pt>
                <c:pt idx="3">
                  <c:v>1.26</c:v>
                </c:pt>
                <c:pt idx="4">
                  <c:v>1.0221487586349098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06-492C-A4C1-0ED051BEA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'6121'!$A$65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'6121'!$B$64:$F$64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'6121'!$B$65:$F$65</c:f>
              <c:numCache>
                <c:formatCode>0.00_);[Red]\(0.00\)</c:formatCode>
                <c:ptCount val="5"/>
                <c:pt idx="0">
                  <c:v>2.33</c:v>
                </c:pt>
                <c:pt idx="1">
                  <c:v>2.4500000000000002</c:v>
                </c:pt>
                <c:pt idx="2">
                  <c:v>2.46</c:v>
                </c:pt>
                <c:pt idx="3">
                  <c:v>2.08</c:v>
                </c:pt>
                <c:pt idx="4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1-4095-B16B-4CBC891688ED}"/>
            </c:ext>
          </c:extLst>
        </c:ser>
        <c:ser>
          <c:idx val="1"/>
          <c:order val="1"/>
          <c:tx>
            <c:strRef>
              <c:f>'6121'!$A$66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'6121'!$B$64:$F$64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'6121'!$B$66:$F$66</c:f>
              <c:numCache>
                <c:formatCode>0.00_);[Red]\(0.00\)</c:formatCode>
                <c:ptCount val="5"/>
                <c:pt idx="0">
                  <c:v>2.11</c:v>
                </c:pt>
                <c:pt idx="1">
                  <c:v>2.4500000000000002</c:v>
                </c:pt>
                <c:pt idx="2">
                  <c:v>2.34</c:v>
                </c:pt>
                <c:pt idx="3">
                  <c:v>2.09</c:v>
                </c:pt>
                <c:pt idx="4">
                  <c:v>1.82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31-4095-B16B-4CBC891688ED}"/>
            </c:ext>
          </c:extLst>
        </c:ser>
        <c:ser>
          <c:idx val="2"/>
          <c:order val="2"/>
          <c:tx>
            <c:strRef>
              <c:f>'6121'!$A$67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'6121'!$B$64:$F$64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'6121'!$B$67:$F$67</c:f>
              <c:numCache>
                <c:formatCode>0.00_);[Red]\(0.00\)</c:formatCode>
                <c:ptCount val="5"/>
                <c:pt idx="0">
                  <c:v>2.71</c:v>
                </c:pt>
                <c:pt idx="1">
                  <c:v>2.8</c:v>
                </c:pt>
                <c:pt idx="2">
                  <c:v>2.5099999999999998</c:v>
                </c:pt>
                <c:pt idx="3">
                  <c:v>2.33</c:v>
                </c:pt>
                <c:pt idx="4">
                  <c:v>2.93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31-4095-B16B-4CBC891688ED}"/>
            </c:ext>
          </c:extLst>
        </c:ser>
        <c:ser>
          <c:idx val="3"/>
          <c:order val="3"/>
          <c:tx>
            <c:strRef>
              <c:f>'6121'!$A$68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'6121'!$B$64:$F$64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'6121'!$B$68:$F$68</c:f>
              <c:numCache>
                <c:formatCode>0.00_);[Red]\(0.00\)</c:formatCode>
                <c:ptCount val="5"/>
                <c:pt idx="0">
                  <c:v>3.35</c:v>
                </c:pt>
                <c:pt idx="1">
                  <c:v>3.29</c:v>
                </c:pt>
                <c:pt idx="2">
                  <c:v>2.79</c:v>
                </c:pt>
                <c:pt idx="3">
                  <c:v>2.59</c:v>
                </c:pt>
                <c:pt idx="4">
                  <c:v>2.3572938615686994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31-4095-B16B-4CBC89168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'6189'!$A$65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'6189'!$B$64:$F$64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'6189'!$B$65:$F$65</c:f>
              <c:numCache>
                <c:formatCode>0.00_);[Red]\(0.00\)</c:formatCode>
                <c:ptCount val="5"/>
                <c:pt idx="0">
                  <c:v>0.83</c:v>
                </c:pt>
                <c:pt idx="1">
                  <c:v>0.98</c:v>
                </c:pt>
                <c:pt idx="2">
                  <c:v>0.78</c:v>
                </c:pt>
                <c:pt idx="3">
                  <c:v>0.65</c:v>
                </c:pt>
                <c:pt idx="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7-429B-B06E-358038019FDC}"/>
            </c:ext>
          </c:extLst>
        </c:ser>
        <c:ser>
          <c:idx val="1"/>
          <c:order val="1"/>
          <c:tx>
            <c:strRef>
              <c:f>'6189'!$A$66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'6189'!$B$64:$F$64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'6189'!$B$66:$F$66</c:f>
              <c:numCache>
                <c:formatCode>0.00_);[Red]\(0.00\)</c:formatCode>
                <c:ptCount val="5"/>
                <c:pt idx="0">
                  <c:v>0.96</c:v>
                </c:pt>
                <c:pt idx="1">
                  <c:v>0.85</c:v>
                </c:pt>
                <c:pt idx="2">
                  <c:v>0.54</c:v>
                </c:pt>
                <c:pt idx="3">
                  <c:v>0.52</c:v>
                </c:pt>
                <c:pt idx="4">
                  <c:v>0.51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7-429B-B06E-358038019FDC}"/>
            </c:ext>
          </c:extLst>
        </c:ser>
        <c:ser>
          <c:idx val="2"/>
          <c:order val="2"/>
          <c:tx>
            <c:strRef>
              <c:f>'6189'!$A$67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'6189'!$B$64:$F$64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'6189'!$B$67:$F$67</c:f>
              <c:numCache>
                <c:formatCode>0.00_);[Red]\(0.00\)</c:formatCode>
                <c:ptCount val="5"/>
                <c:pt idx="0">
                  <c:v>0.8</c:v>
                </c:pt>
                <c:pt idx="1">
                  <c:v>0.88</c:v>
                </c:pt>
                <c:pt idx="2">
                  <c:v>1.17</c:v>
                </c:pt>
                <c:pt idx="3">
                  <c:v>0.5</c:v>
                </c:pt>
                <c:pt idx="4">
                  <c:v>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D7-429B-B06E-358038019FDC}"/>
            </c:ext>
          </c:extLst>
        </c:ser>
        <c:ser>
          <c:idx val="3"/>
          <c:order val="3"/>
          <c:tx>
            <c:strRef>
              <c:f>'6189'!$A$68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'6189'!$B$64:$F$64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'6189'!$B$68:$F$68</c:f>
              <c:numCache>
                <c:formatCode>0.00_);[Red]\(0.00\)</c:formatCode>
                <c:ptCount val="5"/>
                <c:pt idx="0">
                  <c:v>0.65</c:v>
                </c:pt>
                <c:pt idx="1">
                  <c:v>0.77</c:v>
                </c:pt>
                <c:pt idx="2">
                  <c:v>0.73</c:v>
                </c:pt>
                <c:pt idx="3">
                  <c:v>0.83</c:v>
                </c:pt>
                <c:pt idx="4">
                  <c:v>0.69534710900527175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D7-429B-B06E-358038019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'6202'!$A$65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'6202'!$B$64:$F$64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'6202'!$B$65:$F$65</c:f>
              <c:numCache>
                <c:formatCode>0.00_);[Red]\(0.00\)</c:formatCode>
                <c:ptCount val="5"/>
                <c:pt idx="0">
                  <c:v>0.67</c:v>
                </c:pt>
                <c:pt idx="1">
                  <c:v>0.73</c:v>
                </c:pt>
                <c:pt idx="2">
                  <c:v>0.71</c:v>
                </c:pt>
                <c:pt idx="3">
                  <c:v>0.74</c:v>
                </c:pt>
                <c:pt idx="4">
                  <c:v>0.82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5-44FE-A895-86AFB26443BB}"/>
            </c:ext>
          </c:extLst>
        </c:ser>
        <c:ser>
          <c:idx val="1"/>
          <c:order val="1"/>
          <c:tx>
            <c:strRef>
              <c:f>'6202'!$A$66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'6202'!$B$64:$F$64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'6202'!$B$66:$F$66</c:f>
              <c:numCache>
                <c:formatCode>0.00_);[Red]\(0.00\)</c:formatCode>
                <c:ptCount val="5"/>
                <c:pt idx="0">
                  <c:v>0.97</c:v>
                </c:pt>
                <c:pt idx="1">
                  <c:v>0.92</c:v>
                </c:pt>
                <c:pt idx="2">
                  <c:v>0.97</c:v>
                </c:pt>
                <c:pt idx="3">
                  <c:v>0.89</c:v>
                </c:pt>
                <c:pt idx="4">
                  <c:v>1.01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45-44FE-A895-86AFB26443BB}"/>
            </c:ext>
          </c:extLst>
        </c:ser>
        <c:ser>
          <c:idx val="2"/>
          <c:order val="2"/>
          <c:tx>
            <c:strRef>
              <c:f>'6202'!$A$67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'6202'!$B$64:$F$64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'6202'!$B$67:$F$67</c:f>
              <c:numCache>
                <c:formatCode>0.00_);[Red]\(0.00\)</c:formatCode>
                <c:ptCount val="5"/>
                <c:pt idx="0">
                  <c:v>0.87</c:v>
                </c:pt>
                <c:pt idx="1">
                  <c:v>0.9</c:v>
                </c:pt>
                <c:pt idx="2">
                  <c:v>0.97</c:v>
                </c:pt>
                <c:pt idx="3">
                  <c:v>0.92</c:v>
                </c:pt>
                <c:pt idx="4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45-44FE-A895-86AFB26443BB}"/>
            </c:ext>
          </c:extLst>
        </c:ser>
        <c:ser>
          <c:idx val="3"/>
          <c:order val="3"/>
          <c:tx>
            <c:strRef>
              <c:f>'6202'!$A$68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'6202'!$B$64:$F$64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'6202'!$B$68:$F$68</c:f>
              <c:numCache>
                <c:formatCode>0.00_);[Red]\(0.00\)</c:formatCode>
                <c:ptCount val="5"/>
                <c:pt idx="0">
                  <c:v>0.81</c:v>
                </c:pt>
                <c:pt idx="1">
                  <c:v>0.95</c:v>
                </c:pt>
                <c:pt idx="2">
                  <c:v>0.91</c:v>
                </c:pt>
                <c:pt idx="3">
                  <c:v>0.92</c:v>
                </c:pt>
                <c:pt idx="4">
                  <c:v>0.97322241825209355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45-44FE-A895-86AFB2644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'6206'!$A$65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'6206'!$B$64:$F$64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'6206'!$B$65:$F$65</c:f>
              <c:numCache>
                <c:formatCode>0.00_);[Red]\(0.00\)</c:formatCode>
                <c:ptCount val="5"/>
                <c:pt idx="0">
                  <c:v>2.21</c:v>
                </c:pt>
                <c:pt idx="1">
                  <c:v>1.61</c:v>
                </c:pt>
                <c:pt idx="2">
                  <c:v>1.56</c:v>
                </c:pt>
                <c:pt idx="3">
                  <c:v>1.51</c:v>
                </c:pt>
                <c:pt idx="4">
                  <c:v>0.85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1-4B79-9F51-33754CB3E2CB}"/>
            </c:ext>
          </c:extLst>
        </c:ser>
        <c:ser>
          <c:idx val="1"/>
          <c:order val="1"/>
          <c:tx>
            <c:strRef>
              <c:f>'6206'!$A$66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'6206'!$B$64:$F$64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'6206'!$B$66:$F$66</c:f>
              <c:numCache>
                <c:formatCode>0.00_);[Red]\(0.00\)</c:formatCode>
                <c:ptCount val="5"/>
                <c:pt idx="0">
                  <c:v>2.2000000000000002</c:v>
                </c:pt>
                <c:pt idx="1">
                  <c:v>1.66</c:v>
                </c:pt>
                <c:pt idx="2">
                  <c:v>1.77</c:v>
                </c:pt>
                <c:pt idx="3">
                  <c:v>1.69</c:v>
                </c:pt>
                <c:pt idx="4">
                  <c:v>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1-4B79-9F51-33754CB3E2CB}"/>
            </c:ext>
          </c:extLst>
        </c:ser>
        <c:ser>
          <c:idx val="2"/>
          <c:order val="2"/>
          <c:tx>
            <c:strRef>
              <c:f>'6206'!$A$67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'6206'!$B$64:$F$64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'6206'!$B$67:$F$67</c:f>
              <c:numCache>
                <c:formatCode>0.00_);[Red]\(0.00\)</c:formatCode>
                <c:ptCount val="5"/>
                <c:pt idx="0">
                  <c:v>1.73</c:v>
                </c:pt>
                <c:pt idx="1">
                  <c:v>2.27</c:v>
                </c:pt>
                <c:pt idx="2">
                  <c:v>1.98</c:v>
                </c:pt>
                <c:pt idx="3">
                  <c:v>1.21</c:v>
                </c:pt>
                <c:pt idx="4">
                  <c:v>1.24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1-4B79-9F51-33754CB3E2CB}"/>
            </c:ext>
          </c:extLst>
        </c:ser>
        <c:ser>
          <c:idx val="3"/>
          <c:order val="3"/>
          <c:tx>
            <c:strRef>
              <c:f>'6206'!$A$68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'6206'!$B$64:$F$64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'6206'!$B$68:$F$68</c:f>
              <c:numCache>
                <c:formatCode>0.00_);[Red]\(0.00\)</c:formatCode>
                <c:ptCount val="5"/>
                <c:pt idx="0">
                  <c:v>1.7</c:v>
                </c:pt>
                <c:pt idx="1">
                  <c:v>2.02</c:v>
                </c:pt>
                <c:pt idx="2">
                  <c:v>1.88</c:v>
                </c:pt>
                <c:pt idx="3">
                  <c:v>1.62</c:v>
                </c:pt>
                <c:pt idx="4">
                  <c:v>1.2522573613113275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F1-4B79-9F51-33754CB3E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'6216'!$A$65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'6216'!$B$65:$F$65</c:f>
              <c:numCache>
                <c:formatCode>0.00_);[Red]\(0.00\)</c:formatCode>
                <c:ptCount val="5"/>
                <c:pt idx="0">
                  <c:v>0.42</c:v>
                </c:pt>
                <c:pt idx="1">
                  <c:v>0.56000000000000005</c:v>
                </c:pt>
                <c:pt idx="2">
                  <c:v>0.4</c:v>
                </c:pt>
                <c:pt idx="3">
                  <c:v>0.68</c:v>
                </c:pt>
                <c:pt idx="4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0-439A-ACC2-8FBD3D5CFF4E}"/>
            </c:ext>
          </c:extLst>
        </c:ser>
        <c:ser>
          <c:idx val="1"/>
          <c:order val="1"/>
          <c:tx>
            <c:strRef>
              <c:f>'6216'!$A$66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'6216'!$B$66:$F$66</c:f>
              <c:numCache>
                <c:formatCode>0.00_);[Red]\(0.00\)</c:formatCode>
                <c:ptCount val="5"/>
                <c:pt idx="0">
                  <c:v>0.4</c:v>
                </c:pt>
                <c:pt idx="1">
                  <c:v>0.66</c:v>
                </c:pt>
                <c:pt idx="2">
                  <c:v>1.05</c:v>
                </c:pt>
                <c:pt idx="3">
                  <c:v>0.97</c:v>
                </c:pt>
                <c:pt idx="4">
                  <c:v>0.79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60-439A-ACC2-8FBD3D5CFF4E}"/>
            </c:ext>
          </c:extLst>
        </c:ser>
        <c:ser>
          <c:idx val="2"/>
          <c:order val="2"/>
          <c:tx>
            <c:strRef>
              <c:f>'6216'!$A$67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'6216'!$B$67:$F$67</c:f>
              <c:numCache>
                <c:formatCode>0.00_);[Red]\(0.00\)</c:formatCode>
                <c:ptCount val="5"/>
                <c:pt idx="0">
                  <c:v>0.46</c:v>
                </c:pt>
                <c:pt idx="1">
                  <c:v>0.48</c:v>
                </c:pt>
                <c:pt idx="2">
                  <c:v>0.95</c:v>
                </c:pt>
                <c:pt idx="3">
                  <c:v>0.72</c:v>
                </c:pt>
                <c:pt idx="4">
                  <c:v>0.49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60-439A-ACC2-8FBD3D5CFF4E}"/>
            </c:ext>
          </c:extLst>
        </c:ser>
        <c:ser>
          <c:idx val="3"/>
          <c:order val="3"/>
          <c:tx>
            <c:strRef>
              <c:f>'6216'!$A$68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'6216'!$B$68:$F$68</c:f>
              <c:numCache>
                <c:formatCode>0.00_);[Red]\(0.00\)</c:formatCode>
                <c:ptCount val="5"/>
                <c:pt idx="0">
                  <c:v>0.73</c:v>
                </c:pt>
                <c:pt idx="1">
                  <c:v>0.73</c:v>
                </c:pt>
                <c:pt idx="2">
                  <c:v>0.56999999999999995</c:v>
                </c:pt>
                <c:pt idx="3">
                  <c:v>0.7</c:v>
                </c:pt>
                <c:pt idx="4">
                  <c:v>0.45233535173384587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60-439A-ACC2-8FBD3D5CF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'6217'!$A$65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'6217'!$B$65:$F$65</c:f>
              <c:numCache>
                <c:formatCode>0.00_);[Red]\(0.00\)</c:formatCode>
                <c:ptCount val="5"/>
                <c:pt idx="0">
                  <c:v>0.43</c:v>
                </c:pt>
                <c:pt idx="1">
                  <c:v>0.26</c:v>
                </c:pt>
                <c:pt idx="2">
                  <c:v>0.75</c:v>
                </c:pt>
                <c:pt idx="3">
                  <c:v>0.1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F-4BCF-B9B3-D5849CF51210}"/>
            </c:ext>
          </c:extLst>
        </c:ser>
        <c:ser>
          <c:idx val="1"/>
          <c:order val="1"/>
          <c:tx>
            <c:strRef>
              <c:f>'6217'!$A$66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'6217'!$B$66:$F$66</c:f>
              <c:numCache>
                <c:formatCode>0.00_);[Red]\(0.00\)</c:formatCode>
                <c:ptCount val="5"/>
                <c:pt idx="0">
                  <c:v>0.57999999999999996</c:v>
                </c:pt>
                <c:pt idx="1">
                  <c:v>0.64</c:v>
                </c:pt>
                <c:pt idx="2">
                  <c:v>0.6</c:v>
                </c:pt>
                <c:pt idx="3">
                  <c:v>0.56999999999999995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9F-4BCF-B9B3-D5849CF51210}"/>
            </c:ext>
          </c:extLst>
        </c:ser>
        <c:ser>
          <c:idx val="2"/>
          <c:order val="2"/>
          <c:tx>
            <c:strRef>
              <c:f>'6217'!$A$67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'6217'!$B$67:$F$67</c:f>
              <c:numCache>
                <c:formatCode>0.00_);[Red]\(0.00\)</c:formatCode>
                <c:ptCount val="5"/>
                <c:pt idx="0">
                  <c:v>0.47</c:v>
                </c:pt>
                <c:pt idx="1">
                  <c:v>1.25</c:v>
                </c:pt>
                <c:pt idx="2">
                  <c:v>1.39</c:v>
                </c:pt>
                <c:pt idx="3">
                  <c:v>0.67</c:v>
                </c:pt>
                <c:pt idx="4">
                  <c:v>0.79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9F-4BCF-B9B3-D5849CF51210}"/>
            </c:ext>
          </c:extLst>
        </c:ser>
        <c:ser>
          <c:idx val="3"/>
          <c:order val="3"/>
          <c:tx>
            <c:strRef>
              <c:f>'6217'!$A$68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'6217'!$B$68:$F$68</c:f>
              <c:numCache>
                <c:formatCode>0.00_);[Red]\(0.00\)</c:formatCode>
                <c:ptCount val="5"/>
                <c:pt idx="0">
                  <c:v>0.54</c:v>
                </c:pt>
                <c:pt idx="1">
                  <c:v>1.1599999999999999</c:v>
                </c:pt>
                <c:pt idx="2">
                  <c:v>1.18</c:v>
                </c:pt>
                <c:pt idx="3">
                  <c:v>1.26</c:v>
                </c:pt>
                <c:pt idx="4">
                  <c:v>0.96886219152651398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9F-4BCF-B9B3-D5849CF5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'6224'!$A$65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'6224'!$B$64:$F$64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'6224'!$B$65:$F$65</c:f>
              <c:numCache>
                <c:formatCode>0.00_);[Red]\(0.00\)</c:formatCode>
                <c:ptCount val="5"/>
                <c:pt idx="0">
                  <c:v>1</c:v>
                </c:pt>
                <c:pt idx="1">
                  <c:v>1.07</c:v>
                </c:pt>
                <c:pt idx="2">
                  <c:v>1.24</c:v>
                </c:pt>
                <c:pt idx="3">
                  <c:v>1.04</c:v>
                </c:pt>
                <c:pt idx="4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1-4158-8AD0-A67BFF7A740E}"/>
            </c:ext>
          </c:extLst>
        </c:ser>
        <c:ser>
          <c:idx val="1"/>
          <c:order val="1"/>
          <c:tx>
            <c:strRef>
              <c:f>'6224'!$A$66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'6224'!$B$64:$F$64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'6224'!$B$66:$F$66</c:f>
              <c:numCache>
                <c:formatCode>0.00_);[Red]\(0.00\)</c:formatCode>
                <c:ptCount val="5"/>
                <c:pt idx="0">
                  <c:v>1.3</c:v>
                </c:pt>
                <c:pt idx="1">
                  <c:v>1.5</c:v>
                </c:pt>
                <c:pt idx="2">
                  <c:v>1.67</c:v>
                </c:pt>
                <c:pt idx="3">
                  <c:v>1.52</c:v>
                </c:pt>
                <c:pt idx="4">
                  <c:v>1.07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1-4158-8AD0-A67BFF7A740E}"/>
            </c:ext>
          </c:extLst>
        </c:ser>
        <c:ser>
          <c:idx val="2"/>
          <c:order val="2"/>
          <c:tx>
            <c:strRef>
              <c:f>'6224'!$A$67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'6224'!$B$64:$F$64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'6224'!$B$67:$F$67</c:f>
              <c:numCache>
                <c:formatCode>0.00_);[Red]\(0.00\)</c:formatCode>
                <c:ptCount val="5"/>
                <c:pt idx="0">
                  <c:v>1.1499999999999999</c:v>
                </c:pt>
                <c:pt idx="1">
                  <c:v>1.19</c:v>
                </c:pt>
                <c:pt idx="2">
                  <c:v>1.6</c:v>
                </c:pt>
                <c:pt idx="3">
                  <c:v>1.36</c:v>
                </c:pt>
                <c:pt idx="4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91-4158-8AD0-A67BFF7A740E}"/>
            </c:ext>
          </c:extLst>
        </c:ser>
        <c:ser>
          <c:idx val="3"/>
          <c:order val="3"/>
          <c:tx>
            <c:strRef>
              <c:f>'6224'!$A$68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'6224'!$B$64:$F$64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'6224'!$B$68:$F$68</c:f>
              <c:numCache>
                <c:formatCode>0.00_);[Red]\(0.00\)</c:formatCode>
                <c:ptCount val="5"/>
                <c:pt idx="0">
                  <c:v>1.28</c:v>
                </c:pt>
                <c:pt idx="1">
                  <c:v>1.24</c:v>
                </c:pt>
                <c:pt idx="2">
                  <c:v>1.32</c:v>
                </c:pt>
                <c:pt idx="3">
                  <c:v>1.1399999999999999</c:v>
                </c:pt>
                <c:pt idx="4">
                  <c:v>1.0114746466246554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91-4158-8AD0-A67BFF7A7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'6230'!$A$65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'6230'!$B$64:$F$64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'6230'!$B$65:$F$65</c:f>
              <c:numCache>
                <c:formatCode>0.00_);[Red]\(0.00\)</c:formatCode>
                <c:ptCount val="5"/>
                <c:pt idx="0">
                  <c:v>1.68</c:v>
                </c:pt>
                <c:pt idx="1">
                  <c:v>1.24</c:v>
                </c:pt>
                <c:pt idx="2">
                  <c:v>1.52</c:v>
                </c:pt>
                <c:pt idx="3">
                  <c:v>2.52</c:v>
                </c:pt>
                <c:pt idx="4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C-404E-B5A6-6F36D2517BAE}"/>
            </c:ext>
          </c:extLst>
        </c:ser>
        <c:ser>
          <c:idx val="1"/>
          <c:order val="1"/>
          <c:tx>
            <c:strRef>
              <c:f>'6230'!$A$66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'6230'!$B$64:$F$64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'6230'!$B$66:$F$66</c:f>
              <c:numCache>
                <c:formatCode>0.00_);[Red]\(0.00\)</c:formatCode>
                <c:ptCount val="5"/>
                <c:pt idx="0">
                  <c:v>1.48</c:v>
                </c:pt>
                <c:pt idx="1">
                  <c:v>1.99</c:v>
                </c:pt>
                <c:pt idx="2">
                  <c:v>1.18</c:v>
                </c:pt>
                <c:pt idx="3">
                  <c:v>3.26</c:v>
                </c:pt>
                <c:pt idx="4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CC-404E-B5A6-6F36D2517BAE}"/>
            </c:ext>
          </c:extLst>
        </c:ser>
        <c:ser>
          <c:idx val="2"/>
          <c:order val="2"/>
          <c:tx>
            <c:strRef>
              <c:f>'6230'!$A$67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'6230'!$B$64:$F$64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'6230'!$B$67:$F$67</c:f>
              <c:numCache>
                <c:formatCode>0.00_);[Red]\(0.00\)</c:formatCode>
                <c:ptCount val="5"/>
                <c:pt idx="0">
                  <c:v>1.53</c:v>
                </c:pt>
                <c:pt idx="1">
                  <c:v>1.88</c:v>
                </c:pt>
                <c:pt idx="2">
                  <c:v>2.56</c:v>
                </c:pt>
                <c:pt idx="3">
                  <c:v>1.94</c:v>
                </c:pt>
                <c:pt idx="4">
                  <c:v>2.08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CC-404E-B5A6-6F36D2517BAE}"/>
            </c:ext>
          </c:extLst>
        </c:ser>
        <c:ser>
          <c:idx val="3"/>
          <c:order val="3"/>
          <c:tx>
            <c:strRef>
              <c:f>'6230'!$A$68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'6230'!$B$64:$F$64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'6230'!$B$68:$F$68</c:f>
              <c:numCache>
                <c:formatCode>0.00_);[Red]\(0.00\)</c:formatCode>
                <c:ptCount val="5"/>
                <c:pt idx="0">
                  <c:v>1.52</c:v>
                </c:pt>
                <c:pt idx="1">
                  <c:v>1.5</c:v>
                </c:pt>
                <c:pt idx="2">
                  <c:v>2.5099999999999998</c:v>
                </c:pt>
                <c:pt idx="3">
                  <c:v>3.23</c:v>
                </c:pt>
                <c:pt idx="4">
                  <c:v>1.9639563809510108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CC-404E-B5A6-6F36D2517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'6245'!$A$65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'6245'!$B$64:$F$64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'6245'!$B$65:$F$65</c:f>
              <c:numCache>
                <c:formatCode>0.00_);[Red]\(0.00\)</c:formatCode>
                <c:ptCount val="5"/>
                <c:pt idx="0">
                  <c:v>0.94</c:v>
                </c:pt>
                <c:pt idx="1">
                  <c:v>0.87</c:v>
                </c:pt>
                <c:pt idx="2">
                  <c:v>0.67</c:v>
                </c:pt>
                <c:pt idx="3">
                  <c:v>0.65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8-408E-9168-9C3922CF1895}"/>
            </c:ext>
          </c:extLst>
        </c:ser>
        <c:ser>
          <c:idx val="1"/>
          <c:order val="1"/>
          <c:tx>
            <c:strRef>
              <c:f>'6245'!$A$66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'6245'!$B$64:$F$64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'6245'!$B$66:$F$66</c:f>
              <c:numCache>
                <c:formatCode>0.00_);[Red]\(0.00\)</c:formatCode>
                <c:ptCount val="5"/>
                <c:pt idx="0">
                  <c:v>0.95</c:v>
                </c:pt>
                <c:pt idx="1">
                  <c:v>0.37</c:v>
                </c:pt>
                <c:pt idx="2">
                  <c:v>0.33</c:v>
                </c:pt>
                <c:pt idx="3">
                  <c:v>0.85</c:v>
                </c:pt>
                <c:pt idx="4">
                  <c:v>0.51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18-408E-9168-9C3922CF1895}"/>
            </c:ext>
          </c:extLst>
        </c:ser>
        <c:ser>
          <c:idx val="2"/>
          <c:order val="2"/>
          <c:tx>
            <c:strRef>
              <c:f>'6245'!$A$67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'6245'!$B$64:$F$64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'6245'!$B$67:$F$67</c:f>
              <c:numCache>
                <c:formatCode>0.00_);[Red]\(0.00\)</c:formatCode>
                <c:ptCount val="5"/>
                <c:pt idx="0">
                  <c:v>0.9</c:v>
                </c:pt>
                <c:pt idx="1">
                  <c:v>0.77</c:v>
                </c:pt>
                <c:pt idx="2">
                  <c:v>1.24</c:v>
                </c:pt>
                <c:pt idx="3">
                  <c:v>1.02</c:v>
                </c:pt>
                <c:pt idx="4">
                  <c:v>1.04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18-408E-9168-9C3922CF1895}"/>
            </c:ext>
          </c:extLst>
        </c:ser>
        <c:ser>
          <c:idx val="3"/>
          <c:order val="3"/>
          <c:tx>
            <c:strRef>
              <c:f>'6245'!$A$68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'6245'!$B$64:$F$64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'6245'!$B$68:$F$68</c:f>
              <c:numCache>
                <c:formatCode>0.00_);[Red]\(0.00\)</c:formatCode>
                <c:ptCount val="5"/>
                <c:pt idx="0">
                  <c:v>1.1200000000000001</c:v>
                </c:pt>
                <c:pt idx="1">
                  <c:v>1.5</c:v>
                </c:pt>
                <c:pt idx="2">
                  <c:v>1.1000000000000001</c:v>
                </c:pt>
                <c:pt idx="3">
                  <c:v>1.33</c:v>
                </c:pt>
                <c:pt idx="4">
                  <c:v>1.3990281750034446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18-408E-9168-9C3922CF1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'6257'!$A$65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'6257'!$B$64:$F$64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'6257'!$B$65:$F$65</c:f>
              <c:numCache>
                <c:formatCode>0.00_);[Red]\(0.00\)</c:formatCode>
                <c:ptCount val="5"/>
                <c:pt idx="0">
                  <c:v>0.44</c:v>
                </c:pt>
                <c:pt idx="1">
                  <c:v>0.65</c:v>
                </c:pt>
                <c:pt idx="2">
                  <c:v>0.43</c:v>
                </c:pt>
                <c:pt idx="3">
                  <c:v>0.34</c:v>
                </c:pt>
                <c:pt idx="4">
                  <c:v>0.43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5-4529-80EC-44427357AD4D}"/>
            </c:ext>
          </c:extLst>
        </c:ser>
        <c:ser>
          <c:idx val="1"/>
          <c:order val="1"/>
          <c:tx>
            <c:strRef>
              <c:f>'6257'!$A$66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'6257'!$B$64:$F$64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'6257'!$B$66:$F$66</c:f>
              <c:numCache>
                <c:formatCode>0.00_);[Red]\(0.00\)</c:formatCode>
                <c:ptCount val="5"/>
                <c:pt idx="0">
                  <c:v>0.72</c:v>
                </c:pt>
                <c:pt idx="1">
                  <c:v>0.83</c:v>
                </c:pt>
                <c:pt idx="2">
                  <c:v>0.61</c:v>
                </c:pt>
                <c:pt idx="3">
                  <c:v>0.53</c:v>
                </c:pt>
                <c:pt idx="4">
                  <c:v>0.54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F5-4529-80EC-44427357AD4D}"/>
            </c:ext>
          </c:extLst>
        </c:ser>
        <c:ser>
          <c:idx val="2"/>
          <c:order val="2"/>
          <c:tx>
            <c:strRef>
              <c:f>'6257'!$A$67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'6257'!$B$64:$F$64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'6257'!$B$67:$F$67</c:f>
              <c:numCache>
                <c:formatCode>0.00_);[Red]\(0.00\)</c:formatCode>
                <c:ptCount val="5"/>
                <c:pt idx="0">
                  <c:v>0.74</c:v>
                </c:pt>
                <c:pt idx="1">
                  <c:v>0.81</c:v>
                </c:pt>
                <c:pt idx="2">
                  <c:v>0.59</c:v>
                </c:pt>
                <c:pt idx="3">
                  <c:v>0.7</c:v>
                </c:pt>
                <c:pt idx="4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F5-4529-80EC-44427357AD4D}"/>
            </c:ext>
          </c:extLst>
        </c:ser>
        <c:ser>
          <c:idx val="3"/>
          <c:order val="3"/>
          <c:tx>
            <c:strRef>
              <c:f>'6257'!$A$68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'6257'!$B$64:$F$64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'6257'!$B$68:$F$68</c:f>
              <c:numCache>
                <c:formatCode>0.00_);[Red]\(0.00\)</c:formatCode>
                <c:ptCount val="5"/>
                <c:pt idx="0">
                  <c:v>0.54</c:v>
                </c:pt>
                <c:pt idx="1">
                  <c:v>0.62</c:v>
                </c:pt>
                <c:pt idx="2">
                  <c:v>0.47</c:v>
                </c:pt>
                <c:pt idx="3">
                  <c:v>0.6</c:v>
                </c:pt>
                <c:pt idx="4">
                  <c:v>0.56784235251346127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F5-4529-80EC-44427357A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'6263'!$A$65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'6263'!$B$64:$F$64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'6263'!$B$65:$F$65</c:f>
              <c:numCache>
                <c:formatCode>0.00_);[Red]\(0.00\)</c:formatCode>
                <c:ptCount val="5"/>
                <c:pt idx="0">
                  <c:v>0.61</c:v>
                </c:pt>
                <c:pt idx="1">
                  <c:v>0.89</c:v>
                </c:pt>
                <c:pt idx="2">
                  <c:v>1.03</c:v>
                </c:pt>
                <c:pt idx="3">
                  <c:v>1.02</c:v>
                </c:pt>
                <c:pt idx="4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07-4765-A16C-B9ADFD1300D4}"/>
            </c:ext>
          </c:extLst>
        </c:ser>
        <c:ser>
          <c:idx val="1"/>
          <c:order val="1"/>
          <c:tx>
            <c:strRef>
              <c:f>'6263'!$A$66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'6263'!$B$64:$F$64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'6263'!$B$66:$F$66</c:f>
              <c:numCache>
                <c:formatCode>0.00_);[Red]\(0.00\)</c:formatCode>
                <c:ptCount val="5"/>
                <c:pt idx="0">
                  <c:v>0.86</c:v>
                </c:pt>
                <c:pt idx="1">
                  <c:v>1.02</c:v>
                </c:pt>
                <c:pt idx="2">
                  <c:v>1.1000000000000001</c:v>
                </c:pt>
                <c:pt idx="3">
                  <c:v>1.23</c:v>
                </c:pt>
                <c:pt idx="4">
                  <c:v>1.1599999999999999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07-4765-A16C-B9ADFD1300D4}"/>
            </c:ext>
          </c:extLst>
        </c:ser>
        <c:ser>
          <c:idx val="2"/>
          <c:order val="2"/>
          <c:tx>
            <c:strRef>
              <c:f>'6263'!$A$67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'6263'!$B$64:$F$64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'6263'!$B$67:$F$67</c:f>
              <c:numCache>
                <c:formatCode>0.00_);[Red]\(0.00\)</c:formatCode>
                <c:ptCount val="5"/>
                <c:pt idx="0">
                  <c:v>0.79</c:v>
                </c:pt>
                <c:pt idx="1">
                  <c:v>0.91</c:v>
                </c:pt>
                <c:pt idx="2">
                  <c:v>1.07</c:v>
                </c:pt>
                <c:pt idx="3">
                  <c:v>0.94</c:v>
                </c:pt>
                <c:pt idx="4">
                  <c:v>1.24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07-4765-A16C-B9ADFD1300D4}"/>
            </c:ext>
          </c:extLst>
        </c:ser>
        <c:ser>
          <c:idx val="3"/>
          <c:order val="3"/>
          <c:tx>
            <c:strRef>
              <c:f>'6263'!$A$68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'6263'!$B$64:$F$64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'6263'!$B$68:$F$68</c:f>
              <c:numCache>
                <c:formatCode>0.00_);[Red]\(0.00\)</c:formatCode>
                <c:ptCount val="5"/>
                <c:pt idx="0">
                  <c:v>0.97</c:v>
                </c:pt>
                <c:pt idx="1">
                  <c:v>1.22</c:v>
                </c:pt>
                <c:pt idx="2">
                  <c:v>1.1100000000000001</c:v>
                </c:pt>
                <c:pt idx="3">
                  <c:v>1.19</c:v>
                </c:pt>
                <c:pt idx="4">
                  <c:v>1.3776988144911582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07-4765-A16C-B9ADFD130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'6269'!$A$65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'6269'!$B$64:$F$64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'6269'!$B$65:$F$65</c:f>
              <c:numCache>
                <c:formatCode>0.00_);[Red]\(0.00\)</c:formatCode>
                <c:ptCount val="5"/>
                <c:pt idx="0">
                  <c:v>2.02</c:v>
                </c:pt>
                <c:pt idx="1">
                  <c:v>0.92</c:v>
                </c:pt>
                <c:pt idx="2">
                  <c:v>3.28</c:v>
                </c:pt>
                <c:pt idx="3">
                  <c:v>1.63</c:v>
                </c:pt>
                <c:pt idx="4">
                  <c:v>0.87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65-49EE-8FAC-BE744F76C0A2}"/>
            </c:ext>
          </c:extLst>
        </c:ser>
        <c:ser>
          <c:idx val="1"/>
          <c:order val="1"/>
          <c:tx>
            <c:strRef>
              <c:f>'6269'!$A$66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'6269'!$B$64:$F$64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'6269'!$B$66:$F$66</c:f>
              <c:numCache>
                <c:formatCode>0.00_);[Red]\(0.00\)</c:formatCode>
                <c:ptCount val="5"/>
                <c:pt idx="0">
                  <c:v>1.06</c:v>
                </c:pt>
                <c:pt idx="1">
                  <c:v>0.12</c:v>
                </c:pt>
                <c:pt idx="2">
                  <c:v>1.5</c:v>
                </c:pt>
                <c:pt idx="3">
                  <c:v>0.41</c:v>
                </c:pt>
                <c:pt idx="4">
                  <c:v>1.27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65-49EE-8FAC-BE744F76C0A2}"/>
            </c:ext>
          </c:extLst>
        </c:ser>
        <c:ser>
          <c:idx val="2"/>
          <c:order val="2"/>
          <c:tx>
            <c:strRef>
              <c:f>'6269'!$A$67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'6269'!$B$64:$F$64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'6269'!$B$67:$F$67</c:f>
              <c:numCache>
                <c:formatCode>0.00_);[Red]\(0.00\)</c:formatCode>
                <c:ptCount val="5"/>
                <c:pt idx="0">
                  <c:v>2.8</c:v>
                </c:pt>
                <c:pt idx="1">
                  <c:v>1.62</c:v>
                </c:pt>
                <c:pt idx="2">
                  <c:v>3.34</c:v>
                </c:pt>
                <c:pt idx="3">
                  <c:v>2.71</c:v>
                </c:pt>
                <c:pt idx="4">
                  <c:v>3.48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65-49EE-8FAC-BE744F76C0A2}"/>
            </c:ext>
          </c:extLst>
        </c:ser>
        <c:ser>
          <c:idx val="3"/>
          <c:order val="3"/>
          <c:tx>
            <c:strRef>
              <c:f>'6269'!$A$68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'6269'!$B$64:$F$64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'6269'!$B$68:$F$68</c:f>
              <c:numCache>
                <c:formatCode>0.00_);[Red]\(0.00\)</c:formatCode>
                <c:ptCount val="5"/>
                <c:pt idx="0">
                  <c:v>3.91</c:v>
                </c:pt>
                <c:pt idx="1">
                  <c:v>4.1500000000000004</c:v>
                </c:pt>
                <c:pt idx="2">
                  <c:v>3.1</c:v>
                </c:pt>
                <c:pt idx="3">
                  <c:v>3.8</c:v>
                </c:pt>
                <c:pt idx="4">
                  <c:v>4.2182676541943387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65-49EE-8FAC-BE744F76C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'6271'!$A$65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'6271'!$B$64:$F$64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'6271'!$B$65:$F$65</c:f>
              <c:numCache>
                <c:formatCode>0.00_);[Red]\(0.00\)</c:formatCode>
                <c:ptCount val="5"/>
                <c:pt idx="0">
                  <c:v>2</c:v>
                </c:pt>
                <c:pt idx="1">
                  <c:v>1.92</c:v>
                </c:pt>
                <c:pt idx="2">
                  <c:v>1.28</c:v>
                </c:pt>
                <c:pt idx="3">
                  <c:v>1.39</c:v>
                </c:pt>
                <c:pt idx="4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0-4D5E-B099-5805E21BC6B3}"/>
            </c:ext>
          </c:extLst>
        </c:ser>
        <c:ser>
          <c:idx val="1"/>
          <c:order val="1"/>
          <c:tx>
            <c:strRef>
              <c:f>'6271'!$A$66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'6271'!$B$64:$F$64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'6271'!$B$66:$F$66</c:f>
              <c:numCache>
                <c:formatCode>0.00_);[Red]\(0.00\)</c:formatCode>
                <c:ptCount val="5"/>
                <c:pt idx="0">
                  <c:v>2.0299999999999998</c:v>
                </c:pt>
                <c:pt idx="1">
                  <c:v>2.25</c:v>
                </c:pt>
                <c:pt idx="2">
                  <c:v>1.1299999999999999</c:v>
                </c:pt>
                <c:pt idx="3">
                  <c:v>1.62</c:v>
                </c:pt>
                <c:pt idx="4">
                  <c:v>1.22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0-4D5E-B099-5805E21BC6B3}"/>
            </c:ext>
          </c:extLst>
        </c:ser>
        <c:ser>
          <c:idx val="2"/>
          <c:order val="2"/>
          <c:tx>
            <c:strRef>
              <c:f>'6271'!$A$67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'6271'!$B$64:$F$64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'6271'!$B$67:$F$67</c:f>
              <c:numCache>
                <c:formatCode>0.00_);[Red]\(0.00\)</c:formatCode>
                <c:ptCount val="5"/>
                <c:pt idx="0">
                  <c:v>3.16</c:v>
                </c:pt>
                <c:pt idx="1">
                  <c:v>3.04</c:v>
                </c:pt>
                <c:pt idx="2">
                  <c:v>2.44</c:v>
                </c:pt>
                <c:pt idx="3">
                  <c:v>1.39</c:v>
                </c:pt>
                <c:pt idx="4">
                  <c:v>2.3199999999999998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90-4D5E-B099-5805E21BC6B3}"/>
            </c:ext>
          </c:extLst>
        </c:ser>
        <c:ser>
          <c:idx val="3"/>
          <c:order val="3"/>
          <c:tx>
            <c:strRef>
              <c:f>'6271'!$A$68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'6271'!$B$64:$F$64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'6271'!$B$68:$F$68</c:f>
              <c:numCache>
                <c:formatCode>0.00_);[Red]\(0.00\)</c:formatCode>
                <c:ptCount val="5"/>
                <c:pt idx="0">
                  <c:v>2.5299999999999998</c:v>
                </c:pt>
                <c:pt idx="1">
                  <c:v>2.06</c:v>
                </c:pt>
                <c:pt idx="2">
                  <c:v>1.54</c:v>
                </c:pt>
                <c:pt idx="3">
                  <c:v>1.9</c:v>
                </c:pt>
                <c:pt idx="4">
                  <c:v>1.914256943419725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90-4D5E-B099-5805E21BC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'6277'!$A$65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'6277'!$B$64:$F$64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'6277'!$B$65:$F$65</c:f>
              <c:numCache>
                <c:formatCode>0.00_);[Red]\(0.00\)</c:formatCode>
                <c:ptCount val="5"/>
                <c:pt idx="0">
                  <c:v>1.34</c:v>
                </c:pt>
                <c:pt idx="1">
                  <c:v>1.43</c:v>
                </c:pt>
                <c:pt idx="2">
                  <c:v>1.63</c:v>
                </c:pt>
                <c:pt idx="3">
                  <c:v>1.83</c:v>
                </c:pt>
                <c:pt idx="4">
                  <c:v>1.52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C-47DB-83C0-5497DCD78959}"/>
            </c:ext>
          </c:extLst>
        </c:ser>
        <c:ser>
          <c:idx val="1"/>
          <c:order val="1"/>
          <c:tx>
            <c:strRef>
              <c:f>'6277'!$A$66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'6277'!$B$64:$F$64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'6277'!$B$66:$F$66</c:f>
              <c:numCache>
                <c:formatCode>0.00_);[Red]\(0.00\)</c:formatCode>
                <c:ptCount val="5"/>
                <c:pt idx="0">
                  <c:v>1.6</c:v>
                </c:pt>
                <c:pt idx="1">
                  <c:v>1.56</c:v>
                </c:pt>
                <c:pt idx="2">
                  <c:v>1.1399999999999999</c:v>
                </c:pt>
                <c:pt idx="3">
                  <c:v>1.4</c:v>
                </c:pt>
                <c:pt idx="4">
                  <c:v>1.22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C-47DB-83C0-5497DCD78959}"/>
            </c:ext>
          </c:extLst>
        </c:ser>
        <c:ser>
          <c:idx val="2"/>
          <c:order val="2"/>
          <c:tx>
            <c:strRef>
              <c:f>'6277'!$A$67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'6277'!$B$64:$F$64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'6277'!$B$67:$F$67</c:f>
              <c:numCache>
                <c:formatCode>0.00_);[Red]\(0.00\)</c:formatCode>
                <c:ptCount val="5"/>
                <c:pt idx="0">
                  <c:v>1.58</c:v>
                </c:pt>
                <c:pt idx="1">
                  <c:v>1.74</c:v>
                </c:pt>
                <c:pt idx="2">
                  <c:v>1.62</c:v>
                </c:pt>
                <c:pt idx="3">
                  <c:v>1.82</c:v>
                </c:pt>
                <c:pt idx="4">
                  <c:v>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CC-47DB-83C0-5497DCD78959}"/>
            </c:ext>
          </c:extLst>
        </c:ser>
        <c:ser>
          <c:idx val="3"/>
          <c:order val="3"/>
          <c:tx>
            <c:strRef>
              <c:f>'6277'!$A$68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'6277'!$B$64:$F$64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'6277'!$B$68:$F$68</c:f>
              <c:numCache>
                <c:formatCode>0.00_);[Red]\(0.00\)</c:formatCode>
                <c:ptCount val="5"/>
                <c:pt idx="0">
                  <c:v>1.68</c:v>
                </c:pt>
                <c:pt idx="1">
                  <c:v>1.64</c:v>
                </c:pt>
                <c:pt idx="2">
                  <c:v>1.51</c:v>
                </c:pt>
                <c:pt idx="3">
                  <c:v>1.54</c:v>
                </c:pt>
                <c:pt idx="4">
                  <c:v>1.6035919098824343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CC-47DB-83C0-5497DCD78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'6285'!$A$65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'6285'!$B$64:$F$64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'6285'!$B$65:$F$65</c:f>
              <c:numCache>
                <c:formatCode>0.00_);[Red]\(0.00\)</c:formatCode>
                <c:ptCount val="5"/>
                <c:pt idx="0">
                  <c:v>0.92</c:v>
                </c:pt>
                <c:pt idx="1">
                  <c:v>0.78</c:v>
                </c:pt>
                <c:pt idx="2">
                  <c:v>1.43</c:v>
                </c:pt>
                <c:pt idx="3">
                  <c:v>1.56</c:v>
                </c:pt>
                <c:pt idx="4">
                  <c:v>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F-4B91-A982-C81E72420529}"/>
            </c:ext>
          </c:extLst>
        </c:ser>
        <c:ser>
          <c:idx val="1"/>
          <c:order val="1"/>
          <c:tx>
            <c:strRef>
              <c:f>'6285'!$A$66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'6285'!$B$64:$F$64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'6285'!$B$66:$F$66</c:f>
              <c:numCache>
                <c:formatCode>0.00_);[Red]\(0.00\)</c:formatCode>
                <c:ptCount val="5"/>
                <c:pt idx="0">
                  <c:v>1.24</c:v>
                </c:pt>
                <c:pt idx="1">
                  <c:v>1.18</c:v>
                </c:pt>
                <c:pt idx="2">
                  <c:v>1.22</c:v>
                </c:pt>
                <c:pt idx="3">
                  <c:v>1.1599999999999999</c:v>
                </c:pt>
                <c:pt idx="4">
                  <c:v>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FF-4B91-A982-C81E72420529}"/>
            </c:ext>
          </c:extLst>
        </c:ser>
        <c:ser>
          <c:idx val="2"/>
          <c:order val="2"/>
          <c:tx>
            <c:strRef>
              <c:f>'6285'!$A$67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'6285'!$B$64:$F$64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'6285'!$B$67:$F$67</c:f>
              <c:numCache>
                <c:formatCode>0.00_);[Red]\(0.00\)</c:formatCode>
                <c:ptCount val="5"/>
                <c:pt idx="0">
                  <c:v>1.77</c:v>
                </c:pt>
                <c:pt idx="1">
                  <c:v>1.1200000000000001</c:v>
                </c:pt>
                <c:pt idx="2">
                  <c:v>1.83</c:v>
                </c:pt>
                <c:pt idx="3">
                  <c:v>1.86</c:v>
                </c:pt>
                <c:pt idx="4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FF-4B91-A982-C81E72420529}"/>
            </c:ext>
          </c:extLst>
        </c:ser>
        <c:ser>
          <c:idx val="3"/>
          <c:order val="3"/>
          <c:tx>
            <c:strRef>
              <c:f>'6285'!$A$68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'6285'!$B$64:$F$64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'6285'!$B$68:$F$68</c:f>
              <c:numCache>
                <c:formatCode>0.00_);[Red]\(0.00\)</c:formatCode>
                <c:ptCount val="5"/>
                <c:pt idx="0">
                  <c:v>0.98</c:v>
                </c:pt>
                <c:pt idx="1">
                  <c:v>1.24</c:v>
                </c:pt>
                <c:pt idx="2">
                  <c:v>1.54</c:v>
                </c:pt>
                <c:pt idx="3">
                  <c:v>1.47</c:v>
                </c:pt>
                <c:pt idx="4">
                  <c:v>1.3595653882389727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FF-4B91-A982-C81E72420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'6412'!$A$65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'6412'!$B$64:$F$64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'6412'!$B$65:$F$65</c:f>
              <c:numCache>
                <c:formatCode>0.00_);[Red]\(0.00\)</c:formatCode>
                <c:ptCount val="5"/>
                <c:pt idx="0">
                  <c:v>0.33</c:v>
                </c:pt>
                <c:pt idx="1">
                  <c:v>0.37</c:v>
                </c:pt>
                <c:pt idx="2">
                  <c:v>0.41</c:v>
                </c:pt>
                <c:pt idx="3">
                  <c:v>0.48</c:v>
                </c:pt>
                <c:pt idx="4">
                  <c:v>0.61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B-411A-88CD-D953882DC3FA}"/>
            </c:ext>
          </c:extLst>
        </c:ser>
        <c:ser>
          <c:idx val="1"/>
          <c:order val="1"/>
          <c:tx>
            <c:strRef>
              <c:f>'6412'!$A$66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'6412'!$B$64:$F$64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'6412'!$B$66:$F$66</c:f>
              <c:numCache>
                <c:formatCode>0.00_);[Red]\(0.00\)</c:formatCode>
                <c:ptCount val="5"/>
                <c:pt idx="0">
                  <c:v>0.68</c:v>
                </c:pt>
                <c:pt idx="1">
                  <c:v>0.83</c:v>
                </c:pt>
                <c:pt idx="2">
                  <c:v>0.79</c:v>
                </c:pt>
                <c:pt idx="3">
                  <c:v>0.74</c:v>
                </c:pt>
                <c:pt idx="4">
                  <c:v>1.1100000000000001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6B-411A-88CD-D953882DC3FA}"/>
            </c:ext>
          </c:extLst>
        </c:ser>
        <c:ser>
          <c:idx val="2"/>
          <c:order val="2"/>
          <c:tx>
            <c:strRef>
              <c:f>'6412'!$A$67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'6412'!$B$64:$F$64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'6412'!$B$67:$F$67</c:f>
              <c:numCache>
                <c:formatCode>0.00_);[Red]\(0.00\)</c:formatCode>
                <c:ptCount val="5"/>
                <c:pt idx="0">
                  <c:v>1</c:v>
                </c:pt>
                <c:pt idx="1">
                  <c:v>1.01</c:v>
                </c:pt>
                <c:pt idx="2">
                  <c:v>0.81</c:v>
                </c:pt>
                <c:pt idx="3">
                  <c:v>0.3</c:v>
                </c:pt>
                <c:pt idx="4">
                  <c:v>1.39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6B-411A-88CD-D953882DC3FA}"/>
            </c:ext>
          </c:extLst>
        </c:ser>
        <c:ser>
          <c:idx val="3"/>
          <c:order val="3"/>
          <c:tx>
            <c:strRef>
              <c:f>'6412'!$A$68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'6412'!$B$64:$F$64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'6412'!$B$68:$F$68</c:f>
              <c:numCache>
                <c:formatCode>0.00_);[Red]\(0.00\)</c:formatCode>
                <c:ptCount val="5"/>
                <c:pt idx="0">
                  <c:v>0.44</c:v>
                </c:pt>
                <c:pt idx="1">
                  <c:v>0.95</c:v>
                </c:pt>
                <c:pt idx="2">
                  <c:v>1.2</c:v>
                </c:pt>
                <c:pt idx="3">
                  <c:v>2.2000000000000002</c:v>
                </c:pt>
                <c:pt idx="4">
                  <c:v>1.2398752620584312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6B-411A-88CD-D953882DC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'6803'!$A$65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'6803'!$B$64:$F$64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'6803'!$B$65:$F$65</c:f>
              <c:numCache>
                <c:formatCode>0.00_);[Red]\(0.00\)</c:formatCode>
                <c:ptCount val="5"/>
                <c:pt idx="0">
                  <c:v>2.3199999999999998</c:v>
                </c:pt>
                <c:pt idx="1">
                  <c:v>2.2999999999999998</c:v>
                </c:pt>
                <c:pt idx="2">
                  <c:v>2.5099999999999998</c:v>
                </c:pt>
                <c:pt idx="3">
                  <c:v>4.34</c:v>
                </c:pt>
                <c:pt idx="4">
                  <c:v>2.67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9-458E-8501-55C20CCA844B}"/>
            </c:ext>
          </c:extLst>
        </c:ser>
        <c:ser>
          <c:idx val="1"/>
          <c:order val="1"/>
          <c:tx>
            <c:strRef>
              <c:f>'6803'!$A$66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'6803'!$B$64:$F$64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'6803'!$B$66:$F$66</c:f>
              <c:numCache>
                <c:formatCode>0.00_);[Red]\(0.00\)</c:formatCode>
                <c:ptCount val="5"/>
                <c:pt idx="0">
                  <c:v>2.92</c:v>
                </c:pt>
                <c:pt idx="1">
                  <c:v>2.84</c:v>
                </c:pt>
                <c:pt idx="2">
                  <c:v>3.11</c:v>
                </c:pt>
                <c:pt idx="3">
                  <c:v>2.94</c:v>
                </c:pt>
                <c:pt idx="4">
                  <c:v>3.08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79-458E-8501-55C20CCA844B}"/>
            </c:ext>
          </c:extLst>
        </c:ser>
        <c:ser>
          <c:idx val="2"/>
          <c:order val="2"/>
          <c:tx>
            <c:strRef>
              <c:f>'6803'!$A$67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'6803'!$B$64:$F$64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'6803'!$B$67:$F$67</c:f>
              <c:numCache>
                <c:formatCode>0.00_);[Red]\(0.00\)</c:formatCode>
                <c:ptCount val="5"/>
                <c:pt idx="0">
                  <c:v>2.93</c:v>
                </c:pt>
                <c:pt idx="1">
                  <c:v>3.13</c:v>
                </c:pt>
                <c:pt idx="2">
                  <c:v>3.2</c:v>
                </c:pt>
                <c:pt idx="3">
                  <c:v>3.25</c:v>
                </c:pt>
                <c:pt idx="4">
                  <c:v>3.11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79-458E-8501-55C20CCA844B}"/>
            </c:ext>
          </c:extLst>
        </c:ser>
        <c:ser>
          <c:idx val="3"/>
          <c:order val="3"/>
          <c:tx>
            <c:strRef>
              <c:f>'6803'!$A$68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'6803'!$B$64:$F$64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'6803'!$B$68:$F$68</c:f>
              <c:numCache>
                <c:formatCode>0.00_);[Red]\(0.00\)</c:formatCode>
                <c:ptCount val="5"/>
                <c:pt idx="0">
                  <c:v>1.94</c:v>
                </c:pt>
                <c:pt idx="1">
                  <c:v>2.2400000000000002</c:v>
                </c:pt>
                <c:pt idx="2">
                  <c:v>2.04</c:v>
                </c:pt>
                <c:pt idx="3">
                  <c:v>2.2799999999999998</c:v>
                </c:pt>
                <c:pt idx="4">
                  <c:v>2.8925408960344057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79-458E-8501-55C20CCA8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'8016'!$A$65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'8016'!$B$64:$F$64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'8016'!$B$65:$F$65</c:f>
              <c:numCache>
                <c:formatCode>0.00_);[Red]\(0.00\)</c:formatCode>
                <c:ptCount val="5"/>
                <c:pt idx="0">
                  <c:v>0.72</c:v>
                </c:pt>
                <c:pt idx="1">
                  <c:v>1.22</c:v>
                </c:pt>
                <c:pt idx="2">
                  <c:v>1.65</c:v>
                </c:pt>
                <c:pt idx="3">
                  <c:v>1.97</c:v>
                </c:pt>
                <c:pt idx="4">
                  <c:v>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B-4A64-AE4D-155FD0EB5B3D}"/>
            </c:ext>
          </c:extLst>
        </c:ser>
        <c:ser>
          <c:idx val="1"/>
          <c:order val="1"/>
          <c:tx>
            <c:strRef>
              <c:f>'8016'!$A$66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'8016'!$B$64:$F$64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'8016'!$B$66:$F$66</c:f>
              <c:numCache>
                <c:formatCode>0.00_);[Red]\(0.00\)</c:formatCode>
                <c:ptCount val="5"/>
                <c:pt idx="0">
                  <c:v>0.77</c:v>
                </c:pt>
                <c:pt idx="1">
                  <c:v>1.23</c:v>
                </c:pt>
                <c:pt idx="2">
                  <c:v>1.33</c:v>
                </c:pt>
                <c:pt idx="3">
                  <c:v>1.87</c:v>
                </c:pt>
                <c:pt idx="4">
                  <c:v>1.74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EB-4A64-AE4D-155FD0EB5B3D}"/>
            </c:ext>
          </c:extLst>
        </c:ser>
        <c:ser>
          <c:idx val="2"/>
          <c:order val="2"/>
          <c:tx>
            <c:strRef>
              <c:f>'8016'!$A$67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'8016'!$B$64:$F$64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'8016'!$B$67:$F$67</c:f>
              <c:numCache>
                <c:formatCode>0.00_);[Red]\(0.00\)</c:formatCode>
                <c:ptCount val="5"/>
                <c:pt idx="0">
                  <c:v>0.99</c:v>
                </c:pt>
                <c:pt idx="1">
                  <c:v>1.6</c:v>
                </c:pt>
                <c:pt idx="2">
                  <c:v>1.97</c:v>
                </c:pt>
                <c:pt idx="3">
                  <c:v>2.5299999999999998</c:v>
                </c:pt>
                <c:pt idx="4">
                  <c:v>2.08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EB-4A64-AE4D-155FD0EB5B3D}"/>
            </c:ext>
          </c:extLst>
        </c:ser>
        <c:ser>
          <c:idx val="3"/>
          <c:order val="3"/>
          <c:tx>
            <c:strRef>
              <c:f>'8016'!$A$68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'8016'!$B$64:$F$64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'8016'!$B$68:$F$68</c:f>
              <c:numCache>
                <c:formatCode>0.00_);[Red]\(0.00\)</c:formatCode>
                <c:ptCount val="5"/>
                <c:pt idx="0">
                  <c:v>1.1499999999999999</c:v>
                </c:pt>
                <c:pt idx="1">
                  <c:v>1.97</c:v>
                </c:pt>
                <c:pt idx="2">
                  <c:v>2.1</c:v>
                </c:pt>
                <c:pt idx="3">
                  <c:v>2.41</c:v>
                </c:pt>
                <c:pt idx="4">
                  <c:v>1.9487854230886752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EB-4A64-AE4D-155FD0EB5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'8048'!$A$65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'8048'!$B$64:$F$64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'8048'!$B$65:$F$65</c:f>
              <c:numCache>
                <c:formatCode>0.00_);[Red]\(0.00\)</c:formatCode>
                <c:ptCount val="5"/>
                <c:pt idx="0">
                  <c:v>0.19</c:v>
                </c:pt>
                <c:pt idx="1">
                  <c:v>0.61</c:v>
                </c:pt>
                <c:pt idx="2">
                  <c:v>0.43</c:v>
                </c:pt>
                <c:pt idx="3">
                  <c:v>0.69</c:v>
                </c:pt>
                <c:pt idx="4">
                  <c:v>0.26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9-4EBB-83CF-2741FCAD9C4A}"/>
            </c:ext>
          </c:extLst>
        </c:ser>
        <c:ser>
          <c:idx val="1"/>
          <c:order val="1"/>
          <c:tx>
            <c:strRef>
              <c:f>'8048'!$A$66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'8048'!$B$64:$F$64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'8048'!$B$66:$F$66</c:f>
              <c:numCache>
                <c:formatCode>0.00_);[Red]\(0.00\)</c:formatCode>
                <c:ptCount val="5"/>
                <c:pt idx="0">
                  <c:v>0.28999999999999998</c:v>
                </c:pt>
                <c:pt idx="1">
                  <c:v>0.3</c:v>
                </c:pt>
                <c:pt idx="2">
                  <c:v>0.97</c:v>
                </c:pt>
                <c:pt idx="3">
                  <c:v>0.62</c:v>
                </c:pt>
                <c:pt idx="4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9-4EBB-83CF-2741FCAD9C4A}"/>
            </c:ext>
          </c:extLst>
        </c:ser>
        <c:ser>
          <c:idx val="2"/>
          <c:order val="2"/>
          <c:tx>
            <c:strRef>
              <c:f>'8048'!$A$67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'8048'!$B$64:$F$64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'8048'!$B$67:$F$67</c:f>
              <c:numCache>
                <c:formatCode>0.00_);[Red]\(0.00\)</c:formatCode>
                <c:ptCount val="5"/>
                <c:pt idx="0">
                  <c:v>0.32</c:v>
                </c:pt>
                <c:pt idx="1">
                  <c:v>0.43</c:v>
                </c:pt>
                <c:pt idx="2">
                  <c:v>1.49</c:v>
                </c:pt>
                <c:pt idx="3">
                  <c:v>0.43</c:v>
                </c:pt>
                <c:pt idx="4">
                  <c:v>0.84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79-4EBB-83CF-2741FCAD9C4A}"/>
            </c:ext>
          </c:extLst>
        </c:ser>
        <c:ser>
          <c:idx val="3"/>
          <c:order val="3"/>
          <c:tx>
            <c:strRef>
              <c:f>'8048'!$A$68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'8048'!$B$64:$F$64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'8048'!$B$68:$F$68</c:f>
              <c:numCache>
                <c:formatCode>0.00_);[Red]\(0.00\)</c:formatCode>
                <c:ptCount val="5"/>
                <c:pt idx="0">
                  <c:v>0.47</c:v>
                </c:pt>
                <c:pt idx="1">
                  <c:v>0.72</c:v>
                </c:pt>
                <c:pt idx="2">
                  <c:v>0.61</c:v>
                </c:pt>
                <c:pt idx="3">
                  <c:v>0.87</c:v>
                </c:pt>
                <c:pt idx="4">
                  <c:v>0.63007417490210937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79-4EBB-83CF-2741FCAD9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'8109'!$A$65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'8109'!$B$64:$F$64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'8109'!$B$65:$F$65</c:f>
              <c:numCache>
                <c:formatCode>0.00_);[Red]\(0.00\)</c:formatCode>
                <c:ptCount val="5"/>
                <c:pt idx="0">
                  <c:v>0.83</c:v>
                </c:pt>
                <c:pt idx="1">
                  <c:v>1.17</c:v>
                </c:pt>
                <c:pt idx="2">
                  <c:v>0.6</c:v>
                </c:pt>
                <c:pt idx="3">
                  <c:v>1.26</c:v>
                </c:pt>
                <c:pt idx="4">
                  <c:v>-0.11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F-43F4-A6C8-8B89AE3EE7C2}"/>
            </c:ext>
          </c:extLst>
        </c:ser>
        <c:ser>
          <c:idx val="1"/>
          <c:order val="1"/>
          <c:tx>
            <c:strRef>
              <c:f>'8109'!$A$66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'8109'!$B$64:$F$64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'8109'!$B$66:$F$66</c:f>
              <c:numCache>
                <c:formatCode>0.00_);[Red]\(0.00\)</c:formatCode>
                <c:ptCount val="5"/>
                <c:pt idx="0">
                  <c:v>1.0900000000000001</c:v>
                </c:pt>
                <c:pt idx="1">
                  <c:v>0.91</c:v>
                </c:pt>
                <c:pt idx="2">
                  <c:v>1.01</c:v>
                </c:pt>
                <c:pt idx="3">
                  <c:v>1.52</c:v>
                </c:pt>
                <c:pt idx="4">
                  <c:v>1.77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5F-43F4-A6C8-8B89AE3EE7C2}"/>
            </c:ext>
          </c:extLst>
        </c:ser>
        <c:ser>
          <c:idx val="2"/>
          <c:order val="2"/>
          <c:tx>
            <c:strRef>
              <c:f>'8109'!$A$67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'8109'!$B$64:$F$64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'8109'!$B$67:$F$67</c:f>
              <c:numCache>
                <c:formatCode>0.00_);[Red]\(0.00\)</c:formatCode>
                <c:ptCount val="5"/>
                <c:pt idx="0">
                  <c:v>1.1599999999999999</c:v>
                </c:pt>
                <c:pt idx="1">
                  <c:v>1.46</c:v>
                </c:pt>
                <c:pt idx="2">
                  <c:v>2.65</c:v>
                </c:pt>
                <c:pt idx="3">
                  <c:v>0.8</c:v>
                </c:pt>
                <c:pt idx="4">
                  <c:v>1.57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5F-43F4-A6C8-8B89AE3EE7C2}"/>
            </c:ext>
          </c:extLst>
        </c:ser>
        <c:ser>
          <c:idx val="3"/>
          <c:order val="3"/>
          <c:tx>
            <c:strRef>
              <c:f>'8109'!$A$68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'8109'!$B$64:$F$64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'8109'!$B$68:$F$68</c:f>
              <c:numCache>
                <c:formatCode>0.00_);[Red]\(0.00\)</c:formatCode>
                <c:ptCount val="5"/>
                <c:pt idx="0">
                  <c:v>1.27</c:v>
                </c:pt>
                <c:pt idx="1">
                  <c:v>1.77</c:v>
                </c:pt>
                <c:pt idx="2">
                  <c:v>1.28</c:v>
                </c:pt>
                <c:pt idx="3">
                  <c:v>1.8</c:v>
                </c:pt>
                <c:pt idx="4">
                  <c:v>1.4911431646717688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5F-43F4-A6C8-8B89AE3EE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'8210'!$A$65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'8210'!$B$64:$F$64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'8210'!$B$65:$F$65</c:f>
              <c:numCache>
                <c:formatCode>0.00_);[Red]\(0.00\)</c:formatCode>
                <c:ptCount val="5"/>
                <c:pt idx="0">
                  <c:v>0.66</c:v>
                </c:pt>
                <c:pt idx="1">
                  <c:v>1.1399999999999999</c:v>
                </c:pt>
                <c:pt idx="2">
                  <c:v>0.73</c:v>
                </c:pt>
                <c:pt idx="3">
                  <c:v>0.93</c:v>
                </c:pt>
                <c:pt idx="4">
                  <c:v>1.04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4-448F-8AA9-CFD25975A80B}"/>
            </c:ext>
          </c:extLst>
        </c:ser>
        <c:ser>
          <c:idx val="1"/>
          <c:order val="1"/>
          <c:tx>
            <c:strRef>
              <c:f>'8210'!$A$66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'8210'!$B$64:$F$64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'8210'!$B$66:$F$66</c:f>
              <c:numCache>
                <c:formatCode>0.00_);[Red]\(0.00\)</c:formatCode>
                <c:ptCount val="5"/>
                <c:pt idx="0">
                  <c:v>0.77</c:v>
                </c:pt>
                <c:pt idx="1">
                  <c:v>1.62</c:v>
                </c:pt>
                <c:pt idx="2">
                  <c:v>0.95</c:v>
                </c:pt>
                <c:pt idx="3">
                  <c:v>1.42</c:v>
                </c:pt>
                <c:pt idx="4">
                  <c:v>0.87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4-448F-8AA9-CFD25975A80B}"/>
            </c:ext>
          </c:extLst>
        </c:ser>
        <c:ser>
          <c:idx val="2"/>
          <c:order val="2"/>
          <c:tx>
            <c:strRef>
              <c:f>'8210'!$A$67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'8210'!$B$64:$F$64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'8210'!$B$67:$F$67</c:f>
              <c:numCache>
                <c:formatCode>0.00_);[Red]\(0.00\)</c:formatCode>
                <c:ptCount val="5"/>
                <c:pt idx="0">
                  <c:v>0.67</c:v>
                </c:pt>
                <c:pt idx="1">
                  <c:v>0.8</c:v>
                </c:pt>
                <c:pt idx="2">
                  <c:v>1.1200000000000001</c:v>
                </c:pt>
                <c:pt idx="3">
                  <c:v>1.1200000000000001</c:v>
                </c:pt>
                <c:pt idx="4">
                  <c:v>0.66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94-448F-8AA9-CFD25975A80B}"/>
            </c:ext>
          </c:extLst>
        </c:ser>
        <c:ser>
          <c:idx val="3"/>
          <c:order val="3"/>
          <c:tx>
            <c:strRef>
              <c:f>'8210'!$A$68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'8210'!$B$64:$F$64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'8210'!$B$68:$F$68</c:f>
              <c:numCache>
                <c:formatCode>0.00_);[Red]\(0.00\)</c:formatCode>
                <c:ptCount val="5"/>
                <c:pt idx="0">
                  <c:v>0.74</c:v>
                </c:pt>
                <c:pt idx="1">
                  <c:v>0.96</c:v>
                </c:pt>
                <c:pt idx="2">
                  <c:v>1.42</c:v>
                </c:pt>
                <c:pt idx="3">
                  <c:v>1.55</c:v>
                </c:pt>
                <c:pt idx="4">
                  <c:v>1.423358966011091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94-448F-8AA9-CFD25975A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'8255'!$A$65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'8255'!$B$64:$F$64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'8255'!$B$65:$F$65</c:f>
              <c:numCache>
                <c:formatCode>0.00_);[Red]\(0.00\)</c:formatCode>
                <c:ptCount val="5"/>
                <c:pt idx="0">
                  <c:v>1.41</c:v>
                </c:pt>
                <c:pt idx="1">
                  <c:v>2.08</c:v>
                </c:pt>
                <c:pt idx="2">
                  <c:v>1.88</c:v>
                </c:pt>
                <c:pt idx="3">
                  <c:v>1.93</c:v>
                </c:pt>
                <c:pt idx="4">
                  <c:v>1.21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E-4E49-BEF1-4F73FE7C3EBF}"/>
            </c:ext>
          </c:extLst>
        </c:ser>
        <c:ser>
          <c:idx val="1"/>
          <c:order val="1"/>
          <c:tx>
            <c:strRef>
              <c:f>'8255'!$A$66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'8255'!$B$64:$F$64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'8255'!$B$66:$F$66</c:f>
              <c:numCache>
                <c:formatCode>0.00_);[Red]\(0.00\)</c:formatCode>
                <c:ptCount val="5"/>
                <c:pt idx="0">
                  <c:v>1.88</c:v>
                </c:pt>
                <c:pt idx="1">
                  <c:v>1.88</c:v>
                </c:pt>
                <c:pt idx="2">
                  <c:v>1.94</c:v>
                </c:pt>
                <c:pt idx="3">
                  <c:v>2.12</c:v>
                </c:pt>
                <c:pt idx="4">
                  <c:v>2.02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4E-4E49-BEF1-4F73FE7C3EBF}"/>
            </c:ext>
          </c:extLst>
        </c:ser>
        <c:ser>
          <c:idx val="2"/>
          <c:order val="2"/>
          <c:tx>
            <c:strRef>
              <c:f>'8255'!$A$67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'8255'!$B$64:$F$64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'8255'!$B$67:$F$67</c:f>
              <c:numCache>
                <c:formatCode>0.00_);[Red]\(0.00\)</c:formatCode>
                <c:ptCount val="5"/>
                <c:pt idx="0">
                  <c:v>1.64</c:v>
                </c:pt>
                <c:pt idx="1">
                  <c:v>1.91</c:v>
                </c:pt>
                <c:pt idx="2">
                  <c:v>2.36</c:v>
                </c:pt>
                <c:pt idx="3">
                  <c:v>1.1499999999999999</c:v>
                </c:pt>
                <c:pt idx="4">
                  <c:v>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4E-4E49-BEF1-4F73FE7C3EBF}"/>
            </c:ext>
          </c:extLst>
        </c:ser>
        <c:ser>
          <c:idx val="3"/>
          <c:order val="3"/>
          <c:tx>
            <c:strRef>
              <c:f>'8255'!$A$68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'8255'!$B$64:$F$64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'8255'!$B$68:$F$68</c:f>
              <c:numCache>
                <c:formatCode>0.00_);[Red]\(0.00\)</c:formatCode>
                <c:ptCount val="5"/>
                <c:pt idx="0">
                  <c:v>3.08</c:v>
                </c:pt>
                <c:pt idx="1">
                  <c:v>2.0499999999999998</c:v>
                </c:pt>
                <c:pt idx="2">
                  <c:v>1.96</c:v>
                </c:pt>
                <c:pt idx="3">
                  <c:v>2.2999999999999998</c:v>
                </c:pt>
                <c:pt idx="4">
                  <c:v>2.1813105100022976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4E-4E49-BEF1-4F73FE7C3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'8299'!$A$65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'8299'!$B$64:$F$64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'8299'!$B$65:$F$65</c:f>
              <c:numCache>
                <c:formatCode>0.00_);[Red]\(0.00\)</c:formatCode>
                <c:ptCount val="5"/>
                <c:pt idx="0">
                  <c:v>4.1500000000000004</c:v>
                </c:pt>
                <c:pt idx="1">
                  <c:v>4.16</c:v>
                </c:pt>
                <c:pt idx="2">
                  <c:v>4.5199999999999996</c:v>
                </c:pt>
                <c:pt idx="3">
                  <c:v>4.71</c:v>
                </c:pt>
                <c:pt idx="4">
                  <c:v>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F-4863-9DB8-65DF496DEE74}"/>
            </c:ext>
          </c:extLst>
        </c:ser>
        <c:ser>
          <c:idx val="1"/>
          <c:order val="1"/>
          <c:tx>
            <c:strRef>
              <c:f>'8299'!$A$66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'8299'!$B$64:$F$64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'8299'!$B$66:$F$66</c:f>
              <c:numCache>
                <c:formatCode>0.00_);[Red]\(0.00\)</c:formatCode>
                <c:ptCount val="5"/>
                <c:pt idx="0">
                  <c:v>4.5199999999999996</c:v>
                </c:pt>
                <c:pt idx="1">
                  <c:v>4.3499999999999996</c:v>
                </c:pt>
                <c:pt idx="2">
                  <c:v>4.63</c:v>
                </c:pt>
                <c:pt idx="3">
                  <c:v>4.87</c:v>
                </c:pt>
                <c:pt idx="4">
                  <c:v>8.07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F-4863-9DB8-65DF496DEE74}"/>
            </c:ext>
          </c:extLst>
        </c:ser>
        <c:ser>
          <c:idx val="2"/>
          <c:order val="2"/>
          <c:tx>
            <c:strRef>
              <c:f>'8299'!$A$67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'8299'!$B$64:$F$64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'8299'!$B$67:$F$67</c:f>
              <c:numCache>
                <c:formatCode>0.00_);[Red]\(0.00\)</c:formatCode>
                <c:ptCount val="5"/>
                <c:pt idx="0">
                  <c:v>4.74</c:v>
                </c:pt>
                <c:pt idx="1">
                  <c:v>4.82</c:v>
                </c:pt>
                <c:pt idx="2">
                  <c:v>6</c:v>
                </c:pt>
                <c:pt idx="3">
                  <c:v>7.61</c:v>
                </c:pt>
                <c:pt idx="4">
                  <c:v>8.1199999999999992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F-4863-9DB8-65DF496DEE74}"/>
            </c:ext>
          </c:extLst>
        </c:ser>
        <c:ser>
          <c:idx val="3"/>
          <c:order val="3"/>
          <c:tx>
            <c:strRef>
              <c:f>'8299'!$A$68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'8299'!$B$64:$F$64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'8299'!$B$68:$F$68</c:f>
              <c:numCache>
                <c:formatCode>0.00_);[Red]\(0.00\)</c:formatCode>
                <c:ptCount val="5"/>
                <c:pt idx="0">
                  <c:v>4.16</c:v>
                </c:pt>
                <c:pt idx="1">
                  <c:v>4.2</c:v>
                </c:pt>
                <c:pt idx="2">
                  <c:v>5.29</c:v>
                </c:pt>
                <c:pt idx="3">
                  <c:v>7.48</c:v>
                </c:pt>
                <c:pt idx="4">
                  <c:v>5.6209217202643602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0F-4863-9DB8-65DF496DE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'8416'!$A$65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'8416'!$B$64:$F$64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'8416'!$B$65:$F$65</c:f>
              <c:numCache>
                <c:formatCode>0.00_);[Red]\(0.00\)</c:formatCode>
                <c:ptCount val="5"/>
                <c:pt idx="0">
                  <c:v>0.93</c:v>
                </c:pt>
                <c:pt idx="1">
                  <c:v>1.39</c:v>
                </c:pt>
                <c:pt idx="2">
                  <c:v>1.42</c:v>
                </c:pt>
                <c:pt idx="3">
                  <c:v>1.51</c:v>
                </c:pt>
                <c:pt idx="4">
                  <c:v>1.22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4-4FBE-9E32-8327A676ED66}"/>
            </c:ext>
          </c:extLst>
        </c:ser>
        <c:ser>
          <c:idx val="1"/>
          <c:order val="1"/>
          <c:tx>
            <c:strRef>
              <c:f>'8416'!$A$66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'8416'!$B$64:$F$64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'8416'!$B$66:$F$66</c:f>
              <c:numCache>
                <c:formatCode>0.00_);[Red]\(0.00\)</c:formatCode>
                <c:ptCount val="5"/>
                <c:pt idx="0">
                  <c:v>1.82</c:v>
                </c:pt>
                <c:pt idx="1">
                  <c:v>1.7</c:v>
                </c:pt>
                <c:pt idx="2">
                  <c:v>1.94</c:v>
                </c:pt>
                <c:pt idx="3">
                  <c:v>1.75</c:v>
                </c:pt>
                <c:pt idx="4">
                  <c:v>2.2999999999999998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4-4FBE-9E32-8327A676ED66}"/>
            </c:ext>
          </c:extLst>
        </c:ser>
        <c:ser>
          <c:idx val="2"/>
          <c:order val="2"/>
          <c:tx>
            <c:strRef>
              <c:f>'8416'!$A$67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'8416'!$B$64:$F$64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'8416'!$B$67:$F$67</c:f>
              <c:numCache>
                <c:formatCode>0.00_);[Red]\(0.00\)</c:formatCode>
                <c:ptCount val="5"/>
                <c:pt idx="0">
                  <c:v>1.32</c:v>
                </c:pt>
                <c:pt idx="1">
                  <c:v>1.89</c:v>
                </c:pt>
                <c:pt idx="2">
                  <c:v>0.99</c:v>
                </c:pt>
                <c:pt idx="3">
                  <c:v>1.4</c:v>
                </c:pt>
                <c:pt idx="4">
                  <c:v>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4-4FBE-9E32-8327A676ED66}"/>
            </c:ext>
          </c:extLst>
        </c:ser>
        <c:ser>
          <c:idx val="3"/>
          <c:order val="3"/>
          <c:tx>
            <c:strRef>
              <c:f>'8416'!$A$68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'8416'!$B$64:$F$64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'8416'!$B$68:$F$68</c:f>
              <c:numCache>
                <c:formatCode>0.00_);[Red]\(0.00\)</c:formatCode>
                <c:ptCount val="5"/>
                <c:pt idx="0">
                  <c:v>2.11</c:v>
                </c:pt>
                <c:pt idx="1">
                  <c:v>2.2599999999999998</c:v>
                </c:pt>
                <c:pt idx="2">
                  <c:v>3.77</c:v>
                </c:pt>
                <c:pt idx="3">
                  <c:v>3.04</c:v>
                </c:pt>
                <c:pt idx="4">
                  <c:v>3.8272195679513374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4-4FBE-9E32-8327A676E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'8422'!$A$65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'8422'!$B$64:$F$64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'8422'!$B$65:$F$65</c:f>
              <c:numCache>
                <c:formatCode>0.00_);[Red]\(0.00\)</c:formatCode>
                <c:ptCount val="5"/>
                <c:pt idx="0">
                  <c:v>2.33</c:v>
                </c:pt>
                <c:pt idx="1">
                  <c:v>2.56</c:v>
                </c:pt>
                <c:pt idx="2">
                  <c:v>2.74</c:v>
                </c:pt>
                <c:pt idx="3">
                  <c:v>3.55</c:v>
                </c:pt>
                <c:pt idx="4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7-44CA-818C-E7BCB48B893D}"/>
            </c:ext>
          </c:extLst>
        </c:ser>
        <c:ser>
          <c:idx val="1"/>
          <c:order val="1"/>
          <c:tx>
            <c:strRef>
              <c:f>'8422'!$A$66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'8422'!$B$64:$F$64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'8422'!$B$66:$F$66</c:f>
              <c:numCache>
                <c:formatCode>0.00_);[Red]\(0.00\)</c:formatCode>
                <c:ptCount val="5"/>
                <c:pt idx="0">
                  <c:v>2.4500000000000002</c:v>
                </c:pt>
                <c:pt idx="1">
                  <c:v>2.14</c:v>
                </c:pt>
                <c:pt idx="2">
                  <c:v>2.58</c:v>
                </c:pt>
                <c:pt idx="3">
                  <c:v>3.4</c:v>
                </c:pt>
                <c:pt idx="4">
                  <c:v>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87-44CA-818C-E7BCB48B893D}"/>
            </c:ext>
          </c:extLst>
        </c:ser>
        <c:ser>
          <c:idx val="2"/>
          <c:order val="2"/>
          <c:tx>
            <c:strRef>
              <c:f>'8422'!$A$67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'8422'!$B$64:$F$64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'8422'!$B$67:$F$67</c:f>
              <c:numCache>
                <c:formatCode>0.00_);[Red]\(0.00\)</c:formatCode>
                <c:ptCount val="5"/>
                <c:pt idx="0">
                  <c:v>3.63</c:v>
                </c:pt>
                <c:pt idx="1">
                  <c:v>2.13</c:v>
                </c:pt>
                <c:pt idx="2">
                  <c:v>2.99</c:v>
                </c:pt>
                <c:pt idx="3">
                  <c:v>3.43</c:v>
                </c:pt>
                <c:pt idx="4">
                  <c:v>2.98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87-44CA-818C-E7BCB48B893D}"/>
            </c:ext>
          </c:extLst>
        </c:ser>
        <c:ser>
          <c:idx val="3"/>
          <c:order val="3"/>
          <c:tx>
            <c:strRef>
              <c:f>'8422'!$A$68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'8422'!$B$64:$F$64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'8422'!$B$68:$F$68</c:f>
              <c:numCache>
                <c:formatCode>0.00_);[Red]\(0.00\)</c:formatCode>
                <c:ptCount val="5"/>
                <c:pt idx="0">
                  <c:v>3.06</c:v>
                </c:pt>
                <c:pt idx="1">
                  <c:v>2.6</c:v>
                </c:pt>
                <c:pt idx="2">
                  <c:v>3.01</c:v>
                </c:pt>
                <c:pt idx="3">
                  <c:v>2.85</c:v>
                </c:pt>
                <c:pt idx="4">
                  <c:v>2.329601506008987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87-44CA-818C-E7BCB48B8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'9910'!$A$65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'9910'!$B$64:$F$64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'9910'!$B$65:$F$65</c:f>
              <c:numCache>
                <c:formatCode>0.00_);[Red]\(0.00\)</c:formatCode>
                <c:ptCount val="5"/>
                <c:pt idx="0">
                  <c:v>0.75</c:v>
                </c:pt>
                <c:pt idx="1">
                  <c:v>1.18</c:v>
                </c:pt>
                <c:pt idx="2">
                  <c:v>1.45</c:v>
                </c:pt>
                <c:pt idx="3">
                  <c:v>1.53</c:v>
                </c:pt>
                <c:pt idx="4">
                  <c:v>1.1399999999999999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1-48B0-9858-039A4FC898AF}"/>
            </c:ext>
          </c:extLst>
        </c:ser>
        <c:ser>
          <c:idx val="1"/>
          <c:order val="1"/>
          <c:tx>
            <c:strRef>
              <c:f>'9910'!$A$66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'9910'!$B$64:$F$64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'9910'!$B$66:$F$66</c:f>
              <c:numCache>
                <c:formatCode>0.00_);[Red]\(0.00\)</c:formatCode>
                <c:ptCount val="5"/>
                <c:pt idx="0">
                  <c:v>1.1499999999999999</c:v>
                </c:pt>
                <c:pt idx="1">
                  <c:v>1.06</c:v>
                </c:pt>
                <c:pt idx="2">
                  <c:v>1.64</c:v>
                </c:pt>
                <c:pt idx="3">
                  <c:v>2.09</c:v>
                </c:pt>
                <c:pt idx="4">
                  <c:v>1.74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61-48B0-9858-039A4FC898AF}"/>
            </c:ext>
          </c:extLst>
        </c:ser>
        <c:ser>
          <c:idx val="2"/>
          <c:order val="2"/>
          <c:tx>
            <c:strRef>
              <c:f>'9910'!$A$67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'9910'!$B$64:$F$64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'9910'!$B$67:$F$67</c:f>
              <c:numCache>
                <c:formatCode>0.00_);[Red]\(0.00\)</c:formatCode>
                <c:ptCount val="5"/>
                <c:pt idx="0">
                  <c:v>1.17</c:v>
                </c:pt>
                <c:pt idx="1">
                  <c:v>1.51</c:v>
                </c:pt>
                <c:pt idx="2">
                  <c:v>2.1</c:v>
                </c:pt>
                <c:pt idx="3">
                  <c:v>1.74</c:v>
                </c:pt>
                <c:pt idx="4">
                  <c:v>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61-48B0-9858-039A4FC898AF}"/>
            </c:ext>
          </c:extLst>
        </c:ser>
        <c:ser>
          <c:idx val="3"/>
          <c:order val="3"/>
          <c:tx>
            <c:strRef>
              <c:f>'9910'!$A$68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'9910'!$B$64:$F$64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'9910'!$B$68:$F$68</c:f>
              <c:numCache>
                <c:formatCode>0.00_);[Red]\(0.00\)</c:formatCode>
                <c:ptCount val="5"/>
                <c:pt idx="0">
                  <c:v>1.08</c:v>
                </c:pt>
                <c:pt idx="1">
                  <c:v>1.63</c:v>
                </c:pt>
                <c:pt idx="2">
                  <c:v>1.96</c:v>
                </c:pt>
                <c:pt idx="3">
                  <c:v>1.46</c:v>
                </c:pt>
                <c:pt idx="4">
                  <c:v>1.4583960048215368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61-48B0-9858-039A4FC89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'9914'!$A$65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'9914'!$B$64:$F$64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'9914'!$B$65:$F$65</c:f>
              <c:numCache>
                <c:formatCode>0.00_);[Red]\(0.00\)</c:formatCode>
                <c:ptCount val="5"/>
                <c:pt idx="0">
                  <c:v>2.38</c:v>
                </c:pt>
                <c:pt idx="1">
                  <c:v>2.54</c:v>
                </c:pt>
                <c:pt idx="2">
                  <c:v>2.35</c:v>
                </c:pt>
                <c:pt idx="3">
                  <c:v>1.53</c:v>
                </c:pt>
                <c:pt idx="4">
                  <c:v>1.01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D-4148-B70D-0838D96E1AA5}"/>
            </c:ext>
          </c:extLst>
        </c:ser>
        <c:ser>
          <c:idx val="1"/>
          <c:order val="1"/>
          <c:tx>
            <c:strRef>
              <c:f>'9914'!$A$66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'9914'!$B$64:$F$64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'9914'!$B$66:$F$66</c:f>
              <c:numCache>
                <c:formatCode>0.00_);[Red]\(0.00\)</c:formatCode>
                <c:ptCount val="5"/>
                <c:pt idx="0">
                  <c:v>2.62</c:v>
                </c:pt>
                <c:pt idx="1">
                  <c:v>2.46</c:v>
                </c:pt>
                <c:pt idx="2">
                  <c:v>1.96</c:v>
                </c:pt>
                <c:pt idx="3">
                  <c:v>1.45</c:v>
                </c:pt>
                <c:pt idx="4">
                  <c:v>0.49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D-4148-B70D-0838D96E1AA5}"/>
            </c:ext>
          </c:extLst>
        </c:ser>
        <c:ser>
          <c:idx val="2"/>
          <c:order val="2"/>
          <c:tx>
            <c:strRef>
              <c:f>'9914'!$A$67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'9914'!$B$64:$F$64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'9914'!$B$67:$F$67</c:f>
              <c:numCache>
                <c:formatCode>0.00_);[Red]\(0.00\)</c:formatCode>
                <c:ptCount val="5"/>
                <c:pt idx="0">
                  <c:v>2.93</c:v>
                </c:pt>
                <c:pt idx="1">
                  <c:v>3.33</c:v>
                </c:pt>
                <c:pt idx="2">
                  <c:v>3.72</c:v>
                </c:pt>
                <c:pt idx="3">
                  <c:v>1.67</c:v>
                </c:pt>
                <c:pt idx="4">
                  <c:v>1.35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4D-4148-B70D-0838D96E1AA5}"/>
            </c:ext>
          </c:extLst>
        </c:ser>
        <c:ser>
          <c:idx val="3"/>
          <c:order val="3"/>
          <c:tx>
            <c:strRef>
              <c:f>'9914'!$A$68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'9914'!$B$64:$F$64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'9914'!$B$68:$F$68</c:f>
              <c:numCache>
                <c:formatCode>0.00_);[Red]\(0.00\)</c:formatCode>
                <c:ptCount val="5"/>
                <c:pt idx="0">
                  <c:v>2.29</c:v>
                </c:pt>
                <c:pt idx="1">
                  <c:v>3.1</c:v>
                </c:pt>
                <c:pt idx="2">
                  <c:v>2.13</c:v>
                </c:pt>
                <c:pt idx="3">
                  <c:v>1.77</c:v>
                </c:pt>
                <c:pt idx="4">
                  <c:v>1.4825311220524269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4D-4148-B70D-0838D96E1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'9917'!$A$65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'9917'!$B$65:$F$65</c:f>
              <c:numCache>
                <c:formatCode>0.00_);[Red]\(0.00\)</c:formatCode>
                <c:ptCount val="5"/>
                <c:pt idx="0">
                  <c:v>1.08</c:v>
                </c:pt>
                <c:pt idx="1">
                  <c:v>1.1599999999999999</c:v>
                </c:pt>
                <c:pt idx="2">
                  <c:v>1.2</c:v>
                </c:pt>
                <c:pt idx="3">
                  <c:v>1.05</c:v>
                </c:pt>
                <c:pt idx="4">
                  <c:v>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BF-4190-8E21-4D204FB55E44}"/>
            </c:ext>
          </c:extLst>
        </c:ser>
        <c:ser>
          <c:idx val="1"/>
          <c:order val="1"/>
          <c:tx>
            <c:strRef>
              <c:f>'9917'!$A$66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'9917'!$B$66:$F$66</c:f>
              <c:numCache>
                <c:formatCode>0.00_);[Red]\(0.00\)</c:formatCode>
                <c:ptCount val="5"/>
                <c:pt idx="0">
                  <c:v>1.0900000000000001</c:v>
                </c:pt>
                <c:pt idx="1">
                  <c:v>1.22</c:v>
                </c:pt>
                <c:pt idx="2">
                  <c:v>1.18</c:v>
                </c:pt>
                <c:pt idx="3">
                  <c:v>1.0900000000000001</c:v>
                </c:pt>
                <c:pt idx="4">
                  <c:v>1.26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BF-4190-8E21-4D204FB55E44}"/>
            </c:ext>
          </c:extLst>
        </c:ser>
        <c:ser>
          <c:idx val="2"/>
          <c:order val="2"/>
          <c:tx>
            <c:strRef>
              <c:f>'9917'!$A$67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'9917'!$B$67:$F$67</c:f>
              <c:numCache>
                <c:formatCode>0.00_);[Red]\(0.00\)</c:formatCode>
                <c:ptCount val="5"/>
                <c:pt idx="0">
                  <c:v>1.2</c:v>
                </c:pt>
                <c:pt idx="1">
                  <c:v>1.31</c:v>
                </c:pt>
                <c:pt idx="2">
                  <c:v>1.25</c:v>
                </c:pt>
                <c:pt idx="3">
                  <c:v>1.03</c:v>
                </c:pt>
                <c:pt idx="4">
                  <c:v>1.1399999999999999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BF-4190-8E21-4D204FB55E44}"/>
            </c:ext>
          </c:extLst>
        </c:ser>
        <c:ser>
          <c:idx val="3"/>
          <c:order val="3"/>
          <c:tx>
            <c:strRef>
              <c:f>'9917'!$A$68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'9917'!$B$64:$F$64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'9917'!$B$68:$F$68</c:f>
              <c:numCache>
                <c:formatCode>0.00_);[Red]\(0.00\)</c:formatCode>
                <c:ptCount val="5"/>
                <c:pt idx="0">
                  <c:v>1.1599999999999999</c:v>
                </c:pt>
                <c:pt idx="1">
                  <c:v>1.06</c:v>
                </c:pt>
                <c:pt idx="2">
                  <c:v>1.1100000000000001</c:v>
                </c:pt>
                <c:pt idx="3">
                  <c:v>-1.77</c:v>
                </c:pt>
                <c:pt idx="4">
                  <c:v>1.3980817488242026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BF-4190-8E21-4D204FB55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'9921'!$A$65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'9921'!$B$65:$F$65</c:f>
              <c:numCache>
                <c:formatCode>0.00_);[Red]\(0.00\)</c:formatCode>
                <c:ptCount val="5"/>
                <c:pt idx="0">
                  <c:v>2.36</c:v>
                </c:pt>
                <c:pt idx="1">
                  <c:v>2.83</c:v>
                </c:pt>
                <c:pt idx="2">
                  <c:v>2.5299999999999998</c:v>
                </c:pt>
                <c:pt idx="3">
                  <c:v>2.2799999999999998</c:v>
                </c:pt>
                <c:pt idx="4">
                  <c:v>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5-4110-B652-76C3F7F6736A}"/>
            </c:ext>
          </c:extLst>
        </c:ser>
        <c:ser>
          <c:idx val="1"/>
          <c:order val="1"/>
          <c:tx>
            <c:strRef>
              <c:f>'9921'!$A$66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'9921'!$B$66:$F$66</c:f>
              <c:numCache>
                <c:formatCode>0.00_);[Red]\(0.00\)</c:formatCode>
                <c:ptCount val="5"/>
                <c:pt idx="0">
                  <c:v>2.2200000000000002</c:v>
                </c:pt>
                <c:pt idx="1">
                  <c:v>2.29</c:v>
                </c:pt>
                <c:pt idx="2">
                  <c:v>2.2200000000000002</c:v>
                </c:pt>
                <c:pt idx="3">
                  <c:v>2.2400000000000002</c:v>
                </c:pt>
                <c:pt idx="4">
                  <c:v>1.81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5-4110-B652-76C3F7F6736A}"/>
            </c:ext>
          </c:extLst>
        </c:ser>
        <c:ser>
          <c:idx val="2"/>
          <c:order val="2"/>
          <c:tx>
            <c:strRef>
              <c:f>'9921'!$A$67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'9921'!$B$67:$F$67</c:f>
              <c:numCache>
                <c:formatCode>0.00_);[Red]\(0.00\)</c:formatCode>
                <c:ptCount val="5"/>
                <c:pt idx="0">
                  <c:v>2.4700000000000002</c:v>
                </c:pt>
                <c:pt idx="1">
                  <c:v>3.07</c:v>
                </c:pt>
                <c:pt idx="2">
                  <c:v>3.24</c:v>
                </c:pt>
                <c:pt idx="3">
                  <c:v>1.89</c:v>
                </c:pt>
                <c:pt idx="4">
                  <c:v>1.92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B5-4110-B652-76C3F7F6736A}"/>
            </c:ext>
          </c:extLst>
        </c:ser>
        <c:ser>
          <c:idx val="3"/>
          <c:order val="3"/>
          <c:tx>
            <c:strRef>
              <c:f>'9921'!$A$68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'9921'!$B$64:$F$64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'9921'!$B$68:$F$68</c:f>
              <c:numCache>
                <c:formatCode>0.00_);[Red]\(0.00\)</c:formatCode>
                <c:ptCount val="5"/>
                <c:pt idx="0">
                  <c:v>2.29</c:v>
                </c:pt>
                <c:pt idx="1">
                  <c:v>2.78</c:v>
                </c:pt>
                <c:pt idx="2">
                  <c:v>2.2599999999999998</c:v>
                </c:pt>
                <c:pt idx="3">
                  <c:v>1.77</c:v>
                </c:pt>
                <c:pt idx="4">
                  <c:v>1.5601099794460984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B5-4110-B652-76C3F7F67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'9924'!$A$65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'9924'!$B$64:$F$64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'9924'!$B$65:$F$65</c:f>
              <c:numCache>
                <c:formatCode>0.00_);[Red]\(0.00\)</c:formatCode>
                <c:ptCount val="5"/>
                <c:pt idx="0">
                  <c:v>0.34</c:v>
                </c:pt>
                <c:pt idx="1">
                  <c:v>0.28000000000000003</c:v>
                </c:pt>
                <c:pt idx="2">
                  <c:v>0.88</c:v>
                </c:pt>
                <c:pt idx="3">
                  <c:v>0.96</c:v>
                </c:pt>
                <c:pt idx="4">
                  <c:v>0.51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B5-4E75-B98B-07B373930E00}"/>
            </c:ext>
          </c:extLst>
        </c:ser>
        <c:ser>
          <c:idx val="1"/>
          <c:order val="1"/>
          <c:tx>
            <c:strRef>
              <c:f>'9924'!$A$66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'9924'!$B$64:$F$64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'9924'!$B$66:$F$66</c:f>
              <c:numCache>
                <c:formatCode>0.00_);[Red]\(0.00\)</c:formatCode>
                <c:ptCount val="5"/>
                <c:pt idx="0">
                  <c:v>0.39</c:v>
                </c:pt>
                <c:pt idx="1">
                  <c:v>0.73</c:v>
                </c:pt>
                <c:pt idx="2">
                  <c:v>0.93</c:v>
                </c:pt>
                <c:pt idx="3">
                  <c:v>1.28</c:v>
                </c:pt>
                <c:pt idx="4">
                  <c:v>0.81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B5-4E75-B98B-07B373930E00}"/>
            </c:ext>
          </c:extLst>
        </c:ser>
        <c:ser>
          <c:idx val="2"/>
          <c:order val="2"/>
          <c:tx>
            <c:strRef>
              <c:f>'9924'!$A$67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'9924'!$B$64:$F$64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'9924'!$B$67:$F$67</c:f>
              <c:numCache>
                <c:formatCode>0.00_);[Red]\(0.00\)</c:formatCode>
                <c:ptCount val="5"/>
                <c:pt idx="0">
                  <c:v>1.9</c:v>
                </c:pt>
                <c:pt idx="1">
                  <c:v>1</c:v>
                </c:pt>
                <c:pt idx="2">
                  <c:v>1.44</c:v>
                </c:pt>
                <c:pt idx="3">
                  <c:v>1.1200000000000001</c:v>
                </c:pt>
                <c:pt idx="4">
                  <c:v>0.94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B5-4E75-B98B-07B373930E00}"/>
            </c:ext>
          </c:extLst>
        </c:ser>
        <c:ser>
          <c:idx val="3"/>
          <c:order val="3"/>
          <c:tx>
            <c:strRef>
              <c:f>'9924'!$A$68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'9924'!$B$64:$F$64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'9924'!$B$68:$F$68</c:f>
              <c:numCache>
                <c:formatCode>0.00_);[Red]\(0.00\)</c:formatCode>
                <c:ptCount val="5"/>
                <c:pt idx="0">
                  <c:v>0.46</c:v>
                </c:pt>
                <c:pt idx="1">
                  <c:v>0.68</c:v>
                </c:pt>
                <c:pt idx="2">
                  <c:v>0.97</c:v>
                </c:pt>
                <c:pt idx="3">
                  <c:v>1</c:v>
                </c:pt>
                <c:pt idx="4">
                  <c:v>0.90542201369208142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B5-4E75-B98B-07B373930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'9925'!$A$65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'9925'!$B$64:$F$64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'9925'!$B$65:$F$65</c:f>
              <c:numCache>
                <c:formatCode>0.00_);[Red]\(0.00\)</c:formatCode>
                <c:ptCount val="5"/>
                <c:pt idx="0">
                  <c:v>0.54</c:v>
                </c:pt>
                <c:pt idx="1">
                  <c:v>0.71</c:v>
                </c:pt>
                <c:pt idx="2">
                  <c:v>0.6</c:v>
                </c:pt>
                <c:pt idx="3">
                  <c:v>0.6</c:v>
                </c:pt>
                <c:pt idx="4">
                  <c:v>0.44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A-4B5A-9456-761AB4F08CFE}"/>
            </c:ext>
          </c:extLst>
        </c:ser>
        <c:ser>
          <c:idx val="1"/>
          <c:order val="1"/>
          <c:tx>
            <c:strRef>
              <c:f>'9925'!$A$66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'9925'!$B$64:$F$64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'9925'!$B$66:$F$66</c:f>
              <c:numCache>
                <c:formatCode>0.00_);[Red]\(0.00\)</c:formatCode>
                <c:ptCount val="5"/>
                <c:pt idx="0">
                  <c:v>0.89</c:v>
                </c:pt>
                <c:pt idx="1">
                  <c:v>0.62</c:v>
                </c:pt>
                <c:pt idx="2">
                  <c:v>0.85</c:v>
                </c:pt>
                <c:pt idx="3">
                  <c:v>0.79</c:v>
                </c:pt>
                <c:pt idx="4">
                  <c:v>0.82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A-4B5A-9456-761AB4F08CFE}"/>
            </c:ext>
          </c:extLst>
        </c:ser>
        <c:ser>
          <c:idx val="2"/>
          <c:order val="2"/>
          <c:tx>
            <c:strRef>
              <c:f>'9925'!$A$67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'9925'!$B$64:$F$64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'9925'!$B$67:$F$67</c:f>
              <c:numCache>
                <c:formatCode>0.00_);[Red]\(0.00\)</c:formatCode>
                <c:ptCount val="5"/>
                <c:pt idx="0">
                  <c:v>0.76</c:v>
                </c:pt>
                <c:pt idx="1">
                  <c:v>0.99</c:v>
                </c:pt>
                <c:pt idx="2">
                  <c:v>0.87</c:v>
                </c:pt>
                <c:pt idx="3">
                  <c:v>0.72</c:v>
                </c:pt>
                <c:pt idx="4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1A-4B5A-9456-761AB4F08CFE}"/>
            </c:ext>
          </c:extLst>
        </c:ser>
        <c:ser>
          <c:idx val="3"/>
          <c:order val="3"/>
          <c:tx>
            <c:strRef>
              <c:f>'9925'!$A$68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'9925'!$B$64:$F$64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'9925'!$B$68:$F$68</c:f>
              <c:numCache>
                <c:formatCode>0.00_);[Red]\(0.00\)</c:formatCode>
                <c:ptCount val="5"/>
                <c:pt idx="0">
                  <c:v>0.52</c:v>
                </c:pt>
                <c:pt idx="1">
                  <c:v>0.4</c:v>
                </c:pt>
                <c:pt idx="2">
                  <c:v>0.49</c:v>
                </c:pt>
                <c:pt idx="3">
                  <c:v>0.44</c:v>
                </c:pt>
                <c:pt idx="4">
                  <c:v>0.64852949801911075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1A-4B5A-9456-761AB4F08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'9930'!$A$65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'9930'!$B$64:$F$64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'9930'!$B$65:$F$65</c:f>
              <c:numCache>
                <c:formatCode>0.00_);[Red]\(0.00\)</c:formatCode>
                <c:ptCount val="5"/>
                <c:pt idx="0">
                  <c:v>0.71</c:v>
                </c:pt>
                <c:pt idx="1">
                  <c:v>0.95</c:v>
                </c:pt>
                <c:pt idx="2">
                  <c:v>1.07</c:v>
                </c:pt>
                <c:pt idx="3">
                  <c:v>0.65</c:v>
                </c:pt>
                <c:pt idx="4">
                  <c:v>0.77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1-46A3-AE0A-D3FCA4EF2422}"/>
            </c:ext>
          </c:extLst>
        </c:ser>
        <c:ser>
          <c:idx val="1"/>
          <c:order val="1"/>
          <c:tx>
            <c:strRef>
              <c:f>'9930'!$A$66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'9930'!$B$64:$F$64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'9930'!$B$66:$F$66</c:f>
              <c:numCache>
                <c:formatCode>0.00_);[Red]\(0.00\)</c:formatCode>
                <c:ptCount val="5"/>
                <c:pt idx="0">
                  <c:v>1.02</c:v>
                </c:pt>
                <c:pt idx="1">
                  <c:v>1.1399999999999999</c:v>
                </c:pt>
                <c:pt idx="2">
                  <c:v>0.92</c:v>
                </c:pt>
                <c:pt idx="3">
                  <c:v>0.81</c:v>
                </c:pt>
                <c:pt idx="4">
                  <c:v>0.66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31-46A3-AE0A-D3FCA4EF2422}"/>
            </c:ext>
          </c:extLst>
        </c:ser>
        <c:ser>
          <c:idx val="2"/>
          <c:order val="2"/>
          <c:tx>
            <c:strRef>
              <c:f>'9930'!$A$67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'9930'!$B$64:$F$64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'9930'!$B$67:$F$67</c:f>
              <c:numCache>
                <c:formatCode>0.00_);[Red]\(0.00\)</c:formatCode>
                <c:ptCount val="5"/>
                <c:pt idx="0">
                  <c:v>1.03</c:v>
                </c:pt>
                <c:pt idx="1">
                  <c:v>1.17</c:v>
                </c:pt>
                <c:pt idx="2">
                  <c:v>0.95</c:v>
                </c:pt>
                <c:pt idx="3">
                  <c:v>0.56000000000000005</c:v>
                </c:pt>
                <c:pt idx="4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31-46A3-AE0A-D3FCA4EF2422}"/>
            </c:ext>
          </c:extLst>
        </c:ser>
        <c:ser>
          <c:idx val="3"/>
          <c:order val="3"/>
          <c:tx>
            <c:strRef>
              <c:f>'9930'!$A$68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'9930'!$B$64:$F$64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'9930'!$B$68:$F$68</c:f>
              <c:numCache>
                <c:formatCode>0.00_);[Red]\(0.00\)</c:formatCode>
                <c:ptCount val="5"/>
                <c:pt idx="0">
                  <c:v>1.1599999999999999</c:v>
                </c:pt>
                <c:pt idx="1">
                  <c:v>1.31</c:v>
                </c:pt>
                <c:pt idx="2">
                  <c:v>1.06</c:v>
                </c:pt>
                <c:pt idx="3">
                  <c:v>0.7</c:v>
                </c:pt>
                <c:pt idx="4">
                  <c:v>0.75165891842267207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31-46A3-AE0A-D3FCA4EF2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'9940'!$A$65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'9940'!$B$64:$F$64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'9940'!$B$65:$F$65</c:f>
              <c:numCache>
                <c:formatCode>0.00_);[Red]\(0.00\)</c:formatCode>
                <c:ptCount val="5"/>
                <c:pt idx="0">
                  <c:v>1.01</c:v>
                </c:pt>
                <c:pt idx="1">
                  <c:v>0.48</c:v>
                </c:pt>
                <c:pt idx="2">
                  <c:v>0.13</c:v>
                </c:pt>
                <c:pt idx="3">
                  <c:v>-0.1</c:v>
                </c:pt>
                <c:pt idx="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0-45D5-A8FB-C2010E75325A}"/>
            </c:ext>
          </c:extLst>
        </c:ser>
        <c:ser>
          <c:idx val="1"/>
          <c:order val="1"/>
          <c:tx>
            <c:strRef>
              <c:f>'9940'!$A$66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'9940'!$B$64:$F$64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'9940'!$B$66:$F$66</c:f>
              <c:numCache>
                <c:formatCode>0.00_);[Red]\(0.00\)</c:formatCode>
                <c:ptCount val="5"/>
                <c:pt idx="0">
                  <c:v>1.7</c:v>
                </c:pt>
                <c:pt idx="1">
                  <c:v>0.5</c:v>
                </c:pt>
                <c:pt idx="2">
                  <c:v>0.38</c:v>
                </c:pt>
                <c:pt idx="3">
                  <c:v>0.34</c:v>
                </c:pt>
                <c:pt idx="4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0-45D5-A8FB-C2010E75325A}"/>
            </c:ext>
          </c:extLst>
        </c:ser>
        <c:ser>
          <c:idx val="2"/>
          <c:order val="2"/>
          <c:tx>
            <c:strRef>
              <c:f>'9940'!$A$67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'9940'!$B$64:$F$64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'9940'!$B$67:$F$67</c:f>
              <c:numCache>
                <c:formatCode>0.00_);[Red]\(0.00\)</c:formatCode>
                <c:ptCount val="5"/>
                <c:pt idx="0">
                  <c:v>1.17</c:v>
                </c:pt>
                <c:pt idx="1">
                  <c:v>0.21</c:v>
                </c:pt>
                <c:pt idx="2">
                  <c:v>0.17</c:v>
                </c:pt>
                <c:pt idx="3">
                  <c:v>0.32</c:v>
                </c:pt>
                <c:pt idx="4">
                  <c:v>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0-45D5-A8FB-C2010E75325A}"/>
            </c:ext>
          </c:extLst>
        </c:ser>
        <c:ser>
          <c:idx val="3"/>
          <c:order val="3"/>
          <c:tx>
            <c:strRef>
              <c:f>'9940'!$A$68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'9940'!$B$64:$F$64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'9940'!$B$68:$F$68</c:f>
              <c:numCache>
                <c:formatCode>0.00_);[Red]\(0.00\)</c:formatCode>
                <c:ptCount val="5"/>
                <c:pt idx="0">
                  <c:v>1.1200000000000001</c:v>
                </c:pt>
                <c:pt idx="1">
                  <c:v>0.65</c:v>
                </c:pt>
                <c:pt idx="2">
                  <c:v>0.21</c:v>
                </c:pt>
                <c:pt idx="3">
                  <c:v>0.91</c:v>
                </c:pt>
                <c:pt idx="4">
                  <c:v>0.4826102731981613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50-45D5-A8FB-C2010E753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'9942'!$A$65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'9942'!$B$64:$F$64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'9942'!$B$65:$F$65</c:f>
              <c:numCache>
                <c:formatCode>0.00_);[Red]\(0.00\)</c:formatCode>
                <c:ptCount val="5"/>
                <c:pt idx="0">
                  <c:v>1.3</c:v>
                </c:pt>
                <c:pt idx="1">
                  <c:v>1.73</c:v>
                </c:pt>
                <c:pt idx="2">
                  <c:v>1.22</c:v>
                </c:pt>
                <c:pt idx="3">
                  <c:v>1.29</c:v>
                </c:pt>
                <c:pt idx="4">
                  <c:v>1.1200000000000001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2-4FE4-A634-46106E36EAE9}"/>
            </c:ext>
          </c:extLst>
        </c:ser>
        <c:ser>
          <c:idx val="1"/>
          <c:order val="1"/>
          <c:tx>
            <c:strRef>
              <c:f>'9942'!$A$66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'9942'!$B$64:$F$64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'9942'!$B$66:$F$66</c:f>
              <c:numCache>
                <c:formatCode>0.00_);[Red]\(0.00\)</c:formatCode>
                <c:ptCount val="5"/>
                <c:pt idx="0">
                  <c:v>1.55</c:v>
                </c:pt>
                <c:pt idx="1">
                  <c:v>1.65</c:v>
                </c:pt>
                <c:pt idx="2">
                  <c:v>1.23</c:v>
                </c:pt>
                <c:pt idx="3">
                  <c:v>1.63</c:v>
                </c:pt>
                <c:pt idx="4">
                  <c:v>1.76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22-4FE4-A634-46106E36EAE9}"/>
            </c:ext>
          </c:extLst>
        </c:ser>
        <c:ser>
          <c:idx val="2"/>
          <c:order val="2"/>
          <c:tx>
            <c:strRef>
              <c:f>'9942'!$A$67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'9942'!$B$64:$F$64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'9942'!$B$67:$F$67</c:f>
              <c:numCache>
                <c:formatCode>0.00_);[Red]\(0.00\)</c:formatCode>
                <c:ptCount val="5"/>
                <c:pt idx="0">
                  <c:v>1.53</c:v>
                </c:pt>
                <c:pt idx="1">
                  <c:v>1.63</c:v>
                </c:pt>
                <c:pt idx="2">
                  <c:v>1.56</c:v>
                </c:pt>
                <c:pt idx="3">
                  <c:v>1.37</c:v>
                </c:pt>
                <c:pt idx="4">
                  <c:v>1.92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22-4FE4-A634-46106E36EAE9}"/>
            </c:ext>
          </c:extLst>
        </c:ser>
        <c:ser>
          <c:idx val="3"/>
          <c:order val="3"/>
          <c:tx>
            <c:strRef>
              <c:f>'9942'!$A$68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'9942'!$B$64:$F$64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'9942'!$B$68:$F$68</c:f>
              <c:numCache>
                <c:formatCode>0.00_);[Red]\(0.00\)</c:formatCode>
                <c:ptCount val="5"/>
                <c:pt idx="0">
                  <c:v>1.68</c:v>
                </c:pt>
                <c:pt idx="1">
                  <c:v>1.3</c:v>
                </c:pt>
                <c:pt idx="2">
                  <c:v>1.08</c:v>
                </c:pt>
                <c:pt idx="3">
                  <c:v>1.58</c:v>
                </c:pt>
                <c:pt idx="4">
                  <c:v>1.5177303412881622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22-4FE4-A634-46106E3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'9943'!$A$65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'9943'!$B$64:$F$64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'9943'!$B$65:$F$65</c:f>
              <c:numCache>
                <c:formatCode>0.00_);[Red]\(0.00\)</c:formatCode>
                <c:ptCount val="5"/>
                <c:pt idx="0">
                  <c:v>1.27</c:v>
                </c:pt>
                <c:pt idx="1">
                  <c:v>1.47</c:v>
                </c:pt>
                <c:pt idx="2">
                  <c:v>2.4500000000000002</c:v>
                </c:pt>
                <c:pt idx="3">
                  <c:v>1.48</c:v>
                </c:pt>
                <c:pt idx="4">
                  <c:v>1.21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FF-4504-A46F-F928DEF3E398}"/>
            </c:ext>
          </c:extLst>
        </c:ser>
        <c:ser>
          <c:idx val="1"/>
          <c:order val="1"/>
          <c:tx>
            <c:strRef>
              <c:f>'9943'!$A$66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'9943'!$B$64:$F$64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'9943'!$B$66:$F$66</c:f>
              <c:numCache>
                <c:formatCode>0.00_);[Red]\(0.00\)</c:formatCode>
                <c:ptCount val="5"/>
                <c:pt idx="0">
                  <c:v>0.41</c:v>
                </c:pt>
                <c:pt idx="1">
                  <c:v>0.53</c:v>
                </c:pt>
                <c:pt idx="2">
                  <c:v>1.86</c:v>
                </c:pt>
                <c:pt idx="3">
                  <c:v>1.32</c:v>
                </c:pt>
                <c:pt idx="4">
                  <c:v>1.03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FF-4504-A46F-F928DEF3E398}"/>
            </c:ext>
          </c:extLst>
        </c:ser>
        <c:ser>
          <c:idx val="2"/>
          <c:order val="2"/>
          <c:tx>
            <c:strRef>
              <c:f>'9943'!$A$67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'9943'!$B$64:$F$64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'9943'!$B$67:$F$67</c:f>
              <c:numCache>
                <c:formatCode>0.00_);[Red]\(0.00\)</c:formatCode>
                <c:ptCount val="5"/>
                <c:pt idx="0">
                  <c:v>0.65</c:v>
                </c:pt>
                <c:pt idx="1">
                  <c:v>1.21</c:v>
                </c:pt>
                <c:pt idx="2">
                  <c:v>1.49</c:v>
                </c:pt>
                <c:pt idx="3">
                  <c:v>1.0900000000000001</c:v>
                </c:pt>
                <c:pt idx="4">
                  <c:v>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FF-4504-A46F-F928DEF3E398}"/>
            </c:ext>
          </c:extLst>
        </c:ser>
        <c:ser>
          <c:idx val="3"/>
          <c:order val="3"/>
          <c:tx>
            <c:strRef>
              <c:f>'9943'!$A$68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'9943'!$B$64:$F$64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'9943'!$B$68:$F$68</c:f>
              <c:numCache>
                <c:formatCode>0.00_);[Red]\(0.00\)</c:formatCode>
                <c:ptCount val="5"/>
                <c:pt idx="0">
                  <c:v>0.36</c:v>
                </c:pt>
                <c:pt idx="1">
                  <c:v>1.18</c:v>
                </c:pt>
                <c:pt idx="2">
                  <c:v>1</c:v>
                </c:pt>
                <c:pt idx="3">
                  <c:v>0.83</c:v>
                </c:pt>
                <c:pt idx="4">
                  <c:v>0.71295433745241399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FF-4504-A46F-F928DEF3E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EPS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'9951'!$A$65</c:f>
              <c:strCache>
                <c:ptCount val="1"/>
                <c:pt idx="0">
                  <c:v>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'9951'!$B$64:$F$64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'9951'!$B$65:$F$65</c:f>
              <c:numCache>
                <c:formatCode>0.00_);[Red]\(0.00\)</c:formatCode>
                <c:ptCount val="5"/>
                <c:pt idx="0">
                  <c:v>1.38</c:v>
                </c:pt>
                <c:pt idx="1">
                  <c:v>2.39</c:v>
                </c:pt>
                <c:pt idx="2">
                  <c:v>1.34</c:v>
                </c:pt>
                <c:pt idx="3">
                  <c:v>2.46</c:v>
                </c:pt>
                <c:pt idx="4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0-4C91-B542-786FC3EC8DA1}"/>
            </c:ext>
          </c:extLst>
        </c:ser>
        <c:ser>
          <c:idx val="1"/>
          <c:order val="1"/>
          <c:tx>
            <c:strRef>
              <c:f>'9951'!$A$66</c:f>
              <c:strCache>
                <c:ptCount val="1"/>
                <c:pt idx="0">
                  <c:v>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'9951'!$B$64:$F$64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'9951'!$B$66:$F$66</c:f>
              <c:numCache>
                <c:formatCode>0.00_);[Red]\(0.00\)</c:formatCode>
                <c:ptCount val="5"/>
                <c:pt idx="0">
                  <c:v>1.69</c:v>
                </c:pt>
                <c:pt idx="1">
                  <c:v>1.81</c:v>
                </c:pt>
                <c:pt idx="2">
                  <c:v>2.3199999999999998</c:v>
                </c:pt>
                <c:pt idx="3">
                  <c:v>2.37</c:v>
                </c:pt>
                <c:pt idx="4">
                  <c:v>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0-4C91-B542-786FC3EC8DA1}"/>
            </c:ext>
          </c:extLst>
        </c:ser>
        <c:ser>
          <c:idx val="2"/>
          <c:order val="2"/>
          <c:tx>
            <c:strRef>
              <c:f>'9951'!$A$67</c:f>
              <c:strCache>
                <c:ptCount val="1"/>
                <c:pt idx="0">
                  <c:v>3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'9951'!$B$64:$F$64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'9951'!$B$67:$F$67</c:f>
              <c:numCache>
                <c:formatCode>0.00_);[Red]\(0.00\)</c:formatCode>
                <c:ptCount val="5"/>
                <c:pt idx="0">
                  <c:v>1.85</c:v>
                </c:pt>
                <c:pt idx="1">
                  <c:v>1.1499999999999999</c:v>
                </c:pt>
                <c:pt idx="2">
                  <c:v>2.65</c:v>
                </c:pt>
                <c:pt idx="3">
                  <c:v>2.11</c:v>
                </c:pt>
                <c:pt idx="4">
                  <c:v>2.08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0-4C91-B542-786FC3EC8DA1}"/>
            </c:ext>
          </c:extLst>
        </c:ser>
        <c:ser>
          <c:idx val="3"/>
          <c:order val="3"/>
          <c:tx>
            <c:strRef>
              <c:f>'9951'!$A$68</c:f>
              <c:strCache>
                <c:ptCount val="1"/>
                <c:pt idx="0">
                  <c:v>4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'9951'!$B$64:$F$64</c:f>
              <c:numCache>
                <c:formatCode>0_);[Red]\(0\)</c:formatCod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'9951'!$B$68:$F$68</c:f>
              <c:numCache>
                <c:formatCode>0.00_);[Red]\(0.00\)</c:formatCode>
                <c:ptCount val="5"/>
                <c:pt idx="0">
                  <c:v>2.11</c:v>
                </c:pt>
                <c:pt idx="1">
                  <c:v>2.4500000000000002</c:v>
                </c:pt>
                <c:pt idx="2">
                  <c:v>2.4700000000000002</c:v>
                </c:pt>
                <c:pt idx="3">
                  <c:v>2.97</c:v>
                </c:pt>
                <c:pt idx="4">
                  <c:v>3.1784671795520656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80-4C91-B542-786FC3EC8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53865944"/>
        <c:axId val="351136944"/>
      </c:barChart>
      <c:catAx>
        <c:axId val="353865944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1136944"/>
        <c:crosses val="autoZero"/>
        <c:auto val="1"/>
        <c:lblAlgn val="ctr"/>
        <c:lblOffset val="100"/>
        <c:noMultiLvlLbl val="0"/>
      </c:catAx>
      <c:valAx>
        <c:axId val="3511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38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28576</xdr:colOff>
      <xdr:row>4</xdr:row>
      <xdr:rowOff>1</xdr:rowOff>
    </xdr:from>
    <xdr:to>
      <xdr:col>21</xdr:col>
      <xdr:colOff>28575</xdr:colOff>
      <xdr:row>17</xdr:row>
      <xdr:rowOff>38101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35FE72A5-2154-4A3E-8C81-9A4158B1F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30D45261-9BDB-4F03-9A01-2FA627AF7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10BFD3F-EAB2-4985-AA68-787A7F0EA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E4DAE9A-BAB1-4493-9A4D-9E1789558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40E02E4-B4FA-4C61-B73B-35F5FFB7B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DE41AA3-F3B2-4526-A856-AEE76680C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AF5329F-D471-4A13-914D-BBA251772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961E206A-16CC-4D18-94A7-4135C2FD53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E1F048C-FC93-4A3C-9DF7-76A28EDC7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861A71A-3846-42D2-8CE6-04DE7FFB3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1D65621-CD1A-4542-9B97-9F0086DC8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3226351-A72A-4F86-B405-3BF891BF3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DE38879-88E2-4723-A4D8-1A4FF829B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FCF4EA10-41A0-4224-91C2-BAA00741D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5EC5AAC-CDD3-4007-BEBE-279B43E0E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4C683F6-9E92-43B2-9759-E45B3DF91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7153A73-36FA-4137-A254-416BDFE01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04D780D-7D6F-4935-B2EE-B3C633B04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4429C2DC-1E68-4FD1-8717-69C91FA62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FCB5E14-6891-4485-87EE-74E1986ABC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8ADBCCC-8423-4AFF-AB7C-E5E2C641BC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717B073-96B7-4B88-8A19-CF116AB4D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5AC2D3C-CCAC-4BF4-B31F-561EC403A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F7EDCBB5-5F99-473F-97EB-E53D442D9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DA72AF5-5DF7-4919-BAFB-7056AB42A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460A09B-0631-4AB1-A507-76199A07D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F1AFF9D7-3311-46D7-BE3C-9F25304ED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1A33241-4A1A-44DF-8852-533C6A5A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F9B9B42-E477-4A77-9C4F-80FDFE550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EC31F07-AA42-4DF3-B225-6CF3FB609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4B6AD753-02EF-4D30-97A4-1A8B78712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16BA89C-CE40-4F89-810C-F407DAF46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B7BF530-D483-4E51-B958-D37213E58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9EC85D9D-8A0F-4C59-9382-D009E6FCA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92F7474-F17C-44B6-ACD9-0CA64C0DC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7D475A3-74DB-485D-9B80-113FE4841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ECE09D06-C35E-448C-9B8D-77B3FD21F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78D1BD4-472B-4437-8D0F-D46634810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1D2121A-7DAC-4750-B604-DA0D0ACFE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D0EF86B-160F-49C6-B40A-987FDE303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96F8C2C-E3B3-485F-8CA8-CD6F399A5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F13221BE-8AFC-4631-9C0D-31B62A8F9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C5F453E-129D-4D18-A7A0-813F8E826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F423FAF-790E-4056-8B5B-BB88D7158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4FCEB9A4-57E4-4794-AB78-1CA080B44E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67317D0-3AF0-4496-BAF1-FBA07FE319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AB1F944-B410-466D-976D-F8EE0E910B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41347D55-59C7-4DD1-974A-0AC4990CD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7CCBBD7-A4E5-478F-8890-EDF6FF5C0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AA960C6-F3D1-4A87-80D3-2D3C70225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9C10B030-A697-4B60-BDB4-C9674FDA7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93EE60D-1745-44DB-9DB8-2918BF278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02D4DD1-81DC-411F-9374-73DCC64A68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3FA8D020-2C7D-4975-AE18-E94A3F668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EE09533-8611-4FD1-AC41-E4B2BE5D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2F89221-EB64-48F3-9C4F-78F17225B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94F13016-C786-4501-A5D0-4667EBFB4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DA86CEE-EDA0-409B-ABE8-FA7D49113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6E9226D-B084-4574-AA95-A27B379A4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0FC4734-49A6-4F14-9E08-46B302D86F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44CDBE2-903D-4D63-888B-1EA8CB9BF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F54A6BF-401A-42C9-84C3-DDC5BCF34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4262D88-F62A-4F5C-A3F9-FEA52122B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D17236F-15EB-412D-9D19-E881B8BB9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99057F2-B774-4A8D-93DF-5087E062F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F4969A9-AA55-45C6-85E6-691FFEC109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FC98702-761A-4873-A867-D44EBAC43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AB48746-F904-42BA-A00A-AD961D4F5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BFD8697-E9A9-4936-9587-98CF26A846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29DA77D-2E64-4EA5-A641-D2A5E6F86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40565A1-777E-4218-AA95-98DA2A9A9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46EDB37-8107-4DE2-9BD8-8919A2B52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9E9E433B-336A-4ED9-B667-7323B0CC4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C34A9FF-E98C-41AC-8C7C-F90E31E36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6F3FA84-3F03-4256-90CD-7AE31737F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D27E48C-789B-4DCD-AF16-9A1E42B31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CFACC45-17CE-44F6-9C6A-69F8F0866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F03A859-1C28-4A29-AA87-F7C98EDC2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788448A-6E65-4EFE-A43D-C5BAC31A1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E4724806-5EAF-4737-B966-D5CCF5CC2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874D646-0C3E-4EBD-964B-6F51950920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8739BBC-1E67-4E27-ACF3-E61D52C254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BDF62AD-14F5-4486-B3EB-ADABD41DA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E2761C28-A294-4F2F-B38D-8D1EF1A47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9D1A8A2-BEDF-41E8-995C-382CC7D279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8AB9058-D01A-424F-8D19-7FC6906B6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C476339-C900-414F-9FFF-F7BA30E25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69A9AC5-7EED-4923-9639-7F1527B7E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74F154C-3B8F-4B0A-A737-DF6A703DA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0453B8B-26CF-41BB-908D-63AA5C709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42042E6D-3F6A-491B-94A5-88849AF5C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0D479A4-54BE-4939-BC68-1849E0D4A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40EBE65-5121-401C-8352-7BDCF9DCA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3B99055B-D875-4155-A0A0-7CA591890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E075BC3-5E0D-432F-9985-942E239369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97E5489F-6B68-4D4C-9A97-A25A65FCFB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28</xdr:row>
      <xdr:rowOff>19049</xdr:rowOff>
    </xdr:from>
    <xdr:to>
      <xdr:col>11</xdr:col>
      <xdr:colOff>704850</xdr:colOff>
      <xdr:row>41</xdr:row>
      <xdr:rowOff>133349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FF8A07C-ECE4-4E55-B9C4-68EE26F6A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my%20Chou\Finance\1802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my%20Chou\Finance\&#26371;&#35336;&#24107;2016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1"/>
    </sheetNames>
    <sheetDataSet>
      <sheetData sheetId="0">
        <row r="1">
          <cell r="A1" t="str">
            <v>代號</v>
          </cell>
          <cell r="B1" t="str">
            <v>名稱</v>
          </cell>
          <cell r="C1" t="str">
            <v xml:space="preserve">收盤 </v>
          </cell>
          <cell r="D1" t="str">
            <v xml:space="preserve">成交股數  </v>
          </cell>
        </row>
        <row r="2">
          <cell r="A2">
            <v>6201</v>
          </cell>
          <cell r="B2" t="str">
            <v xml:space="preserve">元大富櫃50          </v>
          </cell>
          <cell r="C2">
            <v>13.7</v>
          </cell>
          <cell r="D2">
            <v>55000</v>
          </cell>
        </row>
        <row r="3">
          <cell r="A3" t="str">
            <v>00679B</v>
          </cell>
          <cell r="B3" t="str">
            <v xml:space="preserve">元大美債20年         </v>
          </cell>
          <cell r="C3">
            <v>36.11</v>
          </cell>
          <cell r="D3">
            <v>855000</v>
          </cell>
        </row>
        <row r="4">
          <cell r="A4" t="str">
            <v>00687B</v>
          </cell>
          <cell r="B4" t="str">
            <v xml:space="preserve">國泰20年美債         </v>
          </cell>
          <cell r="C4">
            <v>37.19</v>
          </cell>
          <cell r="D4">
            <v>926000</v>
          </cell>
        </row>
        <row r="5">
          <cell r="A5" t="str">
            <v>00694B</v>
          </cell>
          <cell r="B5" t="str">
            <v xml:space="preserve">富邦美債1-3         </v>
          </cell>
          <cell r="C5">
            <v>38.78</v>
          </cell>
          <cell r="D5">
            <v>502000</v>
          </cell>
        </row>
        <row r="6">
          <cell r="A6" t="str">
            <v>00695B</v>
          </cell>
          <cell r="B6" t="str">
            <v xml:space="preserve">富邦美債7-10        </v>
          </cell>
          <cell r="C6">
            <v>37.229999999999997</v>
          </cell>
          <cell r="D6">
            <v>500000</v>
          </cell>
        </row>
        <row r="7">
          <cell r="A7" t="str">
            <v>00696B</v>
          </cell>
          <cell r="B7" t="str">
            <v xml:space="preserve">富邦美債20年         </v>
          </cell>
          <cell r="C7">
            <v>36.909999999999997</v>
          </cell>
          <cell r="D7">
            <v>621000</v>
          </cell>
        </row>
        <row r="8">
          <cell r="A8" t="str">
            <v>00697B</v>
          </cell>
          <cell r="B8" t="str">
            <v xml:space="preserve">元大美債7-10        </v>
          </cell>
          <cell r="C8">
            <v>36.96</v>
          </cell>
          <cell r="D8">
            <v>453000</v>
          </cell>
        </row>
        <row r="9">
          <cell r="A9" t="str">
            <v>00718B</v>
          </cell>
          <cell r="B9" t="str">
            <v xml:space="preserve">富邦中國政策債         </v>
          </cell>
          <cell r="C9">
            <v>19.91</v>
          </cell>
          <cell r="D9">
            <v>826000</v>
          </cell>
        </row>
        <row r="10">
          <cell r="A10" t="str">
            <v>00719B</v>
          </cell>
          <cell r="B10" t="str">
            <v xml:space="preserve">元大美債1-3         </v>
          </cell>
          <cell r="C10">
            <v>30.05</v>
          </cell>
          <cell r="D10">
            <v>547000</v>
          </cell>
        </row>
        <row r="11">
          <cell r="A11" t="str">
            <v>00720B</v>
          </cell>
          <cell r="B11" t="str">
            <v xml:space="preserve">元大投資級公司債        </v>
          </cell>
          <cell r="C11">
            <v>38.96</v>
          </cell>
          <cell r="D11">
            <v>403000</v>
          </cell>
        </row>
        <row r="12">
          <cell r="A12" t="str">
            <v>00721B</v>
          </cell>
          <cell r="B12" t="str">
            <v xml:space="preserve">元大中國債3-5        </v>
          </cell>
          <cell r="C12">
            <v>45.34</v>
          </cell>
          <cell r="D12">
            <v>421000</v>
          </cell>
        </row>
        <row r="13">
          <cell r="A13" t="str">
            <v>00722B</v>
          </cell>
          <cell r="B13" t="str">
            <v xml:space="preserve">群益15年IG電信債      </v>
          </cell>
          <cell r="C13">
            <v>38.15</v>
          </cell>
          <cell r="D13">
            <v>503000</v>
          </cell>
        </row>
        <row r="14">
          <cell r="A14" t="str">
            <v>00723B</v>
          </cell>
          <cell r="B14" t="str">
            <v xml:space="preserve">群益15年IG科技債      </v>
          </cell>
          <cell r="C14">
            <v>37.130000000000003</v>
          </cell>
          <cell r="D14">
            <v>590000</v>
          </cell>
        </row>
        <row r="15">
          <cell r="A15" t="str">
            <v>00724B</v>
          </cell>
          <cell r="B15" t="str">
            <v xml:space="preserve">群益10年IG金融債      </v>
          </cell>
          <cell r="C15">
            <v>37</v>
          </cell>
          <cell r="D15">
            <v>601000</v>
          </cell>
        </row>
        <row r="16">
          <cell r="A16" t="str">
            <v>00725B</v>
          </cell>
          <cell r="B16" t="str">
            <v xml:space="preserve">國泰投資級公司債        </v>
          </cell>
          <cell r="C16">
            <v>39.58</v>
          </cell>
          <cell r="D16">
            <v>172000</v>
          </cell>
        </row>
        <row r="17">
          <cell r="A17" t="str">
            <v>00726B</v>
          </cell>
          <cell r="B17" t="str">
            <v xml:space="preserve">國泰5Y+新興債        </v>
          </cell>
          <cell r="C17">
            <v>39.82</v>
          </cell>
          <cell r="D17">
            <v>113000</v>
          </cell>
        </row>
        <row r="18">
          <cell r="A18" t="str">
            <v>00727B</v>
          </cell>
          <cell r="B18" t="str">
            <v xml:space="preserve">國泰1-5Y高收債       </v>
          </cell>
          <cell r="C18">
            <v>40.04</v>
          </cell>
          <cell r="D18">
            <v>115000</v>
          </cell>
        </row>
        <row r="19">
          <cell r="A19">
            <v>1258</v>
          </cell>
          <cell r="B19" t="str">
            <v xml:space="preserve">其祥-KY           </v>
          </cell>
          <cell r="C19">
            <v>25.75</v>
          </cell>
          <cell r="D19">
            <v>48000</v>
          </cell>
        </row>
        <row r="20">
          <cell r="A20">
            <v>1259</v>
          </cell>
          <cell r="B20" t="str">
            <v xml:space="preserve">安心              </v>
          </cell>
          <cell r="C20">
            <v>85</v>
          </cell>
          <cell r="D20">
            <v>7000</v>
          </cell>
        </row>
        <row r="21">
          <cell r="A21">
            <v>1264</v>
          </cell>
          <cell r="B21" t="str">
            <v xml:space="preserve">德麥              </v>
          </cell>
          <cell r="C21">
            <v>224.5</v>
          </cell>
          <cell r="D21">
            <v>57000</v>
          </cell>
        </row>
        <row r="22">
          <cell r="A22">
            <v>1268</v>
          </cell>
          <cell r="B22" t="str">
            <v xml:space="preserve">漢來美食            </v>
          </cell>
          <cell r="C22">
            <v>139</v>
          </cell>
          <cell r="D22">
            <v>14000</v>
          </cell>
        </row>
        <row r="23">
          <cell r="A23">
            <v>1333</v>
          </cell>
          <cell r="B23" t="str">
            <v xml:space="preserve">恩得利             </v>
          </cell>
          <cell r="C23" t="str">
            <v>----</v>
          </cell>
          <cell r="D23">
            <v>0</v>
          </cell>
        </row>
        <row r="24">
          <cell r="A24">
            <v>1336</v>
          </cell>
          <cell r="B24" t="str">
            <v xml:space="preserve">台翰              </v>
          </cell>
          <cell r="C24">
            <v>17.45</v>
          </cell>
          <cell r="D24">
            <v>372000</v>
          </cell>
        </row>
        <row r="25">
          <cell r="A25">
            <v>1565</v>
          </cell>
          <cell r="B25" t="str">
            <v xml:space="preserve">精華              </v>
          </cell>
          <cell r="C25">
            <v>880</v>
          </cell>
          <cell r="D25">
            <v>711000</v>
          </cell>
        </row>
        <row r="26">
          <cell r="A26">
            <v>1566</v>
          </cell>
          <cell r="B26" t="str">
            <v xml:space="preserve">捷邦              </v>
          </cell>
          <cell r="C26">
            <v>19.3</v>
          </cell>
          <cell r="D26">
            <v>124000</v>
          </cell>
        </row>
        <row r="27">
          <cell r="A27">
            <v>1569</v>
          </cell>
          <cell r="B27" t="str">
            <v xml:space="preserve">濱川              </v>
          </cell>
          <cell r="C27">
            <v>35.5</v>
          </cell>
          <cell r="D27">
            <v>2542000</v>
          </cell>
        </row>
        <row r="28">
          <cell r="A28">
            <v>1570</v>
          </cell>
          <cell r="B28" t="str">
            <v xml:space="preserve">力肯              </v>
          </cell>
          <cell r="C28">
            <v>13.5</v>
          </cell>
          <cell r="D28">
            <v>357000</v>
          </cell>
        </row>
        <row r="29">
          <cell r="A29">
            <v>1580</v>
          </cell>
          <cell r="B29" t="str">
            <v xml:space="preserve">新麥              </v>
          </cell>
          <cell r="C29">
            <v>160</v>
          </cell>
          <cell r="D29">
            <v>48000</v>
          </cell>
        </row>
        <row r="30">
          <cell r="A30">
            <v>1584</v>
          </cell>
          <cell r="B30" t="str">
            <v xml:space="preserve">精剛              </v>
          </cell>
          <cell r="C30">
            <v>11.5</v>
          </cell>
          <cell r="D30">
            <v>303000</v>
          </cell>
        </row>
        <row r="31">
          <cell r="A31">
            <v>1586</v>
          </cell>
          <cell r="B31" t="str">
            <v xml:space="preserve">和勤              </v>
          </cell>
          <cell r="C31">
            <v>42.2</v>
          </cell>
          <cell r="D31">
            <v>2475000</v>
          </cell>
        </row>
        <row r="32">
          <cell r="A32">
            <v>1591</v>
          </cell>
          <cell r="B32" t="str">
            <v xml:space="preserve">駿吉-KY           </v>
          </cell>
          <cell r="C32">
            <v>37.35</v>
          </cell>
          <cell r="D32">
            <v>678000</v>
          </cell>
        </row>
        <row r="33">
          <cell r="A33">
            <v>1593</v>
          </cell>
          <cell r="B33" t="str">
            <v xml:space="preserve">祺驊              </v>
          </cell>
          <cell r="C33">
            <v>45</v>
          </cell>
          <cell r="D33">
            <v>99000</v>
          </cell>
        </row>
        <row r="34">
          <cell r="A34">
            <v>1595</v>
          </cell>
          <cell r="B34" t="str">
            <v xml:space="preserve">川寶              </v>
          </cell>
          <cell r="C34">
            <v>61.4</v>
          </cell>
          <cell r="D34">
            <v>61000</v>
          </cell>
        </row>
        <row r="35">
          <cell r="A35">
            <v>1597</v>
          </cell>
          <cell r="B35" t="str">
            <v xml:space="preserve">直得              </v>
          </cell>
          <cell r="C35">
            <v>130</v>
          </cell>
          <cell r="D35">
            <v>7938000</v>
          </cell>
        </row>
        <row r="36">
          <cell r="A36">
            <v>1599</v>
          </cell>
          <cell r="B36" t="str">
            <v xml:space="preserve">宏佳騰             </v>
          </cell>
          <cell r="C36">
            <v>39.799999999999997</v>
          </cell>
          <cell r="D36">
            <v>43000</v>
          </cell>
        </row>
        <row r="37">
          <cell r="A37">
            <v>1742</v>
          </cell>
          <cell r="B37" t="str">
            <v xml:space="preserve">台蠟              </v>
          </cell>
          <cell r="C37">
            <v>9.2799999999999994</v>
          </cell>
          <cell r="D37">
            <v>124000</v>
          </cell>
        </row>
        <row r="38">
          <cell r="A38">
            <v>1752</v>
          </cell>
          <cell r="B38" t="str">
            <v xml:space="preserve">南光              </v>
          </cell>
          <cell r="C38">
            <v>36</v>
          </cell>
          <cell r="D38">
            <v>289000</v>
          </cell>
        </row>
        <row r="39">
          <cell r="A39">
            <v>1777</v>
          </cell>
          <cell r="B39" t="str">
            <v xml:space="preserve">生泰              </v>
          </cell>
          <cell r="C39">
            <v>69.900000000000006</v>
          </cell>
          <cell r="D39">
            <v>21000</v>
          </cell>
        </row>
        <row r="40">
          <cell r="A40">
            <v>1781</v>
          </cell>
          <cell r="B40" t="str">
            <v xml:space="preserve">合世              </v>
          </cell>
          <cell r="C40">
            <v>11.2</v>
          </cell>
          <cell r="D40">
            <v>142000</v>
          </cell>
        </row>
        <row r="41">
          <cell r="A41">
            <v>1784</v>
          </cell>
          <cell r="B41" t="str">
            <v xml:space="preserve">訊聯              </v>
          </cell>
          <cell r="C41">
            <v>25</v>
          </cell>
          <cell r="D41">
            <v>94000</v>
          </cell>
        </row>
        <row r="42">
          <cell r="A42">
            <v>1785</v>
          </cell>
          <cell r="B42" t="str">
            <v xml:space="preserve">光洋科             </v>
          </cell>
          <cell r="C42">
            <v>20.2</v>
          </cell>
          <cell r="D42">
            <v>6276000</v>
          </cell>
        </row>
        <row r="43">
          <cell r="A43">
            <v>1787</v>
          </cell>
          <cell r="B43" t="str">
            <v xml:space="preserve">福盈科             </v>
          </cell>
          <cell r="C43">
            <v>26.9</v>
          </cell>
          <cell r="D43">
            <v>224000</v>
          </cell>
        </row>
        <row r="44">
          <cell r="A44">
            <v>1788</v>
          </cell>
          <cell r="B44" t="str">
            <v xml:space="preserve">杏昌              </v>
          </cell>
          <cell r="C44">
            <v>96</v>
          </cell>
          <cell r="D44">
            <v>29000</v>
          </cell>
        </row>
        <row r="45">
          <cell r="A45">
            <v>1795</v>
          </cell>
          <cell r="B45" t="str">
            <v xml:space="preserve">美時              </v>
          </cell>
          <cell r="C45">
            <v>41.4</v>
          </cell>
          <cell r="D45">
            <v>674000</v>
          </cell>
        </row>
        <row r="46">
          <cell r="A46">
            <v>1796</v>
          </cell>
          <cell r="B46" t="str">
            <v xml:space="preserve">金穎生技            </v>
          </cell>
          <cell r="C46">
            <v>48.45</v>
          </cell>
          <cell r="D46">
            <v>77000</v>
          </cell>
        </row>
        <row r="47">
          <cell r="A47">
            <v>1799</v>
          </cell>
          <cell r="B47" t="str">
            <v xml:space="preserve">易威              </v>
          </cell>
          <cell r="C47">
            <v>17.100000000000001</v>
          </cell>
          <cell r="D47">
            <v>92000</v>
          </cell>
        </row>
        <row r="48">
          <cell r="A48">
            <v>1813</v>
          </cell>
          <cell r="B48" t="str">
            <v xml:space="preserve">寶利徠             </v>
          </cell>
          <cell r="C48">
            <v>18.649999999999999</v>
          </cell>
          <cell r="D48">
            <v>63000</v>
          </cell>
        </row>
        <row r="49">
          <cell r="A49">
            <v>1815</v>
          </cell>
          <cell r="B49" t="str">
            <v xml:space="preserve">富喬              </v>
          </cell>
          <cell r="C49">
            <v>20</v>
          </cell>
          <cell r="D49">
            <v>15811000</v>
          </cell>
        </row>
        <row r="50">
          <cell r="A50">
            <v>2035</v>
          </cell>
          <cell r="B50" t="str">
            <v xml:space="preserve">唐榮              </v>
          </cell>
          <cell r="C50" t="str">
            <v>----</v>
          </cell>
          <cell r="D50">
            <v>0</v>
          </cell>
        </row>
        <row r="51">
          <cell r="A51">
            <v>2061</v>
          </cell>
          <cell r="B51" t="str">
            <v xml:space="preserve">風青              </v>
          </cell>
          <cell r="C51">
            <v>12.3</v>
          </cell>
          <cell r="D51">
            <v>151000</v>
          </cell>
        </row>
        <row r="52">
          <cell r="A52">
            <v>2063</v>
          </cell>
          <cell r="B52" t="str">
            <v xml:space="preserve">世鎧              </v>
          </cell>
          <cell r="C52">
            <v>40.799999999999997</v>
          </cell>
          <cell r="D52">
            <v>64000</v>
          </cell>
        </row>
        <row r="53">
          <cell r="A53">
            <v>2064</v>
          </cell>
          <cell r="B53" t="str">
            <v xml:space="preserve">晉椿              </v>
          </cell>
          <cell r="C53">
            <v>17.649999999999999</v>
          </cell>
          <cell r="D53">
            <v>41000</v>
          </cell>
        </row>
        <row r="54">
          <cell r="A54">
            <v>2065</v>
          </cell>
          <cell r="B54" t="str">
            <v xml:space="preserve">世豐              </v>
          </cell>
          <cell r="C54">
            <v>26</v>
          </cell>
          <cell r="D54">
            <v>4000</v>
          </cell>
        </row>
        <row r="55">
          <cell r="A55">
            <v>2066</v>
          </cell>
          <cell r="B55" t="str">
            <v xml:space="preserve">世德              </v>
          </cell>
          <cell r="C55">
            <v>93</v>
          </cell>
          <cell r="D55">
            <v>50000</v>
          </cell>
        </row>
        <row r="56">
          <cell r="A56">
            <v>2067</v>
          </cell>
          <cell r="B56" t="str">
            <v xml:space="preserve">嘉鋼              </v>
          </cell>
          <cell r="C56">
            <v>12.2</v>
          </cell>
          <cell r="D56">
            <v>6000</v>
          </cell>
        </row>
        <row r="57">
          <cell r="A57">
            <v>2221</v>
          </cell>
          <cell r="B57" t="str">
            <v xml:space="preserve">大甲              </v>
          </cell>
          <cell r="C57">
            <v>27.85</v>
          </cell>
          <cell r="D57">
            <v>233000</v>
          </cell>
        </row>
        <row r="58">
          <cell r="A58">
            <v>2230</v>
          </cell>
          <cell r="B58" t="str">
            <v xml:space="preserve">泰茂              </v>
          </cell>
          <cell r="C58">
            <v>12.8</v>
          </cell>
          <cell r="D58">
            <v>8000</v>
          </cell>
        </row>
        <row r="59">
          <cell r="A59">
            <v>2233</v>
          </cell>
          <cell r="B59" t="str">
            <v xml:space="preserve">宇隆              </v>
          </cell>
          <cell r="C59">
            <v>97.6</v>
          </cell>
          <cell r="D59">
            <v>702000</v>
          </cell>
        </row>
        <row r="60">
          <cell r="A60">
            <v>2235</v>
          </cell>
          <cell r="B60" t="str">
            <v xml:space="preserve">謚源              </v>
          </cell>
          <cell r="C60">
            <v>83.5</v>
          </cell>
          <cell r="D60">
            <v>9000</v>
          </cell>
        </row>
        <row r="61">
          <cell r="A61">
            <v>2596</v>
          </cell>
          <cell r="B61" t="str">
            <v xml:space="preserve">綠意              </v>
          </cell>
          <cell r="C61">
            <v>16.95</v>
          </cell>
          <cell r="D61">
            <v>132000</v>
          </cell>
        </row>
        <row r="62">
          <cell r="A62">
            <v>2640</v>
          </cell>
          <cell r="B62" t="str">
            <v xml:space="preserve">大車隊             </v>
          </cell>
          <cell r="C62">
            <v>59</v>
          </cell>
          <cell r="D62">
            <v>155000</v>
          </cell>
        </row>
        <row r="63">
          <cell r="A63">
            <v>2641</v>
          </cell>
          <cell r="B63" t="str">
            <v xml:space="preserve">正德              </v>
          </cell>
          <cell r="C63">
            <v>6.1</v>
          </cell>
          <cell r="D63">
            <v>492000</v>
          </cell>
        </row>
        <row r="64">
          <cell r="A64">
            <v>2643</v>
          </cell>
          <cell r="B64" t="str">
            <v xml:space="preserve">捷迅              </v>
          </cell>
          <cell r="C64">
            <v>30.7</v>
          </cell>
          <cell r="D64">
            <v>14000</v>
          </cell>
        </row>
        <row r="65">
          <cell r="A65">
            <v>2718</v>
          </cell>
          <cell r="B65" t="str">
            <v xml:space="preserve">晶悅              </v>
          </cell>
          <cell r="C65" t="str">
            <v>----</v>
          </cell>
          <cell r="D65">
            <v>0</v>
          </cell>
        </row>
        <row r="66">
          <cell r="A66">
            <v>2719</v>
          </cell>
          <cell r="B66" t="str">
            <v xml:space="preserve">燦星旅             </v>
          </cell>
          <cell r="C66">
            <v>8.93</v>
          </cell>
          <cell r="D66">
            <v>7000</v>
          </cell>
        </row>
        <row r="67">
          <cell r="A67">
            <v>2724</v>
          </cell>
          <cell r="B67" t="str">
            <v xml:space="preserve">富驛-KY           </v>
          </cell>
          <cell r="C67">
            <v>5.8</v>
          </cell>
          <cell r="D67">
            <v>80000</v>
          </cell>
        </row>
        <row r="68">
          <cell r="A68">
            <v>2726</v>
          </cell>
          <cell r="B68" t="str">
            <v xml:space="preserve">雅茗-KY           </v>
          </cell>
          <cell r="C68">
            <v>90</v>
          </cell>
          <cell r="D68">
            <v>79000</v>
          </cell>
        </row>
        <row r="69">
          <cell r="A69">
            <v>2729</v>
          </cell>
          <cell r="B69" t="str">
            <v xml:space="preserve">瓦城              </v>
          </cell>
          <cell r="C69">
            <v>218.5</v>
          </cell>
          <cell r="D69">
            <v>83000</v>
          </cell>
        </row>
        <row r="70">
          <cell r="A70">
            <v>2732</v>
          </cell>
          <cell r="B70" t="str">
            <v xml:space="preserve">六角              </v>
          </cell>
          <cell r="C70">
            <v>85</v>
          </cell>
          <cell r="D70">
            <v>364000</v>
          </cell>
        </row>
        <row r="71">
          <cell r="A71">
            <v>2734</v>
          </cell>
          <cell r="B71" t="str">
            <v xml:space="preserve">易飛網             </v>
          </cell>
          <cell r="C71">
            <v>14.2</v>
          </cell>
          <cell r="D71">
            <v>55000</v>
          </cell>
        </row>
        <row r="72">
          <cell r="A72">
            <v>2736</v>
          </cell>
          <cell r="B72" t="str">
            <v xml:space="preserve">高野              </v>
          </cell>
          <cell r="C72">
            <v>16.600000000000001</v>
          </cell>
          <cell r="D72">
            <v>11000</v>
          </cell>
        </row>
        <row r="73">
          <cell r="A73">
            <v>2740</v>
          </cell>
          <cell r="B73" t="str">
            <v xml:space="preserve">天蔥              </v>
          </cell>
          <cell r="C73">
            <v>39</v>
          </cell>
          <cell r="D73">
            <v>53000</v>
          </cell>
        </row>
        <row r="74">
          <cell r="A74">
            <v>2916</v>
          </cell>
          <cell r="B74" t="str">
            <v xml:space="preserve">滿心              </v>
          </cell>
          <cell r="C74">
            <v>16.100000000000001</v>
          </cell>
          <cell r="D74">
            <v>70000</v>
          </cell>
        </row>
        <row r="75">
          <cell r="A75">
            <v>2924</v>
          </cell>
          <cell r="B75" t="str">
            <v xml:space="preserve">東凌-KY           </v>
          </cell>
          <cell r="C75">
            <v>44.2</v>
          </cell>
          <cell r="D75">
            <v>24000</v>
          </cell>
        </row>
        <row r="76">
          <cell r="A76">
            <v>2926</v>
          </cell>
          <cell r="B76" t="str">
            <v xml:space="preserve">誠品生活            </v>
          </cell>
          <cell r="C76">
            <v>134</v>
          </cell>
          <cell r="D76">
            <v>50000</v>
          </cell>
        </row>
        <row r="77">
          <cell r="A77">
            <v>2928</v>
          </cell>
          <cell r="B77" t="str">
            <v xml:space="preserve">紅馬-KY           </v>
          </cell>
          <cell r="C77">
            <v>55</v>
          </cell>
          <cell r="D77">
            <v>84000</v>
          </cell>
        </row>
        <row r="78">
          <cell r="A78">
            <v>2937</v>
          </cell>
          <cell r="B78" t="str">
            <v xml:space="preserve">集雅社             </v>
          </cell>
          <cell r="C78">
            <v>20.3</v>
          </cell>
          <cell r="D78">
            <v>16000</v>
          </cell>
        </row>
        <row r="79">
          <cell r="A79">
            <v>3064</v>
          </cell>
          <cell r="B79" t="str">
            <v xml:space="preserve">泰偉              </v>
          </cell>
          <cell r="C79">
            <v>12.15</v>
          </cell>
          <cell r="D79">
            <v>32000</v>
          </cell>
        </row>
        <row r="80">
          <cell r="A80">
            <v>3066</v>
          </cell>
          <cell r="B80" t="str">
            <v xml:space="preserve">李洲              </v>
          </cell>
          <cell r="C80">
            <v>6.53</v>
          </cell>
          <cell r="D80">
            <v>1000</v>
          </cell>
        </row>
        <row r="81">
          <cell r="A81">
            <v>3067</v>
          </cell>
          <cell r="B81" t="str">
            <v xml:space="preserve">全域              </v>
          </cell>
          <cell r="C81">
            <v>10.1</v>
          </cell>
          <cell r="D81">
            <v>6000</v>
          </cell>
        </row>
        <row r="82">
          <cell r="A82">
            <v>3068</v>
          </cell>
          <cell r="B82" t="str">
            <v xml:space="preserve">美磊              </v>
          </cell>
          <cell r="C82">
            <v>59</v>
          </cell>
          <cell r="D82">
            <v>475000</v>
          </cell>
        </row>
        <row r="83">
          <cell r="A83">
            <v>3071</v>
          </cell>
          <cell r="B83" t="str">
            <v xml:space="preserve">協禧              </v>
          </cell>
          <cell r="C83">
            <v>18.55</v>
          </cell>
          <cell r="D83">
            <v>1202000</v>
          </cell>
        </row>
        <row r="84">
          <cell r="A84">
            <v>3073</v>
          </cell>
          <cell r="B84" t="str">
            <v xml:space="preserve">凱柏實業            </v>
          </cell>
          <cell r="C84">
            <v>8.59</v>
          </cell>
          <cell r="D84">
            <v>17000</v>
          </cell>
        </row>
        <row r="85">
          <cell r="A85">
            <v>3078</v>
          </cell>
          <cell r="B85" t="str">
            <v xml:space="preserve">僑威              </v>
          </cell>
          <cell r="C85">
            <v>31.05</v>
          </cell>
          <cell r="D85">
            <v>2030000</v>
          </cell>
        </row>
        <row r="86">
          <cell r="A86">
            <v>3081</v>
          </cell>
          <cell r="B86" t="str">
            <v xml:space="preserve">聯亞              </v>
          </cell>
          <cell r="C86">
            <v>340</v>
          </cell>
          <cell r="D86">
            <v>1106000</v>
          </cell>
        </row>
        <row r="87">
          <cell r="A87">
            <v>3083</v>
          </cell>
          <cell r="B87" t="str">
            <v xml:space="preserve">網龍              </v>
          </cell>
          <cell r="C87">
            <v>34.1</v>
          </cell>
          <cell r="D87">
            <v>433000</v>
          </cell>
        </row>
        <row r="88">
          <cell r="A88">
            <v>3085</v>
          </cell>
          <cell r="B88" t="str">
            <v xml:space="preserve">新零售             </v>
          </cell>
          <cell r="C88">
            <v>20.25</v>
          </cell>
          <cell r="D88">
            <v>142000</v>
          </cell>
        </row>
        <row r="89">
          <cell r="A89">
            <v>3086</v>
          </cell>
          <cell r="B89" t="str">
            <v xml:space="preserve">華義              </v>
          </cell>
          <cell r="C89">
            <v>17</v>
          </cell>
          <cell r="D89">
            <v>12000</v>
          </cell>
        </row>
        <row r="90">
          <cell r="A90">
            <v>3088</v>
          </cell>
          <cell r="B90" t="str">
            <v xml:space="preserve">艾訊              </v>
          </cell>
          <cell r="C90">
            <v>50.3</v>
          </cell>
          <cell r="D90">
            <v>202000</v>
          </cell>
        </row>
        <row r="91">
          <cell r="A91">
            <v>3089</v>
          </cell>
          <cell r="B91" t="str">
            <v xml:space="preserve">遠昇              </v>
          </cell>
          <cell r="C91">
            <v>4.9000000000000004</v>
          </cell>
          <cell r="D91">
            <v>90000</v>
          </cell>
        </row>
        <row r="92">
          <cell r="A92">
            <v>3092</v>
          </cell>
          <cell r="B92" t="str">
            <v xml:space="preserve">鴻碩              </v>
          </cell>
          <cell r="C92">
            <v>41.5</v>
          </cell>
          <cell r="D92">
            <v>626000</v>
          </cell>
        </row>
        <row r="93">
          <cell r="A93">
            <v>3093</v>
          </cell>
          <cell r="B93" t="str">
            <v xml:space="preserve">港建              </v>
          </cell>
          <cell r="C93">
            <v>27.6</v>
          </cell>
          <cell r="D93">
            <v>18000</v>
          </cell>
        </row>
        <row r="94">
          <cell r="A94">
            <v>3095</v>
          </cell>
          <cell r="B94" t="str">
            <v xml:space="preserve">及成              </v>
          </cell>
          <cell r="C94">
            <v>2.2999999999999998</v>
          </cell>
          <cell r="D94">
            <v>27000</v>
          </cell>
        </row>
        <row r="95">
          <cell r="A95">
            <v>3105</v>
          </cell>
          <cell r="B95" t="str">
            <v xml:space="preserve">穩懋              </v>
          </cell>
          <cell r="C95">
            <v>249.5</v>
          </cell>
          <cell r="D95">
            <v>12454000</v>
          </cell>
        </row>
        <row r="96">
          <cell r="A96">
            <v>3114</v>
          </cell>
          <cell r="B96" t="str">
            <v xml:space="preserve">好德              </v>
          </cell>
          <cell r="C96">
            <v>16</v>
          </cell>
          <cell r="D96">
            <v>179000</v>
          </cell>
        </row>
        <row r="97">
          <cell r="A97">
            <v>3115</v>
          </cell>
          <cell r="B97" t="str">
            <v xml:space="preserve">寶島極             </v>
          </cell>
          <cell r="C97">
            <v>11.3</v>
          </cell>
          <cell r="D97">
            <v>19000</v>
          </cell>
        </row>
        <row r="98">
          <cell r="A98">
            <v>3118</v>
          </cell>
          <cell r="B98" t="str">
            <v xml:space="preserve">進階              </v>
          </cell>
          <cell r="C98">
            <v>31.75</v>
          </cell>
          <cell r="D98">
            <v>129000</v>
          </cell>
        </row>
        <row r="99">
          <cell r="A99">
            <v>3122</v>
          </cell>
          <cell r="B99" t="str">
            <v xml:space="preserve">笙泉              </v>
          </cell>
          <cell r="C99">
            <v>16.600000000000001</v>
          </cell>
          <cell r="D99">
            <v>34000</v>
          </cell>
        </row>
        <row r="100">
          <cell r="A100">
            <v>3128</v>
          </cell>
          <cell r="B100" t="str">
            <v xml:space="preserve">昇銳              </v>
          </cell>
          <cell r="C100">
            <v>10.55</v>
          </cell>
          <cell r="D100">
            <v>72000</v>
          </cell>
        </row>
        <row r="101">
          <cell r="A101">
            <v>3131</v>
          </cell>
          <cell r="B101" t="str">
            <v xml:space="preserve">弘塑              </v>
          </cell>
          <cell r="C101">
            <v>168.5</v>
          </cell>
          <cell r="D101">
            <v>87000</v>
          </cell>
        </row>
        <row r="102">
          <cell r="A102">
            <v>3141</v>
          </cell>
          <cell r="B102" t="str">
            <v xml:space="preserve">晶宏              </v>
          </cell>
          <cell r="C102">
            <v>35.299999999999997</v>
          </cell>
          <cell r="D102">
            <v>1191000</v>
          </cell>
        </row>
        <row r="103">
          <cell r="A103">
            <v>3144</v>
          </cell>
          <cell r="B103" t="str">
            <v xml:space="preserve">新揚科             </v>
          </cell>
          <cell r="C103">
            <v>24.65</v>
          </cell>
          <cell r="D103">
            <v>577000</v>
          </cell>
        </row>
        <row r="104">
          <cell r="A104">
            <v>3152</v>
          </cell>
          <cell r="B104" t="str">
            <v xml:space="preserve">璟德              </v>
          </cell>
          <cell r="C104">
            <v>338.5</v>
          </cell>
          <cell r="D104">
            <v>102000</v>
          </cell>
        </row>
        <row r="105">
          <cell r="A105">
            <v>3162</v>
          </cell>
          <cell r="B105" t="str">
            <v xml:space="preserve">精確              </v>
          </cell>
          <cell r="C105">
            <v>25.4</v>
          </cell>
          <cell r="D105">
            <v>243000</v>
          </cell>
        </row>
        <row r="106">
          <cell r="A106">
            <v>3163</v>
          </cell>
          <cell r="B106" t="str">
            <v xml:space="preserve">波若威             </v>
          </cell>
          <cell r="C106">
            <v>32.85</v>
          </cell>
          <cell r="D106">
            <v>487000</v>
          </cell>
        </row>
        <row r="107">
          <cell r="A107">
            <v>3169</v>
          </cell>
          <cell r="B107" t="str">
            <v xml:space="preserve">亞信              </v>
          </cell>
          <cell r="C107">
            <v>25.75</v>
          </cell>
          <cell r="D107">
            <v>261000</v>
          </cell>
        </row>
        <row r="108">
          <cell r="A108">
            <v>3171</v>
          </cell>
          <cell r="B108" t="str">
            <v xml:space="preserve">新洲              </v>
          </cell>
          <cell r="C108">
            <v>13.75</v>
          </cell>
          <cell r="D108">
            <v>10000</v>
          </cell>
        </row>
        <row r="109">
          <cell r="A109">
            <v>3176</v>
          </cell>
          <cell r="B109" t="str">
            <v xml:space="preserve">基亞              </v>
          </cell>
          <cell r="C109">
            <v>31.5</v>
          </cell>
          <cell r="D109">
            <v>315000</v>
          </cell>
        </row>
        <row r="110">
          <cell r="A110">
            <v>3188</v>
          </cell>
          <cell r="B110" t="str">
            <v xml:space="preserve">鑫龍騰             </v>
          </cell>
          <cell r="C110">
            <v>17</v>
          </cell>
          <cell r="D110">
            <v>102000</v>
          </cell>
        </row>
        <row r="111">
          <cell r="A111">
            <v>3191</v>
          </cell>
          <cell r="B111" t="str">
            <v xml:space="preserve">和進              </v>
          </cell>
          <cell r="C111">
            <v>18.8</v>
          </cell>
          <cell r="D111">
            <v>119000</v>
          </cell>
        </row>
        <row r="112">
          <cell r="A112">
            <v>3202</v>
          </cell>
          <cell r="B112" t="str">
            <v xml:space="preserve">樺晟              </v>
          </cell>
          <cell r="C112">
            <v>23.85</v>
          </cell>
          <cell r="D112">
            <v>474000</v>
          </cell>
        </row>
        <row r="113">
          <cell r="A113">
            <v>3205</v>
          </cell>
          <cell r="B113" t="str">
            <v xml:space="preserve">佰研              </v>
          </cell>
          <cell r="C113">
            <v>47.4</v>
          </cell>
          <cell r="D113">
            <v>403000</v>
          </cell>
        </row>
        <row r="114">
          <cell r="A114">
            <v>3206</v>
          </cell>
          <cell r="B114" t="str">
            <v xml:space="preserve">志豐              </v>
          </cell>
          <cell r="C114">
            <v>21.95</v>
          </cell>
          <cell r="D114">
            <v>248000</v>
          </cell>
        </row>
        <row r="115">
          <cell r="A115">
            <v>3207</v>
          </cell>
          <cell r="B115" t="str">
            <v xml:space="preserve">耀勝              </v>
          </cell>
          <cell r="C115" t="str">
            <v>----</v>
          </cell>
          <cell r="D115">
            <v>0</v>
          </cell>
        </row>
        <row r="116">
          <cell r="A116">
            <v>3211</v>
          </cell>
          <cell r="B116" t="str">
            <v xml:space="preserve">順達              </v>
          </cell>
          <cell r="C116">
            <v>40.549999999999997</v>
          </cell>
          <cell r="D116">
            <v>608000</v>
          </cell>
        </row>
        <row r="117">
          <cell r="A117">
            <v>3213</v>
          </cell>
          <cell r="B117" t="str">
            <v xml:space="preserve">茂訊              </v>
          </cell>
          <cell r="C117">
            <v>53.7</v>
          </cell>
          <cell r="D117">
            <v>234000</v>
          </cell>
        </row>
        <row r="118">
          <cell r="A118">
            <v>3217</v>
          </cell>
          <cell r="B118" t="str">
            <v xml:space="preserve">優群              </v>
          </cell>
          <cell r="C118">
            <v>33.85</v>
          </cell>
          <cell r="D118">
            <v>3045000</v>
          </cell>
        </row>
        <row r="119">
          <cell r="A119">
            <v>3218</v>
          </cell>
          <cell r="B119" t="str">
            <v xml:space="preserve">大學光             </v>
          </cell>
          <cell r="C119">
            <v>27.35</v>
          </cell>
          <cell r="D119">
            <v>1350000</v>
          </cell>
        </row>
        <row r="120">
          <cell r="A120">
            <v>3219</v>
          </cell>
          <cell r="B120" t="str">
            <v xml:space="preserve">倚強              </v>
          </cell>
          <cell r="C120">
            <v>33.85</v>
          </cell>
          <cell r="D120">
            <v>20000</v>
          </cell>
        </row>
        <row r="121">
          <cell r="A121">
            <v>3221</v>
          </cell>
          <cell r="B121" t="str">
            <v xml:space="preserve">台嘉碩             </v>
          </cell>
          <cell r="C121">
            <v>17.149999999999999</v>
          </cell>
          <cell r="D121">
            <v>316000</v>
          </cell>
        </row>
        <row r="122">
          <cell r="A122">
            <v>3224</v>
          </cell>
          <cell r="B122" t="str">
            <v xml:space="preserve">三顧              </v>
          </cell>
          <cell r="C122">
            <v>52.2</v>
          </cell>
          <cell r="D122">
            <v>1770000</v>
          </cell>
        </row>
        <row r="123">
          <cell r="A123">
            <v>3226</v>
          </cell>
          <cell r="B123" t="str">
            <v xml:space="preserve">至寶電             </v>
          </cell>
          <cell r="C123" t="str">
            <v>----</v>
          </cell>
          <cell r="D123">
            <v>0</v>
          </cell>
        </row>
        <row r="124">
          <cell r="A124">
            <v>3227</v>
          </cell>
          <cell r="B124" t="str">
            <v xml:space="preserve">原相              </v>
          </cell>
          <cell r="C124">
            <v>118.5</v>
          </cell>
          <cell r="D124">
            <v>4822000</v>
          </cell>
        </row>
        <row r="125">
          <cell r="A125">
            <v>3228</v>
          </cell>
          <cell r="B125" t="str">
            <v xml:space="preserve">金麗科             </v>
          </cell>
          <cell r="C125">
            <v>19.149999999999999</v>
          </cell>
          <cell r="D125">
            <v>66000</v>
          </cell>
        </row>
        <row r="126">
          <cell r="A126">
            <v>3230</v>
          </cell>
          <cell r="B126" t="str">
            <v xml:space="preserve">錦明              </v>
          </cell>
          <cell r="C126">
            <v>6.15</v>
          </cell>
          <cell r="D126">
            <v>32000</v>
          </cell>
        </row>
        <row r="127">
          <cell r="A127">
            <v>3232</v>
          </cell>
          <cell r="B127" t="str">
            <v xml:space="preserve">昱捷              </v>
          </cell>
          <cell r="C127">
            <v>28.6</v>
          </cell>
          <cell r="D127">
            <v>95000</v>
          </cell>
        </row>
        <row r="128">
          <cell r="A128">
            <v>3234</v>
          </cell>
          <cell r="B128" t="str">
            <v xml:space="preserve">光環              </v>
          </cell>
          <cell r="C128">
            <v>28</v>
          </cell>
          <cell r="D128">
            <v>2890000</v>
          </cell>
        </row>
        <row r="129">
          <cell r="A129">
            <v>3236</v>
          </cell>
          <cell r="B129" t="str">
            <v xml:space="preserve">千如              </v>
          </cell>
          <cell r="C129">
            <v>46</v>
          </cell>
          <cell r="D129">
            <v>1220000</v>
          </cell>
        </row>
        <row r="130">
          <cell r="A130">
            <v>3252</v>
          </cell>
          <cell r="B130" t="str">
            <v xml:space="preserve">海灣              </v>
          </cell>
          <cell r="C130">
            <v>20.2</v>
          </cell>
          <cell r="D130">
            <v>44000</v>
          </cell>
        </row>
        <row r="131">
          <cell r="A131">
            <v>3259</v>
          </cell>
          <cell r="B131" t="str">
            <v xml:space="preserve">鑫創              </v>
          </cell>
          <cell r="C131">
            <v>22.8</v>
          </cell>
          <cell r="D131">
            <v>717000</v>
          </cell>
        </row>
        <row r="132">
          <cell r="A132">
            <v>3260</v>
          </cell>
          <cell r="B132" t="str">
            <v xml:space="preserve">威剛              </v>
          </cell>
          <cell r="C132">
            <v>71</v>
          </cell>
          <cell r="D132">
            <v>2355000</v>
          </cell>
        </row>
        <row r="133">
          <cell r="A133">
            <v>3264</v>
          </cell>
          <cell r="B133" t="str">
            <v xml:space="preserve">欣銓              </v>
          </cell>
          <cell r="C133">
            <v>31.05</v>
          </cell>
          <cell r="D133">
            <v>14425000</v>
          </cell>
        </row>
        <row r="134">
          <cell r="A134">
            <v>3265</v>
          </cell>
          <cell r="B134" t="str">
            <v xml:space="preserve">台星科             </v>
          </cell>
          <cell r="C134">
            <v>27.9</v>
          </cell>
          <cell r="D134">
            <v>464000</v>
          </cell>
        </row>
        <row r="135">
          <cell r="A135">
            <v>3268</v>
          </cell>
          <cell r="B135" t="str">
            <v xml:space="preserve">海德威             </v>
          </cell>
          <cell r="C135">
            <v>17.2</v>
          </cell>
          <cell r="D135">
            <v>144000</v>
          </cell>
        </row>
        <row r="136">
          <cell r="A136">
            <v>3272</v>
          </cell>
          <cell r="B136" t="str">
            <v xml:space="preserve">東碩              </v>
          </cell>
          <cell r="C136">
            <v>47.05</v>
          </cell>
          <cell r="D136">
            <v>378000</v>
          </cell>
        </row>
        <row r="137">
          <cell r="A137">
            <v>3276</v>
          </cell>
          <cell r="B137" t="str">
            <v xml:space="preserve">宇環              </v>
          </cell>
          <cell r="C137">
            <v>14.2</v>
          </cell>
          <cell r="D137">
            <v>63000</v>
          </cell>
        </row>
        <row r="138">
          <cell r="A138">
            <v>3284</v>
          </cell>
          <cell r="B138" t="str">
            <v xml:space="preserve">太普高             </v>
          </cell>
          <cell r="C138">
            <v>17.649999999999999</v>
          </cell>
          <cell r="D138">
            <v>208000</v>
          </cell>
        </row>
        <row r="139">
          <cell r="A139">
            <v>3285</v>
          </cell>
          <cell r="B139" t="str">
            <v xml:space="preserve">微端              </v>
          </cell>
          <cell r="C139">
            <v>15.4</v>
          </cell>
          <cell r="D139">
            <v>128000</v>
          </cell>
        </row>
        <row r="140">
          <cell r="A140">
            <v>3287</v>
          </cell>
          <cell r="B140" t="str">
            <v xml:space="preserve">廣寰科             </v>
          </cell>
          <cell r="C140">
            <v>8.19</v>
          </cell>
          <cell r="D140">
            <v>30000</v>
          </cell>
        </row>
        <row r="141">
          <cell r="A141">
            <v>3288</v>
          </cell>
          <cell r="B141" t="str">
            <v xml:space="preserve">點晶              </v>
          </cell>
          <cell r="C141">
            <v>6.11</v>
          </cell>
          <cell r="D141">
            <v>1000</v>
          </cell>
        </row>
        <row r="142">
          <cell r="A142">
            <v>3289</v>
          </cell>
          <cell r="B142" t="str">
            <v xml:space="preserve">宜特              </v>
          </cell>
          <cell r="C142">
            <v>92.8</v>
          </cell>
          <cell r="D142">
            <v>1391000</v>
          </cell>
        </row>
        <row r="143">
          <cell r="A143">
            <v>3290</v>
          </cell>
          <cell r="B143" t="str">
            <v xml:space="preserve">東浦              </v>
          </cell>
          <cell r="C143">
            <v>14.55</v>
          </cell>
          <cell r="D143">
            <v>35000</v>
          </cell>
        </row>
        <row r="144">
          <cell r="A144">
            <v>3293</v>
          </cell>
          <cell r="B144" t="str">
            <v xml:space="preserve">鈊象              </v>
          </cell>
          <cell r="C144">
            <v>155</v>
          </cell>
          <cell r="D144">
            <v>544000</v>
          </cell>
        </row>
        <row r="145">
          <cell r="A145">
            <v>3294</v>
          </cell>
          <cell r="B145" t="str">
            <v xml:space="preserve">英濟              </v>
          </cell>
          <cell r="C145">
            <v>19.45</v>
          </cell>
          <cell r="D145">
            <v>1294000</v>
          </cell>
        </row>
        <row r="146">
          <cell r="A146">
            <v>3297</v>
          </cell>
          <cell r="B146" t="str">
            <v xml:space="preserve">杭特              </v>
          </cell>
          <cell r="C146">
            <v>13.3</v>
          </cell>
          <cell r="D146">
            <v>23000</v>
          </cell>
        </row>
        <row r="147">
          <cell r="A147">
            <v>3299</v>
          </cell>
          <cell r="B147" t="str">
            <v xml:space="preserve">帛漢              </v>
          </cell>
          <cell r="C147">
            <v>64.900000000000006</v>
          </cell>
          <cell r="D147">
            <v>278000</v>
          </cell>
        </row>
        <row r="148">
          <cell r="A148">
            <v>3303</v>
          </cell>
          <cell r="B148" t="str">
            <v xml:space="preserve">岱稜              </v>
          </cell>
          <cell r="C148">
            <v>17.45</v>
          </cell>
          <cell r="D148">
            <v>127000</v>
          </cell>
        </row>
        <row r="149">
          <cell r="A149">
            <v>3306</v>
          </cell>
          <cell r="B149" t="str">
            <v xml:space="preserve">鼎天              </v>
          </cell>
          <cell r="C149">
            <v>16.850000000000001</v>
          </cell>
          <cell r="D149">
            <v>306000</v>
          </cell>
        </row>
        <row r="150">
          <cell r="A150">
            <v>3310</v>
          </cell>
          <cell r="B150" t="str">
            <v xml:space="preserve">佳穎              </v>
          </cell>
          <cell r="C150">
            <v>35.6</v>
          </cell>
          <cell r="D150">
            <v>139000</v>
          </cell>
        </row>
        <row r="151">
          <cell r="A151">
            <v>3313</v>
          </cell>
          <cell r="B151" t="str">
            <v xml:space="preserve">斐成              </v>
          </cell>
          <cell r="C151">
            <v>35.950000000000003</v>
          </cell>
          <cell r="D151">
            <v>268000</v>
          </cell>
        </row>
        <row r="152">
          <cell r="A152">
            <v>3317</v>
          </cell>
          <cell r="B152" t="str">
            <v xml:space="preserve">尼克森             </v>
          </cell>
          <cell r="C152">
            <v>37.5</v>
          </cell>
          <cell r="D152">
            <v>2620000</v>
          </cell>
        </row>
        <row r="153">
          <cell r="A153">
            <v>3322</v>
          </cell>
          <cell r="B153" t="str">
            <v xml:space="preserve">建舜電             </v>
          </cell>
          <cell r="C153">
            <v>8.6</v>
          </cell>
          <cell r="D153">
            <v>97000</v>
          </cell>
        </row>
        <row r="154">
          <cell r="A154">
            <v>3323</v>
          </cell>
          <cell r="B154" t="str">
            <v xml:space="preserve">加百裕             </v>
          </cell>
          <cell r="C154">
            <v>37.9</v>
          </cell>
          <cell r="D154">
            <v>1775000</v>
          </cell>
        </row>
        <row r="155">
          <cell r="A155">
            <v>3324</v>
          </cell>
          <cell r="B155" t="str">
            <v xml:space="preserve">雙鴻              </v>
          </cell>
          <cell r="C155">
            <v>86.8</v>
          </cell>
          <cell r="D155">
            <v>3516000</v>
          </cell>
        </row>
        <row r="156">
          <cell r="A156">
            <v>3325</v>
          </cell>
          <cell r="B156" t="str">
            <v xml:space="preserve">旭品              </v>
          </cell>
          <cell r="C156">
            <v>13.75</v>
          </cell>
          <cell r="D156">
            <v>167000</v>
          </cell>
        </row>
        <row r="157">
          <cell r="A157">
            <v>3332</v>
          </cell>
          <cell r="B157" t="str">
            <v xml:space="preserve">幸康              </v>
          </cell>
          <cell r="C157" t="str">
            <v>----</v>
          </cell>
          <cell r="D157">
            <v>0</v>
          </cell>
        </row>
        <row r="158">
          <cell r="A158">
            <v>3339</v>
          </cell>
          <cell r="B158" t="str">
            <v xml:space="preserve">泰谷              </v>
          </cell>
          <cell r="C158">
            <v>10.3</v>
          </cell>
          <cell r="D158">
            <v>927000</v>
          </cell>
        </row>
        <row r="159">
          <cell r="A159">
            <v>3354</v>
          </cell>
          <cell r="B159" t="str">
            <v xml:space="preserve">律勝              </v>
          </cell>
          <cell r="C159">
            <v>31.35</v>
          </cell>
          <cell r="D159">
            <v>1025000</v>
          </cell>
        </row>
        <row r="160">
          <cell r="A160">
            <v>3360</v>
          </cell>
          <cell r="B160" t="str">
            <v xml:space="preserve">尚立              </v>
          </cell>
          <cell r="C160">
            <v>12.55</v>
          </cell>
          <cell r="D160">
            <v>401000</v>
          </cell>
        </row>
        <row r="161">
          <cell r="A161">
            <v>3362</v>
          </cell>
          <cell r="B161" t="str">
            <v xml:space="preserve">先進光             </v>
          </cell>
          <cell r="C161">
            <v>35.25</v>
          </cell>
          <cell r="D161">
            <v>2830000</v>
          </cell>
        </row>
        <row r="162">
          <cell r="A162">
            <v>3363</v>
          </cell>
          <cell r="B162" t="str">
            <v xml:space="preserve">上詮              </v>
          </cell>
          <cell r="C162">
            <v>26.95</v>
          </cell>
          <cell r="D162">
            <v>131000</v>
          </cell>
        </row>
        <row r="163">
          <cell r="A163">
            <v>3372</v>
          </cell>
          <cell r="B163" t="str">
            <v xml:space="preserve">典範              </v>
          </cell>
          <cell r="C163">
            <v>5.85</v>
          </cell>
          <cell r="D163">
            <v>246000</v>
          </cell>
        </row>
        <row r="164">
          <cell r="A164">
            <v>3373</v>
          </cell>
          <cell r="B164" t="str">
            <v xml:space="preserve">熱映              </v>
          </cell>
          <cell r="C164">
            <v>18.7</v>
          </cell>
          <cell r="D164">
            <v>40000</v>
          </cell>
        </row>
        <row r="165">
          <cell r="A165">
            <v>3374</v>
          </cell>
          <cell r="B165" t="str">
            <v xml:space="preserve">精材              </v>
          </cell>
          <cell r="C165">
            <v>57.3</v>
          </cell>
          <cell r="D165">
            <v>2649000</v>
          </cell>
        </row>
        <row r="166">
          <cell r="A166">
            <v>3379</v>
          </cell>
          <cell r="B166" t="str">
            <v xml:space="preserve">彬台              </v>
          </cell>
          <cell r="C166">
            <v>9.99</v>
          </cell>
          <cell r="D166">
            <v>58000</v>
          </cell>
        </row>
        <row r="167">
          <cell r="A167">
            <v>3388</v>
          </cell>
          <cell r="B167" t="str">
            <v xml:space="preserve">崇越電             </v>
          </cell>
          <cell r="C167">
            <v>69.8</v>
          </cell>
          <cell r="D167">
            <v>196000</v>
          </cell>
        </row>
        <row r="168">
          <cell r="A168">
            <v>3390</v>
          </cell>
          <cell r="B168" t="str">
            <v xml:space="preserve">旭軟              </v>
          </cell>
          <cell r="C168">
            <v>20.399999999999999</v>
          </cell>
          <cell r="D168">
            <v>777000</v>
          </cell>
        </row>
        <row r="169">
          <cell r="A169">
            <v>3402</v>
          </cell>
          <cell r="B169" t="str">
            <v xml:space="preserve">漢科              </v>
          </cell>
          <cell r="C169">
            <v>22.95</v>
          </cell>
          <cell r="D169">
            <v>269000</v>
          </cell>
        </row>
        <row r="170">
          <cell r="A170">
            <v>3426</v>
          </cell>
          <cell r="B170" t="str">
            <v xml:space="preserve">台興              </v>
          </cell>
          <cell r="C170">
            <v>67.400000000000006</v>
          </cell>
          <cell r="D170">
            <v>18000</v>
          </cell>
        </row>
        <row r="171">
          <cell r="A171">
            <v>3428</v>
          </cell>
          <cell r="B171" t="str">
            <v xml:space="preserve">光燿科             </v>
          </cell>
          <cell r="C171">
            <v>43.75</v>
          </cell>
          <cell r="D171">
            <v>1473000</v>
          </cell>
        </row>
        <row r="172">
          <cell r="A172">
            <v>3431</v>
          </cell>
          <cell r="B172" t="str">
            <v xml:space="preserve">長天              </v>
          </cell>
          <cell r="C172">
            <v>5.31</v>
          </cell>
          <cell r="D172">
            <v>15000</v>
          </cell>
        </row>
        <row r="173">
          <cell r="A173">
            <v>3434</v>
          </cell>
          <cell r="B173" t="str">
            <v xml:space="preserve">哲固              </v>
          </cell>
          <cell r="C173">
            <v>13.1</v>
          </cell>
          <cell r="D173">
            <v>30000</v>
          </cell>
        </row>
        <row r="174">
          <cell r="A174">
            <v>3438</v>
          </cell>
          <cell r="B174" t="str">
            <v xml:space="preserve">類比科             </v>
          </cell>
          <cell r="C174">
            <v>18.95</v>
          </cell>
          <cell r="D174">
            <v>449000</v>
          </cell>
        </row>
        <row r="175">
          <cell r="A175">
            <v>3441</v>
          </cell>
          <cell r="B175" t="str">
            <v xml:space="preserve">聯一光             </v>
          </cell>
          <cell r="C175">
            <v>30.55</v>
          </cell>
          <cell r="D175">
            <v>585000</v>
          </cell>
        </row>
        <row r="176">
          <cell r="A176">
            <v>3444</v>
          </cell>
          <cell r="B176" t="str">
            <v xml:space="preserve">利機              </v>
          </cell>
          <cell r="C176">
            <v>26.6</v>
          </cell>
          <cell r="D176">
            <v>566000</v>
          </cell>
        </row>
        <row r="177">
          <cell r="A177">
            <v>3452</v>
          </cell>
          <cell r="B177" t="str">
            <v xml:space="preserve">益通              </v>
          </cell>
          <cell r="C177">
            <v>7.63</v>
          </cell>
          <cell r="D177">
            <v>880000</v>
          </cell>
        </row>
        <row r="178">
          <cell r="A178">
            <v>3455</v>
          </cell>
          <cell r="B178" t="str">
            <v xml:space="preserve">由田              </v>
          </cell>
          <cell r="C178">
            <v>42.15</v>
          </cell>
          <cell r="D178">
            <v>322000</v>
          </cell>
        </row>
        <row r="179">
          <cell r="A179">
            <v>3465</v>
          </cell>
          <cell r="B179" t="str">
            <v xml:space="preserve">祥業              </v>
          </cell>
          <cell r="C179" t="str">
            <v>----</v>
          </cell>
          <cell r="D179">
            <v>0</v>
          </cell>
        </row>
        <row r="180">
          <cell r="A180">
            <v>3466</v>
          </cell>
          <cell r="B180" t="str">
            <v xml:space="preserve">致振              </v>
          </cell>
          <cell r="C180">
            <v>14.25</v>
          </cell>
          <cell r="D180">
            <v>10000</v>
          </cell>
        </row>
        <row r="181">
          <cell r="A181">
            <v>3479</v>
          </cell>
          <cell r="B181" t="str">
            <v xml:space="preserve">安勤              </v>
          </cell>
          <cell r="C181">
            <v>48.4</v>
          </cell>
          <cell r="D181">
            <v>306000</v>
          </cell>
        </row>
        <row r="182">
          <cell r="A182">
            <v>3483</v>
          </cell>
          <cell r="B182" t="str">
            <v xml:space="preserve">力致              </v>
          </cell>
          <cell r="C182">
            <v>22</v>
          </cell>
          <cell r="D182">
            <v>167000</v>
          </cell>
        </row>
        <row r="183">
          <cell r="A183">
            <v>3484</v>
          </cell>
          <cell r="B183" t="str">
            <v xml:space="preserve">崧騰              </v>
          </cell>
          <cell r="C183">
            <v>37.700000000000003</v>
          </cell>
          <cell r="D183">
            <v>406000</v>
          </cell>
        </row>
        <row r="184">
          <cell r="A184">
            <v>3489</v>
          </cell>
          <cell r="B184" t="str">
            <v xml:space="preserve">森寶              </v>
          </cell>
          <cell r="C184">
            <v>8.81</v>
          </cell>
          <cell r="D184">
            <v>56000</v>
          </cell>
        </row>
        <row r="185">
          <cell r="A185">
            <v>3490</v>
          </cell>
          <cell r="B185" t="str">
            <v xml:space="preserve">單井              </v>
          </cell>
          <cell r="C185">
            <v>23</v>
          </cell>
          <cell r="D185">
            <v>369000</v>
          </cell>
        </row>
        <row r="186">
          <cell r="A186">
            <v>3491</v>
          </cell>
          <cell r="B186" t="str">
            <v xml:space="preserve">昇達科             </v>
          </cell>
          <cell r="C186">
            <v>74.5</v>
          </cell>
          <cell r="D186">
            <v>330000</v>
          </cell>
        </row>
        <row r="187">
          <cell r="A187">
            <v>3492</v>
          </cell>
          <cell r="B187" t="str">
            <v xml:space="preserve">長盛              </v>
          </cell>
          <cell r="C187">
            <v>23.1</v>
          </cell>
          <cell r="D187">
            <v>336000</v>
          </cell>
        </row>
        <row r="188">
          <cell r="A188">
            <v>3498</v>
          </cell>
          <cell r="B188" t="str">
            <v xml:space="preserve">陽程              </v>
          </cell>
          <cell r="C188">
            <v>46</v>
          </cell>
          <cell r="D188">
            <v>601000</v>
          </cell>
        </row>
        <row r="189">
          <cell r="A189">
            <v>3499</v>
          </cell>
          <cell r="B189" t="str">
            <v xml:space="preserve">環天科             </v>
          </cell>
          <cell r="C189">
            <v>14.6</v>
          </cell>
          <cell r="D189">
            <v>439000</v>
          </cell>
        </row>
        <row r="190">
          <cell r="A190">
            <v>3508</v>
          </cell>
          <cell r="B190" t="str">
            <v xml:space="preserve">位速              </v>
          </cell>
          <cell r="C190">
            <v>39.6</v>
          </cell>
          <cell r="D190">
            <v>2334000</v>
          </cell>
        </row>
        <row r="191">
          <cell r="A191">
            <v>3511</v>
          </cell>
          <cell r="B191" t="str">
            <v xml:space="preserve">矽瑪              </v>
          </cell>
          <cell r="C191">
            <v>13.65</v>
          </cell>
          <cell r="D191">
            <v>85000</v>
          </cell>
        </row>
        <row r="192">
          <cell r="A192">
            <v>3512</v>
          </cell>
          <cell r="B192" t="str">
            <v xml:space="preserve">能緹              </v>
          </cell>
          <cell r="C192">
            <v>35.85</v>
          </cell>
          <cell r="D192">
            <v>153000</v>
          </cell>
        </row>
        <row r="193">
          <cell r="A193">
            <v>3516</v>
          </cell>
          <cell r="B193" t="str">
            <v xml:space="preserve">亞帝歐             </v>
          </cell>
          <cell r="C193">
            <v>13.2</v>
          </cell>
          <cell r="D193">
            <v>30000</v>
          </cell>
        </row>
        <row r="194">
          <cell r="A194">
            <v>3520</v>
          </cell>
          <cell r="B194" t="str">
            <v xml:space="preserve">振維              </v>
          </cell>
          <cell r="C194">
            <v>16.8</v>
          </cell>
          <cell r="D194">
            <v>550000</v>
          </cell>
        </row>
        <row r="195">
          <cell r="A195">
            <v>3521</v>
          </cell>
          <cell r="B195" t="str">
            <v xml:space="preserve">鴻翊              </v>
          </cell>
          <cell r="C195">
            <v>9.1</v>
          </cell>
          <cell r="D195">
            <v>3000</v>
          </cell>
        </row>
        <row r="196">
          <cell r="A196">
            <v>3522</v>
          </cell>
          <cell r="B196" t="str">
            <v xml:space="preserve">宏森              </v>
          </cell>
          <cell r="C196">
            <v>34.35</v>
          </cell>
          <cell r="D196">
            <v>518000</v>
          </cell>
        </row>
        <row r="197">
          <cell r="A197">
            <v>3523</v>
          </cell>
          <cell r="B197" t="str">
            <v xml:space="preserve">迎輝              </v>
          </cell>
          <cell r="C197">
            <v>9.6199999999999992</v>
          </cell>
          <cell r="D197">
            <v>4000</v>
          </cell>
        </row>
        <row r="198">
          <cell r="A198">
            <v>3526</v>
          </cell>
          <cell r="B198" t="str">
            <v xml:space="preserve">凡甲              </v>
          </cell>
          <cell r="C198">
            <v>75.099999999999994</v>
          </cell>
          <cell r="D198">
            <v>750000</v>
          </cell>
        </row>
        <row r="199">
          <cell r="A199">
            <v>3527</v>
          </cell>
          <cell r="B199" t="str">
            <v xml:space="preserve">聚積              </v>
          </cell>
          <cell r="C199">
            <v>66.3</v>
          </cell>
          <cell r="D199">
            <v>106000</v>
          </cell>
        </row>
        <row r="200">
          <cell r="A200">
            <v>3529</v>
          </cell>
          <cell r="B200" t="str">
            <v xml:space="preserve">力旺              </v>
          </cell>
          <cell r="C200">
            <v>360</v>
          </cell>
          <cell r="D200">
            <v>381000</v>
          </cell>
        </row>
        <row r="201">
          <cell r="A201">
            <v>3531</v>
          </cell>
          <cell r="B201" t="str">
            <v xml:space="preserve">先益              </v>
          </cell>
          <cell r="C201">
            <v>28.25</v>
          </cell>
          <cell r="D201">
            <v>90000</v>
          </cell>
        </row>
        <row r="202">
          <cell r="A202">
            <v>3537</v>
          </cell>
          <cell r="B202" t="str">
            <v xml:space="preserve">堡達              </v>
          </cell>
          <cell r="C202">
            <v>21.2</v>
          </cell>
          <cell r="D202">
            <v>160000</v>
          </cell>
        </row>
        <row r="203">
          <cell r="A203">
            <v>3540</v>
          </cell>
          <cell r="B203" t="str">
            <v xml:space="preserve">曜越              </v>
          </cell>
          <cell r="C203">
            <v>27.45</v>
          </cell>
          <cell r="D203">
            <v>2771000</v>
          </cell>
        </row>
        <row r="204">
          <cell r="A204">
            <v>3541</v>
          </cell>
          <cell r="B204" t="str">
            <v xml:space="preserve">西柏              </v>
          </cell>
          <cell r="C204">
            <v>83.1</v>
          </cell>
          <cell r="D204">
            <v>167000</v>
          </cell>
        </row>
        <row r="205">
          <cell r="A205">
            <v>3546</v>
          </cell>
          <cell r="B205" t="str">
            <v xml:space="preserve">宇峻              </v>
          </cell>
          <cell r="C205">
            <v>83.8</v>
          </cell>
          <cell r="D205">
            <v>727000</v>
          </cell>
        </row>
        <row r="206">
          <cell r="A206">
            <v>3548</v>
          </cell>
          <cell r="B206" t="str">
            <v xml:space="preserve">兆利              </v>
          </cell>
          <cell r="C206">
            <v>45.6</v>
          </cell>
          <cell r="D206">
            <v>472000</v>
          </cell>
        </row>
        <row r="207">
          <cell r="A207">
            <v>3551</v>
          </cell>
          <cell r="B207" t="str">
            <v xml:space="preserve">世禾              </v>
          </cell>
          <cell r="C207">
            <v>36.5</v>
          </cell>
          <cell r="D207">
            <v>265000</v>
          </cell>
        </row>
        <row r="208">
          <cell r="A208">
            <v>3552</v>
          </cell>
          <cell r="B208" t="str">
            <v xml:space="preserve">同致              </v>
          </cell>
          <cell r="C208">
            <v>133</v>
          </cell>
          <cell r="D208">
            <v>2015000</v>
          </cell>
        </row>
        <row r="209">
          <cell r="A209">
            <v>3555</v>
          </cell>
          <cell r="B209" t="str">
            <v xml:space="preserve">重鳥鵬             </v>
          </cell>
          <cell r="C209" t="str">
            <v>----</v>
          </cell>
          <cell r="D209">
            <v>0</v>
          </cell>
        </row>
        <row r="210">
          <cell r="A210">
            <v>3556</v>
          </cell>
          <cell r="B210" t="str">
            <v xml:space="preserve">禾瑞亞             </v>
          </cell>
          <cell r="C210">
            <v>50.5</v>
          </cell>
          <cell r="D210">
            <v>254000</v>
          </cell>
        </row>
        <row r="211">
          <cell r="A211">
            <v>3558</v>
          </cell>
          <cell r="B211" t="str">
            <v xml:space="preserve">神準              </v>
          </cell>
          <cell r="C211">
            <v>115.5</v>
          </cell>
          <cell r="D211">
            <v>141000</v>
          </cell>
        </row>
        <row r="212">
          <cell r="A212">
            <v>3562</v>
          </cell>
          <cell r="B212" t="str">
            <v xml:space="preserve">頂晶科             </v>
          </cell>
          <cell r="C212">
            <v>12.75</v>
          </cell>
          <cell r="D212">
            <v>63000</v>
          </cell>
        </row>
        <row r="213">
          <cell r="A213">
            <v>3563</v>
          </cell>
          <cell r="B213" t="str">
            <v xml:space="preserve">牧德              </v>
          </cell>
          <cell r="C213">
            <v>257.5</v>
          </cell>
          <cell r="D213">
            <v>2569000</v>
          </cell>
        </row>
        <row r="214">
          <cell r="A214">
            <v>3564</v>
          </cell>
          <cell r="B214" t="str">
            <v xml:space="preserve">其陽              </v>
          </cell>
          <cell r="C214">
            <v>25.05</v>
          </cell>
          <cell r="D214">
            <v>101000</v>
          </cell>
        </row>
        <row r="215">
          <cell r="A215">
            <v>3567</v>
          </cell>
          <cell r="B215" t="str">
            <v xml:space="preserve">逸昌              </v>
          </cell>
          <cell r="C215">
            <v>30.3</v>
          </cell>
          <cell r="D215">
            <v>507000</v>
          </cell>
        </row>
        <row r="216">
          <cell r="A216">
            <v>3570</v>
          </cell>
          <cell r="B216" t="str">
            <v xml:space="preserve">大塚              </v>
          </cell>
          <cell r="C216">
            <v>44.9</v>
          </cell>
          <cell r="D216">
            <v>16000</v>
          </cell>
        </row>
        <row r="217">
          <cell r="A217">
            <v>3577</v>
          </cell>
          <cell r="B217" t="str">
            <v xml:space="preserve">泓格              </v>
          </cell>
          <cell r="C217">
            <v>31</v>
          </cell>
          <cell r="D217">
            <v>7000</v>
          </cell>
        </row>
        <row r="218">
          <cell r="A218">
            <v>3580</v>
          </cell>
          <cell r="B218" t="str">
            <v xml:space="preserve">友威科             </v>
          </cell>
          <cell r="C218">
            <v>55</v>
          </cell>
          <cell r="D218">
            <v>308000</v>
          </cell>
        </row>
        <row r="219">
          <cell r="A219">
            <v>3581</v>
          </cell>
          <cell r="B219" t="str">
            <v xml:space="preserve">博磊              </v>
          </cell>
          <cell r="C219">
            <v>20.399999999999999</v>
          </cell>
          <cell r="D219">
            <v>655000</v>
          </cell>
        </row>
        <row r="220">
          <cell r="A220">
            <v>3587</v>
          </cell>
          <cell r="B220" t="str">
            <v xml:space="preserve">閎康              </v>
          </cell>
          <cell r="C220">
            <v>75</v>
          </cell>
          <cell r="D220">
            <v>332000</v>
          </cell>
        </row>
        <row r="221">
          <cell r="A221">
            <v>3594</v>
          </cell>
          <cell r="B221" t="str">
            <v xml:space="preserve">磐儀              </v>
          </cell>
          <cell r="C221">
            <v>25</v>
          </cell>
          <cell r="D221">
            <v>330000</v>
          </cell>
        </row>
        <row r="222">
          <cell r="A222">
            <v>3609</v>
          </cell>
          <cell r="B222" t="str">
            <v xml:space="preserve">東林              </v>
          </cell>
          <cell r="C222">
            <v>13.1</v>
          </cell>
          <cell r="D222">
            <v>2000</v>
          </cell>
        </row>
        <row r="223">
          <cell r="A223">
            <v>3611</v>
          </cell>
          <cell r="B223" t="str">
            <v xml:space="preserve">鼎翰              </v>
          </cell>
          <cell r="C223">
            <v>230.5</v>
          </cell>
          <cell r="D223">
            <v>177000</v>
          </cell>
        </row>
        <row r="224">
          <cell r="A224">
            <v>3615</v>
          </cell>
          <cell r="B224" t="str">
            <v xml:space="preserve">安可              </v>
          </cell>
          <cell r="C224">
            <v>19.75</v>
          </cell>
          <cell r="D224">
            <v>309000</v>
          </cell>
        </row>
        <row r="225">
          <cell r="A225">
            <v>3623</v>
          </cell>
          <cell r="B225" t="str">
            <v xml:space="preserve">富晶通             </v>
          </cell>
          <cell r="C225">
            <v>40.4</v>
          </cell>
          <cell r="D225">
            <v>89000</v>
          </cell>
        </row>
        <row r="226">
          <cell r="A226">
            <v>3624</v>
          </cell>
          <cell r="B226" t="str">
            <v xml:space="preserve">光頡              </v>
          </cell>
          <cell r="C226">
            <v>30.9</v>
          </cell>
          <cell r="D226">
            <v>7767000</v>
          </cell>
        </row>
        <row r="227">
          <cell r="A227">
            <v>3625</v>
          </cell>
          <cell r="B227" t="str">
            <v xml:space="preserve">西勝              </v>
          </cell>
          <cell r="C227">
            <v>28.85</v>
          </cell>
          <cell r="D227">
            <v>913000</v>
          </cell>
        </row>
        <row r="228">
          <cell r="A228">
            <v>3628</v>
          </cell>
          <cell r="B228" t="str">
            <v xml:space="preserve">盈正              </v>
          </cell>
          <cell r="C228">
            <v>38.85</v>
          </cell>
          <cell r="D228">
            <v>25000</v>
          </cell>
        </row>
        <row r="229">
          <cell r="A229">
            <v>3629</v>
          </cell>
          <cell r="B229" t="str">
            <v xml:space="preserve">群富通             </v>
          </cell>
          <cell r="C229" t="str">
            <v>----</v>
          </cell>
          <cell r="D229">
            <v>0</v>
          </cell>
        </row>
        <row r="230">
          <cell r="A230">
            <v>3630</v>
          </cell>
          <cell r="B230" t="str">
            <v xml:space="preserve">新鉅科             </v>
          </cell>
          <cell r="C230">
            <v>33.200000000000003</v>
          </cell>
          <cell r="D230">
            <v>1430000</v>
          </cell>
        </row>
        <row r="231">
          <cell r="A231">
            <v>3631</v>
          </cell>
          <cell r="B231" t="str">
            <v xml:space="preserve">晟楠              </v>
          </cell>
          <cell r="C231">
            <v>22.85</v>
          </cell>
          <cell r="D231">
            <v>14000</v>
          </cell>
        </row>
        <row r="232">
          <cell r="A232">
            <v>3632</v>
          </cell>
          <cell r="B232" t="str">
            <v xml:space="preserve">研勤              </v>
          </cell>
          <cell r="C232">
            <v>15.7</v>
          </cell>
          <cell r="D232">
            <v>324000</v>
          </cell>
        </row>
        <row r="233">
          <cell r="A233">
            <v>3642</v>
          </cell>
          <cell r="B233" t="str">
            <v xml:space="preserve">駿熠電             </v>
          </cell>
          <cell r="C233">
            <v>17.850000000000001</v>
          </cell>
          <cell r="D233">
            <v>85000</v>
          </cell>
        </row>
        <row r="234">
          <cell r="A234">
            <v>3646</v>
          </cell>
          <cell r="B234" t="str">
            <v xml:space="preserve">艾恩特             </v>
          </cell>
          <cell r="C234">
            <v>15.95</v>
          </cell>
          <cell r="D234">
            <v>203000</v>
          </cell>
        </row>
        <row r="235">
          <cell r="A235">
            <v>3652</v>
          </cell>
          <cell r="B235" t="str">
            <v xml:space="preserve">精聯              </v>
          </cell>
          <cell r="C235">
            <v>22.3</v>
          </cell>
          <cell r="D235">
            <v>35000</v>
          </cell>
        </row>
        <row r="236">
          <cell r="A236">
            <v>3663</v>
          </cell>
          <cell r="B236" t="str">
            <v xml:space="preserve">鑫科              </v>
          </cell>
          <cell r="C236">
            <v>18.75</v>
          </cell>
          <cell r="D236">
            <v>184000</v>
          </cell>
        </row>
        <row r="237">
          <cell r="A237">
            <v>3664</v>
          </cell>
          <cell r="B237" t="str">
            <v xml:space="preserve">安瑞-KY           </v>
          </cell>
          <cell r="C237">
            <v>17.399999999999999</v>
          </cell>
          <cell r="D237">
            <v>409000</v>
          </cell>
        </row>
        <row r="238">
          <cell r="A238">
            <v>3666</v>
          </cell>
          <cell r="B238" t="str">
            <v xml:space="preserve">光耀              </v>
          </cell>
          <cell r="C238">
            <v>20.8</v>
          </cell>
          <cell r="D238">
            <v>302000</v>
          </cell>
        </row>
        <row r="239">
          <cell r="A239">
            <v>3672</v>
          </cell>
          <cell r="B239" t="str">
            <v xml:space="preserve">康聯訊             </v>
          </cell>
          <cell r="C239">
            <v>21.25</v>
          </cell>
          <cell r="D239">
            <v>22000</v>
          </cell>
        </row>
        <row r="240">
          <cell r="A240">
            <v>3675</v>
          </cell>
          <cell r="B240" t="str">
            <v xml:space="preserve">德微              </v>
          </cell>
          <cell r="C240">
            <v>50</v>
          </cell>
          <cell r="D240">
            <v>202000</v>
          </cell>
        </row>
        <row r="241">
          <cell r="A241">
            <v>3680</v>
          </cell>
          <cell r="B241" t="str">
            <v xml:space="preserve">家登              </v>
          </cell>
          <cell r="C241">
            <v>35.1</v>
          </cell>
          <cell r="D241">
            <v>343000</v>
          </cell>
        </row>
        <row r="242">
          <cell r="A242">
            <v>3684</v>
          </cell>
          <cell r="B242" t="str">
            <v xml:space="preserve">榮昌              </v>
          </cell>
          <cell r="C242">
            <v>40.65</v>
          </cell>
          <cell r="D242">
            <v>26000</v>
          </cell>
        </row>
        <row r="243">
          <cell r="A243">
            <v>3685</v>
          </cell>
          <cell r="B243" t="str">
            <v xml:space="preserve">元創精密            </v>
          </cell>
          <cell r="C243">
            <v>61</v>
          </cell>
          <cell r="D243">
            <v>410000</v>
          </cell>
        </row>
        <row r="244">
          <cell r="A244">
            <v>3687</v>
          </cell>
          <cell r="B244" t="str">
            <v xml:space="preserve">歐買尬             </v>
          </cell>
          <cell r="C244">
            <v>32.200000000000003</v>
          </cell>
          <cell r="D244">
            <v>94000</v>
          </cell>
        </row>
        <row r="245">
          <cell r="A245">
            <v>3689</v>
          </cell>
          <cell r="B245" t="str">
            <v xml:space="preserve">湧德              </v>
          </cell>
          <cell r="C245">
            <v>47.05</v>
          </cell>
          <cell r="D245">
            <v>782000</v>
          </cell>
        </row>
        <row r="246">
          <cell r="A246">
            <v>3691</v>
          </cell>
          <cell r="B246" t="str">
            <v xml:space="preserve">碩禾              </v>
          </cell>
          <cell r="C246">
            <v>205</v>
          </cell>
          <cell r="D246">
            <v>1550000</v>
          </cell>
        </row>
        <row r="247">
          <cell r="A247">
            <v>3693</v>
          </cell>
          <cell r="B247" t="str">
            <v xml:space="preserve">營邦              </v>
          </cell>
          <cell r="C247">
            <v>38</v>
          </cell>
          <cell r="D247">
            <v>95000</v>
          </cell>
        </row>
        <row r="248">
          <cell r="A248">
            <v>3707</v>
          </cell>
          <cell r="B248" t="str">
            <v xml:space="preserve">漢磊              </v>
          </cell>
          <cell r="C248">
            <v>20.5</v>
          </cell>
          <cell r="D248">
            <v>3333000</v>
          </cell>
        </row>
        <row r="249">
          <cell r="A249">
            <v>3709</v>
          </cell>
          <cell r="B249" t="str">
            <v xml:space="preserve">鑫聯大投控           </v>
          </cell>
          <cell r="C249">
            <v>19.25</v>
          </cell>
          <cell r="D249">
            <v>20000</v>
          </cell>
        </row>
        <row r="250">
          <cell r="A250">
            <v>3710</v>
          </cell>
          <cell r="B250" t="str">
            <v xml:space="preserve">連展投控            </v>
          </cell>
          <cell r="C250">
            <v>7.05</v>
          </cell>
          <cell r="D250">
            <v>670000</v>
          </cell>
        </row>
        <row r="251">
          <cell r="A251">
            <v>4102</v>
          </cell>
          <cell r="B251" t="str">
            <v xml:space="preserve">永日              </v>
          </cell>
          <cell r="C251">
            <v>15.1</v>
          </cell>
          <cell r="D251">
            <v>73000</v>
          </cell>
        </row>
        <row r="252">
          <cell r="A252">
            <v>4103</v>
          </cell>
          <cell r="B252" t="str">
            <v xml:space="preserve">百略              </v>
          </cell>
          <cell r="C252">
            <v>69.099999999999994</v>
          </cell>
          <cell r="D252">
            <v>113000</v>
          </cell>
        </row>
        <row r="253">
          <cell r="A253">
            <v>4105</v>
          </cell>
          <cell r="B253" t="str">
            <v xml:space="preserve">東洋              </v>
          </cell>
          <cell r="C253">
            <v>96.4</v>
          </cell>
          <cell r="D253">
            <v>891000</v>
          </cell>
        </row>
        <row r="254">
          <cell r="A254">
            <v>4107</v>
          </cell>
          <cell r="B254" t="str">
            <v xml:space="preserve">邦特              </v>
          </cell>
          <cell r="C254">
            <v>84.4</v>
          </cell>
          <cell r="D254">
            <v>1441000</v>
          </cell>
        </row>
        <row r="255">
          <cell r="A255">
            <v>4109</v>
          </cell>
          <cell r="B255" t="str">
            <v xml:space="preserve">穆拉德加捷           </v>
          </cell>
          <cell r="C255">
            <v>16.899999999999999</v>
          </cell>
          <cell r="D255">
            <v>165000</v>
          </cell>
        </row>
        <row r="256">
          <cell r="A256">
            <v>4111</v>
          </cell>
          <cell r="B256" t="str">
            <v xml:space="preserve">濟生              </v>
          </cell>
          <cell r="C256">
            <v>23.5</v>
          </cell>
          <cell r="D256">
            <v>71000</v>
          </cell>
        </row>
        <row r="257">
          <cell r="A257">
            <v>4113</v>
          </cell>
          <cell r="B257" t="str">
            <v xml:space="preserve">聯上              </v>
          </cell>
          <cell r="C257">
            <v>9.98</v>
          </cell>
          <cell r="D257">
            <v>631000</v>
          </cell>
        </row>
        <row r="258">
          <cell r="A258">
            <v>4114</v>
          </cell>
          <cell r="B258" t="str">
            <v xml:space="preserve">健喬              </v>
          </cell>
          <cell r="C258">
            <v>25.6</v>
          </cell>
          <cell r="D258">
            <v>298000</v>
          </cell>
        </row>
        <row r="259">
          <cell r="A259">
            <v>4116</v>
          </cell>
          <cell r="B259" t="str">
            <v xml:space="preserve">明基醫             </v>
          </cell>
          <cell r="C259">
            <v>32.700000000000003</v>
          </cell>
          <cell r="D259">
            <v>77000</v>
          </cell>
        </row>
        <row r="260">
          <cell r="A260">
            <v>4120</v>
          </cell>
          <cell r="B260" t="str">
            <v xml:space="preserve">友華              </v>
          </cell>
          <cell r="C260">
            <v>71</v>
          </cell>
          <cell r="D260">
            <v>482000</v>
          </cell>
        </row>
        <row r="261">
          <cell r="A261">
            <v>4121</v>
          </cell>
          <cell r="B261" t="str">
            <v xml:space="preserve">優盛              </v>
          </cell>
          <cell r="C261">
            <v>12.2</v>
          </cell>
          <cell r="D261">
            <v>297000</v>
          </cell>
        </row>
        <row r="262">
          <cell r="A262">
            <v>4123</v>
          </cell>
          <cell r="B262" t="str">
            <v xml:space="preserve">晟德              </v>
          </cell>
          <cell r="C262">
            <v>42.25</v>
          </cell>
          <cell r="D262">
            <v>739000</v>
          </cell>
        </row>
        <row r="263">
          <cell r="A263">
            <v>4126</v>
          </cell>
          <cell r="B263" t="str">
            <v xml:space="preserve">太醫              </v>
          </cell>
          <cell r="C263">
            <v>78</v>
          </cell>
          <cell r="D263">
            <v>86000</v>
          </cell>
        </row>
        <row r="264">
          <cell r="A264">
            <v>4127</v>
          </cell>
          <cell r="B264" t="str">
            <v xml:space="preserve">天良              </v>
          </cell>
          <cell r="C264">
            <v>12.05</v>
          </cell>
          <cell r="D264">
            <v>28000</v>
          </cell>
        </row>
        <row r="265">
          <cell r="A265">
            <v>4128</v>
          </cell>
          <cell r="B265" t="str">
            <v xml:space="preserve">中天              </v>
          </cell>
          <cell r="C265">
            <v>20.100000000000001</v>
          </cell>
          <cell r="D265">
            <v>775000</v>
          </cell>
        </row>
        <row r="266">
          <cell r="A266">
            <v>4129</v>
          </cell>
          <cell r="B266" t="str">
            <v xml:space="preserve">聯合              </v>
          </cell>
          <cell r="C266">
            <v>61.3</v>
          </cell>
          <cell r="D266">
            <v>423000</v>
          </cell>
        </row>
        <row r="267">
          <cell r="A267">
            <v>4130</v>
          </cell>
          <cell r="B267" t="str">
            <v xml:space="preserve">健亞              </v>
          </cell>
          <cell r="C267">
            <v>30.1</v>
          </cell>
          <cell r="D267">
            <v>511000</v>
          </cell>
        </row>
        <row r="268">
          <cell r="A268">
            <v>4131</v>
          </cell>
          <cell r="B268" t="str">
            <v xml:space="preserve">晶宇              </v>
          </cell>
          <cell r="C268" t="str">
            <v>----</v>
          </cell>
          <cell r="D268">
            <v>0</v>
          </cell>
        </row>
        <row r="269">
          <cell r="A269">
            <v>4138</v>
          </cell>
          <cell r="B269" t="str">
            <v xml:space="preserve">曜亞              </v>
          </cell>
          <cell r="C269">
            <v>48.55</v>
          </cell>
          <cell r="D269">
            <v>86000</v>
          </cell>
        </row>
        <row r="270">
          <cell r="A270">
            <v>4139</v>
          </cell>
          <cell r="B270" t="str">
            <v xml:space="preserve">馬光-KY           </v>
          </cell>
          <cell r="C270">
            <v>72.099999999999994</v>
          </cell>
          <cell r="D270">
            <v>155000</v>
          </cell>
        </row>
        <row r="271">
          <cell r="A271">
            <v>4147</v>
          </cell>
          <cell r="B271" t="str">
            <v xml:space="preserve">中裕              </v>
          </cell>
          <cell r="C271">
            <v>182</v>
          </cell>
          <cell r="D271">
            <v>676000</v>
          </cell>
        </row>
        <row r="272">
          <cell r="A272">
            <v>4152</v>
          </cell>
          <cell r="B272" t="str">
            <v xml:space="preserve">台微體             </v>
          </cell>
          <cell r="C272">
            <v>93.2</v>
          </cell>
          <cell r="D272">
            <v>47000</v>
          </cell>
        </row>
        <row r="273">
          <cell r="A273">
            <v>4153</v>
          </cell>
          <cell r="B273" t="str">
            <v xml:space="preserve">鈺緯              </v>
          </cell>
          <cell r="C273">
            <v>33.450000000000003</v>
          </cell>
          <cell r="D273">
            <v>171000</v>
          </cell>
        </row>
        <row r="274">
          <cell r="A274">
            <v>4154</v>
          </cell>
          <cell r="B274" t="str">
            <v xml:space="preserve">康樂-KY           </v>
          </cell>
          <cell r="C274">
            <v>21.7</v>
          </cell>
          <cell r="D274">
            <v>14000</v>
          </cell>
        </row>
        <row r="275">
          <cell r="A275">
            <v>4157</v>
          </cell>
          <cell r="B275" t="str">
            <v xml:space="preserve">太景*-KY          </v>
          </cell>
          <cell r="C275">
            <v>25.35</v>
          </cell>
          <cell r="D275">
            <v>7164000</v>
          </cell>
        </row>
        <row r="276">
          <cell r="A276">
            <v>4160</v>
          </cell>
          <cell r="B276" t="str">
            <v xml:space="preserve">創源              </v>
          </cell>
          <cell r="C276">
            <v>25.5</v>
          </cell>
          <cell r="D276">
            <v>42000</v>
          </cell>
        </row>
        <row r="277">
          <cell r="A277">
            <v>4161</v>
          </cell>
          <cell r="B277" t="str">
            <v xml:space="preserve">聿新科             </v>
          </cell>
          <cell r="C277">
            <v>39.299999999999997</v>
          </cell>
          <cell r="D277">
            <v>129000</v>
          </cell>
        </row>
        <row r="278">
          <cell r="A278">
            <v>4162</v>
          </cell>
          <cell r="B278" t="str">
            <v xml:space="preserve">智擎              </v>
          </cell>
          <cell r="C278">
            <v>123.5</v>
          </cell>
          <cell r="D278">
            <v>939000</v>
          </cell>
        </row>
        <row r="279">
          <cell r="A279">
            <v>4163</v>
          </cell>
          <cell r="B279" t="str">
            <v xml:space="preserve">鐿鈦              </v>
          </cell>
          <cell r="C279">
            <v>88</v>
          </cell>
          <cell r="D279">
            <v>212000</v>
          </cell>
        </row>
        <row r="280">
          <cell r="A280">
            <v>4167</v>
          </cell>
          <cell r="B280" t="str">
            <v xml:space="preserve">展旺              </v>
          </cell>
          <cell r="C280">
            <v>26.9</v>
          </cell>
          <cell r="D280">
            <v>1735000</v>
          </cell>
        </row>
        <row r="281">
          <cell r="A281">
            <v>4168</v>
          </cell>
          <cell r="B281" t="str">
            <v xml:space="preserve">醣聯              </v>
          </cell>
          <cell r="C281">
            <v>25</v>
          </cell>
          <cell r="D281">
            <v>164000</v>
          </cell>
        </row>
        <row r="282">
          <cell r="A282">
            <v>4171</v>
          </cell>
          <cell r="B282" t="str">
            <v xml:space="preserve">瑞基              </v>
          </cell>
          <cell r="C282">
            <v>17.45</v>
          </cell>
          <cell r="D282">
            <v>15000</v>
          </cell>
        </row>
        <row r="283">
          <cell r="A283">
            <v>4173</v>
          </cell>
          <cell r="B283" t="str">
            <v xml:space="preserve">久裕              </v>
          </cell>
          <cell r="C283">
            <v>18.8</v>
          </cell>
          <cell r="D283">
            <v>59000</v>
          </cell>
        </row>
        <row r="284">
          <cell r="A284">
            <v>4174</v>
          </cell>
          <cell r="B284" t="str">
            <v xml:space="preserve">浩鼎              </v>
          </cell>
          <cell r="C284">
            <v>159.5</v>
          </cell>
          <cell r="D284">
            <v>620000</v>
          </cell>
        </row>
        <row r="285">
          <cell r="A285">
            <v>4175</v>
          </cell>
          <cell r="B285" t="str">
            <v xml:space="preserve">杏一              </v>
          </cell>
          <cell r="C285">
            <v>59.5</v>
          </cell>
          <cell r="D285">
            <v>12000</v>
          </cell>
        </row>
        <row r="286">
          <cell r="A286">
            <v>4180</v>
          </cell>
          <cell r="B286" t="str">
            <v xml:space="preserve">安成藥             </v>
          </cell>
          <cell r="C286">
            <v>71.3</v>
          </cell>
          <cell r="D286">
            <v>97000</v>
          </cell>
        </row>
        <row r="287">
          <cell r="A287">
            <v>4183</v>
          </cell>
          <cell r="B287" t="str">
            <v xml:space="preserve">福永生技            </v>
          </cell>
          <cell r="C287">
            <v>17.100000000000001</v>
          </cell>
          <cell r="D287">
            <v>34000</v>
          </cell>
        </row>
        <row r="288">
          <cell r="A288">
            <v>4188</v>
          </cell>
          <cell r="B288" t="str">
            <v xml:space="preserve">安克              </v>
          </cell>
          <cell r="C288">
            <v>29</v>
          </cell>
          <cell r="D288">
            <v>112000</v>
          </cell>
        </row>
        <row r="289">
          <cell r="A289">
            <v>4192</v>
          </cell>
          <cell r="B289" t="str">
            <v xml:space="preserve">杏國              </v>
          </cell>
          <cell r="C289">
            <v>31</v>
          </cell>
          <cell r="D289">
            <v>279000</v>
          </cell>
        </row>
        <row r="290">
          <cell r="A290">
            <v>4198</v>
          </cell>
          <cell r="B290" t="str">
            <v xml:space="preserve">環瑞醫             </v>
          </cell>
          <cell r="C290">
            <v>9.35</v>
          </cell>
          <cell r="D290">
            <v>7000</v>
          </cell>
        </row>
        <row r="291">
          <cell r="A291">
            <v>4205</v>
          </cell>
          <cell r="B291" t="str">
            <v xml:space="preserve">中華食             </v>
          </cell>
          <cell r="C291">
            <v>61.5</v>
          </cell>
          <cell r="D291">
            <v>21000</v>
          </cell>
        </row>
        <row r="292">
          <cell r="A292">
            <v>4207</v>
          </cell>
          <cell r="B292" t="str">
            <v xml:space="preserve">環泰              </v>
          </cell>
          <cell r="C292">
            <v>12.8</v>
          </cell>
          <cell r="D292">
            <v>610000</v>
          </cell>
        </row>
        <row r="293">
          <cell r="A293">
            <v>4303</v>
          </cell>
          <cell r="B293" t="str">
            <v xml:space="preserve">信立              </v>
          </cell>
          <cell r="C293">
            <v>130.5</v>
          </cell>
          <cell r="D293">
            <v>33000</v>
          </cell>
        </row>
        <row r="294">
          <cell r="A294">
            <v>4304</v>
          </cell>
          <cell r="B294" t="str">
            <v xml:space="preserve">勝昱              </v>
          </cell>
          <cell r="C294">
            <v>5.03</v>
          </cell>
          <cell r="D294">
            <v>9000</v>
          </cell>
        </row>
        <row r="295">
          <cell r="A295">
            <v>4305</v>
          </cell>
          <cell r="B295" t="str">
            <v xml:space="preserve">世坤              </v>
          </cell>
          <cell r="C295">
            <v>30.3</v>
          </cell>
          <cell r="D295">
            <v>4000</v>
          </cell>
        </row>
        <row r="296">
          <cell r="A296">
            <v>4401</v>
          </cell>
          <cell r="B296" t="str">
            <v xml:space="preserve">東隆興             </v>
          </cell>
          <cell r="C296">
            <v>70.3</v>
          </cell>
          <cell r="D296">
            <v>30000</v>
          </cell>
        </row>
        <row r="297">
          <cell r="A297">
            <v>4402</v>
          </cell>
          <cell r="B297" t="str">
            <v xml:space="preserve">福大              </v>
          </cell>
          <cell r="C297">
            <v>10</v>
          </cell>
          <cell r="D297">
            <v>95000</v>
          </cell>
        </row>
        <row r="298">
          <cell r="A298">
            <v>4406</v>
          </cell>
          <cell r="B298" t="str">
            <v xml:space="preserve">新昕纖             </v>
          </cell>
          <cell r="C298" t="str">
            <v>----</v>
          </cell>
          <cell r="D298">
            <v>0</v>
          </cell>
        </row>
        <row r="299">
          <cell r="A299">
            <v>4413</v>
          </cell>
          <cell r="B299" t="str">
            <v xml:space="preserve">飛寶企業            </v>
          </cell>
          <cell r="C299" t="str">
            <v>----</v>
          </cell>
          <cell r="D299">
            <v>0</v>
          </cell>
        </row>
        <row r="300">
          <cell r="A300">
            <v>4415</v>
          </cell>
          <cell r="B300" t="str">
            <v xml:space="preserve">台原藥             </v>
          </cell>
          <cell r="C300">
            <v>8.93</v>
          </cell>
          <cell r="D300">
            <v>1000</v>
          </cell>
        </row>
        <row r="301">
          <cell r="A301">
            <v>4416</v>
          </cell>
          <cell r="B301" t="str">
            <v xml:space="preserve">三圓              </v>
          </cell>
          <cell r="C301" t="str">
            <v>----</v>
          </cell>
          <cell r="D301">
            <v>0</v>
          </cell>
        </row>
        <row r="302">
          <cell r="A302">
            <v>4417</v>
          </cell>
          <cell r="B302" t="str">
            <v xml:space="preserve">金洲              </v>
          </cell>
          <cell r="C302">
            <v>31.2</v>
          </cell>
          <cell r="D302">
            <v>311000</v>
          </cell>
        </row>
        <row r="303">
          <cell r="A303">
            <v>4419</v>
          </cell>
          <cell r="B303" t="str">
            <v xml:space="preserve">元勝              </v>
          </cell>
          <cell r="C303" t="str">
            <v>----</v>
          </cell>
          <cell r="D303">
            <v>0</v>
          </cell>
        </row>
        <row r="304">
          <cell r="A304">
            <v>4420</v>
          </cell>
          <cell r="B304" t="str">
            <v xml:space="preserve">光明              </v>
          </cell>
          <cell r="C304">
            <v>24.65</v>
          </cell>
          <cell r="D304">
            <v>43000</v>
          </cell>
        </row>
        <row r="305">
          <cell r="A305">
            <v>4429</v>
          </cell>
          <cell r="B305" t="str">
            <v xml:space="preserve">聚紡              </v>
          </cell>
          <cell r="C305">
            <v>21.1</v>
          </cell>
          <cell r="D305">
            <v>3000</v>
          </cell>
        </row>
        <row r="306">
          <cell r="A306">
            <v>4430</v>
          </cell>
          <cell r="B306" t="str">
            <v xml:space="preserve">耀億              </v>
          </cell>
          <cell r="C306">
            <v>24.65</v>
          </cell>
          <cell r="D306">
            <v>37000</v>
          </cell>
        </row>
        <row r="307">
          <cell r="A307">
            <v>4432</v>
          </cell>
          <cell r="B307" t="str">
            <v xml:space="preserve">銘旺實             </v>
          </cell>
          <cell r="C307">
            <v>27.8</v>
          </cell>
          <cell r="D307">
            <v>56000</v>
          </cell>
        </row>
        <row r="308">
          <cell r="A308">
            <v>4433</v>
          </cell>
          <cell r="B308" t="str">
            <v xml:space="preserve">興采              </v>
          </cell>
          <cell r="C308">
            <v>19.350000000000001</v>
          </cell>
          <cell r="D308">
            <v>8000</v>
          </cell>
        </row>
        <row r="309">
          <cell r="A309">
            <v>4502</v>
          </cell>
          <cell r="B309" t="str">
            <v xml:space="preserve">健信              </v>
          </cell>
          <cell r="C309">
            <v>78</v>
          </cell>
          <cell r="D309">
            <v>40000</v>
          </cell>
        </row>
        <row r="310">
          <cell r="A310">
            <v>4503</v>
          </cell>
          <cell r="B310" t="str">
            <v xml:space="preserve">金雨              </v>
          </cell>
          <cell r="C310">
            <v>38.25</v>
          </cell>
          <cell r="D310">
            <v>60000</v>
          </cell>
        </row>
        <row r="311">
          <cell r="A311">
            <v>4506</v>
          </cell>
          <cell r="B311" t="str">
            <v xml:space="preserve">崇友              </v>
          </cell>
          <cell r="C311">
            <v>58.5</v>
          </cell>
          <cell r="D311">
            <v>131000</v>
          </cell>
        </row>
        <row r="312">
          <cell r="A312">
            <v>4510</v>
          </cell>
          <cell r="B312" t="str">
            <v xml:space="preserve">高鋒              </v>
          </cell>
          <cell r="C312">
            <v>17.5</v>
          </cell>
          <cell r="D312">
            <v>80000</v>
          </cell>
        </row>
        <row r="313">
          <cell r="A313">
            <v>4513</v>
          </cell>
          <cell r="B313" t="str">
            <v xml:space="preserve">福裕              </v>
          </cell>
          <cell r="C313">
            <v>9.4</v>
          </cell>
          <cell r="D313">
            <v>114000</v>
          </cell>
        </row>
        <row r="314">
          <cell r="A314">
            <v>4523</v>
          </cell>
          <cell r="B314" t="str">
            <v xml:space="preserve">永彰              </v>
          </cell>
          <cell r="C314">
            <v>15.95</v>
          </cell>
          <cell r="D314">
            <v>34000</v>
          </cell>
        </row>
        <row r="315">
          <cell r="A315">
            <v>4527</v>
          </cell>
          <cell r="B315" t="str">
            <v xml:space="preserve">方土霖             </v>
          </cell>
          <cell r="C315">
            <v>30.6</v>
          </cell>
          <cell r="D315">
            <v>99000</v>
          </cell>
        </row>
        <row r="316">
          <cell r="A316">
            <v>4528</v>
          </cell>
          <cell r="B316" t="str">
            <v xml:space="preserve">江興鍛             </v>
          </cell>
          <cell r="C316">
            <v>67.599999999999994</v>
          </cell>
          <cell r="D316">
            <v>216000</v>
          </cell>
        </row>
        <row r="317">
          <cell r="A317">
            <v>4529</v>
          </cell>
          <cell r="B317" t="str">
            <v xml:space="preserve">淳紳              </v>
          </cell>
          <cell r="C317">
            <v>24.6</v>
          </cell>
          <cell r="D317">
            <v>369000</v>
          </cell>
        </row>
        <row r="318">
          <cell r="A318">
            <v>4530</v>
          </cell>
          <cell r="B318" t="str">
            <v xml:space="preserve">宏易              </v>
          </cell>
          <cell r="C318">
            <v>7.2</v>
          </cell>
          <cell r="D318">
            <v>210000</v>
          </cell>
        </row>
        <row r="319">
          <cell r="A319">
            <v>4533</v>
          </cell>
          <cell r="B319" t="str">
            <v xml:space="preserve">協易機             </v>
          </cell>
          <cell r="C319">
            <v>11.4</v>
          </cell>
          <cell r="D319">
            <v>327000</v>
          </cell>
        </row>
        <row r="320">
          <cell r="A320">
            <v>4534</v>
          </cell>
          <cell r="B320" t="str">
            <v xml:space="preserve">慶騰              </v>
          </cell>
          <cell r="C320">
            <v>16.5</v>
          </cell>
          <cell r="D320">
            <v>336000</v>
          </cell>
        </row>
        <row r="321">
          <cell r="A321">
            <v>4535</v>
          </cell>
          <cell r="B321" t="str">
            <v xml:space="preserve">至興              </v>
          </cell>
          <cell r="C321">
            <v>41.5</v>
          </cell>
          <cell r="D321">
            <v>59000</v>
          </cell>
        </row>
        <row r="322">
          <cell r="A322">
            <v>4541</v>
          </cell>
          <cell r="B322" t="str">
            <v xml:space="preserve">晟田              </v>
          </cell>
          <cell r="C322">
            <v>26.05</v>
          </cell>
          <cell r="D322">
            <v>55000</v>
          </cell>
        </row>
        <row r="323">
          <cell r="A323">
            <v>4542</v>
          </cell>
          <cell r="B323" t="str">
            <v xml:space="preserve">科嶠              </v>
          </cell>
          <cell r="C323">
            <v>27</v>
          </cell>
          <cell r="D323">
            <v>21000</v>
          </cell>
        </row>
        <row r="324">
          <cell r="A324">
            <v>4543</v>
          </cell>
          <cell r="B324" t="str">
            <v xml:space="preserve">萬在              </v>
          </cell>
          <cell r="C324">
            <v>18.2</v>
          </cell>
          <cell r="D324">
            <v>1000</v>
          </cell>
        </row>
        <row r="325">
          <cell r="A325">
            <v>4549</v>
          </cell>
          <cell r="B325" t="str">
            <v xml:space="preserve">桓達              </v>
          </cell>
          <cell r="C325">
            <v>97.2</v>
          </cell>
          <cell r="D325">
            <v>705000</v>
          </cell>
        </row>
        <row r="326">
          <cell r="A326">
            <v>4550</v>
          </cell>
          <cell r="B326" t="str">
            <v xml:space="preserve">長佳              </v>
          </cell>
          <cell r="C326">
            <v>17.3</v>
          </cell>
          <cell r="D326">
            <v>36000</v>
          </cell>
        </row>
        <row r="327">
          <cell r="A327">
            <v>4554</v>
          </cell>
          <cell r="B327" t="str">
            <v xml:space="preserve">橙的              </v>
          </cell>
          <cell r="C327">
            <v>24.95</v>
          </cell>
          <cell r="D327">
            <v>39000</v>
          </cell>
        </row>
        <row r="328">
          <cell r="A328">
            <v>4556</v>
          </cell>
          <cell r="B328" t="str">
            <v xml:space="preserve">旭然              </v>
          </cell>
          <cell r="C328">
            <v>29.1</v>
          </cell>
          <cell r="D328">
            <v>13000</v>
          </cell>
        </row>
        <row r="329">
          <cell r="A329">
            <v>4609</v>
          </cell>
          <cell r="B329" t="str">
            <v xml:space="preserve">唐鋒              </v>
          </cell>
          <cell r="C329" t="str">
            <v>----</v>
          </cell>
          <cell r="D329">
            <v>0</v>
          </cell>
        </row>
        <row r="330">
          <cell r="A330">
            <v>4702</v>
          </cell>
          <cell r="B330" t="str">
            <v xml:space="preserve">中美實             </v>
          </cell>
          <cell r="C330">
            <v>5.49</v>
          </cell>
          <cell r="D330">
            <v>299000</v>
          </cell>
        </row>
        <row r="331">
          <cell r="A331">
            <v>4706</v>
          </cell>
          <cell r="B331" t="str">
            <v xml:space="preserve">大恭              </v>
          </cell>
          <cell r="C331">
            <v>20.95</v>
          </cell>
          <cell r="D331">
            <v>30000</v>
          </cell>
        </row>
        <row r="332">
          <cell r="A332">
            <v>4707</v>
          </cell>
          <cell r="B332" t="str">
            <v xml:space="preserve">磐亞              </v>
          </cell>
          <cell r="C332">
            <v>9.77</v>
          </cell>
          <cell r="D332">
            <v>1093000</v>
          </cell>
        </row>
        <row r="333">
          <cell r="A333">
            <v>4711</v>
          </cell>
          <cell r="B333" t="str">
            <v xml:space="preserve">永純              </v>
          </cell>
          <cell r="C333">
            <v>16</v>
          </cell>
          <cell r="D333">
            <v>70000</v>
          </cell>
        </row>
        <row r="334">
          <cell r="A334">
            <v>4712</v>
          </cell>
          <cell r="B334" t="str">
            <v xml:space="preserve">南璋              </v>
          </cell>
          <cell r="C334">
            <v>12.75</v>
          </cell>
          <cell r="D334">
            <v>164000</v>
          </cell>
        </row>
        <row r="335">
          <cell r="A335">
            <v>4714</v>
          </cell>
          <cell r="B335" t="str">
            <v xml:space="preserve">永捷              </v>
          </cell>
          <cell r="C335">
            <v>13.7</v>
          </cell>
          <cell r="D335">
            <v>1084000</v>
          </cell>
        </row>
        <row r="336">
          <cell r="A336">
            <v>4716</v>
          </cell>
          <cell r="B336" t="str">
            <v xml:space="preserve">大立              </v>
          </cell>
          <cell r="C336">
            <v>22</v>
          </cell>
          <cell r="D336">
            <v>158000</v>
          </cell>
        </row>
        <row r="337">
          <cell r="A337">
            <v>4721</v>
          </cell>
          <cell r="B337" t="str">
            <v xml:space="preserve">美琪瑪             </v>
          </cell>
          <cell r="C337">
            <v>94.5</v>
          </cell>
          <cell r="D337">
            <v>2793000</v>
          </cell>
        </row>
        <row r="338">
          <cell r="A338">
            <v>4726</v>
          </cell>
          <cell r="B338" t="str">
            <v xml:space="preserve">永昕              </v>
          </cell>
          <cell r="C338">
            <v>24.35</v>
          </cell>
          <cell r="D338">
            <v>87000</v>
          </cell>
        </row>
        <row r="339">
          <cell r="A339">
            <v>4728</v>
          </cell>
          <cell r="B339" t="str">
            <v xml:space="preserve">雙美              </v>
          </cell>
          <cell r="C339">
            <v>30</v>
          </cell>
          <cell r="D339">
            <v>197000</v>
          </cell>
        </row>
        <row r="340">
          <cell r="A340">
            <v>4729</v>
          </cell>
          <cell r="B340" t="str">
            <v xml:space="preserve">熒茂              </v>
          </cell>
          <cell r="C340">
            <v>18</v>
          </cell>
          <cell r="D340">
            <v>304000</v>
          </cell>
        </row>
        <row r="341">
          <cell r="A341">
            <v>4735</v>
          </cell>
          <cell r="B341" t="str">
            <v xml:space="preserve">豪展              </v>
          </cell>
          <cell r="C341">
            <v>40.5</v>
          </cell>
          <cell r="D341">
            <v>248000</v>
          </cell>
        </row>
        <row r="342">
          <cell r="A342">
            <v>4736</v>
          </cell>
          <cell r="B342" t="str">
            <v xml:space="preserve">泰博              </v>
          </cell>
          <cell r="C342">
            <v>94.6</v>
          </cell>
          <cell r="D342">
            <v>177000</v>
          </cell>
        </row>
        <row r="343">
          <cell r="A343">
            <v>4741</v>
          </cell>
          <cell r="B343" t="str">
            <v xml:space="preserve">泓瀚              </v>
          </cell>
          <cell r="C343">
            <v>67.2</v>
          </cell>
          <cell r="D343">
            <v>15000</v>
          </cell>
        </row>
        <row r="344">
          <cell r="A344">
            <v>4743</v>
          </cell>
          <cell r="B344" t="str">
            <v xml:space="preserve">合一              </v>
          </cell>
          <cell r="C344">
            <v>19.649999999999999</v>
          </cell>
          <cell r="D344">
            <v>220000</v>
          </cell>
        </row>
        <row r="345">
          <cell r="A345">
            <v>4745</v>
          </cell>
          <cell r="B345" t="str">
            <v xml:space="preserve">合富-KY           </v>
          </cell>
          <cell r="C345">
            <v>38.4</v>
          </cell>
          <cell r="D345">
            <v>76000</v>
          </cell>
        </row>
        <row r="346">
          <cell r="A346">
            <v>4747</v>
          </cell>
          <cell r="B346" t="str">
            <v xml:space="preserve">強生              </v>
          </cell>
          <cell r="C346">
            <v>37.200000000000003</v>
          </cell>
          <cell r="D346">
            <v>4000</v>
          </cell>
        </row>
        <row r="347">
          <cell r="A347">
            <v>4754</v>
          </cell>
          <cell r="B347" t="str">
            <v xml:space="preserve">國碳科             </v>
          </cell>
          <cell r="C347">
            <v>39.5</v>
          </cell>
          <cell r="D347">
            <v>17000</v>
          </cell>
        </row>
        <row r="348">
          <cell r="A348">
            <v>4803</v>
          </cell>
          <cell r="B348" t="str">
            <v xml:space="preserve">VHQ-KY          </v>
          </cell>
          <cell r="C348">
            <v>162.5</v>
          </cell>
          <cell r="D348">
            <v>319000</v>
          </cell>
        </row>
        <row r="349">
          <cell r="A349">
            <v>4804</v>
          </cell>
          <cell r="B349" t="str">
            <v xml:space="preserve">大略-KY           </v>
          </cell>
          <cell r="C349">
            <v>28.3</v>
          </cell>
          <cell r="D349">
            <v>527000</v>
          </cell>
        </row>
        <row r="350">
          <cell r="A350">
            <v>4806</v>
          </cell>
          <cell r="B350" t="str">
            <v xml:space="preserve">昇華              </v>
          </cell>
          <cell r="C350">
            <v>39.85</v>
          </cell>
          <cell r="D350">
            <v>114000</v>
          </cell>
        </row>
        <row r="351">
          <cell r="A351">
            <v>4903</v>
          </cell>
          <cell r="B351" t="str">
            <v xml:space="preserve">聯光通             </v>
          </cell>
          <cell r="C351">
            <v>19.55</v>
          </cell>
          <cell r="D351">
            <v>4089000</v>
          </cell>
        </row>
        <row r="352">
          <cell r="A352">
            <v>4905</v>
          </cell>
          <cell r="B352" t="str">
            <v xml:space="preserve">台聯電             </v>
          </cell>
          <cell r="C352">
            <v>65.3</v>
          </cell>
          <cell r="D352">
            <v>96000</v>
          </cell>
        </row>
        <row r="353">
          <cell r="A353">
            <v>4907</v>
          </cell>
          <cell r="B353" t="str">
            <v xml:space="preserve">富宇              </v>
          </cell>
          <cell r="C353">
            <v>36</v>
          </cell>
          <cell r="D353">
            <v>138000</v>
          </cell>
        </row>
        <row r="354">
          <cell r="A354">
            <v>4908</v>
          </cell>
          <cell r="B354" t="str">
            <v xml:space="preserve">前鼎              </v>
          </cell>
          <cell r="C354">
            <v>20.8</v>
          </cell>
          <cell r="D354">
            <v>470000</v>
          </cell>
        </row>
        <row r="355">
          <cell r="A355">
            <v>4909</v>
          </cell>
          <cell r="B355" t="str">
            <v xml:space="preserve">新復興             </v>
          </cell>
          <cell r="C355">
            <v>18.45</v>
          </cell>
          <cell r="D355">
            <v>85000</v>
          </cell>
        </row>
        <row r="356">
          <cell r="A356">
            <v>4911</v>
          </cell>
          <cell r="B356" t="str">
            <v xml:space="preserve">德英              </v>
          </cell>
          <cell r="C356">
            <v>48.5</v>
          </cell>
          <cell r="D356">
            <v>27000</v>
          </cell>
        </row>
        <row r="357">
          <cell r="A357">
            <v>4924</v>
          </cell>
          <cell r="B357" t="str">
            <v xml:space="preserve">欣厚-KY           </v>
          </cell>
          <cell r="C357">
            <v>9.1199999999999992</v>
          </cell>
          <cell r="D357">
            <v>111000</v>
          </cell>
        </row>
        <row r="358">
          <cell r="A358">
            <v>4933</v>
          </cell>
          <cell r="B358" t="str">
            <v xml:space="preserve">友輝              </v>
          </cell>
          <cell r="C358">
            <v>19.600000000000001</v>
          </cell>
          <cell r="D358">
            <v>243000</v>
          </cell>
        </row>
        <row r="359">
          <cell r="A359">
            <v>4939</v>
          </cell>
          <cell r="B359" t="str">
            <v xml:space="preserve">亞電              </v>
          </cell>
          <cell r="C359">
            <v>18.399999999999999</v>
          </cell>
          <cell r="D359">
            <v>1235000</v>
          </cell>
        </row>
        <row r="360">
          <cell r="A360">
            <v>4944</v>
          </cell>
          <cell r="B360" t="str">
            <v xml:space="preserve">兆遠              </v>
          </cell>
          <cell r="C360">
            <v>13.4</v>
          </cell>
          <cell r="D360">
            <v>719000</v>
          </cell>
        </row>
        <row r="361">
          <cell r="A361">
            <v>4946</v>
          </cell>
          <cell r="B361" t="str">
            <v xml:space="preserve">辣椒              </v>
          </cell>
          <cell r="C361">
            <v>39.35</v>
          </cell>
          <cell r="D361">
            <v>151000</v>
          </cell>
        </row>
        <row r="362">
          <cell r="A362">
            <v>4947</v>
          </cell>
          <cell r="B362" t="str">
            <v xml:space="preserve">昂寶-KY           </v>
          </cell>
          <cell r="C362">
            <v>253</v>
          </cell>
          <cell r="D362">
            <v>875000</v>
          </cell>
        </row>
        <row r="363">
          <cell r="A363">
            <v>4950</v>
          </cell>
          <cell r="B363" t="str">
            <v xml:space="preserve">牧東              </v>
          </cell>
          <cell r="C363">
            <v>17.25</v>
          </cell>
          <cell r="D363">
            <v>4000</v>
          </cell>
        </row>
        <row r="364">
          <cell r="A364">
            <v>4953</v>
          </cell>
          <cell r="B364" t="str">
            <v xml:space="preserve">緯軟              </v>
          </cell>
          <cell r="C364">
            <v>28.5</v>
          </cell>
          <cell r="D364">
            <v>82000</v>
          </cell>
        </row>
        <row r="365">
          <cell r="A365">
            <v>4965</v>
          </cell>
          <cell r="B365" t="str">
            <v xml:space="preserve">商店街             </v>
          </cell>
          <cell r="C365">
            <v>48.1</v>
          </cell>
          <cell r="D365">
            <v>21000</v>
          </cell>
        </row>
        <row r="366">
          <cell r="A366">
            <v>4966</v>
          </cell>
          <cell r="B366" t="str">
            <v xml:space="preserve">譜瑞-KY           </v>
          </cell>
          <cell r="C366">
            <v>527</v>
          </cell>
          <cell r="D366">
            <v>1817000</v>
          </cell>
        </row>
        <row r="367">
          <cell r="A367">
            <v>4971</v>
          </cell>
          <cell r="B367" t="str">
            <v xml:space="preserve">IET-KY          </v>
          </cell>
          <cell r="C367">
            <v>86.4</v>
          </cell>
          <cell r="D367">
            <v>921000</v>
          </cell>
        </row>
        <row r="368">
          <cell r="A368">
            <v>4972</v>
          </cell>
          <cell r="B368" t="str">
            <v xml:space="preserve">湯石照明            </v>
          </cell>
          <cell r="C368">
            <v>30.35</v>
          </cell>
          <cell r="D368">
            <v>100000</v>
          </cell>
        </row>
        <row r="369">
          <cell r="A369">
            <v>4973</v>
          </cell>
          <cell r="B369" t="str">
            <v xml:space="preserve">廣穎              </v>
          </cell>
          <cell r="C369">
            <v>16.850000000000001</v>
          </cell>
          <cell r="D369">
            <v>173000</v>
          </cell>
        </row>
        <row r="370">
          <cell r="A370">
            <v>4974</v>
          </cell>
          <cell r="B370" t="str">
            <v xml:space="preserve">亞泰              </v>
          </cell>
          <cell r="C370">
            <v>47.9</v>
          </cell>
          <cell r="D370">
            <v>781000</v>
          </cell>
        </row>
        <row r="371">
          <cell r="A371">
            <v>4979</v>
          </cell>
          <cell r="B371" t="str">
            <v xml:space="preserve">華星光             </v>
          </cell>
          <cell r="C371">
            <v>28.85</v>
          </cell>
          <cell r="D371">
            <v>1175000</v>
          </cell>
        </row>
        <row r="372">
          <cell r="A372">
            <v>4987</v>
          </cell>
          <cell r="B372" t="str">
            <v xml:space="preserve">科誠              </v>
          </cell>
          <cell r="C372">
            <v>61.4</v>
          </cell>
          <cell r="D372">
            <v>23000</v>
          </cell>
        </row>
        <row r="373">
          <cell r="A373">
            <v>4991</v>
          </cell>
          <cell r="B373" t="str">
            <v xml:space="preserve">環宇-KY           </v>
          </cell>
          <cell r="C373">
            <v>75.5</v>
          </cell>
          <cell r="D373">
            <v>3022000</v>
          </cell>
        </row>
        <row r="374">
          <cell r="A374">
            <v>4995</v>
          </cell>
          <cell r="B374" t="str">
            <v xml:space="preserve">晶達              </v>
          </cell>
          <cell r="C374">
            <v>39.799999999999997</v>
          </cell>
          <cell r="D374">
            <v>56000</v>
          </cell>
        </row>
        <row r="375">
          <cell r="A375">
            <v>5009</v>
          </cell>
          <cell r="B375" t="str">
            <v xml:space="preserve">榮剛              </v>
          </cell>
          <cell r="C375">
            <v>19.850000000000001</v>
          </cell>
          <cell r="D375">
            <v>694000</v>
          </cell>
        </row>
        <row r="376">
          <cell r="A376">
            <v>5011</v>
          </cell>
          <cell r="B376" t="str">
            <v xml:space="preserve">久陽              </v>
          </cell>
          <cell r="C376">
            <v>15.5</v>
          </cell>
          <cell r="D376">
            <v>12000</v>
          </cell>
        </row>
        <row r="377">
          <cell r="A377">
            <v>5013</v>
          </cell>
          <cell r="B377" t="str">
            <v xml:space="preserve">強新              </v>
          </cell>
          <cell r="C377">
            <v>29.8</v>
          </cell>
          <cell r="D377">
            <v>42000</v>
          </cell>
        </row>
        <row r="378">
          <cell r="A378">
            <v>5014</v>
          </cell>
          <cell r="B378" t="str">
            <v xml:space="preserve">建錩              </v>
          </cell>
          <cell r="C378">
            <v>15.25</v>
          </cell>
          <cell r="D378">
            <v>1957000</v>
          </cell>
        </row>
        <row r="379">
          <cell r="A379">
            <v>5015</v>
          </cell>
          <cell r="B379" t="str">
            <v xml:space="preserve">華祺              </v>
          </cell>
          <cell r="C379">
            <v>32</v>
          </cell>
          <cell r="D379">
            <v>145000</v>
          </cell>
        </row>
        <row r="380">
          <cell r="A380">
            <v>5016</v>
          </cell>
          <cell r="B380" t="str">
            <v xml:space="preserve">松和              </v>
          </cell>
          <cell r="C380">
            <v>33.799999999999997</v>
          </cell>
          <cell r="D380">
            <v>84000</v>
          </cell>
        </row>
        <row r="381">
          <cell r="A381">
            <v>5102</v>
          </cell>
          <cell r="B381" t="str">
            <v xml:space="preserve">富強              </v>
          </cell>
          <cell r="C381">
            <v>16.25</v>
          </cell>
          <cell r="D381">
            <v>41000</v>
          </cell>
        </row>
        <row r="382">
          <cell r="A382">
            <v>5201</v>
          </cell>
          <cell r="B382" t="str">
            <v xml:space="preserve">凱衛              </v>
          </cell>
          <cell r="C382">
            <v>26.7</v>
          </cell>
          <cell r="D382">
            <v>1095000</v>
          </cell>
        </row>
        <row r="383">
          <cell r="A383">
            <v>5202</v>
          </cell>
          <cell r="B383" t="str">
            <v xml:space="preserve">力新              </v>
          </cell>
          <cell r="C383">
            <v>24.9</v>
          </cell>
          <cell r="D383">
            <v>19000</v>
          </cell>
        </row>
        <row r="384">
          <cell r="A384">
            <v>5205</v>
          </cell>
          <cell r="B384" t="str">
            <v xml:space="preserve">漢康              </v>
          </cell>
          <cell r="C384">
            <v>10.5</v>
          </cell>
          <cell r="D384">
            <v>1000</v>
          </cell>
        </row>
        <row r="385">
          <cell r="A385">
            <v>5206</v>
          </cell>
          <cell r="B385" t="str">
            <v xml:space="preserve">坤悅              </v>
          </cell>
          <cell r="C385">
            <v>10.15</v>
          </cell>
          <cell r="D385">
            <v>81000</v>
          </cell>
        </row>
        <row r="386">
          <cell r="A386">
            <v>5209</v>
          </cell>
          <cell r="B386" t="str">
            <v xml:space="preserve">新鼎              </v>
          </cell>
          <cell r="C386">
            <v>45</v>
          </cell>
          <cell r="D386">
            <v>6000</v>
          </cell>
        </row>
        <row r="387">
          <cell r="A387">
            <v>5210</v>
          </cell>
          <cell r="B387" t="str">
            <v xml:space="preserve">寶碩              </v>
          </cell>
          <cell r="C387">
            <v>7.4</v>
          </cell>
          <cell r="D387">
            <v>124000</v>
          </cell>
        </row>
        <row r="388">
          <cell r="A388">
            <v>5211</v>
          </cell>
          <cell r="B388" t="str">
            <v xml:space="preserve">蒙恬              </v>
          </cell>
          <cell r="C388">
            <v>20.9</v>
          </cell>
          <cell r="D388">
            <v>25000</v>
          </cell>
        </row>
        <row r="389">
          <cell r="A389">
            <v>5212</v>
          </cell>
          <cell r="B389" t="str">
            <v xml:space="preserve">凌網              </v>
          </cell>
          <cell r="C389">
            <v>24.2</v>
          </cell>
          <cell r="D389">
            <v>1000</v>
          </cell>
        </row>
        <row r="390">
          <cell r="A390">
            <v>5213</v>
          </cell>
          <cell r="B390" t="str">
            <v xml:space="preserve">亞昕              </v>
          </cell>
          <cell r="C390">
            <v>16</v>
          </cell>
          <cell r="D390">
            <v>585000</v>
          </cell>
        </row>
        <row r="391">
          <cell r="A391">
            <v>5227</v>
          </cell>
          <cell r="B391" t="str">
            <v xml:space="preserve">立凱-KY           </v>
          </cell>
          <cell r="C391">
            <v>21</v>
          </cell>
          <cell r="D391">
            <v>656000</v>
          </cell>
        </row>
        <row r="392">
          <cell r="A392">
            <v>5230</v>
          </cell>
          <cell r="B392" t="str">
            <v xml:space="preserve">雷笛克光學           </v>
          </cell>
          <cell r="C392">
            <v>41.1</v>
          </cell>
          <cell r="D392">
            <v>235000</v>
          </cell>
        </row>
        <row r="393">
          <cell r="A393">
            <v>5245</v>
          </cell>
          <cell r="B393" t="str">
            <v xml:space="preserve">智晶              </v>
          </cell>
          <cell r="C393">
            <v>83.8</v>
          </cell>
          <cell r="D393">
            <v>267000</v>
          </cell>
        </row>
        <row r="394">
          <cell r="A394">
            <v>5251</v>
          </cell>
          <cell r="B394" t="str">
            <v xml:space="preserve">天鉞電             </v>
          </cell>
          <cell r="C394">
            <v>19</v>
          </cell>
          <cell r="D394">
            <v>135000</v>
          </cell>
        </row>
        <row r="395">
          <cell r="A395">
            <v>5255</v>
          </cell>
          <cell r="B395" t="str">
            <v xml:space="preserve">美桀              </v>
          </cell>
          <cell r="C395">
            <v>46.75</v>
          </cell>
          <cell r="D395">
            <v>351000</v>
          </cell>
        </row>
        <row r="396">
          <cell r="A396">
            <v>5263</v>
          </cell>
          <cell r="B396" t="str">
            <v xml:space="preserve">智崴              </v>
          </cell>
          <cell r="C396">
            <v>216</v>
          </cell>
          <cell r="D396">
            <v>192000</v>
          </cell>
        </row>
        <row r="397">
          <cell r="A397">
            <v>5272</v>
          </cell>
          <cell r="B397" t="str">
            <v xml:space="preserve">笙科              </v>
          </cell>
          <cell r="C397">
            <v>35.799999999999997</v>
          </cell>
          <cell r="D397">
            <v>188000</v>
          </cell>
        </row>
        <row r="398">
          <cell r="A398">
            <v>5274</v>
          </cell>
          <cell r="B398" t="str">
            <v xml:space="preserve">信驊              </v>
          </cell>
          <cell r="C398">
            <v>784</v>
          </cell>
          <cell r="D398">
            <v>177000</v>
          </cell>
        </row>
        <row r="399">
          <cell r="A399">
            <v>5276</v>
          </cell>
          <cell r="B399" t="str">
            <v xml:space="preserve">達輝-KY           </v>
          </cell>
          <cell r="C399">
            <v>19.2</v>
          </cell>
          <cell r="D399">
            <v>4000</v>
          </cell>
        </row>
        <row r="400">
          <cell r="A400">
            <v>5278</v>
          </cell>
          <cell r="B400" t="str">
            <v xml:space="preserve">尚凡              </v>
          </cell>
          <cell r="C400">
            <v>39.15</v>
          </cell>
          <cell r="D400">
            <v>11000</v>
          </cell>
        </row>
        <row r="401">
          <cell r="A401">
            <v>5281</v>
          </cell>
          <cell r="B401" t="str">
            <v xml:space="preserve">大峽谷-KY          </v>
          </cell>
          <cell r="C401">
            <v>40.75</v>
          </cell>
          <cell r="D401">
            <v>4023000</v>
          </cell>
        </row>
        <row r="402">
          <cell r="A402">
            <v>5287</v>
          </cell>
          <cell r="B402" t="str">
            <v xml:space="preserve">數字              </v>
          </cell>
          <cell r="C402">
            <v>224</v>
          </cell>
          <cell r="D402">
            <v>127000</v>
          </cell>
        </row>
        <row r="403">
          <cell r="A403">
            <v>5289</v>
          </cell>
          <cell r="B403" t="str">
            <v xml:space="preserve">宜鼎              </v>
          </cell>
          <cell r="C403">
            <v>115.5</v>
          </cell>
          <cell r="D403">
            <v>1017000</v>
          </cell>
        </row>
        <row r="404">
          <cell r="A404">
            <v>5291</v>
          </cell>
          <cell r="B404" t="str">
            <v xml:space="preserve">邑昇              </v>
          </cell>
          <cell r="C404">
            <v>13.5</v>
          </cell>
          <cell r="D404">
            <v>64000</v>
          </cell>
        </row>
        <row r="405">
          <cell r="A405">
            <v>5299</v>
          </cell>
          <cell r="B405" t="str">
            <v xml:space="preserve">杰力              </v>
          </cell>
          <cell r="C405">
            <v>84</v>
          </cell>
          <cell r="D405">
            <v>746000</v>
          </cell>
        </row>
        <row r="406">
          <cell r="A406">
            <v>5301</v>
          </cell>
          <cell r="B406" t="str">
            <v xml:space="preserve">寶得利             </v>
          </cell>
          <cell r="C406">
            <v>34.049999999999997</v>
          </cell>
          <cell r="D406">
            <v>434000</v>
          </cell>
        </row>
        <row r="407">
          <cell r="A407">
            <v>5302</v>
          </cell>
          <cell r="B407" t="str">
            <v xml:space="preserve">太欣              </v>
          </cell>
          <cell r="C407">
            <v>6.02</v>
          </cell>
          <cell r="D407">
            <v>193000</v>
          </cell>
        </row>
        <row r="408">
          <cell r="A408">
            <v>5304</v>
          </cell>
          <cell r="B408" t="str">
            <v xml:space="preserve">鼎創達             </v>
          </cell>
          <cell r="C408">
            <v>2.11</v>
          </cell>
          <cell r="D408">
            <v>44000</v>
          </cell>
        </row>
        <row r="409">
          <cell r="A409">
            <v>5306</v>
          </cell>
          <cell r="B409" t="str">
            <v xml:space="preserve">桂盟              </v>
          </cell>
          <cell r="C409">
            <v>131.5</v>
          </cell>
          <cell r="D409">
            <v>157000</v>
          </cell>
        </row>
        <row r="410">
          <cell r="A410">
            <v>5309</v>
          </cell>
          <cell r="B410" t="str">
            <v xml:space="preserve">系統電             </v>
          </cell>
          <cell r="C410">
            <v>7.14</v>
          </cell>
          <cell r="D410">
            <v>367000</v>
          </cell>
        </row>
        <row r="411">
          <cell r="A411">
            <v>5310</v>
          </cell>
          <cell r="B411" t="str">
            <v xml:space="preserve">天剛              </v>
          </cell>
          <cell r="C411">
            <v>29.6</v>
          </cell>
          <cell r="D411">
            <v>75000</v>
          </cell>
        </row>
        <row r="412">
          <cell r="A412">
            <v>5312</v>
          </cell>
          <cell r="B412" t="str">
            <v xml:space="preserve">寶島科             </v>
          </cell>
          <cell r="C412">
            <v>61.1</v>
          </cell>
          <cell r="D412">
            <v>51000</v>
          </cell>
        </row>
        <row r="413">
          <cell r="A413">
            <v>5314</v>
          </cell>
          <cell r="B413" t="str">
            <v xml:space="preserve">世紀              </v>
          </cell>
          <cell r="C413">
            <v>4.72</v>
          </cell>
          <cell r="D413">
            <v>1000</v>
          </cell>
        </row>
        <row r="414">
          <cell r="A414">
            <v>5315</v>
          </cell>
          <cell r="B414" t="str">
            <v xml:space="preserve">光聯              </v>
          </cell>
          <cell r="C414">
            <v>16.45</v>
          </cell>
          <cell r="D414">
            <v>583000</v>
          </cell>
        </row>
        <row r="415">
          <cell r="A415">
            <v>5317</v>
          </cell>
          <cell r="B415" t="str">
            <v xml:space="preserve">凱美              </v>
          </cell>
          <cell r="C415">
            <v>55.4</v>
          </cell>
          <cell r="D415">
            <v>2902000</v>
          </cell>
        </row>
        <row r="416">
          <cell r="A416">
            <v>5321</v>
          </cell>
          <cell r="B416" t="str">
            <v xml:space="preserve">友銓              </v>
          </cell>
          <cell r="C416">
            <v>18.100000000000001</v>
          </cell>
          <cell r="D416">
            <v>10000</v>
          </cell>
        </row>
        <row r="417">
          <cell r="A417">
            <v>5324</v>
          </cell>
          <cell r="B417" t="str">
            <v xml:space="preserve">士開              </v>
          </cell>
          <cell r="C417">
            <v>9.9</v>
          </cell>
          <cell r="D417">
            <v>41000</v>
          </cell>
        </row>
        <row r="418">
          <cell r="A418">
            <v>5328</v>
          </cell>
          <cell r="B418" t="str">
            <v xml:space="preserve">華容              </v>
          </cell>
          <cell r="C418">
            <v>9.56</v>
          </cell>
          <cell r="D418">
            <v>729000</v>
          </cell>
        </row>
        <row r="419">
          <cell r="A419">
            <v>5340</v>
          </cell>
          <cell r="B419" t="str">
            <v xml:space="preserve">建榮              </v>
          </cell>
          <cell r="C419">
            <v>9.3699999999999992</v>
          </cell>
          <cell r="D419">
            <v>440000</v>
          </cell>
        </row>
        <row r="420">
          <cell r="A420">
            <v>5344</v>
          </cell>
          <cell r="B420" t="str">
            <v xml:space="preserve">立衛              </v>
          </cell>
          <cell r="C420">
            <v>6.24</v>
          </cell>
          <cell r="D420">
            <v>17000</v>
          </cell>
        </row>
        <row r="421">
          <cell r="A421">
            <v>5345</v>
          </cell>
          <cell r="B421" t="str">
            <v xml:space="preserve">天揚              </v>
          </cell>
          <cell r="C421">
            <v>7.35</v>
          </cell>
          <cell r="D421">
            <v>87000</v>
          </cell>
        </row>
        <row r="422">
          <cell r="A422">
            <v>5347</v>
          </cell>
          <cell r="B422" t="str">
            <v xml:space="preserve">世界              </v>
          </cell>
          <cell r="C422">
            <v>64.099999999999994</v>
          </cell>
          <cell r="D422">
            <v>6853000</v>
          </cell>
        </row>
        <row r="423">
          <cell r="A423">
            <v>5348</v>
          </cell>
          <cell r="B423" t="str">
            <v xml:space="preserve">系通              </v>
          </cell>
          <cell r="C423">
            <v>6.35</v>
          </cell>
          <cell r="D423">
            <v>11000</v>
          </cell>
        </row>
        <row r="424">
          <cell r="A424">
            <v>5349</v>
          </cell>
          <cell r="B424" t="str">
            <v xml:space="preserve">先豐              </v>
          </cell>
          <cell r="C424">
            <v>30.5</v>
          </cell>
          <cell r="D424">
            <v>1829000</v>
          </cell>
        </row>
        <row r="425">
          <cell r="A425">
            <v>5351</v>
          </cell>
          <cell r="B425" t="str">
            <v xml:space="preserve">鈺創              </v>
          </cell>
          <cell r="C425">
            <v>13.35</v>
          </cell>
          <cell r="D425">
            <v>1496000</v>
          </cell>
        </row>
        <row r="426">
          <cell r="A426">
            <v>5353</v>
          </cell>
          <cell r="B426" t="str">
            <v xml:space="preserve">台林              </v>
          </cell>
          <cell r="C426">
            <v>12.4</v>
          </cell>
          <cell r="D426">
            <v>157000</v>
          </cell>
        </row>
        <row r="427">
          <cell r="A427">
            <v>5355</v>
          </cell>
          <cell r="B427" t="str">
            <v xml:space="preserve">佳總              </v>
          </cell>
          <cell r="C427">
            <v>7.15</v>
          </cell>
          <cell r="D427">
            <v>75000</v>
          </cell>
        </row>
        <row r="428">
          <cell r="A428">
            <v>5356</v>
          </cell>
          <cell r="B428" t="str">
            <v xml:space="preserve">協益              </v>
          </cell>
          <cell r="C428">
            <v>39.049999999999997</v>
          </cell>
          <cell r="D428">
            <v>589000</v>
          </cell>
        </row>
        <row r="429">
          <cell r="A429">
            <v>5364</v>
          </cell>
          <cell r="B429" t="str">
            <v xml:space="preserve">力麗店             </v>
          </cell>
          <cell r="C429">
            <v>21</v>
          </cell>
          <cell r="D429">
            <v>6000</v>
          </cell>
        </row>
        <row r="430">
          <cell r="A430">
            <v>5371</v>
          </cell>
          <cell r="B430" t="str">
            <v xml:space="preserve">中光電             </v>
          </cell>
          <cell r="C430">
            <v>42.2</v>
          </cell>
          <cell r="D430">
            <v>8423000</v>
          </cell>
        </row>
        <row r="431">
          <cell r="A431">
            <v>5381</v>
          </cell>
          <cell r="B431" t="str">
            <v xml:space="preserve">合正              </v>
          </cell>
          <cell r="C431">
            <v>6.05</v>
          </cell>
          <cell r="D431">
            <v>146000</v>
          </cell>
        </row>
        <row r="432">
          <cell r="A432">
            <v>5383</v>
          </cell>
          <cell r="B432" t="str">
            <v xml:space="preserve">金利              </v>
          </cell>
          <cell r="C432">
            <v>11.9</v>
          </cell>
          <cell r="D432">
            <v>18000</v>
          </cell>
        </row>
        <row r="433">
          <cell r="A433">
            <v>5386</v>
          </cell>
          <cell r="B433" t="str">
            <v xml:space="preserve">青雲              </v>
          </cell>
          <cell r="C433">
            <v>53.2</v>
          </cell>
          <cell r="D433">
            <v>5890000</v>
          </cell>
        </row>
        <row r="434">
          <cell r="A434">
            <v>5392</v>
          </cell>
          <cell r="B434" t="str">
            <v xml:space="preserve">應華              </v>
          </cell>
          <cell r="C434">
            <v>49.6</v>
          </cell>
          <cell r="D434">
            <v>1298000</v>
          </cell>
        </row>
        <row r="435">
          <cell r="A435">
            <v>5398</v>
          </cell>
          <cell r="B435" t="str">
            <v xml:space="preserve">慕康生醫            </v>
          </cell>
          <cell r="C435">
            <v>30.3</v>
          </cell>
          <cell r="D435">
            <v>50000</v>
          </cell>
        </row>
        <row r="436">
          <cell r="A436">
            <v>5403</v>
          </cell>
          <cell r="B436" t="str">
            <v xml:space="preserve">中菲              </v>
          </cell>
          <cell r="C436">
            <v>37.65</v>
          </cell>
          <cell r="D436">
            <v>187000</v>
          </cell>
        </row>
        <row r="437">
          <cell r="A437">
            <v>5410</v>
          </cell>
          <cell r="B437" t="str">
            <v xml:space="preserve">國眾              </v>
          </cell>
          <cell r="C437">
            <v>13.4</v>
          </cell>
          <cell r="D437">
            <v>237000</v>
          </cell>
        </row>
        <row r="438">
          <cell r="A438">
            <v>5425</v>
          </cell>
          <cell r="B438" t="str">
            <v xml:space="preserve">台半              </v>
          </cell>
          <cell r="C438">
            <v>61.2</v>
          </cell>
          <cell r="D438">
            <v>3707000</v>
          </cell>
        </row>
        <row r="439">
          <cell r="A439">
            <v>5426</v>
          </cell>
          <cell r="B439" t="str">
            <v xml:space="preserve">振發              </v>
          </cell>
          <cell r="C439">
            <v>16.95</v>
          </cell>
          <cell r="D439">
            <v>852000</v>
          </cell>
        </row>
        <row r="440">
          <cell r="A440">
            <v>5432</v>
          </cell>
          <cell r="B440" t="str">
            <v xml:space="preserve">達威              </v>
          </cell>
          <cell r="C440" t="str">
            <v>----</v>
          </cell>
          <cell r="D440">
            <v>0</v>
          </cell>
        </row>
        <row r="441">
          <cell r="A441">
            <v>5438</v>
          </cell>
          <cell r="B441" t="str">
            <v xml:space="preserve">東友              </v>
          </cell>
          <cell r="C441">
            <v>16.5</v>
          </cell>
          <cell r="D441">
            <v>697000</v>
          </cell>
        </row>
        <row r="442">
          <cell r="A442">
            <v>5439</v>
          </cell>
          <cell r="B442" t="str">
            <v xml:space="preserve">高技              </v>
          </cell>
          <cell r="C442">
            <v>33.65</v>
          </cell>
          <cell r="D442">
            <v>1526000</v>
          </cell>
        </row>
        <row r="443">
          <cell r="A443">
            <v>5443</v>
          </cell>
          <cell r="B443" t="str">
            <v xml:space="preserve">均豪              </v>
          </cell>
          <cell r="C443">
            <v>20.45</v>
          </cell>
          <cell r="D443">
            <v>593000</v>
          </cell>
        </row>
        <row r="444">
          <cell r="A444">
            <v>5450</v>
          </cell>
          <cell r="B444" t="str">
            <v xml:space="preserve">寶聯通             </v>
          </cell>
          <cell r="C444">
            <v>6.81</v>
          </cell>
          <cell r="D444">
            <v>8000</v>
          </cell>
        </row>
        <row r="445">
          <cell r="A445">
            <v>5452</v>
          </cell>
          <cell r="B445" t="str">
            <v xml:space="preserve">佶優              </v>
          </cell>
          <cell r="C445">
            <v>8.35</v>
          </cell>
          <cell r="D445">
            <v>329000</v>
          </cell>
        </row>
        <row r="446">
          <cell r="A446">
            <v>5455</v>
          </cell>
          <cell r="B446" t="str">
            <v xml:space="preserve">昇益              </v>
          </cell>
          <cell r="C446" t="str">
            <v>----</v>
          </cell>
          <cell r="D446">
            <v>0</v>
          </cell>
        </row>
        <row r="447">
          <cell r="A447">
            <v>5457</v>
          </cell>
          <cell r="B447" t="str">
            <v xml:space="preserve">宣德              </v>
          </cell>
          <cell r="C447">
            <v>46.25</v>
          </cell>
          <cell r="D447">
            <v>4072000</v>
          </cell>
        </row>
        <row r="448">
          <cell r="A448">
            <v>5460</v>
          </cell>
          <cell r="B448" t="str">
            <v xml:space="preserve">同協              </v>
          </cell>
          <cell r="C448">
            <v>12.2</v>
          </cell>
          <cell r="D448">
            <v>399000</v>
          </cell>
        </row>
        <row r="449">
          <cell r="A449">
            <v>5464</v>
          </cell>
          <cell r="B449" t="str">
            <v xml:space="preserve">霖宏              </v>
          </cell>
          <cell r="C449">
            <v>13.5</v>
          </cell>
          <cell r="D449">
            <v>19000</v>
          </cell>
        </row>
        <row r="450">
          <cell r="A450">
            <v>5465</v>
          </cell>
          <cell r="B450" t="str">
            <v xml:space="preserve">富驊              </v>
          </cell>
          <cell r="C450">
            <v>22.2</v>
          </cell>
          <cell r="D450">
            <v>29000</v>
          </cell>
        </row>
        <row r="451">
          <cell r="A451">
            <v>5468</v>
          </cell>
          <cell r="B451" t="str">
            <v xml:space="preserve">凱鈺              </v>
          </cell>
          <cell r="C451">
            <v>4.41</v>
          </cell>
          <cell r="D451">
            <v>1000</v>
          </cell>
        </row>
        <row r="452">
          <cell r="A452">
            <v>5474</v>
          </cell>
          <cell r="B452" t="str">
            <v xml:space="preserve">聰泰              </v>
          </cell>
          <cell r="C452">
            <v>42.35</v>
          </cell>
          <cell r="D452">
            <v>89000</v>
          </cell>
        </row>
        <row r="453">
          <cell r="A453">
            <v>5475</v>
          </cell>
          <cell r="B453" t="str">
            <v xml:space="preserve">德宏              </v>
          </cell>
          <cell r="C453">
            <v>7.95</v>
          </cell>
          <cell r="D453">
            <v>566000</v>
          </cell>
        </row>
        <row r="454">
          <cell r="A454">
            <v>5478</v>
          </cell>
          <cell r="B454" t="str">
            <v xml:space="preserve">智冠              </v>
          </cell>
          <cell r="C454">
            <v>65.5</v>
          </cell>
          <cell r="D454">
            <v>320000</v>
          </cell>
        </row>
        <row r="455">
          <cell r="A455">
            <v>5480</v>
          </cell>
          <cell r="B455" t="str">
            <v xml:space="preserve">統盟              </v>
          </cell>
          <cell r="C455">
            <v>11.2</v>
          </cell>
          <cell r="D455">
            <v>194000</v>
          </cell>
        </row>
        <row r="456">
          <cell r="A456">
            <v>5481</v>
          </cell>
          <cell r="B456" t="str">
            <v xml:space="preserve">華韡              </v>
          </cell>
          <cell r="C456">
            <v>33.6</v>
          </cell>
          <cell r="D456">
            <v>2488000</v>
          </cell>
        </row>
        <row r="457">
          <cell r="A457">
            <v>5483</v>
          </cell>
          <cell r="B457" t="str">
            <v xml:space="preserve">中美晶             </v>
          </cell>
          <cell r="C457">
            <v>89</v>
          </cell>
          <cell r="D457">
            <v>16925000</v>
          </cell>
        </row>
        <row r="458">
          <cell r="A458">
            <v>5487</v>
          </cell>
          <cell r="B458" t="str">
            <v xml:space="preserve">通泰              </v>
          </cell>
          <cell r="C458">
            <v>26</v>
          </cell>
          <cell r="D458">
            <v>30000</v>
          </cell>
        </row>
        <row r="459">
          <cell r="A459">
            <v>5488</v>
          </cell>
          <cell r="B459" t="str">
            <v xml:space="preserve">松普              </v>
          </cell>
          <cell r="C459">
            <v>8.57</v>
          </cell>
          <cell r="D459">
            <v>319000</v>
          </cell>
        </row>
        <row r="460">
          <cell r="A460">
            <v>5489</v>
          </cell>
          <cell r="B460" t="str">
            <v xml:space="preserve">彩富              </v>
          </cell>
          <cell r="C460">
            <v>37</v>
          </cell>
          <cell r="D460">
            <v>132000</v>
          </cell>
        </row>
        <row r="461">
          <cell r="A461">
            <v>5490</v>
          </cell>
          <cell r="B461" t="str">
            <v xml:space="preserve">同亨              </v>
          </cell>
          <cell r="C461">
            <v>39.5</v>
          </cell>
          <cell r="D461">
            <v>477000</v>
          </cell>
        </row>
        <row r="462">
          <cell r="A462">
            <v>5493</v>
          </cell>
          <cell r="B462" t="str">
            <v xml:space="preserve">三聯              </v>
          </cell>
          <cell r="C462">
            <v>26.55</v>
          </cell>
          <cell r="D462">
            <v>53000</v>
          </cell>
        </row>
        <row r="463">
          <cell r="A463">
            <v>5498</v>
          </cell>
          <cell r="B463" t="str">
            <v xml:space="preserve">凱崴              </v>
          </cell>
          <cell r="C463">
            <v>11.5</v>
          </cell>
          <cell r="D463">
            <v>536000</v>
          </cell>
        </row>
        <row r="464">
          <cell r="A464">
            <v>5508</v>
          </cell>
          <cell r="B464" t="str">
            <v xml:space="preserve">永信建             </v>
          </cell>
          <cell r="C464">
            <v>30.1</v>
          </cell>
          <cell r="D464">
            <v>246000</v>
          </cell>
        </row>
        <row r="465">
          <cell r="A465">
            <v>5511</v>
          </cell>
          <cell r="B465" t="str">
            <v xml:space="preserve">德昌              </v>
          </cell>
          <cell r="C465">
            <v>20.9</v>
          </cell>
          <cell r="D465">
            <v>91000</v>
          </cell>
        </row>
        <row r="466">
          <cell r="A466">
            <v>5512</v>
          </cell>
          <cell r="B466" t="str">
            <v xml:space="preserve">力麒              </v>
          </cell>
          <cell r="C466">
            <v>9.31</v>
          </cell>
          <cell r="D466">
            <v>1625000</v>
          </cell>
        </row>
        <row r="467">
          <cell r="A467">
            <v>5514</v>
          </cell>
          <cell r="B467" t="str">
            <v xml:space="preserve">三豐              </v>
          </cell>
          <cell r="C467">
            <v>11.65</v>
          </cell>
          <cell r="D467">
            <v>91000</v>
          </cell>
        </row>
        <row r="468">
          <cell r="A468">
            <v>5516</v>
          </cell>
          <cell r="B468" t="str">
            <v xml:space="preserve">雙喜              </v>
          </cell>
          <cell r="C468">
            <v>9.01</v>
          </cell>
          <cell r="D468">
            <v>2000</v>
          </cell>
        </row>
        <row r="469">
          <cell r="A469">
            <v>5520</v>
          </cell>
          <cell r="B469" t="str">
            <v xml:space="preserve">力泰              </v>
          </cell>
          <cell r="C469">
            <v>26.5</v>
          </cell>
          <cell r="D469">
            <v>4000</v>
          </cell>
        </row>
        <row r="470">
          <cell r="A470">
            <v>5523</v>
          </cell>
          <cell r="B470" t="str">
            <v xml:space="preserve">豐謙              </v>
          </cell>
          <cell r="C470">
            <v>11.25</v>
          </cell>
          <cell r="D470">
            <v>104000</v>
          </cell>
        </row>
        <row r="471">
          <cell r="A471">
            <v>5529</v>
          </cell>
          <cell r="B471" t="str">
            <v xml:space="preserve">志嘉              </v>
          </cell>
          <cell r="C471">
            <v>8.25</v>
          </cell>
          <cell r="D471">
            <v>227000</v>
          </cell>
        </row>
        <row r="472">
          <cell r="A472">
            <v>5530</v>
          </cell>
          <cell r="B472" t="str">
            <v xml:space="preserve">龍巖              </v>
          </cell>
          <cell r="C472">
            <v>60.7</v>
          </cell>
          <cell r="D472">
            <v>510000</v>
          </cell>
        </row>
        <row r="473">
          <cell r="A473">
            <v>5536</v>
          </cell>
          <cell r="B473" t="str">
            <v xml:space="preserve">聖暉              </v>
          </cell>
          <cell r="C473">
            <v>187.5</v>
          </cell>
          <cell r="D473">
            <v>569000</v>
          </cell>
        </row>
        <row r="474">
          <cell r="A474">
            <v>5543</v>
          </cell>
          <cell r="B474" t="str">
            <v xml:space="preserve">崇佑-KY           </v>
          </cell>
          <cell r="C474">
            <v>18.850000000000001</v>
          </cell>
          <cell r="D474">
            <v>5000</v>
          </cell>
        </row>
        <row r="475">
          <cell r="A475">
            <v>5601</v>
          </cell>
          <cell r="B475" t="str">
            <v xml:space="preserve">台聯櫃             </v>
          </cell>
          <cell r="C475" t="str">
            <v>----</v>
          </cell>
          <cell r="D475">
            <v>0</v>
          </cell>
        </row>
        <row r="476">
          <cell r="A476">
            <v>5603</v>
          </cell>
          <cell r="B476" t="str">
            <v xml:space="preserve">陸海              </v>
          </cell>
          <cell r="C476">
            <v>12.15</v>
          </cell>
          <cell r="D476">
            <v>137000</v>
          </cell>
        </row>
        <row r="477">
          <cell r="A477">
            <v>5604</v>
          </cell>
          <cell r="B477" t="str">
            <v xml:space="preserve">中連貨             </v>
          </cell>
          <cell r="C477">
            <v>29.45</v>
          </cell>
          <cell r="D477">
            <v>3000</v>
          </cell>
        </row>
        <row r="478">
          <cell r="A478">
            <v>5609</v>
          </cell>
          <cell r="B478" t="str">
            <v xml:space="preserve">中菲行             </v>
          </cell>
          <cell r="C478">
            <v>20.8</v>
          </cell>
          <cell r="D478">
            <v>356000</v>
          </cell>
        </row>
        <row r="479">
          <cell r="A479">
            <v>5701</v>
          </cell>
          <cell r="B479" t="str">
            <v xml:space="preserve">劍湖山             </v>
          </cell>
          <cell r="C479">
            <v>2.36</v>
          </cell>
          <cell r="D479">
            <v>67000</v>
          </cell>
        </row>
        <row r="480">
          <cell r="A480">
            <v>5703</v>
          </cell>
          <cell r="B480" t="str">
            <v xml:space="preserve">亞都              </v>
          </cell>
          <cell r="C480">
            <v>25</v>
          </cell>
          <cell r="D480">
            <v>10000</v>
          </cell>
        </row>
        <row r="481">
          <cell r="A481">
            <v>5704</v>
          </cell>
          <cell r="B481" t="str">
            <v xml:space="preserve">老爺知             </v>
          </cell>
          <cell r="C481">
            <v>22.25</v>
          </cell>
          <cell r="D481">
            <v>5000</v>
          </cell>
        </row>
        <row r="482">
          <cell r="A482">
            <v>5820</v>
          </cell>
          <cell r="B482" t="str">
            <v xml:space="preserve">日盛金             </v>
          </cell>
          <cell r="C482">
            <v>7.93</v>
          </cell>
          <cell r="D482">
            <v>869000</v>
          </cell>
        </row>
        <row r="483">
          <cell r="A483">
            <v>5878</v>
          </cell>
          <cell r="B483" t="str">
            <v xml:space="preserve">台名              </v>
          </cell>
          <cell r="C483">
            <v>45</v>
          </cell>
          <cell r="D483">
            <v>6000</v>
          </cell>
        </row>
        <row r="484">
          <cell r="A484">
            <v>5902</v>
          </cell>
          <cell r="B484" t="str">
            <v xml:space="preserve">德記              </v>
          </cell>
          <cell r="C484">
            <v>12.5</v>
          </cell>
          <cell r="D484">
            <v>13000</v>
          </cell>
        </row>
        <row r="485">
          <cell r="A485">
            <v>5903</v>
          </cell>
          <cell r="B485" t="str">
            <v xml:space="preserve">全家              </v>
          </cell>
          <cell r="C485">
            <v>185</v>
          </cell>
          <cell r="D485">
            <v>34000</v>
          </cell>
        </row>
        <row r="486">
          <cell r="A486">
            <v>5904</v>
          </cell>
          <cell r="B486" t="str">
            <v xml:space="preserve">寶雅              </v>
          </cell>
          <cell r="C486">
            <v>362</v>
          </cell>
          <cell r="D486">
            <v>109000</v>
          </cell>
        </row>
        <row r="487">
          <cell r="A487">
            <v>5905</v>
          </cell>
          <cell r="B487" t="str">
            <v xml:space="preserve">南仁湖             </v>
          </cell>
          <cell r="C487">
            <v>7.83</v>
          </cell>
          <cell r="D487">
            <v>289000</v>
          </cell>
        </row>
        <row r="488">
          <cell r="A488">
            <v>6015</v>
          </cell>
          <cell r="B488" t="str">
            <v xml:space="preserve">宏遠證             </v>
          </cell>
          <cell r="C488">
            <v>7.72</v>
          </cell>
          <cell r="D488">
            <v>767000</v>
          </cell>
        </row>
        <row r="489">
          <cell r="A489">
            <v>6016</v>
          </cell>
          <cell r="B489" t="str">
            <v xml:space="preserve">康和證             </v>
          </cell>
          <cell r="C489">
            <v>8.68</v>
          </cell>
          <cell r="D489">
            <v>1750000</v>
          </cell>
        </row>
        <row r="490">
          <cell r="A490">
            <v>6020</v>
          </cell>
          <cell r="B490" t="str">
            <v xml:space="preserve">大展證             </v>
          </cell>
          <cell r="C490">
            <v>13.85</v>
          </cell>
          <cell r="D490">
            <v>24000</v>
          </cell>
        </row>
        <row r="491">
          <cell r="A491">
            <v>6021</v>
          </cell>
          <cell r="B491" t="str">
            <v xml:space="preserve">大慶證             </v>
          </cell>
          <cell r="C491">
            <v>10.050000000000001</v>
          </cell>
          <cell r="D491">
            <v>206000</v>
          </cell>
        </row>
        <row r="492">
          <cell r="A492">
            <v>6023</v>
          </cell>
          <cell r="B492" t="str">
            <v xml:space="preserve">元大期             </v>
          </cell>
          <cell r="C492">
            <v>43.4</v>
          </cell>
          <cell r="D492">
            <v>221000</v>
          </cell>
        </row>
        <row r="493">
          <cell r="A493">
            <v>6026</v>
          </cell>
          <cell r="B493" t="str">
            <v xml:space="preserve">福邦證             </v>
          </cell>
          <cell r="C493">
            <v>14.95</v>
          </cell>
          <cell r="D493">
            <v>2358000</v>
          </cell>
        </row>
        <row r="494">
          <cell r="A494">
            <v>6101</v>
          </cell>
          <cell r="B494" t="str">
            <v xml:space="preserve">寬魚國際            </v>
          </cell>
          <cell r="C494">
            <v>49.8</v>
          </cell>
          <cell r="D494">
            <v>50000</v>
          </cell>
        </row>
        <row r="495">
          <cell r="A495">
            <v>6103</v>
          </cell>
          <cell r="B495" t="str">
            <v xml:space="preserve">合邦              </v>
          </cell>
          <cell r="C495" t="str">
            <v>----</v>
          </cell>
          <cell r="D495">
            <v>0</v>
          </cell>
        </row>
        <row r="496">
          <cell r="A496">
            <v>6104</v>
          </cell>
          <cell r="B496" t="str">
            <v xml:space="preserve">創惟              </v>
          </cell>
          <cell r="C496">
            <v>33.299999999999997</v>
          </cell>
          <cell r="D496">
            <v>804000</v>
          </cell>
        </row>
        <row r="497">
          <cell r="A497">
            <v>6109</v>
          </cell>
          <cell r="B497" t="str">
            <v xml:space="preserve">亞元              </v>
          </cell>
          <cell r="C497">
            <v>11.85</v>
          </cell>
          <cell r="D497">
            <v>91000</v>
          </cell>
        </row>
        <row r="498">
          <cell r="A498">
            <v>6111</v>
          </cell>
          <cell r="B498" t="str">
            <v xml:space="preserve">大宇資             </v>
          </cell>
          <cell r="C498">
            <v>80.2</v>
          </cell>
          <cell r="D498">
            <v>383000</v>
          </cell>
        </row>
        <row r="499">
          <cell r="A499">
            <v>6113</v>
          </cell>
          <cell r="B499" t="str">
            <v xml:space="preserve">亞矽              </v>
          </cell>
          <cell r="C499">
            <v>7.4</v>
          </cell>
          <cell r="D499">
            <v>49000</v>
          </cell>
        </row>
        <row r="500">
          <cell r="A500">
            <v>6114</v>
          </cell>
          <cell r="B500" t="str">
            <v xml:space="preserve">久威              </v>
          </cell>
          <cell r="C500">
            <v>40.299999999999997</v>
          </cell>
          <cell r="D500">
            <v>94000</v>
          </cell>
        </row>
        <row r="501">
          <cell r="A501">
            <v>6118</v>
          </cell>
          <cell r="B501" t="str">
            <v xml:space="preserve">建達              </v>
          </cell>
          <cell r="C501">
            <v>8.1</v>
          </cell>
          <cell r="D501">
            <v>404000</v>
          </cell>
        </row>
        <row r="502">
          <cell r="A502">
            <v>6121</v>
          </cell>
          <cell r="B502" t="str">
            <v xml:space="preserve">新普              </v>
          </cell>
          <cell r="C502">
            <v>180</v>
          </cell>
          <cell r="D502">
            <v>756000</v>
          </cell>
        </row>
        <row r="503">
          <cell r="A503">
            <v>6122</v>
          </cell>
          <cell r="B503" t="str">
            <v xml:space="preserve">擎邦              </v>
          </cell>
          <cell r="C503">
            <v>10.35</v>
          </cell>
          <cell r="D503">
            <v>99000</v>
          </cell>
        </row>
        <row r="504">
          <cell r="A504">
            <v>6123</v>
          </cell>
          <cell r="B504" t="str">
            <v xml:space="preserve">上奇              </v>
          </cell>
          <cell r="C504">
            <v>47.3</v>
          </cell>
          <cell r="D504">
            <v>1513000</v>
          </cell>
        </row>
        <row r="505">
          <cell r="A505">
            <v>6124</v>
          </cell>
          <cell r="B505" t="str">
            <v xml:space="preserve">業強              </v>
          </cell>
          <cell r="C505">
            <v>23.2</v>
          </cell>
          <cell r="D505">
            <v>4000</v>
          </cell>
        </row>
        <row r="506">
          <cell r="A506">
            <v>6125</v>
          </cell>
          <cell r="B506" t="str">
            <v xml:space="preserve">廣運              </v>
          </cell>
          <cell r="C506">
            <v>10.35</v>
          </cell>
          <cell r="D506">
            <v>981000</v>
          </cell>
        </row>
        <row r="507">
          <cell r="A507">
            <v>6126</v>
          </cell>
          <cell r="B507" t="str">
            <v xml:space="preserve">信音              </v>
          </cell>
          <cell r="C507">
            <v>12.4</v>
          </cell>
          <cell r="D507">
            <v>240000</v>
          </cell>
        </row>
        <row r="508">
          <cell r="A508">
            <v>6127</v>
          </cell>
          <cell r="B508" t="str">
            <v xml:space="preserve">九豪              </v>
          </cell>
          <cell r="C508">
            <v>21.1</v>
          </cell>
          <cell r="D508">
            <v>3108000</v>
          </cell>
        </row>
        <row r="509">
          <cell r="A509">
            <v>6129</v>
          </cell>
          <cell r="B509" t="str">
            <v xml:space="preserve">普誠              </v>
          </cell>
          <cell r="C509">
            <v>7.15</v>
          </cell>
          <cell r="D509">
            <v>499000</v>
          </cell>
        </row>
        <row r="510">
          <cell r="A510">
            <v>6130</v>
          </cell>
          <cell r="B510" t="str">
            <v xml:space="preserve">星寶國際            </v>
          </cell>
          <cell r="C510">
            <v>48.8</v>
          </cell>
          <cell r="D510">
            <v>27000</v>
          </cell>
        </row>
        <row r="511">
          <cell r="A511">
            <v>6134</v>
          </cell>
          <cell r="B511" t="str">
            <v xml:space="preserve">萬旭              </v>
          </cell>
          <cell r="C511">
            <v>12.95</v>
          </cell>
          <cell r="D511">
            <v>88000</v>
          </cell>
        </row>
        <row r="512">
          <cell r="A512">
            <v>6138</v>
          </cell>
          <cell r="B512" t="str">
            <v xml:space="preserve">茂達              </v>
          </cell>
          <cell r="C512">
            <v>42.2</v>
          </cell>
          <cell r="D512">
            <v>2861000</v>
          </cell>
        </row>
        <row r="513">
          <cell r="A513">
            <v>6140</v>
          </cell>
          <cell r="B513" t="str">
            <v xml:space="preserve">訊達              </v>
          </cell>
          <cell r="C513">
            <v>10.7</v>
          </cell>
          <cell r="D513">
            <v>24000</v>
          </cell>
        </row>
        <row r="514">
          <cell r="A514">
            <v>6143</v>
          </cell>
          <cell r="B514" t="str">
            <v xml:space="preserve">振曜              </v>
          </cell>
          <cell r="C514">
            <v>39.35</v>
          </cell>
          <cell r="D514">
            <v>418000</v>
          </cell>
        </row>
        <row r="515">
          <cell r="A515">
            <v>6144</v>
          </cell>
          <cell r="B515" t="str">
            <v xml:space="preserve">得利影             </v>
          </cell>
          <cell r="C515">
            <v>9.5</v>
          </cell>
          <cell r="D515">
            <v>30000</v>
          </cell>
        </row>
        <row r="516">
          <cell r="A516">
            <v>6146</v>
          </cell>
          <cell r="B516" t="str">
            <v xml:space="preserve">耕興              </v>
          </cell>
          <cell r="C516">
            <v>154</v>
          </cell>
          <cell r="D516">
            <v>42000</v>
          </cell>
        </row>
        <row r="517">
          <cell r="A517">
            <v>6147</v>
          </cell>
          <cell r="B517" t="str">
            <v xml:space="preserve">頎邦              </v>
          </cell>
          <cell r="C517">
            <v>62.2</v>
          </cell>
          <cell r="D517">
            <v>9455000</v>
          </cell>
        </row>
        <row r="518">
          <cell r="A518">
            <v>6148</v>
          </cell>
          <cell r="B518" t="str">
            <v xml:space="preserve">驊宏資             </v>
          </cell>
          <cell r="C518">
            <v>5.09</v>
          </cell>
          <cell r="D518">
            <v>146000</v>
          </cell>
        </row>
        <row r="519">
          <cell r="A519">
            <v>6150</v>
          </cell>
          <cell r="B519" t="str">
            <v xml:space="preserve">撼訊              </v>
          </cell>
          <cell r="C519">
            <v>178</v>
          </cell>
          <cell r="D519">
            <v>16071000</v>
          </cell>
        </row>
        <row r="520">
          <cell r="A520">
            <v>6151</v>
          </cell>
          <cell r="B520" t="str">
            <v xml:space="preserve">晉倫              </v>
          </cell>
          <cell r="C520">
            <v>23.65</v>
          </cell>
          <cell r="D520">
            <v>226000</v>
          </cell>
        </row>
        <row r="521">
          <cell r="A521">
            <v>6154</v>
          </cell>
          <cell r="B521" t="str">
            <v xml:space="preserve">順發              </v>
          </cell>
          <cell r="C521">
            <v>16.25</v>
          </cell>
          <cell r="D521">
            <v>26000</v>
          </cell>
        </row>
        <row r="522">
          <cell r="A522">
            <v>6156</v>
          </cell>
          <cell r="B522" t="str">
            <v xml:space="preserve">松上              </v>
          </cell>
          <cell r="C522">
            <v>17</v>
          </cell>
          <cell r="D522">
            <v>526000</v>
          </cell>
        </row>
        <row r="523">
          <cell r="A523">
            <v>6158</v>
          </cell>
          <cell r="B523" t="str">
            <v xml:space="preserve">禾昌              </v>
          </cell>
          <cell r="C523">
            <v>19</v>
          </cell>
          <cell r="D523">
            <v>186000</v>
          </cell>
        </row>
        <row r="524">
          <cell r="A524">
            <v>6160</v>
          </cell>
          <cell r="B524" t="str">
            <v xml:space="preserve">欣技              </v>
          </cell>
          <cell r="C524">
            <v>17.399999999999999</v>
          </cell>
          <cell r="D524">
            <v>184000</v>
          </cell>
        </row>
        <row r="525">
          <cell r="A525">
            <v>6161</v>
          </cell>
          <cell r="B525" t="str">
            <v xml:space="preserve">捷波              </v>
          </cell>
          <cell r="C525">
            <v>13.15</v>
          </cell>
          <cell r="D525">
            <v>318000</v>
          </cell>
        </row>
        <row r="526">
          <cell r="A526">
            <v>6163</v>
          </cell>
          <cell r="B526" t="str">
            <v xml:space="preserve">華電網             </v>
          </cell>
          <cell r="C526">
            <v>11.9</v>
          </cell>
          <cell r="D526">
            <v>790000</v>
          </cell>
        </row>
        <row r="527">
          <cell r="A527">
            <v>6167</v>
          </cell>
          <cell r="B527" t="str">
            <v xml:space="preserve">久正              </v>
          </cell>
          <cell r="C527">
            <v>6.88</v>
          </cell>
          <cell r="D527">
            <v>338000</v>
          </cell>
        </row>
        <row r="528">
          <cell r="A528">
            <v>6169</v>
          </cell>
          <cell r="B528" t="str">
            <v xml:space="preserve">昱泉              </v>
          </cell>
          <cell r="C528">
            <v>36.25</v>
          </cell>
          <cell r="D528">
            <v>143000</v>
          </cell>
        </row>
        <row r="529">
          <cell r="A529">
            <v>6170</v>
          </cell>
          <cell r="B529" t="str">
            <v xml:space="preserve">統振              </v>
          </cell>
          <cell r="C529">
            <v>10.95</v>
          </cell>
          <cell r="D529">
            <v>1209000</v>
          </cell>
        </row>
        <row r="530">
          <cell r="A530">
            <v>6171</v>
          </cell>
          <cell r="B530" t="str">
            <v xml:space="preserve">亞銳士             </v>
          </cell>
          <cell r="C530" t="str">
            <v>----</v>
          </cell>
          <cell r="D530">
            <v>0</v>
          </cell>
        </row>
        <row r="531">
          <cell r="A531">
            <v>6173</v>
          </cell>
          <cell r="B531" t="str">
            <v xml:space="preserve">信昌電             </v>
          </cell>
          <cell r="C531">
            <v>40.5</v>
          </cell>
          <cell r="D531">
            <v>1967000</v>
          </cell>
        </row>
        <row r="532">
          <cell r="A532">
            <v>6174</v>
          </cell>
          <cell r="B532" t="str">
            <v xml:space="preserve">安碁              </v>
          </cell>
          <cell r="C532">
            <v>13.2</v>
          </cell>
          <cell r="D532">
            <v>3000</v>
          </cell>
        </row>
        <row r="533">
          <cell r="A533">
            <v>6175</v>
          </cell>
          <cell r="B533" t="str">
            <v xml:space="preserve">立敦              </v>
          </cell>
          <cell r="C533">
            <v>36</v>
          </cell>
          <cell r="D533">
            <v>1764000</v>
          </cell>
        </row>
        <row r="534">
          <cell r="A534">
            <v>6179</v>
          </cell>
          <cell r="B534" t="str">
            <v xml:space="preserve">亞通              </v>
          </cell>
          <cell r="C534">
            <v>41.6</v>
          </cell>
          <cell r="D534">
            <v>67000</v>
          </cell>
        </row>
        <row r="535">
          <cell r="A535">
            <v>6180</v>
          </cell>
          <cell r="B535" t="str">
            <v xml:space="preserve">橘子              </v>
          </cell>
          <cell r="C535">
            <v>80.7</v>
          </cell>
          <cell r="D535">
            <v>11026000</v>
          </cell>
        </row>
        <row r="536">
          <cell r="A536">
            <v>6182</v>
          </cell>
          <cell r="B536" t="str">
            <v xml:space="preserve">合晶              </v>
          </cell>
          <cell r="C536">
            <v>42.9</v>
          </cell>
          <cell r="D536">
            <v>23618000</v>
          </cell>
        </row>
        <row r="537">
          <cell r="A537">
            <v>6185</v>
          </cell>
          <cell r="B537" t="str">
            <v xml:space="preserve">幃翔              </v>
          </cell>
          <cell r="C537">
            <v>20</v>
          </cell>
          <cell r="D537">
            <v>498000</v>
          </cell>
        </row>
        <row r="538">
          <cell r="A538">
            <v>6186</v>
          </cell>
          <cell r="B538" t="str">
            <v xml:space="preserve">新潤              </v>
          </cell>
          <cell r="C538">
            <v>14.75</v>
          </cell>
          <cell r="D538">
            <v>111000</v>
          </cell>
        </row>
        <row r="539">
          <cell r="A539">
            <v>6187</v>
          </cell>
          <cell r="B539" t="str">
            <v xml:space="preserve">萬潤              </v>
          </cell>
          <cell r="C539">
            <v>64.400000000000006</v>
          </cell>
          <cell r="D539">
            <v>623000</v>
          </cell>
        </row>
        <row r="540">
          <cell r="A540">
            <v>6188</v>
          </cell>
          <cell r="B540" t="str">
            <v xml:space="preserve">廣明              </v>
          </cell>
          <cell r="C540">
            <v>26.7</v>
          </cell>
          <cell r="D540">
            <v>1404000</v>
          </cell>
        </row>
        <row r="541">
          <cell r="A541">
            <v>6190</v>
          </cell>
          <cell r="B541" t="str">
            <v xml:space="preserve">萬泰科             </v>
          </cell>
          <cell r="C541">
            <v>13.4</v>
          </cell>
          <cell r="D541">
            <v>496000</v>
          </cell>
        </row>
        <row r="542">
          <cell r="A542">
            <v>6194</v>
          </cell>
          <cell r="B542" t="str">
            <v xml:space="preserve">育富              </v>
          </cell>
          <cell r="C542">
            <v>18.95</v>
          </cell>
          <cell r="D542">
            <v>29000</v>
          </cell>
        </row>
        <row r="543">
          <cell r="A543">
            <v>6195</v>
          </cell>
          <cell r="B543" t="str">
            <v xml:space="preserve">詩肯              </v>
          </cell>
          <cell r="C543">
            <v>56.3</v>
          </cell>
          <cell r="D543">
            <v>98000</v>
          </cell>
        </row>
        <row r="544">
          <cell r="A544">
            <v>6198</v>
          </cell>
          <cell r="B544" t="str">
            <v xml:space="preserve">凌泰              </v>
          </cell>
          <cell r="C544">
            <v>17</v>
          </cell>
          <cell r="D544">
            <v>1000</v>
          </cell>
        </row>
        <row r="545">
          <cell r="A545">
            <v>6199</v>
          </cell>
          <cell r="B545" t="str">
            <v xml:space="preserve">天品              </v>
          </cell>
          <cell r="C545">
            <v>23.75</v>
          </cell>
          <cell r="D545">
            <v>1000</v>
          </cell>
        </row>
        <row r="546">
          <cell r="A546">
            <v>6203</v>
          </cell>
          <cell r="B546" t="str">
            <v xml:space="preserve">海韻電             </v>
          </cell>
          <cell r="C546">
            <v>30</v>
          </cell>
          <cell r="D546">
            <v>38000</v>
          </cell>
        </row>
        <row r="547">
          <cell r="A547">
            <v>6204</v>
          </cell>
          <cell r="B547" t="str">
            <v xml:space="preserve">艾華              </v>
          </cell>
          <cell r="C547">
            <v>22.45</v>
          </cell>
          <cell r="D547">
            <v>7000</v>
          </cell>
        </row>
        <row r="548">
          <cell r="A548">
            <v>6207</v>
          </cell>
          <cell r="B548" t="str">
            <v xml:space="preserve">雷科              </v>
          </cell>
          <cell r="C548">
            <v>28.6</v>
          </cell>
          <cell r="D548">
            <v>476000</v>
          </cell>
        </row>
        <row r="549">
          <cell r="A549">
            <v>6208</v>
          </cell>
          <cell r="B549" t="str">
            <v xml:space="preserve">日揚              </v>
          </cell>
          <cell r="C549">
            <v>30.2</v>
          </cell>
          <cell r="D549">
            <v>1259000</v>
          </cell>
        </row>
        <row r="550">
          <cell r="A550">
            <v>6210</v>
          </cell>
          <cell r="B550" t="str">
            <v xml:space="preserve">慶生              </v>
          </cell>
          <cell r="C550">
            <v>40.65</v>
          </cell>
          <cell r="D550">
            <v>60000</v>
          </cell>
        </row>
        <row r="551">
          <cell r="A551">
            <v>6212</v>
          </cell>
          <cell r="B551" t="str">
            <v xml:space="preserve">理銘              </v>
          </cell>
          <cell r="C551">
            <v>32</v>
          </cell>
          <cell r="D551">
            <v>26000</v>
          </cell>
        </row>
        <row r="552">
          <cell r="A552">
            <v>6217</v>
          </cell>
          <cell r="B552" t="str">
            <v xml:space="preserve">中探針             </v>
          </cell>
          <cell r="C552">
            <v>28.65</v>
          </cell>
          <cell r="D552">
            <v>470000</v>
          </cell>
        </row>
        <row r="553">
          <cell r="A553">
            <v>6218</v>
          </cell>
          <cell r="B553" t="str">
            <v xml:space="preserve">豪勉              </v>
          </cell>
          <cell r="C553">
            <v>18.350000000000001</v>
          </cell>
          <cell r="D553">
            <v>115000</v>
          </cell>
        </row>
        <row r="554">
          <cell r="A554">
            <v>6219</v>
          </cell>
          <cell r="B554" t="str">
            <v xml:space="preserve">富旺              </v>
          </cell>
          <cell r="C554">
            <v>10.65</v>
          </cell>
          <cell r="D554">
            <v>35000</v>
          </cell>
        </row>
        <row r="555">
          <cell r="A555">
            <v>6220</v>
          </cell>
          <cell r="B555" t="str">
            <v xml:space="preserve">岳豐              </v>
          </cell>
          <cell r="C555">
            <v>37.549999999999997</v>
          </cell>
          <cell r="D555">
            <v>3366000</v>
          </cell>
        </row>
        <row r="556">
          <cell r="A556">
            <v>6221</v>
          </cell>
          <cell r="B556" t="str">
            <v xml:space="preserve">晉泰              </v>
          </cell>
          <cell r="C556">
            <v>24.7</v>
          </cell>
          <cell r="D556">
            <v>80000</v>
          </cell>
        </row>
        <row r="557">
          <cell r="A557">
            <v>6222</v>
          </cell>
          <cell r="B557" t="str">
            <v xml:space="preserve">上揚              </v>
          </cell>
          <cell r="C557">
            <v>7.58</v>
          </cell>
          <cell r="D557">
            <v>18000</v>
          </cell>
        </row>
        <row r="558">
          <cell r="A558">
            <v>6223</v>
          </cell>
          <cell r="B558" t="str">
            <v xml:space="preserve">旺矽              </v>
          </cell>
          <cell r="C558">
            <v>60.8</v>
          </cell>
          <cell r="D558">
            <v>425000</v>
          </cell>
        </row>
        <row r="559">
          <cell r="A559">
            <v>6227</v>
          </cell>
          <cell r="B559" t="str">
            <v xml:space="preserve">茂綸              </v>
          </cell>
          <cell r="C559">
            <v>18.25</v>
          </cell>
          <cell r="D559">
            <v>235000</v>
          </cell>
        </row>
        <row r="560">
          <cell r="A560">
            <v>6228</v>
          </cell>
          <cell r="B560" t="str">
            <v xml:space="preserve">全譜              </v>
          </cell>
          <cell r="C560">
            <v>9.6</v>
          </cell>
          <cell r="D560">
            <v>4000</v>
          </cell>
        </row>
        <row r="561">
          <cell r="A561">
            <v>6229</v>
          </cell>
          <cell r="B561" t="str">
            <v xml:space="preserve">研通              </v>
          </cell>
          <cell r="C561">
            <v>17.2</v>
          </cell>
          <cell r="D561">
            <v>160000</v>
          </cell>
        </row>
        <row r="562">
          <cell r="A562">
            <v>6231</v>
          </cell>
          <cell r="B562" t="str">
            <v xml:space="preserve">系微              </v>
          </cell>
          <cell r="C562">
            <v>34.950000000000003</v>
          </cell>
          <cell r="D562">
            <v>419000</v>
          </cell>
        </row>
        <row r="563">
          <cell r="A563">
            <v>6233</v>
          </cell>
          <cell r="B563" t="str">
            <v xml:space="preserve">旺玖              </v>
          </cell>
          <cell r="C563">
            <v>9.3000000000000007</v>
          </cell>
          <cell r="D563">
            <v>200000</v>
          </cell>
        </row>
        <row r="564">
          <cell r="A564">
            <v>6234</v>
          </cell>
          <cell r="B564" t="str">
            <v xml:space="preserve">高僑              </v>
          </cell>
          <cell r="C564">
            <v>16.3</v>
          </cell>
          <cell r="D564">
            <v>210000</v>
          </cell>
        </row>
        <row r="565">
          <cell r="A565">
            <v>6236</v>
          </cell>
          <cell r="B565" t="str">
            <v xml:space="preserve">康呈              </v>
          </cell>
          <cell r="C565">
            <v>15.3</v>
          </cell>
          <cell r="D565">
            <v>5000</v>
          </cell>
        </row>
        <row r="566">
          <cell r="A566">
            <v>6237</v>
          </cell>
          <cell r="B566" t="str">
            <v xml:space="preserve">驊訊              </v>
          </cell>
          <cell r="C566">
            <v>27.8</v>
          </cell>
          <cell r="D566">
            <v>7163000</v>
          </cell>
        </row>
        <row r="567">
          <cell r="A567">
            <v>6238</v>
          </cell>
          <cell r="B567" t="str">
            <v xml:space="preserve">勝麗              </v>
          </cell>
          <cell r="C567">
            <v>255</v>
          </cell>
          <cell r="D567">
            <v>810000</v>
          </cell>
        </row>
        <row r="568">
          <cell r="A568">
            <v>6240</v>
          </cell>
          <cell r="B568" t="str">
            <v xml:space="preserve">松崗              </v>
          </cell>
          <cell r="C568" t="str">
            <v>----</v>
          </cell>
          <cell r="D568">
            <v>0</v>
          </cell>
        </row>
        <row r="569">
          <cell r="A569">
            <v>6241</v>
          </cell>
          <cell r="B569" t="str">
            <v xml:space="preserve">易通展             </v>
          </cell>
          <cell r="C569">
            <v>10.8</v>
          </cell>
          <cell r="D569">
            <v>36000</v>
          </cell>
        </row>
        <row r="570">
          <cell r="A570">
            <v>6242</v>
          </cell>
          <cell r="B570" t="str">
            <v xml:space="preserve">立康              </v>
          </cell>
          <cell r="C570">
            <v>52.2</v>
          </cell>
          <cell r="D570">
            <v>37000</v>
          </cell>
        </row>
        <row r="571">
          <cell r="A571">
            <v>6244</v>
          </cell>
          <cell r="B571" t="str">
            <v xml:space="preserve">茂迪              </v>
          </cell>
          <cell r="C571">
            <v>20.100000000000001</v>
          </cell>
          <cell r="D571">
            <v>5190000</v>
          </cell>
        </row>
        <row r="572">
          <cell r="A572">
            <v>6245</v>
          </cell>
          <cell r="B572" t="str">
            <v xml:space="preserve">立端              </v>
          </cell>
          <cell r="C572">
            <v>41</v>
          </cell>
          <cell r="D572">
            <v>470000</v>
          </cell>
        </row>
        <row r="573">
          <cell r="A573">
            <v>6246</v>
          </cell>
          <cell r="B573" t="str">
            <v xml:space="preserve">臺龍              </v>
          </cell>
          <cell r="C573">
            <v>19.399999999999999</v>
          </cell>
          <cell r="D573">
            <v>26000</v>
          </cell>
        </row>
        <row r="574">
          <cell r="A574">
            <v>6247</v>
          </cell>
          <cell r="B574" t="str">
            <v xml:space="preserve">淇譽電             </v>
          </cell>
          <cell r="C574">
            <v>10.15</v>
          </cell>
          <cell r="D574">
            <v>4000</v>
          </cell>
        </row>
        <row r="575">
          <cell r="A575">
            <v>6248</v>
          </cell>
          <cell r="B575" t="str">
            <v xml:space="preserve">沛波              </v>
          </cell>
          <cell r="C575">
            <v>19.350000000000001</v>
          </cell>
          <cell r="D575">
            <v>159000</v>
          </cell>
        </row>
        <row r="576">
          <cell r="A576">
            <v>6259</v>
          </cell>
          <cell r="B576" t="str">
            <v xml:space="preserve">百徽              </v>
          </cell>
          <cell r="C576">
            <v>3.3</v>
          </cell>
          <cell r="D576">
            <v>28000</v>
          </cell>
        </row>
        <row r="577">
          <cell r="A577">
            <v>6261</v>
          </cell>
          <cell r="B577" t="str">
            <v xml:space="preserve">久元              </v>
          </cell>
          <cell r="C577">
            <v>53.6</v>
          </cell>
          <cell r="D577">
            <v>1792000</v>
          </cell>
        </row>
        <row r="578">
          <cell r="A578">
            <v>6263</v>
          </cell>
          <cell r="B578" t="str">
            <v xml:space="preserve">普萊德             </v>
          </cell>
          <cell r="C578">
            <v>58</v>
          </cell>
          <cell r="D578">
            <v>252000</v>
          </cell>
        </row>
        <row r="579">
          <cell r="A579">
            <v>6264</v>
          </cell>
          <cell r="B579" t="str">
            <v xml:space="preserve">富裔              </v>
          </cell>
          <cell r="C579">
            <v>7.75</v>
          </cell>
          <cell r="D579">
            <v>88000</v>
          </cell>
        </row>
        <row r="580">
          <cell r="A580">
            <v>6265</v>
          </cell>
          <cell r="B580" t="str">
            <v xml:space="preserve">方土昶             </v>
          </cell>
          <cell r="C580">
            <v>7.03</v>
          </cell>
          <cell r="D580">
            <v>93000</v>
          </cell>
        </row>
        <row r="581">
          <cell r="A581">
            <v>6266</v>
          </cell>
          <cell r="B581" t="str">
            <v xml:space="preserve">泰詠              </v>
          </cell>
          <cell r="C581">
            <v>13.35</v>
          </cell>
          <cell r="D581">
            <v>359000</v>
          </cell>
        </row>
        <row r="582">
          <cell r="A582">
            <v>6270</v>
          </cell>
          <cell r="B582" t="str">
            <v xml:space="preserve">倍微              </v>
          </cell>
          <cell r="C582">
            <v>11.65</v>
          </cell>
          <cell r="D582">
            <v>900000</v>
          </cell>
        </row>
        <row r="583">
          <cell r="A583">
            <v>6274</v>
          </cell>
          <cell r="B583" t="str">
            <v xml:space="preserve">台燿              </v>
          </cell>
          <cell r="C583">
            <v>86</v>
          </cell>
          <cell r="D583">
            <v>2587000</v>
          </cell>
        </row>
        <row r="584">
          <cell r="A584">
            <v>6275</v>
          </cell>
          <cell r="B584" t="str">
            <v xml:space="preserve">元山              </v>
          </cell>
          <cell r="C584">
            <v>18.899999999999999</v>
          </cell>
          <cell r="D584">
            <v>1089000</v>
          </cell>
        </row>
        <row r="585">
          <cell r="A585">
            <v>6276</v>
          </cell>
          <cell r="B585" t="str">
            <v xml:space="preserve">安鈦克             </v>
          </cell>
          <cell r="C585">
            <v>12.5</v>
          </cell>
          <cell r="D585">
            <v>61000</v>
          </cell>
        </row>
        <row r="586">
          <cell r="A586">
            <v>6279</v>
          </cell>
          <cell r="B586" t="str">
            <v xml:space="preserve">胡連              </v>
          </cell>
          <cell r="C586">
            <v>138</v>
          </cell>
          <cell r="D586">
            <v>542000</v>
          </cell>
        </row>
        <row r="587">
          <cell r="A587">
            <v>6284</v>
          </cell>
          <cell r="B587" t="str">
            <v xml:space="preserve">佳邦              </v>
          </cell>
          <cell r="C587">
            <v>25.6</v>
          </cell>
          <cell r="D587">
            <v>715000</v>
          </cell>
        </row>
        <row r="588">
          <cell r="A588">
            <v>6287</v>
          </cell>
          <cell r="B588" t="str">
            <v xml:space="preserve">元隆              </v>
          </cell>
          <cell r="C588">
            <v>4.1900000000000004</v>
          </cell>
          <cell r="D588">
            <v>33000</v>
          </cell>
        </row>
        <row r="589">
          <cell r="A589">
            <v>6290</v>
          </cell>
          <cell r="B589" t="str">
            <v xml:space="preserve">良維              </v>
          </cell>
          <cell r="C589">
            <v>70.900000000000006</v>
          </cell>
          <cell r="D589">
            <v>5075000</v>
          </cell>
        </row>
        <row r="590">
          <cell r="A590">
            <v>6291</v>
          </cell>
          <cell r="B590" t="str">
            <v xml:space="preserve">沛亨              </v>
          </cell>
          <cell r="C590">
            <v>3.65</v>
          </cell>
          <cell r="D590">
            <v>2000</v>
          </cell>
        </row>
        <row r="591">
          <cell r="A591">
            <v>6292</v>
          </cell>
          <cell r="B591" t="str">
            <v xml:space="preserve">迅德              </v>
          </cell>
          <cell r="C591">
            <v>31</v>
          </cell>
          <cell r="D591">
            <v>28000</v>
          </cell>
        </row>
        <row r="592">
          <cell r="A592">
            <v>6294</v>
          </cell>
          <cell r="B592" t="str">
            <v xml:space="preserve">智基              </v>
          </cell>
          <cell r="C592">
            <v>116</v>
          </cell>
          <cell r="D592">
            <v>66000</v>
          </cell>
        </row>
        <row r="593">
          <cell r="A593">
            <v>6298</v>
          </cell>
          <cell r="B593" t="str">
            <v xml:space="preserve">崴強              </v>
          </cell>
          <cell r="C593">
            <v>19.899999999999999</v>
          </cell>
          <cell r="D593">
            <v>315000</v>
          </cell>
        </row>
        <row r="594">
          <cell r="A594">
            <v>6404</v>
          </cell>
          <cell r="B594" t="str">
            <v xml:space="preserve">通訊-KY           </v>
          </cell>
          <cell r="C594">
            <v>14.75</v>
          </cell>
          <cell r="D594">
            <v>71000</v>
          </cell>
        </row>
        <row r="595">
          <cell r="A595">
            <v>6411</v>
          </cell>
          <cell r="B595" t="str">
            <v xml:space="preserve">晶焱              </v>
          </cell>
          <cell r="C595">
            <v>81.8</v>
          </cell>
          <cell r="D595">
            <v>539000</v>
          </cell>
        </row>
        <row r="596">
          <cell r="A596">
            <v>6417</v>
          </cell>
          <cell r="B596" t="str">
            <v xml:space="preserve">韋僑              </v>
          </cell>
          <cell r="C596">
            <v>34.799999999999997</v>
          </cell>
          <cell r="D596">
            <v>33000</v>
          </cell>
        </row>
        <row r="597">
          <cell r="A597">
            <v>6419</v>
          </cell>
          <cell r="B597" t="str">
            <v xml:space="preserve">京晨科             </v>
          </cell>
          <cell r="C597">
            <v>13.15</v>
          </cell>
          <cell r="D597">
            <v>29000</v>
          </cell>
        </row>
        <row r="598">
          <cell r="A598">
            <v>6426</v>
          </cell>
          <cell r="B598" t="str">
            <v xml:space="preserve">統新              </v>
          </cell>
          <cell r="C598">
            <v>57.4</v>
          </cell>
          <cell r="D598">
            <v>335000</v>
          </cell>
        </row>
        <row r="599">
          <cell r="A599">
            <v>6432</v>
          </cell>
          <cell r="B599" t="str">
            <v xml:space="preserve">今展科             </v>
          </cell>
          <cell r="C599">
            <v>18.25</v>
          </cell>
          <cell r="D599">
            <v>26000</v>
          </cell>
        </row>
        <row r="600">
          <cell r="A600">
            <v>6435</v>
          </cell>
          <cell r="B600" t="str">
            <v xml:space="preserve">大中              </v>
          </cell>
          <cell r="C600">
            <v>96.6</v>
          </cell>
          <cell r="D600">
            <v>1049000</v>
          </cell>
        </row>
        <row r="601">
          <cell r="A601">
            <v>6438</v>
          </cell>
          <cell r="B601" t="str">
            <v xml:space="preserve">迅得              </v>
          </cell>
          <cell r="C601">
            <v>76.3</v>
          </cell>
          <cell r="D601">
            <v>1909000</v>
          </cell>
        </row>
        <row r="602">
          <cell r="A602">
            <v>6441</v>
          </cell>
          <cell r="B602" t="str">
            <v xml:space="preserve">廣錠              </v>
          </cell>
          <cell r="C602">
            <v>63.5</v>
          </cell>
          <cell r="D602">
            <v>38000</v>
          </cell>
        </row>
        <row r="603">
          <cell r="A603">
            <v>6446</v>
          </cell>
          <cell r="B603" t="str">
            <v xml:space="preserve">藥華藥             </v>
          </cell>
          <cell r="C603">
            <v>173</v>
          </cell>
          <cell r="D603">
            <v>1493000</v>
          </cell>
        </row>
        <row r="604">
          <cell r="A604">
            <v>6457</v>
          </cell>
          <cell r="B604" t="str">
            <v xml:space="preserve">紘康              </v>
          </cell>
          <cell r="C604">
            <v>31.2</v>
          </cell>
          <cell r="D604">
            <v>139000</v>
          </cell>
        </row>
        <row r="605">
          <cell r="A605">
            <v>6462</v>
          </cell>
          <cell r="B605" t="str">
            <v xml:space="preserve">神盾              </v>
          </cell>
          <cell r="C605">
            <v>157.5</v>
          </cell>
          <cell r="D605">
            <v>5226000</v>
          </cell>
        </row>
        <row r="606">
          <cell r="A606">
            <v>6465</v>
          </cell>
          <cell r="B606" t="str">
            <v xml:space="preserve">威潤              </v>
          </cell>
          <cell r="C606">
            <v>65.3</v>
          </cell>
          <cell r="D606">
            <v>3000</v>
          </cell>
        </row>
        <row r="607">
          <cell r="A607">
            <v>6469</v>
          </cell>
          <cell r="B607" t="str">
            <v xml:space="preserve">大樹              </v>
          </cell>
          <cell r="C607">
            <v>78.5</v>
          </cell>
          <cell r="D607">
            <v>16000</v>
          </cell>
        </row>
        <row r="608">
          <cell r="A608">
            <v>6470</v>
          </cell>
          <cell r="B608" t="str">
            <v xml:space="preserve">宇智              </v>
          </cell>
          <cell r="C608">
            <v>32.700000000000003</v>
          </cell>
          <cell r="D608">
            <v>117000</v>
          </cell>
        </row>
        <row r="609">
          <cell r="A609">
            <v>6472</v>
          </cell>
          <cell r="B609" t="str">
            <v xml:space="preserve">保瑞              </v>
          </cell>
          <cell r="C609">
            <v>37.9</v>
          </cell>
          <cell r="D609">
            <v>13000</v>
          </cell>
        </row>
        <row r="610">
          <cell r="A610">
            <v>6482</v>
          </cell>
          <cell r="B610" t="str">
            <v xml:space="preserve">弘煜科             </v>
          </cell>
          <cell r="C610">
            <v>32.6</v>
          </cell>
          <cell r="D610">
            <v>5000</v>
          </cell>
        </row>
        <row r="611">
          <cell r="A611">
            <v>6485</v>
          </cell>
          <cell r="B611" t="str">
            <v xml:space="preserve">點序              </v>
          </cell>
          <cell r="C611">
            <v>43.35</v>
          </cell>
          <cell r="D611">
            <v>379000</v>
          </cell>
        </row>
        <row r="612">
          <cell r="A612">
            <v>6486</v>
          </cell>
          <cell r="B612" t="str">
            <v xml:space="preserve">互動              </v>
          </cell>
          <cell r="C612">
            <v>41.1</v>
          </cell>
          <cell r="D612">
            <v>145000</v>
          </cell>
        </row>
        <row r="613">
          <cell r="A613">
            <v>6488</v>
          </cell>
          <cell r="B613" t="str">
            <v xml:space="preserve">環球晶             </v>
          </cell>
          <cell r="C613">
            <v>402</v>
          </cell>
          <cell r="D613">
            <v>6649000</v>
          </cell>
        </row>
        <row r="614">
          <cell r="A614">
            <v>6492</v>
          </cell>
          <cell r="B614" t="str">
            <v xml:space="preserve">生華科             </v>
          </cell>
          <cell r="C614">
            <v>64.8</v>
          </cell>
          <cell r="D614">
            <v>55000</v>
          </cell>
        </row>
        <row r="615">
          <cell r="A615">
            <v>6494</v>
          </cell>
          <cell r="B615" t="str">
            <v xml:space="preserve">九齊              </v>
          </cell>
          <cell r="C615">
            <v>61.7</v>
          </cell>
          <cell r="D615">
            <v>24000</v>
          </cell>
        </row>
        <row r="616">
          <cell r="A616">
            <v>6496</v>
          </cell>
          <cell r="B616" t="str">
            <v xml:space="preserve">科懋              </v>
          </cell>
          <cell r="C616">
            <v>69.900000000000006</v>
          </cell>
          <cell r="D616">
            <v>240000</v>
          </cell>
        </row>
        <row r="617">
          <cell r="A617">
            <v>6497</v>
          </cell>
          <cell r="B617" t="str">
            <v xml:space="preserve">亞獅康-KY          </v>
          </cell>
          <cell r="C617">
            <v>52</v>
          </cell>
          <cell r="D617">
            <v>1349000</v>
          </cell>
        </row>
        <row r="618">
          <cell r="A618">
            <v>6499</v>
          </cell>
          <cell r="B618" t="str">
            <v xml:space="preserve">益安              </v>
          </cell>
          <cell r="C618">
            <v>81.3</v>
          </cell>
          <cell r="D618">
            <v>24000</v>
          </cell>
        </row>
        <row r="619">
          <cell r="A619">
            <v>6506</v>
          </cell>
          <cell r="B619" t="str">
            <v xml:space="preserve">雙邦              </v>
          </cell>
          <cell r="C619">
            <v>21</v>
          </cell>
          <cell r="D619">
            <v>38000</v>
          </cell>
        </row>
        <row r="620">
          <cell r="A620">
            <v>6508</v>
          </cell>
          <cell r="B620" t="str">
            <v xml:space="preserve">惠光              </v>
          </cell>
          <cell r="C620">
            <v>26.5</v>
          </cell>
          <cell r="D620">
            <v>102000</v>
          </cell>
        </row>
        <row r="621">
          <cell r="A621">
            <v>6509</v>
          </cell>
          <cell r="B621" t="str">
            <v xml:space="preserve">聚和              </v>
          </cell>
          <cell r="C621">
            <v>18.600000000000001</v>
          </cell>
          <cell r="D621">
            <v>1034000</v>
          </cell>
        </row>
        <row r="622">
          <cell r="A622">
            <v>6510</v>
          </cell>
          <cell r="B622" t="str">
            <v xml:space="preserve">精測              </v>
          </cell>
          <cell r="C622">
            <v>1055</v>
          </cell>
          <cell r="D622">
            <v>254000</v>
          </cell>
        </row>
        <row r="623">
          <cell r="A623">
            <v>6512</v>
          </cell>
          <cell r="B623" t="str">
            <v xml:space="preserve">啟發電             </v>
          </cell>
          <cell r="C623">
            <v>20.350000000000001</v>
          </cell>
          <cell r="D623">
            <v>53000</v>
          </cell>
        </row>
        <row r="624">
          <cell r="A624">
            <v>6514</v>
          </cell>
          <cell r="B624" t="str">
            <v xml:space="preserve">芮特-KY           </v>
          </cell>
          <cell r="C624">
            <v>30.3</v>
          </cell>
          <cell r="D624">
            <v>9000</v>
          </cell>
        </row>
        <row r="625">
          <cell r="A625">
            <v>6523</v>
          </cell>
          <cell r="B625" t="str">
            <v xml:space="preserve">達爾膚             </v>
          </cell>
          <cell r="C625">
            <v>84</v>
          </cell>
          <cell r="D625">
            <v>166000</v>
          </cell>
        </row>
        <row r="626">
          <cell r="A626">
            <v>6530</v>
          </cell>
          <cell r="B626" t="str">
            <v xml:space="preserve">創威              </v>
          </cell>
          <cell r="C626">
            <v>18.2</v>
          </cell>
          <cell r="D626">
            <v>102000</v>
          </cell>
        </row>
        <row r="627">
          <cell r="A627">
            <v>6532</v>
          </cell>
          <cell r="B627" t="str">
            <v xml:space="preserve">瑞耘              </v>
          </cell>
          <cell r="C627">
            <v>26</v>
          </cell>
          <cell r="D627">
            <v>242000</v>
          </cell>
        </row>
        <row r="628">
          <cell r="A628">
            <v>6535</v>
          </cell>
          <cell r="B628" t="str">
            <v xml:space="preserve">順藥              </v>
          </cell>
          <cell r="C628">
            <v>28.05</v>
          </cell>
          <cell r="D628">
            <v>121000</v>
          </cell>
        </row>
        <row r="629">
          <cell r="A629">
            <v>6538</v>
          </cell>
          <cell r="B629" t="str">
            <v xml:space="preserve">倉和              </v>
          </cell>
          <cell r="C629">
            <v>32.65</v>
          </cell>
          <cell r="D629">
            <v>16000</v>
          </cell>
        </row>
        <row r="630">
          <cell r="A630">
            <v>6542</v>
          </cell>
          <cell r="B630" t="str">
            <v xml:space="preserve">隆中              </v>
          </cell>
          <cell r="C630">
            <v>38.799999999999997</v>
          </cell>
          <cell r="D630">
            <v>89000</v>
          </cell>
        </row>
        <row r="631">
          <cell r="A631">
            <v>6548</v>
          </cell>
          <cell r="B631" t="str">
            <v xml:space="preserve">長華科             </v>
          </cell>
          <cell r="C631">
            <v>390</v>
          </cell>
          <cell r="D631">
            <v>216000</v>
          </cell>
        </row>
        <row r="632">
          <cell r="A632">
            <v>6554</v>
          </cell>
          <cell r="B632" t="str">
            <v xml:space="preserve">中美冠科-KY         </v>
          </cell>
          <cell r="C632">
            <v>72</v>
          </cell>
          <cell r="D632">
            <v>1742000</v>
          </cell>
        </row>
        <row r="633">
          <cell r="A633">
            <v>6556</v>
          </cell>
          <cell r="B633" t="str">
            <v xml:space="preserve">勝品              </v>
          </cell>
          <cell r="C633">
            <v>36.9</v>
          </cell>
          <cell r="D633">
            <v>13000</v>
          </cell>
        </row>
        <row r="634">
          <cell r="A634">
            <v>6560</v>
          </cell>
          <cell r="B634" t="str">
            <v xml:space="preserve">欣普羅             </v>
          </cell>
          <cell r="C634">
            <v>44.8</v>
          </cell>
          <cell r="D634">
            <v>284000</v>
          </cell>
        </row>
        <row r="635">
          <cell r="A635">
            <v>6568</v>
          </cell>
          <cell r="B635" t="str">
            <v xml:space="preserve">宏觀              </v>
          </cell>
          <cell r="C635">
            <v>175.5</v>
          </cell>
          <cell r="D635">
            <v>200000</v>
          </cell>
        </row>
        <row r="636">
          <cell r="A636">
            <v>6569</v>
          </cell>
          <cell r="B636" t="str">
            <v xml:space="preserve">醫揚              </v>
          </cell>
          <cell r="C636">
            <v>149</v>
          </cell>
          <cell r="D636">
            <v>34000</v>
          </cell>
        </row>
        <row r="637">
          <cell r="A637">
            <v>6570</v>
          </cell>
          <cell r="B637" t="str">
            <v xml:space="preserve">維田              </v>
          </cell>
          <cell r="C637">
            <v>26.8</v>
          </cell>
          <cell r="D637">
            <v>30000</v>
          </cell>
        </row>
        <row r="638">
          <cell r="A638">
            <v>6574</v>
          </cell>
          <cell r="B638" t="str">
            <v xml:space="preserve">霈方              </v>
          </cell>
          <cell r="C638">
            <v>119</v>
          </cell>
          <cell r="D638">
            <v>11000</v>
          </cell>
        </row>
        <row r="639">
          <cell r="A639">
            <v>6577</v>
          </cell>
          <cell r="B639" t="str">
            <v xml:space="preserve">勁豐              </v>
          </cell>
          <cell r="C639">
            <v>62</v>
          </cell>
          <cell r="D639">
            <v>270000</v>
          </cell>
        </row>
        <row r="640">
          <cell r="A640">
            <v>6593</v>
          </cell>
          <cell r="B640" t="str">
            <v xml:space="preserve">台灣銘板            </v>
          </cell>
          <cell r="C640">
            <v>37.200000000000003</v>
          </cell>
          <cell r="D640">
            <v>31000</v>
          </cell>
        </row>
        <row r="641">
          <cell r="A641">
            <v>6594</v>
          </cell>
          <cell r="B641" t="str">
            <v xml:space="preserve">展匯科             </v>
          </cell>
          <cell r="C641">
            <v>24.45</v>
          </cell>
          <cell r="D641">
            <v>44000</v>
          </cell>
        </row>
        <row r="642">
          <cell r="A642">
            <v>6596</v>
          </cell>
          <cell r="B642" t="str">
            <v xml:space="preserve">寬宏藝術            </v>
          </cell>
          <cell r="C642">
            <v>56</v>
          </cell>
          <cell r="D642">
            <v>18000</v>
          </cell>
        </row>
        <row r="643">
          <cell r="A643">
            <v>6603</v>
          </cell>
          <cell r="B643" t="str">
            <v xml:space="preserve">富強鑫             </v>
          </cell>
          <cell r="C643">
            <v>14.5</v>
          </cell>
          <cell r="D643">
            <v>1139000</v>
          </cell>
        </row>
        <row r="644">
          <cell r="A644">
            <v>6609</v>
          </cell>
          <cell r="B644" t="str">
            <v xml:space="preserve">瀧澤科             </v>
          </cell>
          <cell r="C644">
            <v>31.3</v>
          </cell>
          <cell r="D644">
            <v>1186000</v>
          </cell>
        </row>
        <row r="645">
          <cell r="A645">
            <v>6613</v>
          </cell>
          <cell r="B645" t="str">
            <v xml:space="preserve">朋億              </v>
          </cell>
          <cell r="C645">
            <v>163</v>
          </cell>
          <cell r="D645">
            <v>95000</v>
          </cell>
        </row>
        <row r="646">
          <cell r="A646">
            <v>6615</v>
          </cell>
          <cell r="B646" t="str">
            <v xml:space="preserve">慧智              </v>
          </cell>
          <cell r="C646">
            <v>73.5</v>
          </cell>
          <cell r="D646">
            <v>67000</v>
          </cell>
        </row>
        <row r="647">
          <cell r="A647">
            <v>6616</v>
          </cell>
          <cell r="B647" t="str">
            <v xml:space="preserve">特昇-KY           </v>
          </cell>
          <cell r="C647">
            <v>18.100000000000001</v>
          </cell>
          <cell r="D647">
            <v>11000</v>
          </cell>
        </row>
        <row r="648">
          <cell r="A648">
            <v>6803</v>
          </cell>
          <cell r="B648" t="str">
            <v xml:space="preserve">崑鼎              </v>
          </cell>
          <cell r="C648">
            <v>165.5</v>
          </cell>
          <cell r="D648">
            <v>121000</v>
          </cell>
        </row>
        <row r="649">
          <cell r="A649">
            <v>7402</v>
          </cell>
          <cell r="B649" t="str">
            <v xml:space="preserve">邑錡              </v>
          </cell>
          <cell r="C649">
            <v>44</v>
          </cell>
          <cell r="D649">
            <v>6000</v>
          </cell>
        </row>
        <row r="650">
          <cell r="A650">
            <v>8024</v>
          </cell>
          <cell r="B650" t="str">
            <v xml:space="preserve">佑華              </v>
          </cell>
          <cell r="C650">
            <v>10.6</v>
          </cell>
          <cell r="D650">
            <v>85000</v>
          </cell>
        </row>
        <row r="651">
          <cell r="A651">
            <v>8027</v>
          </cell>
          <cell r="B651" t="str">
            <v xml:space="preserve">鈦昇              </v>
          </cell>
          <cell r="C651">
            <v>42.2</v>
          </cell>
          <cell r="D651">
            <v>1262000</v>
          </cell>
        </row>
        <row r="652">
          <cell r="A652">
            <v>8032</v>
          </cell>
          <cell r="B652" t="str">
            <v xml:space="preserve">光菱              </v>
          </cell>
          <cell r="C652">
            <v>23.5</v>
          </cell>
          <cell r="D652">
            <v>4000</v>
          </cell>
        </row>
        <row r="653">
          <cell r="A653">
            <v>8034</v>
          </cell>
          <cell r="B653" t="str">
            <v xml:space="preserve">榮群              </v>
          </cell>
          <cell r="C653">
            <v>15.15</v>
          </cell>
          <cell r="D653">
            <v>649000</v>
          </cell>
        </row>
        <row r="654">
          <cell r="A654">
            <v>8038</v>
          </cell>
          <cell r="B654" t="str">
            <v xml:space="preserve">長園科             </v>
          </cell>
          <cell r="C654">
            <v>37.799999999999997</v>
          </cell>
          <cell r="D654">
            <v>153000</v>
          </cell>
        </row>
        <row r="655">
          <cell r="A655">
            <v>8040</v>
          </cell>
          <cell r="B655" t="str">
            <v xml:space="preserve">九暘              </v>
          </cell>
          <cell r="C655">
            <v>8.73</v>
          </cell>
          <cell r="D655">
            <v>357000</v>
          </cell>
        </row>
        <row r="656">
          <cell r="A656">
            <v>8042</v>
          </cell>
          <cell r="B656" t="str">
            <v xml:space="preserve">金山電             </v>
          </cell>
          <cell r="C656">
            <v>66.5</v>
          </cell>
          <cell r="D656">
            <v>1445000</v>
          </cell>
        </row>
        <row r="657">
          <cell r="A657">
            <v>8043</v>
          </cell>
          <cell r="B657" t="str">
            <v xml:space="preserve">蜜望實             </v>
          </cell>
          <cell r="C657">
            <v>28.8</v>
          </cell>
          <cell r="D657">
            <v>1662000</v>
          </cell>
        </row>
        <row r="658">
          <cell r="A658">
            <v>8044</v>
          </cell>
          <cell r="B658" t="str">
            <v xml:space="preserve">網家              </v>
          </cell>
          <cell r="C658">
            <v>140</v>
          </cell>
          <cell r="D658">
            <v>678000</v>
          </cell>
        </row>
        <row r="659">
          <cell r="A659">
            <v>8047</v>
          </cell>
          <cell r="B659" t="str">
            <v xml:space="preserve">星雲              </v>
          </cell>
          <cell r="C659">
            <v>11.75</v>
          </cell>
          <cell r="D659">
            <v>16000</v>
          </cell>
        </row>
        <row r="660">
          <cell r="A660">
            <v>8048</v>
          </cell>
          <cell r="B660" t="str">
            <v xml:space="preserve">德勝              </v>
          </cell>
          <cell r="C660">
            <v>29.5</v>
          </cell>
          <cell r="D660">
            <v>86000</v>
          </cell>
        </row>
        <row r="661">
          <cell r="A661">
            <v>8049</v>
          </cell>
          <cell r="B661" t="str">
            <v xml:space="preserve">晶采              </v>
          </cell>
          <cell r="C661">
            <v>15.95</v>
          </cell>
          <cell r="D661">
            <v>495000</v>
          </cell>
        </row>
        <row r="662">
          <cell r="A662">
            <v>8050</v>
          </cell>
          <cell r="B662" t="str">
            <v xml:space="preserve">廣積              </v>
          </cell>
          <cell r="C662">
            <v>46</v>
          </cell>
          <cell r="D662">
            <v>341000</v>
          </cell>
        </row>
        <row r="663">
          <cell r="A663">
            <v>8054</v>
          </cell>
          <cell r="B663" t="str">
            <v xml:space="preserve">安國              </v>
          </cell>
          <cell r="C663">
            <v>18.399999999999999</v>
          </cell>
          <cell r="D663">
            <v>355000</v>
          </cell>
        </row>
        <row r="664">
          <cell r="A664">
            <v>8059</v>
          </cell>
          <cell r="B664" t="str">
            <v xml:space="preserve">凱碩              </v>
          </cell>
          <cell r="C664">
            <v>8.42</v>
          </cell>
          <cell r="D664">
            <v>115000</v>
          </cell>
        </row>
        <row r="665">
          <cell r="A665">
            <v>8064</v>
          </cell>
          <cell r="B665" t="str">
            <v xml:space="preserve">東捷              </v>
          </cell>
          <cell r="C665">
            <v>14</v>
          </cell>
          <cell r="D665">
            <v>1401000</v>
          </cell>
        </row>
        <row r="666">
          <cell r="A666">
            <v>8066</v>
          </cell>
          <cell r="B666" t="str">
            <v xml:space="preserve">來思達             </v>
          </cell>
          <cell r="C666">
            <v>124</v>
          </cell>
          <cell r="D666">
            <v>79000</v>
          </cell>
        </row>
        <row r="667">
          <cell r="A667">
            <v>8067</v>
          </cell>
          <cell r="B667" t="str">
            <v xml:space="preserve">志旭              </v>
          </cell>
          <cell r="C667">
            <v>7.7</v>
          </cell>
          <cell r="D667">
            <v>9000</v>
          </cell>
        </row>
        <row r="668">
          <cell r="A668">
            <v>8068</v>
          </cell>
          <cell r="B668" t="str">
            <v xml:space="preserve">全達              </v>
          </cell>
          <cell r="C668">
            <v>23.65</v>
          </cell>
          <cell r="D668">
            <v>52000</v>
          </cell>
        </row>
        <row r="669">
          <cell r="A669">
            <v>8069</v>
          </cell>
          <cell r="B669" t="str">
            <v xml:space="preserve">元太              </v>
          </cell>
          <cell r="C669">
            <v>46.5</v>
          </cell>
          <cell r="D669">
            <v>10430000</v>
          </cell>
        </row>
        <row r="670">
          <cell r="A670">
            <v>8071</v>
          </cell>
          <cell r="B670" t="str">
            <v xml:space="preserve">能率網通            </v>
          </cell>
          <cell r="C670">
            <v>15.3</v>
          </cell>
          <cell r="D670">
            <v>708000</v>
          </cell>
        </row>
        <row r="671">
          <cell r="A671">
            <v>8074</v>
          </cell>
          <cell r="B671" t="str">
            <v xml:space="preserve">鉅橡              </v>
          </cell>
          <cell r="C671">
            <v>25.65</v>
          </cell>
          <cell r="D671">
            <v>179000</v>
          </cell>
        </row>
        <row r="672">
          <cell r="A672">
            <v>8076</v>
          </cell>
          <cell r="B672" t="str">
            <v xml:space="preserve">伍豐              </v>
          </cell>
          <cell r="C672">
            <v>36.35</v>
          </cell>
          <cell r="D672">
            <v>1116000</v>
          </cell>
        </row>
        <row r="673">
          <cell r="A673">
            <v>8077</v>
          </cell>
          <cell r="B673" t="str">
            <v xml:space="preserve">洛碁              </v>
          </cell>
          <cell r="C673">
            <v>22</v>
          </cell>
          <cell r="D673">
            <v>18000</v>
          </cell>
        </row>
        <row r="674">
          <cell r="A674">
            <v>8080</v>
          </cell>
          <cell r="B674" t="str">
            <v xml:space="preserve">奧斯特             </v>
          </cell>
          <cell r="C674">
            <v>7.83</v>
          </cell>
          <cell r="D674">
            <v>127000</v>
          </cell>
        </row>
        <row r="675">
          <cell r="A675">
            <v>8083</v>
          </cell>
          <cell r="B675" t="str">
            <v xml:space="preserve">瑞穎              </v>
          </cell>
          <cell r="C675">
            <v>138</v>
          </cell>
          <cell r="D675">
            <v>47000</v>
          </cell>
        </row>
        <row r="676">
          <cell r="A676">
            <v>8084</v>
          </cell>
          <cell r="B676" t="str">
            <v xml:space="preserve">巨虹              </v>
          </cell>
          <cell r="C676">
            <v>40.5</v>
          </cell>
          <cell r="D676">
            <v>8000</v>
          </cell>
        </row>
        <row r="677">
          <cell r="A677">
            <v>8085</v>
          </cell>
          <cell r="B677" t="str">
            <v xml:space="preserve">福華              </v>
          </cell>
          <cell r="C677">
            <v>5.53</v>
          </cell>
          <cell r="D677">
            <v>268000</v>
          </cell>
        </row>
        <row r="678">
          <cell r="A678">
            <v>8086</v>
          </cell>
          <cell r="B678" t="str">
            <v xml:space="preserve">宏捷科             </v>
          </cell>
          <cell r="C678">
            <v>63.1</v>
          </cell>
          <cell r="D678">
            <v>5225000</v>
          </cell>
        </row>
        <row r="679">
          <cell r="A679">
            <v>8087</v>
          </cell>
          <cell r="B679" t="str">
            <v xml:space="preserve">華鎂鑫             </v>
          </cell>
          <cell r="C679">
            <v>9.35</v>
          </cell>
          <cell r="D679">
            <v>31000</v>
          </cell>
        </row>
        <row r="680">
          <cell r="A680">
            <v>8088</v>
          </cell>
          <cell r="B680" t="str">
            <v xml:space="preserve">品安              </v>
          </cell>
          <cell r="C680">
            <v>16</v>
          </cell>
          <cell r="D680">
            <v>334000</v>
          </cell>
        </row>
        <row r="681">
          <cell r="A681">
            <v>8091</v>
          </cell>
          <cell r="B681" t="str">
            <v xml:space="preserve">翔名              </v>
          </cell>
          <cell r="C681">
            <v>102.5</v>
          </cell>
          <cell r="D681">
            <v>494000</v>
          </cell>
        </row>
        <row r="682">
          <cell r="A682">
            <v>8092</v>
          </cell>
          <cell r="B682" t="str">
            <v xml:space="preserve">建暐              </v>
          </cell>
          <cell r="C682">
            <v>7.55</v>
          </cell>
          <cell r="D682">
            <v>37000</v>
          </cell>
        </row>
        <row r="683">
          <cell r="A683">
            <v>8093</v>
          </cell>
          <cell r="B683" t="str">
            <v xml:space="preserve">保銳              </v>
          </cell>
          <cell r="C683">
            <v>7.12</v>
          </cell>
          <cell r="D683">
            <v>20000</v>
          </cell>
        </row>
        <row r="684">
          <cell r="A684">
            <v>8096</v>
          </cell>
          <cell r="B684" t="str">
            <v xml:space="preserve">擎亞              </v>
          </cell>
          <cell r="C684">
            <v>12.45</v>
          </cell>
          <cell r="D684">
            <v>984000</v>
          </cell>
        </row>
        <row r="685">
          <cell r="A685">
            <v>8097</v>
          </cell>
          <cell r="B685" t="str">
            <v xml:space="preserve">常珵              </v>
          </cell>
          <cell r="C685">
            <v>9.17</v>
          </cell>
          <cell r="D685">
            <v>173000</v>
          </cell>
        </row>
        <row r="686">
          <cell r="A686">
            <v>8099</v>
          </cell>
          <cell r="B686" t="str">
            <v xml:space="preserve">大世科             </v>
          </cell>
          <cell r="C686">
            <v>19.5</v>
          </cell>
          <cell r="D686">
            <v>60000</v>
          </cell>
        </row>
        <row r="687">
          <cell r="A687">
            <v>8107</v>
          </cell>
          <cell r="B687" t="str">
            <v xml:space="preserve">大億金茂            </v>
          </cell>
          <cell r="C687">
            <v>37.85</v>
          </cell>
          <cell r="D687">
            <v>222000</v>
          </cell>
        </row>
        <row r="688">
          <cell r="A688">
            <v>8109</v>
          </cell>
          <cell r="B688" t="str">
            <v xml:space="preserve">博大              </v>
          </cell>
          <cell r="C688">
            <v>66.3</v>
          </cell>
          <cell r="D688">
            <v>69000</v>
          </cell>
        </row>
        <row r="689">
          <cell r="A689">
            <v>8111</v>
          </cell>
          <cell r="B689" t="str">
            <v xml:space="preserve">立碁              </v>
          </cell>
          <cell r="C689">
            <v>8.36</v>
          </cell>
          <cell r="D689">
            <v>108000</v>
          </cell>
        </row>
        <row r="690">
          <cell r="A690">
            <v>8121</v>
          </cell>
          <cell r="B690" t="str">
            <v xml:space="preserve">越峰              </v>
          </cell>
          <cell r="C690">
            <v>17.75</v>
          </cell>
          <cell r="D690">
            <v>1278000</v>
          </cell>
        </row>
        <row r="691">
          <cell r="A691">
            <v>8147</v>
          </cell>
          <cell r="B691" t="str">
            <v xml:space="preserve">正淩              </v>
          </cell>
          <cell r="C691">
            <v>33</v>
          </cell>
          <cell r="D691">
            <v>44000</v>
          </cell>
        </row>
        <row r="692">
          <cell r="A692">
            <v>8155</v>
          </cell>
          <cell r="B692" t="str">
            <v xml:space="preserve">博智              </v>
          </cell>
          <cell r="C692">
            <v>106.5</v>
          </cell>
          <cell r="D692">
            <v>1600000</v>
          </cell>
        </row>
        <row r="693">
          <cell r="A693">
            <v>8171</v>
          </cell>
          <cell r="B693" t="str">
            <v xml:space="preserve">天宇              </v>
          </cell>
          <cell r="C693">
            <v>11.65</v>
          </cell>
          <cell r="D693">
            <v>450000</v>
          </cell>
        </row>
        <row r="694">
          <cell r="A694">
            <v>8176</v>
          </cell>
          <cell r="B694" t="str">
            <v xml:space="preserve">智捷              </v>
          </cell>
          <cell r="C694">
            <v>14.8</v>
          </cell>
          <cell r="D694">
            <v>1917000</v>
          </cell>
        </row>
        <row r="695">
          <cell r="A695">
            <v>8182</v>
          </cell>
          <cell r="B695" t="str">
            <v xml:space="preserve">加高              </v>
          </cell>
          <cell r="C695">
            <v>17.649999999999999</v>
          </cell>
          <cell r="D695">
            <v>94000</v>
          </cell>
        </row>
        <row r="696">
          <cell r="A696">
            <v>8183</v>
          </cell>
          <cell r="B696" t="str">
            <v xml:space="preserve">精星              </v>
          </cell>
          <cell r="C696">
            <v>18.649999999999999</v>
          </cell>
          <cell r="D696">
            <v>5371000</v>
          </cell>
        </row>
        <row r="697">
          <cell r="A697">
            <v>8234</v>
          </cell>
          <cell r="B697" t="str">
            <v xml:space="preserve">新漢              </v>
          </cell>
          <cell r="C697">
            <v>30.75</v>
          </cell>
          <cell r="D697">
            <v>532000</v>
          </cell>
        </row>
        <row r="698">
          <cell r="A698">
            <v>8240</v>
          </cell>
          <cell r="B698" t="str">
            <v xml:space="preserve">華宏              </v>
          </cell>
          <cell r="C698">
            <v>19</v>
          </cell>
          <cell r="D698">
            <v>84000</v>
          </cell>
        </row>
        <row r="699">
          <cell r="A699">
            <v>8255</v>
          </cell>
          <cell r="B699" t="str">
            <v xml:space="preserve">朋程              </v>
          </cell>
          <cell r="C699">
            <v>107.5</v>
          </cell>
          <cell r="D699">
            <v>274000</v>
          </cell>
        </row>
        <row r="700">
          <cell r="A700">
            <v>8277</v>
          </cell>
          <cell r="B700" t="str">
            <v xml:space="preserve">商丞              </v>
          </cell>
          <cell r="C700">
            <v>8.51</v>
          </cell>
          <cell r="D700">
            <v>250000</v>
          </cell>
        </row>
        <row r="701">
          <cell r="A701">
            <v>8279</v>
          </cell>
          <cell r="B701" t="str">
            <v xml:space="preserve">生展              </v>
          </cell>
          <cell r="C701">
            <v>151</v>
          </cell>
          <cell r="D701">
            <v>329000</v>
          </cell>
        </row>
        <row r="702">
          <cell r="A702">
            <v>8287</v>
          </cell>
          <cell r="B702" t="str">
            <v xml:space="preserve">英格爾             </v>
          </cell>
          <cell r="C702">
            <v>6.13</v>
          </cell>
          <cell r="D702">
            <v>1466000</v>
          </cell>
        </row>
        <row r="703">
          <cell r="A703">
            <v>8289</v>
          </cell>
          <cell r="B703" t="str">
            <v xml:space="preserve">泰藝              </v>
          </cell>
          <cell r="C703">
            <v>10.95</v>
          </cell>
          <cell r="D703">
            <v>124000</v>
          </cell>
        </row>
        <row r="704">
          <cell r="A704">
            <v>8291</v>
          </cell>
          <cell r="B704" t="str">
            <v xml:space="preserve">尚茂              </v>
          </cell>
          <cell r="C704">
            <v>9</v>
          </cell>
          <cell r="D704">
            <v>10000</v>
          </cell>
        </row>
        <row r="705">
          <cell r="A705">
            <v>8299</v>
          </cell>
          <cell r="B705" t="str">
            <v xml:space="preserve">群聯              </v>
          </cell>
          <cell r="C705">
            <v>288</v>
          </cell>
          <cell r="D705">
            <v>1199000</v>
          </cell>
        </row>
        <row r="706">
          <cell r="A706">
            <v>8342</v>
          </cell>
          <cell r="B706" t="str">
            <v xml:space="preserve">益張              </v>
          </cell>
          <cell r="C706">
            <v>37.700000000000003</v>
          </cell>
          <cell r="D706">
            <v>11000</v>
          </cell>
        </row>
        <row r="707">
          <cell r="A707">
            <v>8349</v>
          </cell>
          <cell r="B707" t="str">
            <v xml:space="preserve">恒耀              </v>
          </cell>
          <cell r="C707">
            <v>101</v>
          </cell>
          <cell r="D707">
            <v>747000</v>
          </cell>
        </row>
        <row r="708">
          <cell r="A708">
            <v>8354</v>
          </cell>
          <cell r="B708" t="str">
            <v xml:space="preserve">冠好              </v>
          </cell>
          <cell r="C708">
            <v>18.8</v>
          </cell>
          <cell r="D708">
            <v>32000</v>
          </cell>
        </row>
        <row r="709">
          <cell r="A709">
            <v>8358</v>
          </cell>
          <cell r="B709" t="str">
            <v xml:space="preserve">金居              </v>
          </cell>
          <cell r="C709">
            <v>39.450000000000003</v>
          </cell>
          <cell r="D709">
            <v>4625000</v>
          </cell>
        </row>
        <row r="710">
          <cell r="A710">
            <v>8383</v>
          </cell>
          <cell r="B710" t="str">
            <v xml:space="preserve">千附              </v>
          </cell>
          <cell r="C710">
            <v>43.25</v>
          </cell>
          <cell r="D710">
            <v>923000</v>
          </cell>
        </row>
        <row r="711">
          <cell r="A711">
            <v>8390</v>
          </cell>
          <cell r="B711" t="str">
            <v xml:space="preserve">金益鼎             </v>
          </cell>
          <cell r="C711">
            <v>17</v>
          </cell>
          <cell r="D711">
            <v>302000</v>
          </cell>
        </row>
        <row r="712">
          <cell r="A712">
            <v>8401</v>
          </cell>
          <cell r="B712" t="str">
            <v xml:space="preserve">白紗科             </v>
          </cell>
          <cell r="C712">
            <v>15.3</v>
          </cell>
          <cell r="D712">
            <v>122000</v>
          </cell>
        </row>
        <row r="713">
          <cell r="A713">
            <v>8403</v>
          </cell>
          <cell r="B713" t="str">
            <v xml:space="preserve">盛弘              </v>
          </cell>
          <cell r="C713">
            <v>33.200000000000003</v>
          </cell>
          <cell r="D713">
            <v>196000</v>
          </cell>
        </row>
        <row r="714">
          <cell r="A714">
            <v>8406</v>
          </cell>
          <cell r="B714" t="str">
            <v xml:space="preserve">金可-KY           </v>
          </cell>
          <cell r="C714">
            <v>195</v>
          </cell>
          <cell r="D714">
            <v>1597000</v>
          </cell>
        </row>
        <row r="715">
          <cell r="A715">
            <v>8409</v>
          </cell>
          <cell r="B715" t="str">
            <v xml:space="preserve">商之器             </v>
          </cell>
          <cell r="C715">
            <v>15.3</v>
          </cell>
          <cell r="D715">
            <v>46000</v>
          </cell>
        </row>
        <row r="716">
          <cell r="A716">
            <v>8410</v>
          </cell>
          <cell r="B716" t="str">
            <v xml:space="preserve">森田              </v>
          </cell>
          <cell r="C716">
            <v>33.15</v>
          </cell>
          <cell r="D716">
            <v>260000</v>
          </cell>
        </row>
        <row r="717">
          <cell r="A717">
            <v>8415</v>
          </cell>
          <cell r="B717" t="str">
            <v xml:space="preserve">大國鋼             </v>
          </cell>
          <cell r="C717">
            <v>22.35</v>
          </cell>
          <cell r="D717">
            <v>349000</v>
          </cell>
        </row>
        <row r="718">
          <cell r="A718">
            <v>8416</v>
          </cell>
          <cell r="B718" t="str">
            <v xml:space="preserve">實威              </v>
          </cell>
          <cell r="C718">
            <v>104.5</v>
          </cell>
          <cell r="D718">
            <v>58000</v>
          </cell>
        </row>
        <row r="719">
          <cell r="A719">
            <v>8418</v>
          </cell>
          <cell r="B719" t="str">
            <v xml:space="preserve">捷必勝-KY          </v>
          </cell>
          <cell r="C719">
            <v>12.1</v>
          </cell>
          <cell r="D719">
            <v>17000</v>
          </cell>
        </row>
        <row r="720">
          <cell r="A720">
            <v>8420</v>
          </cell>
          <cell r="B720" t="str">
            <v xml:space="preserve">明揚              </v>
          </cell>
          <cell r="C720">
            <v>17.5</v>
          </cell>
          <cell r="D720">
            <v>204000</v>
          </cell>
        </row>
        <row r="721">
          <cell r="A721">
            <v>8421</v>
          </cell>
          <cell r="B721" t="str">
            <v xml:space="preserve">旭源              </v>
          </cell>
          <cell r="C721">
            <v>13.95</v>
          </cell>
          <cell r="D721">
            <v>168000</v>
          </cell>
        </row>
        <row r="722">
          <cell r="A722">
            <v>8423</v>
          </cell>
          <cell r="B722" t="str">
            <v xml:space="preserve">保綠-KY           </v>
          </cell>
          <cell r="C722">
            <v>20.100000000000001</v>
          </cell>
          <cell r="D722">
            <v>2000</v>
          </cell>
        </row>
        <row r="723">
          <cell r="A723">
            <v>8424</v>
          </cell>
          <cell r="B723" t="str">
            <v xml:space="preserve">惠普              </v>
          </cell>
          <cell r="C723">
            <v>48</v>
          </cell>
          <cell r="D723">
            <v>39000</v>
          </cell>
        </row>
        <row r="724">
          <cell r="A724">
            <v>8426</v>
          </cell>
          <cell r="B724" t="str">
            <v xml:space="preserve">紅木-KY           </v>
          </cell>
          <cell r="C724">
            <v>34.4</v>
          </cell>
          <cell r="D724">
            <v>73000</v>
          </cell>
        </row>
        <row r="725">
          <cell r="A725">
            <v>8431</v>
          </cell>
          <cell r="B725" t="str">
            <v xml:space="preserve">匯鑽科             </v>
          </cell>
          <cell r="C725">
            <v>65.8</v>
          </cell>
          <cell r="D725">
            <v>1076000</v>
          </cell>
        </row>
        <row r="726">
          <cell r="A726">
            <v>8432</v>
          </cell>
          <cell r="B726" t="str">
            <v xml:space="preserve">東生華             </v>
          </cell>
          <cell r="C726">
            <v>68.2</v>
          </cell>
          <cell r="D726">
            <v>88000</v>
          </cell>
        </row>
        <row r="727">
          <cell r="A727">
            <v>8433</v>
          </cell>
          <cell r="B727" t="str">
            <v xml:space="preserve">弘帆              </v>
          </cell>
          <cell r="C727">
            <v>71.900000000000006</v>
          </cell>
          <cell r="D727">
            <v>65000</v>
          </cell>
        </row>
        <row r="728">
          <cell r="A728">
            <v>8435</v>
          </cell>
          <cell r="B728" t="str">
            <v xml:space="preserve">鉅邁              </v>
          </cell>
          <cell r="C728">
            <v>49.5</v>
          </cell>
          <cell r="D728">
            <v>44000</v>
          </cell>
        </row>
        <row r="729">
          <cell r="A729">
            <v>8436</v>
          </cell>
          <cell r="B729" t="str">
            <v xml:space="preserve">大江              </v>
          </cell>
          <cell r="C729">
            <v>291</v>
          </cell>
          <cell r="D729">
            <v>1264000</v>
          </cell>
        </row>
        <row r="730">
          <cell r="A730">
            <v>8437</v>
          </cell>
          <cell r="B730" t="str">
            <v xml:space="preserve">大地-KY           </v>
          </cell>
          <cell r="C730">
            <v>236.5</v>
          </cell>
          <cell r="D730">
            <v>107000</v>
          </cell>
        </row>
        <row r="731">
          <cell r="A731">
            <v>8444</v>
          </cell>
          <cell r="B731" t="str">
            <v xml:space="preserve">綠河-KY           </v>
          </cell>
          <cell r="C731">
            <v>150</v>
          </cell>
          <cell r="D731">
            <v>23000</v>
          </cell>
        </row>
        <row r="732">
          <cell r="A732">
            <v>8446</v>
          </cell>
          <cell r="B732" t="str">
            <v xml:space="preserve">華研              </v>
          </cell>
          <cell r="C732">
            <v>101</v>
          </cell>
          <cell r="D732">
            <v>62000</v>
          </cell>
        </row>
        <row r="733">
          <cell r="A733">
            <v>8450</v>
          </cell>
          <cell r="B733" t="str">
            <v xml:space="preserve">霹靂              </v>
          </cell>
          <cell r="C733">
            <v>52.5</v>
          </cell>
          <cell r="D733">
            <v>67000</v>
          </cell>
        </row>
        <row r="734">
          <cell r="A734">
            <v>8455</v>
          </cell>
          <cell r="B734" t="str">
            <v xml:space="preserve">大拓-KY           </v>
          </cell>
          <cell r="C734">
            <v>24</v>
          </cell>
          <cell r="D734">
            <v>19000</v>
          </cell>
        </row>
        <row r="735">
          <cell r="A735">
            <v>8462</v>
          </cell>
          <cell r="B735" t="str">
            <v xml:space="preserve">柏文              </v>
          </cell>
          <cell r="C735">
            <v>139</v>
          </cell>
          <cell r="D735">
            <v>124000</v>
          </cell>
        </row>
        <row r="736">
          <cell r="A736">
            <v>8472</v>
          </cell>
          <cell r="B736" t="str">
            <v xml:space="preserve">夠麻吉             </v>
          </cell>
          <cell r="C736">
            <v>30</v>
          </cell>
          <cell r="D736">
            <v>69000</v>
          </cell>
        </row>
        <row r="737">
          <cell r="A737">
            <v>8476</v>
          </cell>
          <cell r="B737" t="str">
            <v xml:space="preserve">台境              </v>
          </cell>
          <cell r="C737">
            <v>36.049999999999997</v>
          </cell>
          <cell r="D737">
            <v>117000</v>
          </cell>
        </row>
        <row r="738">
          <cell r="A738">
            <v>8477</v>
          </cell>
          <cell r="B738" t="str">
            <v xml:space="preserve">創業家             </v>
          </cell>
          <cell r="C738">
            <v>40</v>
          </cell>
          <cell r="D738">
            <v>86000</v>
          </cell>
        </row>
        <row r="739">
          <cell r="A739">
            <v>8489</v>
          </cell>
          <cell r="B739" t="str">
            <v xml:space="preserve">三貝德             </v>
          </cell>
          <cell r="C739">
            <v>303</v>
          </cell>
          <cell r="D739">
            <v>394000</v>
          </cell>
        </row>
        <row r="740">
          <cell r="A740">
            <v>8905</v>
          </cell>
          <cell r="B740" t="str">
            <v xml:space="preserve">裕國              </v>
          </cell>
          <cell r="C740">
            <v>16.05</v>
          </cell>
          <cell r="D740">
            <v>203000</v>
          </cell>
        </row>
        <row r="741">
          <cell r="A741">
            <v>8906</v>
          </cell>
          <cell r="B741" t="str">
            <v xml:space="preserve">花王              </v>
          </cell>
          <cell r="C741">
            <v>6.3</v>
          </cell>
          <cell r="D741">
            <v>11000</v>
          </cell>
        </row>
        <row r="742">
          <cell r="A742">
            <v>8908</v>
          </cell>
          <cell r="B742" t="str">
            <v xml:space="preserve">欣雄              </v>
          </cell>
          <cell r="C742">
            <v>32.4</v>
          </cell>
          <cell r="D742">
            <v>27000</v>
          </cell>
        </row>
        <row r="743">
          <cell r="A743">
            <v>8913</v>
          </cell>
          <cell r="B743" t="str">
            <v xml:space="preserve">全銓              </v>
          </cell>
          <cell r="C743">
            <v>134</v>
          </cell>
          <cell r="D743">
            <v>26000</v>
          </cell>
        </row>
        <row r="744">
          <cell r="A744">
            <v>8916</v>
          </cell>
          <cell r="B744" t="str">
            <v xml:space="preserve">光隆              </v>
          </cell>
          <cell r="C744">
            <v>47</v>
          </cell>
          <cell r="D744">
            <v>224000</v>
          </cell>
        </row>
        <row r="745">
          <cell r="A745">
            <v>8917</v>
          </cell>
          <cell r="B745" t="str">
            <v xml:space="preserve">欣泰              </v>
          </cell>
          <cell r="C745">
            <v>46.95</v>
          </cell>
          <cell r="D745">
            <v>2000</v>
          </cell>
        </row>
        <row r="746">
          <cell r="A746">
            <v>8921</v>
          </cell>
          <cell r="B746" t="str">
            <v xml:space="preserve">沈氏              </v>
          </cell>
          <cell r="C746" t="str">
            <v>----</v>
          </cell>
          <cell r="D746">
            <v>0</v>
          </cell>
        </row>
        <row r="747">
          <cell r="A747">
            <v>8923</v>
          </cell>
          <cell r="B747" t="str">
            <v xml:space="preserve">時報              </v>
          </cell>
          <cell r="C747">
            <v>14.4</v>
          </cell>
          <cell r="D747">
            <v>9000</v>
          </cell>
        </row>
        <row r="748">
          <cell r="A748">
            <v>8924</v>
          </cell>
          <cell r="B748" t="str">
            <v xml:space="preserve">大田              </v>
          </cell>
          <cell r="C748">
            <v>34.6</v>
          </cell>
          <cell r="D748">
            <v>1969000</v>
          </cell>
        </row>
        <row r="749">
          <cell r="A749">
            <v>8927</v>
          </cell>
          <cell r="B749" t="str">
            <v xml:space="preserve">北基              </v>
          </cell>
          <cell r="C749">
            <v>12.25</v>
          </cell>
          <cell r="D749">
            <v>33000</v>
          </cell>
        </row>
        <row r="750">
          <cell r="A750">
            <v>8928</v>
          </cell>
          <cell r="B750" t="str">
            <v xml:space="preserve">鉅明              </v>
          </cell>
          <cell r="C750">
            <v>22.6</v>
          </cell>
          <cell r="D750">
            <v>189000</v>
          </cell>
        </row>
        <row r="751">
          <cell r="A751">
            <v>8929</v>
          </cell>
          <cell r="B751" t="str">
            <v xml:space="preserve">富堡              </v>
          </cell>
          <cell r="C751">
            <v>37.9</v>
          </cell>
          <cell r="D751">
            <v>145000</v>
          </cell>
        </row>
        <row r="752">
          <cell r="A752">
            <v>8930</v>
          </cell>
          <cell r="B752" t="str">
            <v xml:space="preserve">青鋼              </v>
          </cell>
          <cell r="C752">
            <v>14.45</v>
          </cell>
          <cell r="D752">
            <v>58000</v>
          </cell>
        </row>
        <row r="753">
          <cell r="A753">
            <v>8931</v>
          </cell>
          <cell r="B753" t="str">
            <v xml:space="preserve">大汽電             </v>
          </cell>
          <cell r="C753">
            <v>22.6</v>
          </cell>
          <cell r="D753">
            <v>105000</v>
          </cell>
        </row>
        <row r="754">
          <cell r="A754">
            <v>8932</v>
          </cell>
          <cell r="B754" t="str">
            <v xml:space="preserve">宏大              </v>
          </cell>
          <cell r="C754">
            <v>7.85</v>
          </cell>
          <cell r="D754">
            <v>1000</v>
          </cell>
        </row>
        <row r="755">
          <cell r="A755">
            <v>8933</v>
          </cell>
          <cell r="B755" t="str">
            <v xml:space="preserve">愛地雅             </v>
          </cell>
          <cell r="C755">
            <v>12.35</v>
          </cell>
          <cell r="D755">
            <v>1676000</v>
          </cell>
        </row>
        <row r="756">
          <cell r="A756">
            <v>8934</v>
          </cell>
          <cell r="B756" t="str">
            <v xml:space="preserve">衡平              </v>
          </cell>
          <cell r="C756">
            <v>34.4</v>
          </cell>
          <cell r="D756">
            <v>8000</v>
          </cell>
        </row>
        <row r="757">
          <cell r="A757">
            <v>8935</v>
          </cell>
          <cell r="B757" t="str">
            <v xml:space="preserve">邦泰              </v>
          </cell>
          <cell r="C757">
            <v>8.44</v>
          </cell>
          <cell r="D757">
            <v>102000</v>
          </cell>
        </row>
        <row r="758">
          <cell r="A758">
            <v>8936</v>
          </cell>
          <cell r="B758" t="str">
            <v xml:space="preserve">國統              </v>
          </cell>
          <cell r="C758">
            <v>19.600000000000001</v>
          </cell>
          <cell r="D758">
            <v>1813000</v>
          </cell>
        </row>
        <row r="759">
          <cell r="A759">
            <v>8937</v>
          </cell>
          <cell r="B759" t="str">
            <v xml:space="preserve">合騏              </v>
          </cell>
          <cell r="C759">
            <v>13.5</v>
          </cell>
          <cell r="D759">
            <v>155000</v>
          </cell>
        </row>
        <row r="760">
          <cell r="A760">
            <v>8938</v>
          </cell>
          <cell r="B760" t="str">
            <v xml:space="preserve">明安              </v>
          </cell>
          <cell r="C760">
            <v>30.5</v>
          </cell>
          <cell r="D760">
            <v>267000</v>
          </cell>
        </row>
        <row r="761">
          <cell r="A761">
            <v>8941</v>
          </cell>
          <cell r="B761" t="str">
            <v xml:space="preserve">關中              </v>
          </cell>
          <cell r="C761" t="str">
            <v>----</v>
          </cell>
          <cell r="D761">
            <v>0</v>
          </cell>
        </row>
        <row r="762">
          <cell r="A762">
            <v>8942</v>
          </cell>
          <cell r="B762" t="str">
            <v xml:space="preserve">森鉅              </v>
          </cell>
          <cell r="C762">
            <v>61</v>
          </cell>
          <cell r="D762">
            <v>176000</v>
          </cell>
        </row>
        <row r="763">
          <cell r="A763">
            <v>9949</v>
          </cell>
          <cell r="B763" t="str">
            <v xml:space="preserve">琉園              </v>
          </cell>
          <cell r="C763">
            <v>10.5</v>
          </cell>
          <cell r="D763">
            <v>38000</v>
          </cell>
        </row>
        <row r="764">
          <cell r="A764">
            <v>9950</v>
          </cell>
          <cell r="B764" t="str">
            <v xml:space="preserve">萬國通             </v>
          </cell>
          <cell r="C764">
            <v>13.1</v>
          </cell>
          <cell r="D764">
            <v>90000</v>
          </cell>
        </row>
        <row r="765">
          <cell r="A765">
            <v>9951</v>
          </cell>
          <cell r="B765" t="str">
            <v xml:space="preserve">皇田              </v>
          </cell>
          <cell r="C765">
            <v>139</v>
          </cell>
          <cell r="D765">
            <v>400000</v>
          </cell>
        </row>
        <row r="766">
          <cell r="A766">
            <v>9960</v>
          </cell>
          <cell r="B766" t="str">
            <v xml:space="preserve">邁達康             </v>
          </cell>
          <cell r="C766" t="str">
            <v>----</v>
          </cell>
          <cell r="D766">
            <v>0</v>
          </cell>
        </row>
        <row r="767">
          <cell r="A767">
            <v>9962</v>
          </cell>
          <cell r="B767" t="str">
            <v xml:space="preserve">有益              </v>
          </cell>
          <cell r="C767">
            <v>10.35</v>
          </cell>
          <cell r="D767">
            <v>71000</v>
          </cell>
        </row>
        <row r="768">
          <cell r="A768" t="str">
            <v>證券代號</v>
          </cell>
          <cell r="B768" t="str">
            <v>證券名稱</v>
          </cell>
          <cell r="C768" t="str">
            <v>收盤價</v>
          </cell>
          <cell r="D768" t="str">
            <v>成交股數</v>
          </cell>
        </row>
        <row r="769">
          <cell r="A769" t="str">
            <v>0050</v>
          </cell>
          <cell r="B769" t="str">
            <v>元大台灣50</v>
          </cell>
          <cell r="C769">
            <v>79.05</v>
          </cell>
          <cell r="D769">
            <v>16211237</v>
          </cell>
        </row>
        <row r="770">
          <cell r="A770" t="str">
            <v>0051</v>
          </cell>
          <cell r="B770" t="str">
            <v>元大中型100</v>
          </cell>
          <cell r="C770">
            <v>29.87</v>
          </cell>
          <cell r="D770">
            <v>36081</v>
          </cell>
        </row>
        <row r="771">
          <cell r="A771" t="str">
            <v>0052</v>
          </cell>
          <cell r="B771" t="str">
            <v>富邦科技</v>
          </cell>
          <cell r="C771">
            <v>55</v>
          </cell>
          <cell r="D771">
            <v>3000</v>
          </cell>
        </row>
        <row r="772">
          <cell r="A772" t="str">
            <v>0053</v>
          </cell>
          <cell r="B772" t="str">
            <v>元大電子</v>
          </cell>
          <cell r="C772">
            <v>34.22</v>
          </cell>
          <cell r="D772">
            <v>4000</v>
          </cell>
        </row>
        <row r="773">
          <cell r="A773" t="str">
            <v>0054</v>
          </cell>
          <cell r="B773" t="str">
            <v>元大台商50</v>
          </cell>
          <cell r="C773">
            <v>22.56</v>
          </cell>
          <cell r="D773">
            <v>15026</v>
          </cell>
        </row>
        <row r="774">
          <cell r="A774" t="str">
            <v>0055</v>
          </cell>
          <cell r="B774" t="str">
            <v>元大MSCI金融</v>
          </cell>
          <cell r="C774">
            <v>16.18</v>
          </cell>
          <cell r="D774">
            <v>244000</v>
          </cell>
        </row>
        <row r="775">
          <cell r="A775" t="str">
            <v>0056</v>
          </cell>
          <cell r="B775" t="str">
            <v>元大高股息</v>
          </cell>
          <cell r="C775">
            <v>25.5</v>
          </cell>
          <cell r="D775">
            <v>4127754</v>
          </cell>
        </row>
        <row r="776">
          <cell r="A776" t="str">
            <v>0057</v>
          </cell>
          <cell r="B776" t="str">
            <v>富邦摩台</v>
          </cell>
          <cell r="C776">
            <v>47.84</v>
          </cell>
          <cell r="D776">
            <v>7000</v>
          </cell>
        </row>
        <row r="777">
          <cell r="A777" t="str">
            <v>0058</v>
          </cell>
          <cell r="B777" t="str">
            <v>富邦發達</v>
          </cell>
          <cell r="C777" t="str">
            <v>--</v>
          </cell>
          <cell r="D777">
            <v>0</v>
          </cell>
        </row>
        <row r="778">
          <cell r="A778" t="str">
            <v>0059</v>
          </cell>
          <cell r="B778" t="str">
            <v>富邦金融</v>
          </cell>
          <cell r="C778">
            <v>39.130000000000003</v>
          </cell>
          <cell r="D778">
            <v>11050</v>
          </cell>
        </row>
        <row r="779">
          <cell r="A779" t="str">
            <v>0061</v>
          </cell>
          <cell r="B779" t="str">
            <v>元大寶滬深</v>
          </cell>
          <cell r="C779">
            <v>17.809999999999999</v>
          </cell>
          <cell r="D779">
            <v>10085000</v>
          </cell>
        </row>
        <row r="780">
          <cell r="A780" t="str">
            <v>006203</v>
          </cell>
          <cell r="B780" t="str">
            <v>元大MSCI台灣</v>
          </cell>
          <cell r="C780">
            <v>36.51</v>
          </cell>
          <cell r="D780">
            <v>4000</v>
          </cell>
        </row>
        <row r="781">
          <cell r="A781" t="str">
            <v>006204</v>
          </cell>
          <cell r="B781" t="str">
            <v>永豐臺灣加權</v>
          </cell>
          <cell r="C781">
            <v>50.9</v>
          </cell>
          <cell r="D781">
            <v>1000</v>
          </cell>
        </row>
        <row r="782">
          <cell r="A782" t="str">
            <v>006205</v>
          </cell>
          <cell r="B782" t="str">
            <v>富邦上証</v>
          </cell>
          <cell r="C782">
            <v>31.1</v>
          </cell>
          <cell r="D782">
            <v>11477665</v>
          </cell>
        </row>
        <row r="783">
          <cell r="A783" t="str">
            <v>006206</v>
          </cell>
          <cell r="B783" t="str">
            <v>元大上證50</v>
          </cell>
          <cell r="C783">
            <v>31.95</v>
          </cell>
          <cell r="D783">
            <v>7554800</v>
          </cell>
        </row>
        <row r="784">
          <cell r="A784" t="str">
            <v>006207</v>
          </cell>
          <cell r="B784" t="str">
            <v>FH滬深</v>
          </cell>
          <cell r="C784">
            <v>23.47</v>
          </cell>
          <cell r="D784">
            <v>3511083</v>
          </cell>
        </row>
        <row r="785">
          <cell r="A785" t="str">
            <v>006208</v>
          </cell>
          <cell r="B785" t="str">
            <v>富邦台50</v>
          </cell>
          <cell r="C785">
            <v>46.5</v>
          </cell>
          <cell r="D785">
            <v>9576</v>
          </cell>
        </row>
        <row r="786">
          <cell r="A786" t="str">
            <v>00625K</v>
          </cell>
          <cell r="B786" t="str">
            <v>富邦上証+R</v>
          </cell>
          <cell r="C786">
            <v>6.78</v>
          </cell>
          <cell r="D786">
            <v>52000</v>
          </cell>
        </row>
        <row r="787">
          <cell r="A787" t="str">
            <v>00631L</v>
          </cell>
          <cell r="B787" t="str">
            <v>元大台灣50正2</v>
          </cell>
          <cell r="C787">
            <v>33.6</v>
          </cell>
          <cell r="D787">
            <v>8062950</v>
          </cell>
        </row>
        <row r="788">
          <cell r="A788" t="str">
            <v>00632R</v>
          </cell>
          <cell r="B788" t="str">
            <v>元大台灣50反1</v>
          </cell>
          <cell r="C788">
            <v>13.5</v>
          </cell>
          <cell r="D788">
            <v>214593194</v>
          </cell>
        </row>
        <row r="789">
          <cell r="A789" t="str">
            <v>00633L</v>
          </cell>
          <cell r="B789" t="str">
            <v>富邦上証正2</v>
          </cell>
          <cell r="C789">
            <v>45.7</v>
          </cell>
          <cell r="D789">
            <v>108984200</v>
          </cell>
        </row>
        <row r="790">
          <cell r="A790" t="str">
            <v>00634R</v>
          </cell>
          <cell r="B790" t="str">
            <v>富邦上証反1</v>
          </cell>
          <cell r="C790">
            <v>7.1</v>
          </cell>
          <cell r="D790">
            <v>6967000</v>
          </cell>
        </row>
        <row r="791">
          <cell r="A791" t="str">
            <v>00635U</v>
          </cell>
          <cell r="B791" t="str">
            <v>元大S&amp;P黃金</v>
          </cell>
          <cell r="C791">
            <v>20.27</v>
          </cell>
          <cell r="D791">
            <v>483071</v>
          </cell>
        </row>
        <row r="792">
          <cell r="A792" t="str">
            <v>00636</v>
          </cell>
          <cell r="B792" t="str">
            <v>國泰中國A50</v>
          </cell>
          <cell r="C792">
            <v>20.75</v>
          </cell>
          <cell r="D792">
            <v>36727298</v>
          </cell>
        </row>
        <row r="793">
          <cell r="A793" t="str">
            <v>00636K</v>
          </cell>
          <cell r="B793" t="str">
            <v>國泰中國A50+U</v>
          </cell>
          <cell r="C793">
            <v>7.15</v>
          </cell>
          <cell r="D793">
            <v>81300</v>
          </cell>
        </row>
        <row r="794">
          <cell r="A794" t="str">
            <v>00637L</v>
          </cell>
          <cell r="B794" t="str">
            <v>元大滬深300正2</v>
          </cell>
          <cell r="C794">
            <v>17.3</v>
          </cell>
          <cell r="D794">
            <v>343205910</v>
          </cell>
        </row>
        <row r="795">
          <cell r="A795" t="str">
            <v>00638R</v>
          </cell>
          <cell r="B795" t="str">
            <v>元大滬深300反1</v>
          </cell>
          <cell r="C795">
            <v>14.37</v>
          </cell>
          <cell r="D795">
            <v>1624000</v>
          </cell>
        </row>
        <row r="796">
          <cell r="A796" t="str">
            <v>00639</v>
          </cell>
          <cell r="B796" t="str">
            <v>富邦深100</v>
          </cell>
          <cell r="C796">
            <v>10.85</v>
          </cell>
          <cell r="D796">
            <v>8387307</v>
          </cell>
        </row>
        <row r="797">
          <cell r="A797" t="str">
            <v>00640L</v>
          </cell>
          <cell r="B797" t="str">
            <v>富邦日本正2</v>
          </cell>
          <cell r="C797">
            <v>22.89</v>
          </cell>
          <cell r="D797">
            <v>1720000</v>
          </cell>
        </row>
        <row r="798">
          <cell r="A798" t="str">
            <v>00641R</v>
          </cell>
          <cell r="B798" t="str">
            <v>富邦日本反1</v>
          </cell>
          <cell r="C798">
            <v>15.05</v>
          </cell>
          <cell r="D798">
            <v>1571100</v>
          </cell>
        </row>
        <row r="799">
          <cell r="A799" t="str">
            <v>00642U</v>
          </cell>
          <cell r="B799" t="str">
            <v>元大S&amp;P石油</v>
          </cell>
          <cell r="C799">
            <v>18.41</v>
          </cell>
          <cell r="D799">
            <v>3332735</v>
          </cell>
        </row>
        <row r="800">
          <cell r="A800" t="str">
            <v>00643</v>
          </cell>
          <cell r="B800" t="str">
            <v>群益深証中小</v>
          </cell>
          <cell r="C800">
            <v>14.4</v>
          </cell>
          <cell r="D800">
            <v>5768310</v>
          </cell>
        </row>
        <row r="801">
          <cell r="A801" t="str">
            <v>00643K</v>
          </cell>
          <cell r="B801" t="str">
            <v>群益深証中小+R</v>
          </cell>
          <cell r="C801" t="str">
            <v>--</v>
          </cell>
          <cell r="D801">
            <v>0</v>
          </cell>
        </row>
        <row r="802">
          <cell r="A802" t="str">
            <v>00645</v>
          </cell>
          <cell r="B802" t="str">
            <v>富邦日本</v>
          </cell>
          <cell r="C802">
            <v>21.88</v>
          </cell>
          <cell r="D802">
            <v>119250</v>
          </cell>
        </row>
        <row r="803">
          <cell r="A803" t="str">
            <v>00646</v>
          </cell>
          <cell r="B803" t="str">
            <v>元大S&amp;P500</v>
          </cell>
          <cell r="C803">
            <v>22.85</v>
          </cell>
          <cell r="D803">
            <v>403000</v>
          </cell>
        </row>
        <row r="804">
          <cell r="A804" t="str">
            <v>00647L</v>
          </cell>
          <cell r="B804" t="str">
            <v>元大S&amp;P500正2</v>
          </cell>
          <cell r="C804">
            <v>29.24</v>
          </cell>
          <cell r="D804">
            <v>136300</v>
          </cell>
        </row>
        <row r="805">
          <cell r="A805" t="str">
            <v>00648R</v>
          </cell>
          <cell r="B805" t="str">
            <v>元大S&amp;P500反1</v>
          </cell>
          <cell r="C805">
            <v>14.21</v>
          </cell>
          <cell r="D805">
            <v>4268100</v>
          </cell>
        </row>
        <row r="806">
          <cell r="A806" t="str">
            <v>00649</v>
          </cell>
          <cell r="B806" t="str">
            <v>FH香港</v>
          </cell>
          <cell r="C806">
            <v>20.76</v>
          </cell>
          <cell r="D806">
            <v>105008</v>
          </cell>
        </row>
        <row r="807">
          <cell r="A807" t="str">
            <v>00650L</v>
          </cell>
          <cell r="B807" t="str">
            <v>FH香港正2</v>
          </cell>
          <cell r="C807">
            <v>33.72</v>
          </cell>
          <cell r="D807">
            <v>189000</v>
          </cell>
        </row>
        <row r="808">
          <cell r="A808" t="str">
            <v>00651R</v>
          </cell>
          <cell r="B808" t="str">
            <v>FH香港反1</v>
          </cell>
          <cell r="C808">
            <v>8.65</v>
          </cell>
          <cell r="D808">
            <v>830000</v>
          </cell>
        </row>
        <row r="809">
          <cell r="A809" t="str">
            <v>00652</v>
          </cell>
          <cell r="B809" t="str">
            <v>富邦印度</v>
          </cell>
          <cell r="C809">
            <v>22.8</v>
          </cell>
          <cell r="D809">
            <v>106590</v>
          </cell>
        </row>
        <row r="810">
          <cell r="A810" t="str">
            <v>00653L</v>
          </cell>
          <cell r="B810" t="str">
            <v>富邦印度正2</v>
          </cell>
          <cell r="C810">
            <v>27.92</v>
          </cell>
          <cell r="D810">
            <v>713000</v>
          </cell>
        </row>
        <row r="811">
          <cell r="A811" t="str">
            <v>00654R</v>
          </cell>
          <cell r="B811" t="str">
            <v>富邦印度反1</v>
          </cell>
          <cell r="C811">
            <v>15.19</v>
          </cell>
          <cell r="D811">
            <v>487000</v>
          </cell>
        </row>
        <row r="812">
          <cell r="A812" t="str">
            <v>00655L</v>
          </cell>
          <cell r="B812" t="str">
            <v>國泰中國A50正2</v>
          </cell>
          <cell r="C812">
            <v>33.979999999999997</v>
          </cell>
          <cell r="D812">
            <v>59680277</v>
          </cell>
        </row>
        <row r="813">
          <cell r="A813" t="str">
            <v>00656R</v>
          </cell>
          <cell r="B813" t="str">
            <v>國泰中國A50反1</v>
          </cell>
          <cell r="C813">
            <v>13.34</v>
          </cell>
          <cell r="D813">
            <v>3197000</v>
          </cell>
        </row>
        <row r="814">
          <cell r="A814" t="str">
            <v>00657</v>
          </cell>
          <cell r="B814" t="str">
            <v>國泰日經225</v>
          </cell>
          <cell r="C814">
            <v>25.44</v>
          </cell>
          <cell r="D814">
            <v>14000</v>
          </cell>
        </row>
        <row r="815">
          <cell r="A815" t="str">
            <v>00657K</v>
          </cell>
          <cell r="B815" t="str">
            <v>國泰日經225+U</v>
          </cell>
          <cell r="C815">
            <v>8.6999999999999993</v>
          </cell>
          <cell r="D815">
            <v>80100</v>
          </cell>
        </row>
        <row r="816">
          <cell r="A816" t="str">
            <v>00658L</v>
          </cell>
          <cell r="B816" t="str">
            <v>國泰日本正2</v>
          </cell>
          <cell r="C816">
            <v>32.1</v>
          </cell>
          <cell r="D816">
            <v>43000</v>
          </cell>
        </row>
        <row r="817">
          <cell r="A817" t="str">
            <v>00659R</v>
          </cell>
          <cell r="B817" t="str">
            <v>國泰日本反1</v>
          </cell>
          <cell r="C817">
            <v>13.62</v>
          </cell>
          <cell r="D817">
            <v>525000</v>
          </cell>
        </row>
        <row r="818">
          <cell r="A818" t="str">
            <v>00660</v>
          </cell>
          <cell r="B818" t="str">
            <v>元大歐洲50</v>
          </cell>
          <cell r="C818">
            <v>23.87</v>
          </cell>
          <cell r="D818">
            <v>49100</v>
          </cell>
        </row>
        <row r="819">
          <cell r="A819" t="str">
            <v>00661</v>
          </cell>
          <cell r="B819" t="str">
            <v>元大日經225</v>
          </cell>
          <cell r="C819">
            <v>26.16</v>
          </cell>
          <cell r="D819">
            <v>1000</v>
          </cell>
        </row>
        <row r="820">
          <cell r="A820" t="str">
            <v>00662</v>
          </cell>
          <cell r="B820" t="str">
            <v>富邦NASDAQ</v>
          </cell>
          <cell r="C820">
            <v>25.45</v>
          </cell>
          <cell r="D820">
            <v>92700</v>
          </cell>
        </row>
        <row r="821">
          <cell r="A821" t="str">
            <v>00663L</v>
          </cell>
          <cell r="B821" t="str">
            <v>國泰臺灣加權正2</v>
          </cell>
          <cell r="C821">
            <v>30.75</v>
          </cell>
          <cell r="D821">
            <v>1365000</v>
          </cell>
        </row>
        <row r="822">
          <cell r="A822" t="str">
            <v>00664R</v>
          </cell>
          <cell r="B822" t="str">
            <v>國泰臺灣加權反1</v>
          </cell>
          <cell r="C822">
            <v>15.28</v>
          </cell>
          <cell r="D822">
            <v>9089000</v>
          </cell>
        </row>
        <row r="823">
          <cell r="A823" t="str">
            <v>00665L</v>
          </cell>
          <cell r="B823" t="str">
            <v>富邦H股正2</v>
          </cell>
          <cell r="C823">
            <v>32.130000000000003</v>
          </cell>
          <cell r="D823">
            <v>3144000</v>
          </cell>
        </row>
        <row r="824">
          <cell r="A824" t="str">
            <v>00666R</v>
          </cell>
          <cell r="B824" t="str">
            <v>富邦H股反1</v>
          </cell>
          <cell r="C824">
            <v>13.33</v>
          </cell>
          <cell r="D824">
            <v>687000</v>
          </cell>
        </row>
        <row r="825">
          <cell r="A825" t="str">
            <v>00667</v>
          </cell>
          <cell r="B825" t="str">
            <v>元大韓國</v>
          </cell>
          <cell r="C825">
            <v>22.28</v>
          </cell>
          <cell r="D825">
            <v>27000</v>
          </cell>
        </row>
        <row r="826">
          <cell r="A826" t="str">
            <v>00668</v>
          </cell>
          <cell r="B826" t="str">
            <v>國泰美國道瓊</v>
          </cell>
          <cell r="C826">
            <v>24.75</v>
          </cell>
          <cell r="D826">
            <v>199000</v>
          </cell>
        </row>
        <row r="827">
          <cell r="A827" t="str">
            <v>00668K</v>
          </cell>
          <cell r="B827" t="str">
            <v>國泰美國道瓊+U</v>
          </cell>
          <cell r="C827">
            <v>8.33</v>
          </cell>
          <cell r="D827">
            <v>80100</v>
          </cell>
        </row>
        <row r="828">
          <cell r="A828" t="str">
            <v>00669R</v>
          </cell>
          <cell r="B828" t="str">
            <v>國泰美國道瓊反1</v>
          </cell>
          <cell r="C828">
            <v>14.33</v>
          </cell>
          <cell r="D828">
            <v>3346000</v>
          </cell>
        </row>
        <row r="829">
          <cell r="A829" t="str">
            <v>00670L</v>
          </cell>
          <cell r="B829" t="str">
            <v>富邦NASDAQ正2</v>
          </cell>
          <cell r="C829">
            <v>26.8</v>
          </cell>
          <cell r="D829">
            <v>459000</v>
          </cell>
        </row>
        <row r="830">
          <cell r="A830" t="str">
            <v>00671R</v>
          </cell>
          <cell r="B830" t="str">
            <v>富邦NASDAQ反1</v>
          </cell>
          <cell r="C830">
            <v>16.190000000000001</v>
          </cell>
          <cell r="D830">
            <v>1436000</v>
          </cell>
        </row>
        <row r="831">
          <cell r="A831" t="str">
            <v>00672L</v>
          </cell>
          <cell r="B831" t="str">
            <v>元大S&amp;P原油正2</v>
          </cell>
          <cell r="C831">
            <v>20</v>
          </cell>
          <cell r="D831">
            <v>9065450</v>
          </cell>
        </row>
        <row r="832">
          <cell r="A832" t="str">
            <v>00673R</v>
          </cell>
          <cell r="B832" t="str">
            <v>元大S&amp;P原油反1</v>
          </cell>
          <cell r="C832">
            <v>16.66</v>
          </cell>
          <cell r="D832">
            <v>8593000</v>
          </cell>
        </row>
        <row r="833">
          <cell r="A833" t="str">
            <v>00674R</v>
          </cell>
          <cell r="B833" t="str">
            <v>元大S&amp;P黃金反1</v>
          </cell>
          <cell r="C833">
            <v>18.91</v>
          </cell>
          <cell r="D833">
            <v>102000</v>
          </cell>
        </row>
        <row r="834">
          <cell r="A834" t="str">
            <v>00675L</v>
          </cell>
          <cell r="B834" t="str">
            <v>富邦臺灣加權正2</v>
          </cell>
          <cell r="C834">
            <v>13.38</v>
          </cell>
          <cell r="D834">
            <v>1553161</v>
          </cell>
        </row>
        <row r="835">
          <cell r="A835" t="str">
            <v>00676R</v>
          </cell>
          <cell r="B835" t="str">
            <v>富邦臺灣加權反1</v>
          </cell>
          <cell r="C835">
            <v>8.2799999999999994</v>
          </cell>
          <cell r="D835">
            <v>10376485</v>
          </cell>
        </row>
        <row r="836">
          <cell r="A836" t="str">
            <v>00677U</v>
          </cell>
          <cell r="B836" t="str">
            <v>富邦VIX</v>
          </cell>
          <cell r="C836">
            <v>9.81</v>
          </cell>
          <cell r="D836">
            <v>110985204</v>
          </cell>
        </row>
        <row r="837">
          <cell r="A837" t="str">
            <v>00678</v>
          </cell>
          <cell r="B837" t="str">
            <v>群益NBI生技</v>
          </cell>
          <cell r="C837">
            <v>20.66</v>
          </cell>
          <cell r="D837">
            <v>682000</v>
          </cell>
        </row>
        <row r="838">
          <cell r="A838" t="str">
            <v>00680L</v>
          </cell>
          <cell r="B838" t="str">
            <v>元大美債20正2</v>
          </cell>
          <cell r="C838">
            <v>18.399999999999999</v>
          </cell>
          <cell r="D838">
            <v>12000</v>
          </cell>
        </row>
        <row r="839">
          <cell r="A839" t="str">
            <v>00681R</v>
          </cell>
          <cell r="B839" t="str">
            <v>元大美債20反1</v>
          </cell>
          <cell r="C839">
            <v>19.510000000000002</v>
          </cell>
          <cell r="D839">
            <v>27000</v>
          </cell>
        </row>
        <row r="840">
          <cell r="A840" t="str">
            <v>00682U</v>
          </cell>
          <cell r="B840" t="str">
            <v>元大美元指數</v>
          </cell>
          <cell r="C840">
            <v>17.77</v>
          </cell>
          <cell r="D840">
            <v>94000</v>
          </cell>
        </row>
        <row r="841">
          <cell r="A841" t="str">
            <v>00683L</v>
          </cell>
          <cell r="B841" t="str">
            <v>元大美元指數正2</v>
          </cell>
          <cell r="C841">
            <v>15.99</v>
          </cell>
          <cell r="D841">
            <v>2989000</v>
          </cell>
        </row>
        <row r="842">
          <cell r="A842" t="str">
            <v>00684R</v>
          </cell>
          <cell r="B842" t="str">
            <v>元大美元指數反1</v>
          </cell>
          <cell r="C842">
            <v>21.71</v>
          </cell>
          <cell r="D842">
            <v>1000</v>
          </cell>
        </row>
        <row r="843">
          <cell r="A843" t="str">
            <v>00685L</v>
          </cell>
          <cell r="B843" t="str">
            <v>群益臺灣加權正2</v>
          </cell>
          <cell r="C843">
            <v>11.72</v>
          </cell>
          <cell r="D843">
            <v>656000</v>
          </cell>
        </row>
        <row r="844">
          <cell r="A844" t="str">
            <v>00686R</v>
          </cell>
          <cell r="B844" t="str">
            <v>群益臺灣加權反1</v>
          </cell>
          <cell r="C844">
            <v>9.0299999999999994</v>
          </cell>
          <cell r="D844">
            <v>1811000</v>
          </cell>
        </row>
        <row r="845">
          <cell r="A845" t="str">
            <v>00688L</v>
          </cell>
          <cell r="B845" t="str">
            <v>國泰20年美債正2</v>
          </cell>
          <cell r="C845">
            <v>18.64</v>
          </cell>
          <cell r="D845">
            <v>251000</v>
          </cell>
        </row>
        <row r="846">
          <cell r="A846" t="str">
            <v>00689R</v>
          </cell>
          <cell r="B846" t="str">
            <v>國泰20年美債反1</v>
          </cell>
          <cell r="C846">
            <v>19.77</v>
          </cell>
          <cell r="D846">
            <v>214000</v>
          </cell>
        </row>
        <row r="847">
          <cell r="A847" t="str">
            <v>00690</v>
          </cell>
          <cell r="B847" t="str">
            <v>兆豐藍籌30</v>
          </cell>
          <cell r="C847">
            <v>21.1</v>
          </cell>
          <cell r="D847">
            <v>137874</v>
          </cell>
        </row>
        <row r="848">
          <cell r="A848" t="str">
            <v>00691R</v>
          </cell>
          <cell r="B848" t="str">
            <v>兆豐藍籌30反1</v>
          </cell>
          <cell r="C848">
            <v>18</v>
          </cell>
          <cell r="D848">
            <v>55000</v>
          </cell>
        </row>
        <row r="849">
          <cell r="A849" t="str">
            <v>00692</v>
          </cell>
          <cell r="B849" t="str">
            <v>富邦公司治理</v>
          </cell>
          <cell r="C849">
            <v>20.71</v>
          </cell>
          <cell r="D849">
            <v>978886</v>
          </cell>
        </row>
        <row r="850">
          <cell r="A850" t="str">
            <v>00693U</v>
          </cell>
          <cell r="B850" t="str">
            <v>華頓S&amp;P黃豆</v>
          </cell>
          <cell r="C850">
            <v>19.48</v>
          </cell>
          <cell r="D850">
            <v>604000</v>
          </cell>
        </row>
        <row r="851">
          <cell r="A851" t="str">
            <v>00698L</v>
          </cell>
          <cell r="B851" t="str">
            <v>元大美債7-10正2</v>
          </cell>
          <cell r="C851">
            <v>17.96</v>
          </cell>
          <cell r="D851">
            <v>1000</v>
          </cell>
        </row>
        <row r="852">
          <cell r="A852" t="str">
            <v>00699R</v>
          </cell>
          <cell r="B852" t="str">
            <v>元大美債7-10反1</v>
          </cell>
          <cell r="C852" t="str">
            <v>--</v>
          </cell>
          <cell r="D852">
            <v>0</v>
          </cell>
        </row>
        <row r="853">
          <cell r="A853" t="str">
            <v>00700</v>
          </cell>
          <cell r="B853" t="str">
            <v>富邦H股</v>
          </cell>
          <cell r="C853">
            <v>20.89</v>
          </cell>
          <cell r="D853">
            <v>75000</v>
          </cell>
        </row>
        <row r="854">
          <cell r="A854" t="str">
            <v>00701</v>
          </cell>
          <cell r="B854" t="str">
            <v>國泰臺灣低波動30</v>
          </cell>
          <cell r="C854">
            <v>20.190000000000001</v>
          </cell>
          <cell r="D854">
            <v>319000</v>
          </cell>
        </row>
        <row r="855">
          <cell r="A855" t="str">
            <v>00702</v>
          </cell>
          <cell r="B855" t="str">
            <v>國泰標普低波高息</v>
          </cell>
          <cell r="C855">
            <v>18.940000000000001</v>
          </cell>
          <cell r="D855">
            <v>523000</v>
          </cell>
        </row>
        <row r="856">
          <cell r="A856" t="str">
            <v>00703</v>
          </cell>
          <cell r="B856" t="str">
            <v>台新MSCI中國</v>
          </cell>
          <cell r="C856">
            <v>20.45</v>
          </cell>
          <cell r="D856">
            <v>1147000</v>
          </cell>
        </row>
        <row r="857">
          <cell r="A857" t="str">
            <v>00704L</v>
          </cell>
          <cell r="B857" t="str">
            <v>台新MSCI台灣正2</v>
          </cell>
          <cell r="C857">
            <v>18.95</v>
          </cell>
          <cell r="D857">
            <v>134000</v>
          </cell>
        </row>
        <row r="858">
          <cell r="A858" t="str">
            <v>00705R</v>
          </cell>
          <cell r="B858" t="str">
            <v>台新MSCI台灣反1</v>
          </cell>
          <cell r="C858">
            <v>19.22</v>
          </cell>
          <cell r="D858">
            <v>40000</v>
          </cell>
        </row>
        <row r="859">
          <cell r="A859" t="str">
            <v>00706L</v>
          </cell>
          <cell r="B859" t="str">
            <v>元大S&amp;P日圓正2</v>
          </cell>
          <cell r="C859">
            <v>19.850000000000001</v>
          </cell>
          <cell r="D859">
            <v>247000</v>
          </cell>
        </row>
        <row r="860">
          <cell r="A860" t="str">
            <v>00707R</v>
          </cell>
          <cell r="B860" t="str">
            <v>元大S&amp;P日圓反1</v>
          </cell>
          <cell r="C860">
            <v>19.61</v>
          </cell>
          <cell r="D860">
            <v>2000</v>
          </cell>
        </row>
        <row r="861">
          <cell r="A861" t="str">
            <v>00708L</v>
          </cell>
          <cell r="B861" t="str">
            <v>元大S&amp;P黃金正2</v>
          </cell>
          <cell r="C861">
            <v>19.55</v>
          </cell>
          <cell r="D861">
            <v>1100000</v>
          </cell>
        </row>
        <row r="862">
          <cell r="A862" t="str">
            <v>00709</v>
          </cell>
          <cell r="B862" t="str">
            <v>富邦歐洲</v>
          </cell>
          <cell r="C862">
            <v>19.920000000000002</v>
          </cell>
          <cell r="D862">
            <v>114004</v>
          </cell>
        </row>
        <row r="863">
          <cell r="A863" t="str">
            <v>00710B</v>
          </cell>
          <cell r="B863" t="str">
            <v>FH彭博高收益債</v>
          </cell>
          <cell r="C863" t="str">
            <v>--</v>
          </cell>
          <cell r="D863">
            <v>0</v>
          </cell>
        </row>
        <row r="864">
          <cell r="A864" t="str">
            <v>00711B</v>
          </cell>
          <cell r="B864" t="str">
            <v>FH彭博新興債</v>
          </cell>
          <cell r="C864" t="str">
            <v>--</v>
          </cell>
          <cell r="D864">
            <v>0</v>
          </cell>
        </row>
        <row r="865">
          <cell r="A865" t="str">
            <v>00712</v>
          </cell>
          <cell r="B865" t="str">
            <v>FH富時不動產</v>
          </cell>
          <cell r="C865">
            <v>17.2</v>
          </cell>
          <cell r="D865">
            <v>86000</v>
          </cell>
        </row>
        <row r="866">
          <cell r="A866" t="str">
            <v>00713</v>
          </cell>
          <cell r="B866" t="str">
            <v>元大台灣高息低波</v>
          </cell>
          <cell r="C866">
            <v>29.86</v>
          </cell>
          <cell r="D866">
            <v>252000</v>
          </cell>
        </row>
        <row r="867">
          <cell r="A867" t="str">
            <v>00714</v>
          </cell>
          <cell r="B867" t="str">
            <v>群益道瓊美國地產</v>
          </cell>
          <cell r="C867">
            <v>17.48</v>
          </cell>
          <cell r="D867">
            <v>26000</v>
          </cell>
        </row>
        <row r="868">
          <cell r="A868" t="str">
            <v>00715L</v>
          </cell>
          <cell r="B868" t="str">
            <v>華頓S&amp;P原油正二</v>
          </cell>
          <cell r="C868">
            <v>21.47</v>
          </cell>
          <cell r="D868">
            <v>148000</v>
          </cell>
        </row>
        <row r="869">
          <cell r="A869" t="str">
            <v>00716R</v>
          </cell>
          <cell r="B869" t="str">
            <v>華頓S&amp;P原油反一</v>
          </cell>
          <cell r="C869">
            <v>18.579999999999998</v>
          </cell>
          <cell r="D869">
            <v>165000</v>
          </cell>
        </row>
        <row r="870">
          <cell r="A870" t="str">
            <v>00717</v>
          </cell>
          <cell r="B870" t="str">
            <v>富邦美國特別股</v>
          </cell>
          <cell r="C870">
            <v>18.8</v>
          </cell>
          <cell r="D870">
            <v>436000</v>
          </cell>
        </row>
        <row r="871">
          <cell r="A871" t="str">
            <v>00730</v>
          </cell>
          <cell r="B871" t="str">
            <v>富邦臺灣優質高息</v>
          </cell>
          <cell r="C871">
            <v>19.73</v>
          </cell>
          <cell r="D871">
            <v>149000</v>
          </cell>
        </row>
        <row r="872">
          <cell r="A872" t="str">
            <v>008201</v>
          </cell>
          <cell r="B872" t="str">
            <v>BP上證50</v>
          </cell>
          <cell r="C872">
            <v>101.4</v>
          </cell>
          <cell r="D872">
            <v>48900</v>
          </cell>
        </row>
        <row r="873">
          <cell r="A873" t="str">
            <v>01001T</v>
          </cell>
          <cell r="B873" t="str">
            <v>土銀富邦R1</v>
          </cell>
          <cell r="C873">
            <v>12.85</v>
          </cell>
          <cell r="D873">
            <v>87000</v>
          </cell>
        </row>
        <row r="874">
          <cell r="A874" t="str">
            <v>01002T</v>
          </cell>
          <cell r="B874" t="str">
            <v>土銀國泰R1</v>
          </cell>
          <cell r="C874">
            <v>13.42</v>
          </cell>
          <cell r="D874">
            <v>195000</v>
          </cell>
        </row>
        <row r="875">
          <cell r="A875" t="str">
            <v>01003T</v>
          </cell>
          <cell r="B875" t="str">
            <v>兆豐新光R1</v>
          </cell>
          <cell r="C875">
            <v>14.54</v>
          </cell>
          <cell r="D875">
            <v>1806000</v>
          </cell>
        </row>
        <row r="876">
          <cell r="A876" t="str">
            <v>01004T</v>
          </cell>
          <cell r="B876" t="str">
            <v>土銀富邦R2</v>
          </cell>
          <cell r="C876">
            <v>11.59</v>
          </cell>
          <cell r="D876">
            <v>4000</v>
          </cell>
        </row>
        <row r="877">
          <cell r="A877" t="str">
            <v>01007T</v>
          </cell>
          <cell r="B877" t="str">
            <v>兆豐國泰R2</v>
          </cell>
          <cell r="C877">
            <v>13.37</v>
          </cell>
          <cell r="D877">
            <v>24000</v>
          </cell>
        </row>
        <row r="878">
          <cell r="A878">
            <v>1101</v>
          </cell>
          <cell r="B878" t="str">
            <v>台泥</v>
          </cell>
          <cell r="C878">
            <v>35.6</v>
          </cell>
          <cell r="D878">
            <v>13739138</v>
          </cell>
        </row>
        <row r="879">
          <cell r="A879">
            <v>1102</v>
          </cell>
          <cell r="B879" t="str">
            <v>亞泥</v>
          </cell>
          <cell r="C879">
            <v>27.1</v>
          </cell>
          <cell r="D879">
            <v>5682182</v>
          </cell>
        </row>
        <row r="880">
          <cell r="A880">
            <v>1103</v>
          </cell>
          <cell r="B880" t="str">
            <v>嘉泥</v>
          </cell>
          <cell r="C880">
            <v>12.25</v>
          </cell>
          <cell r="D880">
            <v>798468</v>
          </cell>
        </row>
        <row r="881">
          <cell r="A881">
            <v>1104</v>
          </cell>
          <cell r="B881" t="str">
            <v>環泥</v>
          </cell>
          <cell r="C881">
            <v>21.95</v>
          </cell>
          <cell r="D881">
            <v>503598</v>
          </cell>
        </row>
        <row r="882">
          <cell r="A882">
            <v>1108</v>
          </cell>
          <cell r="B882" t="str">
            <v>幸福</v>
          </cell>
          <cell r="C882">
            <v>8.06</v>
          </cell>
          <cell r="D882">
            <v>112000</v>
          </cell>
        </row>
        <row r="883">
          <cell r="A883">
            <v>1109</v>
          </cell>
          <cell r="B883" t="str">
            <v>信大</v>
          </cell>
          <cell r="C883">
            <v>13.5</v>
          </cell>
          <cell r="D883">
            <v>69193</v>
          </cell>
        </row>
        <row r="884">
          <cell r="A884">
            <v>1110</v>
          </cell>
          <cell r="B884" t="str">
            <v>東泥</v>
          </cell>
          <cell r="C884">
            <v>13.9</v>
          </cell>
          <cell r="D884">
            <v>70300</v>
          </cell>
        </row>
        <row r="885">
          <cell r="A885">
            <v>1201</v>
          </cell>
          <cell r="B885" t="str">
            <v>味全</v>
          </cell>
          <cell r="C885">
            <v>21.75</v>
          </cell>
          <cell r="D885">
            <v>2250065</v>
          </cell>
        </row>
        <row r="886">
          <cell r="A886">
            <v>1203</v>
          </cell>
          <cell r="B886" t="str">
            <v>味王</v>
          </cell>
          <cell r="C886">
            <v>25.9</v>
          </cell>
          <cell r="D886">
            <v>73734</v>
          </cell>
        </row>
        <row r="887">
          <cell r="A887">
            <v>1210</v>
          </cell>
          <cell r="B887" t="str">
            <v>大成</v>
          </cell>
          <cell r="C887">
            <v>32.450000000000003</v>
          </cell>
          <cell r="D887">
            <v>818432</v>
          </cell>
        </row>
        <row r="888">
          <cell r="A888">
            <v>1213</v>
          </cell>
          <cell r="B888" t="str">
            <v>大飲</v>
          </cell>
          <cell r="C888">
            <v>15.25</v>
          </cell>
          <cell r="D888">
            <v>31300</v>
          </cell>
        </row>
        <row r="889">
          <cell r="A889">
            <v>1215</v>
          </cell>
          <cell r="B889" t="str">
            <v>卜蜂</v>
          </cell>
          <cell r="C889">
            <v>65</v>
          </cell>
          <cell r="D889">
            <v>847220</v>
          </cell>
        </row>
        <row r="890">
          <cell r="A890">
            <v>1216</v>
          </cell>
          <cell r="B890" t="str">
            <v>統一</v>
          </cell>
          <cell r="C890">
            <v>66</v>
          </cell>
          <cell r="D890">
            <v>8699275</v>
          </cell>
        </row>
        <row r="891">
          <cell r="A891">
            <v>1217</v>
          </cell>
          <cell r="B891" t="str">
            <v>愛之味</v>
          </cell>
          <cell r="C891">
            <v>7.05</v>
          </cell>
          <cell r="D891">
            <v>1705570</v>
          </cell>
        </row>
        <row r="892">
          <cell r="A892">
            <v>1218</v>
          </cell>
          <cell r="B892" t="str">
            <v>泰山</v>
          </cell>
          <cell r="C892">
            <v>16.350000000000001</v>
          </cell>
          <cell r="D892">
            <v>3521342</v>
          </cell>
        </row>
        <row r="893">
          <cell r="A893">
            <v>1219</v>
          </cell>
          <cell r="B893" t="str">
            <v>福壽</v>
          </cell>
          <cell r="C893">
            <v>17.399999999999999</v>
          </cell>
          <cell r="D893">
            <v>29173</v>
          </cell>
        </row>
        <row r="894">
          <cell r="A894">
            <v>1220</v>
          </cell>
          <cell r="B894" t="str">
            <v>台榮</v>
          </cell>
          <cell r="C894">
            <v>10.45</v>
          </cell>
          <cell r="D894">
            <v>160002</v>
          </cell>
        </row>
        <row r="895">
          <cell r="A895">
            <v>1225</v>
          </cell>
          <cell r="B895" t="str">
            <v>福懋油</v>
          </cell>
          <cell r="C895">
            <v>71.7</v>
          </cell>
          <cell r="D895">
            <v>165915</v>
          </cell>
        </row>
        <row r="896">
          <cell r="A896">
            <v>1227</v>
          </cell>
          <cell r="B896" t="str">
            <v>佳格</v>
          </cell>
          <cell r="C896">
            <v>68.8</v>
          </cell>
          <cell r="D896">
            <v>1415694</v>
          </cell>
        </row>
        <row r="897">
          <cell r="A897">
            <v>1229</v>
          </cell>
          <cell r="B897" t="str">
            <v>聯華</v>
          </cell>
          <cell r="C897">
            <v>37.9</v>
          </cell>
          <cell r="D897">
            <v>3678595</v>
          </cell>
        </row>
        <row r="898">
          <cell r="A898">
            <v>1231</v>
          </cell>
          <cell r="B898" t="str">
            <v>聯華食</v>
          </cell>
          <cell r="C898">
            <v>33.799999999999997</v>
          </cell>
          <cell r="D898">
            <v>286524</v>
          </cell>
        </row>
        <row r="899">
          <cell r="A899">
            <v>1232</v>
          </cell>
          <cell r="B899" t="str">
            <v>大統益</v>
          </cell>
          <cell r="C899">
            <v>90.5</v>
          </cell>
          <cell r="D899">
            <v>42441</v>
          </cell>
        </row>
        <row r="900">
          <cell r="A900">
            <v>1233</v>
          </cell>
          <cell r="B900" t="str">
            <v>天仁</v>
          </cell>
          <cell r="C900">
            <v>34.9</v>
          </cell>
          <cell r="D900">
            <v>22300</v>
          </cell>
        </row>
        <row r="901">
          <cell r="A901">
            <v>1234</v>
          </cell>
          <cell r="B901" t="str">
            <v>黑松</v>
          </cell>
          <cell r="C901">
            <v>30.55</v>
          </cell>
          <cell r="D901">
            <v>189515</v>
          </cell>
        </row>
        <row r="902">
          <cell r="A902">
            <v>1235</v>
          </cell>
          <cell r="B902" t="str">
            <v>興泰</v>
          </cell>
          <cell r="C902">
            <v>32.85</v>
          </cell>
          <cell r="D902">
            <v>151010</v>
          </cell>
        </row>
        <row r="903">
          <cell r="A903">
            <v>1236</v>
          </cell>
          <cell r="B903" t="str">
            <v>宏亞</v>
          </cell>
          <cell r="C903">
            <v>17.399999999999999</v>
          </cell>
          <cell r="D903">
            <v>16006</v>
          </cell>
        </row>
        <row r="904">
          <cell r="A904">
            <v>1256</v>
          </cell>
          <cell r="B904" t="str">
            <v>鮮活果汁-KY</v>
          </cell>
          <cell r="C904">
            <v>140.5</v>
          </cell>
          <cell r="D904">
            <v>57000</v>
          </cell>
        </row>
        <row r="905">
          <cell r="A905">
            <v>1262</v>
          </cell>
          <cell r="B905" t="str">
            <v>綠悅-KY</v>
          </cell>
          <cell r="C905">
            <v>51.9</v>
          </cell>
          <cell r="D905">
            <v>2203100</v>
          </cell>
        </row>
        <row r="906">
          <cell r="A906">
            <v>1301</v>
          </cell>
          <cell r="B906" t="str">
            <v>台塑</v>
          </cell>
          <cell r="C906">
            <v>97.8</v>
          </cell>
          <cell r="D906">
            <v>14136932</v>
          </cell>
        </row>
        <row r="907">
          <cell r="A907">
            <v>1303</v>
          </cell>
          <cell r="B907" t="str">
            <v>南亞</v>
          </cell>
          <cell r="C907">
            <v>76</v>
          </cell>
          <cell r="D907">
            <v>11548995</v>
          </cell>
        </row>
        <row r="908">
          <cell r="A908">
            <v>1304</v>
          </cell>
          <cell r="B908" t="str">
            <v>台聚</v>
          </cell>
          <cell r="C908">
            <v>14.55</v>
          </cell>
          <cell r="D908">
            <v>1176412</v>
          </cell>
        </row>
        <row r="909">
          <cell r="A909">
            <v>1305</v>
          </cell>
          <cell r="B909" t="str">
            <v>華夏</v>
          </cell>
          <cell r="C909">
            <v>30.85</v>
          </cell>
          <cell r="D909">
            <v>5110103</v>
          </cell>
        </row>
        <row r="910">
          <cell r="A910">
            <v>1307</v>
          </cell>
          <cell r="B910" t="str">
            <v>三芳</v>
          </cell>
          <cell r="C910">
            <v>32.25</v>
          </cell>
          <cell r="D910">
            <v>127415</v>
          </cell>
        </row>
        <row r="911">
          <cell r="A911">
            <v>1308</v>
          </cell>
          <cell r="B911" t="str">
            <v>亞聚</v>
          </cell>
          <cell r="C911">
            <v>17.2</v>
          </cell>
          <cell r="D911">
            <v>890134</v>
          </cell>
        </row>
        <row r="912">
          <cell r="A912">
            <v>1309</v>
          </cell>
          <cell r="B912" t="str">
            <v>台達化</v>
          </cell>
          <cell r="C912">
            <v>12.75</v>
          </cell>
          <cell r="D912">
            <v>1867680</v>
          </cell>
        </row>
        <row r="913">
          <cell r="A913">
            <v>1310</v>
          </cell>
          <cell r="B913" t="str">
            <v>台苯</v>
          </cell>
          <cell r="C913">
            <v>20</v>
          </cell>
          <cell r="D913">
            <v>2133305</v>
          </cell>
        </row>
        <row r="914">
          <cell r="A914">
            <v>1312</v>
          </cell>
          <cell r="B914" t="str">
            <v>國喬</v>
          </cell>
          <cell r="C914">
            <v>27.1</v>
          </cell>
          <cell r="D914">
            <v>6473120</v>
          </cell>
        </row>
        <row r="915">
          <cell r="A915" t="str">
            <v>1312A</v>
          </cell>
          <cell r="B915" t="str">
            <v>國喬特</v>
          </cell>
          <cell r="C915">
            <v>32.6</v>
          </cell>
          <cell r="D915">
            <v>31000</v>
          </cell>
        </row>
        <row r="916">
          <cell r="A916">
            <v>1313</v>
          </cell>
          <cell r="B916" t="str">
            <v>聯成</v>
          </cell>
          <cell r="C916">
            <v>17.399999999999999</v>
          </cell>
          <cell r="D916">
            <v>3303729</v>
          </cell>
        </row>
        <row r="917">
          <cell r="A917">
            <v>1314</v>
          </cell>
          <cell r="B917" t="str">
            <v>中石化</v>
          </cell>
          <cell r="C917">
            <v>13.85</v>
          </cell>
          <cell r="D917">
            <v>41929161</v>
          </cell>
        </row>
        <row r="918">
          <cell r="A918">
            <v>1315</v>
          </cell>
          <cell r="B918" t="str">
            <v>達新</v>
          </cell>
          <cell r="C918">
            <v>25.7</v>
          </cell>
          <cell r="D918">
            <v>11001</v>
          </cell>
        </row>
        <row r="919">
          <cell r="A919">
            <v>1316</v>
          </cell>
          <cell r="B919" t="str">
            <v>上曜</v>
          </cell>
          <cell r="C919">
            <v>17.5</v>
          </cell>
          <cell r="D919">
            <v>2664411</v>
          </cell>
        </row>
        <row r="920">
          <cell r="A920">
            <v>1319</v>
          </cell>
          <cell r="B920" t="str">
            <v>東陽</v>
          </cell>
          <cell r="C920">
            <v>51</v>
          </cell>
          <cell r="D920">
            <v>1656009</v>
          </cell>
        </row>
        <row r="921">
          <cell r="A921">
            <v>1321</v>
          </cell>
          <cell r="B921" t="str">
            <v>大洋</v>
          </cell>
          <cell r="C921">
            <v>27.9</v>
          </cell>
          <cell r="D921">
            <v>253000</v>
          </cell>
        </row>
        <row r="922">
          <cell r="A922">
            <v>1323</v>
          </cell>
          <cell r="B922" t="str">
            <v>永裕</v>
          </cell>
          <cell r="C922">
            <v>33.1</v>
          </cell>
          <cell r="D922">
            <v>289000</v>
          </cell>
        </row>
        <row r="923">
          <cell r="A923">
            <v>1324</v>
          </cell>
          <cell r="B923" t="str">
            <v>地球</v>
          </cell>
          <cell r="C923">
            <v>12</v>
          </cell>
          <cell r="D923">
            <v>12719</v>
          </cell>
        </row>
        <row r="924">
          <cell r="A924">
            <v>1325</v>
          </cell>
          <cell r="B924" t="str">
            <v>恆大</v>
          </cell>
          <cell r="C924">
            <v>19.100000000000001</v>
          </cell>
          <cell r="D924">
            <v>37500</v>
          </cell>
        </row>
        <row r="925">
          <cell r="A925">
            <v>1326</v>
          </cell>
          <cell r="B925" t="str">
            <v>台化</v>
          </cell>
          <cell r="C925">
            <v>105.5</v>
          </cell>
          <cell r="D925">
            <v>10896973</v>
          </cell>
        </row>
        <row r="926">
          <cell r="A926">
            <v>1337</v>
          </cell>
          <cell r="B926" t="str">
            <v>再生-KY</v>
          </cell>
          <cell r="C926">
            <v>11.85</v>
          </cell>
          <cell r="D926">
            <v>1256664</v>
          </cell>
        </row>
        <row r="927">
          <cell r="A927">
            <v>1338</v>
          </cell>
          <cell r="B927" t="str">
            <v>廣華-KY</v>
          </cell>
          <cell r="C927">
            <v>100.5</v>
          </cell>
          <cell r="D927">
            <v>636265</v>
          </cell>
        </row>
        <row r="928">
          <cell r="A928">
            <v>1339</v>
          </cell>
          <cell r="B928" t="str">
            <v>昭輝</v>
          </cell>
          <cell r="C928">
            <v>39.799999999999997</v>
          </cell>
          <cell r="D928">
            <v>230000</v>
          </cell>
        </row>
        <row r="929">
          <cell r="A929">
            <v>1340</v>
          </cell>
          <cell r="B929" t="str">
            <v>勝悅-KY</v>
          </cell>
          <cell r="C929">
            <v>42.35</v>
          </cell>
          <cell r="D929">
            <v>734130</v>
          </cell>
        </row>
        <row r="930">
          <cell r="A930">
            <v>1402</v>
          </cell>
          <cell r="B930" t="str">
            <v>遠東新</v>
          </cell>
          <cell r="C930">
            <v>24.35</v>
          </cell>
          <cell r="D930">
            <v>9456358</v>
          </cell>
        </row>
        <row r="931">
          <cell r="A931">
            <v>1409</v>
          </cell>
          <cell r="B931" t="str">
            <v>新纖</v>
          </cell>
          <cell r="C931">
            <v>8.9700000000000006</v>
          </cell>
          <cell r="D931">
            <v>2241525</v>
          </cell>
        </row>
        <row r="932">
          <cell r="A932">
            <v>1410</v>
          </cell>
          <cell r="B932" t="str">
            <v>南染</v>
          </cell>
          <cell r="C932">
            <v>22.6</v>
          </cell>
          <cell r="D932">
            <v>81209</v>
          </cell>
        </row>
        <row r="933">
          <cell r="A933">
            <v>1413</v>
          </cell>
          <cell r="B933" t="str">
            <v>宏洲</v>
          </cell>
          <cell r="C933">
            <v>9.16</v>
          </cell>
          <cell r="D933">
            <v>1377296</v>
          </cell>
        </row>
        <row r="934">
          <cell r="A934">
            <v>1414</v>
          </cell>
          <cell r="B934" t="str">
            <v>東和</v>
          </cell>
          <cell r="C934">
            <v>7.09</v>
          </cell>
          <cell r="D934">
            <v>518866</v>
          </cell>
        </row>
        <row r="935">
          <cell r="A935">
            <v>1416</v>
          </cell>
          <cell r="B935" t="str">
            <v>廣豐</v>
          </cell>
          <cell r="C935">
            <v>15</v>
          </cell>
          <cell r="D935">
            <v>108956</v>
          </cell>
        </row>
        <row r="936">
          <cell r="A936">
            <v>1417</v>
          </cell>
          <cell r="B936" t="str">
            <v>嘉裕</v>
          </cell>
          <cell r="C936">
            <v>4.57</v>
          </cell>
          <cell r="D936">
            <v>520575</v>
          </cell>
        </row>
        <row r="937">
          <cell r="A937">
            <v>1418</v>
          </cell>
          <cell r="B937" t="str">
            <v>東華</v>
          </cell>
          <cell r="C937">
            <v>9.18</v>
          </cell>
          <cell r="D937">
            <v>1053</v>
          </cell>
        </row>
        <row r="938">
          <cell r="A938">
            <v>1419</v>
          </cell>
          <cell r="B938" t="str">
            <v>新紡</v>
          </cell>
          <cell r="C938">
            <v>43</v>
          </cell>
          <cell r="D938">
            <v>341002</v>
          </cell>
        </row>
        <row r="939">
          <cell r="A939">
            <v>1423</v>
          </cell>
          <cell r="B939" t="str">
            <v>利華</v>
          </cell>
          <cell r="C939">
            <v>7.96</v>
          </cell>
          <cell r="D939">
            <v>451741</v>
          </cell>
        </row>
        <row r="940">
          <cell r="A940">
            <v>1432</v>
          </cell>
          <cell r="B940" t="str">
            <v>大魯閣</v>
          </cell>
          <cell r="C940">
            <v>11.75</v>
          </cell>
          <cell r="D940">
            <v>323000</v>
          </cell>
        </row>
        <row r="941">
          <cell r="A941">
            <v>1434</v>
          </cell>
          <cell r="B941" t="str">
            <v>福懋</v>
          </cell>
          <cell r="C941">
            <v>30.3</v>
          </cell>
          <cell r="D941">
            <v>1383164</v>
          </cell>
        </row>
        <row r="942">
          <cell r="A942">
            <v>1435</v>
          </cell>
          <cell r="B942" t="str">
            <v>中福</v>
          </cell>
          <cell r="C942">
            <v>5.3</v>
          </cell>
          <cell r="D942">
            <v>137189</v>
          </cell>
        </row>
        <row r="943">
          <cell r="A943">
            <v>1436</v>
          </cell>
          <cell r="B943" t="str">
            <v>華友聯</v>
          </cell>
          <cell r="C943">
            <v>40</v>
          </cell>
          <cell r="D943">
            <v>41000</v>
          </cell>
        </row>
        <row r="944">
          <cell r="A944">
            <v>1437</v>
          </cell>
          <cell r="B944" t="str">
            <v>勤益控</v>
          </cell>
          <cell r="C944">
            <v>17.100000000000001</v>
          </cell>
          <cell r="D944">
            <v>201050</v>
          </cell>
        </row>
        <row r="945">
          <cell r="A945">
            <v>1438</v>
          </cell>
          <cell r="B945" t="str">
            <v>裕豐</v>
          </cell>
          <cell r="C945">
            <v>5.13</v>
          </cell>
          <cell r="D945">
            <v>53000</v>
          </cell>
        </row>
        <row r="946">
          <cell r="A946">
            <v>1439</v>
          </cell>
          <cell r="B946" t="str">
            <v>中和</v>
          </cell>
          <cell r="C946">
            <v>20.8</v>
          </cell>
          <cell r="D946">
            <v>561000</v>
          </cell>
        </row>
        <row r="947">
          <cell r="A947">
            <v>1440</v>
          </cell>
          <cell r="B947" t="str">
            <v>南紡</v>
          </cell>
          <cell r="C947">
            <v>13.05</v>
          </cell>
          <cell r="D947">
            <v>1107649</v>
          </cell>
        </row>
        <row r="948">
          <cell r="A948">
            <v>1441</v>
          </cell>
          <cell r="B948" t="str">
            <v>大東</v>
          </cell>
          <cell r="C948">
            <v>7.06</v>
          </cell>
          <cell r="D948">
            <v>69856</v>
          </cell>
        </row>
        <row r="949">
          <cell r="A949">
            <v>1442</v>
          </cell>
          <cell r="B949" t="str">
            <v>名軒</v>
          </cell>
          <cell r="C949">
            <v>18.25</v>
          </cell>
          <cell r="D949">
            <v>199496</v>
          </cell>
        </row>
        <row r="950">
          <cell r="A950">
            <v>1443</v>
          </cell>
          <cell r="B950" t="str">
            <v>立益</v>
          </cell>
          <cell r="C950" t="str">
            <v>--</v>
          </cell>
          <cell r="D950">
            <v>54</v>
          </cell>
        </row>
        <row r="951">
          <cell r="A951">
            <v>1444</v>
          </cell>
          <cell r="B951" t="str">
            <v>力麗</v>
          </cell>
          <cell r="C951">
            <v>10.65</v>
          </cell>
          <cell r="D951">
            <v>7948040</v>
          </cell>
        </row>
        <row r="952">
          <cell r="A952">
            <v>1445</v>
          </cell>
          <cell r="B952" t="str">
            <v>大宇</v>
          </cell>
          <cell r="C952">
            <v>8.15</v>
          </cell>
          <cell r="D952">
            <v>463500</v>
          </cell>
        </row>
        <row r="953">
          <cell r="A953">
            <v>1446</v>
          </cell>
          <cell r="B953" t="str">
            <v>宏和</v>
          </cell>
          <cell r="C953">
            <v>20.65</v>
          </cell>
          <cell r="D953">
            <v>42000</v>
          </cell>
        </row>
        <row r="954">
          <cell r="A954">
            <v>1447</v>
          </cell>
          <cell r="B954" t="str">
            <v>力鵬</v>
          </cell>
          <cell r="C954">
            <v>7.83</v>
          </cell>
          <cell r="D954">
            <v>1536292</v>
          </cell>
        </row>
        <row r="955">
          <cell r="A955">
            <v>1449</v>
          </cell>
          <cell r="B955" t="str">
            <v>佳和</v>
          </cell>
          <cell r="C955">
            <v>4.9000000000000004</v>
          </cell>
          <cell r="D955">
            <v>50087</v>
          </cell>
        </row>
        <row r="956">
          <cell r="A956">
            <v>1451</v>
          </cell>
          <cell r="B956" t="str">
            <v>年興</v>
          </cell>
          <cell r="C956">
            <v>23.35</v>
          </cell>
          <cell r="D956">
            <v>182215</v>
          </cell>
        </row>
        <row r="957">
          <cell r="A957">
            <v>1452</v>
          </cell>
          <cell r="B957" t="str">
            <v>宏益</v>
          </cell>
          <cell r="C957">
            <v>20.25</v>
          </cell>
          <cell r="D957">
            <v>635000</v>
          </cell>
        </row>
        <row r="958">
          <cell r="A958">
            <v>1453</v>
          </cell>
          <cell r="B958" t="str">
            <v>大將</v>
          </cell>
          <cell r="C958">
            <v>9.6</v>
          </cell>
          <cell r="D958">
            <v>47140</v>
          </cell>
        </row>
        <row r="959">
          <cell r="A959">
            <v>1454</v>
          </cell>
          <cell r="B959" t="str">
            <v>台富</v>
          </cell>
          <cell r="C959">
            <v>8.19</v>
          </cell>
          <cell r="D959">
            <v>130072</v>
          </cell>
        </row>
        <row r="960">
          <cell r="A960">
            <v>1455</v>
          </cell>
          <cell r="B960" t="str">
            <v>集盛</v>
          </cell>
          <cell r="C960">
            <v>10.25</v>
          </cell>
          <cell r="D960">
            <v>3438548</v>
          </cell>
        </row>
        <row r="961">
          <cell r="A961">
            <v>1456</v>
          </cell>
          <cell r="B961" t="str">
            <v>怡華</v>
          </cell>
          <cell r="C961">
            <v>9.8800000000000008</v>
          </cell>
          <cell r="D961">
            <v>33000</v>
          </cell>
        </row>
        <row r="962">
          <cell r="A962">
            <v>1457</v>
          </cell>
          <cell r="B962" t="str">
            <v>宜進</v>
          </cell>
          <cell r="C962">
            <v>12.85</v>
          </cell>
          <cell r="D962">
            <v>2733403</v>
          </cell>
        </row>
        <row r="963">
          <cell r="A963">
            <v>1459</v>
          </cell>
          <cell r="B963" t="str">
            <v>聯發</v>
          </cell>
          <cell r="C963">
            <v>8.4</v>
          </cell>
          <cell r="D963">
            <v>258200</v>
          </cell>
        </row>
        <row r="964">
          <cell r="A964">
            <v>1460</v>
          </cell>
          <cell r="B964" t="str">
            <v>宏遠</v>
          </cell>
          <cell r="C964">
            <v>13.8</v>
          </cell>
          <cell r="D964">
            <v>474680</v>
          </cell>
        </row>
        <row r="965">
          <cell r="A965">
            <v>1463</v>
          </cell>
          <cell r="B965" t="str">
            <v>強盛</v>
          </cell>
          <cell r="C965">
            <v>20.75</v>
          </cell>
          <cell r="D965">
            <v>1344146</v>
          </cell>
        </row>
        <row r="966">
          <cell r="A966">
            <v>1464</v>
          </cell>
          <cell r="B966" t="str">
            <v>得力</v>
          </cell>
          <cell r="C966">
            <v>23.7</v>
          </cell>
          <cell r="D966">
            <v>514935</v>
          </cell>
        </row>
        <row r="967">
          <cell r="A967">
            <v>1465</v>
          </cell>
          <cell r="B967" t="str">
            <v>偉全</v>
          </cell>
          <cell r="C967">
            <v>14.7</v>
          </cell>
          <cell r="D967">
            <v>71000</v>
          </cell>
        </row>
        <row r="968">
          <cell r="A968">
            <v>1466</v>
          </cell>
          <cell r="B968" t="str">
            <v>聚隆</v>
          </cell>
          <cell r="C968">
            <v>10.9</v>
          </cell>
          <cell r="D968">
            <v>10001</v>
          </cell>
        </row>
        <row r="969">
          <cell r="A969">
            <v>1467</v>
          </cell>
          <cell r="B969" t="str">
            <v>南緯</v>
          </cell>
          <cell r="C969">
            <v>12</v>
          </cell>
          <cell r="D969">
            <v>613001</v>
          </cell>
        </row>
        <row r="970">
          <cell r="A970">
            <v>1468</v>
          </cell>
          <cell r="B970" t="str">
            <v>昶和</v>
          </cell>
          <cell r="C970">
            <v>9.31</v>
          </cell>
          <cell r="D970">
            <v>47000</v>
          </cell>
        </row>
        <row r="971">
          <cell r="A971">
            <v>1469</v>
          </cell>
          <cell r="B971" t="str">
            <v>理隆</v>
          </cell>
          <cell r="C971">
            <v>12.8</v>
          </cell>
          <cell r="D971">
            <v>18638</v>
          </cell>
        </row>
        <row r="972">
          <cell r="A972">
            <v>1470</v>
          </cell>
          <cell r="B972" t="str">
            <v>大統染</v>
          </cell>
          <cell r="C972" t="str">
            <v>--</v>
          </cell>
          <cell r="D972">
            <v>0</v>
          </cell>
        </row>
        <row r="973">
          <cell r="A973">
            <v>1471</v>
          </cell>
          <cell r="B973" t="str">
            <v>首利</v>
          </cell>
          <cell r="C973">
            <v>7</v>
          </cell>
          <cell r="D973">
            <v>663457</v>
          </cell>
        </row>
        <row r="974">
          <cell r="A974">
            <v>1472</v>
          </cell>
          <cell r="B974" t="str">
            <v>三洋紡</v>
          </cell>
          <cell r="C974">
            <v>28.5</v>
          </cell>
          <cell r="D974">
            <v>98160</v>
          </cell>
        </row>
        <row r="975">
          <cell r="A975">
            <v>1473</v>
          </cell>
          <cell r="B975" t="str">
            <v>台南</v>
          </cell>
          <cell r="C975">
            <v>22.75</v>
          </cell>
          <cell r="D975">
            <v>265000</v>
          </cell>
        </row>
        <row r="976">
          <cell r="A976">
            <v>1474</v>
          </cell>
          <cell r="B976" t="str">
            <v>弘裕</v>
          </cell>
          <cell r="C976">
            <v>11</v>
          </cell>
          <cell r="D976">
            <v>118816</v>
          </cell>
        </row>
        <row r="977">
          <cell r="A977">
            <v>1475</v>
          </cell>
          <cell r="B977" t="str">
            <v>本盟</v>
          </cell>
          <cell r="C977">
            <v>45.7</v>
          </cell>
          <cell r="D977">
            <v>12963</v>
          </cell>
        </row>
        <row r="978">
          <cell r="A978">
            <v>1476</v>
          </cell>
          <cell r="B978" t="str">
            <v>儒鴻</v>
          </cell>
          <cell r="C978">
            <v>305</v>
          </cell>
          <cell r="D978">
            <v>3586925</v>
          </cell>
        </row>
        <row r="979">
          <cell r="A979">
            <v>1477</v>
          </cell>
          <cell r="B979" t="str">
            <v>聚陽</v>
          </cell>
          <cell r="C979">
            <v>128.5</v>
          </cell>
          <cell r="D979">
            <v>573517</v>
          </cell>
        </row>
        <row r="980">
          <cell r="A980">
            <v>1503</v>
          </cell>
          <cell r="B980" t="str">
            <v>士電</v>
          </cell>
          <cell r="C980">
            <v>40.1</v>
          </cell>
          <cell r="D980">
            <v>35001</v>
          </cell>
        </row>
        <row r="981">
          <cell r="A981">
            <v>1504</v>
          </cell>
          <cell r="B981" t="str">
            <v>東元</v>
          </cell>
          <cell r="C981">
            <v>24.95</v>
          </cell>
          <cell r="D981">
            <v>4522835</v>
          </cell>
        </row>
        <row r="982">
          <cell r="A982">
            <v>1506</v>
          </cell>
          <cell r="B982" t="str">
            <v>正道</v>
          </cell>
          <cell r="C982">
            <v>21</v>
          </cell>
          <cell r="D982">
            <v>155001</v>
          </cell>
        </row>
        <row r="983">
          <cell r="A983">
            <v>1507</v>
          </cell>
          <cell r="B983" t="str">
            <v>永大</v>
          </cell>
          <cell r="C983">
            <v>55.2</v>
          </cell>
          <cell r="D983">
            <v>838363</v>
          </cell>
        </row>
        <row r="984">
          <cell r="A984">
            <v>1512</v>
          </cell>
          <cell r="B984" t="str">
            <v>瑞利</v>
          </cell>
          <cell r="C984">
            <v>10.8</v>
          </cell>
          <cell r="D984">
            <v>438005</v>
          </cell>
        </row>
        <row r="985">
          <cell r="A985">
            <v>1513</v>
          </cell>
          <cell r="B985" t="str">
            <v>中興電</v>
          </cell>
          <cell r="C985">
            <v>20.05</v>
          </cell>
          <cell r="D985">
            <v>1097847</v>
          </cell>
        </row>
        <row r="986">
          <cell r="A986">
            <v>1514</v>
          </cell>
          <cell r="B986" t="str">
            <v>亞力</v>
          </cell>
          <cell r="C986">
            <v>10.95</v>
          </cell>
          <cell r="D986">
            <v>745301</v>
          </cell>
        </row>
        <row r="987">
          <cell r="A987">
            <v>1515</v>
          </cell>
          <cell r="B987" t="str">
            <v>力山</v>
          </cell>
          <cell r="C987">
            <v>38.950000000000003</v>
          </cell>
          <cell r="D987">
            <v>3720601</v>
          </cell>
        </row>
        <row r="988">
          <cell r="A988">
            <v>1516</v>
          </cell>
          <cell r="B988" t="str">
            <v>川飛</v>
          </cell>
          <cell r="C988">
            <v>19.45</v>
          </cell>
          <cell r="D988">
            <v>32000</v>
          </cell>
        </row>
        <row r="989">
          <cell r="A989">
            <v>1517</v>
          </cell>
          <cell r="B989" t="str">
            <v>利奇</v>
          </cell>
          <cell r="C989">
            <v>10.45</v>
          </cell>
          <cell r="D989">
            <v>306068</v>
          </cell>
        </row>
        <row r="990">
          <cell r="A990">
            <v>1519</v>
          </cell>
          <cell r="B990" t="str">
            <v>華城</v>
          </cell>
          <cell r="C990">
            <v>20.100000000000001</v>
          </cell>
          <cell r="D990">
            <v>440000</v>
          </cell>
        </row>
        <row r="991">
          <cell r="A991">
            <v>1521</v>
          </cell>
          <cell r="B991" t="str">
            <v>大億</v>
          </cell>
          <cell r="C991">
            <v>76.7</v>
          </cell>
          <cell r="D991">
            <v>134000</v>
          </cell>
        </row>
        <row r="992">
          <cell r="A992">
            <v>1522</v>
          </cell>
          <cell r="B992" t="str">
            <v>堤維西</v>
          </cell>
          <cell r="C992">
            <v>28.1</v>
          </cell>
          <cell r="D992">
            <v>1233500</v>
          </cell>
        </row>
        <row r="993">
          <cell r="A993">
            <v>1524</v>
          </cell>
          <cell r="B993" t="str">
            <v>耿鼎</v>
          </cell>
          <cell r="C993">
            <v>10.050000000000001</v>
          </cell>
          <cell r="D993">
            <v>1142085</v>
          </cell>
        </row>
        <row r="994">
          <cell r="A994">
            <v>1525</v>
          </cell>
          <cell r="B994" t="str">
            <v>江申</v>
          </cell>
          <cell r="C994">
            <v>80.8</v>
          </cell>
          <cell r="D994">
            <v>189558</v>
          </cell>
        </row>
        <row r="995">
          <cell r="A995">
            <v>1526</v>
          </cell>
          <cell r="B995" t="str">
            <v>日馳</v>
          </cell>
          <cell r="C995">
            <v>78.8</v>
          </cell>
          <cell r="D995">
            <v>1124222</v>
          </cell>
        </row>
        <row r="996">
          <cell r="A996">
            <v>1527</v>
          </cell>
          <cell r="B996" t="str">
            <v>鑽全</v>
          </cell>
          <cell r="C996">
            <v>60.9</v>
          </cell>
          <cell r="D996">
            <v>271201</v>
          </cell>
        </row>
        <row r="997">
          <cell r="A997">
            <v>1528</v>
          </cell>
          <cell r="B997" t="str">
            <v>恩德</v>
          </cell>
          <cell r="C997">
            <v>13.85</v>
          </cell>
          <cell r="D997">
            <v>964000</v>
          </cell>
        </row>
        <row r="998">
          <cell r="A998">
            <v>1529</v>
          </cell>
          <cell r="B998" t="str">
            <v>樂士</v>
          </cell>
          <cell r="C998">
            <v>3.52</v>
          </cell>
          <cell r="D998">
            <v>215006</v>
          </cell>
        </row>
        <row r="999">
          <cell r="A999">
            <v>1530</v>
          </cell>
          <cell r="B999" t="str">
            <v>亞崴</v>
          </cell>
          <cell r="C999">
            <v>31.75</v>
          </cell>
          <cell r="D999">
            <v>27302</v>
          </cell>
        </row>
        <row r="1000">
          <cell r="A1000">
            <v>1531</v>
          </cell>
          <cell r="B1000" t="str">
            <v>高林股</v>
          </cell>
          <cell r="C1000">
            <v>21.4</v>
          </cell>
          <cell r="D1000">
            <v>2062139</v>
          </cell>
        </row>
        <row r="1001">
          <cell r="A1001">
            <v>1532</v>
          </cell>
          <cell r="B1001" t="str">
            <v>勤美</v>
          </cell>
          <cell r="C1001">
            <v>27.35</v>
          </cell>
          <cell r="D1001">
            <v>241020</v>
          </cell>
        </row>
        <row r="1002">
          <cell r="A1002">
            <v>1533</v>
          </cell>
          <cell r="B1002" t="str">
            <v>車王電</v>
          </cell>
          <cell r="C1002">
            <v>37</v>
          </cell>
          <cell r="D1002">
            <v>170080</v>
          </cell>
        </row>
        <row r="1003">
          <cell r="A1003">
            <v>1535</v>
          </cell>
          <cell r="B1003" t="str">
            <v>中宇</v>
          </cell>
          <cell r="C1003">
            <v>42.75</v>
          </cell>
          <cell r="D1003">
            <v>361021</v>
          </cell>
        </row>
        <row r="1004">
          <cell r="A1004">
            <v>1536</v>
          </cell>
          <cell r="B1004" t="str">
            <v>和大</v>
          </cell>
          <cell r="C1004">
            <v>123</v>
          </cell>
          <cell r="D1004">
            <v>2579212</v>
          </cell>
        </row>
        <row r="1005">
          <cell r="A1005">
            <v>1537</v>
          </cell>
          <cell r="B1005" t="str">
            <v>廣隆</v>
          </cell>
          <cell r="C1005">
            <v>138</v>
          </cell>
          <cell r="D1005">
            <v>230001</v>
          </cell>
        </row>
        <row r="1006">
          <cell r="A1006">
            <v>1538</v>
          </cell>
          <cell r="B1006" t="str">
            <v>正峰新</v>
          </cell>
          <cell r="C1006">
            <v>5.0599999999999996</v>
          </cell>
          <cell r="D1006">
            <v>126530</v>
          </cell>
        </row>
        <row r="1007">
          <cell r="A1007">
            <v>1539</v>
          </cell>
          <cell r="B1007" t="str">
            <v>巨庭</v>
          </cell>
          <cell r="C1007">
            <v>16.600000000000001</v>
          </cell>
          <cell r="D1007">
            <v>238079</v>
          </cell>
        </row>
        <row r="1008">
          <cell r="A1008">
            <v>1540</v>
          </cell>
          <cell r="B1008" t="str">
            <v>喬福</v>
          </cell>
          <cell r="C1008">
            <v>16.75</v>
          </cell>
          <cell r="D1008">
            <v>451333</v>
          </cell>
        </row>
        <row r="1009">
          <cell r="A1009">
            <v>1541</v>
          </cell>
          <cell r="B1009" t="str">
            <v>錩泰</v>
          </cell>
          <cell r="C1009">
            <v>41.6</v>
          </cell>
          <cell r="D1009">
            <v>37000</v>
          </cell>
        </row>
        <row r="1010">
          <cell r="A1010">
            <v>1558</v>
          </cell>
          <cell r="B1010" t="str">
            <v>伸興</v>
          </cell>
          <cell r="C1010">
            <v>125.5</v>
          </cell>
          <cell r="D1010">
            <v>111315</v>
          </cell>
        </row>
        <row r="1011">
          <cell r="A1011">
            <v>1560</v>
          </cell>
          <cell r="B1011" t="str">
            <v>中砂</v>
          </cell>
          <cell r="C1011">
            <v>76.900000000000006</v>
          </cell>
          <cell r="D1011">
            <v>953662</v>
          </cell>
        </row>
        <row r="1012">
          <cell r="A1012">
            <v>1568</v>
          </cell>
          <cell r="B1012" t="str">
            <v>倉佑</v>
          </cell>
          <cell r="C1012">
            <v>30.1</v>
          </cell>
          <cell r="D1012">
            <v>438000</v>
          </cell>
        </row>
        <row r="1013">
          <cell r="A1013">
            <v>1582</v>
          </cell>
          <cell r="B1013" t="str">
            <v>信錦</v>
          </cell>
          <cell r="C1013">
            <v>62.3</v>
          </cell>
          <cell r="D1013">
            <v>683080</v>
          </cell>
        </row>
        <row r="1014">
          <cell r="A1014">
            <v>1583</v>
          </cell>
          <cell r="B1014" t="str">
            <v>程泰</v>
          </cell>
          <cell r="C1014">
            <v>63.2</v>
          </cell>
          <cell r="D1014">
            <v>33229</v>
          </cell>
        </row>
        <row r="1015">
          <cell r="A1015">
            <v>1589</v>
          </cell>
          <cell r="B1015" t="str">
            <v>永冠-KY</v>
          </cell>
          <cell r="C1015">
            <v>75</v>
          </cell>
          <cell r="D1015">
            <v>952747</v>
          </cell>
        </row>
        <row r="1016">
          <cell r="A1016">
            <v>1590</v>
          </cell>
          <cell r="B1016" t="str">
            <v>亞德客-KY</v>
          </cell>
          <cell r="C1016">
            <v>473</v>
          </cell>
          <cell r="D1016">
            <v>1181355</v>
          </cell>
        </row>
        <row r="1017">
          <cell r="A1017">
            <v>1592</v>
          </cell>
          <cell r="B1017" t="str">
            <v>英瑞-KY</v>
          </cell>
          <cell r="C1017">
            <v>31.3</v>
          </cell>
          <cell r="D1017">
            <v>177000</v>
          </cell>
        </row>
        <row r="1018">
          <cell r="A1018">
            <v>1598</v>
          </cell>
          <cell r="B1018" t="str">
            <v>岱宇</v>
          </cell>
          <cell r="C1018">
            <v>40.799999999999997</v>
          </cell>
          <cell r="D1018">
            <v>157109</v>
          </cell>
        </row>
        <row r="1019">
          <cell r="A1019">
            <v>1603</v>
          </cell>
          <cell r="B1019" t="str">
            <v>華電</v>
          </cell>
          <cell r="C1019">
            <v>24.6</v>
          </cell>
          <cell r="D1019">
            <v>296811</v>
          </cell>
        </row>
        <row r="1020">
          <cell r="A1020">
            <v>1604</v>
          </cell>
          <cell r="B1020" t="str">
            <v>聲寶</v>
          </cell>
          <cell r="C1020">
            <v>12.85</v>
          </cell>
          <cell r="D1020">
            <v>524957</v>
          </cell>
        </row>
        <row r="1021">
          <cell r="A1021">
            <v>1605</v>
          </cell>
          <cell r="B1021" t="str">
            <v>華新</v>
          </cell>
          <cell r="C1021">
            <v>15.4</v>
          </cell>
          <cell r="D1021">
            <v>8694896</v>
          </cell>
        </row>
        <row r="1022">
          <cell r="A1022">
            <v>1608</v>
          </cell>
          <cell r="B1022" t="str">
            <v>華榮</v>
          </cell>
          <cell r="C1022">
            <v>10.15</v>
          </cell>
          <cell r="D1022">
            <v>2234798</v>
          </cell>
        </row>
        <row r="1023">
          <cell r="A1023">
            <v>1609</v>
          </cell>
          <cell r="B1023" t="str">
            <v>大亞</v>
          </cell>
          <cell r="C1023">
            <v>12.4</v>
          </cell>
          <cell r="D1023">
            <v>10358827</v>
          </cell>
        </row>
        <row r="1024">
          <cell r="A1024">
            <v>1611</v>
          </cell>
          <cell r="B1024" t="str">
            <v>中電</v>
          </cell>
          <cell r="C1024">
            <v>10</v>
          </cell>
          <cell r="D1024">
            <v>953060</v>
          </cell>
        </row>
        <row r="1025">
          <cell r="A1025">
            <v>1612</v>
          </cell>
          <cell r="B1025" t="str">
            <v>宏泰</v>
          </cell>
          <cell r="C1025">
            <v>10.65</v>
          </cell>
          <cell r="D1025">
            <v>1144220</v>
          </cell>
        </row>
        <row r="1026">
          <cell r="A1026">
            <v>1614</v>
          </cell>
          <cell r="B1026" t="str">
            <v>三洋電</v>
          </cell>
          <cell r="C1026">
            <v>23.4</v>
          </cell>
          <cell r="D1026">
            <v>41160</v>
          </cell>
        </row>
        <row r="1027">
          <cell r="A1027">
            <v>1615</v>
          </cell>
          <cell r="B1027" t="str">
            <v>大山</v>
          </cell>
          <cell r="C1027">
            <v>13.9</v>
          </cell>
          <cell r="D1027">
            <v>167089</v>
          </cell>
        </row>
        <row r="1028">
          <cell r="A1028">
            <v>1616</v>
          </cell>
          <cell r="B1028" t="str">
            <v>億泰</v>
          </cell>
          <cell r="C1028">
            <v>5.6</v>
          </cell>
          <cell r="D1028">
            <v>198700</v>
          </cell>
        </row>
        <row r="1029">
          <cell r="A1029">
            <v>1617</v>
          </cell>
          <cell r="B1029" t="str">
            <v>榮星</v>
          </cell>
          <cell r="C1029">
            <v>13.55</v>
          </cell>
          <cell r="D1029">
            <v>195190</v>
          </cell>
        </row>
        <row r="1030">
          <cell r="A1030">
            <v>1618</v>
          </cell>
          <cell r="B1030" t="str">
            <v>合機</v>
          </cell>
          <cell r="C1030">
            <v>8.81</v>
          </cell>
          <cell r="D1030">
            <v>649577</v>
          </cell>
        </row>
        <row r="1031">
          <cell r="A1031">
            <v>1626</v>
          </cell>
          <cell r="B1031" t="str">
            <v>艾美特-KY</v>
          </cell>
          <cell r="C1031">
            <v>22.55</v>
          </cell>
          <cell r="D1031">
            <v>43000</v>
          </cell>
        </row>
        <row r="1032">
          <cell r="A1032">
            <v>1701</v>
          </cell>
          <cell r="B1032" t="str">
            <v>中化</v>
          </cell>
          <cell r="C1032">
            <v>18.2</v>
          </cell>
          <cell r="D1032">
            <v>656260</v>
          </cell>
        </row>
        <row r="1033">
          <cell r="A1033">
            <v>1702</v>
          </cell>
          <cell r="B1033" t="str">
            <v>南僑</v>
          </cell>
          <cell r="C1033">
            <v>59.9</v>
          </cell>
          <cell r="D1033">
            <v>302174</v>
          </cell>
        </row>
        <row r="1034">
          <cell r="A1034">
            <v>1704</v>
          </cell>
          <cell r="B1034" t="str">
            <v>榮化</v>
          </cell>
          <cell r="C1034">
            <v>43.05</v>
          </cell>
          <cell r="D1034">
            <v>1458513</v>
          </cell>
        </row>
        <row r="1035">
          <cell r="A1035">
            <v>1707</v>
          </cell>
          <cell r="B1035" t="str">
            <v>葡萄王</v>
          </cell>
          <cell r="C1035">
            <v>200.5</v>
          </cell>
          <cell r="D1035">
            <v>457071</v>
          </cell>
        </row>
        <row r="1036">
          <cell r="A1036">
            <v>1708</v>
          </cell>
          <cell r="B1036" t="str">
            <v>東鹼</v>
          </cell>
          <cell r="C1036">
            <v>29.6</v>
          </cell>
          <cell r="D1036">
            <v>574830</v>
          </cell>
        </row>
        <row r="1037">
          <cell r="A1037">
            <v>1709</v>
          </cell>
          <cell r="B1037" t="str">
            <v>和益</v>
          </cell>
          <cell r="C1037">
            <v>17.5</v>
          </cell>
          <cell r="D1037">
            <v>580836</v>
          </cell>
        </row>
        <row r="1038">
          <cell r="A1038">
            <v>1710</v>
          </cell>
          <cell r="B1038" t="str">
            <v>東聯</v>
          </cell>
          <cell r="C1038">
            <v>28.3</v>
          </cell>
          <cell r="D1038">
            <v>4980442</v>
          </cell>
        </row>
        <row r="1039">
          <cell r="A1039">
            <v>1711</v>
          </cell>
          <cell r="B1039" t="str">
            <v>永光</v>
          </cell>
          <cell r="C1039">
            <v>17</v>
          </cell>
          <cell r="D1039">
            <v>854380</v>
          </cell>
        </row>
        <row r="1040">
          <cell r="A1040">
            <v>1712</v>
          </cell>
          <cell r="B1040" t="str">
            <v>興農</v>
          </cell>
          <cell r="C1040">
            <v>16</v>
          </cell>
          <cell r="D1040">
            <v>1941128</v>
          </cell>
        </row>
        <row r="1041">
          <cell r="A1041">
            <v>1713</v>
          </cell>
          <cell r="B1041" t="str">
            <v>國化</v>
          </cell>
          <cell r="C1041">
            <v>17.649999999999999</v>
          </cell>
          <cell r="D1041">
            <v>134224</v>
          </cell>
        </row>
        <row r="1042">
          <cell r="A1042">
            <v>1714</v>
          </cell>
          <cell r="B1042" t="str">
            <v>和桐</v>
          </cell>
          <cell r="C1042">
            <v>8.6</v>
          </cell>
          <cell r="D1042">
            <v>2449520</v>
          </cell>
        </row>
        <row r="1043">
          <cell r="A1043">
            <v>1717</v>
          </cell>
          <cell r="B1043" t="str">
            <v>長興</v>
          </cell>
          <cell r="C1043">
            <v>29.75</v>
          </cell>
          <cell r="D1043">
            <v>531694</v>
          </cell>
        </row>
        <row r="1044">
          <cell r="A1044">
            <v>1718</v>
          </cell>
          <cell r="B1044" t="str">
            <v>中纖</v>
          </cell>
          <cell r="C1044">
            <v>8.9499999999999993</v>
          </cell>
          <cell r="D1044">
            <v>6621642</v>
          </cell>
        </row>
        <row r="1045">
          <cell r="A1045">
            <v>1720</v>
          </cell>
          <cell r="B1045" t="str">
            <v>生達</v>
          </cell>
          <cell r="C1045">
            <v>32.75</v>
          </cell>
          <cell r="D1045">
            <v>361516</v>
          </cell>
        </row>
        <row r="1046">
          <cell r="A1046">
            <v>1721</v>
          </cell>
          <cell r="B1046" t="str">
            <v>三晃</v>
          </cell>
          <cell r="C1046">
            <v>12.45</v>
          </cell>
          <cell r="D1046">
            <v>329005</v>
          </cell>
        </row>
        <row r="1047">
          <cell r="A1047">
            <v>1722</v>
          </cell>
          <cell r="B1047" t="str">
            <v>台肥</v>
          </cell>
          <cell r="C1047">
            <v>38.049999999999997</v>
          </cell>
          <cell r="D1047">
            <v>2676306</v>
          </cell>
        </row>
        <row r="1048">
          <cell r="A1048">
            <v>1723</v>
          </cell>
          <cell r="B1048" t="str">
            <v>中碳</v>
          </cell>
          <cell r="C1048">
            <v>136.5</v>
          </cell>
          <cell r="D1048">
            <v>1592841</v>
          </cell>
        </row>
        <row r="1049">
          <cell r="A1049">
            <v>1724</v>
          </cell>
          <cell r="B1049" t="str">
            <v>台硝</v>
          </cell>
          <cell r="C1049">
            <v>13.9</v>
          </cell>
          <cell r="D1049">
            <v>49016</v>
          </cell>
        </row>
        <row r="1050">
          <cell r="A1050">
            <v>1725</v>
          </cell>
          <cell r="B1050" t="str">
            <v>元禎</v>
          </cell>
          <cell r="C1050">
            <v>14.4</v>
          </cell>
          <cell r="D1050">
            <v>11500</v>
          </cell>
        </row>
        <row r="1051">
          <cell r="A1051">
            <v>1726</v>
          </cell>
          <cell r="B1051" t="str">
            <v>永記</v>
          </cell>
          <cell r="C1051">
            <v>80.400000000000006</v>
          </cell>
          <cell r="D1051">
            <v>119016</v>
          </cell>
        </row>
        <row r="1052">
          <cell r="A1052">
            <v>1727</v>
          </cell>
          <cell r="B1052" t="str">
            <v>中華化</v>
          </cell>
          <cell r="C1052">
            <v>14.35</v>
          </cell>
          <cell r="D1052">
            <v>306825</v>
          </cell>
        </row>
        <row r="1053">
          <cell r="A1053">
            <v>1730</v>
          </cell>
          <cell r="B1053" t="str">
            <v>花仙子</v>
          </cell>
          <cell r="C1053">
            <v>41.2</v>
          </cell>
          <cell r="D1053">
            <v>117154</v>
          </cell>
        </row>
        <row r="1054">
          <cell r="A1054">
            <v>1731</v>
          </cell>
          <cell r="B1054" t="str">
            <v>美吾華</v>
          </cell>
          <cell r="C1054">
            <v>13.5</v>
          </cell>
          <cell r="D1054">
            <v>203076</v>
          </cell>
        </row>
        <row r="1055">
          <cell r="A1055">
            <v>1732</v>
          </cell>
          <cell r="B1055" t="str">
            <v>毛寶</v>
          </cell>
          <cell r="C1055">
            <v>12.15</v>
          </cell>
          <cell r="D1055">
            <v>50101</v>
          </cell>
        </row>
        <row r="1056">
          <cell r="A1056">
            <v>1733</v>
          </cell>
          <cell r="B1056" t="str">
            <v>五鼎</v>
          </cell>
          <cell r="C1056">
            <v>29.05</v>
          </cell>
          <cell r="D1056">
            <v>286852</v>
          </cell>
        </row>
        <row r="1057">
          <cell r="A1057">
            <v>1734</v>
          </cell>
          <cell r="B1057" t="str">
            <v>杏輝</v>
          </cell>
          <cell r="C1057">
            <v>21.2</v>
          </cell>
          <cell r="D1057">
            <v>284262</v>
          </cell>
        </row>
        <row r="1058">
          <cell r="A1058">
            <v>1735</v>
          </cell>
          <cell r="B1058" t="str">
            <v>日勝化</v>
          </cell>
          <cell r="C1058">
            <v>14.6</v>
          </cell>
          <cell r="D1058">
            <v>56070</v>
          </cell>
        </row>
        <row r="1059">
          <cell r="A1059">
            <v>1736</v>
          </cell>
          <cell r="B1059" t="str">
            <v>喬山</v>
          </cell>
          <cell r="C1059">
            <v>31.55</v>
          </cell>
          <cell r="D1059">
            <v>228672</v>
          </cell>
        </row>
        <row r="1060">
          <cell r="A1060">
            <v>1737</v>
          </cell>
          <cell r="B1060" t="str">
            <v>臺鹽</v>
          </cell>
          <cell r="C1060">
            <v>27.25</v>
          </cell>
          <cell r="D1060">
            <v>253692</v>
          </cell>
        </row>
        <row r="1061">
          <cell r="A1061">
            <v>1760</v>
          </cell>
          <cell r="B1061" t="str">
            <v>寶齡富錦</v>
          </cell>
          <cell r="C1061">
            <v>51.4</v>
          </cell>
          <cell r="D1061">
            <v>225338</v>
          </cell>
        </row>
        <row r="1062">
          <cell r="A1062">
            <v>1762</v>
          </cell>
          <cell r="B1062" t="str">
            <v>中化生</v>
          </cell>
          <cell r="C1062">
            <v>23.2</v>
          </cell>
          <cell r="D1062">
            <v>183000</v>
          </cell>
        </row>
        <row r="1063">
          <cell r="A1063">
            <v>1773</v>
          </cell>
          <cell r="B1063" t="str">
            <v>勝一</v>
          </cell>
          <cell r="C1063">
            <v>83.5</v>
          </cell>
          <cell r="D1063">
            <v>367647</v>
          </cell>
        </row>
        <row r="1064">
          <cell r="A1064">
            <v>1776</v>
          </cell>
          <cell r="B1064" t="str">
            <v>展宇</v>
          </cell>
          <cell r="C1064">
            <v>20.5</v>
          </cell>
          <cell r="D1064">
            <v>47001</v>
          </cell>
        </row>
        <row r="1065">
          <cell r="A1065">
            <v>1783</v>
          </cell>
          <cell r="B1065" t="str">
            <v>和康生</v>
          </cell>
          <cell r="C1065">
            <v>20.100000000000001</v>
          </cell>
          <cell r="D1065">
            <v>261002</v>
          </cell>
        </row>
        <row r="1066">
          <cell r="A1066">
            <v>1786</v>
          </cell>
          <cell r="B1066" t="str">
            <v>科妍</v>
          </cell>
          <cell r="C1066">
            <v>41.25</v>
          </cell>
          <cell r="D1066">
            <v>142590</v>
          </cell>
        </row>
        <row r="1067">
          <cell r="A1067">
            <v>1789</v>
          </cell>
          <cell r="B1067" t="str">
            <v>神隆</v>
          </cell>
          <cell r="C1067">
            <v>31.6</v>
          </cell>
          <cell r="D1067">
            <v>993497</v>
          </cell>
        </row>
        <row r="1068">
          <cell r="A1068">
            <v>1802</v>
          </cell>
          <cell r="B1068" t="str">
            <v>台玻</v>
          </cell>
          <cell r="C1068">
            <v>17.2</v>
          </cell>
          <cell r="D1068">
            <v>2663400</v>
          </cell>
        </row>
        <row r="1069">
          <cell r="A1069">
            <v>1805</v>
          </cell>
          <cell r="B1069" t="str">
            <v>寶徠</v>
          </cell>
          <cell r="C1069">
            <v>11.95</v>
          </cell>
          <cell r="D1069">
            <v>114098</v>
          </cell>
        </row>
        <row r="1070">
          <cell r="A1070">
            <v>1806</v>
          </cell>
          <cell r="B1070" t="str">
            <v>冠軍</v>
          </cell>
          <cell r="C1070">
            <v>8.1999999999999993</v>
          </cell>
          <cell r="D1070">
            <v>745005</v>
          </cell>
        </row>
        <row r="1071">
          <cell r="A1071">
            <v>1808</v>
          </cell>
          <cell r="B1071" t="str">
            <v>潤隆</v>
          </cell>
          <cell r="C1071">
            <v>44.5</v>
          </cell>
          <cell r="D1071">
            <v>539100</v>
          </cell>
        </row>
        <row r="1072">
          <cell r="A1072">
            <v>1809</v>
          </cell>
          <cell r="B1072" t="str">
            <v>中釉</v>
          </cell>
          <cell r="C1072">
            <v>11</v>
          </cell>
          <cell r="D1072">
            <v>342539</v>
          </cell>
        </row>
        <row r="1073">
          <cell r="A1073">
            <v>1810</v>
          </cell>
          <cell r="B1073" t="str">
            <v>和成</v>
          </cell>
          <cell r="C1073">
            <v>9.25</v>
          </cell>
          <cell r="D1073">
            <v>437000</v>
          </cell>
        </row>
        <row r="1074">
          <cell r="A1074">
            <v>1817</v>
          </cell>
          <cell r="B1074" t="str">
            <v>凱撒衛</v>
          </cell>
          <cell r="C1074">
            <v>41.5</v>
          </cell>
          <cell r="D1074">
            <v>120150</v>
          </cell>
        </row>
        <row r="1075">
          <cell r="A1075">
            <v>1902</v>
          </cell>
          <cell r="B1075" t="str">
            <v>台紙</v>
          </cell>
          <cell r="C1075">
            <v>17.75</v>
          </cell>
          <cell r="D1075">
            <v>528570</v>
          </cell>
        </row>
        <row r="1076">
          <cell r="A1076">
            <v>1903</v>
          </cell>
          <cell r="B1076" t="str">
            <v>士紙</v>
          </cell>
          <cell r="C1076">
            <v>33.049999999999997</v>
          </cell>
          <cell r="D1076">
            <v>61000</v>
          </cell>
        </row>
        <row r="1077">
          <cell r="A1077">
            <v>1904</v>
          </cell>
          <cell r="B1077" t="str">
            <v>正隆</v>
          </cell>
          <cell r="C1077">
            <v>15.3</v>
          </cell>
          <cell r="D1077">
            <v>2413006</v>
          </cell>
        </row>
        <row r="1078">
          <cell r="A1078">
            <v>1905</v>
          </cell>
          <cell r="B1078" t="str">
            <v>華紙</v>
          </cell>
          <cell r="C1078">
            <v>10.55</v>
          </cell>
          <cell r="D1078">
            <v>1719031</v>
          </cell>
        </row>
        <row r="1079">
          <cell r="A1079">
            <v>1906</v>
          </cell>
          <cell r="B1079" t="str">
            <v>寶隆</v>
          </cell>
          <cell r="C1079">
            <v>26.5</v>
          </cell>
          <cell r="D1079">
            <v>554147</v>
          </cell>
        </row>
        <row r="1080">
          <cell r="A1080">
            <v>1907</v>
          </cell>
          <cell r="B1080" t="str">
            <v>永豐餘</v>
          </cell>
          <cell r="C1080">
            <v>12.35</v>
          </cell>
          <cell r="D1080">
            <v>2979975</v>
          </cell>
        </row>
        <row r="1081">
          <cell r="A1081">
            <v>1909</v>
          </cell>
          <cell r="B1081" t="str">
            <v>榮成</v>
          </cell>
          <cell r="C1081">
            <v>31.55</v>
          </cell>
          <cell r="D1081">
            <v>2965341</v>
          </cell>
        </row>
        <row r="1082">
          <cell r="A1082">
            <v>2002</v>
          </cell>
          <cell r="B1082" t="str">
            <v>中鋼</v>
          </cell>
          <cell r="C1082">
            <v>23.75</v>
          </cell>
          <cell r="D1082">
            <v>26464398</v>
          </cell>
        </row>
        <row r="1083">
          <cell r="A1083" t="str">
            <v>2002A</v>
          </cell>
          <cell r="B1083" t="str">
            <v>中鋼特</v>
          </cell>
          <cell r="C1083">
            <v>42.35</v>
          </cell>
          <cell r="D1083">
            <v>15267</v>
          </cell>
        </row>
        <row r="1084">
          <cell r="A1084">
            <v>2006</v>
          </cell>
          <cell r="B1084" t="str">
            <v>東和鋼鐵</v>
          </cell>
          <cell r="C1084">
            <v>25.4</v>
          </cell>
          <cell r="D1084">
            <v>1299529</v>
          </cell>
        </row>
        <row r="1085">
          <cell r="A1085">
            <v>2007</v>
          </cell>
          <cell r="B1085" t="str">
            <v>燁興</v>
          </cell>
          <cell r="C1085">
            <v>5.25</v>
          </cell>
          <cell r="D1085">
            <v>57722</v>
          </cell>
        </row>
        <row r="1086">
          <cell r="A1086">
            <v>2008</v>
          </cell>
          <cell r="B1086" t="str">
            <v>高興昌</v>
          </cell>
          <cell r="C1086">
            <v>12.15</v>
          </cell>
          <cell r="D1086">
            <v>38650</v>
          </cell>
        </row>
        <row r="1087">
          <cell r="A1087">
            <v>2009</v>
          </cell>
          <cell r="B1087" t="str">
            <v>第一銅</v>
          </cell>
          <cell r="C1087">
            <v>11.1</v>
          </cell>
          <cell r="D1087">
            <v>3029370</v>
          </cell>
        </row>
        <row r="1088">
          <cell r="A1088">
            <v>2010</v>
          </cell>
          <cell r="B1088" t="str">
            <v>春源</v>
          </cell>
          <cell r="C1088">
            <v>11.1</v>
          </cell>
          <cell r="D1088">
            <v>346000</v>
          </cell>
        </row>
        <row r="1089">
          <cell r="A1089">
            <v>2012</v>
          </cell>
          <cell r="B1089" t="str">
            <v>春雨</v>
          </cell>
          <cell r="C1089">
            <v>15.95</v>
          </cell>
          <cell r="D1089">
            <v>58501</v>
          </cell>
        </row>
        <row r="1090">
          <cell r="A1090">
            <v>2013</v>
          </cell>
          <cell r="B1090" t="str">
            <v>中鋼構</v>
          </cell>
          <cell r="C1090">
            <v>21.75</v>
          </cell>
          <cell r="D1090">
            <v>1521470</v>
          </cell>
        </row>
        <row r="1091">
          <cell r="A1091">
            <v>2014</v>
          </cell>
          <cell r="B1091" t="str">
            <v>中鴻</v>
          </cell>
          <cell r="C1091">
            <v>12.45</v>
          </cell>
          <cell r="D1091">
            <v>10770587</v>
          </cell>
        </row>
        <row r="1092">
          <cell r="A1092">
            <v>2015</v>
          </cell>
          <cell r="B1092" t="str">
            <v>豐興</v>
          </cell>
          <cell r="C1092">
            <v>60.3</v>
          </cell>
          <cell r="D1092">
            <v>433248</v>
          </cell>
        </row>
        <row r="1093">
          <cell r="A1093">
            <v>2017</v>
          </cell>
          <cell r="B1093" t="str">
            <v>官田鋼</v>
          </cell>
          <cell r="C1093">
            <v>10.7</v>
          </cell>
          <cell r="D1093">
            <v>2918991</v>
          </cell>
        </row>
        <row r="1094">
          <cell r="A1094">
            <v>2020</v>
          </cell>
          <cell r="B1094" t="str">
            <v>美亞</v>
          </cell>
          <cell r="C1094">
            <v>13.6</v>
          </cell>
          <cell r="D1094">
            <v>307108</v>
          </cell>
        </row>
        <row r="1095">
          <cell r="A1095">
            <v>2022</v>
          </cell>
          <cell r="B1095" t="str">
            <v>聚亨</v>
          </cell>
          <cell r="C1095">
            <v>6.65</v>
          </cell>
          <cell r="D1095">
            <v>1380380</v>
          </cell>
        </row>
        <row r="1096">
          <cell r="A1096">
            <v>2023</v>
          </cell>
          <cell r="B1096" t="str">
            <v>燁輝</v>
          </cell>
          <cell r="C1096">
            <v>10.95</v>
          </cell>
          <cell r="D1096">
            <v>2299889</v>
          </cell>
        </row>
        <row r="1097">
          <cell r="A1097">
            <v>2024</v>
          </cell>
          <cell r="B1097" t="str">
            <v>志聯</v>
          </cell>
          <cell r="C1097">
            <v>10</v>
          </cell>
          <cell r="D1097">
            <v>295068</v>
          </cell>
        </row>
        <row r="1098">
          <cell r="A1098">
            <v>2025</v>
          </cell>
          <cell r="B1098" t="str">
            <v>千興</v>
          </cell>
          <cell r="C1098">
            <v>2.88</v>
          </cell>
          <cell r="D1098">
            <v>334980</v>
          </cell>
        </row>
        <row r="1099">
          <cell r="A1099">
            <v>2027</v>
          </cell>
          <cell r="B1099" t="str">
            <v>大成鋼</v>
          </cell>
          <cell r="C1099">
            <v>21.95</v>
          </cell>
          <cell r="D1099">
            <v>3153055</v>
          </cell>
        </row>
        <row r="1100">
          <cell r="A1100">
            <v>2028</v>
          </cell>
          <cell r="B1100" t="str">
            <v>威致</v>
          </cell>
          <cell r="C1100">
            <v>9.27</v>
          </cell>
          <cell r="D1100">
            <v>110206</v>
          </cell>
        </row>
        <row r="1101">
          <cell r="A1101">
            <v>2029</v>
          </cell>
          <cell r="B1101" t="str">
            <v>盛餘</v>
          </cell>
          <cell r="C1101">
            <v>26.85</v>
          </cell>
          <cell r="D1101">
            <v>142381</v>
          </cell>
        </row>
        <row r="1102">
          <cell r="A1102">
            <v>2030</v>
          </cell>
          <cell r="B1102" t="str">
            <v>彰源</v>
          </cell>
          <cell r="C1102">
            <v>16</v>
          </cell>
          <cell r="D1102">
            <v>1323637</v>
          </cell>
        </row>
        <row r="1103">
          <cell r="A1103">
            <v>2031</v>
          </cell>
          <cell r="B1103" t="str">
            <v>新光鋼</v>
          </cell>
          <cell r="C1103">
            <v>29.8</v>
          </cell>
          <cell r="D1103">
            <v>4165623</v>
          </cell>
        </row>
        <row r="1104">
          <cell r="A1104">
            <v>2032</v>
          </cell>
          <cell r="B1104" t="str">
            <v>新鋼</v>
          </cell>
          <cell r="C1104">
            <v>9.81</v>
          </cell>
          <cell r="D1104">
            <v>429461</v>
          </cell>
        </row>
        <row r="1105">
          <cell r="A1105">
            <v>2033</v>
          </cell>
          <cell r="B1105" t="str">
            <v>佳大</v>
          </cell>
          <cell r="C1105">
            <v>16.600000000000001</v>
          </cell>
          <cell r="D1105">
            <v>11189790</v>
          </cell>
        </row>
        <row r="1106">
          <cell r="A1106">
            <v>2034</v>
          </cell>
          <cell r="B1106" t="str">
            <v>允強</v>
          </cell>
          <cell r="C1106">
            <v>25.75</v>
          </cell>
          <cell r="D1106">
            <v>792016</v>
          </cell>
        </row>
        <row r="1107">
          <cell r="A1107">
            <v>2038</v>
          </cell>
          <cell r="B1107" t="str">
            <v>海光</v>
          </cell>
          <cell r="C1107">
            <v>11.55</v>
          </cell>
          <cell r="D1107">
            <v>8211046</v>
          </cell>
        </row>
        <row r="1108">
          <cell r="A1108">
            <v>2049</v>
          </cell>
          <cell r="B1108" t="str">
            <v>上銀</v>
          </cell>
          <cell r="C1108">
            <v>354</v>
          </cell>
          <cell r="D1108">
            <v>3539866</v>
          </cell>
        </row>
        <row r="1109">
          <cell r="A1109">
            <v>2059</v>
          </cell>
          <cell r="B1109" t="str">
            <v>川湖</v>
          </cell>
          <cell r="C1109">
            <v>416</v>
          </cell>
          <cell r="D1109">
            <v>285701</v>
          </cell>
        </row>
        <row r="1110">
          <cell r="A1110">
            <v>2062</v>
          </cell>
          <cell r="B1110" t="str">
            <v>橋椿</v>
          </cell>
          <cell r="C1110">
            <v>36</v>
          </cell>
          <cell r="D1110">
            <v>431090</v>
          </cell>
        </row>
        <row r="1111">
          <cell r="A1111">
            <v>2069</v>
          </cell>
          <cell r="B1111" t="str">
            <v>運錩</v>
          </cell>
          <cell r="C1111">
            <v>23.25</v>
          </cell>
          <cell r="D1111">
            <v>241000</v>
          </cell>
        </row>
        <row r="1112">
          <cell r="A1112">
            <v>2101</v>
          </cell>
          <cell r="B1112" t="str">
            <v>南港</v>
          </cell>
          <cell r="C1112">
            <v>25.65</v>
          </cell>
          <cell r="D1112">
            <v>375894</v>
          </cell>
        </row>
        <row r="1113">
          <cell r="A1113">
            <v>2102</v>
          </cell>
          <cell r="B1113" t="str">
            <v>泰豐</v>
          </cell>
          <cell r="C1113">
            <v>12.5</v>
          </cell>
          <cell r="D1113">
            <v>817641</v>
          </cell>
        </row>
        <row r="1114">
          <cell r="A1114">
            <v>2103</v>
          </cell>
          <cell r="B1114" t="str">
            <v>台橡</v>
          </cell>
          <cell r="C1114">
            <v>31.4</v>
          </cell>
          <cell r="D1114">
            <v>2583316</v>
          </cell>
        </row>
        <row r="1115">
          <cell r="A1115">
            <v>2104</v>
          </cell>
          <cell r="B1115" t="str">
            <v>中橡</v>
          </cell>
          <cell r="C1115">
            <v>45.8</v>
          </cell>
          <cell r="D1115">
            <v>3272198</v>
          </cell>
        </row>
        <row r="1116">
          <cell r="A1116">
            <v>2105</v>
          </cell>
          <cell r="B1116" t="str">
            <v>正新</v>
          </cell>
          <cell r="C1116">
            <v>47.4</v>
          </cell>
          <cell r="D1116">
            <v>11465353</v>
          </cell>
        </row>
        <row r="1117">
          <cell r="A1117">
            <v>2106</v>
          </cell>
          <cell r="B1117" t="str">
            <v>建大</v>
          </cell>
          <cell r="C1117">
            <v>33.85</v>
          </cell>
          <cell r="D1117">
            <v>867453</v>
          </cell>
        </row>
        <row r="1118">
          <cell r="A1118">
            <v>2107</v>
          </cell>
          <cell r="B1118" t="str">
            <v>厚生</v>
          </cell>
          <cell r="C1118">
            <v>15.4</v>
          </cell>
          <cell r="D1118">
            <v>551283</v>
          </cell>
        </row>
        <row r="1119">
          <cell r="A1119">
            <v>2108</v>
          </cell>
          <cell r="B1119" t="str">
            <v>南帝</v>
          </cell>
          <cell r="C1119">
            <v>22.1</v>
          </cell>
          <cell r="D1119">
            <v>367047</v>
          </cell>
        </row>
        <row r="1120">
          <cell r="A1120">
            <v>2109</v>
          </cell>
          <cell r="B1120" t="str">
            <v>華豐</v>
          </cell>
          <cell r="C1120">
            <v>13.8</v>
          </cell>
          <cell r="D1120">
            <v>2140040</v>
          </cell>
        </row>
        <row r="1121">
          <cell r="A1121">
            <v>2114</v>
          </cell>
          <cell r="B1121" t="str">
            <v>鑫永銓</v>
          </cell>
          <cell r="C1121">
            <v>85.3</v>
          </cell>
          <cell r="D1121">
            <v>39100</v>
          </cell>
        </row>
        <row r="1122">
          <cell r="A1122">
            <v>2115</v>
          </cell>
          <cell r="B1122" t="str">
            <v>六暉-KY</v>
          </cell>
          <cell r="C1122">
            <v>41.9</v>
          </cell>
          <cell r="D1122">
            <v>130350</v>
          </cell>
        </row>
        <row r="1123">
          <cell r="A1123">
            <v>2201</v>
          </cell>
          <cell r="B1123" t="str">
            <v>裕隆</v>
          </cell>
          <cell r="C1123">
            <v>22.3</v>
          </cell>
          <cell r="D1123">
            <v>3498550</v>
          </cell>
        </row>
        <row r="1124">
          <cell r="A1124">
            <v>2204</v>
          </cell>
          <cell r="B1124" t="str">
            <v>中華</v>
          </cell>
          <cell r="C1124">
            <v>26.2</v>
          </cell>
          <cell r="D1124">
            <v>679915</v>
          </cell>
        </row>
        <row r="1125">
          <cell r="A1125">
            <v>2206</v>
          </cell>
          <cell r="B1125" t="str">
            <v>三陽工業</v>
          </cell>
          <cell r="C1125">
            <v>20.6</v>
          </cell>
          <cell r="D1125">
            <v>1778801</v>
          </cell>
        </row>
        <row r="1126">
          <cell r="A1126">
            <v>2207</v>
          </cell>
          <cell r="B1126" t="str">
            <v>和泰車</v>
          </cell>
          <cell r="C1126">
            <v>332</v>
          </cell>
          <cell r="D1126">
            <v>498002</v>
          </cell>
        </row>
        <row r="1127">
          <cell r="A1127">
            <v>2208</v>
          </cell>
          <cell r="B1127" t="str">
            <v>台船</v>
          </cell>
          <cell r="C1127">
            <v>13</v>
          </cell>
          <cell r="D1127">
            <v>1358577</v>
          </cell>
        </row>
        <row r="1128">
          <cell r="A1128">
            <v>2227</v>
          </cell>
          <cell r="B1128" t="str">
            <v>裕日車</v>
          </cell>
          <cell r="C1128">
            <v>249</v>
          </cell>
          <cell r="D1128">
            <v>94773</v>
          </cell>
        </row>
        <row r="1129">
          <cell r="A1129">
            <v>2228</v>
          </cell>
          <cell r="B1129" t="str">
            <v>劍麟</v>
          </cell>
          <cell r="C1129">
            <v>95.8</v>
          </cell>
          <cell r="D1129">
            <v>269000</v>
          </cell>
        </row>
        <row r="1130">
          <cell r="A1130">
            <v>2231</v>
          </cell>
          <cell r="B1130" t="str">
            <v>為升</v>
          </cell>
          <cell r="C1130">
            <v>334</v>
          </cell>
          <cell r="D1130">
            <v>971519</v>
          </cell>
        </row>
        <row r="1131">
          <cell r="A1131">
            <v>2236</v>
          </cell>
          <cell r="B1131" t="str">
            <v>百達-KY</v>
          </cell>
          <cell r="C1131">
            <v>49.95</v>
          </cell>
          <cell r="D1131">
            <v>67000</v>
          </cell>
        </row>
        <row r="1132">
          <cell r="A1132">
            <v>2239</v>
          </cell>
          <cell r="B1132" t="str">
            <v>英利-KY</v>
          </cell>
          <cell r="C1132">
            <v>148.5</v>
          </cell>
          <cell r="D1132">
            <v>154000</v>
          </cell>
        </row>
        <row r="1133">
          <cell r="A1133">
            <v>2243</v>
          </cell>
          <cell r="B1133" t="str">
            <v>宏旭-KY</v>
          </cell>
          <cell r="C1133">
            <v>31.5</v>
          </cell>
          <cell r="D1133">
            <v>48100</v>
          </cell>
        </row>
        <row r="1134">
          <cell r="A1134">
            <v>2301</v>
          </cell>
          <cell r="B1134" t="str">
            <v>光寶科</v>
          </cell>
          <cell r="C1134">
            <v>37.65</v>
          </cell>
          <cell r="D1134">
            <v>7002012</v>
          </cell>
        </row>
        <row r="1135">
          <cell r="A1135">
            <v>2302</v>
          </cell>
          <cell r="B1135" t="str">
            <v>麗正</v>
          </cell>
          <cell r="C1135">
            <v>5.67</v>
          </cell>
          <cell r="D1135">
            <v>299001</v>
          </cell>
        </row>
        <row r="1136">
          <cell r="A1136">
            <v>2303</v>
          </cell>
          <cell r="B1136" t="str">
            <v>聯電</v>
          </cell>
          <cell r="C1136">
            <v>14.05</v>
          </cell>
          <cell r="D1136">
            <v>82496338</v>
          </cell>
        </row>
        <row r="1137">
          <cell r="A1137">
            <v>2305</v>
          </cell>
          <cell r="B1137" t="str">
            <v>全友</v>
          </cell>
          <cell r="C1137">
            <v>9.5399999999999991</v>
          </cell>
          <cell r="D1137">
            <v>1684645</v>
          </cell>
        </row>
        <row r="1138">
          <cell r="A1138">
            <v>2308</v>
          </cell>
          <cell r="B1138" t="str">
            <v>台達電</v>
          </cell>
          <cell r="C1138">
            <v>134.5</v>
          </cell>
          <cell r="D1138">
            <v>5514158</v>
          </cell>
        </row>
        <row r="1139">
          <cell r="A1139">
            <v>2311</v>
          </cell>
          <cell r="B1139" t="str">
            <v>日月光</v>
          </cell>
          <cell r="C1139">
            <v>37.9</v>
          </cell>
          <cell r="D1139">
            <v>18789380</v>
          </cell>
        </row>
        <row r="1140">
          <cell r="A1140">
            <v>2312</v>
          </cell>
          <cell r="B1140" t="str">
            <v>金寶</v>
          </cell>
          <cell r="C1140">
            <v>10.1</v>
          </cell>
          <cell r="D1140">
            <v>1749087</v>
          </cell>
        </row>
        <row r="1141">
          <cell r="A1141">
            <v>2313</v>
          </cell>
          <cell r="B1141" t="str">
            <v>華通</v>
          </cell>
          <cell r="C1141">
            <v>33.35</v>
          </cell>
          <cell r="D1141">
            <v>18653989</v>
          </cell>
        </row>
        <row r="1142">
          <cell r="A1142">
            <v>2314</v>
          </cell>
          <cell r="B1142" t="str">
            <v>台揚</v>
          </cell>
          <cell r="C1142">
            <v>25.75</v>
          </cell>
          <cell r="D1142">
            <v>2108469</v>
          </cell>
        </row>
        <row r="1143">
          <cell r="A1143">
            <v>2316</v>
          </cell>
          <cell r="B1143" t="str">
            <v>楠梓電</v>
          </cell>
          <cell r="C1143">
            <v>17.100000000000001</v>
          </cell>
          <cell r="D1143">
            <v>670466</v>
          </cell>
        </row>
        <row r="1144">
          <cell r="A1144">
            <v>2317</v>
          </cell>
          <cell r="B1144" t="str">
            <v>鴻海</v>
          </cell>
          <cell r="C1144">
            <v>87.5</v>
          </cell>
          <cell r="D1144">
            <v>67539890</v>
          </cell>
        </row>
        <row r="1145">
          <cell r="A1145">
            <v>2321</v>
          </cell>
          <cell r="B1145" t="str">
            <v>東訊</v>
          </cell>
          <cell r="C1145">
            <v>2.8</v>
          </cell>
          <cell r="D1145">
            <v>29001</v>
          </cell>
        </row>
        <row r="1146">
          <cell r="A1146">
            <v>2323</v>
          </cell>
          <cell r="B1146" t="str">
            <v>中環</v>
          </cell>
          <cell r="C1146">
            <v>4.2</v>
          </cell>
          <cell r="D1146">
            <v>11669059</v>
          </cell>
        </row>
        <row r="1147">
          <cell r="A1147">
            <v>2324</v>
          </cell>
          <cell r="B1147" t="str">
            <v>仁寶</v>
          </cell>
          <cell r="C1147">
            <v>19.850000000000001</v>
          </cell>
          <cell r="D1147">
            <v>10341173</v>
          </cell>
        </row>
        <row r="1148">
          <cell r="A1148">
            <v>2325</v>
          </cell>
          <cell r="B1148" t="str">
            <v>矽品</v>
          </cell>
          <cell r="C1148">
            <v>50.2</v>
          </cell>
          <cell r="D1148">
            <v>3535614</v>
          </cell>
        </row>
        <row r="1149">
          <cell r="A1149">
            <v>2327</v>
          </cell>
          <cell r="B1149" t="str">
            <v>國巨</v>
          </cell>
          <cell r="C1149">
            <v>331.5</v>
          </cell>
          <cell r="D1149">
            <v>6103065</v>
          </cell>
        </row>
        <row r="1150">
          <cell r="A1150">
            <v>2328</v>
          </cell>
          <cell r="B1150" t="str">
            <v>廣宇</v>
          </cell>
          <cell r="C1150">
            <v>20.8</v>
          </cell>
          <cell r="D1150">
            <v>5313717</v>
          </cell>
        </row>
        <row r="1151">
          <cell r="A1151">
            <v>2329</v>
          </cell>
          <cell r="B1151" t="str">
            <v>華泰</v>
          </cell>
          <cell r="C1151">
            <v>8.0399999999999991</v>
          </cell>
          <cell r="D1151">
            <v>1966886</v>
          </cell>
        </row>
        <row r="1152">
          <cell r="A1152">
            <v>2330</v>
          </cell>
          <cell r="B1152" t="str">
            <v>台積電</v>
          </cell>
          <cell r="C1152">
            <v>232.5</v>
          </cell>
          <cell r="D1152">
            <v>65939265</v>
          </cell>
        </row>
        <row r="1153">
          <cell r="A1153">
            <v>2331</v>
          </cell>
          <cell r="B1153" t="str">
            <v>精英</v>
          </cell>
          <cell r="C1153">
            <v>16.3</v>
          </cell>
          <cell r="D1153">
            <v>2784460</v>
          </cell>
        </row>
        <row r="1154">
          <cell r="A1154">
            <v>2332</v>
          </cell>
          <cell r="B1154" t="str">
            <v>友訊</v>
          </cell>
          <cell r="C1154">
            <v>10.75</v>
          </cell>
          <cell r="D1154">
            <v>5720298</v>
          </cell>
        </row>
        <row r="1155">
          <cell r="A1155">
            <v>2337</v>
          </cell>
          <cell r="B1155" t="str">
            <v>旺宏</v>
          </cell>
          <cell r="C1155">
            <v>38</v>
          </cell>
          <cell r="D1155">
            <v>64918410</v>
          </cell>
        </row>
        <row r="1156">
          <cell r="A1156">
            <v>2338</v>
          </cell>
          <cell r="B1156" t="str">
            <v>光罩</v>
          </cell>
          <cell r="C1156">
            <v>17.2</v>
          </cell>
          <cell r="D1156">
            <v>4811669</v>
          </cell>
        </row>
        <row r="1157">
          <cell r="A1157">
            <v>2340</v>
          </cell>
          <cell r="B1157" t="str">
            <v>光磊</v>
          </cell>
          <cell r="C1157">
            <v>21.85</v>
          </cell>
          <cell r="D1157">
            <v>4495049</v>
          </cell>
        </row>
        <row r="1158">
          <cell r="A1158">
            <v>2342</v>
          </cell>
          <cell r="B1158" t="str">
            <v>茂矽</v>
          </cell>
          <cell r="C1158">
            <v>22.1</v>
          </cell>
          <cell r="D1158">
            <v>317209</v>
          </cell>
        </row>
        <row r="1159">
          <cell r="A1159">
            <v>2344</v>
          </cell>
          <cell r="B1159" t="str">
            <v>華邦電</v>
          </cell>
          <cell r="C1159">
            <v>18.55</v>
          </cell>
          <cell r="D1159">
            <v>72633524</v>
          </cell>
        </row>
        <row r="1160">
          <cell r="A1160">
            <v>2345</v>
          </cell>
          <cell r="B1160" t="str">
            <v>智邦</v>
          </cell>
          <cell r="C1160">
            <v>105.5</v>
          </cell>
          <cell r="D1160">
            <v>5855221</v>
          </cell>
        </row>
        <row r="1161">
          <cell r="A1161">
            <v>2347</v>
          </cell>
          <cell r="B1161" t="str">
            <v>聯強</v>
          </cell>
          <cell r="C1161">
            <v>37.9</v>
          </cell>
          <cell r="D1161">
            <v>4254086</v>
          </cell>
        </row>
        <row r="1162">
          <cell r="A1162">
            <v>2348</v>
          </cell>
          <cell r="B1162" t="str">
            <v>海悅</v>
          </cell>
          <cell r="C1162">
            <v>26.25</v>
          </cell>
          <cell r="D1162">
            <v>17013</v>
          </cell>
        </row>
        <row r="1163">
          <cell r="A1163">
            <v>2349</v>
          </cell>
          <cell r="B1163" t="str">
            <v>錸德</v>
          </cell>
          <cell r="C1163">
            <v>4.76</v>
          </cell>
          <cell r="D1163">
            <v>8463844</v>
          </cell>
        </row>
        <row r="1164">
          <cell r="A1164">
            <v>2351</v>
          </cell>
          <cell r="B1164" t="str">
            <v>順德</v>
          </cell>
          <cell r="C1164">
            <v>73.900000000000006</v>
          </cell>
          <cell r="D1164">
            <v>2020812</v>
          </cell>
        </row>
        <row r="1165">
          <cell r="A1165">
            <v>2352</v>
          </cell>
          <cell r="B1165" t="str">
            <v>佳世達</v>
          </cell>
          <cell r="C1165">
            <v>19.850000000000001</v>
          </cell>
          <cell r="D1165">
            <v>6952889</v>
          </cell>
        </row>
        <row r="1166">
          <cell r="A1166">
            <v>2353</v>
          </cell>
          <cell r="B1166" t="str">
            <v>宏碁</v>
          </cell>
          <cell r="C1166">
            <v>24.65</v>
          </cell>
          <cell r="D1166">
            <v>61750249</v>
          </cell>
        </row>
        <row r="1167">
          <cell r="A1167">
            <v>2354</v>
          </cell>
          <cell r="B1167" t="str">
            <v>鴻準</v>
          </cell>
          <cell r="C1167">
            <v>78.5</v>
          </cell>
          <cell r="D1167">
            <v>3490382</v>
          </cell>
        </row>
        <row r="1168">
          <cell r="A1168">
            <v>2355</v>
          </cell>
          <cell r="B1168" t="str">
            <v>敬鵬</v>
          </cell>
          <cell r="C1168">
            <v>52.3</v>
          </cell>
          <cell r="D1168">
            <v>1427588</v>
          </cell>
        </row>
        <row r="1169">
          <cell r="A1169">
            <v>2356</v>
          </cell>
          <cell r="B1169" t="str">
            <v>英業達</v>
          </cell>
          <cell r="C1169">
            <v>22.6</v>
          </cell>
          <cell r="D1169">
            <v>7530841</v>
          </cell>
        </row>
        <row r="1170">
          <cell r="A1170">
            <v>2357</v>
          </cell>
          <cell r="B1170" t="str">
            <v>華碩</v>
          </cell>
          <cell r="C1170">
            <v>271.5</v>
          </cell>
          <cell r="D1170">
            <v>2389268</v>
          </cell>
        </row>
        <row r="1171">
          <cell r="A1171">
            <v>2358</v>
          </cell>
          <cell r="B1171" t="str">
            <v>廷鑫</v>
          </cell>
          <cell r="C1171">
            <v>22.85</v>
          </cell>
          <cell r="D1171">
            <v>432201</v>
          </cell>
        </row>
        <row r="1172">
          <cell r="A1172">
            <v>2359</v>
          </cell>
          <cell r="B1172" t="str">
            <v>所羅門</v>
          </cell>
          <cell r="C1172">
            <v>22.25</v>
          </cell>
          <cell r="D1172">
            <v>2593659</v>
          </cell>
        </row>
        <row r="1173">
          <cell r="A1173">
            <v>2360</v>
          </cell>
          <cell r="B1173" t="str">
            <v>致茂</v>
          </cell>
          <cell r="C1173">
            <v>153</v>
          </cell>
          <cell r="D1173">
            <v>2636229</v>
          </cell>
        </row>
        <row r="1174">
          <cell r="A1174">
            <v>2362</v>
          </cell>
          <cell r="B1174" t="str">
            <v>藍天</v>
          </cell>
          <cell r="C1174">
            <v>27.8</v>
          </cell>
          <cell r="D1174">
            <v>1182840</v>
          </cell>
        </row>
        <row r="1175">
          <cell r="A1175">
            <v>2363</v>
          </cell>
          <cell r="B1175" t="str">
            <v>矽統</v>
          </cell>
          <cell r="C1175">
            <v>8.3000000000000007</v>
          </cell>
          <cell r="D1175">
            <v>4668869</v>
          </cell>
        </row>
        <row r="1176">
          <cell r="A1176">
            <v>2364</v>
          </cell>
          <cell r="B1176" t="str">
            <v>倫飛</v>
          </cell>
          <cell r="C1176">
            <v>2.36</v>
          </cell>
          <cell r="D1176">
            <v>109831</v>
          </cell>
        </row>
        <row r="1177">
          <cell r="A1177">
            <v>2365</v>
          </cell>
          <cell r="B1177" t="str">
            <v>昆盈</v>
          </cell>
          <cell r="C1177">
            <v>9.65</v>
          </cell>
          <cell r="D1177">
            <v>992175</v>
          </cell>
        </row>
        <row r="1178">
          <cell r="A1178">
            <v>2367</v>
          </cell>
          <cell r="B1178" t="str">
            <v>燿華</v>
          </cell>
          <cell r="C1178">
            <v>19.7</v>
          </cell>
          <cell r="D1178">
            <v>28558094</v>
          </cell>
        </row>
        <row r="1179">
          <cell r="A1179">
            <v>2368</v>
          </cell>
          <cell r="B1179" t="str">
            <v>金像電</v>
          </cell>
          <cell r="C1179">
            <v>8.6</v>
          </cell>
          <cell r="D1179">
            <v>3422608</v>
          </cell>
        </row>
        <row r="1180">
          <cell r="A1180">
            <v>2369</v>
          </cell>
          <cell r="B1180" t="str">
            <v>菱生</v>
          </cell>
          <cell r="C1180">
            <v>12.7</v>
          </cell>
          <cell r="D1180">
            <v>2593746</v>
          </cell>
        </row>
        <row r="1181">
          <cell r="A1181">
            <v>2371</v>
          </cell>
          <cell r="B1181" t="str">
            <v>大同</v>
          </cell>
          <cell r="C1181">
            <v>22.45</v>
          </cell>
          <cell r="D1181">
            <v>16574472</v>
          </cell>
        </row>
        <row r="1182">
          <cell r="A1182">
            <v>2373</v>
          </cell>
          <cell r="B1182" t="str">
            <v>震旦行</v>
          </cell>
          <cell r="C1182">
            <v>89.5</v>
          </cell>
          <cell r="D1182">
            <v>239504</v>
          </cell>
        </row>
        <row r="1183">
          <cell r="A1183">
            <v>2374</v>
          </cell>
          <cell r="B1183" t="str">
            <v>佳能</v>
          </cell>
          <cell r="C1183">
            <v>19.25</v>
          </cell>
          <cell r="D1183">
            <v>1274418</v>
          </cell>
        </row>
        <row r="1184">
          <cell r="A1184">
            <v>2375</v>
          </cell>
          <cell r="B1184" t="str">
            <v>智寶</v>
          </cell>
          <cell r="C1184">
            <v>40.700000000000003</v>
          </cell>
          <cell r="D1184">
            <v>1958024</v>
          </cell>
        </row>
        <row r="1185">
          <cell r="A1185">
            <v>2376</v>
          </cell>
          <cell r="B1185" t="str">
            <v>技嘉</v>
          </cell>
          <cell r="C1185">
            <v>66.3</v>
          </cell>
          <cell r="D1185">
            <v>13687942</v>
          </cell>
        </row>
        <row r="1186">
          <cell r="A1186">
            <v>2377</v>
          </cell>
          <cell r="B1186" t="str">
            <v>微星</v>
          </cell>
          <cell r="C1186">
            <v>85.4</v>
          </cell>
          <cell r="D1186">
            <v>17767563</v>
          </cell>
        </row>
        <row r="1187">
          <cell r="A1187">
            <v>2379</v>
          </cell>
          <cell r="B1187" t="str">
            <v>瑞昱</v>
          </cell>
          <cell r="C1187">
            <v>109</v>
          </cell>
          <cell r="D1187">
            <v>2984071</v>
          </cell>
        </row>
        <row r="1188">
          <cell r="A1188">
            <v>2380</v>
          </cell>
          <cell r="B1188" t="str">
            <v>虹光</v>
          </cell>
          <cell r="C1188">
            <v>6.75</v>
          </cell>
          <cell r="D1188">
            <v>168200</v>
          </cell>
        </row>
        <row r="1189">
          <cell r="A1189">
            <v>2382</v>
          </cell>
          <cell r="B1189" t="str">
            <v>廣達</v>
          </cell>
          <cell r="C1189">
            <v>59.2</v>
          </cell>
          <cell r="D1189">
            <v>8713373</v>
          </cell>
        </row>
        <row r="1190">
          <cell r="A1190">
            <v>2383</v>
          </cell>
          <cell r="B1190" t="str">
            <v>台光電</v>
          </cell>
          <cell r="C1190">
            <v>101</v>
          </cell>
          <cell r="D1190">
            <v>2438960</v>
          </cell>
        </row>
        <row r="1191">
          <cell r="A1191">
            <v>2385</v>
          </cell>
          <cell r="B1191" t="str">
            <v>群光</v>
          </cell>
          <cell r="C1191">
            <v>72</v>
          </cell>
          <cell r="D1191">
            <v>1038240</v>
          </cell>
        </row>
        <row r="1192">
          <cell r="A1192">
            <v>2387</v>
          </cell>
          <cell r="B1192" t="str">
            <v>精元</v>
          </cell>
          <cell r="C1192">
            <v>15.8</v>
          </cell>
          <cell r="D1192">
            <v>446524</v>
          </cell>
        </row>
        <row r="1193">
          <cell r="A1193">
            <v>2388</v>
          </cell>
          <cell r="B1193" t="str">
            <v>威盛</v>
          </cell>
          <cell r="C1193">
            <v>16</v>
          </cell>
          <cell r="D1193">
            <v>13359215</v>
          </cell>
        </row>
        <row r="1194">
          <cell r="A1194">
            <v>2390</v>
          </cell>
          <cell r="B1194" t="str">
            <v>云辰</v>
          </cell>
          <cell r="C1194">
            <v>9.9</v>
          </cell>
          <cell r="D1194">
            <v>635100</v>
          </cell>
        </row>
        <row r="1195">
          <cell r="A1195">
            <v>2392</v>
          </cell>
          <cell r="B1195" t="str">
            <v>正崴</v>
          </cell>
          <cell r="C1195">
            <v>41.1</v>
          </cell>
          <cell r="D1195">
            <v>1089880</v>
          </cell>
        </row>
        <row r="1196">
          <cell r="A1196">
            <v>2393</v>
          </cell>
          <cell r="B1196" t="str">
            <v>億光</v>
          </cell>
          <cell r="C1196">
            <v>43.8</v>
          </cell>
          <cell r="D1196">
            <v>1856253</v>
          </cell>
        </row>
        <row r="1197">
          <cell r="A1197">
            <v>2395</v>
          </cell>
          <cell r="B1197" t="str">
            <v>研華</v>
          </cell>
          <cell r="C1197">
            <v>209.5</v>
          </cell>
          <cell r="D1197">
            <v>1018705</v>
          </cell>
        </row>
        <row r="1198">
          <cell r="A1198">
            <v>2397</v>
          </cell>
          <cell r="B1198" t="str">
            <v>友通</v>
          </cell>
          <cell r="C1198">
            <v>56.5</v>
          </cell>
          <cell r="D1198">
            <v>28200</v>
          </cell>
        </row>
        <row r="1199">
          <cell r="A1199">
            <v>2399</v>
          </cell>
          <cell r="B1199" t="str">
            <v>映泰</v>
          </cell>
          <cell r="C1199">
            <v>14.3</v>
          </cell>
          <cell r="D1199">
            <v>5189100</v>
          </cell>
        </row>
        <row r="1200">
          <cell r="A1200">
            <v>2401</v>
          </cell>
          <cell r="B1200" t="str">
            <v>凌陽</v>
          </cell>
          <cell r="C1200">
            <v>15.2</v>
          </cell>
          <cell r="D1200">
            <v>6084672</v>
          </cell>
        </row>
        <row r="1201">
          <cell r="A1201">
            <v>2402</v>
          </cell>
          <cell r="B1201" t="str">
            <v>毅嘉</v>
          </cell>
          <cell r="C1201">
            <v>15.55</v>
          </cell>
          <cell r="D1201">
            <v>813215</v>
          </cell>
        </row>
        <row r="1202">
          <cell r="A1202">
            <v>2404</v>
          </cell>
          <cell r="B1202" t="str">
            <v>漢唐</v>
          </cell>
          <cell r="C1202">
            <v>59</v>
          </cell>
          <cell r="D1202">
            <v>548058</v>
          </cell>
        </row>
        <row r="1203">
          <cell r="A1203">
            <v>2405</v>
          </cell>
          <cell r="B1203" t="str">
            <v>浩鑫</v>
          </cell>
          <cell r="C1203">
            <v>17.25</v>
          </cell>
          <cell r="D1203">
            <v>16840481</v>
          </cell>
        </row>
        <row r="1204">
          <cell r="A1204">
            <v>2406</v>
          </cell>
          <cell r="B1204" t="str">
            <v>國碩</v>
          </cell>
          <cell r="C1204">
            <v>14.5</v>
          </cell>
          <cell r="D1204">
            <v>6443569</v>
          </cell>
        </row>
        <row r="1205">
          <cell r="A1205">
            <v>2408</v>
          </cell>
          <cell r="B1205" t="str">
            <v>南亞科</v>
          </cell>
          <cell r="C1205">
            <v>73.3</v>
          </cell>
          <cell r="D1205">
            <v>12295536</v>
          </cell>
        </row>
        <row r="1206">
          <cell r="A1206">
            <v>2409</v>
          </cell>
          <cell r="B1206" t="str">
            <v>友達</v>
          </cell>
          <cell r="C1206">
            <v>13.35</v>
          </cell>
          <cell r="D1206">
            <v>204615523</v>
          </cell>
        </row>
        <row r="1207">
          <cell r="A1207">
            <v>2412</v>
          </cell>
          <cell r="B1207" t="str">
            <v>中華電</v>
          </cell>
          <cell r="C1207">
            <v>107.5</v>
          </cell>
          <cell r="D1207">
            <v>12728774</v>
          </cell>
        </row>
        <row r="1208">
          <cell r="A1208">
            <v>2413</v>
          </cell>
          <cell r="B1208" t="str">
            <v>環科</v>
          </cell>
          <cell r="C1208">
            <v>17.899999999999999</v>
          </cell>
          <cell r="D1208">
            <v>134716</v>
          </cell>
        </row>
        <row r="1209">
          <cell r="A1209">
            <v>2414</v>
          </cell>
          <cell r="B1209" t="str">
            <v>精技</v>
          </cell>
          <cell r="C1209">
            <v>19.350000000000001</v>
          </cell>
          <cell r="D1209">
            <v>124354</v>
          </cell>
        </row>
        <row r="1210">
          <cell r="A1210">
            <v>2415</v>
          </cell>
          <cell r="B1210" t="str">
            <v>錩新</v>
          </cell>
          <cell r="C1210">
            <v>21.25</v>
          </cell>
          <cell r="D1210">
            <v>381125</v>
          </cell>
        </row>
        <row r="1211">
          <cell r="A1211">
            <v>2417</v>
          </cell>
          <cell r="B1211" t="str">
            <v>圓剛</v>
          </cell>
          <cell r="C1211">
            <v>12.4</v>
          </cell>
          <cell r="D1211">
            <v>2326004</v>
          </cell>
        </row>
        <row r="1212">
          <cell r="A1212">
            <v>2419</v>
          </cell>
          <cell r="B1212" t="str">
            <v>仲琦</v>
          </cell>
          <cell r="C1212">
            <v>19.05</v>
          </cell>
          <cell r="D1212">
            <v>1914059</v>
          </cell>
        </row>
        <row r="1213">
          <cell r="A1213">
            <v>2420</v>
          </cell>
          <cell r="B1213" t="str">
            <v>新巨</v>
          </cell>
          <cell r="C1213">
            <v>33.700000000000003</v>
          </cell>
          <cell r="D1213">
            <v>146056</v>
          </cell>
        </row>
        <row r="1214">
          <cell r="A1214">
            <v>2421</v>
          </cell>
          <cell r="B1214" t="str">
            <v>建準</v>
          </cell>
          <cell r="C1214">
            <v>50.7</v>
          </cell>
          <cell r="D1214">
            <v>3265103</v>
          </cell>
        </row>
        <row r="1215">
          <cell r="A1215">
            <v>2423</v>
          </cell>
          <cell r="B1215" t="str">
            <v>固緯</v>
          </cell>
          <cell r="C1215">
            <v>21.9</v>
          </cell>
          <cell r="D1215">
            <v>147808</v>
          </cell>
        </row>
        <row r="1216">
          <cell r="A1216">
            <v>2424</v>
          </cell>
          <cell r="B1216" t="str">
            <v>隴華</v>
          </cell>
          <cell r="C1216">
            <v>34.65</v>
          </cell>
          <cell r="D1216">
            <v>1000</v>
          </cell>
        </row>
        <row r="1217">
          <cell r="A1217">
            <v>2425</v>
          </cell>
          <cell r="B1217" t="str">
            <v>承啟</v>
          </cell>
          <cell r="C1217">
            <v>21.75</v>
          </cell>
          <cell r="D1217">
            <v>5132115</v>
          </cell>
        </row>
        <row r="1218">
          <cell r="A1218">
            <v>2426</v>
          </cell>
          <cell r="B1218" t="str">
            <v>鼎元</v>
          </cell>
          <cell r="C1218">
            <v>16.55</v>
          </cell>
          <cell r="D1218">
            <v>3377332</v>
          </cell>
        </row>
        <row r="1219">
          <cell r="A1219">
            <v>2427</v>
          </cell>
          <cell r="B1219" t="str">
            <v>三商電</v>
          </cell>
          <cell r="C1219">
            <v>11.4</v>
          </cell>
          <cell r="D1219">
            <v>1352506</v>
          </cell>
        </row>
        <row r="1220">
          <cell r="A1220">
            <v>2428</v>
          </cell>
          <cell r="B1220" t="str">
            <v>興勤</v>
          </cell>
          <cell r="C1220">
            <v>79.400000000000006</v>
          </cell>
          <cell r="D1220">
            <v>278500</v>
          </cell>
        </row>
        <row r="1221">
          <cell r="A1221">
            <v>2429</v>
          </cell>
          <cell r="B1221" t="str">
            <v>銘旺科</v>
          </cell>
          <cell r="C1221">
            <v>14.55</v>
          </cell>
          <cell r="D1221">
            <v>18015</v>
          </cell>
        </row>
        <row r="1222">
          <cell r="A1222">
            <v>2430</v>
          </cell>
          <cell r="B1222" t="str">
            <v>燦坤</v>
          </cell>
          <cell r="C1222">
            <v>22.9</v>
          </cell>
          <cell r="D1222">
            <v>69408</v>
          </cell>
        </row>
        <row r="1223">
          <cell r="A1223">
            <v>2431</v>
          </cell>
          <cell r="B1223" t="str">
            <v>聯昌</v>
          </cell>
          <cell r="C1223">
            <v>11.9</v>
          </cell>
          <cell r="D1223">
            <v>1164003</v>
          </cell>
        </row>
        <row r="1224">
          <cell r="A1224">
            <v>2433</v>
          </cell>
          <cell r="B1224" t="str">
            <v>互盛電</v>
          </cell>
          <cell r="C1224">
            <v>44.2</v>
          </cell>
          <cell r="D1224">
            <v>71000</v>
          </cell>
        </row>
        <row r="1225">
          <cell r="A1225">
            <v>2434</v>
          </cell>
          <cell r="B1225" t="str">
            <v>統懋</v>
          </cell>
          <cell r="C1225">
            <v>12.25</v>
          </cell>
          <cell r="D1225">
            <v>3103382</v>
          </cell>
        </row>
        <row r="1226">
          <cell r="A1226">
            <v>2436</v>
          </cell>
          <cell r="B1226" t="str">
            <v>偉詮電</v>
          </cell>
          <cell r="C1226">
            <v>26.4</v>
          </cell>
          <cell r="D1226">
            <v>1673100</v>
          </cell>
        </row>
        <row r="1227">
          <cell r="A1227">
            <v>2438</v>
          </cell>
          <cell r="B1227" t="str">
            <v>翔耀</v>
          </cell>
          <cell r="C1227">
            <v>6.7</v>
          </cell>
          <cell r="D1227">
            <v>61415</v>
          </cell>
        </row>
        <row r="1228">
          <cell r="A1228">
            <v>2439</v>
          </cell>
          <cell r="B1228" t="str">
            <v>美律</v>
          </cell>
          <cell r="C1228">
            <v>165</v>
          </cell>
          <cell r="D1228">
            <v>3518923</v>
          </cell>
        </row>
        <row r="1229">
          <cell r="A1229">
            <v>2440</v>
          </cell>
          <cell r="B1229" t="str">
            <v>太空梭</v>
          </cell>
          <cell r="C1229">
            <v>9.6999999999999993</v>
          </cell>
          <cell r="D1229">
            <v>162355</v>
          </cell>
        </row>
        <row r="1230">
          <cell r="A1230">
            <v>2441</v>
          </cell>
          <cell r="B1230" t="str">
            <v>超豐</v>
          </cell>
          <cell r="C1230">
            <v>54.5</v>
          </cell>
          <cell r="D1230">
            <v>1050859</v>
          </cell>
        </row>
        <row r="1231">
          <cell r="A1231">
            <v>2442</v>
          </cell>
          <cell r="B1231" t="str">
            <v>新美齊</v>
          </cell>
          <cell r="C1231">
            <v>7.56</v>
          </cell>
          <cell r="D1231">
            <v>279000</v>
          </cell>
        </row>
        <row r="1232">
          <cell r="A1232">
            <v>2443</v>
          </cell>
          <cell r="B1232" t="str">
            <v>新利虹</v>
          </cell>
          <cell r="C1232">
            <v>5.75</v>
          </cell>
          <cell r="D1232">
            <v>63017</v>
          </cell>
        </row>
        <row r="1233">
          <cell r="A1233">
            <v>2444</v>
          </cell>
          <cell r="B1233" t="str">
            <v>友旺</v>
          </cell>
          <cell r="C1233">
            <v>28.7</v>
          </cell>
          <cell r="D1233">
            <v>6642789</v>
          </cell>
        </row>
        <row r="1234">
          <cell r="A1234">
            <v>2448</v>
          </cell>
          <cell r="B1234" t="str">
            <v>晶電</v>
          </cell>
          <cell r="C1234">
            <v>46.25</v>
          </cell>
          <cell r="D1234">
            <v>40750664</v>
          </cell>
        </row>
        <row r="1235">
          <cell r="A1235">
            <v>2449</v>
          </cell>
          <cell r="B1235" t="str">
            <v>京元電子</v>
          </cell>
          <cell r="C1235">
            <v>30</v>
          </cell>
          <cell r="D1235">
            <v>3813178</v>
          </cell>
        </row>
        <row r="1236">
          <cell r="A1236">
            <v>2450</v>
          </cell>
          <cell r="B1236" t="str">
            <v>神腦</v>
          </cell>
          <cell r="C1236">
            <v>50.8</v>
          </cell>
          <cell r="D1236">
            <v>314001</v>
          </cell>
        </row>
        <row r="1237">
          <cell r="A1237">
            <v>2451</v>
          </cell>
          <cell r="B1237" t="str">
            <v>創見</v>
          </cell>
          <cell r="C1237">
            <v>81.2</v>
          </cell>
          <cell r="D1237">
            <v>730903</v>
          </cell>
        </row>
        <row r="1238">
          <cell r="A1238">
            <v>2453</v>
          </cell>
          <cell r="B1238" t="str">
            <v>凌群</v>
          </cell>
          <cell r="C1238">
            <v>13.5</v>
          </cell>
          <cell r="D1238">
            <v>247200</v>
          </cell>
        </row>
        <row r="1239">
          <cell r="A1239">
            <v>2454</v>
          </cell>
          <cell r="B1239" t="str">
            <v>聯發科</v>
          </cell>
          <cell r="C1239">
            <v>283</v>
          </cell>
          <cell r="D1239">
            <v>8477304</v>
          </cell>
        </row>
        <row r="1240">
          <cell r="A1240">
            <v>2455</v>
          </cell>
          <cell r="B1240" t="str">
            <v>全新</v>
          </cell>
          <cell r="C1240">
            <v>98.6</v>
          </cell>
          <cell r="D1240">
            <v>13119852</v>
          </cell>
        </row>
        <row r="1241">
          <cell r="A1241">
            <v>2456</v>
          </cell>
          <cell r="B1241" t="str">
            <v>奇力新</v>
          </cell>
          <cell r="C1241">
            <v>87.4</v>
          </cell>
          <cell r="D1241">
            <v>1879641</v>
          </cell>
        </row>
        <row r="1242">
          <cell r="A1242">
            <v>2457</v>
          </cell>
          <cell r="B1242" t="str">
            <v>飛宏</v>
          </cell>
          <cell r="C1242">
            <v>11.6</v>
          </cell>
          <cell r="D1242">
            <v>1506526</v>
          </cell>
        </row>
        <row r="1243">
          <cell r="A1243">
            <v>2458</v>
          </cell>
          <cell r="B1243" t="str">
            <v>義隆</v>
          </cell>
          <cell r="C1243">
            <v>43.9</v>
          </cell>
          <cell r="D1243">
            <v>3602402</v>
          </cell>
        </row>
        <row r="1244">
          <cell r="A1244">
            <v>2459</v>
          </cell>
          <cell r="B1244" t="str">
            <v>敦吉</v>
          </cell>
          <cell r="C1244">
            <v>41.85</v>
          </cell>
          <cell r="D1244">
            <v>199411</v>
          </cell>
        </row>
        <row r="1245">
          <cell r="A1245">
            <v>2460</v>
          </cell>
          <cell r="B1245" t="str">
            <v>建通</v>
          </cell>
          <cell r="C1245">
            <v>15.55</v>
          </cell>
          <cell r="D1245">
            <v>1577007</v>
          </cell>
        </row>
        <row r="1246">
          <cell r="A1246">
            <v>2461</v>
          </cell>
          <cell r="B1246" t="str">
            <v>光群雷</v>
          </cell>
          <cell r="C1246">
            <v>15.4</v>
          </cell>
          <cell r="D1246">
            <v>900234</v>
          </cell>
        </row>
        <row r="1247">
          <cell r="A1247">
            <v>2462</v>
          </cell>
          <cell r="B1247" t="str">
            <v>良得電</v>
          </cell>
          <cell r="C1247">
            <v>29.35</v>
          </cell>
          <cell r="D1247">
            <v>198715</v>
          </cell>
        </row>
        <row r="1248">
          <cell r="A1248">
            <v>2464</v>
          </cell>
          <cell r="B1248" t="str">
            <v>盟立</v>
          </cell>
          <cell r="C1248">
            <v>50.7</v>
          </cell>
          <cell r="D1248">
            <v>3716082</v>
          </cell>
        </row>
        <row r="1249">
          <cell r="A1249">
            <v>2465</v>
          </cell>
          <cell r="B1249" t="str">
            <v>麗臺</v>
          </cell>
          <cell r="C1249">
            <v>19.7</v>
          </cell>
          <cell r="D1249">
            <v>4440331</v>
          </cell>
        </row>
        <row r="1250">
          <cell r="A1250">
            <v>2466</v>
          </cell>
          <cell r="B1250" t="str">
            <v>冠西電</v>
          </cell>
          <cell r="C1250">
            <v>36</v>
          </cell>
          <cell r="D1250">
            <v>84000</v>
          </cell>
        </row>
        <row r="1251">
          <cell r="A1251">
            <v>2467</v>
          </cell>
          <cell r="B1251" t="str">
            <v>志聖</v>
          </cell>
          <cell r="C1251">
            <v>25.05</v>
          </cell>
          <cell r="D1251">
            <v>1563201</v>
          </cell>
        </row>
        <row r="1252">
          <cell r="A1252">
            <v>2468</v>
          </cell>
          <cell r="B1252" t="str">
            <v>華經</v>
          </cell>
          <cell r="C1252">
            <v>11.85</v>
          </cell>
          <cell r="D1252">
            <v>126090</v>
          </cell>
        </row>
        <row r="1253">
          <cell r="A1253">
            <v>2471</v>
          </cell>
          <cell r="B1253" t="str">
            <v>資通</v>
          </cell>
          <cell r="C1253">
            <v>14.5</v>
          </cell>
          <cell r="D1253">
            <v>36012</v>
          </cell>
        </row>
        <row r="1254">
          <cell r="A1254">
            <v>2472</v>
          </cell>
          <cell r="B1254" t="str">
            <v>立隆電</v>
          </cell>
          <cell r="C1254">
            <v>53.2</v>
          </cell>
          <cell r="D1254">
            <v>773400</v>
          </cell>
        </row>
        <row r="1255">
          <cell r="A1255">
            <v>2474</v>
          </cell>
          <cell r="B1255" t="str">
            <v>可成</v>
          </cell>
          <cell r="C1255">
            <v>333.5</v>
          </cell>
          <cell r="D1255">
            <v>6862236</v>
          </cell>
        </row>
        <row r="1256">
          <cell r="A1256">
            <v>2475</v>
          </cell>
          <cell r="B1256" t="str">
            <v>華映</v>
          </cell>
          <cell r="C1256">
            <v>2.23</v>
          </cell>
          <cell r="D1256">
            <v>6697184</v>
          </cell>
        </row>
        <row r="1257">
          <cell r="A1257">
            <v>2476</v>
          </cell>
          <cell r="B1257" t="str">
            <v>鉅祥</v>
          </cell>
          <cell r="C1257">
            <v>25.4</v>
          </cell>
          <cell r="D1257">
            <v>676232</v>
          </cell>
        </row>
        <row r="1258">
          <cell r="A1258">
            <v>2477</v>
          </cell>
          <cell r="B1258" t="str">
            <v>美隆電</v>
          </cell>
          <cell r="C1258">
            <v>29.35</v>
          </cell>
          <cell r="D1258">
            <v>1227840</v>
          </cell>
        </row>
        <row r="1259">
          <cell r="A1259">
            <v>2478</v>
          </cell>
          <cell r="B1259" t="str">
            <v>大毅</v>
          </cell>
          <cell r="C1259">
            <v>30.65</v>
          </cell>
          <cell r="D1259">
            <v>2774166</v>
          </cell>
        </row>
        <row r="1260">
          <cell r="A1260">
            <v>2480</v>
          </cell>
          <cell r="B1260" t="str">
            <v>敦陽科</v>
          </cell>
          <cell r="C1260">
            <v>35.200000000000003</v>
          </cell>
          <cell r="D1260">
            <v>196076</v>
          </cell>
        </row>
        <row r="1261">
          <cell r="A1261">
            <v>2481</v>
          </cell>
          <cell r="B1261" t="str">
            <v>強茂</v>
          </cell>
          <cell r="C1261">
            <v>31.85</v>
          </cell>
          <cell r="D1261">
            <v>10819039</v>
          </cell>
        </row>
        <row r="1262">
          <cell r="A1262">
            <v>2482</v>
          </cell>
          <cell r="B1262" t="str">
            <v>連宇</v>
          </cell>
          <cell r="C1262">
            <v>12.25</v>
          </cell>
          <cell r="D1262">
            <v>55000</v>
          </cell>
        </row>
        <row r="1263">
          <cell r="A1263">
            <v>2483</v>
          </cell>
          <cell r="B1263" t="str">
            <v>百容</v>
          </cell>
          <cell r="C1263">
            <v>21.2</v>
          </cell>
          <cell r="D1263">
            <v>409000</v>
          </cell>
        </row>
        <row r="1264">
          <cell r="A1264">
            <v>2484</v>
          </cell>
          <cell r="B1264" t="str">
            <v>希華</v>
          </cell>
          <cell r="C1264">
            <v>20.45</v>
          </cell>
          <cell r="D1264">
            <v>2428003</v>
          </cell>
        </row>
        <row r="1265">
          <cell r="A1265">
            <v>2485</v>
          </cell>
          <cell r="B1265" t="str">
            <v>兆赫</v>
          </cell>
          <cell r="C1265">
            <v>25.65</v>
          </cell>
          <cell r="D1265">
            <v>1744591</v>
          </cell>
        </row>
        <row r="1266">
          <cell r="A1266">
            <v>2486</v>
          </cell>
          <cell r="B1266" t="str">
            <v>一詮</v>
          </cell>
          <cell r="C1266">
            <v>10.3</v>
          </cell>
          <cell r="D1266">
            <v>1069010</v>
          </cell>
        </row>
        <row r="1267">
          <cell r="A1267">
            <v>2488</v>
          </cell>
          <cell r="B1267" t="str">
            <v>漢平</v>
          </cell>
          <cell r="C1267">
            <v>25.15</v>
          </cell>
          <cell r="D1267">
            <v>500008</v>
          </cell>
        </row>
        <row r="1268">
          <cell r="A1268">
            <v>2489</v>
          </cell>
          <cell r="B1268" t="str">
            <v>瑞軒</v>
          </cell>
          <cell r="C1268">
            <v>16.850000000000001</v>
          </cell>
          <cell r="D1268">
            <v>3748318</v>
          </cell>
        </row>
        <row r="1269">
          <cell r="A1269">
            <v>2491</v>
          </cell>
          <cell r="B1269" t="str">
            <v>吉祥全</v>
          </cell>
          <cell r="C1269">
            <v>6.31</v>
          </cell>
          <cell r="D1269">
            <v>61370</v>
          </cell>
        </row>
        <row r="1270">
          <cell r="A1270">
            <v>2492</v>
          </cell>
          <cell r="B1270" t="str">
            <v>華新科</v>
          </cell>
          <cell r="C1270">
            <v>84.2</v>
          </cell>
          <cell r="D1270">
            <v>5284829</v>
          </cell>
        </row>
        <row r="1271">
          <cell r="A1271">
            <v>2493</v>
          </cell>
          <cell r="B1271" t="str">
            <v>揚博</v>
          </cell>
          <cell r="C1271">
            <v>26</v>
          </cell>
          <cell r="D1271">
            <v>300158</v>
          </cell>
        </row>
        <row r="1272">
          <cell r="A1272">
            <v>2495</v>
          </cell>
          <cell r="B1272" t="str">
            <v>普安</v>
          </cell>
          <cell r="C1272">
            <v>13.45</v>
          </cell>
          <cell r="D1272">
            <v>277750</v>
          </cell>
        </row>
        <row r="1273">
          <cell r="A1273">
            <v>2496</v>
          </cell>
          <cell r="B1273" t="str">
            <v>卓越</v>
          </cell>
          <cell r="C1273">
            <v>146.5</v>
          </cell>
          <cell r="D1273">
            <v>89280</v>
          </cell>
        </row>
        <row r="1274">
          <cell r="A1274">
            <v>2497</v>
          </cell>
          <cell r="B1274" t="str">
            <v>怡利電</v>
          </cell>
          <cell r="C1274">
            <v>28.25</v>
          </cell>
          <cell r="D1274">
            <v>92754</v>
          </cell>
        </row>
        <row r="1275">
          <cell r="A1275">
            <v>2498</v>
          </cell>
          <cell r="B1275" t="str">
            <v>宏達電</v>
          </cell>
          <cell r="C1275">
            <v>60</v>
          </cell>
          <cell r="D1275">
            <v>8199116</v>
          </cell>
        </row>
        <row r="1276">
          <cell r="A1276">
            <v>2499</v>
          </cell>
          <cell r="B1276" t="str">
            <v>東貝</v>
          </cell>
          <cell r="C1276">
            <v>10.4</v>
          </cell>
          <cell r="D1276">
            <v>2008734</v>
          </cell>
        </row>
        <row r="1277">
          <cell r="A1277">
            <v>2501</v>
          </cell>
          <cell r="B1277" t="str">
            <v>國建</v>
          </cell>
          <cell r="C1277">
            <v>15.35</v>
          </cell>
          <cell r="D1277">
            <v>483809</v>
          </cell>
        </row>
        <row r="1278">
          <cell r="A1278">
            <v>2504</v>
          </cell>
          <cell r="B1278" t="str">
            <v>國產</v>
          </cell>
          <cell r="C1278">
            <v>9</v>
          </cell>
          <cell r="D1278">
            <v>1965317</v>
          </cell>
        </row>
        <row r="1279">
          <cell r="A1279">
            <v>2505</v>
          </cell>
          <cell r="B1279" t="str">
            <v>國揚</v>
          </cell>
          <cell r="C1279">
            <v>14.85</v>
          </cell>
          <cell r="D1279">
            <v>1162243</v>
          </cell>
        </row>
        <row r="1280">
          <cell r="A1280">
            <v>2506</v>
          </cell>
          <cell r="B1280" t="str">
            <v>太設</v>
          </cell>
          <cell r="C1280">
            <v>11.35</v>
          </cell>
          <cell r="D1280">
            <v>44226</v>
          </cell>
        </row>
        <row r="1281">
          <cell r="A1281">
            <v>2509</v>
          </cell>
          <cell r="B1281" t="str">
            <v>全坤建</v>
          </cell>
          <cell r="C1281">
            <v>21.1</v>
          </cell>
          <cell r="D1281">
            <v>72000</v>
          </cell>
        </row>
        <row r="1282">
          <cell r="A1282">
            <v>2511</v>
          </cell>
          <cell r="B1282" t="str">
            <v>太子</v>
          </cell>
          <cell r="C1282">
            <v>11.9</v>
          </cell>
          <cell r="D1282">
            <v>1841055</v>
          </cell>
        </row>
        <row r="1283">
          <cell r="A1283">
            <v>2514</v>
          </cell>
          <cell r="B1283" t="str">
            <v>龍邦</v>
          </cell>
          <cell r="C1283">
            <v>14</v>
          </cell>
          <cell r="D1283">
            <v>836006</v>
          </cell>
        </row>
        <row r="1284">
          <cell r="A1284">
            <v>2515</v>
          </cell>
          <cell r="B1284" t="str">
            <v>中工</v>
          </cell>
          <cell r="C1284">
            <v>7.23</v>
          </cell>
          <cell r="D1284">
            <v>7154542</v>
          </cell>
        </row>
        <row r="1285">
          <cell r="A1285">
            <v>2516</v>
          </cell>
          <cell r="B1285" t="str">
            <v>新建</v>
          </cell>
          <cell r="C1285">
            <v>6.54</v>
          </cell>
          <cell r="D1285">
            <v>257005</v>
          </cell>
        </row>
        <row r="1286">
          <cell r="A1286">
            <v>2520</v>
          </cell>
          <cell r="B1286" t="str">
            <v>冠德</v>
          </cell>
          <cell r="C1286">
            <v>20.6</v>
          </cell>
          <cell r="D1286">
            <v>2143031</v>
          </cell>
        </row>
        <row r="1287">
          <cell r="A1287">
            <v>2524</v>
          </cell>
          <cell r="B1287" t="str">
            <v>京城</v>
          </cell>
          <cell r="C1287">
            <v>22.55</v>
          </cell>
          <cell r="D1287">
            <v>312109</v>
          </cell>
        </row>
        <row r="1288">
          <cell r="A1288">
            <v>2527</v>
          </cell>
          <cell r="B1288" t="str">
            <v>宏璟</v>
          </cell>
          <cell r="C1288">
            <v>23.15</v>
          </cell>
          <cell r="D1288">
            <v>233410</v>
          </cell>
        </row>
        <row r="1289">
          <cell r="A1289">
            <v>2528</v>
          </cell>
          <cell r="B1289" t="str">
            <v>皇普</v>
          </cell>
          <cell r="C1289">
            <v>17.8</v>
          </cell>
          <cell r="D1289">
            <v>58000</v>
          </cell>
        </row>
        <row r="1290">
          <cell r="A1290">
            <v>2530</v>
          </cell>
          <cell r="B1290" t="str">
            <v>華建</v>
          </cell>
          <cell r="C1290">
            <v>15.05</v>
          </cell>
          <cell r="D1290">
            <v>97502</v>
          </cell>
        </row>
        <row r="1291">
          <cell r="A1291">
            <v>2534</v>
          </cell>
          <cell r="B1291" t="str">
            <v>宏盛</v>
          </cell>
          <cell r="C1291">
            <v>27.4</v>
          </cell>
          <cell r="D1291">
            <v>4854564</v>
          </cell>
        </row>
        <row r="1292">
          <cell r="A1292">
            <v>2535</v>
          </cell>
          <cell r="B1292" t="str">
            <v>達欣工</v>
          </cell>
          <cell r="C1292">
            <v>17.7</v>
          </cell>
          <cell r="D1292">
            <v>575790</v>
          </cell>
        </row>
        <row r="1293">
          <cell r="A1293">
            <v>2536</v>
          </cell>
          <cell r="B1293" t="str">
            <v>宏普</v>
          </cell>
          <cell r="C1293">
            <v>20.85</v>
          </cell>
          <cell r="D1293">
            <v>383000</v>
          </cell>
        </row>
        <row r="1294">
          <cell r="A1294">
            <v>2537</v>
          </cell>
          <cell r="B1294" t="str">
            <v>聯上發</v>
          </cell>
          <cell r="C1294">
            <v>7.42</v>
          </cell>
          <cell r="D1294">
            <v>664759</v>
          </cell>
        </row>
        <row r="1295">
          <cell r="A1295">
            <v>2538</v>
          </cell>
          <cell r="B1295" t="str">
            <v>基泰</v>
          </cell>
          <cell r="C1295">
            <v>10.1</v>
          </cell>
          <cell r="D1295">
            <v>766444</v>
          </cell>
        </row>
        <row r="1296">
          <cell r="A1296">
            <v>2539</v>
          </cell>
          <cell r="B1296" t="str">
            <v>櫻花建</v>
          </cell>
          <cell r="C1296">
            <v>28</v>
          </cell>
          <cell r="D1296">
            <v>71803</v>
          </cell>
        </row>
        <row r="1297">
          <cell r="A1297">
            <v>2540</v>
          </cell>
          <cell r="B1297" t="str">
            <v>愛山林</v>
          </cell>
          <cell r="C1297">
            <v>22.75</v>
          </cell>
          <cell r="D1297">
            <v>1000</v>
          </cell>
        </row>
        <row r="1298">
          <cell r="A1298">
            <v>2542</v>
          </cell>
          <cell r="B1298" t="str">
            <v>興富發</v>
          </cell>
          <cell r="C1298">
            <v>43.55</v>
          </cell>
          <cell r="D1298">
            <v>2663377</v>
          </cell>
        </row>
        <row r="1299">
          <cell r="A1299">
            <v>2543</v>
          </cell>
          <cell r="B1299" t="str">
            <v>皇昌</v>
          </cell>
          <cell r="C1299">
            <v>8.1999999999999993</v>
          </cell>
          <cell r="D1299">
            <v>5002</v>
          </cell>
        </row>
        <row r="1300">
          <cell r="A1300">
            <v>2545</v>
          </cell>
          <cell r="B1300" t="str">
            <v>皇翔</v>
          </cell>
          <cell r="C1300">
            <v>29.15</v>
          </cell>
          <cell r="D1300">
            <v>278300</v>
          </cell>
        </row>
        <row r="1301">
          <cell r="A1301">
            <v>2546</v>
          </cell>
          <cell r="B1301" t="str">
            <v>根基</v>
          </cell>
          <cell r="C1301">
            <v>21.55</v>
          </cell>
          <cell r="D1301">
            <v>302001</v>
          </cell>
        </row>
        <row r="1302">
          <cell r="A1302">
            <v>2547</v>
          </cell>
          <cell r="B1302" t="str">
            <v>日勝生</v>
          </cell>
          <cell r="C1302">
            <v>11.85</v>
          </cell>
          <cell r="D1302">
            <v>1402406</v>
          </cell>
        </row>
        <row r="1303">
          <cell r="A1303">
            <v>2548</v>
          </cell>
          <cell r="B1303" t="str">
            <v>華固</v>
          </cell>
          <cell r="C1303">
            <v>70.2</v>
          </cell>
          <cell r="D1303">
            <v>716454</v>
          </cell>
        </row>
        <row r="1304">
          <cell r="A1304">
            <v>2597</v>
          </cell>
          <cell r="B1304" t="str">
            <v>潤弘</v>
          </cell>
          <cell r="C1304">
            <v>37.4</v>
          </cell>
          <cell r="D1304">
            <v>31000</v>
          </cell>
        </row>
        <row r="1305">
          <cell r="A1305">
            <v>2601</v>
          </cell>
          <cell r="B1305" t="str">
            <v>益航</v>
          </cell>
          <cell r="C1305">
            <v>8.1</v>
          </cell>
          <cell r="D1305">
            <v>3050411</v>
          </cell>
        </row>
        <row r="1306">
          <cell r="A1306">
            <v>2603</v>
          </cell>
          <cell r="B1306" t="str">
            <v>長榮</v>
          </cell>
          <cell r="C1306">
            <v>15.1</v>
          </cell>
          <cell r="D1306">
            <v>20611818</v>
          </cell>
        </row>
        <row r="1307">
          <cell r="A1307">
            <v>2605</v>
          </cell>
          <cell r="B1307" t="str">
            <v>新興</v>
          </cell>
          <cell r="C1307">
            <v>18.7</v>
          </cell>
          <cell r="D1307">
            <v>733000</v>
          </cell>
        </row>
        <row r="1308">
          <cell r="A1308">
            <v>2606</v>
          </cell>
          <cell r="B1308" t="str">
            <v>裕民</v>
          </cell>
          <cell r="C1308">
            <v>34.5</v>
          </cell>
          <cell r="D1308">
            <v>2216706</v>
          </cell>
        </row>
        <row r="1309">
          <cell r="A1309">
            <v>2607</v>
          </cell>
          <cell r="B1309" t="str">
            <v>榮運</v>
          </cell>
          <cell r="C1309">
            <v>13.1</v>
          </cell>
          <cell r="D1309">
            <v>786195</v>
          </cell>
        </row>
        <row r="1310">
          <cell r="A1310">
            <v>2608</v>
          </cell>
          <cell r="B1310" t="str">
            <v>大榮</v>
          </cell>
          <cell r="C1310">
            <v>37.299999999999997</v>
          </cell>
          <cell r="D1310">
            <v>213553</v>
          </cell>
        </row>
        <row r="1311">
          <cell r="A1311">
            <v>2609</v>
          </cell>
          <cell r="B1311" t="str">
            <v>陽明</v>
          </cell>
          <cell r="C1311">
            <v>9.8000000000000007</v>
          </cell>
          <cell r="D1311">
            <v>20255434</v>
          </cell>
        </row>
        <row r="1312">
          <cell r="A1312">
            <v>2610</v>
          </cell>
          <cell r="B1312" t="str">
            <v>華航</v>
          </cell>
          <cell r="C1312">
            <v>11.25</v>
          </cell>
          <cell r="D1312">
            <v>14312753</v>
          </cell>
        </row>
        <row r="1313">
          <cell r="A1313">
            <v>2611</v>
          </cell>
          <cell r="B1313" t="str">
            <v>志信</v>
          </cell>
          <cell r="C1313">
            <v>6.71</v>
          </cell>
          <cell r="D1313">
            <v>166954</v>
          </cell>
        </row>
        <row r="1314">
          <cell r="A1314">
            <v>2612</v>
          </cell>
          <cell r="B1314" t="str">
            <v>中航</v>
          </cell>
          <cell r="C1314">
            <v>28.9</v>
          </cell>
          <cell r="D1314">
            <v>299115</v>
          </cell>
        </row>
        <row r="1315">
          <cell r="A1315">
            <v>2613</v>
          </cell>
          <cell r="B1315" t="str">
            <v>中櫃</v>
          </cell>
          <cell r="C1315">
            <v>12.5</v>
          </cell>
          <cell r="D1315">
            <v>102060</v>
          </cell>
        </row>
        <row r="1316">
          <cell r="A1316">
            <v>2614</v>
          </cell>
          <cell r="B1316" t="str">
            <v>東森</v>
          </cell>
          <cell r="C1316">
            <v>11.35</v>
          </cell>
          <cell r="D1316">
            <v>4806114</v>
          </cell>
        </row>
        <row r="1317">
          <cell r="A1317">
            <v>2615</v>
          </cell>
          <cell r="B1317" t="str">
            <v>萬海</v>
          </cell>
          <cell r="C1317">
            <v>17.649999999999999</v>
          </cell>
          <cell r="D1317">
            <v>2350580</v>
          </cell>
        </row>
        <row r="1318">
          <cell r="A1318">
            <v>2616</v>
          </cell>
          <cell r="B1318" t="str">
            <v>山隆</v>
          </cell>
          <cell r="C1318">
            <v>31.85</v>
          </cell>
          <cell r="D1318">
            <v>214800</v>
          </cell>
        </row>
        <row r="1319">
          <cell r="A1319">
            <v>2617</v>
          </cell>
          <cell r="B1319" t="str">
            <v>台航</v>
          </cell>
          <cell r="C1319">
            <v>14.55</v>
          </cell>
          <cell r="D1319">
            <v>997364</v>
          </cell>
        </row>
        <row r="1320">
          <cell r="A1320">
            <v>2618</v>
          </cell>
          <cell r="B1320" t="str">
            <v>長榮航</v>
          </cell>
          <cell r="C1320">
            <v>14.75</v>
          </cell>
          <cell r="D1320">
            <v>7572745</v>
          </cell>
        </row>
        <row r="1321">
          <cell r="A1321">
            <v>2633</v>
          </cell>
          <cell r="B1321" t="str">
            <v>台灣高鐵</v>
          </cell>
          <cell r="C1321">
            <v>21.85</v>
          </cell>
          <cell r="D1321">
            <v>4222775</v>
          </cell>
        </row>
        <row r="1322">
          <cell r="A1322">
            <v>2634</v>
          </cell>
          <cell r="B1322" t="str">
            <v>漢翔</v>
          </cell>
          <cell r="C1322">
            <v>33.6</v>
          </cell>
          <cell r="D1322">
            <v>1942533</v>
          </cell>
        </row>
        <row r="1323">
          <cell r="A1323">
            <v>2636</v>
          </cell>
          <cell r="B1323" t="str">
            <v>台驊投控</v>
          </cell>
          <cell r="C1323">
            <v>22.5</v>
          </cell>
          <cell r="D1323">
            <v>315643</v>
          </cell>
        </row>
        <row r="1324">
          <cell r="A1324">
            <v>2637</v>
          </cell>
          <cell r="B1324" t="str">
            <v>慧洋-KY</v>
          </cell>
          <cell r="C1324">
            <v>27.4</v>
          </cell>
          <cell r="D1324">
            <v>1331422</v>
          </cell>
        </row>
        <row r="1325">
          <cell r="A1325">
            <v>2642</v>
          </cell>
          <cell r="B1325" t="str">
            <v>宅配通</v>
          </cell>
          <cell r="C1325">
            <v>27.3</v>
          </cell>
          <cell r="D1325">
            <v>122000</v>
          </cell>
        </row>
        <row r="1326">
          <cell r="A1326">
            <v>2701</v>
          </cell>
          <cell r="B1326" t="str">
            <v>萬企</v>
          </cell>
          <cell r="C1326">
            <v>13.15</v>
          </cell>
          <cell r="D1326">
            <v>45965</v>
          </cell>
        </row>
        <row r="1327">
          <cell r="A1327">
            <v>2702</v>
          </cell>
          <cell r="B1327" t="str">
            <v>華園</v>
          </cell>
          <cell r="C1327">
            <v>14.7</v>
          </cell>
          <cell r="D1327">
            <v>28000</v>
          </cell>
        </row>
        <row r="1328">
          <cell r="A1328">
            <v>2704</v>
          </cell>
          <cell r="B1328" t="str">
            <v>國賓</v>
          </cell>
          <cell r="C1328">
            <v>22.95</v>
          </cell>
          <cell r="D1328">
            <v>183004</v>
          </cell>
        </row>
        <row r="1329">
          <cell r="A1329">
            <v>2705</v>
          </cell>
          <cell r="B1329" t="str">
            <v>六福</v>
          </cell>
          <cell r="C1329">
            <v>7.35</v>
          </cell>
          <cell r="D1329">
            <v>544230</v>
          </cell>
        </row>
        <row r="1330">
          <cell r="A1330">
            <v>2706</v>
          </cell>
          <cell r="B1330" t="str">
            <v>第一店</v>
          </cell>
          <cell r="C1330">
            <v>15.4</v>
          </cell>
          <cell r="D1330">
            <v>96476</v>
          </cell>
        </row>
        <row r="1331">
          <cell r="A1331">
            <v>2707</v>
          </cell>
          <cell r="B1331" t="str">
            <v>晶華</v>
          </cell>
          <cell r="C1331">
            <v>151</v>
          </cell>
          <cell r="D1331">
            <v>292684</v>
          </cell>
        </row>
        <row r="1332">
          <cell r="A1332">
            <v>2712</v>
          </cell>
          <cell r="B1332" t="str">
            <v>遠雄來</v>
          </cell>
          <cell r="C1332" t="str">
            <v>--</v>
          </cell>
          <cell r="D1332">
            <v>0</v>
          </cell>
        </row>
        <row r="1333">
          <cell r="A1333">
            <v>2722</v>
          </cell>
          <cell r="B1333" t="str">
            <v>夏都</v>
          </cell>
          <cell r="C1333">
            <v>34</v>
          </cell>
          <cell r="D1333">
            <v>1000</v>
          </cell>
        </row>
        <row r="1334">
          <cell r="A1334">
            <v>2723</v>
          </cell>
          <cell r="B1334" t="str">
            <v>美食-KY</v>
          </cell>
          <cell r="C1334">
            <v>402</v>
          </cell>
          <cell r="D1334">
            <v>337225</v>
          </cell>
        </row>
        <row r="1335">
          <cell r="A1335">
            <v>2727</v>
          </cell>
          <cell r="B1335" t="str">
            <v>王品</v>
          </cell>
          <cell r="C1335">
            <v>123</v>
          </cell>
          <cell r="D1335">
            <v>416352</v>
          </cell>
        </row>
        <row r="1336">
          <cell r="A1336">
            <v>2731</v>
          </cell>
          <cell r="B1336" t="str">
            <v>雄獅</v>
          </cell>
          <cell r="C1336">
            <v>125.5</v>
          </cell>
          <cell r="D1336">
            <v>578000</v>
          </cell>
        </row>
        <row r="1337">
          <cell r="A1337">
            <v>2739</v>
          </cell>
          <cell r="B1337" t="str">
            <v>寒舍</v>
          </cell>
          <cell r="C1337">
            <v>41</v>
          </cell>
          <cell r="D1337">
            <v>143000</v>
          </cell>
        </row>
        <row r="1338">
          <cell r="A1338">
            <v>2748</v>
          </cell>
          <cell r="B1338" t="str">
            <v>雲品</v>
          </cell>
          <cell r="C1338">
            <v>54.1</v>
          </cell>
          <cell r="D1338">
            <v>561674</v>
          </cell>
        </row>
        <row r="1339">
          <cell r="A1339">
            <v>2801</v>
          </cell>
          <cell r="B1339" t="str">
            <v>彰銀</v>
          </cell>
          <cell r="C1339">
            <v>16.45</v>
          </cell>
          <cell r="D1339">
            <v>10375263</v>
          </cell>
        </row>
        <row r="1340">
          <cell r="A1340">
            <v>2809</v>
          </cell>
          <cell r="B1340" t="str">
            <v>京城銀</v>
          </cell>
          <cell r="C1340">
            <v>39.450000000000003</v>
          </cell>
          <cell r="D1340">
            <v>645730</v>
          </cell>
        </row>
        <row r="1341">
          <cell r="A1341">
            <v>2812</v>
          </cell>
          <cell r="B1341" t="str">
            <v>台中銀</v>
          </cell>
          <cell r="C1341">
            <v>10.050000000000001</v>
          </cell>
          <cell r="D1341">
            <v>5426844</v>
          </cell>
        </row>
        <row r="1342">
          <cell r="A1342">
            <v>2816</v>
          </cell>
          <cell r="B1342" t="str">
            <v>旺旺保</v>
          </cell>
          <cell r="C1342">
            <v>17.7</v>
          </cell>
          <cell r="D1342">
            <v>605209</v>
          </cell>
        </row>
        <row r="1343">
          <cell r="A1343">
            <v>2820</v>
          </cell>
          <cell r="B1343" t="str">
            <v>華票</v>
          </cell>
          <cell r="C1343">
            <v>14.9</v>
          </cell>
          <cell r="D1343">
            <v>1465713</v>
          </cell>
        </row>
        <row r="1344">
          <cell r="A1344">
            <v>2823</v>
          </cell>
          <cell r="B1344" t="str">
            <v>中壽</v>
          </cell>
          <cell r="C1344">
            <v>29.05</v>
          </cell>
          <cell r="D1344">
            <v>11563145</v>
          </cell>
        </row>
        <row r="1345">
          <cell r="A1345">
            <v>2832</v>
          </cell>
          <cell r="B1345" t="str">
            <v>台產</v>
          </cell>
          <cell r="C1345">
            <v>20.3</v>
          </cell>
          <cell r="D1345">
            <v>347449</v>
          </cell>
        </row>
        <row r="1346">
          <cell r="A1346">
            <v>2834</v>
          </cell>
          <cell r="B1346" t="str">
            <v>臺企銀</v>
          </cell>
          <cell r="C1346">
            <v>8.4</v>
          </cell>
          <cell r="D1346">
            <v>23439432</v>
          </cell>
        </row>
        <row r="1347">
          <cell r="A1347">
            <v>2836</v>
          </cell>
          <cell r="B1347" t="str">
            <v>高雄銀</v>
          </cell>
          <cell r="C1347">
            <v>9.15</v>
          </cell>
          <cell r="D1347">
            <v>849117</v>
          </cell>
        </row>
        <row r="1348">
          <cell r="A1348">
            <v>2838</v>
          </cell>
          <cell r="B1348" t="str">
            <v>聯邦銀</v>
          </cell>
          <cell r="C1348">
            <v>9.1999999999999993</v>
          </cell>
          <cell r="D1348">
            <v>674591</v>
          </cell>
        </row>
        <row r="1349">
          <cell r="A1349" t="str">
            <v>2838A</v>
          </cell>
          <cell r="B1349" t="str">
            <v>聯邦銀甲特</v>
          </cell>
          <cell r="C1349">
            <v>50</v>
          </cell>
          <cell r="D1349">
            <v>364100</v>
          </cell>
        </row>
        <row r="1350">
          <cell r="A1350">
            <v>2841</v>
          </cell>
          <cell r="B1350" t="str">
            <v>台開</v>
          </cell>
          <cell r="C1350">
            <v>9.43</v>
          </cell>
          <cell r="D1350">
            <v>3266350</v>
          </cell>
        </row>
        <row r="1351">
          <cell r="A1351">
            <v>2845</v>
          </cell>
          <cell r="B1351" t="str">
            <v>遠東銀</v>
          </cell>
          <cell r="C1351">
            <v>9.35</v>
          </cell>
          <cell r="D1351">
            <v>3926329</v>
          </cell>
        </row>
        <row r="1352">
          <cell r="A1352">
            <v>2849</v>
          </cell>
          <cell r="B1352" t="str">
            <v>安泰銀</v>
          </cell>
          <cell r="C1352">
            <v>12.7</v>
          </cell>
          <cell r="D1352">
            <v>99560</v>
          </cell>
        </row>
        <row r="1353">
          <cell r="A1353">
            <v>2850</v>
          </cell>
          <cell r="B1353" t="str">
            <v>新產</v>
          </cell>
          <cell r="C1353">
            <v>28.5</v>
          </cell>
          <cell r="D1353">
            <v>445165</v>
          </cell>
        </row>
        <row r="1354">
          <cell r="A1354">
            <v>2851</v>
          </cell>
          <cell r="B1354" t="str">
            <v>中再保</v>
          </cell>
          <cell r="C1354">
            <v>17.100000000000001</v>
          </cell>
          <cell r="D1354">
            <v>252000</v>
          </cell>
        </row>
        <row r="1355">
          <cell r="A1355">
            <v>2852</v>
          </cell>
          <cell r="B1355" t="str">
            <v>第一保</v>
          </cell>
          <cell r="C1355">
            <v>13.9</v>
          </cell>
          <cell r="D1355">
            <v>141411</v>
          </cell>
        </row>
        <row r="1356">
          <cell r="A1356">
            <v>2855</v>
          </cell>
          <cell r="B1356" t="str">
            <v>統一證</v>
          </cell>
          <cell r="C1356">
            <v>14.2</v>
          </cell>
          <cell r="D1356">
            <v>1547992</v>
          </cell>
        </row>
        <row r="1357">
          <cell r="A1357">
            <v>2856</v>
          </cell>
          <cell r="B1357" t="str">
            <v>元富證</v>
          </cell>
          <cell r="C1357">
            <v>8.6</v>
          </cell>
          <cell r="D1357">
            <v>2613833</v>
          </cell>
        </row>
        <row r="1358">
          <cell r="A1358">
            <v>2867</v>
          </cell>
          <cell r="B1358" t="str">
            <v>三商壽</v>
          </cell>
          <cell r="C1358">
            <v>15.1</v>
          </cell>
          <cell r="D1358">
            <v>3440785</v>
          </cell>
        </row>
        <row r="1359">
          <cell r="A1359">
            <v>2880</v>
          </cell>
          <cell r="B1359" t="str">
            <v>華南金</v>
          </cell>
          <cell r="C1359">
            <v>16.649999999999999</v>
          </cell>
          <cell r="D1359">
            <v>14756813</v>
          </cell>
        </row>
        <row r="1360">
          <cell r="A1360">
            <v>2881</v>
          </cell>
          <cell r="B1360" t="str">
            <v>富邦金</v>
          </cell>
          <cell r="C1360">
            <v>50.2</v>
          </cell>
          <cell r="D1360">
            <v>15881221</v>
          </cell>
        </row>
        <row r="1361">
          <cell r="A1361" t="str">
            <v>2881A</v>
          </cell>
          <cell r="B1361" t="str">
            <v>富邦特</v>
          </cell>
          <cell r="C1361">
            <v>64.5</v>
          </cell>
          <cell r="D1361">
            <v>291576</v>
          </cell>
        </row>
        <row r="1362">
          <cell r="A1362">
            <v>2882</v>
          </cell>
          <cell r="B1362" t="str">
            <v>國泰金</v>
          </cell>
          <cell r="C1362">
            <v>52.8</v>
          </cell>
          <cell r="D1362">
            <v>22072666</v>
          </cell>
        </row>
        <row r="1363">
          <cell r="A1363" t="str">
            <v>2882A</v>
          </cell>
          <cell r="B1363" t="str">
            <v>國泰特</v>
          </cell>
          <cell r="C1363">
            <v>63</v>
          </cell>
          <cell r="D1363">
            <v>432059</v>
          </cell>
        </row>
        <row r="1364">
          <cell r="A1364">
            <v>2883</v>
          </cell>
          <cell r="B1364" t="str">
            <v>開發金</v>
          </cell>
          <cell r="C1364">
            <v>10</v>
          </cell>
          <cell r="D1364">
            <v>45018889</v>
          </cell>
        </row>
        <row r="1365">
          <cell r="A1365">
            <v>2884</v>
          </cell>
          <cell r="B1365" t="str">
            <v>玉山金</v>
          </cell>
          <cell r="C1365">
            <v>18.7</v>
          </cell>
          <cell r="D1365">
            <v>27785371</v>
          </cell>
        </row>
        <row r="1366">
          <cell r="A1366">
            <v>2885</v>
          </cell>
          <cell r="B1366" t="str">
            <v>元大金</v>
          </cell>
          <cell r="C1366">
            <v>12.95</v>
          </cell>
          <cell r="D1366">
            <v>26093747</v>
          </cell>
        </row>
        <row r="1367">
          <cell r="A1367">
            <v>2886</v>
          </cell>
          <cell r="B1367" t="str">
            <v>兆豐金</v>
          </cell>
          <cell r="C1367">
            <v>23.95</v>
          </cell>
          <cell r="D1367">
            <v>18458804</v>
          </cell>
        </row>
        <row r="1368">
          <cell r="A1368">
            <v>2887</v>
          </cell>
          <cell r="B1368" t="str">
            <v>台新金</v>
          </cell>
          <cell r="C1368">
            <v>13.6</v>
          </cell>
          <cell r="D1368">
            <v>22895229</v>
          </cell>
        </row>
        <row r="1369">
          <cell r="A1369" t="str">
            <v>2887E</v>
          </cell>
          <cell r="B1369" t="str">
            <v>台新戊特</v>
          </cell>
          <cell r="C1369">
            <v>53.3</v>
          </cell>
          <cell r="D1369">
            <v>472555</v>
          </cell>
        </row>
        <row r="1370">
          <cell r="A1370">
            <v>2888</v>
          </cell>
          <cell r="B1370" t="str">
            <v>新光金</v>
          </cell>
          <cell r="C1370">
            <v>10.050000000000001</v>
          </cell>
          <cell r="D1370">
            <v>45021661</v>
          </cell>
        </row>
        <row r="1371">
          <cell r="A1371">
            <v>2889</v>
          </cell>
          <cell r="B1371" t="str">
            <v>國票金</v>
          </cell>
          <cell r="C1371">
            <v>9.6300000000000008</v>
          </cell>
          <cell r="D1371">
            <v>4569372</v>
          </cell>
        </row>
        <row r="1372">
          <cell r="A1372">
            <v>2890</v>
          </cell>
          <cell r="B1372" t="str">
            <v>永豐金</v>
          </cell>
          <cell r="C1372">
            <v>9.6</v>
          </cell>
          <cell r="D1372">
            <v>21188043</v>
          </cell>
        </row>
        <row r="1373">
          <cell r="A1373">
            <v>2891</v>
          </cell>
          <cell r="B1373" t="str">
            <v>中信金</v>
          </cell>
          <cell r="C1373">
            <v>20.350000000000001</v>
          </cell>
          <cell r="D1373">
            <v>52748501</v>
          </cell>
        </row>
        <row r="1374">
          <cell r="A1374" t="str">
            <v>2891B</v>
          </cell>
          <cell r="B1374" t="str">
            <v>中信金乙特</v>
          </cell>
          <cell r="C1374">
            <v>60.8</v>
          </cell>
          <cell r="D1374">
            <v>199675</v>
          </cell>
        </row>
        <row r="1375">
          <cell r="A1375">
            <v>2892</v>
          </cell>
          <cell r="B1375" t="str">
            <v>第一金</v>
          </cell>
          <cell r="C1375">
            <v>19.45</v>
          </cell>
          <cell r="D1375">
            <v>30970834</v>
          </cell>
        </row>
        <row r="1376">
          <cell r="A1376">
            <v>2897</v>
          </cell>
          <cell r="B1376" t="str">
            <v>王道銀行</v>
          </cell>
          <cell r="C1376">
            <v>8.73</v>
          </cell>
          <cell r="D1376">
            <v>1655500</v>
          </cell>
        </row>
        <row r="1377">
          <cell r="A1377">
            <v>2901</v>
          </cell>
          <cell r="B1377" t="str">
            <v>欣欣</v>
          </cell>
          <cell r="C1377">
            <v>25.2</v>
          </cell>
          <cell r="D1377">
            <v>53538</v>
          </cell>
        </row>
        <row r="1378">
          <cell r="A1378">
            <v>2903</v>
          </cell>
          <cell r="B1378" t="str">
            <v>遠百</v>
          </cell>
          <cell r="C1378">
            <v>15.6</v>
          </cell>
          <cell r="D1378">
            <v>2586960</v>
          </cell>
        </row>
        <row r="1379">
          <cell r="A1379">
            <v>2904</v>
          </cell>
          <cell r="B1379" t="str">
            <v>匯僑</v>
          </cell>
          <cell r="C1379">
            <v>18.100000000000001</v>
          </cell>
          <cell r="D1379">
            <v>61131</v>
          </cell>
        </row>
        <row r="1380">
          <cell r="A1380">
            <v>2905</v>
          </cell>
          <cell r="B1380" t="str">
            <v>三商</v>
          </cell>
          <cell r="C1380">
            <v>23.8</v>
          </cell>
          <cell r="D1380">
            <v>674210</v>
          </cell>
        </row>
        <row r="1381">
          <cell r="A1381">
            <v>2906</v>
          </cell>
          <cell r="B1381" t="str">
            <v>高林</v>
          </cell>
          <cell r="C1381">
            <v>10.75</v>
          </cell>
          <cell r="D1381">
            <v>204000</v>
          </cell>
        </row>
        <row r="1382">
          <cell r="A1382">
            <v>2908</v>
          </cell>
          <cell r="B1382" t="str">
            <v>特力</v>
          </cell>
          <cell r="C1382">
            <v>22.25</v>
          </cell>
          <cell r="D1382">
            <v>551861</v>
          </cell>
        </row>
        <row r="1383">
          <cell r="A1383">
            <v>2910</v>
          </cell>
          <cell r="B1383" t="str">
            <v>統領</v>
          </cell>
          <cell r="C1383">
            <v>24.85</v>
          </cell>
          <cell r="D1383">
            <v>1600</v>
          </cell>
        </row>
        <row r="1384">
          <cell r="A1384">
            <v>2911</v>
          </cell>
          <cell r="B1384" t="str">
            <v>麗嬰房</v>
          </cell>
          <cell r="C1384">
            <v>11.4</v>
          </cell>
          <cell r="D1384">
            <v>289388</v>
          </cell>
        </row>
        <row r="1385">
          <cell r="A1385">
            <v>2912</v>
          </cell>
          <cell r="B1385" t="str">
            <v>統一超</v>
          </cell>
          <cell r="C1385">
            <v>273</v>
          </cell>
          <cell r="D1385">
            <v>1924226</v>
          </cell>
        </row>
        <row r="1386">
          <cell r="A1386">
            <v>2913</v>
          </cell>
          <cell r="B1386" t="str">
            <v>農林</v>
          </cell>
          <cell r="C1386">
            <v>14.3</v>
          </cell>
          <cell r="D1386">
            <v>1337863</v>
          </cell>
        </row>
        <row r="1387">
          <cell r="A1387">
            <v>2915</v>
          </cell>
          <cell r="B1387" t="str">
            <v>潤泰全</v>
          </cell>
          <cell r="C1387">
            <v>47.65</v>
          </cell>
          <cell r="D1387">
            <v>3790765</v>
          </cell>
        </row>
        <row r="1388">
          <cell r="A1388">
            <v>2923</v>
          </cell>
          <cell r="B1388" t="str">
            <v>鼎固-KY</v>
          </cell>
          <cell r="C1388">
            <v>18.2</v>
          </cell>
          <cell r="D1388">
            <v>33000</v>
          </cell>
        </row>
        <row r="1389">
          <cell r="A1389">
            <v>2929</v>
          </cell>
          <cell r="B1389" t="str">
            <v>淘帝-KY</v>
          </cell>
          <cell r="C1389">
            <v>100</v>
          </cell>
          <cell r="D1389">
            <v>369191</v>
          </cell>
        </row>
        <row r="1390">
          <cell r="A1390">
            <v>2936</v>
          </cell>
          <cell r="B1390" t="str">
            <v>客思達-KY</v>
          </cell>
          <cell r="C1390">
            <v>28.65</v>
          </cell>
          <cell r="D1390">
            <v>20000</v>
          </cell>
        </row>
        <row r="1391">
          <cell r="A1391">
            <v>2939</v>
          </cell>
          <cell r="B1391" t="str">
            <v>凱羿-KY</v>
          </cell>
          <cell r="C1391">
            <v>179</v>
          </cell>
          <cell r="D1391">
            <v>88001</v>
          </cell>
        </row>
        <row r="1392">
          <cell r="A1392">
            <v>3002</v>
          </cell>
          <cell r="B1392" t="str">
            <v>歐格</v>
          </cell>
          <cell r="C1392">
            <v>12.65</v>
          </cell>
          <cell r="D1392">
            <v>184100</v>
          </cell>
        </row>
        <row r="1393">
          <cell r="A1393">
            <v>3003</v>
          </cell>
          <cell r="B1393" t="str">
            <v>健和興</v>
          </cell>
          <cell r="C1393">
            <v>48.8</v>
          </cell>
          <cell r="D1393">
            <v>2070325</v>
          </cell>
        </row>
        <row r="1394">
          <cell r="A1394">
            <v>3004</v>
          </cell>
          <cell r="B1394" t="str">
            <v>豐達科</v>
          </cell>
          <cell r="C1394">
            <v>46.9</v>
          </cell>
          <cell r="D1394">
            <v>71328</v>
          </cell>
        </row>
        <row r="1395">
          <cell r="A1395">
            <v>3005</v>
          </cell>
          <cell r="B1395" t="str">
            <v>神基</v>
          </cell>
          <cell r="C1395">
            <v>42.5</v>
          </cell>
          <cell r="D1395">
            <v>2057382</v>
          </cell>
        </row>
        <row r="1396">
          <cell r="A1396">
            <v>3006</v>
          </cell>
          <cell r="B1396" t="str">
            <v>晶豪科</v>
          </cell>
          <cell r="C1396">
            <v>39.4</v>
          </cell>
          <cell r="D1396">
            <v>2712672</v>
          </cell>
        </row>
        <row r="1397">
          <cell r="A1397">
            <v>3008</v>
          </cell>
          <cell r="B1397" t="str">
            <v>大立光</v>
          </cell>
          <cell r="C1397">
            <v>3575</v>
          </cell>
          <cell r="D1397">
            <v>771119</v>
          </cell>
        </row>
        <row r="1398">
          <cell r="A1398">
            <v>3010</v>
          </cell>
          <cell r="B1398" t="str">
            <v>華立</v>
          </cell>
          <cell r="C1398">
            <v>54.4</v>
          </cell>
          <cell r="D1398">
            <v>313893</v>
          </cell>
        </row>
        <row r="1399">
          <cell r="A1399">
            <v>3011</v>
          </cell>
          <cell r="B1399" t="str">
            <v>今皓</v>
          </cell>
          <cell r="C1399">
            <v>6.78</v>
          </cell>
          <cell r="D1399">
            <v>254714</v>
          </cell>
        </row>
        <row r="1400">
          <cell r="A1400">
            <v>3013</v>
          </cell>
          <cell r="B1400" t="str">
            <v>晟銘電</v>
          </cell>
          <cell r="C1400">
            <v>18.899999999999999</v>
          </cell>
          <cell r="D1400">
            <v>1317062</v>
          </cell>
        </row>
        <row r="1401">
          <cell r="A1401">
            <v>3014</v>
          </cell>
          <cell r="B1401" t="str">
            <v>聯陽</v>
          </cell>
          <cell r="C1401">
            <v>34</v>
          </cell>
          <cell r="D1401">
            <v>1112379</v>
          </cell>
        </row>
        <row r="1402">
          <cell r="A1402">
            <v>3015</v>
          </cell>
          <cell r="B1402" t="str">
            <v>全漢</v>
          </cell>
          <cell r="C1402">
            <v>22.6</v>
          </cell>
          <cell r="D1402">
            <v>239121</v>
          </cell>
        </row>
        <row r="1403">
          <cell r="A1403">
            <v>3016</v>
          </cell>
          <cell r="B1403" t="str">
            <v>嘉晶</v>
          </cell>
          <cell r="C1403">
            <v>29.35</v>
          </cell>
          <cell r="D1403">
            <v>2044843</v>
          </cell>
        </row>
        <row r="1404">
          <cell r="A1404">
            <v>3017</v>
          </cell>
          <cell r="B1404" t="str">
            <v>奇鋐</v>
          </cell>
          <cell r="C1404">
            <v>26.6</v>
          </cell>
          <cell r="D1404">
            <v>3247886</v>
          </cell>
        </row>
        <row r="1405">
          <cell r="A1405">
            <v>3018</v>
          </cell>
          <cell r="B1405" t="str">
            <v>同開</v>
          </cell>
          <cell r="C1405">
            <v>79.5</v>
          </cell>
          <cell r="D1405">
            <v>1056381</v>
          </cell>
        </row>
        <row r="1406">
          <cell r="A1406">
            <v>3019</v>
          </cell>
          <cell r="B1406" t="str">
            <v>亞光</v>
          </cell>
          <cell r="C1406">
            <v>96</v>
          </cell>
          <cell r="D1406">
            <v>10938090</v>
          </cell>
        </row>
        <row r="1407">
          <cell r="A1407">
            <v>3021</v>
          </cell>
          <cell r="B1407" t="str">
            <v>鴻名</v>
          </cell>
          <cell r="C1407">
            <v>13.35</v>
          </cell>
          <cell r="D1407">
            <v>92000</v>
          </cell>
        </row>
        <row r="1408">
          <cell r="A1408">
            <v>3022</v>
          </cell>
          <cell r="B1408" t="str">
            <v>威強電</v>
          </cell>
          <cell r="C1408">
            <v>39.700000000000003</v>
          </cell>
          <cell r="D1408">
            <v>596170</v>
          </cell>
        </row>
        <row r="1409">
          <cell r="A1409">
            <v>3023</v>
          </cell>
          <cell r="B1409" t="str">
            <v>信邦</v>
          </cell>
          <cell r="C1409">
            <v>77.2</v>
          </cell>
          <cell r="D1409">
            <v>759699</v>
          </cell>
        </row>
        <row r="1410">
          <cell r="A1410">
            <v>3024</v>
          </cell>
          <cell r="B1410" t="str">
            <v>憶聲</v>
          </cell>
          <cell r="C1410">
            <v>6.31</v>
          </cell>
          <cell r="D1410">
            <v>184108</v>
          </cell>
        </row>
        <row r="1411">
          <cell r="A1411">
            <v>3025</v>
          </cell>
          <cell r="B1411" t="str">
            <v>星通</v>
          </cell>
          <cell r="C1411">
            <v>17.8</v>
          </cell>
          <cell r="D1411">
            <v>201003</v>
          </cell>
        </row>
        <row r="1412">
          <cell r="A1412">
            <v>3026</v>
          </cell>
          <cell r="B1412" t="str">
            <v>禾伸堂</v>
          </cell>
          <cell r="C1412">
            <v>101</v>
          </cell>
          <cell r="D1412">
            <v>4648196</v>
          </cell>
        </row>
        <row r="1413">
          <cell r="A1413">
            <v>3027</v>
          </cell>
          <cell r="B1413" t="str">
            <v>盛達</v>
          </cell>
          <cell r="C1413">
            <v>9.8800000000000008</v>
          </cell>
          <cell r="D1413">
            <v>203927</v>
          </cell>
        </row>
        <row r="1414">
          <cell r="A1414">
            <v>3028</v>
          </cell>
          <cell r="B1414" t="str">
            <v>增你強</v>
          </cell>
          <cell r="C1414">
            <v>20.149999999999999</v>
          </cell>
          <cell r="D1414">
            <v>582012</v>
          </cell>
        </row>
        <row r="1415">
          <cell r="A1415">
            <v>3029</v>
          </cell>
          <cell r="B1415" t="str">
            <v>零壹</v>
          </cell>
          <cell r="C1415">
            <v>19.100000000000001</v>
          </cell>
          <cell r="D1415">
            <v>1274904</v>
          </cell>
        </row>
        <row r="1416">
          <cell r="A1416">
            <v>3030</v>
          </cell>
          <cell r="B1416" t="str">
            <v>德律</v>
          </cell>
          <cell r="C1416">
            <v>55</v>
          </cell>
          <cell r="D1416">
            <v>6874083</v>
          </cell>
        </row>
        <row r="1417">
          <cell r="A1417">
            <v>3031</v>
          </cell>
          <cell r="B1417" t="str">
            <v>佰鴻</v>
          </cell>
          <cell r="C1417">
            <v>14.9</v>
          </cell>
          <cell r="D1417">
            <v>889139</v>
          </cell>
        </row>
        <row r="1418">
          <cell r="A1418">
            <v>3032</v>
          </cell>
          <cell r="B1418" t="str">
            <v>偉訓</v>
          </cell>
          <cell r="C1418">
            <v>32.6</v>
          </cell>
          <cell r="D1418">
            <v>165012</v>
          </cell>
        </row>
        <row r="1419">
          <cell r="A1419">
            <v>3033</v>
          </cell>
          <cell r="B1419" t="str">
            <v>威健</v>
          </cell>
          <cell r="C1419">
            <v>19.350000000000001</v>
          </cell>
          <cell r="D1419">
            <v>1230795</v>
          </cell>
        </row>
        <row r="1420">
          <cell r="A1420">
            <v>3034</v>
          </cell>
          <cell r="B1420" t="str">
            <v>聯詠</v>
          </cell>
          <cell r="C1420">
            <v>121</v>
          </cell>
          <cell r="D1420">
            <v>4228711</v>
          </cell>
        </row>
        <row r="1421">
          <cell r="A1421">
            <v>3035</v>
          </cell>
          <cell r="B1421" t="str">
            <v>智原</v>
          </cell>
          <cell r="C1421">
            <v>68.2</v>
          </cell>
          <cell r="D1421">
            <v>13317915</v>
          </cell>
        </row>
        <row r="1422">
          <cell r="A1422">
            <v>3036</v>
          </cell>
          <cell r="B1422" t="str">
            <v>文曄</v>
          </cell>
          <cell r="C1422">
            <v>44.9</v>
          </cell>
          <cell r="D1422">
            <v>5333898</v>
          </cell>
        </row>
        <row r="1423">
          <cell r="A1423">
            <v>3037</v>
          </cell>
          <cell r="B1423" t="str">
            <v>欣興</v>
          </cell>
          <cell r="C1423">
            <v>19</v>
          </cell>
          <cell r="D1423">
            <v>40828387</v>
          </cell>
        </row>
        <row r="1424">
          <cell r="A1424">
            <v>3038</v>
          </cell>
          <cell r="B1424" t="str">
            <v>全台</v>
          </cell>
          <cell r="C1424">
            <v>9.01</v>
          </cell>
          <cell r="D1424">
            <v>454018</v>
          </cell>
        </row>
        <row r="1425">
          <cell r="A1425">
            <v>3040</v>
          </cell>
          <cell r="B1425" t="str">
            <v>遠見</v>
          </cell>
          <cell r="C1425">
            <v>48.8</v>
          </cell>
          <cell r="D1425">
            <v>220984</v>
          </cell>
        </row>
        <row r="1426">
          <cell r="A1426">
            <v>3041</v>
          </cell>
          <cell r="B1426" t="str">
            <v>揚智</v>
          </cell>
          <cell r="C1426">
            <v>15.25</v>
          </cell>
          <cell r="D1426">
            <v>2126679</v>
          </cell>
        </row>
        <row r="1427">
          <cell r="A1427">
            <v>3042</v>
          </cell>
          <cell r="B1427" t="str">
            <v>晶技</v>
          </cell>
          <cell r="C1427">
            <v>38.950000000000003</v>
          </cell>
          <cell r="D1427">
            <v>936374</v>
          </cell>
        </row>
        <row r="1428">
          <cell r="A1428">
            <v>3043</v>
          </cell>
          <cell r="B1428" t="str">
            <v>科風</v>
          </cell>
          <cell r="C1428">
            <v>2.14</v>
          </cell>
          <cell r="D1428">
            <v>158499</v>
          </cell>
        </row>
        <row r="1429">
          <cell r="A1429">
            <v>3044</v>
          </cell>
          <cell r="B1429" t="str">
            <v>健鼎</v>
          </cell>
          <cell r="C1429">
            <v>89.9</v>
          </cell>
          <cell r="D1429">
            <v>1699055</v>
          </cell>
        </row>
        <row r="1430">
          <cell r="A1430">
            <v>3045</v>
          </cell>
          <cell r="B1430" t="str">
            <v>台灣大</v>
          </cell>
          <cell r="C1430">
            <v>107</v>
          </cell>
          <cell r="D1430">
            <v>6126045</v>
          </cell>
        </row>
        <row r="1431">
          <cell r="A1431">
            <v>3046</v>
          </cell>
          <cell r="B1431" t="str">
            <v>建碁</v>
          </cell>
          <cell r="C1431">
            <v>18.7</v>
          </cell>
          <cell r="D1431">
            <v>3900</v>
          </cell>
        </row>
        <row r="1432">
          <cell r="A1432">
            <v>3047</v>
          </cell>
          <cell r="B1432" t="str">
            <v>訊舟</v>
          </cell>
          <cell r="C1432">
            <v>9.01</v>
          </cell>
          <cell r="D1432">
            <v>388827</v>
          </cell>
        </row>
        <row r="1433">
          <cell r="A1433">
            <v>3048</v>
          </cell>
          <cell r="B1433" t="str">
            <v>益登</v>
          </cell>
          <cell r="C1433">
            <v>18.350000000000001</v>
          </cell>
          <cell r="D1433">
            <v>1011331</v>
          </cell>
        </row>
        <row r="1434">
          <cell r="A1434">
            <v>3049</v>
          </cell>
          <cell r="B1434" t="str">
            <v>和鑫</v>
          </cell>
          <cell r="C1434">
            <v>7.9</v>
          </cell>
          <cell r="D1434">
            <v>1382170</v>
          </cell>
        </row>
        <row r="1435">
          <cell r="A1435">
            <v>3050</v>
          </cell>
          <cell r="B1435" t="str">
            <v>鈺德</v>
          </cell>
          <cell r="C1435">
            <v>11</v>
          </cell>
          <cell r="D1435">
            <v>569761</v>
          </cell>
        </row>
        <row r="1436">
          <cell r="A1436">
            <v>3051</v>
          </cell>
          <cell r="B1436" t="str">
            <v>力特</v>
          </cell>
          <cell r="C1436">
            <v>4.58</v>
          </cell>
          <cell r="D1436">
            <v>955140</v>
          </cell>
        </row>
        <row r="1437">
          <cell r="A1437">
            <v>3052</v>
          </cell>
          <cell r="B1437" t="str">
            <v>夆典</v>
          </cell>
          <cell r="C1437">
            <v>8</v>
          </cell>
          <cell r="D1437">
            <v>49500</v>
          </cell>
        </row>
        <row r="1438">
          <cell r="A1438">
            <v>3054</v>
          </cell>
          <cell r="B1438" t="str">
            <v>立萬利</v>
          </cell>
          <cell r="C1438">
            <v>18.7</v>
          </cell>
          <cell r="D1438">
            <v>64001</v>
          </cell>
        </row>
        <row r="1439">
          <cell r="A1439">
            <v>3055</v>
          </cell>
          <cell r="B1439" t="str">
            <v>蔚華科</v>
          </cell>
          <cell r="C1439">
            <v>25.3</v>
          </cell>
          <cell r="D1439">
            <v>830900</v>
          </cell>
        </row>
        <row r="1440">
          <cell r="A1440">
            <v>3056</v>
          </cell>
          <cell r="B1440" t="str">
            <v>總太</v>
          </cell>
          <cell r="C1440">
            <v>19.55</v>
          </cell>
          <cell r="D1440">
            <v>1206983</v>
          </cell>
        </row>
        <row r="1441">
          <cell r="A1441">
            <v>3057</v>
          </cell>
          <cell r="B1441" t="str">
            <v>喬鼎</v>
          </cell>
          <cell r="C1441">
            <v>9.4</v>
          </cell>
          <cell r="D1441">
            <v>531012</v>
          </cell>
        </row>
        <row r="1442">
          <cell r="A1442">
            <v>3058</v>
          </cell>
          <cell r="B1442" t="str">
            <v>立德</v>
          </cell>
          <cell r="C1442">
            <v>8.59</v>
          </cell>
          <cell r="D1442">
            <v>207354</v>
          </cell>
        </row>
        <row r="1443">
          <cell r="A1443">
            <v>3059</v>
          </cell>
          <cell r="B1443" t="str">
            <v>華晶科</v>
          </cell>
          <cell r="C1443">
            <v>27.4</v>
          </cell>
          <cell r="D1443">
            <v>7346708</v>
          </cell>
        </row>
        <row r="1444">
          <cell r="A1444">
            <v>3060</v>
          </cell>
          <cell r="B1444" t="str">
            <v>銘異</v>
          </cell>
          <cell r="C1444">
            <v>21.75</v>
          </cell>
          <cell r="D1444">
            <v>904279</v>
          </cell>
        </row>
        <row r="1445">
          <cell r="A1445">
            <v>3062</v>
          </cell>
          <cell r="B1445" t="str">
            <v>建漢</v>
          </cell>
          <cell r="C1445">
            <v>18.100000000000001</v>
          </cell>
          <cell r="D1445">
            <v>1290519</v>
          </cell>
        </row>
        <row r="1446">
          <cell r="A1446">
            <v>3090</v>
          </cell>
          <cell r="B1446" t="str">
            <v>日電貿</v>
          </cell>
          <cell r="C1446">
            <v>38.049999999999997</v>
          </cell>
          <cell r="D1446">
            <v>1926723</v>
          </cell>
        </row>
        <row r="1447">
          <cell r="A1447">
            <v>3094</v>
          </cell>
          <cell r="B1447" t="str">
            <v>聯傑</v>
          </cell>
          <cell r="C1447">
            <v>22.5</v>
          </cell>
          <cell r="D1447">
            <v>577178</v>
          </cell>
        </row>
        <row r="1448">
          <cell r="A1448">
            <v>3130</v>
          </cell>
          <cell r="B1448" t="str">
            <v>一零四</v>
          </cell>
          <cell r="C1448">
            <v>175</v>
          </cell>
          <cell r="D1448">
            <v>34000</v>
          </cell>
        </row>
        <row r="1449">
          <cell r="A1449">
            <v>3149</v>
          </cell>
          <cell r="B1449" t="str">
            <v>正達</v>
          </cell>
          <cell r="C1449">
            <v>15.85</v>
          </cell>
          <cell r="D1449">
            <v>477519</v>
          </cell>
        </row>
        <row r="1450">
          <cell r="A1450">
            <v>3164</v>
          </cell>
          <cell r="B1450" t="str">
            <v>景岳</v>
          </cell>
          <cell r="C1450">
            <v>23.9</v>
          </cell>
          <cell r="D1450">
            <v>108001</v>
          </cell>
        </row>
        <row r="1451">
          <cell r="A1451">
            <v>3167</v>
          </cell>
          <cell r="B1451" t="str">
            <v>大量</v>
          </cell>
          <cell r="C1451">
            <v>47.9</v>
          </cell>
          <cell r="D1451">
            <v>764836</v>
          </cell>
        </row>
        <row r="1452">
          <cell r="A1452">
            <v>3189</v>
          </cell>
          <cell r="B1452" t="str">
            <v>景碩</v>
          </cell>
          <cell r="C1452">
            <v>46.65</v>
          </cell>
          <cell r="D1452">
            <v>2263931</v>
          </cell>
        </row>
        <row r="1453">
          <cell r="A1453">
            <v>3209</v>
          </cell>
          <cell r="B1453" t="str">
            <v>全科</v>
          </cell>
          <cell r="C1453">
            <v>19.55</v>
          </cell>
          <cell r="D1453">
            <v>330942</v>
          </cell>
        </row>
        <row r="1454">
          <cell r="A1454">
            <v>3229</v>
          </cell>
          <cell r="B1454" t="str">
            <v>晟鈦</v>
          </cell>
          <cell r="C1454">
            <v>17.45</v>
          </cell>
          <cell r="D1454">
            <v>304001</v>
          </cell>
        </row>
        <row r="1455">
          <cell r="A1455">
            <v>3231</v>
          </cell>
          <cell r="B1455" t="str">
            <v>緯創</v>
          </cell>
          <cell r="C1455">
            <v>22.7</v>
          </cell>
          <cell r="D1455">
            <v>16448474</v>
          </cell>
        </row>
        <row r="1456">
          <cell r="A1456">
            <v>3257</v>
          </cell>
          <cell r="B1456" t="str">
            <v>虹冠電</v>
          </cell>
          <cell r="C1456">
            <v>58.3</v>
          </cell>
          <cell r="D1456">
            <v>457042</v>
          </cell>
        </row>
        <row r="1457">
          <cell r="A1457">
            <v>3266</v>
          </cell>
          <cell r="B1457" t="str">
            <v>昇陽</v>
          </cell>
          <cell r="C1457">
            <v>10.85</v>
          </cell>
          <cell r="D1457">
            <v>234000</v>
          </cell>
        </row>
        <row r="1458">
          <cell r="A1458">
            <v>3296</v>
          </cell>
          <cell r="B1458" t="str">
            <v>勝德</v>
          </cell>
          <cell r="C1458">
            <v>14.15</v>
          </cell>
          <cell r="D1458">
            <v>142000</v>
          </cell>
        </row>
        <row r="1459">
          <cell r="A1459">
            <v>3305</v>
          </cell>
          <cell r="B1459" t="str">
            <v>昇貿</v>
          </cell>
          <cell r="C1459">
            <v>25.25</v>
          </cell>
          <cell r="D1459">
            <v>69533</v>
          </cell>
        </row>
        <row r="1460">
          <cell r="A1460">
            <v>3308</v>
          </cell>
          <cell r="B1460" t="str">
            <v>聯德</v>
          </cell>
          <cell r="C1460">
            <v>9.18</v>
          </cell>
          <cell r="D1460">
            <v>1307000</v>
          </cell>
        </row>
        <row r="1461">
          <cell r="A1461">
            <v>3311</v>
          </cell>
          <cell r="B1461" t="str">
            <v>閎暉</v>
          </cell>
          <cell r="C1461">
            <v>15.6</v>
          </cell>
          <cell r="D1461">
            <v>673160</v>
          </cell>
        </row>
        <row r="1462">
          <cell r="A1462">
            <v>3321</v>
          </cell>
          <cell r="B1462" t="str">
            <v>同泰</v>
          </cell>
          <cell r="C1462">
            <v>15.5</v>
          </cell>
          <cell r="D1462">
            <v>287000</v>
          </cell>
        </row>
        <row r="1463">
          <cell r="A1463">
            <v>3338</v>
          </cell>
          <cell r="B1463" t="str">
            <v>泰碩</v>
          </cell>
          <cell r="C1463">
            <v>25.35</v>
          </cell>
          <cell r="D1463">
            <v>250000</v>
          </cell>
        </row>
        <row r="1464">
          <cell r="A1464">
            <v>3346</v>
          </cell>
          <cell r="B1464" t="str">
            <v>麗清</v>
          </cell>
          <cell r="C1464">
            <v>63.6</v>
          </cell>
          <cell r="D1464">
            <v>483400</v>
          </cell>
        </row>
        <row r="1465">
          <cell r="A1465">
            <v>3356</v>
          </cell>
          <cell r="B1465" t="str">
            <v>奇偶</v>
          </cell>
          <cell r="C1465">
            <v>32</v>
          </cell>
          <cell r="D1465">
            <v>389896</v>
          </cell>
        </row>
        <row r="1466">
          <cell r="A1466">
            <v>3376</v>
          </cell>
          <cell r="B1466" t="str">
            <v>新日興</v>
          </cell>
          <cell r="C1466">
            <v>82</v>
          </cell>
          <cell r="D1466">
            <v>1321000</v>
          </cell>
        </row>
        <row r="1467">
          <cell r="A1467">
            <v>3380</v>
          </cell>
          <cell r="B1467" t="str">
            <v>明泰</v>
          </cell>
          <cell r="C1467">
            <v>24.1</v>
          </cell>
          <cell r="D1467">
            <v>3174255</v>
          </cell>
        </row>
        <row r="1468">
          <cell r="A1468">
            <v>3383</v>
          </cell>
          <cell r="B1468" t="str">
            <v>新世紀</v>
          </cell>
          <cell r="C1468">
            <v>3.5</v>
          </cell>
          <cell r="D1468">
            <v>250118</v>
          </cell>
        </row>
        <row r="1469">
          <cell r="A1469">
            <v>3406</v>
          </cell>
          <cell r="B1469" t="str">
            <v>玉晶光</v>
          </cell>
          <cell r="C1469">
            <v>231</v>
          </cell>
          <cell r="D1469">
            <v>6917721</v>
          </cell>
        </row>
        <row r="1470">
          <cell r="A1470">
            <v>3413</v>
          </cell>
          <cell r="B1470" t="str">
            <v>京鼎</v>
          </cell>
          <cell r="C1470">
            <v>205.5</v>
          </cell>
          <cell r="D1470">
            <v>5159254</v>
          </cell>
        </row>
        <row r="1471">
          <cell r="A1471">
            <v>3416</v>
          </cell>
          <cell r="B1471" t="str">
            <v>融程電</v>
          </cell>
          <cell r="C1471">
            <v>47.9</v>
          </cell>
          <cell r="D1471">
            <v>120083</v>
          </cell>
        </row>
        <row r="1472">
          <cell r="A1472">
            <v>3419</v>
          </cell>
          <cell r="B1472" t="str">
            <v>譁裕</v>
          </cell>
          <cell r="C1472">
            <v>18</v>
          </cell>
          <cell r="D1472">
            <v>540196</v>
          </cell>
        </row>
        <row r="1473">
          <cell r="A1473">
            <v>3432</v>
          </cell>
          <cell r="B1473" t="str">
            <v>台端</v>
          </cell>
          <cell r="C1473">
            <v>10.5</v>
          </cell>
          <cell r="D1473">
            <v>95000</v>
          </cell>
        </row>
        <row r="1474">
          <cell r="A1474">
            <v>3437</v>
          </cell>
          <cell r="B1474" t="str">
            <v>榮創</v>
          </cell>
          <cell r="C1474">
            <v>29.85</v>
          </cell>
          <cell r="D1474">
            <v>2226559</v>
          </cell>
        </row>
        <row r="1475">
          <cell r="A1475">
            <v>3443</v>
          </cell>
          <cell r="B1475" t="str">
            <v>創意</v>
          </cell>
          <cell r="C1475">
            <v>282</v>
          </cell>
          <cell r="D1475">
            <v>10155188</v>
          </cell>
        </row>
        <row r="1476">
          <cell r="A1476">
            <v>3450</v>
          </cell>
          <cell r="B1476" t="str">
            <v>聯鈞</v>
          </cell>
          <cell r="C1476">
            <v>117</v>
          </cell>
          <cell r="D1476">
            <v>1706678</v>
          </cell>
        </row>
        <row r="1477">
          <cell r="A1477">
            <v>3454</v>
          </cell>
          <cell r="B1477" t="str">
            <v>晶睿</v>
          </cell>
          <cell r="C1477">
            <v>85.2</v>
          </cell>
          <cell r="D1477">
            <v>184699</v>
          </cell>
        </row>
        <row r="1478">
          <cell r="A1478">
            <v>3481</v>
          </cell>
          <cell r="B1478" t="str">
            <v>群創</v>
          </cell>
          <cell r="C1478">
            <v>13.25</v>
          </cell>
          <cell r="D1478">
            <v>99611219</v>
          </cell>
        </row>
        <row r="1479">
          <cell r="A1479">
            <v>3494</v>
          </cell>
          <cell r="B1479" t="str">
            <v>誠研</v>
          </cell>
          <cell r="C1479">
            <v>9.5</v>
          </cell>
          <cell r="D1479">
            <v>1289169</v>
          </cell>
        </row>
        <row r="1480">
          <cell r="A1480">
            <v>3501</v>
          </cell>
          <cell r="B1480" t="str">
            <v>維熹</v>
          </cell>
          <cell r="C1480">
            <v>53.8</v>
          </cell>
          <cell r="D1480">
            <v>268264</v>
          </cell>
        </row>
        <row r="1481">
          <cell r="A1481">
            <v>3504</v>
          </cell>
          <cell r="B1481" t="str">
            <v>揚明光</v>
          </cell>
          <cell r="C1481">
            <v>57</v>
          </cell>
          <cell r="D1481">
            <v>2712105</v>
          </cell>
        </row>
        <row r="1482">
          <cell r="A1482">
            <v>3514</v>
          </cell>
          <cell r="B1482" t="str">
            <v>昱晶</v>
          </cell>
          <cell r="C1482">
            <v>15.05</v>
          </cell>
          <cell r="D1482">
            <v>3774774</v>
          </cell>
        </row>
        <row r="1483">
          <cell r="A1483">
            <v>3515</v>
          </cell>
          <cell r="B1483" t="str">
            <v>華擎</v>
          </cell>
          <cell r="C1483">
            <v>63.7</v>
          </cell>
          <cell r="D1483">
            <v>556177</v>
          </cell>
        </row>
        <row r="1484">
          <cell r="A1484">
            <v>3518</v>
          </cell>
          <cell r="B1484" t="str">
            <v>柏騰</v>
          </cell>
          <cell r="C1484">
            <v>26.5</v>
          </cell>
          <cell r="D1484">
            <v>1048020</v>
          </cell>
        </row>
        <row r="1485">
          <cell r="A1485">
            <v>3519</v>
          </cell>
          <cell r="B1485" t="str">
            <v>綠能</v>
          </cell>
          <cell r="C1485">
            <v>14.65</v>
          </cell>
          <cell r="D1485">
            <v>4536495</v>
          </cell>
        </row>
        <row r="1486">
          <cell r="A1486">
            <v>3528</v>
          </cell>
          <cell r="B1486" t="str">
            <v>安馳</v>
          </cell>
          <cell r="C1486">
            <v>33.700000000000003</v>
          </cell>
          <cell r="D1486">
            <v>84030</v>
          </cell>
        </row>
        <row r="1487">
          <cell r="A1487">
            <v>3532</v>
          </cell>
          <cell r="B1487" t="str">
            <v>台勝科</v>
          </cell>
          <cell r="C1487">
            <v>127</v>
          </cell>
          <cell r="D1487">
            <v>10160449</v>
          </cell>
        </row>
        <row r="1488">
          <cell r="A1488">
            <v>3533</v>
          </cell>
          <cell r="B1488" t="str">
            <v>嘉澤</v>
          </cell>
          <cell r="C1488">
            <v>196</v>
          </cell>
          <cell r="D1488">
            <v>3828688</v>
          </cell>
        </row>
        <row r="1489">
          <cell r="A1489">
            <v>3535</v>
          </cell>
          <cell r="B1489" t="str">
            <v>晶彩科</v>
          </cell>
          <cell r="C1489">
            <v>10.3</v>
          </cell>
          <cell r="D1489">
            <v>523006</v>
          </cell>
        </row>
        <row r="1490">
          <cell r="A1490">
            <v>3536</v>
          </cell>
          <cell r="B1490" t="str">
            <v>誠創</v>
          </cell>
          <cell r="C1490">
            <v>19.899999999999999</v>
          </cell>
          <cell r="D1490">
            <v>1277960</v>
          </cell>
        </row>
        <row r="1491">
          <cell r="A1491">
            <v>3545</v>
          </cell>
          <cell r="B1491" t="str">
            <v>敦泰</v>
          </cell>
          <cell r="C1491">
            <v>27</v>
          </cell>
          <cell r="D1491">
            <v>3011915</v>
          </cell>
        </row>
        <row r="1492">
          <cell r="A1492">
            <v>3550</v>
          </cell>
          <cell r="B1492" t="str">
            <v>聯穎</v>
          </cell>
          <cell r="C1492">
            <v>22.2</v>
          </cell>
          <cell r="D1492">
            <v>3196200</v>
          </cell>
        </row>
        <row r="1493">
          <cell r="A1493">
            <v>3557</v>
          </cell>
          <cell r="B1493" t="str">
            <v>嘉威</v>
          </cell>
          <cell r="C1493">
            <v>15.35</v>
          </cell>
          <cell r="D1493">
            <v>1191097</v>
          </cell>
        </row>
        <row r="1494">
          <cell r="A1494">
            <v>3561</v>
          </cell>
          <cell r="B1494" t="str">
            <v>昇陽光電</v>
          </cell>
          <cell r="C1494">
            <v>12.7</v>
          </cell>
          <cell r="D1494">
            <v>1764879</v>
          </cell>
        </row>
        <row r="1495">
          <cell r="A1495">
            <v>3576</v>
          </cell>
          <cell r="B1495" t="str">
            <v>新日光</v>
          </cell>
          <cell r="C1495">
            <v>12.35</v>
          </cell>
          <cell r="D1495">
            <v>5181912</v>
          </cell>
        </row>
        <row r="1496">
          <cell r="A1496">
            <v>3579</v>
          </cell>
          <cell r="B1496" t="str">
            <v>尚志</v>
          </cell>
          <cell r="C1496">
            <v>13</v>
          </cell>
          <cell r="D1496">
            <v>324053</v>
          </cell>
        </row>
        <row r="1497">
          <cell r="A1497">
            <v>3583</v>
          </cell>
          <cell r="B1497" t="str">
            <v>辛耘</v>
          </cell>
          <cell r="C1497">
            <v>74.900000000000006</v>
          </cell>
          <cell r="D1497">
            <v>547000</v>
          </cell>
        </row>
        <row r="1498">
          <cell r="A1498">
            <v>3588</v>
          </cell>
          <cell r="B1498" t="str">
            <v>通嘉</v>
          </cell>
          <cell r="C1498">
            <v>23.8</v>
          </cell>
          <cell r="D1498">
            <v>150237</v>
          </cell>
        </row>
        <row r="1499">
          <cell r="A1499">
            <v>3591</v>
          </cell>
          <cell r="B1499" t="str">
            <v>艾笛森</v>
          </cell>
          <cell r="C1499">
            <v>15.35</v>
          </cell>
          <cell r="D1499">
            <v>1366462</v>
          </cell>
        </row>
        <row r="1500">
          <cell r="A1500">
            <v>3593</v>
          </cell>
          <cell r="B1500" t="str">
            <v>力銘</v>
          </cell>
          <cell r="C1500">
            <v>9.69</v>
          </cell>
          <cell r="D1500">
            <v>278001</v>
          </cell>
        </row>
        <row r="1501">
          <cell r="A1501">
            <v>3596</v>
          </cell>
          <cell r="B1501" t="str">
            <v>智易</v>
          </cell>
          <cell r="C1501">
            <v>46.7</v>
          </cell>
          <cell r="D1501">
            <v>1655540</v>
          </cell>
        </row>
        <row r="1502">
          <cell r="A1502">
            <v>3605</v>
          </cell>
          <cell r="B1502" t="str">
            <v>宏致</v>
          </cell>
          <cell r="C1502">
            <v>22.65</v>
          </cell>
          <cell r="D1502">
            <v>188002</v>
          </cell>
        </row>
        <row r="1503">
          <cell r="A1503">
            <v>3607</v>
          </cell>
          <cell r="B1503" t="str">
            <v>谷崧</v>
          </cell>
          <cell r="C1503">
            <v>27.6</v>
          </cell>
          <cell r="D1503">
            <v>277005</v>
          </cell>
        </row>
        <row r="1504">
          <cell r="A1504">
            <v>3617</v>
          </cell>
          <cell r="B1504" t="str">
            <v>碩天</v>
          </cell>
          <cell r="C1504">
            <v>91.5</v>
          </cell>
          <cell r="D1504">
            <v>88000</v>
          </cell>
        </row>
        <row r="1505">
          <cell r="A1505">
            <v>3622</v>
          </cell>
          <cell r="B1505" t="str">
            <v>洋華</v>
          </cell>
          <cell r="C1505">
            <v>16.149999999999999</v>
          </cell>
          <cell r="D1505">
            <v>899650</v>
          </cell>
        </row>
        <row r="1506">
          <cell r="A1506">
            <v>3645</v>
          </cell>
          <cell r="B1506" t="str">
            <v>達邁</v>
          </cell>
          <cell r="C1506">
            <v>69.5</v>
          </cell>
          <cell r="D1506">
            <v>3230011</v>
          </cell>
        </row>
        <row r="1507">
          <cell r="A1507">
            <v>3653</v>
          </cell>
          <cell r="B1507" t="str">
            <v>健策</v>
          </cell>
          <cell r="C1507">
            <v>62.5</v>
          </cell>
          <cell r="D1507">
            <v>684100</v>
          </cell>
        </row>
        <row r="1508">
          <cell r="A1508">
            <v>3661</v>
          </cell>
          <cell r="B1508" t="str">
            <v>世芯-KY</v>
          </cell>
          <cell r="C1508">
            <v>98.5</v>
          </cell>
          <cell r="D1508">
            <v>4627050</v>
          </cell>
        </row>
        <row r="1509">
          <cell r="A1509">
            <v>3665</v>
          </cell>
          <cell r="B1509" t="str">
            <v>貿聯-KY</v>
          </cell>
          <cell r="C1509">
            <v>231</v>
          </cell>
          <cell r="D1509">
            <v>1821160</v>
          </cell>
        </row>
        <row r="1510">
          <cell r="A1510">
            <v>3669</v>
          </cell>
          <cell r="B1510" t="str">
            <v>圓展</v>
          </cell>
          <cell r="C1510">
            <v>19.8</v>
          </cell>
          <cell r="D1510">
            <v>89008</v>
          </cell>
        </row>
        <row r="1511">
          <cell r="A1511">
            <v>3673</v>
          </cell>
          <cell r="B1511" t="str">
            <v>TPK-KY</v>
          </cell>
          <cell r="C1511">
            <v>69.8</v>
          </cell>
          <cell r="D1511">
            <v>27442043</v>
          </cell>
        </row>
        <row r="1512">
          <cell r="A1512">
            <v>3679</v>
          </cell>
          <cell r="B1512" t="str">
            <v>新至陞</v>
          </cell>
          <cell r="C1512">
            <v>69.3</v>
          </cell>
          <cell r="D1512">
            <v>93380</v>
          </cell>
        </row>
        <row r="1513">
          <cell r="A1513">
            <v>3682</v>
          </cell>
          <cell r="B1513" t="str">
            <v>亞太電</v>
          </cell>
          <cell r="C1513">
            <v>9.16</v>
          </cell>
          <cell r="D1513">
            <v>6587628</v>
          </cell>
        </row>
        <row r="1514">
          <cell r="A1514">
            <v>3686</v>
          </cell>
          <cell r="B1514" t="str">
            <v>達能</v>
          </cell>
          <cell r="C1514">
            <v>6.43</v>
          </cell>
          <cell r="D1514">
            <v>1361009</v>
          </cell>
        </row>
        <row r="1515">
          <cell r="A1515">
            <v>3694</v>
          </cell>
          <cell r="B1515" t="str">
            <v>海華</v>
          </cell>
          <cell r="C1515">
            <v>15.9</v>
          </cell>
          <cell r="D1515">
            <v>943734</v>
          </cell>
        </row>
        <row r="1516">
          <cell r="A1516">
            <v>3698</v>
          </cell>
          <cell r="B1516" t="str">
            <v>隆達</v>
          </cell>
          <cell r="C1516">
            <v>21</v>
          </cell>
          <cell r="D1516">
            <v>3265467</v>
          </cell>
        </row>
        <row r="1517">
          <cell r="A1517">
            <v>3701</v>
          </cell>
          <cell r="B1517" t="str">
            <v>大眾控</v>
          </cell>
          <cell r="C1517">
            <v>6.73</v>
          </cell>
          <cell r="D1517">
            <v>3334</v>
          </cell>
        </row>
        <row r="1518">
          <cell r="A1518">
            <v>3702</v>
          </cell>
          <cell r="B1518" t="str">
            <v>大聯大</v>
          </cell>
          <cell r="C1518">
            <v>36.15</v>
          </cell>
          <cell r="D1518">
            <v>14373262</v>
          </cell>
        </row>
        <row r="1519">
          <cell r="A1519">
            <v>3703</v>
          </cell>
          <cell r="B1519" t="str">
            <v>欣陸</v>
          </cell>
          <cell r="C1519">
            <v>14.7</v>
          </cell>
          <cell r="D1519">
            <v>2975837</v>
          </cell>
        </row>
        <row r="1520">
          <cell r="A1520">
            <v>3704</v>
          </cell>
          <cell r="B1520" t="str">
            <v>合勤控</v>
          </cell>
          <cell r="C1520">
            <v>14.35</v>
          </cell>
          <cell r="D1520">
            <v>540573</v>
          </cell>
        </row>
        <row r="1521">
          <cell r="A1521">
            <v>3705</v>
          </cell>
          <cell r="B1521" t="str">
            <v>永信</v>
          </cell>
          <cell r="C1521">
            <v>39.6</v>
          </cell>
          <cell r="D1521">
            <v>136363</v>
          </cell>
        </row>
        <row r="1522">
          <cell r="A1522">
            <v>3706</v>
          </cell>
          <cell r="B1522" t="str">
            <v>神達</v>
          </cell>
          <cell r="C1522">
            <v>31.5</v>
          </cell>
          <cell r="D1522">
            <v>1880453</v>
          </cell>
        </row>
        <row r="1523">
          <cell r="A1523">
            <v>3708</v>
          </cell>
          <cell r="B1523" t="str">
            <v>上緯投控</v>
          </cell>
          <cell r="C1523">
            <v>72</v>
          </cell>
          <cell r="D1523">
            <v>941003</v>
          </cell>
        </row>
        <row r="1524">
          <cell r="A1524">
            <v>4104</v>
          </cell>
          <cell r="B1524" t="str">
            <v>佳醫</v>
          </cell>
          <cell r="C1524">
            <v>43.95</v>
          </cell>
          <cell r="D1524">
            <v>295452</v>
          </cell>
        </row>
        <row r="1525">
          <cell r="A1525">
            <v>4106</v>
          </cell>
          <cell r="B1525" t="str">
            <v>雃博</v>
          </cell>
          <cell r="C1525">
            <v>26.65</v>
          </cell>
          <cell r="D1525">
            <v>140001</v>
          </cell>
        </row>
        <row r="1526">
          <cell r="A1526">
            <v>4108</v>
          </cell>
          <cell r="B1526" t="str">
            <v>懷特</v>
          </cell>
          <cell r="C1526">
            <v>21.05</v>
          </cell>
          <cell r="D1526">
            <v>543002</v>
          </cell>
        </row>
        <row r="1527">
          <cell r="A1527">
            <v>4119</v>
          </cell>
          <cell r="B1527" t="str">
            <v>旭富</v>
          </cell>
          <cell r="C1527">
            <v>56.1</v>
          </cell>
          <cell r="D1527">
            <v>294821</v>
          </cell>
        </row>
        <row r="1528">
          <cell r="A1528">
            <v>4133</v>
          </cell>
          <cell r="B1528" t="str">
            <v>亞諾法</v>
          </cell>
          <cell r="C1528">
            <v>33.200000000000003</v>
          </cell>
          <cell r="D1528">
            <v>178702</v>
          </cell>
        </row>
        <row r="1529">
          <cell r="A1529">
            <v>4137</v>
          </cell>
          <cell r="B1529" t="str">
            <v>麗豐-KY</v>
          </cell>
          <cell r="C1529">
            <v>134.5</v>
          </cell>
          <cell r="D1529">
            <v>1126250</v>
          </cell>
        </row>
        <row r="1530">
          <cell r="A1530">
            <v>4141</v>
          </cell>
          <cell r="B1530" t="str">
            <v>龍燈-KY</v>
          </cell>
          <cell r="C1530">
            <v>24.15</v>
          </cell>
          <cell r="D1530">
            <v>182124</v>
          </cell>
        </row>
        <row r="1531">
          <cell r="A1531">
            <v>4142</v>
          </cell>
          <cell r="B1531" t="str">
            <v>國光生</v>
          </cell>
          <cell r="C1531">
            <v>17.899999999999999</v>
          </cell>
          <cell r="D1531">
            <v>893201</v>
          </cell>
        </row>
        <row r="1532">
          <cell r="A1532">
            <v>4144</v>
          </cell>
          <cell r="B1532" t="str">
            <v>康聯-KY</v>
          </cell>
          <cell r="C1532">
            <v>33.15</v>
          </cell>
          <cell r="D1532">
            <v>95052</v>
          </cell>
        </row>
        <row r="1533">
          <cell r="A1533">
            <v>4148</v>
          </cell>
          <cell r="B1533" t="str">
            <v>全宇生技-KY</v>
          </cell>
          <cell r="C1533">
            <v>105</v>
          </cell>
          <cell r="D1533">
            <v>555005</v>
          </cell>
        </row>
        <row r="1534">
          <cell r="A1534">
            <v>4155</v>
          </cell>
          <cell r="B1534" t="str">
            <v>訊映</v>
          </cell>
          <cell r="C1534">
            <v>26.7</v>
          </cell>
          <cell r="D1534">
            <v>169051</v>
          </cell>
        </row>
        <row r="1535">
          <cell r="A1535">
            <v>4164</v>
          </cell>
          <cell r="B1535" t="str">
            <v>承業醫</v>
          </cell>
          <cell r="C1535">
            <v>32.049999999999997</v>
          </cell>
          <cell r="D1535">
            <v>194624</v>
          </cell>
        </row>
        <row r="1536">
          <cell r="A1536">
            <v>4190</v>
          </cell>
          <cell r="B1536" t="str">
            <v>佐登-KY</v>
          </cell>
          <cell r="C1536">
            <v>50.6</v>
          </cell>
          <cell r="D1536">
            <v>120000</v>
          </cell>
        </row>
        <row r="1537">
          <cell r="A1537">
            <v>4306</v>
          </cell>
          <cell r="B1537" t="str">
            <v>炎洲</v>
          </cell>
          <cell r="C1537">
            <v>13.45</v>
          </cell>
          <cell r="D1537">
            <v>347674</v>
          </cell>
        </row>
        <row r="1538">
          <cell r="A1538">
            <v>4414</v>
          </cell>
          <cell r="B1538" t="str">
            <v>如興</v>
          </cell>
          <cell r="C1538">
            <v>16.7</v>
          </cell>
          <cell r="D1538">
            <v>3470681</v>
          </cell>
        </row>
        <row r="1539">
          <cell r="A1539">
            <v>4426</v>
          </cell>
          <cell r="B1539" t="str">
            <v>利勤</v>
          </cell>
          <cell r="C1539">
            <v>39.6</v>
          </cell>
          <cell r="D1539">
            <v>400777</v>
          </cell>
        </row>
        <row r="1540">
          <cell r="A1540">
            <v>4438</v>
          </cell>
          <cell r="B1540" t="str">
            <v>廣越</v>
          </cell>
          <cell r="C1540">
            <v>129.5</v>
          </cell>
          <cell r="D1540">
            <v>47217</v>
          </cell>
        </row>
        <row r="1541">
          <cell r="A1541">
            <v>4526</v>
          </cell>
          <cell r="B1541" t="str">
            <v>東台</v>
          </cell>
          <cell r="C1541">
            <v>19.5</v>
          </cell>
          <cell r="D1541">
            <v>374401</v>
          </cell>
        </row>
        <row r="1542">
          <cell r="A1542">
            <v>4532</v>
          </cell>
          <cell r="B1542" t="str">
            <v>瑞智</v>
          </cell>
          <cell r="C1542">
            <v>29.1</v>
          </cell>
          <cell r="D1542">
            <v>757030</v>
          </cell>
        </row>
        <row r="1543">
          <cell r="A1543">
            <v>4536</v>
          </cell>
          <cell r="B1543" t="str">
            <v>拓凱</v>
          </cell>
          <cell r="C1543">
            <v>87.7</v>
          </cell>
          <cell r="D1543">
            <v>28000</v>
          </cell>
        </row>
        <row r="1544">
          <cell r="A1544">
            <v>4545</v>
          </cell>
          <cell r="B1544" t="str">
            <v>銘鈺</v>
          </cell>
          <cell r="C1544">
            <v>33.700000000000003</v>
          </cell>
          <cell r="D1544">
            <v>120219</v>
          </cell>
        </row>
        <row r="1545">
          <cell r="A1545">
            <v>4551</v>
          </cell>
          <cell r="B1545" t="str">
            <v>智伸科</v>
          </cell>
          <cell r="C1545">
            <v>164.5</v>
          </cell>
          <cell r="D1545">
            <v>163050</v>
          </cell>
        </row>
        <row r="1546">
          <cell r="A1546">
            <v>4552</v>
          </cell>
          <cell r="B1546" t="str">
            <v>力達-KY</v>
          </cell>
          <cell r="C1546">
            <v>94.6</v>
          </cell>
          <cell r="D1546">
            <v>654955</v>
          </cell>
        </row>
        <row r="1547">
          <cell r="A1547">
            <v>4555</v>
          </cell>
          <cell r="B1547" t="str">
            <v>氣立</v>
          </cell>
          <cell r="C1547">
            <v>66.400000000000006</v>
          </cell>
          <cell r="D1547">
            <v>43000</v>
          </cell>
        </row>
        <row r="1548">
          <cell r="A1548">
            <v>4557</v>
          </cell>
          <cell r="B1548" t="str">
            <v>永新-KY</v>
          </cell>
          <cell r="C1548">
            <v>72.900000000000006</v>
          </cell>
          <cell r="D1548">
            <v>80002</v>
          </cell>
        </row>
        <row r="1549">
          <cell r="A1549">
            <v>4560</v>
          </cell>
          <cell r="B1549" t="str">
            <v>強信-KY</v>
          </cell>
          <cell r="C1549">
            <v>50.9</v>
          </cell>
          <cell r="D1549">
            <v>1481297</v>
          </cell>
        </row>
        <row r="1550">
          <cell r="A1550">
            <v>4562</v>
          </cell>
          <cell r="B1550" t="str">
            <v>穎漢</v>
          </cell>
          <cell r="C1550">
            <v>41.5</v>
          </cell>
          <cell r="D1550">
            <v>67100</v>
          </cell>
        </row>
        <row r="1551">
          <cell r="A1551">
            <v>4566</v>
          </cell>
          <cell r="B1551" t="str">
            <v>時碩工業</v>
          </cell>
          <cell r="C1551">
            <v>73.5</v>
          </cell>
          <cell r="D1551">
            <v>1575200</v>
          </cell>
        </row>
        <row r="1552">
          <cell r="A1552">
            <v>4720</v>
          </cell>
          <cell r="B1552" t="str">
            <v>德淵</v>
          </cell>
          <cell r="C1552">
            <v>14.15</v>
          </cell>
          <cell r="D1552">
            <v>72028</v>
          </cell>
        </row>
        <row r="1553">
          <cell r="A1553">
            <v>4722</v>
          </cell>
          <cell r="B1553" t="str">
            <v>國精化</v>
          </cell>
          <cell r="C1553">
            <v>32.75</v>
          </cell>
          <cell r="D1553">
            <v>221001</v>
          </cell>
        </row>
        <row r="1554">
          <cell r="A1554">
            <v>4725</v>
          </cell>
          <cell r="B1554" t="str">
            <v>信昌化</v>
          </cell>
          <cell r="C1554">
            <v>27.2</v>
          </cell>
          <cell r="D1554">
            <v>5652691</v>
          </cell>
        </row>
        <row r="1555">
          <cell r="A1555">
            <v>4737</v>
          </cell>
          <cell r="B1555" t="str">
            <v>華廣</v>
          </cell>
          <cell r="C1555">
            <v>48.3</v>
          </cell>
          <cell r="D1555">
            <v>131009</v>
          </cell>
        </row>
        <row r="1556">
          <cell r="A1556">
            <v>4739</v>
          </cell>
          <cell r="B1556" t="str">
            <v>康普</v>
          </cell>
          <cell r="C1556">
            <v>112</v>
          </cell>
          <cell r="D1556">
            <v>6979248</v>
          </cell>
        </row>
        <row r="1557">
          <cell r="A1557">
            <v>4746</v>
          </cell>
          <cell r="B1557" t="str">
            <v>台耀</v>
          </cell>
          <cell r="C1557">
            <v>51.6</v>
          </cell>
          <cell r="D1557">
            <v>392050</v>
          </cell>
        </row>
        <row r="1558">
          <cell r="A1558">
            <v>4755</v>
          </cell>
          <cell r="B1558" t="str">
            <v>三福化</v>
          </cell>
          <cell r="C1558">
            <v>51</v>
          </cell>
          <cell r="D1558">
            <v>82000</v>
          </cell>
        </row>
        <row r="1559">
          <cell r="A1559">
            <v>4763</v>
          </cell>
          <cell r="B1559" t="str">
            <v>材料-KY</v>
          </cell>
          <cell r="C1559">
            <v>126</v>
          </cell>
          <cell r="D1559">
            <v>1483000</v>
          </cell>
        </row>
        <row r="1560">
          <cell r="A1560">
            <v>4764</v>
          </cell>
          <cell r="B1560" t="str">
            <v>雙鍵</v>
          </cell>
          <cell r="C1560">
            <v>64</v>
          </cell>
          <cell r="D1560">
            <v>308000</v>
          </cell>
        </row>
        <row r="1561">
          <cell r="A1561">
            <v>4807</v>
          </cell>
          <cell r="B1561" t="str">
            <v>日成-KY</v>
          </cell>
          <cell r="C1561">
            <v>49.45</v>
          </cell>
          <cell r="D1561">
            <v>16017</v>
          </cell>
        </row>
        <row r="1562">
          <cell r="A1562">
            <v>4904</v>
          </cell>
          <cell r="B1562" t="str">
            <v>遠傳</v>
          </cell>
          <cell r="C1562">
            <v>73.3</v>
          </cell>
          <cell r="D1562">
            <v>4322347</v>
          </cell>
        </row>
        <row r="1563">
          <cell r="A1563">
            <v>4906</v>
          </cell>
          <cell r="B1563" t="str">
            <v>正文</v>
          </cell>
          <cell r="C1563">
            <v>25</v>
          </cell>
          <cell r="D1563">
            <v>5448815</v>
          </cell>
        </row>
        <row r="1564">
          <cell r="A1564">
            <v>4912</v>
          </cell>
          <cell r="B1564" t="str">
            <v>聯德控股-KY</v>
          </cell>
          <cell r="C1564">
            <v>113.5</v>
          </cell>
          <cell r="D1564">
            <v>359000</v>
          </cell>
        </row>
        <row r="1565">
          <cell r="A1565">
            <v>4915</v>
          </cell>
          <cell r="B1565" t="str">
            <v>致伸</v>
          </cell>
          <cell r="C1565">
            <v>74.599999999999994</v>
          </cell>
          <cell r="D1565">
            <v>3208700</v>
          </cell>
        </row>
        <row r="1566">
          <cell r="A1566">
            <v>4916</v>
          </cell>
          <cell r="B1566" t="str">
            <v>事欣科</v>
          </cell>
          <cell r="C1566">
            <v>31.9</v>
          </cell>
          <cell r="D1566">
            <v>748501</v>
          </cell>
        </row>
        <row r="1567">
          <cell r="A1567">
            <v>4919</v>
          </cell>
          <cell r="B1567" t="str">
            <v>新唐</v>
          </cell>
          <cell r="C1567">
            <v>70.2</v>
          </cell>
          <cell r="D1567">
            <v>4160200</v>
          </cell>
        </row>
        <row r="1568">
          <cell r="A1568">
            <v>4927</v>
          </cell>
          <cell r="B1568" t="str">
            <v>泰鼎-KY</v>
          </cell>
          <cell r="C1568">
            <v>18.55</v>
          </cell>
          <cell r="D1568">
            <v>568613</v>
          </cell>
        </row>
        <row r="1569">
          <cell r="A1569">
            <v>4930</v>
          </cell>
          <cell r="B1569" t="str">
            <v>燦星網</v>
          </cell>
          <cell r="C1569">
            <v>12.35</v>
          </cell>
          <cell r="D1569">
            <v>225201</v>
          </cell>
        </row>
        <row r="1570">
          <cell r="A1570">
            <v>4934</v>
          </cell>
          <cell r="B1570" t="str">
            <v>太極</v>
          </cell>
          <cell r="C1570">
            <v>10.1</v>
          </cell>
          <cell r="D1570">
            <v>4328001</v>
          </cell>
        </row>
        <row r="1571">
          <cell r="A1571">
            <v>4935</v>
          </cell>
          <cell r="B1571" t="str">
            <v>茂林-KY</v>
          </cell>
          <cell r="C1571">
            <v>38.5</v>
          </cell>
          <cell r="D1571">
            <v>659000</v>
          </cell>
        </row>
        <row r="1572">
          <cell r="A1572">
            <v>4938</v>
          </cell>
          <cell r="B1572" t="str">
            <v>和碩</v>
          </cell>
          <cell r="C1572">
            <v>73.400000000000006</v>
          </cell>
          <cell r="D1572">
            <v>12243028</v>
          </cell>
        </row>
        <row r="1573">
          <cell r="A1573">
            <v>4942</v>
          </cell>
          <cell r="B1573" t="str">
            <v>嘉彰</v>
          </cell>
          <cell r="C1573">
            <v>22.95</v>
          </cell>
          <cell r="D1573">
            <v>60600</v>
          </cell>
        </row>
        <row r="1574">
          <cell r="A1574">
            <v>4943</v>
          </cell>
          <cell r="B1574" t="str">
            <v>康控-KY</v>
          </cell>
          <cell r="C1574">
            <v>257</v>
          </cell>
          <cell r="D1574">
            <v>2518455</v>
          </cell>
        </row>
        <row r="1575">
          <cell r="A1575">
            <v>4952</v>
          </cell>
          <cell r="B1575" t="str">
            <v>凌通</v>
          </cell>
          <cell r="C1575">
            <v>45</v>
          </cell>
          <cell r="D1575">
            <v>882500</v>
          </cell>
        </row>
        <row r="1576">
          <cell r="A1576">
            <v>4956</v>
          </cell>
          <cell r="B1576" t="str">
            <v>光鋐</v>
          </cell>
          <cell r="C1576">
            <v>20.100000000000001</v>
          </cell>
          <cell r="D1576">
            <v>1276000</v>
          </cell>
        </row>
        <row r="1577">
          <cell r="A1577">
            <v>4958</v>
          </cell>
          <cell r="B1577" t="str">
            <v>臻鼎-KY</v>
          </cell>
          <cell r="C1577">
            <v>60.7</v>
          </cell>
          <cell r="D1577">
            <v>2993044</v>
          </cell>
        </row>
        <row r="1578">
          <cell r="A1578">
            <v>4960</v>
          </cell>
          <cell r="B1578" t="str">
            <v>奇美材</v>
          </cell>
          <cell r="C1578">
            <v>11.05</v>
          </cell>
          <cell r="D1578">
            <v>4906150</v>
          </cell>
        </row>
        <row r="1579">
          <cell r="A1579">
            <v>4968</v>
          </cell>
          <cell r="B1579" t="str">
            <v>立積</v>
          </cell>
          <cell r="C1579">
            <v>81.900000000000006</v>
          </cell>
          <cell r="D1579">
            <v>1002359</v>
          </cell>
        </row>
        <row r="1580">
          <cell r="A1580">
            <v>4976</v>
          </cell>
          <cell r="B1580" t="str">
            <v>佳凌</v>
          </cell>
          <cell r="C1580">
            <v>40.5</v>
          </cell>
          <cell r="D1580">
            <v>2551784</v>
          </cell>
        </row>
        <row r="1581">
          <cell r="A1581">
            <v>4977</v>
          </cell>
          <cell r="B1581" t="str">
            <v>眾達-KY</v>
          </cell>
          <cell r="C1581">
            <v>88</v>
          </cell>
          <cell r="D1581">
            <v>580065</v>
          </cell>
        </row>
        <row r="1582">
          <cell r="A1582">
            <v>4984</v>
          </cell>
          <cell r="B1582" t="str">
            <v>科納-KY</v>
          </cell>
          <cell r="C1582">
            <v>30.3</v>
          </cell>
          <cell r="D1582">
            <v>288021</v>
          </cell>
        </row>
        <row r="1583">
          <cell r="A1583">
            <v>4994</v>
          </cell>
          <cell r="B1583" t="str">
            <v>傳奇</v>
          </cell>
          <cell r="C1583">
            <v>50.6</v>
          </cell>
          <cell r="D1583">
            <v>60000</v>
          </cell>
        </row>
        <row r="1584">
          <cell r="A1584">
            <v>4999</v>
          </cell>
          <cell r="B1584" t="str">
            <v>鑫禾</v>
          </cell>
          <cell r="C1584">
            <v>47.25</v>
          </cell>
          <cell r="D1584">
            <v>158303</v>
          </cell>
        </row>
        <row r="1585">
          <cell r="A1585">
            <v>5007</v>
          </cell>
          <cell r="B1585" t="str">
            <v>三星</v>
          </cell>
          <cell r="C1585">
            <v>59.2</v>
          </cell>
          <cell r="D1585">
            <v>610561</v>
          </cell>
        </row>
        <row r="1586">
          <cell r="A1586">
            <v>5203</v>
          </cell>
          <cell r="B1586" t="str">
            <v>訊連</v>
          </cell>
          <cell r="C1586">
            <v>64.400000000000006</v>
          </cell>
          <cell r="D1586">
            <v>371506</v>
          </cell>
        </row>
        <row r="1587">
          <cell r="A1587">
            <v>5215</v>
          </cell>
          <cell r="B1587" t="str">
            <v>科嘉-KY</v>
          </cell>
          <cell r="C1587">
            <v>25.3</v>
          </cell>
          <cell r="D1587">
            <v>105000</v>
          </cell>
        </row>
        <row r="1588">
          <cell r="A1588">
            <v>5225</v>
          </cell>
          <cell r="B1588" t="str">
            <v>東科-KY</v>
          </cell>
          <cell r="C1588">
            <v>26.5</v>
          </cell>
          <cell r="D1588">
            <v>22000</v>
          </cell>
        </row>
        <row r="1589">
          <cell r="A1589">
            <v>5234</v>
          </cell>
          <cell r="B1589" t="str">
            <v>達興材料</v>
          </cell>
          <cell r="C1589">
            <v>86.7</v>
          </cell>
          <cell r="D1589">
            <v>2097815</v>
          </cell>
        </row>
        <row r="1590">
          <cell r="A1590">
            <v>5243</v>
          </cell>
          <cell r="B1590" t="str">
            <v>乙盛-KY</v>
          </cell>
          <cell r="C1590">
            <v>34.1</v>
          </cell>
          <cell r="D1590">
            <v>5146050</v>
          </cell>
        </row>
        <row r="1591">
          <cell r="A1591">
            <v>5258</v>
          </cell>
          <cell r="B1591" t="str">
            <v>虹堡</v>
          </cell>
          <cell r="C1591">
            <v>24.3</v>
          </cell>
          <cell r="D1591">
            <v>49000</v>
          </cell>
        </row>
        <row r="1592">
          <cell r="A1592">
            <v>5259</v>
          </cell>
          <cell r="B1592" t="str">
            <v>清惠</v>
          </cell>
          <cell r="C1592">
            <v>10</v>
          </cell>
          <cell r="D1592">
            <v>19364</v>
          </cell>
        </row>
        <row r="1593">
          <cell r="A1593">
            <v>5264</v>
          </cell>
          <cell r="B1593" t="str">
            <v>鎧勝-KY</v>
          </cell>
          <cell r="C1593">
            <v>91.5</v>
          </cell>
          <cell r="D1593">
            <v>3851167</v>
          </cell>
        </row>
        <row r="1594">
          <cell r="A1594">
            <v>5269</v>
          </cell>
          <cell r="B1594" t="str">
            <v>祥碩</v>
          </cell>
          <cell r="C1594">
            <v>289</v>
          </cell>
          <cell r="D1594">
            <v>1187554</v>
          </cell>
        </row>
        <row r="1595">
          <cell r="A1595">
            <v>5284</v>
          </cell>
          <cell r="B1595" t="str">
            <v>jpp-KY</v>
          </cell>
          <cell r="C1595">
            <v>60.6</v>
          </cell>
          <cell r="D1595">
            <v>84011</v>
          </cell>
        </row>
        <row r="1596">
          <cell r="A1596">
            <v>5285</v>
          </cell>
          <cell r="B1596" t="str">
            <v>界霖</v>
          </cell>
          <cell r="C1596">
            <v>86</v>
          </cell>
          <cell r="D1596">
            <v>375150</v>
          </cell>
        </row>
        <row r="1597">
          <cell r="A1597">
            <v>5288</v>
          </cell>
          <cell r="B1597" t="str">
            <v>豐祥-KY</v>
          </cell>
          <cell r="C1597">
            <v>81</v>
          </cell>
          <cell r="D1597">
            <v>38030</v>
          </cell>
        </row>
        <row r="1598">
          <cell r="A1598">
            <v>5305</v>
          </cell>
          <cell r="B1598" t="str">
            <v>敦南</v>
          </cell>
          <cell r="C1598">
            <v>36.200000000000003</v>
          </cell>
          <cell r="D1598">
            <v>4236440</v>
          </cell>
        </row>
        <row r="1599">
          <cell r="A1599">
            <v>5388</v>
          </cell>
          <cell r="B1599" t="str">
            <v>中磊</v>
          </cell>
          <cell r="C1599">
            <v>82.5</v>
          </cell>
          <cell r="D1599">
            <v>989120</v>
          </cell>
        </row>
        <row r="1600">
          <cell r="A1600">
            <v>5434</v>
          </cell>
          <cell r="B1600" t="str">
            <v>崇越</v>
          </cell>
          <cell r="C1600">
            <v>82.4</v>
          </cell>
          <cell r="D1600">
            <v>1072944</v>
          </cell>
        </row>
        <row r="1601">
          <cell r="A1601">
            <v>5469</v>
          </cell>
          <cell r="B1601" t="str">
            <v>瀚宇博</v>
          </cell>
          <cell r="C1601">
            <v>17.350000000000001</v>
          </cell>
          <cell r="D1601">
            <v>2590955</v>
          </cell>
        </row>
        <row r="1602">
          <cell r="A1602">
            <v>5471</v>
          </cell>
          <cell r="B1602" t="str">
            <v>松翰</v>
          </cell>
          <cell r="C1602">
            <v>34.1</v>
          </cell>
          <cell r="D1602">
            <v>653106</v>
          </cell>
        </row>
        <row r="1603">
          <cell r="A1603">
            <v>5484</v>
          </cell>
          <cell r="B1603" t="str">
            <v>慧友</v>
          </cell>
          <cell r="C1603">
            <v>4.6900000000000004</v>
          </cell>
          <cell r="D1603">
            <v>74066</v>
          </cell>
        </row>
        <row r="1604">
          <cell r="A1604">
            <v>5515</v>
          </cell>
          <cell r="B1604" t="str">
            <v>建國</v>
          </cell>
          <cell r="C1604">
            <v>10.15</v>
          </cell>
          <cell r="D1604">
            <v>198091</v>
          </cell>
        </row>
        <row r="1605">
          <cell r="A1605">
            <v>5519</v>
          </cell>
          <cell r="B1605" t="str">
            <v>隆大</v>
          </cell>
          <cell r="C1605">
            <v>10.199999999999999</v>
          </cell>
          <cell r="D1605">
            <v>181760</v>
          </cell>
        </row>
        <row r="1606">
          <cell r="A1606">
            <v>5521</v>
          </cell>
          <cell r="B1606" t="str">
            <v>工信</v>
          </cell>
          <cell r="C1606">
            <v>16.95</v>
          </cell>
          <cell r="D1606">
            <v>5276350</v>
          </cell>
        </row>
        <row r="1607">
          <cell r="A1607">
            <v>5522</v>
          </cell>
          <cell r="B1607" t="str">
            <v>遠雄</v>
          </cell>
          <cell r="C1607">
            <v>31.95</v>
          </cell>
          <cell r="D1607">
            <v>1047000</v>
          </cell>
        </row>
        <row r="1608">
          <cell r="A1608">
            <v>5525</v>
          </cell>
          <cell r="B1608" t="str">
            <v>順天</v>
          </cell>
          <cell r="C1608">
            <v>16.399999999999999</v>
          </cell>
          <cell r="D1608">
            <v>40121</v>
          </cell>
        </row>
        <row r="1609">
          <cell r="A1609">
            <v>5531</v>
          </cell>
          <cell r="B1609" t="str">
            <v>鄉林</v>
          </cell>
          <cell r="C1609">
            <v>10.35</v>
          </cell>
          <cell r="D1609">
            <v>745102</v>
          </cell>
        </row>
        <row r="1610">
          <cell r="A1610">
            <v>5533</v>
          </cell>
          <cell r="B1610" t="str">
            <v>皇鼎</v>
          </cell>
          <cell r="C1610">
            <v>15.55</v>
          </cell>
          <cell r="D1610">
            <v>141117</v>
          </cell>
        </row>
        <row r="1611">
          <cell r="A1611">
            <v>5534</v>
          </cell>
          <cell r="B1611" t="str">
            <v>長虹</v>
          </cell>
          <cell r="C1611">
            <v>82.5</v>
          </cell>
          <cell r="D1611">
            <v>887495</v>
          </cell>
        </row>
        <row r="1612">
          <cell r="A1612">
            <v>5538</v>
          </cell>
          <cell r="B1612" t="str">
            <v>東明-KY</v>
          </cell>
          <cell r="C1612">
            <v>42.35</v>
          </cell>
          <cell r="D1612">
            <v>18000</v>
          </cell>
        </row>
        <row r="1613">
          <cell r="A1613">
            <v>5607</v>
          </cell>
          <cell r="B1613" t="str">
            <v>遠雄港</v>
          </cell>
          <cell r="C1613">
            <v>16.649999999999999</v>
          </cell>
          <cell r="D1613">
            <v>490090</v>
          </cell>
        </row>
        <row r="1614">
          <cell r="A1614">
            <v>5608</v>
          </cell>
          <cell r="B1614" t="str">
            <v>四維航</v>
          </cell>
          <cell r="C1614">
            <v>8.41</v>
          </cell>
          <cell r="D1614">
            <v>728913</v>
          </cell>
        </row>
        <row r="1615">
          <cell r="A1615">
            <v>5706</v>
          </cell>
          <cell r="B1615" t="str">
            <v>鳳凰</v>
          </cell>
          <cell r="C1615">
            <v>33.549999999999997</v>
          </cell>
          <cell r="D1615">
            <v>98400</v>
          </cell>
        </row>
        <row r="1616">
          <cell r="A1616">
            <v>5871</v>
          </cell>
          <cell r="B1616" t="str">
            <v>中租-KY</v>
          </cell>
          <cell r="C1616">
            <v>90.1</v>
          </cell>
          <cell r="D1616">
            <v>6627320</v>
          </cell>
        </row>
        <row r="1617">
          <cell r="A1617">
            <v>5880</v>
          </cell>
          <cell r="B1617" t="str">
            <v>合庫金</v>
          </cell>
          <cell r="C1617">
            <v>16.399999999999999</v>
          </cell>
          <cell r="D1617">
            <v>20910398</v>
          </cell>
        </row>
        <row r="1618">
          <cell r="A1618">
            <v>5906</v>
          </cell>
          <cell r="B1618" t="str">
            <v>台南-KY</v>
          </cell>
          <cell r="C1618">
            <v>8.3000000000000007</v>
          </cell>
          <cell r="D1618">
            <v>36965</v>
          </cell>
        </row>
        <row r="1619">
          <cell r="A1619">
            <v>5907</v>
          </cell>
          <cell r="B1619" t="str">
            <v>大洋-KY</v>
          </cell>
          <cell r="C1619">
            <v>21.9</v>
          </cell>
          <cell r="D1619">
            <v>314000</v>
          </cell>
        </row>
        <row r="1620">
          <cell r="A1620">
            <v>6005</v>
          </cell>
          <cell r="B1620" t="str">
            <v>群益證</v>
          </cell>
          <cell r="C1620">
            <v>11.05</v>
          </cell>
          <cell r="D1620">
            <v>4059633</v>
          </cell>
        </row>
        <row r="1621">
          <cell r="A1621">
            <v>6024</v>
          </cell>
          <cell r="B1621" t="str">
            <v>群益期</v>
          </cell>
          <cell r="C1621">
            <v>48.1</v>
          </cell>
          <cell r="D1621">
            <v>520456</v>
          </cell>
        </row>
        <row r="1622">
          <cell r="A1622">
            <v>6108</v>
          </cell>
          <cell r="B1622" t="str">
            <v>競國</v>
          </cell>
          <cell r="C1622">
            <v>23.55</v>
          </cell>
          <cell r="D1622">
            <v>395002</v>
          </cell>
        </row>
        <row r="1623">
          <cell r="A1623">
            <v>6112</v>
          </cell>
          <cell r="B1623" t="str">
            <v>聚碩</v>
          </cell>
          <cell r="C1623">
            <v>30.85</v>
          </cell>
          <cell r="D1623">
            <v>431891</v>
          </cell>
        </row>
        <row r="1624">
          <cell r="A1624">
            <v>6115</v>
          </cell>
          <cell r="B1624" t="str">
            <v>鎰勝</v>
          </cell>
          <cell r="C1624">
            <v>44</v>
          </cell>
          <cell r="D1624">
            <v>173000</v>
          </cell>
        </row>
        <row r="1625">
          <cell r="A1625">
            <v>6116</v>
          </cell>
          <cell r="B1625" t="str">
            <v>彩晶</v>
          </cell>
          <cell r="C1625">
            <v>9.8699999999999992</v>
          </cell>
          <cell r="D1625">
            <v>19104320</v>
          </cell>
        </row>
        <row r="1626">
          <cell r="A1626">
            <v>6117</v>
          </cell>
          <cell r="B1626" t="str">
            <v>迎廣</v>
          </cell>
          <cell r="C1626">
            <v>18</v>
          </cell>
          <cell r="D1626">
            <v>1000</v>
          </cell>
        </row>
        <row r="1627">
          <cell r="A1627">
            <v>6120</v>
          </cell>
          <cell r="B1627" t="str">
            <v>達運</v>
          </cell>
          <cell r="C1627">
            <v>26.6</v>
          </cell>
          <cell r="D1627">
            <v>14904936</v>
          </cell>
        </row>
        <row r="1628">
          <cell r="A1628">
            <v>6128</v>
          </cell>
          <cell r="B1628" t="str">
            <v>上福</v>
          </cell>
          <cell r="C1628">
            <v>40.299999999999997</v>
          </cell>
          <cell r="D1628">
            <v>152000</v>
          </cell>
        </row>
        <row r="1629">
          <cell r="A1629">
            <v>6131</v>
          </cell>
          <cell r="B1629" t="str">
            <v>悠克</v>
          </cell>
          <cell r="C1629">
            <v>17.899999999999999</v>
          </cell>
          <cell r="D1629">
            <v>408009</v>
          </cell>
        </row>
        <row r="1630">
          <cell r="A1630">
            <v>6133</v>
          </cell>
          <cell r="B1630" t="str">
            <v>金橋</v>
          </cell>
          <cell r="C1630">
            <v>9.8000000000000007</v>
          </cell>
          <cell r="D1630">
            <v>247001</v>
          </cell>
        </row>
        <row r="1631">
          <cell r="A1631">
            <v>6136</v>
          </cell>
          <cell r="B1631" t="str">
            <v>富爾特</v>
          </cell>
          <cell r="C1631">
            <v>23.85</v>
          </cell>
          <cell r="D1631">
            <v>170638</v>
          </cell>
        </row>
        <row r="1632">
          <cell r="A1632">
            <v>6139</v>
          </cell>
          <cell r="B1632" t="str">
            <v>亞翔</v>
          </cell>
          <cell r="C1632">
            <v>32.049999999999997</v>
          </cell>
          <cell r="D1632">
            <v>1019359</v>
          </cell>
        </row>
        <row r="1633">
          <cell r="A1633">
            <v>6141</v>
          </cell>
          <cell r="B1633" t="str">
            <v>柏承</v>
          </cell>
          <cell r="C1633">
            <v>18</v>
          </cell>
          <cell r="D1633">
            <v>628200</v>
          </cell>
        </row>
        <row r="1634">
          <cell r="A1634">
            <v>6142</v>
          </cell>
          <cell r="B1634" t="str">
            <v>友勁</v>
          </cell>
          <cell r="C1634">
            <v>7</v>
          </cell>
          <cell r="D1634">
            <v>1200215</v>
          </cell>
        </row>
        <row r="1635">
          <cell r="A1635">
            <v>6145</v>
          </cell>
          <cell r="B1635" t="str">
            <v>勁永</v>
          </cell>
          <cell r="C1635">
            <v>10.7</v>
          </cell>
          <cell r="D1635">
            <v>3086703</v>
          </cell>
        </row>
        <row r="1636">
          <cell r="A1636">
            <v>6152</v>
          </cell>
          <cell r="B1636" t="str">
            <v>百一</v>
          </cell>
          <cell r="C1636">
            <v>8.0299999999999994</v>
          </cell>
          <cell r="D1636">
            <v>178173</v>
          </cell>
        </row>
        <row r="1637">
          <cell r="A1637">
            <v>6153</v>
          </cell>
          <cell r="B1637" t="str">
            <v>嘉聯益</v>
          </cell>
          <cell r="C1637">
            <v>38.65</v>
          </cell>
          <cell r="D1637">
            <v>15156172</v>
          </cell>
        </row>
        <row r="1638">
          <cell r="A1638">
            <v>6155</v>
          </cell>
          <cell r="B1638" t="str">
            <v>鈞寶</v>
          </cell>
          <cell r="C1638">
            <v>19.600000000000001</v>
          </cell>
          <cell r="D1638">
            <v>1253610</v>
          </cell>
        </row>
        <row r="1639">
          <cell r="A1639">
            <v>6164</v>
          </cell>
          <cell r="B1639" t="str">
            <v>華興</v>
          </cell>
          <cell r="C1639">
            <v>11.8</v>
          </cell>
          <cell r="D1639">
            <v>482211</v>
          </cell>
        </row>
        <row r="1640">
          <cell r="A1640">
            <v>6165</v>
          </cell>
          <cell r="B1640" t="str">
            <v>捷泰</v>
          </cell>
          <cell r="C1640">
            <v>17.399999999999999</v>
          </cell>
          <cell r="D1640">
            <v>1668001</v>
          </cell>
        </row>
        <row r="1641">
          <cell r="A1641">
            <v>6166</v>
          </cell>
          <cell r="B1641" t="str">
            <v>凌華</v>
          </cell>
          <cell r="C1641">
            <v>59.3</v>
          </cell>
          <cell r="D1641">
            <v>121394</v>
          </cell>
        </row>
        <row r="1642">
          <cell r="A1642">
            <v>6168</v>
          </cell>
          <cell r="B1642" t="str">
            <v>宏齊</v>
          </cell>
          <cell r="C1642">
            <v>17.5</v>
          </cell>
          <cell r="D1642">
            <v>1822960</v>
          </cell>
        </row>
        <row r="1643">
          <cell r="A1643">
            <v>6172</v>
          </cell>
          <cell r="B1643" t="str">
            <v>互億</v>
          </cell>
          <cell r="C1643">
            <v>10.85</v>
          </cell>
          <cell r="D1643">
            <v>4929</v>
          </cell>
        </row>
        <row r="1644">
          <cell r="A1644">
            <v>6176</v>
          </cell>
          <cell r="B1644" t="str">
            <v>瑞儀</v>
          </cell>
          <cell r="C1644">
            <v>74.8</v>
          </cell>
          <cell r="D1644">
            <v>4840320</v>
          </cell>
        </row>
        <row r="1645">
          <cell r="A1645">
            <v>6177</v>
          </cell>
          <cell r="B1645" t="str">
            <v>達麗</v>
          </cell>
          <cell r="C1645">
            <v>32.15</v>
          </cell>
          <cell r="D1645">
            <v>194881</v>
          </cell>
        </row>
        <row r="1646">
          <cell r="A1646">
            <v>6183</v>
          </cell>
          <cell r="B1646" t="str">
            <v>關貿</v>
          </cell>
          <cell r="C1646">
            <v>32.9</v>
          </cell>
          <cell r="D1646">
            <v>82100</v>
          </cell>
        </row>
        <row r="1647">
          <cell r="A1647">
            <v>6184</v>
          </cell>
          <cell r="B1647" t="str">
            <v>大豐電</v>
          </cell>
          <cell r="C1647">
            <v>35.450000000000003</v>
          </cell>
          <cell r="D1647">
            <v>118420</v>
          </cell>
        </row>
        <row r="1648">
          <cell r="A1648">
            <v>6189</v>
          </cell>
          <cell r="B1648" t="str">
            <v>豐藝</v>
          </cell>
          <cell r="C1648">
            <v>28.3</v>
          </cell>
          <cell r="D1648">
            <v>280469</v>
          </cell>
        </row>
        <row r="1649">
          <cell r="A1649">
            <v>6191</v>
          </cell>
          <cell r="B1649" t="str">
            <v>精成科</v>
          </cell>
          <cell r="C1649">
            <v>11</v>
          </cell>
          <cell r="D1649">
            <v>1632918</v>
          </cell>
        </row>
        <row r="1650">
          <cell r="A1650">
            <v>6192</v>
          </cell>
          <cell r="B1650" t="str">
            <v>巨路</v>
          </cell>
          <cell r="C1650">
            <v>56.3</v>
          </cell>
          <cell r="D1650">
            <v>35750</v>
          </cell>
        </row>
        <row r="1651">
          <cell r="A1651">
            <v>6196</v>
          </cell>
          <cell r="B1651" t="str">
            <v>帆宣</v>
          </cell>
          <cell r="C1651">
            <v>38.15</v>
          </cell>
          <cell r="D1651">
            <v>1061336</v>
          </cell>
        </row>
        <row r="1652">
          <cell r="A1652">
            <v>6197</v>
          </cell>
          <cell r="B1652" t="str">
            <v>佳必琪</v>
          </cell>
          <cell r="C1652">
            <v>27</v>
          </cell>
          <cell r="D1652">
            <v>330936</v>
          </cell>
        </row>
        <row r="1653">
          <cell r="A1653">
            <v>6201</v>
          </cell>
          <cell r="B1653" t="str">
            <v>亞弘電</v>
          </cell>
          <cell r="C1653">
            <v>29.15</v>
          </cell>
          <cell r="D1653">
            <v>74000</v>
          </cell>
        </row>
        <row r="1654">
          <cell r="A1654">
            <v>6202</v>
          </cell>
          <cell r="B1654" t="str">
            <v>盛群</v>
          </cell>
          <cell r="C1654">
            <v>74.5</v>
          </cell>
          <cell r="D1654">
            <v>2674652</v>
          </cell>
        </row>
        <row r="1655">
          <cell r="A1655">
            <v>6205</v>
          </cell>
          <cell r="B1655" t="str">
            <v>詮欣</v>
          </cell>
          <cell r="C1655">
            <v>28.1</v>
          </cell>
          <cell r="D1655">
            <v>170006</v>
          </cell>
        </row>
        <row r="1656">
          <cell r="A1656">
            <v>6206</v>
          </cell>
          <cell r="B1656" t="str">
            <v>飛捷</v>
          </cell>
          <cell r="C1656">
            <v>80.7</v>
          </cell>
          <cell r="D1656">
            <v>94410</v>
          </cell>
        </row>
        <row r="1657">
          <cell r="A1657">
            <v>6209</v>
          </cell>
          <cell r="B1657" t="str">
            <v>今國光</v>
          </cell>
          <cell r="C1657">
            <v>33.450000000000003</v>
          </cell>
          <cell r="D1657">
            <v>1970450</v>
          </cell>
        </row>
        <row r="1658">
          <cell r="A1658">
            <v>6213</v>
          </cell>
          <cell r="B1658" t="str">
            <v>聯茂</v>
          </cell>
          <cell r="C1658">
            <v>67.400000000000006</v>
          </cell>
          <cell r="D1658">
            <v>5342052</v>
          </cell>
        </row>
        <row r="1659">
          <cell r="A1659">
            <v>6214</v>
          </cell>
          <cell r="B1659" t="str">
            <v>精誠</v>
          </cell>
          <cell r="C1659">
            <v>58.2</v>
          </cell>
          <cell r="D1659">
            <v>529154</v>
          </cell>
        </row>
        <row r="1660">
          <cell r="A1660">
            <v>6215</v>
          </cell>
          <cell r="B1660" t="str">
            <v>和椿</v>
          </cell>
          <cell r="C1660">
            <v>25.7</v>
          </cell>
          <cell r="D1660">
            <v>2270200</v>
          </cell>
        </row>
        <row r="1661">
          <cell r="A1661">
            <v>6216</v>
          </cell>
          <cell r="B1661" t="str">
            <v>居易</v>
          </cell>
          <cell r="C1661">
            <v>28.1</v>
          </cell>
          <cell r="D1661">
            <v>92104</v>
          </cell>
        </row>
        <row r="1662">
          <cell r="A1662">
            <v>6224</v>
          </cell>
          <cell r="B1662" t="str">
            <v>聚鼎</v>
          </cell>
          <cell r="C1662">
            <v>56.9</v>
          </cell>
          <cell r="D1662">
            <v>139193</v>
          </cell>
        </row>
        <row r="1663">
          <cell r="A1663">
            <v>6225</v>
          </cell>
          <cell r="B1663" t="str">
            <v>天瀚</v>
          </cell>
          <cell r="C1663">
            <v>2.76</v>
          </cell>
          <cell r="D1663">
            <v>17379</v>
          </cell>
        </row>
        <row r="1664">
          <cell r="A1664">
            <v>6226</v>
          </cell>
          <cell r="B1664" t="str">
            <v>光鼎</v>
          </cell>
          <cell r="C1664">
            <v>8.99</v>
          </cell>
          <cell r="D1664">
            <v>3460185</v>
          </cell>
        </row>
        <row r="1665">
          <cell r="A1665">
            <v>6230</v>
          </cell>
          <cell r="B1665" t="str">
            <v>超眾</v>
          </cell>
          <cell r="C1665">
            <v>91.5</v>
          </cell>
          <cell r="D1665">
            <v>596801</v>
          </cell>
        </row>
        <row r="1666">
          <cell r="A1666">
            <v>6235</v>
          </cell>
          <cell r="B1666" t="str">
            <v>華孚</v>
          </cell>
          <cell r="C1666">
            <v>19.25</v>
          </cell>
          <cell r="D1666">
            <v>1724200</v>
          </cell>
        </row>
        <row r="1667">
          <cell r="A1667">
            <v>6239</v>
          </cell>
          <cell r="B1667" t="str">
            <v>力成</v>
          </cell>
          <cell r="C1667">
            <v>89.2</v>
          </cell>
          <cell r="D1667">
            <v>3932718</v>
          </cell>
        </row>
        <row r="1668">
          <cell r="A1668">
            <v>6243</v>
          </cell>
          <cell r="B1668" t="str">
            <v>迅杰</v>
          </cell>
          <cell r="C1668">
            <v>15.1</v>
          </cell>
          <cell r="D1668">
            <v>339071</v>
          </cell>
        </row>
        <row r="1669">
          <cell r="A1669">
            <v>6251</v>
          </cell>
          <cell r="B1669" t="str">
            <v>定穎</v>
          </cell>
          <cell r="C1669">
            <v>9.86</v>
          </cell>
          <cell r="D1669">
            <v>896009</v>
          </cell>
        </row>
        <row r="1670">
          <cell r="A1670">
            <v>6257</v>
          </cell>
          <cell r="B1670" t="str">
            <v>矽格</v>
          </cell>
          <cell r="C1670">
            <v>34.9</v>
          </cell>
          <cell r="D1670">
            <v>7643133</v>
          </cell>
        </row>
        <row r="1671">
          <cell r="A1671">
            <v>6269</v>
          </cell>
          <cell r="B1671" t="str">
            <v>台郡</v>
          </cell>
          <cell r="C1671">
            <v>110.5</v>
          </cell>
          <cell r="D1671">
            <v>5180997</v>
          </cell>
        </row>
        <row r="1672">
          <cell r="A1672">
            <v>6271</v>
          </cell>
          <cell r="B1672" t="str">
            <v>同欣電</v>
          </cell>
          <cell r="C1672">
            <v>110</v>
          </cell>
          <cell r="D1672">
            <v>1526417</v>
          </cell>
        </row>
        <row r="1673">
          <cell r="A1673">
            <v>6277</v>
          </cell>
          <cell r="B1673" t="str">
            <v>宏正</v>
          </cell>
          <cell r="C1673">
            <v>84.6</v>
          </cell>
          <cell r="D1673">
            <v>237216</v>
          </cell>
        </row>
        <row r="1674">
          <cell r="A1674">
            <v>6278</v>
          </cell>
          <cell r="B1674" t="str">
            <v>台表科</v>
          </cell>
          <cell r="C1674">
            <v>28</v>
          </cell>
          <cell r="D1674">
            <v>854159</v>
          </cell>
        </row>
        <row r="1675">
          <cell r="A1675">
            <v>6281</v>
          </cell>
          <cell r="B1675" t="str">
            <v>全國電</v>
          </cell>
          <cell r="C1675">
            <v>62</v>
          </cell>
          <cell r="D1675">
            <v>106000</v>
          </cell>
        </row>
        <row r="1676">
          <cell r="A1676">
            <v>6282</v>
          </cell>
          <cell r="B1676" t="str">
            <v>康舒</v>
          </cell>
          <cell r="C1676">
            <v>20.65</v>
          </cell>
          <cell r="D1676">
            <v>1938601</v>
          </cell>
        </row>
        <row r="1677">
          <cell r="A1677">
            <v>6283</v>
          </cell>
          <cell r="B1677" t="str">
            <v>淳安</v>
          </cell>
          <cell r="C1677">
            <v>33.15</v>
          </cell>
          <cell r="D1677">
            <v>2416086</v>
          </cell>
        </row>
        <row r="1678">
          <cell r="A1678">
            <v>6285</v>
          </cell>
          <cell r="B1678" t="str">
            <v>啟碁</v>
          </cell>
          <cell r="C1678">
            <v>80.8</v>
          </cell>
          <cell r="D1678">
            <v>1097154</v>
          </cell>
        </row>
        <row r="1679">
          <cell r="A1679">
            <v>6289</v>
          </cell>
          <cell r="B1679" t="str">
            <v>華上</v>
          </cell>
          <cell r="C1679">
            <v>2.1</v>
          </cell>
          <cell r="D1679">
            <v>126018</v>
          </cell>
        </row>
        <row r="1680">
          <cell r="A1680">
            <v>6405</v>
          </cell>
          <cell r="B1680" t="str">
            <v>悅城</v>
          </cell>
          <cell r="C1680">
            <v>23.4</v>
          </cell>
          <cell r="D1680">
            <v>73000</v>
          </cell>
        </row>
        <row r="1681">
          <cell r="A1681">
            <v>6409</v>
          </cell>
          <cell r="B1681" t="str">
            <v>旭隼</v>
          </cell>
          <cell r="C1681">
            <v>490</v>
          </cell>
          <cell r="D1681">
            <v>27128</v>
          </cell>
        </row>
        <row r="1682">
          <cell r="A1682">
            <v>6412</v>
          </cell>
          <cell r="B1682" t="str">
            <v>群電</v>
          </cell>
          <cell r="C1682">
            <v>56.8</v>
          </cell>
          <cell r="D1682">
            <v>377722</v>
          </cell>
        </row>
        <row r="1683">
          <cell r="A1683">
            <v>6414</v>
          </cell>
          <cell r="B1683" t="str">
            <v>樺漢</v>
          </cell>
          <cell r="C1683">
            <v>455</v>
          </cell>
          <cell r="D1683">
            <v>468566</v>
          </cell>
        </row>
        <row r="1684">
          <cell r="A1684">
            <v>6415</v>
          </cell>
          <cell r="B1684" t="str">
            <v>矽力-KY</v>
          </cell>
          <cell r="C1684">
            <v>591</v>
          </cell>
          <cell r="D1684">
            <v>122090</v>
          </cell>
        </row>
        <row r="1685">
          <cell r="A1685">
            <v>6422</v>
          </cell>
          <cell r="B1685" t="str">
            <v>君耀-KY</v>
          </cell>
          <cell r="C1685">
            <v>59</v>
          </cell>
          <cell r="D1685">
            <v>300200</v>
          </cell>
        </row>
        <row r="1686">
          <cell r="A1686">
            <v>6431</v>
          </cell>
          <cell r="B1686" t="str">
            <v>光麗-KY</v>
          </cell>
          <cell r="C1686">
            <v>11.1</v>
          </cell>
          <cell r="D1686">
            <v>474001</v>
          </cell>
        </row>
        <row r="1687">
          <cell r="A1687">
            <v>6442</v>
          </cell>
          <cell r="B1687" t="str">
            <v>光聖</v>
          </cell>
          <cell r="C1687">
            <v>36.450000000000003</v>
          </cell>
          <cell r="D1687">
            <v>409000</v>
          </cell>
        </row>
        <row r="1688">
          <cell r="A1688">
            <v>6443</v>
          </cell>
          <cell r="B1688" t="str">
            <v>元晶</v>
          </cell>
          <cell r="C1688">
            <v>8.75</v>
          </cell>
          <cell r="D1688">
            <v>2417770</v>
          </cell>
        </row>
        <row r="1689">
          <cell r="A1689">
            <v>6449</v>
          </cell>
          <cell r="B1689" t="str">
            <v>鈺邦</v>
          </cell>
          <cell r="C1689">
            <v>50.4</v>
          </cell>
          <cell r="D1689">
            <v>9885300</v>
          </cell>
        </row>
        <row r="1690">
          <cell r="A1690">
            <v>6451</v>
          </cell>
          <cell r="B1690" t="str">
            <v>訊芯-KY</v>
          </cell>
          <cell r="C1690">
            <v>125</v>
          </cell>
          <cell r="D1690">
            <v>3559201</v>
          </cell>
        </row>
        <row r="1691">
          <cell r="A1691">
            <v>6452</v>
          </cell>
          <cell r="B1691" t="str">
            <v>康友-KY</v>
          </cell>
          <cell r="C1691">
            <v>357</v>
          </cell>
          <cell r="D1691">
            <v>547665</v>
          </cell>
        </row>
        <row r="1692">
          <cell r="A1692">
            <v>6456</v>
          </cell>
          <cell r="B1692" t="str">
            <v>GIS-KY</v>
          </cell>
          <cell r="C1692">
            <v>166.5</v>
          </cell>
          <cell r="D1692">
            <v>11122039</v>
          </cell>
        </row>
        <row r="1693">
          <cell r="A1693">
            <v>6464</v>
          </cell>
          <cell r="B1693" t="str">
            <v>台數科</v>
          </cell>
          <cell r="C1693">
            <v>115.5</v>
          </cell>
          <cell r="D1693">
            <v>2000</v>
          </cell>
        </row>
        <row r="1694">
          <cell r="A1694">
            <v>6477</v>
          </cell>
          <cell r="B1694" t="str">
            <v>安集</v>
          </cell>
          <cell r="C1694">
            <v>19.600000000000001</v>
          </cell>
          <cell r="D1694">
            <v>426421</v>
          </cell>
        </row>
        <row r="1695">
          <cell r="A1695">
            <v>6504</v>
          </cell>
          <cell r="B1695" t="str">
            <v>南六</v>
          </cell>
          <cell r="C1695">
            <v>158</v>
          </cell>
          <cell r="D1695">
            <v>111010</v>
          </cell>
        </row>
        <row r="1696">
          <cell r="A1696">
            <v>6505</v>
          </cell>
          <cell r="B1696" t="str">
            <v>台塑化</v>
          </cell>
          <cell r="C1696">
            <v>116</v>
          </cell>
          <cell r="D1696">
            <v>5040865</v>
          </cell>
        </row>
        <row r="1697">
          <cell r="A1697">
            <v>6525</v>
          </cell>
          <cell r="B1697" t="str">
            <v>捷敏-KY</v>
          </cell>
          <cell r="C1697">
            <v>72</v>
          </cell>
          <cell r="D1697">
            <v>828220</v>
          </cell>
        </row>
        <row r="1698">
          <cell r="A1698">
            <v>6531</v>
          </cell>
          <cell r="B1698" t="str">
            <v>愛普</v>
          </cell>
          <cell r="C1698">
            <v>80</v>
          </cell>
          <cell r="D1698">
            <v>553240</v>
          </cell>
        </row>
        <row r="1699">
          <cell r="A1699">
            <v>6533</v>
          </cell>
          <cell r="B1699" t="str">
            <v>晶心科</v>
          </cell>
          <cell r="C1699">
            <v>98.2</v>
          </cell>
          <cell r="D1699">
            <v>1219255</v>
          </cell>
        </row>
        <row r="1700">
          <cell r="A1700">
            <v>6541</v>
          </cell>
          <cell r="B1700" t="str">
            <v>泰福-KY</v>
          </cell>
          <cell r="C1700">
            <v>81.900000000000006</v>
          </cell>
          <cell r="D1700">
            <v>165053</v>
          </cell>
        </row>
        <row r="1701">
          <cell r="A1701">
            <v>6552</v>
          </cell>
          <cell r="B1701" t="str">
            <v>易華電</v>
          </cell>
          <cell r="C1701">
            <v>56.5</v>
          </cell>
          <cell r="D1701">
            <v>628000</v>
          </cell>
        </row>
        <row r="1702">
          <cell r="A1702">
            <v>6573</v>
          </cell>
          <cell r="B1702" t="str">
            <v>虹揚-KY</v>
          </cell>
          <cell r="C1702">
            <v>54.6</v>
          </cell>
          <cell r="D1702">
            <v>182000</v>
          </cell>
        </row>
        <row r="1703">
          <cell r="A1703">
            <v>6579</v>
          </cell>
          <cell r="B1703" t="str">
            <v>研揚</v>
          </cell>
          <cell r="C1703">
            <v>81.5</v>
          </cell>
          <cell r="D1703">
            <v>111000</v>
          </cell>
        </row>
        <row r="1704">
          <cell r="A1704">
            <v>6581</v>
          </cell>
          <cell r="B1704" t="str">
            <v>鋼聯</v>
          </cell>
          <cell r="C1704">
            <v>135</v>
          </cell>
          <cell r="D1704">
            <v>784250</v>
          </cell>
        </row>
        <row r="1705">
          <cell r="A1705">
            <v>6582</v>
          </cell>
          <cell r="B1705" t="str">
            <v>申豐</v>
          </cell>
          <cell r="C1705">
            <v>49.1</v>
          </cell>
          <cell r="D1705">
            <v>14100</v>
          </cell>
        </row>
        <row r="1706">
          <cell r="A1706">
            <v>6591</v>
          </cell>
          <cell r="B1706" t="str">
            <v>動力-KY</v>
          </cell>
          <cell r="C1706">
            <v>98.5</v>
          </cell>
          <cell r="D1706">
            <v>906626</v>
          </cell>
        </row>
        <row r="1707">
          <cell r="A1707">
            <v>6605</v>
          </cell>
          <cell r="B1707" t="str">
            <v>帝寶</v>
          </cell>
          <cell r="C1707">
            <v>85</v>
          </cell>
          <cell r="D1707">
            <v>298285</v>
          </cell>
        </row>
        <row r="1708">
          <cell r="A1708">
            <v>6625</v>
          </cell>
          <cell r="B1708" t="str">
            <v>必應</v>
          </cell>
          <cell r="C1708">
            <v>79.900000000000006</v>
          </cell>
          <cell r="D1708">
            <v>607800</v>
          </cell>
        </row>
        <row r="1709">
          <cell r="A1709">
            <v>8011</v>
          </cell>
          <cell r="B1709" t="str">
            <v>台通</v>
          </cell>
          <cell r="C1709">
            <v>17.75</v>
          </cell>
          <cell r="D1709">
            <v>423003</v>
          </cell>
        </row>
        <row r="1710">
          <cell r="A1710">
            <v>8016</v>
          </cell>
          <cell r="B1710" t="str">
            <v>矽創</v>
          </cell>
          <cell r="C1710">
            <v>81.5</v>
          </cell>
          <cell r="D1710">
            <v>416054</v>
          </cell>
        </row>
        <row r="1711">
          <cell r="A1711">
            <v>8021</v>
          </cell>
          <cell r="B1711" t="str">
            <v>尖點</v>
          </cell>
          <cell r="C1711">
            <v>18.850000000000001</v>
          </cell>
          <cell r="D1711">
            <v>647101</v>
          </cell>
        </row>
        <row r="1712">
          <cell r="A1712">
            <v>8033</v>
          </cell>
          <cell r="B1712" t="str">
            <v>雷虎</v>
          </cell>
          <cell r="C1712">
            <v>11.65</v>
          </cell>
          <cell r="D1712">
            <v>461602</v>
          </cell>
        </row>
        <row r="1713">
          <cell r="A1713">
            <v>8039</v>
          </cell>
          <cell r="B1713" t="str">
            <v>台虹</v>
          </cell>
          <cell r="C1713">
            <v>46.25</v>
          </cell>
          <cell r="D1713">
            <v>2033020</v>
          </cell>
        </row>
        <row r="1714">
          <cell r="A1714">
            <v>8046</v>
          </cell>
          <cell r="B1714" t="str">
            <v>南電</v>
          </cell>
          <cell r="C1714">
            <v>25.1</v>
          </cell>
          <cell r="D1714">
            <v>1245030</v>
          </cell>
        </row>
        <row r="1715">
          <cell r="A1715">
            <v>8070</v>
          </cell>
          <cell r="B1715" t="str">
            <v>長華</v>
          </cell>
          <cell r="C1715">
            <v>142.5</v>
          </cell>
          <cell r="D1715">
            <v>196100</v>
          </cell>
        </row>
        <row r="1716">
          <cell r="A1716">
            <v>8072</v>
          </cell>
          <cell r="B1716" t="str">
            <v>陞泰</v>
          </cell>
          <cell r="C1716">
            <v>20.100000000000001</v>
          </cell>
          <cell r="D1716">
            <v>391200</v>
          </cell>
        </row>
        <row r="1717">
          <cell r="A1717">
            <v>8081</v>
          </cell>
          <cell r="B1717" t="str">
            <v>致新</v>
          </cell>
          <cell r="C1717">
            <v>64.3</v>
          </cell>
          <cell r="D1717">
            <v>219714</v>
          </cell>
        </row>
        <row r="1718">
          <cell r="A1718">
            <v>8101</v>
          </cell>
          <cell r="B1718" t="str">
            <v>華冠</v>
          </cell>
          <cell r="C1718">
            <v>3.29</v>
          </cell>
          <cell r="D1718">
            <v>387053</v>
          </cell>
        </row>
        <row r="1719">
          <cell r="A1719">
            <v>8103</v>
          </cell>
          <cell r="B1719" t="str">
            <v>瀚荃</v>
          </cell>
          <cell r="C1719">
            <v>28.75</v>
          </cell>
          <cell r="D1719">
            <v>221550</v>
          </cell>
        </row>
        <row r="1720">
          <cell r="A1720">
            <v>8105</v>
          </cell>
          <cell r="B1720" t="str">
            <v>凌巨</v>
          </cell>
          <cell r="C1720">
            <v>17.3</v>
          </cell>
          <cell r="D1720">
            <v>4031111</v>
          </cell>
        </row>
        <row r="1721">
          <cell r="A1721">
            <v>8110</v>
          </cell>
          <cell r="B1721" t="str">
            <v>華東</v>
          </cell>
          <cell r="C1721">
            <v>12.4</v>
          </cell>
          <cell r="D1721">
            <v>4254039</v>
          </cell>
        </row>
        <row r="1722">
          <cell r="A1722">
            <v>8112</v>
          </cell>
          <cell r="B1722" t="str">
            <v>至上</v>
          </cell>
          <cell r="C1722">
            <v>25.05</v>
          </cell>
          <cell r="D1722">
            <v>4435991</v>
          </cell>
        </row>
        <row r="1723">
          <cell r="A1723">
            <v>8114</v>
          </cell>
          <cell r="B1723" t="str">
            <v>振樺電</v>
          </cell>
          <cell r="C1723">
            <v>132</v>
          </cell>
          <cell r="D1723">
            <v>114156</v>
          </cell>
        </row>
        <row r="1724">
          <cell r="A1724">
            <v>8131</v>
          </cell>
          <cell r="B1724" t="str">
            <v>福懋科</v>
          </cell>
          <cell r="C1724">
            <v>29.65</v>
          </cell>
          <cell r="D1724">
            <v>608075</v>
          </cell>
        </row>
        <row r="1725">
          <cell r="A1725">
            <v>8150</v>
          </cell>
          <cell r="B1725" t="str">
            <v>南茂</v>
          </cell>
          <cell r="C1725">
            <v>23.8</v>
          </cell>
          <cell r="D1725">
            <v>4534022</v>
          </cell>
        </row>
        <row r="1726">
          <cell r="A1726">
            <v>8163</v>
          </cell>
          <cell r="B1726" t="str">
            <v>達方</v>
          </cell>
          <cell r="C1726">
            <v>28.5</v>
          </cell>
          <cell r="D1726">
            <v>1089822</v>
          </cell>
        </row>
        <row r="1727">
          <cell r="A1727">
            <v>8201</v>
          </cell>
          <cell r="B1727" t="str">
            <v>無敵</v>
          </cell>
          <cell r="C1727">
            <v>12.05</v>
          </cell>
          <cell r="D1727">
            <v>111015</v>
          </cell>
        </row>
        <row r="1728">
          <cell r="A1728">
            <v>8210</v>
          </cell>
          <cell r="B1728" t="str">
            <v>勤誠</v>
          </cell>
          <cell r="C1728">
            <v>43.55</v>
          </cell>
          <cell r="D1728">
            <v>74200</v>
          </cell>
        </row>
        <row r="1729">
          <cell r="A1729">
            <v>8213</v>
          </cell>
          <cell r="B1729" t="str">
            <v>志超</v>
          </cell>
          <cell r="C1729">
            <v>28.6</v>
          </cell>
          <cell r="D1729">
            <v>615300</v>
          </cell>
        </row>
        <row r="1730">
          <cell r="A1730">
            <v>8215</v>
          </cell>
          <cell r="B1730" t="str">
            <v>明基材</v>
          </cell>
          <cell r="C1730">
            <v>16.850000000000001</v>
          </cell>
          <cell r="D1730">
            <v>1453014</v>
          </cell>
        </row>
        <row r="1731">
          <cell r="A1731">
            <v>8222</v>
          </cell>
          <cell r="B1731" t="str">
            <v>寶一</v>
          </cell>
          <cell r="C1731">
            <v>18.2</v>
          </cell>
          <cell r="D1731">
            <v>380000</v>
          </cell>
        </row>
        <row r="1732">
          <cell r="A1732">
            <v>8249</v>
          </cell>
          <cell r="B1732" t="str">
            <v>菱光</v>
          </cell>
          <cell r="C1732">
            <v>24.4</v>
          </cell>
          <cell r="D1732">
            <v>390116</v>
          </cell>
        </row>
        <row r="1733">
          <cell r="A1733">
            <v>8261</v>
          </cell>
          <cell r="B1733" t="str">
            <v>富鼎</v>
          </cell>
          <cell r="C1733">
            <v>27.3</v>
          </cell>
          <cell r="D1733">
            <v>635394</v>
          </cell>
        </row>
        <row r="1734">
          <cell r="A1734">
            <v>8271</v>
          </cell>
          <cell r="B1734" t="str">
            <v>宇瞻</v>
          </cell>
          <cell r="C1734">
            <v>37.1</v>
          </cell>
          <cell r="D1734">
            <v>473041</v>
          </cell>
        </row>
        <row r="1735">
          <cell r="A1735">
            <v>8341</v>
          </cell>
          <cell r="B1735" t="str">
            <v>日友</v>
          </cell>
          <cell r="C1735">
            <v>225</v>
          </cell>
          <cell r="D1735">
            <v>328038</v>
          </cell>
        </row>
        <row r="1736">
          <cell r="A1736">
            <v>8374</v>
          </cell>
          <cell r="B1736" t="str">
            <v>羅昇</v>
          </cell>
          <cell r="C1736">
            <v>26.85</v>
          </cell>
          <cell r="D1736">
            <v>1173905</v>
          </cell>
        </row>
        <row r="1737">
          <cell r="A1737">
            <v>8404</v>
          </cell>
          <cell r="B1737" t="str">
            <v>百和興業-KY</v>
          </cell>
          <cell r="C1737">
            <v>60.7</v>
          </cell>
          <cell r="D1737">
            <v>498616</v>
          </cell>
        </row>
        <row r="1738">
          <cell r="A1738">
            <v>8411</v>
          </cell>
          <cell r="B1738" t="str">
            <v>福貞-KY</v>
          </cell>
          <cell r="C1738">
            <v>25</v>
          </cell>
          <cell r="D1738">
            <v>146549</v>
          </cell>
        </row>
        <row r="1739">
          <cell r="A1739">
            <v>8422</v>
          </cell>
          <cell r="B1739" t="str">
            <v>可寧衛</v>
          </cell>
          <cell r="C1739">
            <v>174</v>
          </cell>
          <cell r="D1739">
            <v>230311</v>
          </cell>
        </row>
        <row r="1740">
          <cell r="A1740">
            <v>8427</v>
          </cell>
          <cell r="B1740" t="str">
            <v>基勝-KY</v>
          </cell>
          <cell r="C1740">
            <v>41.5</v>
          </cell>
          <cell r="D1740">
            <v>12333</v>
          </cell>
        </row>
        <row r="1741">
          <cell r="A1741">
            <v>8429</v>
          </cell>
          <cell r="B1741" t="str">
            <v>金麗-KY</v>
          </cell>
          <cell r="C1741">
            <v>18.8</v>
          </cell>
          <cell r="D1741">
            <v>1215090</v>
          </cell>
        </row>
        <row r="1742">
          <cell r="A1742">
            <v>8442</v>
          </cell>
          <cell r="B1742" t="str">
            <v>威宏-KY</v>
          </cell>
          <cell r="C1742">
            <v>69.5</v>
          </cell>
          <cell r="D1742">
            <v>2000</v>
          </cell>
        </row>
        <row r="1743">
          <cell r="A1743">
            <v>8443</v>
          </cell>
          <cell r="B1743" t="str">
            <v>阿瘦</v>
          </cell>
          <cell r="C1743">
            <v>13.45</v>
          </cell>
          <cell r="D1743">
            <v>60001</v>
          </cell>
        </row>
        <row r="1744">
          <cell r="A1744">
            <v>8454</v>
          </cell>
          <cell r="B1744" t="str">
            <v>富邦媒</v>
          </cell>
          <cell r="C1744">
            <v>281</v>
          </cell>
          <cell r="D1744">
            <v>303486</v>
          </cell>
        </row>
        <row r="1745">
          <cell r="A1745">
            <v>8463</v>
          </cell>
          <cell r="B1745" t="str">
            <v>潤泰材</v>
          </cell>
          <cell r="C1745">
            <v>16.8</v>
          </cell>
          <cell r="D1745">
            <v>30000</v>
          </cell>
        </row>
        <row r="1746">
          <cell r="A1746">
            <v>8464</v>
          </cell>
          <cell r="B1746" t="str">
            <v>億豐</v>
          </cell>
          <cell r="C1746">
            <v>273</v>
          </cell>
          <cell r="D1746">
            <v>447010</v>
          </cell>
        </row>
        <row r="1747">
          <cell r="A1747">
            <v>8466</v>
          </cell>
          <cell r="B1747" t="str">
            <v>美吉吉-KY</v>
          </cell>
          <cell r="C1747">
            <v>77.400000000000006</v>
          </cell>
          <cell r="D1747">
            <v>88050</v>
          </cell>
        </row>
        <row r="1748">
          <cell r="A1748">
            <v>8467</v>
          </cell>
          <cell r="B1748" t="str">
            <v>波力-KY</v>
          </cell>
          <cell r="C1748">
            <v>32.4</v>
          </cell>
          <cell r="D1748">
            <v>16609</v>
          </cell>
        </row>
        <row r="1749">
          <cell r="A1749">
            <v>8473</v>
          </cell>
          <cell r="B1749" t="str">
            <v>山林水</v>
          </cell>
          <cell r="C1749">
            <v>62.9</v>
          </cell>
          <cell r="D1749">
            <v>251000</v>
          </cell>
        </row>
        <row r="1750">
          <cell r="A1750">
            <v>8478</v>
          </cell>
          <cell r="B1750" t="str">
            <v>東哥遊艇</v>
          </cell>
          <cell r="C1750">
            <v>67</v>
          </cell>
          <cell r="D1750">
            <v>157519</v>
          </cell>
        </row>
        <row r="1751">
          <cell r="A1751">
            <v>8480</v>
          </cell>
          <cell r="B1751" t="str">
            <v>泰昇-KY</v>
          </cell>
          <cell r="C1751">
            <v>125</v>
          </cell>
          <cell r="D1751">
            <v>6000</v>
          </cell>
        </row>
        <row r="1752">
          <cell r="A1752">
            <v>8481</v>
          </cell>
          <cell r="B1752" t="str">
            <v>政伸</v>
          </cell>
          <cell r="C1752">
            <v>43.5</v>
          </cell>
          <cell r="D1752">
            <v>30000</v>
          </cell>
        </row>
        <row r="1753">
          <cell r="A1753">
            <v>8488</v>
          </cell>
          <cell r="B1753" t="str">
            <v>吉源-KY</v>
          </cell>
          <cell r="C1753">
            <v>30</v>
          </cell>
          <cell r="D1753">
            <v>1000</v>
          </cell>
        </row>
        <row r="1754">
          <cell r="A1754">
            <v>8499</v>
          </cell>
          <cell r="B1754" t="str">
            <v>鼎炫-KY</v>
          </cell>
          <cell r="C1754">
            <v>83.2</v>
          </cell>
          <cell r="D1754">
            <v>87100</v>
          </cell>
        </row>
        <row r="1755">
          <cell r="A1755">
            <v>8926</v>
          </cell>
          <cell r="B1755" t="str">
            <v>台汽電</v>
          </cell>
          <cell r="C1755">
            <v>25.2</v>
          </cell>
          <cell r="D1755">
            <v>643989</v>
          </cell>
        </row>
        <row r="1756">
          <cell r="A1756">
            <v>8940</v>
          </cell>
          <cell r="B1756" t="str">
            <v>新天地</v>
          </cell>
          <cell r="C1756">
            <v>13.6</v>
          </cell>
          <cell r="D1756">
            <v>102000</v>
          </cell>
        </row>
        <row r="1757">
          <cell r="A1757">
            <v>8996</v>
          </cell>
          <cell r="B1757" t="str">
            <v>高力</v>
          </cell>
          <cell r="C1757">
            <v>38.4</v>
          </cell>
          <cell r="D1757">
            <v>295004</v>
          </cell>
        </row>
        <row r="1758">
          <cell r="A1758">
            <v>9103</v>
          </cell>
          <cell r="B1758" t="str">
            <v>美德醫療-DR</v>
          </cell>
          <cell r="C1758">
            <v>1.38</v>
          </cell>
          <cell r="D1758">
            <v>262000</v>
          </cell>
        </row>
        <row r="1759">
          <cell r="A1759">
            <v>910322</v>
          </cell>
          <cell r="B1759" t="str">
            <v>康師傅-DR</v>
          </cell>
          <cell r="C1759">
            <v>27</v>
          </cell>
          <cell r="D1759">
            <v>8000</v>
          </cell>
        </row>
        <row r="1760">
          <cell r="A1760">
            <v>910482</v>
          </cell>
          <cell r="B1760" t="str">
            <v>聖馬丁-DR</v>
          </cell>
          <cell r="C1760">
            <v>0.48</v>
          </cell>
          <cell r="D1760">
            <v>77000</v>
          </cell>
        </row>
        <row r="1761">
          <cell r="A1761">
            <v>9105</v>
          </cell>
          <cell r="B1761" t="str">
            <v>泰金寶-DR</v>
          </cell>
          <cell r="C1761">
            <v>2.83</v>
          </cell>
          <cell r="D1761">
            <v>2186181</v>
          </cell>
        </row>
        <row r="1762">
          <cell r="A1762">
            <v>910708</v>
          </cell>
          <cell r="B1762" t="str">
            <v>恒大健-DR</v>
          </cell>
          <cell r="C1762" t="str">
            <v>--</v>
          </cell>
          <cell r="D1762">
            <v>0</v>
          </cell>
        </row>
        <row r="1763">
          <cell r="A1763">
            <v>910861</v>
          </cell>
          <cell r="B1763" t="str">
            <v>神州-DR</v>
          </cell>
          <cell r="C1763">
            <v>7.65</v>
          </cell>
          <cell r="D1763">
            <v>52000</v>
          </cell>
        </row>
        <row r="1764">
          <cell r="A1764">
            <v>9110</v>
          </cell>
          <cell r="B1764" t="str">
            <v>越南控-DR</v>
          </cell>
          <cell r="C1764">
            <v>3.22</v>
          </cell>
          <cell r="D1764">
            <v>17001</v>
          </cell>
        </row>
        <row r="1765">
          <cell r="A1765">
            <v>911608</v>
          </cell>
          <cell r="B1765" t="str">
            <v>明輝-DR</v>
          </cell>
          <cell r="C1765" t="str">
            <v>--</v>
          </cell>
          <cell r="D1765">
            <v>0</v>
          </cell>
        </row>
        <row r="1766">
          <cell r="A1766">
            <v>911616</v>
          </cell>
          <cell r="B1766" t="str">
            <v>杜康-DR</v>
          </cell>
          <cell r="C1766">
            <v>1.22</v>
          </cell>
          <cell r="D1766">
            <v>147000</v>
          </cell>
        </row>
        <row r="1767">
          <cell r="A1767">
            <v>911619</v>
          </cell>
          <cell r="B1767" t="str">
            <v>耀傑-DR</v>
          </cell>
          <cell r="C1767" t="str">
            <v>--</v>
          </cell>
          <cell r="D1767">
            <v>0</v>
          </cell>
        </row>
        <row r="1768">
          <cell r="A1768">
            <v>911622</v>
          </cell>
          <cell r="B1768" t="str">
            <v>泰聚亨-DR</v>
          </cell>
          <cell r="C1768" t="str">
            <v>--</v>
          </cell>
          <cell r="D1768">
            <v>0</v>
          </cell>
        </row>
        <row r="1769">
          <cell r="A1769">
            <v>911868</v>
          </cell>
          <cell r="B1769" t="str">
            <v>同方友友-DR</v>
          </cell>
          <cell r="C1769">
            <v>1.29</v>
          </cell>
          <cell r="D1769">
            <v>38000</v>
          </cell>
        </row>
        <row r="1770">
          <cell r="A1770">
            <v>912000</v>
          </cell>
          <cell r="B1770" t="str">
            <v>晨訊科-DR</v>
          </cell>
          <cell r="C1770" t="str">
            <v>--</v>
          </cell>
          <cell r="D1770">
            <v>0</v>
          </cell>
        </row>
        <row r="1771">
          <cell r="A1771">
            <v>912398</v>
          </cell>
          <cell r="B1771" t="str">
            <v>友佳-DR</v>
          </cell>
          <cell r="C1771" t="str">
            <v>--</v>
          </cell>
          <cell r="D1771">
            <v>0</v>
          </cell>
        </row>
        <row r="1772">
          <cell r="A1772">
            <v>9136</v>
          </cell>
          <cell r="B1772" t="str">
            <v>巨騰-DR</v>
          </cell>
          <cell r="C1772">
            <v>8.16</v>
          </cell>
          <cell r="D1772">
            <v>556000</v>
          </cell>
        </row>
        <row r="1773">
          <cell r="A1773">
            <v>9157</v>
          </cell>
          <cell r="B1773" t="str">
            <v>陽光能源-DR</v>
          </cell>
          <cell r="C1773">
            <v>1.29</v>
          </cell>
          <cell r="D1773">
            <v>6000</v>
          </cell>
        </row>
        <row r="1774">
          <cell r="A1774">
            <v>9188</v>
          </cell>
          <cell r="B1774" t="str">
            <v>精熙-DR</v>
          </cell>
          <cell r="C1774">
            <v>5.15</v>
          </cell>
          <cell r="D1774">
            <v>30000</v>
          </cell>
        </row>
        <row r="1775">
          <cell r="A1775">
            <v>9802</v>
          </cell>
          <cell r="B1775" t="str">
            <v>鈺齊-KY</v>
          </cell>
          <cell r="C1775">
            <v>68.2</v>
          </cell>
          <cell r="D1775">
            <v>456017</v>
          </cell>
        </row>
        <row r="1776">
          <cell r="A1776">
            <v>9902</v>
          </cell>
          <cell r="B1776" t="str">
            <v>台火</v>
          </cell>
          <cell r="C1776">
            <v>9.56</v>
          </cell>
          <cell r="D1776">
            <v>175745</v>
          </cell>
        </row>
        <row r="1777">
          <cell r="A1777">
            <v>9904</v>
          </cell>
          <cell r="B1777" t="str">
            <v>寶成</v>
          </cell>
          <cell r="C1777">
            <v>36.799999999999997</v>
          </cell>
          <cell r="D1777">
            <v>5255869</v>
          </cell>
        </row>
        <row r="1778">
          <cell r="A1778">
            <v>9905</v>
          </cell>
          <cell r="B1778" t="str">
            <v>大華</v>
          </cell>
          <cell r="C1778">
            <v>24.5</v>
          </cell>
          <cell r="D1778">
            <v>459047</v>
          </cell>
        </row>
        <row r="1779">
          <cell r="A1779">
            <v>9906</v>
          </cell>
          <cell r="B1779" t="str">
            <v>欣巴巴</v>
          </cell>
          <cell r="C1779">
            <v>13.75</v>
          </cell>
          <cell r="D1779">
            <v>168740</v>
          </cell>
        </row>
        <row r="1780">
          <cell r="A1780">
            <v>9907</v>
          </cell>
          <cell r="B1780" t="str">
            <v>統一實</v>
          </cell>
          <cell r="C1780">
            <v>13.1</v>
          </cell>
          <cell r="D1780">
            <v>1463614</v>
          </cell>
        </row>
        <row r="1781">
          <cell r="A1781">
            <v>9908</v>
          </cell>
          <cell r="B1781" t="str">
            <v>大台北</v>
          </cell>
          <cell r="C1781">
            <v>27.2</v>
          </cell>
          <cell r="D1781">
            <v>481281</v>
          </cell>
        </row>
        <row r="1782">
          <cell r="A1782">
            <v>9910</v>
          </cell>
          <cell r="B1782" t="str">
            <v>豐泰</v>
          </cell>
          <cell r="C1782">
            <v>125.5</v>
          </cell>
          <cell r="D1782">
            <v>757629</v>
          </cell>
        </row>
        <row r="1783">
          <cell r="A1783">
            <v>9911</v>
          </cell>
          <cell r="B1783" t="str">
            <v>櫻花</v>
          </cell>
          <cell r="C1783">
            <v>37.35</v>
          </cell>
          <cell r="D1783">
            <v>596547</v>
          </cell>
        </row>
        <row r="1784">
          <cell r="A1784">
            <v>9912</v>
          </cell>
          <cell r="B1784" t="str">
            <v>偉聯</v>
          </cell>
          <cell r="C1784">
            <v>8.16</v>
          </cell>
          <cell r="D1784">
            <v>37358</v>
          </cell>
        </row>
        <row r="1785">
          <cell r="A1785">
            <v>9914</v>
          </cell>
          <cell r="B1785" t="str">
            <v>美利達</v>
          </cell>
          <cell r="C1785">
            <v>124.5</v>
          </cell>
          <cell r="D1785">
            <v>655774</v>
          </cell>
        </row>
        <row r="1786">
          <cell r="A1786">
            <v>9917</v>
          </cell>
          <cell r="B1786" t="str">
            <v>中保</v>
          </cell>
          <cell r="C1786">
            <v>89.1</v>
          </cell>
          <cell r="D1786">
            <v>516021</v>
          </cell>
        </row>
        <row r="1787">
          <cell r="A1787">
            <v>9918</v>
          </cell>
          <cell r="B1787" t="str">
            <v>欣天然</v>
          </cell>
          <cell r="C1787">
            <v>32.5</v>
          </cell>
          <cell r="D1787">
            <v>10087</v>
          </cell>
        </row>
        <row r="1788">
          <cell r="A1788">
            <v>9919</v>
          </cell>
          <cell r="B1788" t="str">
            <v>康那香</v>
          </cell>
          <cell r="C1788">
            <v>11.4</v>
          </cell>
          <cell r="D1788">
            <v>241004</v>
          </cell>
        </row>
        <row r="1789">
          <cell r="A1789">
            <v>9921</v>
          </cell>
          <cell r="B1789" t="str">
            <v>巨大</v>
          </cell>
          <cell r="C1789">
            <v>147</v>
          </cell>
          <cell r="D1789">
            <v>1333864</v>
          </cell>
        </row>
        <row r="1790">
          <cell r="A1790">
            <v>9924</v>
          </cell>
          <cell r="B1790" t="str">
            <v>福興</v>
          </cell>
          <cell r="C1790">
            <v>35.85</v>
          </cell>
          <cell r="D1790">
            <v>355711</v>
          </cell>
        </row>
        <row r="1791">
          <cell r="A1791">
            <v>9925</v>
          </cell>
          <cell r="B1791" t="str">
            <v>新保</v>
          </cell>
          <cell r="C1791">
            <v>38</v>
          </cell>
          <cell r="D1791">
            <v>357352</v>
          </cell>
        </row>
        <row r="1792">
          <cell r="A1792">
            <v>9926</v>
          </cell>
          <cell r="B1792" t="str">
            <v>新海</v>
          </cell>
          <cell r="C1792">
            <v>40.200000000000003</v>
          </cell>
          <cell r="D1792">
            <v>10300</v>
          </cell>
        </row>
        <row r="1793">
          <cell r="A1793">
            <v>9927</v>
          </cell>
          <cell r="B1793" t="str">
            <v>泰銘</v>
          </cell>
          <cell r="C1793">
            <v>38.65</v>
          </cell>
          <cell r="D1793">
            <v>432105</v>
          </cell>
        </row>
        <row r="1794">
          <cell r="A1794">
            <v>9928</v>
          </cell>
          <cell r="B1794" t="str">
            <v>中視</v>
          </cell>
          <cell r="C1794">
            <v>5.01</v>
          </cell>
          <cell r="D1794">
            <v>2001</v>
          </cell>
        </row>
        <row r="1795">
          <cell r="A1795">
            <v>9929</v>
          </cell>
          <cell r="B1795" t="str">
            <v>秋雨</v>
          </cell>
          <cell r="C1795">
            <v>10.3</v>
          </cell>
          <cell r="D1795">
            <v>58001</v>
          </cell>
        </row>
        <row r="1796">
          <cell r="A1796">
            <v>9930</v>
          </cell>
          <cell r="B1796" t="str">
            <v>中聯資源</v>
          </cell>
          <cell r="C1796">
            <v>57.3</v>
          </cell>
          <cell r="D1796">
            <v>112347</v>
          </cell>
        </row>
        <row r="1797">
          <cell r="A1797">
            <v>9931</v>
          </cell>
          <cell r="B1797" t="str">
            <v>欣高</v>
          </cell>
          <cell r="C1797">
            <v>31.1</v>
          </cell>
          <cell r="D1797">
            <v>3001</v>
          </cell>
        </row>
        <row r="1798">
          <cell r="A1798">
            <v>9933</v>
          </cell>
          <cell r="B1798" t="str">
            <v>中鼎</v>
          </cell>
          <cell r="C1798">
            <v>44.35</v>
          </cell>
          <cell r="D1798">
            <v>1034024</v>
          </cell>
        </row>
        <row r="1799">
          <cell r="A1799">
            <v>9934</v>
          </cell>
          <cell r="B1799" t="str">
            <v>成霖</v>
          </cell>
          <cell r="C1799">
            <v>18.600000000000001</v>
          </cell>
          <cell r="D1799">
            <v>1101000</v>
          </cell>
        </row>
        <row r="1800">
          <cell r="A1800">
            <v>9935</v>
          </cell>
          <cell r="B1800" t="str">
            <v>慶豐富</v>
          </cell>
          <cell r="C1800">
            <v>27.25</v>
          </cell>
          <cell r="D1800">
            <v>274001</v>
          </cell>
        </row>
        <row r="1801">
          <cell r="A1801">
            <v>9937</v>
          </cell>
          <cell r="B1801" t="str">
            <v>全國</v>
          </cell>
          <cell r="C1801">
            <v>39.5</v>
          </cell>
          <cell r="D1801">
            <v>17001</v>
          </cell>
        </row>
        <row r="1802">
          <cell r="A1802">
            <v>9938</v>
          </cell>
          <cell r="B1802" t="str">
            <v>百和</v>
          </cell>
          <cell r="C1802">
            <v>94.9</v>
          </cell>
          <cell r="D1802">
            <v>1418674</v>
          </cell>
        </row>
        <row r="1803">
          <cell r="A1803">
            <v>9939</v>
          </cell>
          <cell r="B1803" t="str">
            <v>宏全</v>
          </cell>
          <cell r="C1803">
            <v>53.4</v>
          </cell>
          <cell r="D1803">
            <v>1257922</v>
          </cell>
        </row>
        <row r="1804">
          <cell r="A1804">
            <v>9940</v>
          </cell>
          <cell r="B1804" t="str">
            <v>信義</v>
          </cell>
          <cell r="C1804">
            <v>36.950000000000003</v>
          </cell>
          <cell r="D1804">
            <v>434002</v>
          </cell>
        </row>
        <row r="1805">
          <cell r="A1805">
            <v>9941</v>
          </cell>
          <cell r="B1805" t="str">
            <v>裕融</v>
          </cell>
          <cell r="C1805">
            <v>109.5</v>
          </cell>
          <cell r="D1805">
            <v>445177</v>
          </cell>
        </row>
        <row r="1806">
          <cell r="A1806">
            <v>9942</v>
          </cell>
          <cell r="B1806" t="str">
            <v>茂順</v>
          </cell>
          <cell r="C1806">
            <v>90.4</v>
          </cell>
          <cell r="D1806">
            <v>124113</v>
          </cell>
        </row>
        <row r="1807">
          <cell r="A1807">
            <v>9943</v>
          </cell>
          <cell r="B1807" t="str">
            <v>好樂迪</v>
          </cell>
          <cell r="C1807">
            <v>52.3</v>
          </cell>
          <cell r="D1807">
            <v>345701</v>
          </cell>
        </row>
        <row r="1808">
          <cell r="A1808">
            <v>9944</v>
          </cell>
          <cell r="B1808" t="str">
            <v>新麗</v>
          </cell>
          <cell r="C1808">
            <v>19.399999999999999</v>
          </cell>
          <cell r="D1808">
            <v>682417</v>
          </cell>
        </row>
        <row r="1809">
          <cell r="A1809">
            <v>9945</v>
          </cell>
          <cell r="B1809" t="str">
            <v>潤泰新</v>
          </cell>
          <cell r="C1809">
            <v>30.7</v>
          </cell>
          <cell r="D1809">
            <v>6162926</v>
          </cell>
        </row>
        <row r="1810">
          <cell r="A1810">
            <v>9946</v>
          </cell>
          <cell r="B1810" t="str">
            <v>三發地產</v>
          </cell>
          <cell r="C1810">
            <v>12.6</v>
          </cell>
          <cell r="D1810">
            <v>172161</v>
          </cell>
        </row>
        <row r="1811">
          <cell r="A1811">
            <v>9955</v>
          </cell>
          <cell r="B1811" t="str">
            <v>佳龍</v>
          </cell>
          <cell r="C1811">
            <v>12.8</v>
          </cell>
          <cell r="D1811">
            <v>202537</v>
          </cell>
        </row>
        <row r="1812">
          <cell r="A1812">
            <v>9958</v>
          </cell>
          <cell r="B1812" t="str">
            <v>世紀鋼</v>
          </cell>
          <cell r="C1812">
            <v>47.2</v>
          </cell>
          <cell r="D1812">
            <v>16021720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1"/>
    </sheetNames>
    <sheetDataSet>
      <sheetData sheetId="0">
        <row r="1">
          <cell r="A1" t="str">
            <v>公司代號</v>
          </cell>
          <cell r="B1" t="str">
            <v>公司簡稱</v>
          </cell>
          <cell r="C1" t="str">
            <v>簽證會計師事務所名稱</v>
          </cell>
          <cell r="D1" t="str">
            <v>簽證會計師</v>
          </cell>
          <cell r="E1" t="str">
            <v>簽證會計師</v>
          </cell>
          <cell r="F1" t="str">
            <v>核閱或查核日期</v>
          </cell>
          <cell r="G1" t="str">
            <v>核閱或查核報告類型</v>
          </cell>
        </row>
        <row r="2">
          <cell r="A2">
            <v>1101</v>
          </cell>
          <cell r="B2" t="str">
            <v>台泥</v>
          </cell>
          <cell r="C2" t="str">
            <v>勤業眾信聯合會計師事務所</v>
          </cell>
          <cell r="D2" t="str">
            <v>翁雅玲</v>
          </cell>
          <cell r="E2" t="str">
            <v>邵志明</v>
          </cell>
          <cell r="F2">
            <v>20170327</v>
          </cell>
          <cell r="G2" t="str">
            <v>無保留意見</v>
          </cell>
        </row>
        <row r="3">
          <cell r="A3">
            <v>1102</v>
          </cell>
          <cell r="B3" t="str">
            <v>亞泥</v>
          </cell>
          <cell r="C3" t="str">
            <v>勤業眾信聯合會計師事務所</v>
          </cell>
          <cell r="D3" t="str">
            <v>郭俐雯</v>
          </cell>
          <cell r="E3" t="str">
            <v>范有偉</v>
          </cell>
          <cell r="F3">
            <v>20170323</v>
          </cell>
          <cell r="G3" t="str">
            <v>無保留意見</v>
          </cell>
        </row>
        <row r="4">
          <cell r="A4">
            <v>1103</v>
          </cell>
          <cell r="B4" t="str">
            <v>嘉泥</v>
          </cell>
          <cell r="C4" t="str">
            <v>勤業眾信聯合會計師事務所</v>
          </cell>
          <cell r="D4" t="str">
            <v>虞成全</v>
          </cell>
          <cell r="E4" t="str">
            <v>張耿禧</v>
          </cell>
          <cell r="F4">
            <v>20170329</v>
          </cell>
          <cell r="G4" t="str">
            <v>無保留意見</v>
          </cell>
        </row>
        <row r="5">
          <cell r="A5">
            <v>1104</v>
          </cell>
          <cell r="B5" t="str">
            <v>環球水泥</v>
          </cell>
          <cell r="C5" t="str">
            <v>勤業眾信聯合會計師事務所</v>
          </cell>
          <cell r="D5" t="str">
            <v>李季珍</v>
          </cell>
          <cell r="E5" t="str">
            <v>廖鴻儒</v>
          </cell>
          <cell r="F5">
            <v>20170327</v>
          </cell>
          <cell r="G5" t="str">
            <v>無保留意見</v>
          </cell>
        </row>
        <row r="6">
          <cell r="A6">
            <v>1108</v>
          </cell>
          <cell r="B6" t="str">
            <v>幸福水泥</v>
          </cell>
          <cell r="C6" t="str">
            <v>勤業眾信聯合會計師事務所</v>
          </cell>
          <cell r="D6" t="str">
            <v>黃海悅</v>
          </cell>
          <cell r="E6" t="str">
            <v>劉永富</v>
          </cell>
          <cell r="F6">
            <v>20170320</v>
          </cell>
          <cell r="G6" t="str">
            <v>無保留意見</v>
          </cell>
        </row>
        <row r="7">
          <cell r="A7">
            <v>1109</v>
          </cell>
          <cell r="B7" t="str">
            <v>信大水泥</v>
          </cell>
          <cell r="C7" t="str">
            <v>資誠聯合會計師事務所</v>
          </cell>
          <cell r="D7" t="str">
            <v>賴宗羲</v>
          </cell>
          <cell r="E7" t="str">
            <v>馮敏娟</v>
          </cell>
          <cell r="F7">
            <v>20170324</v>
          </cell>
          <cell r="G7" t="str">
            <v>無保留意見</v>
          </cell>
        </row>
        <row r="8">
          <cell r="A8">
            <v>1110</v>
          </cell>
          <cell r="B8" t="str">
            <v>東泥</v>
          </cell>
          <cell r="C8" t="str">
            <v>國富浩華聯合會計師事務所</v>
          </cell>
          <cell r="D8" t="str">
            <v>蔡淑滿</v>
          </cell>
          <cell r="E8" t="str">
            <v>謝仁耀</v>
          </cell>
          <cell r="F8">
            <v>20170328</v>
          </cell>
          <cell r="G8" t="str">
            <v>無保留意見</v>
          </cell>
        </row>
        <row r="9">
          <cell r="A9">
            <v>1201</v>
          </cell>
          <cell r="B9" t="str">
            <v>味全公司</v>
          </cell>
          <cell r="C9" t="str">
            <v>資誠聯合會計師事務所</v>
          </cell>
          <cell r="D9" t="str">
            <v>張祚誠</v>
          </cell>
          <cell r="E9" t="str">
            <v>張明輝</v>
          </cell>
          <cell r="F9">
            <v>20170327</v>
          </cell>
          <cell r="G9" t="str">
            <v>無保留意見</v>
          </cell>
        </row>
        <row r="10">
          <cell r="A10">
            <v>1203</v>
          </cell>
          <cell r="B10" t="str">
            <v>味王公司</v>
          </cell>
          <cell r="C10" t="str">
            <v>大中國際聯合會計師事務所</v>
          </cell>
          <cell r="D10" t="str">
            <v>溫明郁</v>
          </cell>
          <cell r="E10" t="str">
            <v>徐靖賢</v>
          </cell>
          <cell r="F10">
            <v>20170328</v>
          </cell>
          <cell r="G10" t="str">
            <v>無保留意見</v>
          </cell>
        </row>
        <row r="11">
          <cell r="A11">
            <v>1210</v>
          </cell>
          <cell r="B11" t="str">
            <v>大成長城</v>
          </cell>
          <cell r="C11" t="str">
            <v>安侯建業會計師事務所</v>
          </cell>
          <cell r="D11" t="str">
            <v>李逢暉</v>
          </cell>
          <cell r="E11" t="str">
            <v>陳眉芳</v>
          </cell>
          <cell r="F11">
            <v>20170324</v>
          </cell>
          <cell r="G11" t="str">
            <v>無保留意見</v>
          </cell>
        </row>
        <row r="12">
          <cell r="A12">
            <v>1213</v>
          </cell>
          <cell r="B12" t="str">
            <v>大飲</v>
          </cell>
          <cell r="C12" t="str">
            <v>資誠聯合會計師事務所</v>
          </cell>
          <cell r="D12" t="str">
            <v>阮呂曼玉</v>
          </cell>
          <cell r="E12" t="str">
            <v>徐聖忠</v>
          </cell>
          <cell r="F12">
            <v>20170324</v>
          </cell>
          <cell r="G12" t="str">
            <v>無保留意見</v>
          </cell>
        </row>
        <row r="13">
          <cell r="A13">
            <v>1215</v>
          </cell>
          <cell r="B13" t="str">
            <v>卜蜂企業</v>
          </cell>
          <cell r="C13" t="str">
            <v>資誠聯合會計師事務所</v>
          </cell>
          <cell r="D13" t="str">
            <v>王輝賢</v>
          </cell>
          <cell r="E13" t="str">
            <v>謝智政</v>
          </cell>
          <cell r="F13">
            <v>20170306</v>
          </cell>
          <cell r="G13" t="str">
            <v>無保留意見</v>
          </cell>
        </row>
        <row r="14">
          <cell r="A14">
            <v>1216</v>
          </cell>
          <cell r="B14" t="str">
            <v>統一</v>
          </cell>
          <cell r="C14" t="str">
            <v>資誠聯合會計師事務所</v>
          </cell>
          <cell r="D14" t="str">
            <v>林姿妤</v>
          </cell>
          <cell r="E14" t="str">
            <v>周建宏</v>
          </cell>
          <cell r="F14">
            <v>20170329</v>
          </cell>
          <cell r="G14" t="str">
            <v>無保留意見</v>
          </cell>
        </row>
        <row r="15">
          <cell r="A15">
            <v>1217</v>
          </cell>
          <cell r="B15" t="str">
            <v>愛之味</v>
          </cell>
          <cell r="C15" t="str">
            <v>國富浩華聯合會計師事務所</v>
          </cell>
          <cell r="D15" t="str">
            <v>黃鈴雯</v>
          </cell>
          <cell r="E15" t="str">
            <v>李青霖</v>
          </cell>
          <cell r="F15">
            <v>20170328</v>
          </cell>
          <cell r="G15" t="str">
            <v>無保留意見</v>
          </cell>
        </row>
        <row r="16">
          <cell r="A16">
            <v>1218</v>
          </cell>
          <cell r="B16" t="str">
            <v>泰山企業</v>
          </cell>
          <cell r="C16" t="str">
            <v>安侯建業聯合會計師事務所</v>
          </cell>
          <cell r="D16" t="str">
            <v>池世欽</v>
          </cell>
          <cell r="E16" t="str">
            <v>陳嘉修</v>
          </cell>
          <cell r="F16">
            <v>20170328</v>
          </cell>
          <cell r="G16" t="str">
            <v>無保留意見</v>
          </cell>
        </row>
        <row r="17">
          <cell r="A17">
            <v>1219</v>
          </cell>
          <cell r="B17" t="str">
            <v>福壽實業</v>
          </cell>
          <cell r="C17" t="str">
            <v>群智聯合會計師事務所</v>
          </cell>
          <cell r="D17" t="str">
            <v>呂松裕</v>
          </cell>
          <cell r="E17" t="str">
            <v>陳芓?</v>
          </cell>
          <cell r="F17">
            <v>20170321</v>
          </cell>
          <cell r="G17" t="str">
            <v>無保留意見</v>
          </cell>
        </row>
        <row r="18">
          <cell r="A18">
            <v>1220</v>
          </cell>
          <cell r="B18" t="str">
            <v>台榮</v>
          </cell>
          <cell r="C18" t="str">
            <v>立本台灣聯合會計師事務所</v>
          </cell>
          <cell r="D18" t="str">
            <v>柯俊輝</v>
          </cell>
          <cell r="E18" t="str">
            <v>林淑萍</v>
          </cell>
          <cell r="F18">
            <v>20170320</v>
          </cell>
          <cell r="G18" t="str">
            <v>無保留意見</v>
          </cell>
        </row>
        <row r="19">
          <cell r="A19">
            <v>1225</v>
          </cell>
          <cell r="B19" t="str">
            <v>福懋油</v>
          </cell>
          <cell r="C19" t="str">
            <v>勤業眾信聯合會計師事務所</v>
          </cell>
          <cell r="D19" t="str">
            <v>謝建新</v>
          </cell>
          <cell r="E19" t="str">
            <v>陳招美</v>
          </cell>
          <cell r="F19">
            <v>20170327</v>
          </cell>
          <cell r="G19" t="str">
            <v>無保留意見</v>
          </cell>
        </row>
        <row r="20">
          <cell r="A20">
            <v>1227</v>
          </cell>
          <cell r="B20" t="str">
            <v>佳格</v>
          </cell>
          <cell r="C20" t="str">
            <v>勤業眾信聯合會計師事務所</v>
          </cell>
          <cell r="D20" t="str">
            <v>許庭禎</v>
          </cell>
          <cell r="E20" t="str">
            <v>龔則立</v>
          </cell>
          <cell r="F20">
            <v>20170324</v>
          </cell>
          <cell r="G20" t="str">
            <v>無保留意見</v>
          </cell>
        </row>
        <row r="21">
          <cell r="A21">
            <v>1229</v>
          </cell>
          <cell r="B21" t="str">
            <v>聯華實業</v>
          </cell>
          <cell r="C21" t="str">
            <v>安侯建業聯合會計師事務所</v>
          </cell>
          <cell r="D21" t="str">
            <v>楊柳鋒</v>
          </cell>
          <cell r="E21" t="str">
            <v>許淑敏</v>
          </cell>
          <cell r="F21">
            <v>20170329</v>
          </cell>
          <cell r="G21" t="str">
            <v>無保留意見</v>
          </cell>
        </row>
        <row r="22">
          <cell r="A22">
            <v>1231</v>
          </cell>
          <cell r="B22" t="str">
            <v>聯華食品</v>
          </cell>
          <cell r="C22" t="str">
            <v>勤業眾信聯合會計師事務所</v>
          </cell>
          <cell r="D22" t="str">
            <v>張清福</v>
          </cell>
          <cell r="E22" t="str">
            <v>柯志賢</v>
          </cell>
          <cell r="F22">
            <v>20170323</v>
          </cell>
          <cell r="G22" t="str">
            <v>無保留意見</v>
          </cell>
        </row>
        <row r="23">
          <cell r="A23">
            <v>1232</v>
          </cell>
          <cell r="B23" t="str">
            <v>大統益</v>
          </cell>
          <cell r="C23" t="str">
            <v>資誠聯合會計師事務所</v>
          </cell>
          <cell r="D23" t="str">
            <v>劉子猛</v>
          </cell>
          <cell r="E23" t="str">
            <v>李明憲</v>
          </cell>
          <cell r="F23">
            <v>20170321</v>
          </cell>
          <cell r="G23" t="str">
            <v>無保留意見</v>
          </cell>
        </row>
        <row r="24">
          <cell r="A24">
            <v>1233</v>
          </cell>
          <cell r="B24" t="str">
            <v>天仁</v>
          </cell>
          <cell r="C24" t="str">
            <v>安永聯合會計師事務所</v>
          </cell>
          <cell r="D24" t="str">
            <v>蕭翠慧</v>
          </cell>
          <cell r="E24" t="str">
            <v>曾祥裕</v>
          </cell>
          <cell r="F24">
            <v>20170317</v>
          </cell>
          <cell r="G24" t="str">
            <v>無保留意見</v>
          </cell>
        </row>
        <row r="25">
          <cell r="A25">
            <v>1234</v>
          </cell>
          <cell r="B25" t="str">
            <v>黑松</v>
          </cell>
          <cell r="C25" t="str">
            <v>勤業眾信聯合會計師事務所</v>
          </cell>
          <cell r="D25" t="str">
            <v>李麗凰</v>
          </cell>
          <cell r="E25" t="str">
            <v>陳慧銘</v>
          </cell>
          <cell r="F25">
            <v>20170324</v>
          </cell>
          <cell r="G25" t="str">
            <v>無保留意見</v>
          </cell>
        </row>
        <row r="26">
          <cell r="A26">
            <v>1235</v>
          </cell>
          <cell r="B26" t="str">
            <v>興泰</v>
          </cell>
          <cell r="C26" t="str">
            <v>廣信益群聯合會計師事務所</v>
          </cell>
          <cell r="D26" t="str">
            <v>萬益東</v>
          </cell>
          <cell r="E26" t="str">
            <v>翁子霖</v>
          </cell>
          <cell r="F26">
            <v>20170327</v>
          </cell>
          <cell r="G26" t="str">
            <v>無保留意見</v>
          </cell>
        </row>
        <row r="27">
          <cell r="A27">
            <v>1236</v>
          </cell>
          <cell r="B27" t="str">
            <v>宏亞食品</v>
          </cell>
          <cell r="C27" t="str">
            <v>安永聯合會計師事務所</v>
          </cell>
          <cell r="D27" t="str">
            <v>徐榮煌</v>
          </cell>
          <cell r="E27" t="str">
            <v>張正道</v>
          </cell>
          <cell r="F27">
            <v>20170221</v>
          </cell>
          <cell r="G27" t="str">
            <v>無保留意見</v>
          </cell>
        </row>
        <row r="28">
          <cell r="A28">
            <v>1256</v>
          </cell>
          <cell r="B28" t="str">
            <v>鮮活果汁-KY</v>
          </cell>
          <cell r="C28" t="str">
            <v>勤業眾信聯合會計師事務所</v>
          </cell>
          <cell r="D28" t="str">
            <v>李麗凰</v>
          </cell>
          <cell r="E28" t="str">
            <v>蘇郁琇</v>
          </cell>
          <cell r="F28">
            <v>20170317</v>
          </cell>
          <cell r="G28" t="str">
            <v>無保留意見</v>
          </cell>
        </row>
        <row r="29">
          <cell r="A29">
            <v>1262</v>
          </cell>
          <cell r="B29" t="str">
            <v>綠悅-KY</v>
          </cell>
          <cell r="C29" t="str">
            <v>勤業眾信聯合會計師事務所</v>
          </cell>
          <cell r="D29" t="str">
            <v>江明南</v>
          </cell>
          <cell r="E29" t="str">
            <v>施景彬</v>
          </cell>
          <cell r="F29">
            <v>20170324</v>
          </cell>
          <cell r="G29" t="str">
            <v>無保留意見</v>
          </cell>
        </row>
        <row r="30">
          <cell r="A30">
            <v>1301</v>
          </cell>
          <cell r="B30" t="str">
            <v>台塑</v>
          </cell>
          <cell r="C30" t="str">
            <v>安侯建業聯合會計師事務所</v>
          </cell>
          <cell r="D30" t="str">
            <v>陳秀蘭</v>
          </cell>
          <cell r="E30" t="str">
            <v>于紀隆</v>
          </cell>
          <cell r="F30">
            <v>20170323</v>
          </cell>
          <cell r="G30" t="str">
            <v>無保留意見</v>
          </cell>
        </row>
        <row r="31">
          <cell r="A31">
            <v>1303</v>
          </cell>
          <cell r="B31" t="str">
            <v>南亞塑膠</v>
          </cell>
          <cell r="C31" t="str">
            <v>安侯建業聯合會計師事務所</v>
          </cell>
          <cell r="D31" t="str">
            <v>郭欣頤</v>
          </cell>
          <cell r="E31" t="str">
            <v>于紀隆</v>
          </cell>
          <cell r="F31">
            <v>20170324</v>
          </cell>
          <cell r="G31" t="str">
            <v>無保留意見</v>
          </cell>
        </row>
        <row r="32">
          <cell r="A32">
            <v>1304</v>
          </cell>
          <cell r="B32" t="str">
            <v>台聚</v>
          </cell>
          <cell r="C32" t="str">
            <v>勤業眾信聯合會計師事務所</v>
          </cell>
          <cell r="D32" t="str">
            <v>郭慈容</v>
          </cell>
          <cell r="E32" t="str">
            <v>吳世宗</v>
          </cell>
          <cell r="F32">
            <v>20170316</v>
          </cell>
          <cell r="G32" t="str">
            <v>無保留意見</v>
          </cell>
        </row>
        <row r="33">
          <cell r="A33">
            <v>1305</v>
          </cell>
          <cell r="B33" t="str">
            <v>華夏</v>
          </cell>
          <cell r="C33" t="str">
            <v>勤業眾信聯合會計師事務所</v>
          </cell>
          <cell r="D33" t="str">
            <v>吳世宗</v>
          </cell>
          <cell r="E33" t="str">
            <v>郭慈容</v>
          </cell>
          <cell r="F33">
            <v>20170314</v>
          </cell>
          <cell r="G33" t="str">
            <v>無保留意見</v>
          </cell>
        </row>
        <row r="34">
          <cell r="A34">
            <v>1307</v>
          </cell>
          <cell r="B34" t="str">
            <v>三芳化工</v>
          </cell>
          <cell r="C34" t="str">
            <v>勤業眾信聯合會計師事務所</v>
          </cell>
          <cell r="D34" t="str">
            <v>江佳玲</v>
          </cell>
          <cell r="E34" t="str">
            <v>陳珍麗</v>
          </cell>
          <cell r="F34">
            <v>20170309</v>
          </cell>
          <cell r="G34" t="str">
            <v>無保留意見</v>
          </cell>
        </row>
        <row r="35">
          <cell r="A35">
            <v>1308</v>
          </cell>
          <cell r="B35" t="str">
            <v>亞聚</v>
          </cell>
          <cell r="C35" t="str">
            <v>勤業眾信聯合會計師事務所</v>
          </cell>
          <cell r="D35" t="str">
            <v>黃秀椿</v>
          </cell>
          <cell r="E35" t="str">
            <v>吳世宗</v>
          </cell>
          <cell r="F35">
            <v>20170314</v>
          </cell>
          <cell r="G35" t="str">
            <v>無保留意見</v>
          </cell>
        </row>
        <row r="36">
          <cell r="A36">
            <v>1309</v>
          </cell>
          <cell r="B36" t="str">
            <v>台達化工</v>
          </cell>
          <cell r="C36" t="str">
            <v>勤業眾信聯合會計師事務所</v>
          </cell>
          <cell r="D36" t="str">
            <v>吳世宗</v>
          </cell>
          <cell r="E36" t="str">
            <v>郭慈容</v>
          </cell>
          <cell r="F36">
            <v>20170314</v>
          </cell>
          <cell r="G36" t="str">
            <v>無保留意見</v>
          </cell>
        </row>
        <row r="37">
          <cell r="A37">
            <v>1310</v>
          </cell>
          <cell r="B37" t="str">
            <v>台苯</v>
          </cell>
          <cell r="C37" t="str">
            <v>正風聯合會計師事務所</v>
          </cell>
          <cell r="D37" t="str">
            <v>周銀來</v>
          </cell>
          <cell r="E37" t="str">
            <v>吳欣亮</v>
          </cell>
          <cell r="F37">
            <v>20170320</v>
          </cell>
          <cell r="G37" t="str">
            <v>無保留意見</v>
          </cell>
        </row>
        <row r="38">
          <cell r="A38">
            <v>1312</v>
          </cell>
          <cell r="B38" t="str">
            <v>國喬石化</v>
          </cell>
          <cell r="C38" t="str">
            <v>國富浩華聯合會計師事務所</v>
          </cell>
          <cell r="D38" t="str">
            <v>蕭英嘉</v>
          </cell>
          <cell r="E38" t="str">
            <v>王戊昌</v>
          </cell>
          <cell r="F38">
            <v>20170323</v>
          </cell>
          <cell r="G38" t="str">
            <v>無保留意見</v>
          </cell>
        </row>
        <row r="39">
          <cell r="A39">
            <v>1313</v>
          </cell>
          <cell r="B39" t="str">
            <v>聯成</v>
          </cell>
          <cell r="C39" t="str">
            <v>勤業眾信聯合會計師事務所</v>
          </cell>
          <cell r="D39" t="str">
            <v>郭文吉</v>
          </cell>
          <cell r="E39" t="str">
            <v>劉建良</v>
          </cell>
          <cell r="F39">
            <v>20170316</v>
          </cell>
          <cell r="G39" t="str">
            <v>無保留意見</v>
          </cell>
        </row>
        <row r="40">
          <cell r="A40">
            <v>1314</v>
          </cell>
          <cell r="B40" t="str">
            <v>中石化</v>
          </cell>
          <cell r="C40" t="str">
            <v>安侯建業聯合會計師事務所</v>
          </cell>
          <cell r="D40" t="str">
            <v>陳俊光</v>
          </cell>
          <cell r="E40" t="str">
            <v>鍾丹丹</v>
          </cell>
          <cell r="F40">
            <v>20170328</v>
          </cell>
          <cell r="G40" t="str">
            <v>無保留意見</v>
          </cell>
        </row>
        <row r="41">
          <cell r="A41">
            <v>1315</v>
          </cell>
          <cell r="B41" t="str">
            <v>達新工業</v>
          </cell>
          <cell r="C41" t="str">
            <v>國富浩華聯合會計師事務所</v>
          </cell>
          <cell r="D41" t="str">
            <v>王戊昌</v>
          </cell>
          <cell r="E41" t="str">
            <v>張福郎</v>
          </cell>
          <cell r="F41">
            <v>20170328</v>
          </cell>
          <cell r="G41" t="str">
            <v>無保留意見</v>
          </cell>
        </row>
        <row r="42">
          <cell r="A42">
            <v>1316</v>
          </cell>
          <cell r="B42" t="str">
            <v>上曜</v>
          </cell>
          <cell r="C42" t="str">
            <v>安侯建業聯合會計師事務所</v>
          </cell>
          <cell r="D42" t="str">
            <v>陳國宗</v>
          </cell>
          <cell r="E42" t="str">
            <v>陳惠媛</v>
          </cell>
          <cell r="F42">
            <v>20170314</v>
          </cell>
          <cell r="G42" t="str">
            <v>無保留意見</v>
          </cell>
        </row>
        <row r="43">
          <cell r="A43">
            <v>1319</v>
          </cell>
          <cell r="B43" t="str">
            <v>東陽</v>
          </cell>
          <cell r="C43" t="str">
            <v>安永聯合會計師事務所</v>
          </cell>
          <cell r="D43" t="str">
            <v>胡子仁</v>
          </cell>
          <cell r="E43" t="str">
            <v>黃世杰</v>
          </cell>
          <cell r="F43">
            <v>20170324</v>
          </cell>
          <cell r="G43" t="str">
            <v>無保留意見</v>
          </cell>
        </row>
        <row r="44">
          <cell r="A44">
            <v>1321</v>
          </cell>
          <cell r="B44" t="str">
            <v>大洋</v>
          </cell>
          <cell r="C44" t="str">
            <v>安 侯 建 業 聯 合 會 計 師 事 務 所</v>
          </cell>
          <cell r="D44" t="str">
            <v>余 聖 河</v>
          </cell>
          <cell r="E44" t="str">
            <v>李 慈 慧</v>
          </cell>
          <cell r="F44">
            <v>20170322</v>
          </cell>
          <cell r="G44" t="str">
            <v>無保留意見</v>
          </cell>
        </row>
        <row r="45">
          <cell r="A45">
            <v>1323</v>
          </cell>
          <cell r="B45" t="str">
            <v>永裕</v>
          </cell>
          <cell r="C45" t="str">
            <v>勤業眾信聯合會計師事務所</v>
          </cell>
          <cell r="D45" t="str">
            <v>廖鴻儒</v>
          </cell>
          <cell r="E45" t="str">
            <v>龔俊吉</v>
          </cell>
          <cell r="F45">
            <v>20170210</v>
          </cell>
          <cell r="G45" t="str">
            <v>無保留意見</v>
          </cell>
        </row>
        <row r="46">
          <cell r="A46">
            <v>1324</v>
          </cell>
          <cell r="B46" t="str">
            <v>地球工業</v>
          </cell>
          <cell r="C46" t="str">
            <v>安永聯合會計師事務所</v>
          </cell>
          <cell r="D46" t="str">
            <v>張志銘</v>
          </cell>
          <cell r="E46" t="str">
            <v>徐榮煌</v>
          </cell>
          <cell r="F46">
            <v>20160316</v>
          </cell>
          <cell r="G46" t="str">
            <v>無保留意見</v>
          </cell>
        </row>
        <row r="47">
          <cell r="A47">
            <v>1325</v>
          </cell>
          <cell r="B47" t="str">
            <v>恒大</v>
          </cell>
          <cell r="C47" t="str">
            <v>勤業眾信聯合會計師事務所</v>
          </cell>
          <cell r="D47" t="str">
            <v>姚勝雄</v>
          </cell>
          <cell r="E47" t="str">
            <v>劉江抱</v>
          </cell>
          <cell r="F47">
            <v>20170327</v>
          </cell>
          <cell r="G47" t="str">
            <v>無保留意見</v>
          </cell>
        </row>
        <row r="48">
          <cell r="A48">
            <v>1326</v>
          </cell>
          <cell r="B48" t="str">
            <v>台化</v>
          </cell>
          <cell r="C48" t="str">
            <v>資誠聯合會計師事務所</v>
          </cell>
          <cell r="D48" t="str">
            <v>周建宏</v>
          </cell>
          <cell r="E48" t="str">
            <v>阮呂曼玉</v>
          </cell>
          <cell r="F48">
            <v>20170317</v>
          </cell>
          <cell r="G48" t="str">
            <v>無保留意見</v>
          </cell>
        </row>
        <row r="49">
          <cell r="A49">
            <v>1337</v>
          </cell>
          <cell r="B49" t="str">
            <v>再生-KY</v>
          </cell>
          <cell r="C49" t="str">
            <v>勤業眾信聯合會計師事務所</v>
          </cell>
          <cell r="D49" t="str">
            <v>許瑞軒</v>
          </cell>
          <cell r="E49" t="str">
            <v>江佳玲</v>
          </cell>
          <cell r="F49">
            <v>20170311</v>
          </cell>
          <cell r="G49" t="str">
            <v>無保留意見</v>
          </cell>
        </row>
        <row r="50">
          <cell r="A50">
            <v>1338</v>
          </cell>
          <cell r="B50" t="str">
            <v>廣華-KY</v>
          </cell>
          <cell r="C50" t="str">
            <v>安侯建業聯合會計師事務所</v>
          </cell>
          <cell r="D50" t="str">
            <v>陳宜君</v>
          </cell>
          <cell r="E50" t="str">
            <v>林琬琬</v>
          </cell>
          <cell r="F50">
            <v>20170321</v>
          </cell>
          <cell r="G50" t="str">
            <v>無保留意見</v>
          </cell>
        </row>
        <row r="51">
          <cell r="A51">
            <v>1339</v>
          </cell>
          <cell r="B51" t="str">
            <v>昭輝</v>
          </cell>
          <cell r="C51" t="str">
            <v>勤業眾信聯合會計師事務所</v>
          </cell>
          <cell r="D51" t="str">
            <v>吳麗冬</v>
          </cell>
          <cell r="E51" t="str">
            <v>曾棟鋆</v>
          </cell>
          <cell r="F51">
            <v>20170324</v>
          </cell>
          <cell r="G51" t="str">
            <v>無保留意見</v>
          </cell>
        </row>
        <row r="52">
          <cell r="A52">
            <v>1340</v>
          </cell>
          <cell r="B52" t="str">
            <v>勝悅-KY</v>
          </cell>
          <cell r="C52" t="str">
            <v>勤業眾信聯合會計師事務所</v>
          </cell>
          <cell r="D52" t="str">
            <v>葉淑娟</v>
          </cell>
          <cell r="E52" t="str">
            <v>吳恪昌</v>
          </cell>
          <cell r="F52">
            <v>20170317</v>
          </cell>
          <cell r="G52" t="str">
            <v>無保留意見</v>
          </cell>
        </row>
        <row r="53">
          <cell r="A53">
            <v>1402</v>
          </cell>
          <cell r="B53" t="str">
            <v>遠東新</v>
          </cell>
          <cell r="C53" t="str">
            <v>勤業眾信聯合會計師事務所</v>
          </cell>
          <cell r="D53" t="str">
            <v>施景彬</v>
          </cell>
          <cell r="E53" t="str">
            <v>郭政弘</v>
          </cell>
          <cell r="F53">
            <v>20170323</v>
          </cell>
          <cell r="G53" t="str">
            <v>無保留意見</v>
          </cell>
        </row>
        <row r="54">
          <cell r="A54">
            <v>1409</v>
          </cell>
          <cell r="B54" t="str">
            <v>新纖</v>
          </cell>
          <cell r="C54" t="str">
            <v>勤業眾信聯合會計師事務所</v>
          </cell>
          <cell r="D54" t="str">
            <v>王錦燕</v>
          </cell>
          <cell r="E54" t="str">
            <v>施錦川</v>
          </cell>
          <cell r="F54">
            <v>20170324</v>
          </cell>
          <cell r="G54" t="str">
            <v>無保留意見</v>
          </cell>
        </row>
        <row r="55">
          <cell r="A55">
            <v>1410</v>
          </cell>
          <cell r="B55" t="str">
            <v>南染</v>
          </cell>
          <cell r="C55" t="str">
            <v>資誠聯合會計師事務所</v>
          </cell>
          <cell r="D55" t="str">
            <v>阮呂曼玉</v>
          </cell>
          <cell r="E55" t="str">
            <v>徐聖忠</v>
          </cell>
          <cell r="F55">
            <v>20170321</v>
          </cell>
          <cell r="G55" t="str">
            <v>無保留意見</v>
          </cell>
        </row>
        <row r="56">
          <cell r="A56">
            <v>1413</v>
          </cell>
          <cell r="B56" t="str">
            <v>宏洲纖維</v>
          </cell>
          <cell r="C56" t="str">
            <v>安侯建業聯合會計師事務所</v>
          </cell>
          <cell r="D56" t="str">
            <v>張淑瑩</v>
          </cell>
          <cell r="E56" t="str">
            <v>連淑凌</v>
          </cell>
          <cell r="F56">
            <v>20170308</v>
          </cell>
          <cell r="G56" t="str">
            <v>無保留意見</v>
          </cell>
        </row>
        <row r="57">
          <cell r="A57">
            <v>1414</v>
          </cell>
          <cell r="B57" t="str">
            <v>東和</v>
          </cell>
          <cell r="C57" t="str">
            <v>勤業眾信聯合會計師事務所</v>
          </cell>
          <cell r="D57" t="str">
            <v>趙永祥</v>
          </cell>
          <cell r="E57" t="str">
            <v>鄭欽宗</v>
          </cell>
          <cell r="F57">
            <v>20170307</v>
          </cell>
          <cell r="G57" t="str">
            <v>無保留意見</v>
          </cell>
        </row>
        <row r="58">
          <cell r="A58">
            <v>1416</v>
          </cell>
          <cell r="B58" t="str">
            <v>廣豐</v>
          </cell>
          <cell r="C58" t="str">
            <v>國富浩華聯合會計師事務所</v>
          </cell>
          <cell r="D58" t="str">
            <v>高佩</v>
          </cell>
          <cell r="E58" t="str">
            <v>林志隆</v>
          </cell>
          <cell r="F58">
            <v>20170331</v>
          </cell>
          <cell r="G58" t="str">
            <v>無保留意見</v>
          </cell>
        </row>
        <row r="59">
          <cell r="A59">
            <v>1417</v>
          </cell>
          <cell r="B59" t="str">
            <v>嘉裕</v>
          </cell>
          <cell r="C59" t="str">
            <v>勤業眾信聯合會計師事務所</v>
          </cell>
          <cell r="D59" t="str">
            <v>許秀明</v>
          </cell>
          <cell r="E59" t="str">
            <v>邵志明</v>
          </cell>
          <cell r="F59">
            <v>20170322</v>
          </cell>
          <cell r="G59" t="str">
            <v>無保留意見</v>
          </cell>
        </row>
        <row r="60">
          <cell r="A60">
            <v>1418</v>
          </cell>
          <cell r="B60" t="str">
            <v>東華</v>
          </cell>
          <cell r="C60" t="str">
            <v>勤業眾信聯合會計師事務所</v>
          </cell>
          <cell r="D60" t="str">
            <v>陳招美</v>
          </cell>
          <cell r="E60" t="str">
            <v>何瑞軒</v>
          </cell>
          <cell r="F60">
            <v>20170324</v>
          </cell>
          <cell r="G60" t="str">
            <v>無保留意見-繼續經營能力存在重大不確定性/繼續經營假設存有重大疑慮</v>
          </cell>
        </row>
        <row r="61">
          <cell r="A61">
            <v>1419</v>
          </cell>
          <cell r="B61" t="str">
            <v>新紡</v>
          </cell>
          <cell r="C61" t="str">
            <v>勤業眾信聯合會計師事務所</v>
          </cell>
          <cell r="D61" t="str">
            <v>陳慧銘</v>
          </cell>
          <cell r="E61" t="str">
            <v>謝明忠</v>
          </cell>
          <cell r="F61">
            <v>20170327</v>
          </cell>
          <cell r="G61" t="str">
            <v>無保留意見</v>
          </cell>
        </row>
        <row r="62">
          <cell r="A62">
            <v>1423</v>
          </cell>
          <cell r="B62" t="str">
            <v>利華羊毛</v>
          </cell>
          <cell r="C62" t="str">
            <v>安永聯合會計師事務所</v>
          </cell>
          <cell r="D62" t="str">
            <v>曾祥裕</v>
          </cell>
          <cell r="E62" t="str">
            <v>徐榮煌</v>
          </cell>
          <cell r="F62">
            <v>20170317</v>
          </cell>
          <cell r="G62" t="str">
            <v>無保留意見</v>
          </cell>
        </row>
        <row r="63">
          <cell r="A63">
            <v>1432</v>
          </cell>
          <cell r="B63" t="str">
            <v>大魯閣</v>
          </cell>
          <cell r="C63" t="str">
            <v>資誠聯合會計師事務所</v>
          </cell>
          <cell r="D63" t="str">
            <v>王方瑜</v>
          </cell>
          <cell r="E63" t="str">
            <v>蕭金木</v>
          </cell>
          <cell r="F63">
            <v>20170330</v>
          </cell>
          <cell r="G63" t="str">
            <v>無保留意見</v>
          </cell>
        </row>
        <row r="64">
          <cell r="A64">
            <v>1434</v>
          </cell>
          <cell r="B64" t="str">
            <v>福懋興業</v>
          </cell>
          <cell r="C64" t="str">
            <v>資誠聯合會計師事務所</v>
          </cell>
          <cell r="D64" t="str">
            <v>周建宏</v>
          </cell>
          <cell r="E64" t="str">
            <v>阮呂曼玉</v>
          </cell>
          <cell r="F64">
            <v>20170317</v>
          </cell>
          <cell r="G64" t="str">
            <v>無保留意見</v>
          </cell>
        </row>
        <row r="65">
          <cell r="A65">
            <v>1435</v>
          </cell>
          <cell r="B65" t="str">
            <v>中福國際</v>
          </cell>
          <cell r="C65" t="str">
            <v>勤業眾信聯合會計師事務所</v>
          </cell>
          <cell r="D65" t="str">
            <v>姚勝雄</v>
          </cell>
          <cell r="E65" t="str">
            <v>陳昭伶</v>
          </cell>
          <cell r="F65">
            <v>20170324</v>
          </cell>
          <cell r="G65" t="str">
            <v>無保留意見</v>
          </cell>
        </row>
        <row r="66">
          <cell r="A66">
            <v>1436</v>
          </cell>
          <cell r="B66" t="str">
            <v>華友聯</v>
          </cell>
          <cell r="C66" t="str">
            <v>勤業眾信聯合會計師事務所</v>
          </cell>
          <cell r="D66" t="str">
            <v>劉裕祥</v>
          </cell>
          <cell r="E66" t="str">
            <v>郭麗園</v>
          </cell>
          <cell r="F66">
            <v>20170316</v>
          </cell>
          <cell r="G66" t="str">
            <v>無保留意見</v>
          </cell>
        </row>
        <row r="67">
          <cell r="A67">
            <v>1437</v>
          </cell>
          <cell r="B67" t="str">
            <v>勤益投控</v>
          </cell>
          <cell r="C67" t="str">
            <v>安侯建業聯合會計師事務所</v>
          </cell>
          <cell r="D67" t="str">
            <v>呂莉莉</v>
          </cell>
          <cell r="E67" t="str">
            <v>俞安恬</v>
          </cell>
          <cell r="F67">
            <v>20170317</v>
          </cell>
          <cell r="G67" t="str">
            <v>無保留意見</v>
          </cell>
        </row>
        <row r="68">
          <cell r="A68">
            <v>1438</v>
          </cell>
          <cell r="B68" t="str">
            <v>裕豐</v>
          </cell>
          <cell r="C68" t="str">
            <v>安泰聯合會計師事務所</v>
          </cell>
          <cell r="D68" t="str">
            <v>潘自新</v>
          </cell>
          <cell r="E68" t="str">
            <v>蔡聰慧</v>
          </cell>
          <cell r="F68">
            <v>20170322</v>
          </cell>
          <cell r="G68" t="str">
            <v>無保留意見</v>
          </cell>
        </row>
        <row r="69">
          <cell r="A69">
            <v>1439</v>
          </cell>
          <cell r="B69" t="str">
            <v>中和羊毛</v>
          </cell>
          <cell r="C69" t="str">
            <v>安永聯合會計師事務所</v>
          </cell>
          <cell r="D69" t="str">
            <v>徐榮煌</v>
          </cell>
          <cell r="E69" t="str">
            <v>黃建澤</v>
          </cell>
          <cell r="F69">
            <v>20170315</v>
          </cell>
          <cell r="G69" t="str">
            <v>無保留意見</v>
          </cell>
        </row>
        <row r="70">
          <cell r="A70">
            <v>1440</v>
          </cell>
          <cell r="B70" t="str">
            <v>南紡</v>
          </cell>
          <cell r="C70" t="str">
            <v>資誠聯合會計師事務所</v>
          </cell>
          <cell r="D70" t="str">
            <v>李明憲</v>
          </cell>
          <cell r="E70" t="str">
            <v>劉子猛</v>
          </cell>
          <cell r="F70">
            <v>20170316</v>
          </cell>
          <cell r="G70" t="str">
            <v>無保留意見</v>
          </cell>
        </row>
        <row r="71">
          <cell r="A71">
            <v>1441</v>
          </cell>
          <cell r="B71" t="str">
            <v>大東紡織</v>
          </cell>
          <cell r="C71" t="str">
            <v>資誠聯合會計師事務所</v>
          </cell>
          <cell r="D71" t="str">
            <v>周建宏</v>
          </cell>
          <cell r="E71" t="str">
            <v>徐聖忠</v>
          </cell>
          <cell r="F71">
            <v>20170327</v>
          </cell>
          <cell r="G71" t="str">
            <v>無保留意見</v>
          </cell>
        </row>
        <row r="72">
          <cell r="A72">
            <v>1442</v>
          </cell>
          <cell r="B72" t="str">
            <v>名軒</v>
          </cell>
          <cell r="C72" t="str">
            <v>惠眾聯合會計師事務所</v>
          </cell>
          <cell r="D72" t="str">
            <v>項文婷</v>
          </cell>
          <cell r="E72" t="str">
            <v>林欣如</v>
          </cell>
          <cell r="F72">
            <v>20170328</v>
          </cell>
          <cell r="G72" t="str">
            <v>無保留意見</v>
          </cell>
        </row>
        <row r="73">
          <cell r="A73">
            <v>1443</v>
          </cell>
          <cell r="B73" t="str">
            <v>立益紡織</v>
          </cell>
          <cell r="C73" t="str">
            <v>國富浩華聯合會計師事務所</v>
          </cell>
          <cell r="D73" t="str">
            <v>邱繼盛</v>
          </cell>
          <cell r="E73" t="str">
            <v>陳桂美</v>
          </cell>
          <cell r="F73">
            <v>20170323</v>
          </cell>
          <cell r="G73" t="str">
            <v>無保留意見</v>
          </cell>
        </row>
        <row r="74">
          <cell r="A74">
            <v>1444</v>
          </cell>
          <cell r="B74" t="str">
            <v>力麗</v>
          </cell>
          <cell r="C74" t="str">
            <v>勤業眾信聯合會計師事務所</v>
          </cell>
          <cell r="D74" t="str">
            <v>余鴻賓</v>
          </cell>
          <cell r="E74" t="str">
            <v>邱明玉</v>
          </cell>
          <cell r="F74">
            <v>20170324</v>
          </cell>
          <cell r="G74" t="str">
            <v>無保留意見</v>
          </cell>
        </row>
        <row r="75">
          <cell r="A75">
            <v>1445</v>
          </cell>
          <cell r="B75" t="str">
            <v>大宇紡織</v>
          </cell>
          <cell r="C75" t="str">
            <v>勤業眾信聯合會計師事務所</v>
          </cell>
          <cell r="D75" t="str">
            <v>簡明彥</v>
          </cell>
          <cell r="E75" t="str">
            <v>郭慈容</v>
          </cell>
          <cell r="F75">
            <v>20170307</v>
          </cell>
          <cell r="G75" t="str">
            <v>無保留意見</v>
          </cell>
        </row>
        <row r="76">
          <cell r="A76">
            <v>1446</v>
          </cell>
          <cell r="B76" t="str">
            <v>宏和</v>
          </cell>
          <cell r="C76" t="str">
            <v>安永聯合會計師事務所</v>
          </cell>
          <cell r="D76" t="str">
            <v>黃世杰</v>
          </cell>
          <cell r="E76" t="str">
            <v>胡子仁</v>
          </cell>
          <cell r="F76">
            <v>20170316</v>
          </cell>
          <cell r="G76" t="str">
            <v>無保留意見</v>
          </cell>
        </row>
        <row r="77">
          <cell r="A77">
            <v>1447</v>
          </cell>
          <cell r="B77" t="str">
            <v>力鵬</v>
          </cell>
          <cell r="C77" t="str">
            <v>勤業眾信聯合會計師事務所</v>
          </cell>
          <cell r="D77" t="str">
            <v>邱明玉</v>
          </cell>
          <cell r="E77" t="str">
            <v>余鴻賓</v>
          </cell>
          <cell r="F77">
            <v>20170324</v>
          </cell>
          <cell r="G77" t="str">
            <v>無保留意見</v>
          </cell>
        </row>
        <row r="78">
          <cell r="A78">
            <v>1449</v>
          </cell>
          <cell r="B78" t="str">
            <v>佳和實業</v>
          </cell>
          <cell r="C78" t="str">
            <v>安侯建業聯合會計師事務所</v>
          </cell>
          <cell r="D78" t="str">
            <v>陳惠媛</v>
          </cell>
          <cell r="E78" t="str">
            <v>陳國宗</v>
          </cell>
          <cell r="F78">
            <v>20161231</v>
          </cell>
          <cell r="G78" t="str">
            <v>無保留意見</v>
          </cell>
        </row>
        <row r="79">
          <cell r="A79">
            <v>1451</v>
          </cell>
          <cell r="B79" t="str">
            <v>年興紡織</v>
          </cell>
          <cell r="C79" t="str">
            <v>勤業眾信聯合會計師事務所</v>
          </cell>
          <cell r="D79" t="str">
            <v>江明南</v>
          </cell>
          <cell r="E79" t="str">
            <v>葉淑娟</v>
          </cell>
          <cell r="F79">
            <v>20170316</v>
          </cell>
          <cell r="G79" t="str">
            <v>無保留意見</v>
          </cell>
        </row>
        <row r="80">
          <cell r="A80">
            <v>1452</v>
          </cell>
          <cell r="B80" t="str">
            <v>宏益</v>
          </cell>
          <cell r="C80" t="str">
            <v>立本台灣聯合會計師事務所</v>
          </cell>
          <cell r="D80" t="str">
            <v>柯俊輝</v>
          </cell>
          <cell r="E80" t="str">
            <v>林淑萍</v>
          </cell>
          <cell r="F80">
            <v>20170224</v>
          </cell>
          <cell r="G80" t="str">
            <v>無保留意見</v>
          </cell>
        </row>
        <row r="81">
          <cell r="A81">
            <v>1453</v>
          </cell>
          <cell r="B81" t="str">
            <v>大將</v>
          </cell>
          <cell r="C81" t="str">
            <v>勤業眾信聯合會計師事務所</v>
          </cell>
          <cell r="D81" t="str">
            <v>楊靜婷</v>
          </cell>
          <cell r="E81" t="str">
            <v>楊清鎮</v>
          </cell>
          <cell r="F81">
            <v>20170324</v>
          </cell>
          <cell r="G81" t="str">
            <v>無保留意見</v>
          </cell>
        </row>
        <row r="82">
          <cell r="A82">
            <v>1454</v>
          </cell>
          <cell r="B82" t="str">
            <v>台富</v>
          </cell>
          <cell r="C82" t="str">
            <v>勤業眾信聯合會計師事務所</v>
          </cell>
          <cell r="D82" t="str">
            <v>翁博仁</v>
          </cell>
          <cell r="E82" t="str">
            <v>游素環</v>
          </cell>
          <cell r="F82">
            <v>20170307</v>
          </cell>
          <cell r="G82" t="str">
            <v>無保留意見</v>
          </cell>
        </row>
        <row r="83">
          <cell r="A83">
            <v>1455</v>
          </cell>
          <cell r="B83" t="str">
            <v>集盛</v>
          </cell>
          <cell r="C83" t="str">
            <v>國富浩華聯合會計師事務所</v>
          </cell>
          <cell r="D83" t="str">
            <v>林志隆</v>
          </cell>
          <cell r="E83" t="str">
            <v>林美玲</v>
          </cell>
          <cell r="F83">
            <v>20170324</v>
          </cell>
          <cell r="G83" t="str">
            <v>無保留意見</v>
          </cell>
        </row>
        <row r="84">
          <cell r="A84">
            <v>1456</v>
          </cell>
          <cell r="B84" t="str">
            <v>怡華</v>
          </cell>
          <cell r="C84" t="str">
            <v>安侯建業聯合會計師事務所</v>
          </cell>
          <cell r="D84" t="str">
            <v>張淑瑩</v>
          </cell>
          <cell r="E84" t="str">
            <v>林琇宜</v>
          </cell>
          <cell r="F84">
            <v>20170224</v>
          </cell>
          <cell r="G84" t="str">
            <v>無保留意見</v>
          </cell>
        </row>
        <row r="85">
          <cell r="A85">
            <v>1457</v>
          </cell>
          <cell r="B85" t="str">
            <v>宜進</v>
          </cell>
          <cell r="C85" t="str">
            <v>安侯建業聯合會計師事務所</v>
          </cell>
          <cell r="D85" t="str">
            <v>張淑瑩</v>
          </cell>
          <cell r="E85" t="str">
            <v>連淑凌</v>
          </cell>
          <cell r="F85">
            <v>20170324</v>
          </cell>
          <cell r="G85" t="str">
            <v>無保留意見</v>
          </cell>
        </row>
        <row r="86">
          <cell r="A86">
            <v>1459</v>
          </cell>
          <cell r="B86" t="str">
            <v>聯發紡織</v>
          </cell>
          <cell r="C86" t="str">
            <v>勤業眾信聯合會計師事務所</v>
          </cell>
          <cell r="D86" t="str">
            <v>黃海悅</v>
          </cell>
          <cell r="E86" t="str">
            <v>劉永富</v>
          </cell>
          <cell r="F86">
            <v>20170330</v>
          </cell>
          <cell r="G86" t="str">
            <v>無保留意見</v>
          </cell>
        </row>
        <row r="87">
          <cell r="A87">
            <v>1460</v>
          </cell>
          <cell r="B87" t="str">
            <v>宏遠</v>
          </cell>
          <cell r="C87" t="str">
            <v>勤業眾信聯合會計師事務所</v>
          </cell>
          <cell r="D87" t="str">
            <v>王燕景</v>
          </cell>
          <cell r="E87" t="str">
            <v>李季珍</v>
          </cell>
          <cell r="F87">
            <v>20170314</v>
          </cell>
          <cell r="G87" t="str">
            <v>無保留意見</v>
          </cell>
        </row>
        <row r="88">
          <cell r="A88">
            <v>1463</v>
          </cell>
          <cell r="B88" t="str">
            <v>強盛染整</v>
          </cell>
          <cell r="C88" t="str">
            <v>安侯建業聯合會計師事務所</v>
          </cell>
          <cell r="D88" t="str">
            <v>吳美萍</v>
          </cell>
          <cell r="E88" t="str">
            <v>黃泳華</v>
          </cell>
          <cell r="F88">
            <v>20170328</v>
          </cell>
          <cell r="G88" t="str">
            <v>無保留意見</v>
          </cell>
        </row>
        <row r="89">
          <cell r="A89">
            <v>1464</v>
          </cell>
          <cell r="B89" t="str">
            <v>得力實業</v>
          </cell>
          <cell r="C89" t="str">
            <v>勤業眾信聯合會計師事務所</v>
          </cell>
          <cell r="D89" t="str">
            <v>廖鴻儒</v>
          </cell>
          <cell r="E89" t="str">
            <v>王燕景</v>
          </cell>
          <cell r="F89">
            <v>20170307</v>
          </cell>
          <cell r="G89" t="str">
            <v>無保留意見</v>
          </cell>
        </row>
        <row r="90">
          <cell r="A90">
            <v>1465</v>
          </cell>
          <cell r="B90" t="str">
            <v>偉全實業</v>
          </cell>
          <cell r="C90" t="str">
            <v>立本台灣聯合會計師事務所</v>
          </cell>
          <cell r="D90" t="str">
            <v>劉克宜</v>
          </cell>
          <cell r="E90" t="str">
            <v>許坤錫</v>
          </cell>
          <cell r="F90">
            <v>20170327</v>
          </cell>
          <cell r="G90" t="str">
            <v>無保留意見</v>
          </cell>
        </row>
        <row r="91">
          <cell r="A91">
            <v>1466</v>
          </cell>
          <cell r="B91" t="str">
            <v>聚隆</v>
          </cell>
          <cell r="C91" t="str">
            <v>建智聯合會計師事務所</v>
          </cell>
          <cell r="D91" t="str">
            <v>廖年傑</v>
          </cell>
          <cell r="E91" t="str">
            <v>黃祥穎</v>
          </cell>
          <cell r="F91">
            <v>20170314</v>
          </cell>
          <cell r="G91" t="str">
            <v>無保留意見</v>
          </cell>
        </row>
        <row r="92">
          <cell r="A92">
            <v>1467</v>
          </cell>
          <cell r="B92" t="str">
            <v>南緯實業</v>
          </cell>
          <cell r="C92" t="str">
            <v>安侯建業聯合會計師事務所</v>
          </cell>
          <cell r="D92" t="str">
            <v>簡蒂暖</v>
          </cell>
          <cell r="E92" t="str">
            <v>池世欽</v>
          </cell>
          <cell r="F92">
            <v>20170324</v>
          </cell>
          <cell r="G92" t="str">
            <v>無保留意見</v>
          </cell>
        </row>
        <row r="93">
          <cell r="A93">
            <v>1469</v>
          </cell>
          <cell r="B93" t="str">
            <v>理隆纖維</v>
          </cell>
          <cell r="C93" t="str">
            <v>資誠聯合會計師事務所</v>
          </cell>
          <cell r="D93" t="str">
            <v>杜佩玲</v>
          </cell>
          <cell r="E93" t="str">
            <v>張淑瓊</v>
          </cell>
          <cell r="F93">
            <v>20170328</v>
          </cell>
          <cell r="G93" t="str">
            <v>無保留意見</v>
          </cell>
        </row>
        <row r="94">
          <cell r="A94">
            <v>1470</v>
          </cell>
          <cell r="B94" t="str">
            <v>大統染</v>
          </cell>
          <cell r="C94" t="str">
            <v>勤業眾信聯合會計師事務所</v>
          </cell>
          <cell r="D94" t="str">
            <v>謝建新</v>
          </cell>
          <cell r="E94" t="str">
            <v>何瑞軒</v>
          </cell>
          <cell r="F94">
            <v>20170329</v>
          </cell>
          <cell r="G94" t="str">
            <v>無保留意見</v>
          </cell>
        </row>
        <row r="95">
          <cell r="A95">
            <v>1471</v>
          </cell>
          <cell r="B95" t="str">
            <v>首利</v>
          </cell>
          <cell r="C95" t="str">
            <v>資誠聯合會計師事務所</v>
          </cell>
          <cell r="D95" t="str">
            <v>徐聖忠</v>
          </cell>
          <cell r="E95" t="str">
            <v>徐永堅</v>
          </cell>
          <cell r="F95">
            <v>20170328</v>
          </cell>
          <cell r="G95" t="str">
            <v>無保留意見</v>
          </cell>
        </row>
        <row r="96">
          <cell r="A96">
            <v>1472</v>
          </cell>
          <cell r="B96" t="str">
            <v>三洋紡</v>
          </cell>
          <cell r="C96" t="str">
            <v>勤業眾信聯合會計師事務所</v>
          </cell>
          <cell r="D96" t="str">
            <v>黃海悅</v>
          </cell>
          <cell r="E96" t="str">
            <v>謝建新</v>
          </cell>
          <cell r="F96">
            <v>20170329</v>
          </cell>
          <cell r="G96" t="str">
            <v>無保留意見</v>
          </cell>
        </row>
        <row r="97">
          <cell r="A97">
            <v>1473</v>
          </cell>
          <cell r="B97" t="str">
            <v>台南企業</v>
          </cell>
          <cell r="C97" t="str">
            <v>資誠聯合會計師事務所</v>
          </cell>
          <cell r="D97" t="str">
            <v>劉子猛</v>
          </cell>
          <cell r="E97" t="str">
            <v>林姿妤</v>
          </cell>
          <cell r="F97">
            <v>20170321</v>
          </cell>
          <cell r="G97" t="str">
            <v>無保留意見</v>
          </cell>
        </row>
        <row r="98">
          <cell r="A98">
            <v>1474</v>
          </cell>
          <cell r="B98" t="str">
            <v>弘裕</v>
          </cell>
          <cell r="C98" t="str">
            <v>資誠聯合會計師事務所</v>
          </cell>
          <cell r="D98" t="str">
            <v>洪淑華</v>
          </cell>
          <cell r="E98" t="str">
            <v>王玉娟</v>
          </cell>
          <cell r="F98">
            <v>20170315</v>
          </cell>
          <cell r="G98" t="str">
            <v>無保留意見</v>
          </cell>
        </row>
        <row r="99">
          <cell r="A99">
            <v>1475</v>
          </cell>
          <cell r="B99" t="str">
            <v>本盟光電</v>
          </cell>
          <cell r="C99" t="str">
            <v>資誠聯合會計師事務所</v>
          </cell>
          <cell r="D99" t="str">
            <v>張淑瓊</v>
          </cell>
          <cell r="E99" t="str">
            <v>林鈞堯</v>
          </cell>
          <cell r="F99">
            <v>20170320</v>
          </cell>
          <cell r="G99" t="str">
            <v>無保留意見</v>
          </cell>
        </row>
        <row r="100">
          <cell r="A100">
            <v>1476</v>
          </cell>
          <cell r="B100" t="str">
            <v>儒鴻</v>
          </cell>
          <cell r="C100" t="str">
            <v>安侯建業聯合會計師事務所</v>
          </cell>
          <cell r="D100" t="str">
            <v>寇惠植</v>
          </cell>
          <cell r="E100" t="str">
            <v>郭欣頤</v>
          </cell>
          <cell r="F100">
            <v>20170316</v>
          </cell>
          <cell r="G100" t="str">
            <v>無保留意見</v>
          </cell>
        </row>
        <row r="101">
          <cell r="A101">
            <v>1477</v>
          </cell>
          <cell r="B101" t="str">
            <v>聚陽實業</v>
          </cell>
          <cell r="C101" t="str">
            <v>安侯建業聯合會計師事務所</v>
          </cell>
          <cell r="D101" t="str">
            <v>陳蓓琪</v>
          </cell>
          <cell r="E101" t="str">
            <v>于紀隆</v>
          </cell>
          <cell r="F101">
            <v>20170323</v>
          </cell>
          <cell r="G101" t="str">
            <v>無保留意見</v>
          </cell>
        </row>
        <row r="102">
          <cell r="A102">
            <v>1503</v>
          </cell>
          <cell r="B102" t="str">
            <v>士電</v>
          </cell>
          <cell r="C102" t="str">
            <v>勤業眾信聯合會計師事務所</v>
          </cell>
          <cell r="D102" t="str">
            <v>許庭禎</v>
          </cell>
          <cell r="E102" t="str">
            <v>劉建良</v>
          </cell>
          <cell r="F102">
            <v>20170309</v>
          </cell>
          <cell r="G102" t="str">
            <v>無保留意見</v>
          </cell>
        </row>
        <row r="103">
          <cell r="A103">
            <v>1504</v>
          </cell>
          <cell r="B103" t="str">
            <v>東元電機</v>
          </cell>
          <cell r="C103" t="str">
            <v>資誠聯合會計師事務所</v>
          </cell>
          <cell r="D103" t="str">
            <v>曾惠瑾</v>
          </cell>
          <cell r="E103" t="str">
            <v>張明輝</v>
          </cell>
          <cell r="F103">
            <v>20170324</v>
          </cell>
          <cell r="G103" t="str">
            <v>無保留意見</v>
          </cell>
        </row>
        <row r="104">
          <cell r="A104">
            <v>1506</v>
          </cell>
          <cell r="B104" t="str">
            <v>正道</v>
          </cell>
          <cell r="C104" t="str">
            <v>勤業眾信聯合會計師事務所</v>
          </cell>
          <cell r="D104" t="str">
            <v>鄭欽宗</v>
          </cell>
          <cell r="E104" t="str">
            <v>趙永祥</v>
          </cell>
          <cell r="F104">
            <v>20170324</v>
          </cell>
          <cell r="G104" t="str">
            <v>無保留意見</v>
          </cell>
        </row>
        <row r="105">
          <cell r="A105">
            <v>1507</v>
          </cell>
          <cell r="B105" t="str">
            <v>永大機電</v>
          </cell>
          <cell r="C105" t="str">
            <v>建昇財稅聯合會計師事務所</v>
          </cell>
          <cell r="D105" t="str">
            <v>林昇平</v>
          </cell>
          <cell r="E105" t="str">
            <v>陳秀莉</v>
          </cell>
          <cell r="F105">
            <v>20170316</v>
          </cell>
          <cell r="G105" t="str">
            <v>無保留意見</v>
          </cell>
        </row>
        <row r="106">
          <cell r="A106">
            <v>1512</v>
          </cell>
          <cell r="B106" t="str">
            <v>瑞利</v>
          </cell>
          <cell r="C106" t="str">
            <v>勤業眾信聯合會計師事務所</v>
          </cell>
          <cell r="D106" t="str">
            <v>吳秋燕</v>
          </cell>
          <cell r="E106" t="str">
            <v>郭麗園</v>
          </cell>
          <cell r="F106">
            <v>20170329</v>
          </cell>
          <cell r="G106" t="str">
            <v>無保留意見</v>
          </cell>
        </row>
        <row r="107">
          <cell r="A107">
            <v>1513</v>
          </cell>
          <cell r="B107" t="str">
            <v>中興電</v>
          </cell>
          <cell r="C107" t="str">
            <v>國富浩華聯合會計師事務所</v>
          </cell>
          <cell r="D107" t="str">
            <v>林春枝</v>
          </cell>
          <cell r="E107" t="str">
            <v>吳孟達</v>
          </cell>
          <cell r="F107">
            <v>20170329</v>
          </cell>
          <cell r="G107" t="str">
            <v>無保留意見</v>
          </cell>
        </row>
        <row r="108">
          <cell r="A108">
            <v>1514</v>
          </cell>
          <cell r="B108" t="str">
            <v>亞力電機</v>
          </cell>
          <cell r="C108" t="str">
            <v>惠眾聯合會計師事務所</v>
          </cell>
          <cell r="D108" t="str">
            <v>洪佑伶</v>
          </cell>
          <cell r="E108" t="str">
            <v>卓敏枝</v>
          </cell>
          <cell r="F108">
            <v>20170329</v>
          </cell>
          <cell r="G108" t="str">
            <v>無保留意見</v>
          </cell>
        </row>
        <row r="109">
          <cell r="A109">
            <v>1515</v>
          </cell>
          <cell r="B109" t="str">
            <v>力山</v>
          </cell>
          <cell r="C109" t="str">
            <v>安侯建業聯合會計師事務所</v>
          </cell>
          <cell r="D109" t="str">
            <v>張字信</v>
          </cell>
          <cell r="E109" t="str">
            <v>陳君滿</v>
          </cell>
          <cell r="F109">
            <v>20170320</v>
          </cell>
          <cell r="G109" t="str">
            <v>無保留意見</v>
          </cell>
        </row>
        <row r="110">
          <cell r="A110">
            <v>1516</v>
          </cell>
          <cell r="B110" t="str">
            <v>川飛</v>
          </cell>
          <cell r="C110" t="str">
            <v>安永聯合會計師事務所</v>
          </cell>
          <cell r="D110" t="str">
            <v>洪茂益</v>
          </cell>
          <cell r="E110" t="str">
            <v>黃益輝</v>
          </cell>
          <cell r="F110">
            <v>20170210</v>
          </cell>
          <cell r="G110" t="str">
            <v>無保留意見</v>
          </cell>
        </row>
        <row r="111">
          <cell r="A111">
            <v>1517</v>
          </cell>
          <cell r="B111" t="str">
            <v>利奇機械</v>
          </cell>
          <cell r="C111" t="str">
            <v>勤業眾信聯合會計師事務所</v>
          </cell>
          <cell r="D111" t="str">
            <v>成德潤</v>
          </cell>
          <cell r="E111" t="str">
            <v>吳麗冬</v>
          </cell>
          <cell r="F111">
            <v>20170324</v>
          </cell>
          <cell r="G111" t="str">
            <v>無保留意見</v>
          </cell>
        </row>
        <row r="112">
          <cell r="A112">
            <v>1519</v>
          </cell>
          <cell r="B112" t="str">
            <v>華城電機</v>
          </cell>
          <cell r="C112" t="str">
            <v>勤業眾信聯合會計師事務所</v>
          </cell>
          <cell r="D112" t="str">
            <v>楊靜婷</v>
          </cell>
          <cell r="E112" t="str">
            <v>龔則立</v>
          </cell>
          <cell r="F112">
            <v>20170324</v>
          </cell>
          <cell r="G112" t="str">
            <v>無保留意見</v>
          </cell>
        </row>
        <row r="113">
          <cell r="A113">
            <v>1521</v>
          </cell>
          <cell r="B113" t="str">
            <v>大億</v>
          </cell>
          <cell r="C113" t="str">
            <v>勤業眾信聯合會計師事務所</v>
          </cell>
          <cell r="D113" t="str">
            <v>廖鴻儒</v>
          </cell>
          <cell r="E113" t="str">
            <v>李季珍</v>
          </cell>
          <cell r="F113">
            <v>20170317</v>
          </cell>
          <cell r="G113" t="str">
            <v>無保留意見</v>
          </cell>
        </row>
        <row r="114">
          <cell r="A114">
            <v>1522</v>
          </cell>
          <cell r="B114" t="str">
            <v>堤維西</v>
          </cell>
          <cell r="C114" t="str">
            <v>安永聯合會計師事務所</v>
          </cell>
          <cell r="D114" t="str">
            <v>胡子仁</v>
          </cell>
          <cell r="E114" t="str">
            <v>黃世杰</v>
          </cell>
          <cell r="F114">
            <v>20170328</v>
          </cell>
          <cell r="G114" t="str">
            <v>無保留意見</v>
          </cell>
        </row>
        <row r="115">
          <cell r="A115">
            <v>1524</v>
          </cell>
          <cell r="B115" t="str">
            <v>耿鼎企業</v>
          </cell>
          <cell r="C115" t="str">
            <v>正風聯合會計師事務所</v>
          </cell>
          <cell r="D115" t="str">
            <v>賴永吉</v>
          </cell>
          <cell r="E115" t="str">
            <v>鄭憲修</v>
          </cell>
          <cell r="F115">
            <v>20170309</v>
          </cell>
          <cell r="G115" t="str">
            <v>無保留意見</v>
          </cell>
        </row>
        <row r="116">
          <cell r="A116">
            <v>1525</v>
          </cell>
          <cell r="B116" t="str">
            <v>江申工業</v>
          </cell>
          <cell r="C116" t="str">
            <v>勤業眾信聯合會計師事務所</v>
          </cell>
          <cell r="D116" t="str">
            <v>林淑婉</v>
          </cell>
          <cell r="E116" t="str">
            <v>翁雅玲</v>
          </cell>
          <cell r="F116">
            <v>20170322</v>
          </cell>
          <cell r="G116" t="str">
            <v>無保留意見</v>
          </cell>
        </row>
        <row r="117">
          <cell r="A117">
            <v>1526</v>
          </cell>
          <cell r="B117" t="str">
            <v>日馳</v>
          </cell>
          <cell r="C117" t="str">
            <v>調和聯合會計師事務所</v>
          </cell>
          <cell r="D117" t="str">
            <v>郭鎮宇</v>
          </cell>
          <cell r="E117" t="str">
            <v>莊淑媛</v>
          </cell>
          <cell r="F117">
            <v>20170328</v>
          </cell>
          <cell r="G117" t="str">
            <v>無保留意見</v>
          </cell>
        </row>
        <row r="118">
          <cell r="A118">
            <v>1527</v>
          </cell>
          <cell r="B118" t="str">
            <v>鑽全</v>
          </cell>
          <cell r="C118" t="str">
            <v>安侯建業聯合會計師事務所</v>
          </cell>
          <cell r="D118" t="str">
            <v>陳君滿</v>
          </cell>
          <cell r="E118" t="str">
            <v>張字信</v>
          </cell>
          <cell r="F118">
            <v>20170316</v>
          </cell>
          <cell r="G118" t="str">
            <v>無保留意見</v>
          </cell>
        </row>
        <row r="119">
          <cell r="A119">
            <v>1528</v>
          </cell>
          <cell r="B119" t="str">
            <v>恩德</v>
          </cell>
          <cell r="C119" t="str">
            <v>勤業眾信聯合會計師事務所</v>
          </cell>
          <cell r="D119" t="str">
            <v>范有偉</v>
          </cell>
          <cell r="E119" t="str">
            <v>戴信維</v>
          </cell>
          <cell r="F119">
            <v>20170331</v>
          </cell>
          <cell r="G119" t="str">
            <v>無保留意見</v>
          </cell>
        </row>
        <row r="120">
          <cell r="A120">
            <v>1529</v>
          </cell>
          <cell r="B120" t="str">
            <v>樂士</v>
          </cell>
          <cell r="C120" t="str">
            <v>勤業眾信聯合會計師事務所</v>
          </cell>
          <cell r="D120" t="str">
            <v>李季珍</v>
          </cell>
          <cell r="E120" t="str">
            <v>廖鴻儒</v>
          </cell>
          <cell r="F120">
            <v>20170329</v>
          </cell>
          <cell r="G120" t="str">
            <v>無保留意見</v>
          </cell>
        </row>
        <row r="121">
          <cell r="A121">
            <v>1530</v>
          </cell>
          <cell r="B121" t="str">
            <v>亞崴機電</v>
          </cell>
          <cell r="C121" t="str">
            <v>建智聯合會計師事務所</v>
          </cell>
          <cell r="D121" t="str">
            <v>陳貴端</v>
          </cell>
          <cell r="E121" t="str">
            <v>陳宇頌</v>
          </cell>
          <cell r="F121">
            <v>20170303</v>
          </cell>
          <cell r="G121" t="str">
            <v>無保留意見</v>
          </cell>
        </row>
        <row r="122">
          <cell r="A122">
            <v>1531</v>
          </cell>
          <cell r="B122" t="str">
            <v>高林股</v>
          </cell>
          <cell r="C122" t="str">
            <v>勤業眾信聯合會計師事務所</v>
          </cell>
          <cell r="D122" t="str">
            <v>林安惠</v>
          </cell>
          <cell r="E122" t="str">
            <v>張清福</v>
          </cell>
          <cell r="F122">
            <v>20170324</v>
          </cell>
          <cell r="G122" t="str">
            <v>無保留意見</v>
          </cell>
        </row>
        <row r="123">
          <cell r="A123">
            <v>1532</v>
          </cell>
          <cell r="B123" t="str">
            <v>勤美</v>
          </cell>
          <cell r="C123" t="str">
            <v>安侯建業聯合會計師事務所</v>
          </cell>
          <cell r="D123" t="str">
            <v>簡蒂暖</v>
          </cell>
          <cell r="E123" t="str">
            <v>曾國禓</v>
          </cell>
          <cell r="F123">
            <v>20170316</v>
          </cell>
          <cell r="G123" t="str">
            <v>無保留意見</v>
          </cell>
        </row>
        <row r="124">
          <cell r="A124">
            <v>1533</v>
          </cell>
          <cell r="B124" t="str">
            <v>車王電</v>
          </cell>
          <cell r="C124" t="str">
            <v>資誠聯合會計師事務所</v>
          </cell>
          <cell r="D124" t="str">
            <v>徐建業</v>
          </cell>
          <cell r="E124" t="str">
            <v>楊明經</v>
          </cell>
          <cell r="F124">
            <v>20170330</v>
          </cell>
          <cell r="G124" t="str">
            <v>無保留意見</v>
          </cell>
        </row>
        <row r="125">
          <cell r="A125">
            <v>1535</v>
          </cell>
          <cell r="B125" t="str">
            <v>中宇</v>
          </cell>
          <cell r="C125" t="str">
            <v>勤業眾信聯合會計師事務所</v>
          </cell>
          <cell r="D125" t="str">
            <v>郭麗園</v>
          </cell>
          <cell r="E125" t="str">
            <v>劉裕祥</v>
          </cell>
          <cell r="F125">
            <v>20170321</v>
          </cell>
          <cell r="G125" t="str">
            <v>無保留意見</v>
          </cell>
        </row>
        <row r="126">
          <cell r="A126">
            <v>1536</v>
          </cell>
          <cell r="B126" t="str">
            <v>和大工業</v>
          </cell>
          <cell r="C126" t="str">
            <v>資誠聯合會計師事務所</v>
          </cell>
          <cell r="D126" t="str">
            <v>楊明經</v>
          </cell>
          <cell r="E126" t="str">
            <v>王玉娟</v>
          </cell>
          <cell r="F126">
            <v>20170329</v>
          </cell>
          <cell r="G126" t="str">
            <v>無保留意見</v>
          </cell>
        </row>
        <row r="127">
          <cell r="A127">
            <v>1537</v>
          </cell>
          <cell r="B127" t="str">
            <v>廣隆光電</v>
          </cell>
          <cell r="C127" t="str">
            <v>資誠聯合會計師事務所</v>
          </cell>
          <cell r="D127" t="str">
            <v>王玉娟</v>
          </cell>
          <cell r="E127" t="str">
            <v>洪淑華</v>
          </cell>
          <cell r="F127">
            <v>20170327</v>
          </cell>
          <cell r="G127" t="str">
            <v>無保留意見</v>
          </cell>
        </row>
        <row r="128">
          <cell r="A128">
            <v>1538</v>
          </cell>
          <cell r="B128" t="str">
            <v>正峰新</v>
          </cell>
          <cell r="C128" t="str">
            <v>安侯建業聯合會計師事務所</v>
          </cell>
          <cell r="D128" t="str">
            <v>郭欣頤</v>
          </cell>
          <cell r="E128" t="str">
            <v>陳秀蘭</v>
          </cell>
          <cell r="F128">
            <v>20170323</v>
          </cell>
          <cell r="G128" t="str">
            <v>無保留意見</v>
          </cell>
        </row>
        <row r="129">
          <cell r="A129">
            <v>1539</v>
          </cell>
          <cell r="B129" t="str">
            <v>巨庭機械</v>
          </cell>
          <cell r="C129" t="str">
            <v>國富浩華聯合會計師事務所</v>
          </cell>
          <cell r="D129" t="str">
            <v>黃素絹</v>
          </cell>
          <cell r="E129" t="str">
            <v>邵朝彬</v>
          </cell>
          <cell r="F129">
            <v>20170328</v>
          </cell>
          <cell r="G129" t="str">
            <v>無保留意見</v>
          </cell>
        </row>
        <row r="130">
          <cell r="A130">
            <v>1540</v>
          </cell>
          <cell r="B130" t="str">
            <v>喬福機械</v>
          </cell>
          <cell r="C130" t="str">
            <v>資誠聯合會計師事務所</v>
          </cell>
          <cell r="D130" t="str">
            <v>王玉娟</v>
          </cell>
          <cell r="E130" t="str">
            <v>楊明經</v>
          </cell>
          <cell r="F130">
            <v>20170330</v>
          </cell>
          <cell r="G130" t="str">
            <v>無保留意見</v>
          </cell>
        </row>
        <row r="131">
          <cell r="A131">
            <v>1541</v>
          </cell>
          <cell r="B131" t="str">
            <v>錩泰</v>
          </cell>
          <cell r="C131" t="str">
            <v>安 永 聯 合 會 計 師 事 務 所</v>
          </cell>
          <cell r="D131" t="str">
            <v>涂 清 淵</v>
          </cell>
          <cell r="E131" t="str">
            <v>嚴 文 筆</v>
          </cell>
          <cell r="F131">
            <v>20170320</v>
          </cell>
          <cell r="G131" t="str">
            <v>無保留意見</v>
          </cell>
        </row>
        <row r="132">
          <cell r="A132">
            <v>1558</v>
          </cell>
          <cell r="B132" t="str">
            <v>伸興</v>
          </cell>
          <cell r="C132" t="str">
            <v>安永聯合會計師事務所</v>
          </cell>
          <cell r="D132" t="str">
            <v>嚴文筆</v>
          </cell>
          <cell r="E132" t="str">
            <v>涂清淵</v>
          </cell>
          <cell r="F132">
            <v>20170322</v>
          </cell>
          <cell r="G132" t="str">
            <v>無保留意見</v>
          </cell>
        </row>
        <row r="133">
          <cell r="A133">
            <v>1560</v>
          </cell>
          <cell r="B133" t="str">
            <v>中砂</v>
          </cell>
          <cell r="C133" t="str">
            <v>勤業眾信聯合會計師事務所</v>
          </cell>
          <cell r="D133" t="str">
            <v>張清福</v>
          </cell>
          <cell r="E133" t="str">
            <v>蔡振財</v>
          </cell>
          <cell r="F133">
            <v>20170223</v>
          </cell>
          <cell r="G133" t="str">
            <v>無保留意見</v>
          </cell>
        </row>
        <row r="134">
          <cell r="A134">
            <v>1568</v>
          </cell>
          <cell r="B134" t="str">
            <v>倉佑</v>
          </cell>
          <cell r="C134" t="str">
            <v>勤業眾信聯合會計師事務所</v>
          </cell>
          <cell r="D134" t="str">
            <v>陳珍麗</v>
          </cell>
          <cell r="E134" t="str">
            <v>吳秋燕</v>
          </cell>
          <cell r="F134">
            <v>20170320</v>
          </cell>
          <cell r="G134" t="str">
            <v>無保留意見</v>
          </cell>
        </row>
        <row r="135">
          <cell r="A135">
            <v>1582</v>
          </cell>
          <cell r="B135" t="str">
            <v>信錦</v>
          </cell>
          <cell r="C135" t="str">
            <v>勤業眾信聯合會計師事務所</v>
          </cell>
          <cell r="D135" t="str">
            <v>李東峰</v>
          </cell>
          <cell r="E135" t="str">
            <v>張敬人</v>
          </cell>
          <cell r="F135">
            <v>20170317</v>
          </cell>
          <cell r="G135" t="str">
            <v>無保留意見</v>
          </cell>
        </row>
        <row r="136">
          <cell r="A136">
            <v>1583</v>
          </cell>
          <cell r="B136" t="str">
            <v>程泰</v>
          </cell>
          <cell r="C136" t="str">
            <v>國富浩華聯合會計師事務所</v>
          </cell>
          <cell r="D136" t="str">
            <v>吳麗容</v>
          </cell>
          <cell r="E136" t="str">
            <v>林汀?</v>
          </cell>
          <cell r="F136">
            <v>20170303</v>
          </cell>
          <cell r="G136" t="str">
            <v>無保留意見</v>
          </cell>
        </row>
        <row r="137">
          <cell r="A137">
            <v>1589</v>
          </cell>
          <cell r="B137" t="str">
            <v>永冠-KY</v>
          </cell>
          <cell r="C137" t="str">
            <v>勤業眾信聯合會計師事務所</v>
          </cell>
          <cell r="D137" t="str">
            <v>李東峰</v>
          </cell>
          <cell r="E137" t="str">
            <v>龔則立</v>
          </cell>
          <cell r="F137">
            <v>20170309</v>
          </cell>
          <cell r="G137" t="str">
            <v>無保留意見</v>
          </cell>
        </row>
        <row r="138">
          <cell r="A138">
            <v>1590</v>
          </cell>
          <cell r="B138" t="str">
            <v>亞德客-KY</v>
          </cell>
          <cell r="C138" t="str">
            <v>勤業眾信聯合會計師事務所</v>
          </cell>
          <cell r="D138" t="str">
            <v>謝明忠</v>
          </cell>
          <cell r="E138" t="str">
            <v>翁博仁</v>
          </cell>
          <cell r="F138">
            <v>20170224</v>
          </cell>
          <cell r="G138" t="str">
            <v>無保留意見</v>
          </cell>
        </row>
        <row r="139">
          <cell r="A139">
            <v>1592</v>
          </cell>
          <cell r="B139" t="str">
            <v>英瑞-KY</v>
          </cell>
          <cell r="C139" t="str">
            <v>勤業眾信聯合會計師事務所</v>
          </cell>
          <cell r="D139" t="str">
            <v>廖鴻儒</v>
          </cell>
          <cell r="E139" t="str">
            <v>許瑞軒</v>
          </cell>
          <cell r="F139">
            <v>20170313</v>
          </cell>
          <cell r="G139" t="str">
            <v>無保留意見</v>
          </cell>
        </row>
        <row r="140">
          <cell r="A140">
            <v>1598</v>
          </cell>
          <cell r="B140" t="str">
            <v>岱宇國際</v>
          </cell>
          <cell r="C140" t="str">
            <v>勤業眾信聯合會計師事務所</v>
          </cell>
          <cell r="D140" t="str">
            <v>廖婉怡</v>
          </cell>
          <cell r="E140" t="str">
            <v>謝建新</v>
          </cell>
          <cell r="F140">
            <v>20170329</v>
          </cell>
          <cell r="G140" t="str">
            <v>無保留意見</v>
          </cell>
        </row>
        <row r="141">
          <cell r="A141">
            <v>1603</v>
          </cell>
          <cell r="B141" t="str">
            <v>華電</v>
          </cell>
          <cell r="C141" t="str">
            <v>勤業眾信聯合會計師事務所</v>
          </cell>
          <cell r="D141" t="str">
            <v>張瑞娜</v>
          </cell>
          <cell r="E141" t="str">
            <v>周以隆</v>
          </cell>
          <cell r="F141">
            <v>20170330</v>
          </cell>
          <cell r="G141" t="str">
            <v>無保留意見</v>
          </cell>
        </row>
        <row r="142">
          <cell r="A142">
            <v>1604</v>
          </cell>
          <cell r="B142" t="str">
            <v>聲寶</v>
          </cell>
          <cell r="C142" t="str">
            <v>勤業眾信聯合會計師事務所</v>
          </cell>
          <cell r="D142" t="str">
            <v>蘇郁琇</v>
          </cell>
          <cell r="E142" t="str">
            <v>林宜慧</v>
          </cell>
          <cell r="F142">
            <v>20160324</v>
          </cell>
          <cell r="G142" t="str">
            <v>無保留意見</v>
          </cell>
        </row>
        <row r="143">
          <cell r="A143">
            <v>1605</v>
          </cell>
          <cell r="B143" t="str">
            <v>華新</v>
          </cell>
          <cell r="C143" t="str">
            <v>勤業眾信聯合會計師事務所</v>
          </cell>
          <cell r="D143" t="str">
            <v>余鴻賓</v>
          </cell>
          <cell r="E143" t="str">
            <v>洪國田</v>
          </cell>
          <cell r="F143">
            <v>20170217</v>
          </cell>
          <cell r="G143" t="str">
            <v>無保留意見</v>
          </cell>
        </row>
        <row r="144">
          <cell r="A144">
            <v>1608</v>
          </cell>
          <cell r="B144" t="str">
            <v>華榮</v>
          </cell>
          <cell r="C144" t="str">
            <v>安侯建業聯合會計師事務所</v>
          </cell>
          <cell r="D144" t="str">
            <v>許振隆</v>
          </cell>
          <cell r="E144" t="str">
            <v>楊博任</v>
          </cell>
          <cell r="F144">
            <v>20170329</v>
          </cell>
          <cell r="G144" t="str">
            <v>無保留意見</v>
          </cell>
        </row>
        <row r="145">
          <cell r="A145">
            <v>1609</v>
          </cell>
          <cell r="B145" t="str">
            <v>大亞電線</v>
          </cell>
          <cell r="C145" t="str">
            <v>群智聯合會計師事務所</v>
          </cell>
          <cell r="D145" t="str">
            <v>呂松裕</v>
          </cell>
          <cell r="E145" t="str">
            <v>呂亞哲</v>
          </cell>
          <cell r="F145">
            <v>20160330</v>
          </cell>
          <cell r="G145" t="str">
            <v>無保留意見</v>
          </cell>
        </row>
        <row r="146">
          <cell r="A146">
            <v>1611</v>
          </cell>
          <cell r="B146" t="str">
            <v>中電</v>
          </cell>
          <cell r="C146" t="str">
            <v>勤業眾信聯合會計師事務所</v>
          </cell>
          <cell r="D146" t="str">
            <v>鄭旭然</v>
          </cell>
          <cell r="E146" t="str">
            <v>陳麗琦</v>
          </cell>
          <cell r="F146">
            <v>20170331</v>
          </cell>
          <cell r="G146" t="str">
            <v>無保留意見</v>
          </cell>
        </row>
        <row r="147">
          <cell r="A147">
            <v>1612</v>
          </cell>
          <cell r="B147" t="str">
            <v>宏泰</v>
          </cell>
          <cell r="C147" t="str">
            <v>安永聯合會計師事務所</v>
          </cell>
          <cell r="D147" t="str">
            <v>傅文芳</v>
          </cell>
          <cell r="E147" t="str">
            <v>徐榮煌</v>
          </cell>
          <cell r="F147">
            <v>20170324</v>
          </cell>
          <cell r="G147" t="str">
            <v>無保留意見</v>
          </cell>
        </row>
        <row r="148">
          <cell r="A148">
            <v>1614</v>
          </cell>
          <cell r="B148" t="str">
            <v>三洋電</v>
          </cell>
          <cell r="C148" t="str">
            <v>資誠聯合會計師事務所</v>
          </cell>
          <cell r="D148" t="str">
            <v>杜佩玲</v>
          </cell>
          <cell r="E148" t="str">
            <v>翁世榮</v>
          </cell>
          <cell r="F148">
            <v>20170323</v>
          </cell>
          <cell r="G148" t="str">
            <v>無保留意見</v>
          </cell>
        </row>
        <row r="149">
          <cell r="A149">
            <v>1615</v>
          </cell>
          <cell r="B149" t="str">
            <v>大山</v>
          </cell>
          <cell r="C149" t="str">
            <v>安侯建業聯合會計師事務所</v>
          </cell>
          <cell r="D149" t="str">
            <v>陳盈如</v>
          </cell>
          <cell r="E149" t="str">
            <v>許淑敏</v>
          </cell>
          <cell r="F149">
            <v>20170327</v>
          </cell>
          <cell r="G149" t="str">
            <v>無保留意見</v>
          </cell>
        </row>
        <row r="150">
          <cell r="A150">
            <v>1616</v>
          </cell>
          <cell r="B150" t="str">
            <v>億泰</v>
          </cell>
          <cell r="C150" t="str">
            <v>安侯建業聯合會計師事務所</v>
          </cell>
          <cell r="D150" t="str">
            <v>黃泳華</v>
          </cell>
          <cell r="E150" t="str">
            <v>陳振乾</v>
          </cell>
          <cell r="F150">
            <v>20170323</v>
          </cell>
          <cell r="G150" t="str">
            <v>無保留意見</v>
          </cell>
        </row>
        <row r="151">
          <cell r="A151">
            <v>1617</v>
          </cell>
          <cell r="B151" t="str">
            <v>榮星電線</v>
          </cell>
          <cell r="C151" t="str">
            <v>安 侯 建 業 聯 合 會 計 師 事 務 所</v>
          </cell>
          <cell r="D151" t="str">
            <v>陳惠媛</v>
          </cell>
          <cell r="E151" t="str">
            <v>許振隆</v>
          </cell>
          <cell r="F151">
            <v>20170324</v>
          </cell>
          <cell r="G151" t="str">
            <v>無保留意見</v>
          </cell>
        </row>
        <row r="152">
          <cell r="A152">
            <v>1618</v>
          </cell>
          <cell r="B152" t="str">
            <v>合機公司</v>
          </cell>
          <cell r="C152" t="str">
            <v>勤業眾信聯合會計師事務所</v>
          </cell>
          <cell r="D152" t="str">
            <v>楊清鎮</v>
          </cell>
          <cell r="E152" t="str">
            <v>龔則立</v>
          </cell>
          <cell r="F152">
            <v>20170329</v>
          </cell>
          <cell r="G152" t="str">
            <v>無保留意見</v>
          </cell>
        </row>
        <row r="153">
          <cell r="A153">
            <v>1626</v>
          </cell>
          <cell r="B153" t="str">
            <v>艾美特-KY</v>
          </cell>
          <cell r="C153" t="str">
            <v>安侯建業聯合會計師事務所</v>
          </cell>
          <cell r="D153" t="str">
            <v>莊鈞維</v>
          </cell>
          <cell r="E153" t="str">
            <v>寇惠植</v>
          </cell>
          <cell r="F153">
            <v>20170303</v>
          </cell>
          <cell r="G153" t="str">
            <v>無保留意見</v>
          </cell>
        </row>
        <row r="154">
          <cell r="A154">
            <v>1701</v>
          </cell>
          <cell r="B154" t="str">
            <v>中化</v>
          </cell>
          <cell r="C154" t="str">
            <v>資誠聯合會計師事務所</v>
          </cell>
          <cell r="D154" t="str">
            <v>林鈞堯</v>
          </cell>
          <cell r="E154" t="str">
            <v>張淑瓊</v>
          </cell>
          <cell r="F154">
            <v>20170328</v>
          </cell>
          <cell r="G154" t="str">
            <v>無保留意見</v>
          </cell>
        </row>
        <row r="155">
          <cell r="A155">
            <v>1702</v>
          </cell>
          <cell r="B155" t="str">
            <v>南僑化工</v>
          </cell>
          <cell r="C155" t="str">
            <v>安侯建業聯合會計師事務所</v>
          </cell>
          <cell r="D155" t="str">
            <v>黃柏淑</v>
          </cell>
          <cell r="E155" t="str">
            <v>俞安恬</v>
          </cell>
          <cell r="F155">
            <v>20170313</v>
          </cell>
          <cell r="G155" t="str">
            <v>無保留意見</v>
          </cell>
        </row>
        <row r="156">
          <cell r="A156">
            <v>1704</v>
          </cell>
          <cell r="B156" t="str">
            <v>榮化</v>
          </cell>
          <cell r="C156" t="str">
            <v>勤業眾信聯合會計師事務所</v>
          </cell>
          <cell r="D156" t="str">
            <v>王儀雯</v>
          </cell>
          <cell r="E156" t="str">
            <v>劉建良</v>
          </cell>
          <cell r="F156">
            <v>20170315</v>
          </cell>
          <cell r="G156" t="str">
            <v>無保留意見</v>
          </cell>
        </row>
        <row r="157">
          <cell r="A157">
            <v>1707</v>
          </cell>
          <cell r="B157" t="str">
            <v>葡萄王</v>
          </cell>
          <cell r="C157" t="str">
            <v>安永聯合會計師事務所</v>
          </cell>
          <cell r="D157" t="str">
            <v>洪茂益</v>
          </cell>
          <cell r="E157" t="str">
            <v>王金來</v>
          </cell>
          <cell r="F157">
            <v>20170321</v>
          </cell>
          <cell r="G157" t="str">
            <v>無保留意見</v>
          </cell>
        </row>
        <row r="158">
          <cell r="A158">
            <v>1708</v>
          </cell>
          <cell r="B158" t="str">
            <v>東鹼</v>
          </cell>
          <cell r="C158" t="str">
            <v>安侯建業聯合會計師事務所</v>
          </cell>
          <cell r="D158" t="str">
            <v>陳雅琳</v>
          </cell>
          <cell r="E158" t="str">
            <v>張嘉信</v>
          </cell>
          <cell r="F158">
            <v>20160327</v>
          </cell>
          <cell r="G158" t="str">
            <v>無保留意見</v>
          </cell>
        </row>
        <row r="159">
          <cell r="A159">
            <v>1709</v>
          </cell>
          <cell r="B159" t="str">
            <v>和益化工</v>
          </cell>
          <cell r="C159" t="str">
            <v>勤業眾信聯合會計師事務所</v>
          </cell>
          <cell r="D159" t="str">
            <v>張敬人</v>
          </cell>
          <cell r="E159" t="str">
            <v>許庭禎</v>
          </cell>
          <cell r="F159">
            <v>20170324</v>
          </cell>
          <cell r="G159" t="str">
            <v>無保留意見</v>
          </cell>
        </row>
        <row r="160">
          <cell r="A160">
            <v>1710</v>
          </cell>
          <cell r="B160" t="str">
            <v>東聯</v>
          </cell>
          <cell r="C160" t="str">
            <v>勤業眾信聯合會計師事務所</v>
          </cell>
          <cell r="D160" t="str">
            <v>范有偉</v>
          </cell>
          <cell r="E160" t="str">
            <v>施景彬</v>
          </cell>
          <cell r="F160">
            <v>20170306</v>
          </cell>
          <cell r="G160" t="str">
            <v>無保留意見</v>
          </cell>
        </row>
        <row r="161">
          <cell r="A161">
            <v>1711</v>
          </cell>
          <cell r="B161" t="str">
            <v>永光化學</v>
          </cell>
          <cell r="C161" t="str">
            <v>安侯建業聯合會計師事務所</v>
          </cell>
          <cell r="D161" t="str">
            <v>呂莉莉</v>
          </cell>
          <cell r="E161" t="str">
            <v>關春修</v>
          </cell>
          <cell r="F161">
            <v>20170330</v>
          </cell>
          <cell r="G161" t="str">
            <v>無保留意見</v>
          </cell>
        </row>
        <row r="162">
          <cell r="A162">
            <v>1712</v>
          </cell>
          <cell r="B162" t="str">
            <v>興農</v>
          </cell>
          <cell r="C162" t="str">
            <v>勤業眾信會計師事務所</v>
          </cell>
          <cell r="D162" t="str">
            <v>蔣淑菁</v>
          </cell>
          <cell r="E162" t="str">
            <v>曾棟鋆</v>
          </cell>
          <cell r="F162">
            <v>20170324</v>
          </cell>
          <cell r="G162" t="str">
            <v>無保留意見</v>
          </cell>
        </row>
        <row r="163">
          <cell r="A163">
            <v>1713</v>
          </cell>
          <cell r="B163" t="str">
            <v>國化</v>
          </cell>
          <cell r="C163" t="str">
            <v>安永聯合會計師事務所</v>
          </cell>
          <cell r="D163" t="str">
            <v>蕭翠慧</v>
          </cell>
          <cell r="E163" t="str">
            <v>楊智惠</v>
          </cell>
          <cell r="F163">
            <v>20170320</v>
          </cell>
          <cell r="G163" t="str">
            <v>無保留意見</v>
          </cell>
        </row>
        <row r="164">
          <cell r="A164">
            <v>1714</v>
          </cell>
          <cell r="B164" t="str">
            <v>和桐化學</v>
          </cell>
          <cell r="C164" t="str">
            <v>資誠聯合會計師事務所</v>
          </cell>
          <cell r="D164" t="str">
            <v>王照明</v>
          </cell>
          <cell r="E164" t="str">
            <v>賴宗羲</v>
          </cell>
          <cell r="F164">
            <v>20170330</v>
          </cell>
          <cell r="G164" t="str">
            <v>無保留意見</v>
          </cell>
        </row>
        <row r="165">
          <cell r="A165">
            <v>1715</v>
          </cell>
          <cell r="B165" t="str">
            <v>萬洲化學</v>
          </cell>
          <cell r="C165" t="str">
            <v>資誠聯合會計師事務所</v>
          </cell>
          <cell r="D165" t="str">
            <v>邱昭賢</v>
          </cell>
          <cell r="E165" t="str">
            <v>王輝賢</v>
          </cell>
          <cell r="F165">
            <v>20170330</v>
          </cell>
          <cell r="G165" t="str">
            <v>無保留意見</v>
          </cell>
        </row>
        <row r="166">
          <cell r="A166">
            <v>1717</v>
          </cell>
          <cell r="B166" t="str">
            <v>長興材料</v>
          </cell>
          <cell r="C166" t="str">
            <v>勤業眾信聯合會計師事務所</v>
          </cell>
          <cell r="D166" t="str">
            <v>郭麗園</v>
          </cell>
          <cell r="E166" t="str">
            <v>龔俊吉</v>
          </cell>
          <cell r="F166">
            <v>20170317</v>
          </cell>
          <cell r="G166" t="str">
            <v>無保留意見</v>
          </cell>
        </row>
        <row r="167">
          <cell r="A167">
            <v>1718</v>
          </cell>
          <cell r="B167" t="str">
            <v>中纖</v>
          </cell>
          <cell r="C167" t="str">
            <v>勤業眾信聯合會計師事務所</v>
          </cell>
          <cell r="D167" t="str">
            <v>施錦川</v>
          </cell>
          <cell r="E167" t="str">
            <v>王錦燕</v>
          </cell>
          <cell r="F167">
            <v>20170320</v>
          </cell>
          <cell r="G167" t="str">
            <v>無保留意見</v>
          </cell>
        </row>
        <row r="168">
          <cell r="A168">
            <v>1720</v>
          </cell>
          <cell r="B168" t="str">
            <v>生達化學</v>
          </cell>
          <cell r="C168" t="str">
            <v>資誠聯合會計師事務所</v>
          </cell>
          <cell r="D168" t="str">
            <v>林姿妤</v>
          </cell>
          <cell r="E168" t="str">
            <v>劉子猛</v>
          </cell>
          <cell r="F168">
            <v>20170324</v>
          </cell>
          <cell r="G168" t="str">
            <v>無保留意見</v>
          </cell>
        </row>
        <row r="169">
          <cell r="A169">
            <v>1721</v>
          </cell>
          <cell r="B169" t="str">
            <v>三晃</v>
          </cell>
          <cell r="C169" t="str">
            <v>安永聯合會計師事務所</v>
          </cell>
          <cell r="D169" t="str">
            <v>嚴文筆</v>
          </cell>
          <cell r="E169" t="str">
            <v>?清淵</v>
          </cell>
          <cell r="F169">
            <v>20170323</v>
          </cell>
          <cell r="G169" t="str">
            <v>無保留意見</v>
          </cell>
        </row>
        <row r="170">
          <cell r="A170">
            <v>1722</v>
          </cell>
          <cell r="B170" t="str">
            <v>台肥</v>
          </cell>
          <cell r="C170" t="str">
            <v>勤業眾信聯合會計師事務所</v>
          </cell>
          <cell r="D170" t="str">
            <v>王儀雯</v>
          </cell>
          <cell r="E170" t="str">
            <v>郭文吉</v>
          </cell>
          <cell r="F170">
            <v>20170328</v>
          </cell>
          <cell r="G170" t="str">
            <v>無保留意見</v>
          </cell>
        </row>
        <row r="171">
          <cell r="A171">
            <v>1723</v>
          </cell>
          <cell r="B171" t="str">
            <v>中碳</v>
          </cell>
          <cell r="C171" t="str">
            <v>勤業眾信聯合會計師事務所</v>
          </cell>
          <cell r="D171" t="str">
            <v>許瑞軒</v>
          </cell>
          <cell r="E171" t="str">
            <v>劉裕祥</v>
          </cell>
          <cell r="F171">
            <v>20170321</v>
          </cell>
          <cell r="G171" t="str">
            <v>無保留意見</v>
          </cell>
        </row>
        <row r="172">
          <cell r="A172">
            <v>1724</v>
          </cell>
          <cell r="B172" t="str">
            <v>台硝</v>
          </cell>
          <cell r="C172" t="str">
            <v>資誠聯合會計師事務所</v>
          </cell>
          <cell r="D172" t="str">
            <v>薛守宏</v>
          </cell>
          <cell r="E172" t="str">
            <v>李燕娜</v>
          </cell>
          <cell r="F172">
            <v>20170328</v>
          </cell>
          <cell r="G172" t="str">
            <v>無保留意見</v>
          </cell>
        </row>
        <row r="173">
          <cell r="A173">
            <v>1725</v>
          </cell>
          <cell r="B173" t="str">
            <v>元禎</v>
          </cell>
          <cell r="C173" t="str">
            <v>勤業眾信聯合會計師事務所</v>
          </cell>
          <cell r="D173" t="str">
            <v>張耿禧</v>
          </cell>
          <cell r="E173" t="str">
            <v>虞成全</v>
          </cell>
          <cell r="F173">
            <v>20170310</v>
          </cell>
          <cell r="G173" t="str">
            <v>無保留意見</v>
          </cell>
        </row>
        <row r="174">
          <cell r="A174">
            <v>1726</v>
          </cell>
          <cell r="B174" t="str">
            <v>永記造漆</v>
          </cell>
          <cell r="C174" t="str">
            <v>展立聯合會計師事務所</v>
          </cell>
          <cell r="D174" t="str">
            <v>柯宗立</v>
          </cell>
          <cell r="E174" t="str">
            <v>曾有財</v>
          </cell>
          <cell r="F174">
            <v>20170328</v>
          </cell>
          <cell r="G174" t="str">
            <v>無保留意見</v>
          </cell>
        </row>
        <row r="175">
          <cell r="A175">
            <v>1727</v>
          </cell>
          <cell r="B175" t="str">
            <v>中華化學</v>
          </cell>
          <cell r="C175" t="str">
            <v>大中國際聯合會計師事務所</v>
          </cell>
          <cell r="D175" t="str">
            <v>徐靖賢</v>
          </cell>
          <cell r="E175" t="str">
            <v>高國晟</v>
          </cell>
          <cell r="F175">
            <v>20170321</v>
          </cell>
          <cell r="G175" t="str">
            <v>無保留意見</v>
          </cell>
        </row>
        <row r="176">
          <cell r="A176">
            <v>1729</v>
          </cell>
          <cell r="B176" t="str">
            <v>必翔實業</v>
          </cell>
          <cell r="C176" t="str">
            <v>安侯建業聯合會計師事務所</v>
          </cell>
          <cell r="D176" t="str">
            <v>林恒昇</v>
          </cell>
          <cell r="E176" t="str">
            <v>陳蓓琪</v>
          </cell>
          <cell r="F176">
            <v>20170330</v>
          </cell>
          <cell r="G176" t="str">
            <v>無保留意見</v>
          </cell>
        </row>
        <row r="177">
          <cell r="A177">
            <v>1730</v>
          </cell>
          <cell r="B177" t="str">
            <v>花仙子</v>
          </cell>
          <cell r="C177" t="str">
            <v>國富浩華聯合會計師事務所</v>
          </cell>
          <cell r="D177" t="str">
            <v>林松樹</v>
          </cell>
          <cell r="E177" t="str">
            <v>吳孟達</v>
          </cell>
          <cell r="F177">
            <v>20170222</v>
          </cell>
          <cell r="G177" t="str">
            <v>無保留意見</v>
          </cell>
        </row>
        <row r="178">
          <cell r="A178">
            <v>1731</v>
          </cell>
          <cell r="B178" t="str">
            <v>美吾華</v>
          </cell>
          <cell r="C178" t="str">
            <v>勤業眾信聯合會計師事務所</v>
          </cell>
          <cell r="D178" t="str">
            <v>黃海悅</v>
          </cell>
          <cell r="E178" t="str">
            <v>劉永富</v>
          </cell>
          <cell r="F178">
            <v>20170222</v>
          </cell>
          <cell r="G178" t="str">
            <v>無保留意見</v>
          </cell>
        </row>
        <row r="179">
          <cell r="A179">
            <v>1732</v>
          </cell>
          <cell r="B179" t="str">
            <v>毛寶</v>
          </cell>
          <cell r="C179" t="str">
            <v>資誠聯合會計師事務所</v>
          </cell>
          <cell r="D179" t="str">
            <v>阮呂曼玉</v>
          </cell>
          <cell r="E179" t="str">
            <v>李典易</v>
          </cell>
          <cell r="F179">
            <v>20170324</v>
          </cell>
          <cell r="G179" t="str">
            <v>無保留意見</v>
          </cell>
        </row>
        <row r="180">
          <cell r="A180">
            <v>1733</v>
          </cell>
          <cell r="B180" t="str">
            <v>五鼎</v>
          </cell>
          <cell r="C180" t="str">
            <v>勤業眾信聯合會計師事務所</v>
          </cell>
          <cell r="D180" t="str">
            <v>葉東煇</v>
          </cell>
          <cell r="E180" t="str">
            <v>黃裕峰</v>
          </cell>
          <cell r="F180">
            <v>20170324</v>
          </cell>
          <cell r="G180" t="str">
            <v>無保留意見</v>
          </cell>
        </row>
        <row r="181">
          <cell r="A181">
            <v>1734</v>
          </cell>
          <cell r="B181" t="str">
            <v>杏輝藥品</v>
          </cell>
          <cell r="C181" t="str">
            <v>國富浩華聯合會計師事務所</v>
          </cell>
          <cell r="D181" t="str">
            <v>諶清</v>
          </cell>
          <cell r="E181" t="str">
            <v>林金鳳</v>
          </cell>
          <cell r="F181">
            <v>20170320</v>
          </cell>
          <cell r="G181" t="str">
            <v>無保留意見</v>
          </cell>
        </row>
        <row r="182">
          <cell r="A182">
            <v>1735</v>
          </cell>
          <cell r="B182" t="str">
            <v>日勝化</v>
          </cell>
          <cell r="C182" t="str">
            <v>勤業眾信聯合會計師事務所</v>
          </cell>
          <cell r="D182" t="str">
            <v>蔣淑菁</v>
          </cell>
          <cell r="E182" t="str">
            <v>成德潤</v>
          </cell>
          <cell r="F182">
            <v>20170320</v>
          </cell>
          <cell r="G182" t="str">
            <v>無保留意見</v>
          </cell>
        </row>
        <row r="183">
          <cell r="A183">
            <v>1736</v>
          </cell>
          <cell r="B183" t="str">
            <v>喬山健康</v>
          </cell>
          <cell r="C183" t="str">
            <v>安永聯合會計師事務所</v>
          </cell>
          <cell r="D183" t="str">
            <v>林鴻光</v>
          </cell>
          <cell r="E183" t="str">
            <v>涂清淵</v>
          </cell>
          <cell r="F183">
            <v>20170324</v>
          </cell>
          <cell r="G183" t="str">
            <v>無保留意見</v>
          </cell>
        </row>
        <row r="184">
          <cell r="A184">
            <v>1737</v>
          </cell>
          <cell r="B184" t="str">
            <v>臺鹽</v>
          </cell>
          <cell r="C184" t="str">
            <v>安永聯合會計師事務所</v>
          </cell>
          <cell r="D184" t="str">
            <v>黃世杰</v>
          </cell>
          <cell r="E184" t="str">
            <v>胡子仁</v>
          </cell>
          <cell r="F184">
            <v>20170324</v>
          </cell>
          <cell r="G184" t="str">
            <v>無保留意見</v>
          </cell>
        </row>
        <row r="185">
          <cell r="A185">
            <v>1762</v>
          </cell>
          <cell r="B185" t="str">
            <v>中化合成</v>
          </cell>
          <cell r="C185" t="str">
            <v>資誠聯合會計師事務所</v>
          </cell>
          <cell r="D185" t="str">
            <v>游淑芬</v>
          </cell>
          <cell r="E185" t="str">
            <v>張淑瓊</v>
          </cell>
          <cell r="F185">
            <v>20170307</v>
          </cell>
          <cell r="G185" t="str">
            <v>無保留意見</v>
          </cell>
        </row>
        <row r="186">
          <cell r="A186">
            <v>1773</v>
          </cell>
          <cell r="B186" t="str">
            <v>勝一化工</v>
          </cell>
          <cell r="C186" t="str">
            <v>國富浩華聯合會計師事務所</v>
          </cell>
          <cell r="D186" t="str">
            <v>李   青   霖</v>
          </cell>
          <cell r="E186" t="str">
            <v>謝   仁   耀</v>
          </cell>
          <cell r="F186">
            <v>20170308</v>
          </cell>
          <cell r="G186" t="str">
            <v>無保留意見</v>
          </cell>
        </row>
        <row r="187">
          <cell r="A187">
            <v>1776</v>
          </cell>
          <cell r="B187" t="str">
            <v>展宇</v>
          </cell>
          <cell r="C187" t="str">
            <v>勤業眾信聯合會計師事務所</v>
          </cell>
          <cell r="D187" t="str">
            <v>方蘇立</v>
          </cell>
          <cell r="E187" t="str">
            <v>葉東煇</v>
          </cell>
          <cell r="F187">
            <v>20170327</v>
          </cell>
          <cell r="G187" t="str">
            <v>無保留意見</v>
          </cell>
        </row>
        <row r="188">
          <cell r="A188">
            <v>1783</v>
          </cell>
          <cell r="B188" t="str">
            <v>和康生技</v>
          </cell>
          <cell r="C188" t="str">
            <v>勤業眾信聯合會計師事務所</v>
          </cell>
          <cell r="D188" t="str">
            <v>劉書琳</v>
          </cell>
          <cell r="E188" t="str">
            <v>施錦川</v>
          </cell>
          <cell r="F188">
            <v>20170321</v>
          </cell>
          <cell r="G188" t="str">
            <v>無保留意見</v>
          </cell>
        </row>
        <row r="189">
          <cell r="A189">
            <v>1786</v>
          </cell>
          <cell r="B189" t="str">
            <v>科妍</v>
          </cell>
          <cell r="C189" t="str">
            <v>安侯建業聯合會計師事務所</v>
          </cell>
          <cell r="D189" t="str">
            <v>陳國宗</v>
          </cell>
          <cell r="E189" t="str">
            <v>許振隆</v>
          </cell>
          <cell r="F189">
            <v>20170321</v>
          </cell>
          <cell r="G189" t="str">
            <v>無保留意見</v>
          </cell>
        </row>
        <row r="190">
          <cell r="A190">
            <v>1789</v>
          </cell>
          <cell r="B190" t="str">
            <v>台灣神隆</v>
          </cell>
          <cell r="C190" t="str">
            <v>資誠聯合會計師事務所</v>
          </cell>
          <cell r="D190" t="str">
            <v>林永智</v>
          </cell>
          <cell r="E190" t="str">
            <v>李明憲</v>
          </cell>
          <cell r="F190">
            <v>20170328</v>
          </cell>
          <cell r="G190" t="str">
            <v>無保留意見</v>
          </cell>
        </row>
        <row r="191">
          <cell r="A191">
            <v>1802</v>
          </cell>
          <cell r="B191" t="str">
            <v>台玻</v>
          </cell>
          <cell r="C191" t="str">
            <v>安永聯合會計師事務所</v>
          </cell>
          <cell r="D191" t="str">
            <v>王金來</v>
          </cell>
          <cell r="E191" t="str">
            <v>蕭翠慧</v>
          </cell>
          <cell r="F191">
            <v>20170320</v>
          </cell>
          <cell r="G191" t="str">
            <v>無保留意見</v>
          </cell>
        </row>
        <row r="192">
          <cell r="A192">
            <v>1805</v>
          </cell>
          <cell r="B192" t="str">
            <v>寶徠</v>
          </cell>
          <cell r="C192" t="str">
            <v>安侯建業聯合會計師事務所</v>
          </cell>
          <cell r="D192" t="str">
            <v>曾國禓</v>
          </cell>
          <cell r="E192" t="str">
            <v>張淑瑩</v>
          </cell>
          <cell r="F192">
            <v>20170330</v>
          </cell>
          <cell r="G192" t="str">
            <v>無保留意見</v>
          </cell>
        </row>
        <row r="193">
          <cell r="A193">
            <v>1806</v>
          </cell>
          <cell r="B193" t="str">
            <v>冠軍</v>
          </cell>
          <cell r="C193" t="str">
            <v>安侯建業聯合會計師事務所</v>
          </cell>
          <cell r="D193" t="str">
            <v>曾國禓</v>
          </cell>
          <cell r="E193" t="str">
            <v>賴麗真</v>
          </cell>
          <cell r="F193">
            <v>20170327</v>
          </cell>
          <cell r="G193" t="str">
            <v>無保留意見</v>
          </cell>
        </row>
        <row r="194">
          <cell r="A194">
            <v>1808</v>
          </cell>
          <cell r="B194" t="str">
            <v>潤隆</v>
          </cell>
          <cell r="C194" t="str">
            <v>安侯建業聯合會計師事務所</v>
          </cell>
          <cell r="D194" t="str">
            <v>簡蒂暖</v>
          </cell>
          <cell r="E194" t="str">
            <v>曾國禓</v>
          </cell>
          <cell r="F194">
            <v>20170321</v>
          </cell>
          <cell r="G194" t="str">
            <v>無保留意見</v>
          </cell>
        </row>
        <row r="195">
          <cell r="A195">
            <v>1809</v>
          </cell>
          <cell r="B195" t="str">
            <v>中釉</v>
          </cell>
          <cell r="C195" t="str">
            <v>勤業眾信聯合會計師事務所</v>
          </cell>
          <cell r="D195" t="str">
            <v>楊清鎮</v>
          </cell>
          <cell r="E195" t="str">
            <v>龔則立</v>
          </cell>
          <cell r="F195">
            <v>20170324</v>
          </cell>
          <cell r="G195" t="str">
            <v>無保留意見</v>
          </cell>
        </row>
        <row r="196">
          <cell r="A196">
            <v>1810</v>
          </cell>
          <cell r="B196" t="str">
            <v>和成</v>
          </cell>
          <cell r="C196" t="str">
            <v>安 侯 建 業 聯 合 會 計 師 事 務 所</v>
          </cell>
          <cell r="D196" t="str">
            <v>許　淑　敏</v>
          </cell>
          <cell r="E196" t="str">
            <v>林　琬　琬</v>
          </cell>
          <cell r="F196">
            <v>20170328</v>
          </cell>
          <cell r="G196" t="str">
            <v>無保留意見</v>
          </cell>
        </row>
        <row r="197">
          <cell r="A197">
            <v>1817</v>
          </cell>
          <cell r="B197" t="str">
            <v>凱撒衛浴</v>
          </cell>
          <cell r="C197" t="str">
            <v>勤業眾信聯合會計師事務所</v>
          </cell>
          <cell r="D197" t="str">
            <v>游素環</v>
          </cell>
          <cell r="E197" t="str">
            <v>謝明忠</v>
          </cell>
          <cell r="F197">
            <v>20170321</v>
          </cell>
          <cell r="G197" t="str">
            <v>無保留意見</v>
          </cell>
        </row>
        <row r="198">
          <cell r="A198">
            <v>1902</v>
          </cell>
          <cell r="B198" t="str">
            <v>台紙</v>
          </cell>
          <cell r="C198" t="str">
            <v>安永聯合會計師事務所</v>
          </cell>
          <cell r="D198" t="str">
            <v>黃世杰</v>
          </cell>
          <cell r="E198" t="str">
            <v>傅文芳</v>
          </cell>
          <cell r="F198">
            <v>20170313</v>
          </cell>
          <cell r="G198" t="str">
            <v>無保留意見</v>
          </cell>
        </row>
        <row r="199">
          <cell r="A199">
            <v>1903</v>
          </cell>
          <cell r="B199" t="str">
            <v>士紙</v>
          </cell>
          <cell r="C199" t="str">
            <v>惠眾聯合會計師事務所</v>
          </cell>
          <cell r="D199" t="str">
            <v>卓敏枝</v>
          </cell>
          <cell r="E199" t="str">
            <v>項文婷</v>
          </cell>
          <cell r="F199">
            <v>20170316</v>
          </cell>
          <cell r="G199" t="str">
            <v>無保留意見</v>
          </cell>
        </row>
        <row r="200">
          <cell r="A200">
            <v>1904</v>
          </cell>
          <cell r="B200" t="str">
            <v>正隆</v>
          </cell>
          <cell r="C200" t="str">
            <v>安侯建業聯合會計師事務所</v>
          </cell>
          <cell r="D200" t="str">
            <v>陳振乾</v>
          </cell>
          <cell r="E200" t="str">
            <v>黃泳華</v>
          </cell>
          <cell r="F200">
            <v>20170321</v>
          </cell>
          <cell r="G200" t="str">
            <v>無保留意見</v>
          </cell>
        </row>
        <row r="201">
          <cell r="A201">
            <v>1905</v>
          </cell>
          <cell r="B201" t="str">
            <v>華紙</v>
          </cell>
          <cell r="C201" t="str">
            <v>勤業眾信聯合會計師事務所</v>
          </cell>
          <cell r="D201" t="str">
            <v>許秀明</v>
          </cell>
          <cell r="E201" t="str">
            <v>郭政弘</v>
          </cell>
          <cell r="F201">
            <v>20170316</v>
          </cell>
          <cell r="G201" t="str">
            <v>無保留意見</v>
          </cell>
        </row>
        <row r="202">
          <cell r="A202">
            <v>1906</v>
          </cell>
          <cell r="B202" t="str">
            <v>寶隆</v>
          </cell>
          <cell r="C202" t="str">
            <v>立本台灣聯合會計師事務所</v>
          </cell>
          <cell r="D202" t="str">
            <v>王 慕 凡</v>
          </cell>
          <cell r="E202" t="str">
            <v>張 宜 鈞</v>
          </cell>
          <cell r="F202">
            <v>20170317</v>
          </cell>
          <cell r="G202" t="str">
            <v>無保留意見</v>
          </cell>
        </row>
        <row r="203">
          <cell r="A203">
            <v>1907</v>
          </cell>
          <cell r="B203" t="str">
            <v>永豐餘</v>
          </cell>
          <cell r="C203" t="str">
            <v>勤業眾信聯合會計師事務所</v>
          </cell>
          <cell r="D203" t="str">
            <v>邵志明</v>
          </cell>
          <cell r="E203" t="str">
            <v>郭政弘</v>
          </cell>
          <cell r="F203">
            <v>20170316</v>
          </cell>
          <cell r="G203" t="str">
            <v>無保留意見</v>
          </cell>
        </row>
        <row r="204">
          <cell r="A204">
            <v>1909</v>
          </cell>
          <cell r="B204" t="str">
            <v>榮成</v>
          </cell>
          <cell r="C204" t="str">
            <v>立本台灣聯合會計師事務所</v>
          </cell>
          <cell r="D204" t="str">
            <v>張宜鈞</v>
          </cell>
          <cell r="E204" t="str">
            <v>陶鴻文</v>
          </cell>
          <cell r="F204">
            <v>20170321</v>
          </cell>
          <cell r="G204" t="str">
            <v>無保留意見</v>
          </cell>
        </row>
        <row r="205">
          <cell r="A205">
            <v>2002</v>
          </cell>
          <cell r="B205" t="str">
            <v>中鋼</v>
          </cell>
          <cell r="C205" t="str">
            <v>勤業眾信聯合會計師事務所</v>
          </cell>
          <cell r="D205" t="str">
            <v>郭麗園</v>
          </cell>
          <cell r="E205" t="str">
            <v>郭政弘</v>
          </cell>
          <cell r="F205">
            <v>20170322</v>
          </cell>
          <cell r="G205" t="str">
            <v>無保留意見</v>
          </cell>
        </row>
        <row r="206">
          <cell r="A206">
            <v>2006</v>
          </cell>
          <cell r="B206" t="str">
            <v>東和鋼鐵</v>
          </cell>
          <cell r="C206" t="str">
            <v>安侯建業聯合會計師事務所</v>
          </cell>
          <cell r="D206" t="str">
            <v>李慈慧</v>
          </cell>
          <cell r="E206" t="str">
            <v>寇惠植</v>
          </cell>
          <cell r="F206">
            <v>20170327</v>
          </cell>
          <cell r="G206" t="str">
            <v>無保留意見</v>
          </cell>
        </row>
        <row r="207">
          <cell r="A207">
            <v>2007</v>
          </cell>
          <cell r="B207" t="str">
            <v>燁興公司</v>
          </cell>
          <cell r="C207" t="str">
            <v>國富浩華聯合會計師事務所</v>
          </cell>
          <cell r="D207" t="str">
            <v>黃鈴雯</v>
          </cell>
          <cell r="E207" t="str">
            <v>謝仁耀</v>
          </cell>
          <cell r="F207">
            <v>20170321</v>
          </cell>
          <cell r="G207" t="str">
            <v>無保留意見</v>
          </cell>
        </row>
        <row r="208">
          <cell r="A208">
            <v>2008</v>
          </cell>
          <cell r="B208" t="str">
            <v>高興昌</v>
          </cell>
          <cell r="C208" t="str">
            <v>安侯建業聯合會計師事務所</v>
          </cell>
          <cell r="D208" t="str">
            <v>陳國宗</v>
          </cell>
          <cell r="E208" t="str">
            <v>楊博任</v>
          </cell>
          <cell r="F208">
            <v>20170321</v>
          </cell>
          <cell r="G208" t="str">
            <v>無保留意見</v>
          </cell>
        </row>
        <row r="209">
          <cell r="A209">
            <v>2009</v>
          </cell>
          <cell r="B209" t="str">
            <v>第一伸銅</v>
          </cell>
          <cell r="C209" t="str">
            <v>安 侯 建 業 聯 合 會 計 師 事 務 所</v>
          </cell>
          <cell r="D209" t="str">
            <v>楊博任</v>
          </cell>
          <cell r="E209" t="str">
            <v>許振隆</v>
          </cell>
          <cell r="F209">
            <v>20170329</v>
          </cell>
          <cell r="G209" t="str">
            <v>無保留意見</v>
          </cell>
        </row>
        <row r="210">
          <cell r="A210">
            <v>2010</v>
          </cell>
          <cell r="B210" t="str">
            <v>春源鋼鐵</v>
          </cell>
          <cell r="C210" t="str">
            <v>國富浩華聯合會計師事務所</v>
          </cell>
          <cell r="D210" t="str">
            <v>林志隆</v>
          </cell>
          <cell r="E210" t="str">
            <v>林美玲</v>
          </cell>
          <cell r="F210">
            <v>20170322</v>
          </cell>
          <cell r="G210" t="str">
            <v>無保留意見</v>
          </cell>
        </row>
        <row r="211">
          <cell r="A211">
            <v>2012</v>
          </cell>
          <cell r="B211" t="str">
            <v>春雨</v>
          </cell>
          <cell r="C211" t="str">
            <v>資誠聯合會計師事務所</v>
          </cell>
          <cell r="D211" t="str">
            <v>林姿妤</v>
          </cell>
          <cell r="E211" t="str">
            <v>劉子猛</v>
          </cell>
          <cell r="F211">
            <v>20170324</v>
          </cell>
          <cell r="G211" t="str">
            <v>無保留意見</v>
          </cell>
        </row>
        <row r="212">
          <cell r="A212">
            <v>2013</v>
          </cell>
          <cell r="B212" t="str">
            <v>中鋼構</v>
          </cell>
          <cell r="C212" t="str">
            <v>勤業眾信聯合會計師事務所</v>
          </cell>
          <cell r="D212" t="str">
            <v>郭麗園</v>
          </cell>
          <cell r="E212" t="str">
            <v>劉裕祥</v>
          </cell>
          <cell r="F212">
            <v>20170317</v>
          </cell>
          <cell r="G212" t="str">
            <v>無保留意見</v>
          </cell>
        </row>
        <row r="213">
          <cell r="A213">
            <v>2014</v>
          </cell>
          <cell r="B213" t="str">
            <v>中鴻</v>
          </cell>
          <cell r="C213" t="str">
            <v>勤業眾信聯合會計師事務所</v>
          </cell>
          <cell r="D213" t="str">
            <v>許瑞軒</v>
          </cell>
          <cell r="E213" t="str">
            <v>劉裕祥</v>
          </cell>
          <cell r="F213">
            <v>20170321</v>
          </cell>
          <cell r="G213" t="str">
            <v>無保留意見</v>
          </cell>
        </row>
        <row r="214">
          <cell r="A214">
            <v>2015</v>
          </cell>
          <cell r="B214" t="str">
            <v>豐興鋼鐵</v>
          </cell>
          <cell r="C214" t="str">
            <v>安 永 聯 合 會 計 師 事 務 所</v>
          </cell>
          <cell r="D214" t="str">
            <v>涂 清 淵</v>
          </cell>
          <cell r="E214" t="str">
            <v>嚴 文 筆</v>
          </cell>
          <cell r="F214">
            <v>20170224</v>
          </cell>
          <cell r="G214" t="str">
            <v>無保留意見</v>
          </cell>
        </row>
        <row r="215">
          <cell r="A215">
            <v>2017</v>
          </cell>
          <cell r="B215" t="str">
            <v>官田鋼</v>
          </cell>
          <cell r="C215" t="str">
            <v>勤業眾信聯合會計師事務所</v>
          </cell>
          <cell r="D215" t="str">
            <v>王燕景</v>
          </cell>
          <cell r="E215" t="str">
            <v>廖鴻儒</v>
          </cell>
          <cell r="F215">
            <v>20170321</v>
          </cell>
          <cell r="G215" t="str">
            <v>無保留意見</v>
          </cell>
        </row>
        <row r="216">
          <cell r="A216">
            <v>2020</v>
          </cell>
          <cell r="B216" t="str">
            <v>美亞鋼管</v>
          </cell>
          <cell r="C216" t="str">
            <v>國富浩華聯合會計師事務所</v>
          </cell>
          <cell r="D216" t="str">
            <v>林春枝</v>
          </cell>
          <cell r="E216" t="str">
            <v>吳孟達</v>
          </cell>
          <cell r="F216">
            <v>20170324</v>
          </cell>
          <cell r="G216" t="str">
            <v>無保留意見</v>
          </cell>
        </row>
        <row r="217">
          <cell r="A217">
            <v>2022</v>
          </cell>
          <cell r="B217" t="str">
            <v>聚亨</v>
          </cell>
          <cell r="C217" t="str">
            <v>正風聯合會計師事務所</v>
          </cell>
          <cell r="D217" t="str">
            <v>賴永吉</v>
          </cell>
          <cell r="E217" t="str">
            <v>丁鴻勛</v>
          </cell>
          <cell r="F217">
            <v>20170313</v>
          </cell>
          <cell r="G217" t="str">
            <v>無保留意見</v>
          </cell>
        </row>
        <row r="218">
          <cell r="A218">
            <v>2023</v>
          </cell>
          <cell r="B218" t="str">
            <v>燁輝</v>
          </cell>
          <cell r="C218" t="str">
            <v>國富浩華聯合會計師事務所</v>
          </cell>
          <cell r="D218" t="str">
            <v>黃鈴雯</v>
          </cell>
          <cell r="E218" t="str">
            <v>謝仁耀</v>
          </cell>
          <cell r="F218">
            <v>20170321</v>
          </cell>
          <cell r="G218" t="str">
            <v>無保留意見</v>
          </cell>
        </row>
        <row r="219">
          <cell r="A219">
            <v>2024</v>
          </cell>
          <cell r="B219" t="str">
            <v>志聯工業</v>
          </cell>
          <cell r="C219" t="str">
            <v>安侯建業聯合會計師事務所</v>
          </cell>
          <cell r="D219" t="str">
            <v>尹元聖</v>
          </cell>
          <cell r="E219" t="str">
            <v>陳雅琳</v>
          </cell>
          <cell r="F219">
            <v>20170317</v>
          </cell>
          <cell r="G219" t="str">
            <v>無保留意見</v>
          </cell>
        </row>
        <row r="220">
          <cell r="A220">
            <v>2025</v>
          </cell>
          <cell r="B220" t="str">
            <v>千興</v>
          </cell>
          <cell r="C220" t="str">
            <v>致遠聯合會計師事務所</v>
          </cell>
          <cell r="D220" t="str">
            <v>侯委晉</v>
          </cell>
          <cell r="E220" t="str">
            <v>呂瑞文</v>
          </cell>
          <cell r="F220">
            <v>20170223</v>
          </cell>
          <cell r="G220" t="str">
            <v>無保留意見-繼續經營能力存在重大不確定性/繼續經營假設存有重大疑慮</v>
          </cell>
        </row>
        <row r="221">
          <cell r="A221">
            <v>2027</v>
          </cell>
          <cell r="B221" t="str">
            <v>大成鋼</v>
          </cell>
          <cell r="C221" t="str">
            <v>勤業眾信聯合會計師事務所</v>
          </cell>
          <cell r="D221" t="str">
            <v>王燕景</v>
          </cell>
          <cell r="E221" t="str">
            <v>李季珍</v>
          </cell>
          <cell r="F221">
            <v>20170330</v>
          </cell>
          <cell r="G221" t="str">
            <v>無保留意見</v>
          </cell>
        </row>
        <row r="222">
          <cell r="A222">
            <v>2028</v>
          </cell>
          <cell r="B222" t="str">
            <v>威致鋼鐵</v>
          </cell>
          <cell r="C222" t="str">
            <v>國富浩華聯合會計師事務所</v>
          </cell>
          <cell r="D222" t="str">
            <v>蔡  淑  滿</v>
          </cell>
          <cell r="E222" t="str">
            <v>蘇  炳  章</v>
          </cell>
          <cell r="F222">
            <v>20170328</v>
          </cell>
          <cell r="G222" t="str">
            <v>無保留意見</v>
          </cell>
        </row>
        <row r="223">
          <cell r="A223">
            <v>2029</v>
          </cell>
          <cell r="B223" t="str">
            <v>盛餘</v>
          </cell>
          <cell r="C223" t="str">
            <v>勤業眾信聯合會計師事務所</v>
          </cell>
          <cell r="D223" t="str">
            <v>許瑞軒</v>
          </cell>
          <cell r="E223" t="str">
            <v>劉裕祥</v>
          </cell>
          <cell r="F223">
            <v>20170315</v>
          </cell>
          <cell r="G223" t="str">
            <v>無保留意見</v>
          </cell>
        </row>
        <row r="224">
          <cell r="A224">
            <v>2030</v>
          </cell>
          <cell r="B224" t="str">
            <v>彰源</v>
          </cell>
          <cell r="C224" t="str">
            <v>勤業眾信聯合會計師事務所</v>
          </cell>
          <cell r="D224" t="str">
            <v>顏曉芳</v>
          </cell>
          <cell r="E224" t="str">
            <v>吳麗冬</v>
          </cell>
          <cell r="F224">
            <v>20170320</v>
          </cell>
          <cell r="G224" t="str">
            <v>無保留意見</v>
          </cell>
        </row>
        <row r="225">
          <cell r="A225">
            <v>2031</v>
          </cell>
          <cell r="B225" t="str">
            <v>新光鋼</v>
          </cell>
          <cell r="C225" t="str">
            <v>勤業眾信聯合會計師事務所</v>
          </cell>
          <cell r="D225" t="str">
            <v>陳昭伶</v>
          </cell>
          <cell r="E225" t="str">
            <v>劉江抱</v>
          </cell>
          <cell r="F225">
            <v>20170314</v>
          </cell>
          <cell r="G225" t="str">
            <v>無保留意見</v>
          </cell>
        </row>
        <row r="226">
          <cell r="A226">
            <v>2032</v>
          </cell>
          <cell r="B226" t="str">
            <v>新鋼工業</v>
          </cell>
          <cell r="C226" t="str">
            <v>國富浩華聯合會計師事務所</v>
          </cell>
          <cell r="D226" t="str">
            <v>林美玲</v>
          </cell>
          <cell r="E226" t="str">
            <v>陳桂美</v>
          </cell>
          <cell r="F226">
            <v>20170317</v>
          </cell>
          <cell r="G226" t="str">
            <v>無保留意見</v>
          </cell>
        </row>
        <row r="227">
          <cell r="A227">
            <v>2033</v>
          </cell>
          <cell r="B227" t="str">
            <v>佳大世界</v>
          </cell>
          <cell r="C227" t="str">
            <v>南台聯合會計師事務所</v>
          </cell>
          <cell r="D227" t="str">
            <v>丁澤祥會計師</v>
          </cell>
          <cell r="E227" t="str">
            <v>張太元會計師</v>
          </cell>
          <cell r="F227">
            <v>20170313</v>
          </cell>
          <cell r="G227" t="str">
            <v>無保留意見</v>
          </cell>
        </row>
        <row r="228">
          <cell r="A228">
            <v>2034</v>
          </cell>
          <cell r="B228" t="str">
            <v>允強</v>
          </cell>
          <cell r="C228" t="str">
            <v>中國財稅聯合會計師事務所</v>
          </cell>
          <cell r="D228" t="str">
            <v>柯天賜</v>
          </cell>
          <cell r="E228" t="str">
            <v>張維倫</v>
          </cell>
          <cell r="F228">
            <v>20170317</v>
          </cell>
          <cell r="G228" t="str">
            <v>無保留意見</v>
          </cell>
        </row>
        <row r="229">
          <cell r="A229">
            <v>2038</v>
          </cell>
          <cell r="B229" t="str">
            <v>海光企業</v>
          </cell>
          <cell r="C229" t="str">
            <v>勤業眾信聯合會計師事務所</v>
          </cell>
          <cell r="D229" t="str">
            <v>許瑞軒</v>
          </cell>
          <cell r="E229" t="str">
            <v>龔俊吉</v>
          </cell>
          <cell r="F229">
            <v>20170216</v>
          </cell>
          <cell r="G229" t="str">
            <v>無保留意見</v>
          </cell>
        </row>
        <row r="230">
          <cell r="A230">
            <v>2049</v>
          </cell>
          <cell r="B230" t="str">
            <v>上銀科技</v>
          </cell>
          <cell r="C230" t="str">
            <v>勤業眾信聯合會計師事務所</v>
          </cell>
          <cell r="D230" t="str">
            <v>顏曉芳</v>
          </cell>
          <cell r="E230" t="str">
            <v>曾棟鋆</v>
          </cell>
          <cell r="F230">
            <v>20170322</v>
          </cell>
          <cell r="G230" t="str">
            <v>無保留意見</v>
          </cell>
        </row>
        <row r="231">
          <cell r="A231">
            <v>2059</v>
          </cell>
          <cell r="B231" t="str">
            <v>川湖</v>
          </cell>
          <cell r="C231" t="str">
            <v>勤業眾信聯合會計師事務所</v>
          </cell>
          <cell r="D231" t="str">
            <v>吳秋燕</v>
          </cell>
          <cell r="E231" t="str">
            <v>郭麗園</v>
          </cell>
          <cell r="F231">
            <v>20170224</v>
          </cell>
          <cell r="G231" t="str">
            <v>無保留意見</v>
          </cell>
        </row>
        <row r="232">
          <cell r="A232">
            <v>2062</v>
          </cell>
          <cell r="B232" t="str">
            <v>橋椿</v>
          </cell>
          <cell r="C232" t="str">
            <v>勤業眾信聯合會計師事務所</v>
          </cell>
          <cell r="D232" t="str">
            <v>蔣淑菁</v>
          </cell>
          <cell r="E232" t="str">
            <v>成德潤</v>
          </cell>
          <cell r="F232">
            <v>20170223</v>
          </cell>
          <cell r="G232" t="str">
            <v>無保留意見</v>
          </cell>
        </row>
        <row r="233">
          <cell r="A233">
            <v>2069</v>
          </cell>
          <cell r="B233" t="str">
            <v>運錩</v>
          </cell>
          <cell r="C233" t="str">
            <v>勤業眾信聯合會計師事務所</v>
          </cell>
          <cell r="D233" t="str">
            <v>陳珍麗</v>
          </cell>
          <cell r="E233" t="str">
            <v>吳秋燕</v>
          </cell>
          <cell r="F233">
            <v>20170316</v>
          </cell>
          <cell r="G233" t="str">
            <v>無保留意見</v>
          </cell>
        </row>
        <row r="234">
          <cell r="A234">
            <v>2101</v>
          </cell>
          <cell r="B234" t="str">
            <v>南港輪胎</v>
          </cell>
          <cell r="C234" t="str">
            <v>正風聯合會計師事務所</v>
          </cell>
          <cell r="D234" t="str">
            <v>周銀來</v>
          </cell>
          <cell r="E234" t="str">
            <v>曾國富</v>
          </cell>
          <cell r="F234">
            <v>20170316</v>
          </cell>
          <cell r="G234" t="str">
            <v>無保留意見</v>
          </cell>
        </row>
        <row r="235">
          <cell r="A235">
            <v>2102</v>
          </cell>
          <cell r="B235" t="str">
            <v>泰豐輪胎</v>
          </cell>
          <cell r="C235" t="str">
            <v>資誠聯合會計師事務所</v>
          </cell>
          <cell r="D235" t="str">
            <v>翁世榮</v>
          </cell>
          <cell r="E235" t="str">
            <v>林鈞堯</v>
          </cell>
          <cell r="F235">
            <v>20170324</v>
          </cell>
          <cell r="G235" t="str">
            <v>無保留意見</v>
          </cell>
        </row>
        <row r="236">
          <cell r="A236">
            <v>2103</v>
          </cell>
          <cell r="B236" t="str">
            <v>台橡</v>
          </cell>
          <cell r="C236" t="str">
            <v>安侯建業聯合會計師事務所</v>
          </cell>
          <cell r="D236" t="str">
            <v>黃柏淑</v>
          </cell>
          <cell r="E236" t="str">
            <v>俞安恬</v>
          </cell>
          <cell r="F236">
            <v>20170316</v>
          </cell>
          <cell r="G236" t="str">
            <v>無保留意見</v>
          </cell>
        </row>
        <row r="237">
          <cell r="A237">
            <v>2104</v>
          </cell>
          <cell r="B237" t="str">
            <v>中橡</v>
          </cell>
          <cell r="C237" t="str">
            <v>勤業眾信聯合會計師事務所</v>
          </cell>
          <cell r="D237" t="str">
            <v>吳美慧</v>
          </cell>
          <cell r="E237" t="str">
            <v>郭政弘</v>
          </cell>
          <cell r="F237">
            <v>20170327</v>
          </cell>
          <cell r="G237" t="str">
            <v>無保留意見</v>
          </cell>
        </row>
        <row r="238">
          <cell r="A238">
            <v>2105</v>
          </cell>
          <cell r="B238" t="str">
            <v>正新</v>
          </cell>
          <cell r="C238" t="str">
            <v>資誠聯合會計師事務所</v>
          </cell>
          <cell r="D238" t="str">
            <v>洪淑華</v>
          </cell>
          <cell r="E238" t="str">
            <v>吳德豐</v>
          </cell>
          <cell r="F238">
            <v>20170320</v>
          </cell>
          <cell r="G238" t="str">
            <v>無保留意見</v>
          </cell>
        </row>
        <row r="239">
          <cell r="A239">
            <v>2106</v>
          </cell>
          <cell r="B239" t="str">
            <v>建大</v>
          </cell>
          <cell r="C239" t="str">
            <v>國富浩華聯合會計師事務所</v>
          </cell>
          <cell r="D239" t="str">
            <v>邵 朝 彬</v>
          </cell>
          <cell r="E239" t="str">
            <v>賴 銘 堂</v>
          </cell>
          <cell r="F239">
            <v>20170320</v>
          </cell>
          <cell r="G239" t="str">
            <v>無保留意見</v>
          </cell>
        </row>
        <row r="240">
          <cell r="A240">
            <v>2107</v>
          </cell>
          <cell r="B240" t="str">
            <v>厚生</v>
          </cell>
          <cell r="C240" t="str">
            <v>正風聯合會計師事務所</v>
          </cell>
          <cell r="D240" t="str">
            <v>周銀來</v>
          </cell>
          <cell r="E240" t="str">
            <v>吳欣亮</v>
          </cell>
          <cell r="F240">
            <v>20170316</v>
          </cell>
          <cell r="G240" t="str">
            <v>無保留意見</v>
          </cell>
        </row>
        <row r="241">
          <cell r="A241">
            <v>2108</v>
          </cell>
          <cell r="B241" t="str">
            <v>南帝化工</v>
          </cell>
          <cell r="C241" t="str">
            <v>資誠聯合會計師事務所</v>
          </cell>
          <cell r="D241" t="str">
            <v>吳建志</v>
          </cell>
          <cell r="E241" t="str">
            <v>劉子猛</v>
          </cell>
          <cell r="F241">
            <v>20170316</v>
          </cell>
          <cell r="G241" t="str">
            <v>無保留意見</v>
          </cell>
        </row>
        <row r="242">
          <cell r="A242">
            <v>2109</v>
          </cell>
          <cell r="B242" t="str">
            <v>華豐橡膠</v>
          </cell>
          <cell r="C242" t="str">
            <v>安侯建業聯合會計師事務所</v>
          </cell>
          <cell r="D242" t="str">
            <v>張　淑　瑩</v>
          </cell>
          <cell r="E242" t="str">
            <v>陳　嘉　修</v>
          </cell>
          <cell r="F242">
            <v>20170327</v>
          </cell>
          <cell r="G242" t="str">
            <v>無保留意見</v>
          </cell>
        </row>
        <row r="243">
          <cell r="A243">
            <v>2114</v>
          </cell>
          <cell r="B243" t="str">
            <v>鑫永銓</v>
          </cell>
          <cell r="C243" t="str">
            <v>資誠聯合會計師事務所</v>
          </cell>
          <cell r="D243" t="str">
            <v>楊明經</v>
          </cell>
          <cell r="E243" t="str">
            <v>王玉娟</v>
          </cell>
          <cell r="F243">
            <v>20170222</v>
          </cell>
          <cell r="G243" t="str">
            <v>無保留意見</v>
          </cell>
        </row>
        <row r="244">
          <cell r="A244">
            <v>2115</v>
          </cell>
          <cell r="B244" t="str">
            <v>六暉-KY</v>
          </cell>
          <cell r="C244" t="str">
            <v>國富浩華聯合會計師事務所</v>
          </cell>
          <cell r="D244" t="str">
            <v>邵 朝 彬</v>
          </cell>
          <cell r="E244" t="str">
            <v>黃 素 絹</v>
          </cell>
          <cell r="F244">
            <v>20170314</v>
          </cell>
          <cell r="G244" t="str">
            <v>無保留意見</v>
          </cell>
        </row>
        <row r="245">
          <cell r="A245">
            <v>2204</v>
          </cell>
          <cell r="B245" t="str">
            <v>中華汽車</v>
          </cell>
          <cell r="C245" t="str">
            <v>勤業眾信聯合會計師事務所</v>
          </cell>
          <cell r="D245" t="str">
            <v>邵志明</v>
          </cell>
          <cell r="E245" t="str">
            <v>許秀明</v>
          </cell>
          <cell r="F245">
            <v>20170327</v>
          </cell>
          <cell r="G245" t="str">
            <v>無保留意見</v>
          </cell>
        </row>
        <row r="246">
          <cell r="A246">
            <v>2206</v>
          </cell>
          <cell r="B246" t="str">
            <v>三陽工業</v>
          </cell>
          <cell r="C246" t="str">
            <v>安侯建業聯合會計師事務所</v>
          </cell>
          <cell r="D246" t="str">
            <v>曾國禓</v>
          </cell>
          <cell r="E246" t="str">
            <v>池世欽</v>
          </cell>
          <cell r="F246">
            <v>20170328</v>
          </cell>
          <cell r="G246" t="str">
            <v>無保留意見</v>
          </cell>
        </row>
        <row r="247">
          <cell r="A247">
            <v>2207</v>
          </cell>
          <cell r="B247" t="str">
            <v>和泰汽車</v>
          </cell>
          <cell r="C247" t="str">
            <v>資誠聯合會計師事務所</v>
          </cell>
          <cell r="D247" t="str">
            <v>蕭金木</v>
          </cell>
          <cell r="E247" t="str">
            <v>周建宏</v>
          </cell>
          <cell r="F247">
            <v>20170328</v>
          </cell>
          <cell r="G247" t="str">
            <v>無保留意見</v>
          </cell>
        </row>
        <row r="248">
          <cell r="A248">
            <v>2208</v>
          </cell>
          <cell r="B248" t="str">
            <v>台船公司</v>
          </cell>
          <cell r="C248" t="str">
            <v>資誠聯合會計師事務所</v>
          </cell>
          <cell r="D248" t="str">
            <v>劉子猛</v>
          </cell>
          <cell r="E248" t="str">
            <v>林姿妤</v>
          </cell>
          <cell r="F248">
            <v>20170322</v>
          </cell>
          <cell r="G248" t="str">
            <v>無保留意見</v>
          </cell>
        </row>
        <row r="249">
          <cell r="A249">
            <v>2227</v>
          </cell>
          <cell r="B249" t="str">
            <v>裕隆日產</v>
          </cell>
          <cell r="C249" t="str">
            <v>勤業眾信聯合會計師事務所</v>
          </cell>
          <cell r="D249" t="str">
            <v>廖婉怡</v>
          </cell>
          <cell r="E249" t="str">
            <v>謝建新</v>
          </cell>
          <cell r="F249">
            <v>20170327</v>
          </cell>
          <cell r="G249" t="str">
            <v>無保留意見</v>
          </cell>
        </row>
        <row r="250">
          <cell r="A250">
            <v>2228</v>
          </cell>
          <cell r="B250" t="str">
            <v>劍麟</v>
          </cell>
          <cell r="C250" t="str">
            <v>資誠聯合會計師事務所</v>
          </cell>
          <cell r="D250" t="str">
            <v>杜佩玲</v>
          </cell>
          <cell r="E250" t="str">
            <v>吳漢期</v>
          </cell>
          <cell r="F250">
            <v>20170316</v>
          </cell>
          <cell r="G250" t="str">
            <v>無保留意見</v>
          </cell>
        </row>
        <row r="251">
          <cell r="A251">
            <v>2231</v>
          </cell>
          <cell r="B251" t="str">
            <v>為升</v>
          </cell>
          <cell r="C251" t="str">
            <v>安侯建業聯合會計師事務所</v>
          </cell>
          <cell r="D251" t="str">
            <v>郭士華</v>
          </cell>
          <cell r="E251" t="str">
            <v>張字信</v>
          </cell>
          <cell r="F251">
            <v>20170308</v>
          </cell>
          <cell r="G251" t="str">
            <v>無保留意見</v>
          </cell>
        </row>
        <row r="252">
          <cell r="A252">
            <v>2236</v>
          </cell>
          <cell r="B252" t="str">
            <v>百達-KY</v>
          </cell>
          <cell r="C252" t="str">
            <v>資誠聯合會計師事務所</v>
          </cell>
          <cell r="D252" t="str">
            <v>杜佩玲</v>
          </cell>
          <cell r="E252" t="str">
            <v>梁華玲</v>
          </cell>
          <cell r="F252">
            <v>20170328</v>
          </cell>
          <cell r="G252" t="str">
            <v>無保留意見</v>
          </cell>
        </row>
        <row r="253">
          <cell r="A253">
            <v>2239</v>
          </cell>
          <cell r="B253" t="str">
            <v>英利-KY</v>
          </cell>
          <cell r="C253" t="str">
            <v>資誠聯合會計師事務所</v>
          </cell>
          <cell r="D253" t="str">
            <v>楊明經</v>
          </cell>
          <cell r="E253" t="str">
            <v>王玉娟</v>
          </cell>
          <cell r="F253">
            <v>20170324</v>
          </cell>
          <cell r="G253" t="str">
            <v>無保留意見</v>
          </cell>
        </row>
        <row r="254">
          <cell r="A254">
            <v>2301</v>
          </cell>
          <cell r="B254" t="str">
            <v>光寶科技</v>
          </cell>
          <cell r="C254" t="str">
            <v>勤業眾信聯合會計師事務所</v>
          </cell>
          <cell r="D254" t="str">
            <v>柯志賢</v>
          </cell>
          <cell r="E254" t="str">
            <v>張清福</v>
          </cell>
          <cell r="F254">
            <v>20170224</v>
          </cell>
          <cell r="G254" t="str">
            <v>無保留意見</v>
          </cell>
        </row>
        <row r="255">
          <cell r="A255">
            <v>2302</v>
          </cell>
          <cell r="B255" t="str">
            <v>麗正</v>
          </cell>
          <cell r="C255" t="str">
            <v>安侯建業聯合會計師事務所</v>
          </cell>
          <cell r="D255" t="str">
            <v>馬 國 柱</v>
          </cell>
          <cell r="E255" t="str">
            <v>曾 國 禓</v>
          </cell>
          <cell r="F255">
            <v>20170329</v>
          </cell>
          <cell r="G255" t="str">
            <v>無保留意見</v>
          </cell>
        </row>
        <row r="256">
          <cell r="A256">
            <v>2303</v>
          </cell>
          <cell r="B256" t="str">
            <v>聯電</v>
          </cell>
          <cell r="C256" t="str">
            <v>安永聯合會計師事務所</v>
          </cell>
          <cell r="D256" t="str">
            <v>郭紹彬</v>
          </cell>
          <cell r="E256" t="str">
            <v>宋孟霖</v>
          </cell>
          <cell r="F256">
            <v>20170222</v>
          </cell>
          <cell r="G256" t="str">
            <v>無保留意見</v>
          </cell>
        </row>
        <row r="257">
          <cell r="A257">
            <v>2305</v>
          </cell>
          <cell r="B257" t="str">
            <v>全友電腦</v>
          </cell>
          <cell r="C257" t="str">
            <v>安 侯 建 業 聯 合 會 計 師 事 務 所</v>
          </cell>
          <cell r="D257" t="str">
            <v>區耀軍</v>
          </cell>
          <cell r="E257" t="str">
            <v>黃海寧</v>
          </cell>
          <cell r="F257">
            <v>20170323</v>
          </cell>
          <cell r="G257" t="str">
            <v>無保留意見</v>
          </cell>
        </row>
        <row r="258">
          <cell r="A258">
            <v>2308</v>
          </cell>
          <cell r="B258" t="str">
            <v>台達電</v>
          </cell>
          <cell r="C258" t="str">
            <v>資誠聯合會計師事務所</v>
          </cell>
          <cell r="D258" t="str">
            <v>梁華玲</v>
          </cell>
          <cell r="E258" t="str">
            <v>曾惠瑾</v>
          </cell>
          <cell r="F258">
            <v>20170309</v>
          </cell>
          <cell r="G258" t="str">
            <v>無保留意見</v>
          </cell>
        </row>
        <row r="259">
          <cell r="A259">
            <v>2311</v>
          </cell>
          <cell r="B259" t="str">
            <v>日月光</v>
          </cell>
          <cell r="C259" t="str">
            <v>勤業眾信聯合會計師事務所</v>
          </cell>
          <cell r="D259" t="str">
            <v>陳珍麗</v>
          </cell>
          <cell r="E259" t="str">
            <v>江佳玲</v>
          </cell>
          <cell r="F259">
            <v>20170313</v>
          </cell>
          <cell r="G259" t="str">
            <v>無保留意見</v>
          </cell>
        </row>
        <row r="260">
          <cell r="A260">
            <v>2312</v>
          </cell>
          <cell r="B260" t="str">
            <v>金寶電子</v>
          </cell>
          <cell r="C260" t="str">
            <v>安永聯合會計師事務所</v>
          </cell>
          <cell r="D260" t="str">
            <v>蕭翠慧</v>
          </cell>
          <cell r="E260" t="str">
            <v>林素雯</v>
          </cell>
          <cell r="F260">
            <v>20170324</v>
          </cell>
          <cell r="G260" t="str">
            <v>無保留意見</v>
          </cell>
        </row>
        <row r="261">
          <cell r="A261">
            <v>2313</v>
          </cell>
          <cell r="B261" t="str">
            <v>華通</v>
          </cell>
          <cell r="C261" t="str">
            <v>正風聯合會計師事務所</v>
          </cell>
          <cell r="D261" t="str">
            <v>周銀來</v>
          </cell>
          <cell r="E261" t="str">
            <v>鄭憲修</v>
          </cell>
          <cell r="F261">
            <v>20170310</v>
          </cell>
          <cell r="G261" t="str">
            <v>無保留意見</v>
          </cell>
        </row>
        <row r="262">
          <cell r="A262">
            <v>2314</v>
          </cell>
          <cell r="B262" t="str">
            <v>台揚科技</v>
          </cell>
          <cell r="C262" t="str">
            <v>資誠聯合會計師事務所</v>
          </cell>
          <cell r="D262" t="str">
            <v>溫芳郁</v>
          </cell>
          <cell r="E262" t="str">
            <v>林玉寬</v>
          </cell>
          <cell r="F262">
            <v>20170317</v>
          </cell>
          <cell r="G262" t="str">
            <v>無保留意見</v>
          </cell>
        </row>
        <row r="263">
          <cell r="A263">
            <v>2316</v>
          </cell>
          <cell r="B263" t="str">
            <v>楠梓電</v>
          </cell>
          <cell r="C263" t="str">
            <v>勤業眾信聯合會計師事務所</v>
          </cell>
          <cell r="D263" t="str">
            <v>許瑞軒</v>
          </cell>
          <cell r="E263" t="str">
            <v>龔俊吉</v>
          </cell>
          <cell r="F263">
            <v>20170328</v>
          </cell>
          <cell r="G263" t="str">
            <v>無保留意見</v>
          </cell>
        </row>
        <row r="264">
          <cell r="A264">
            <v>2317</v>
          </cell>
          <cell r="B264" t="str">
            <v>鴻海</v>
          </cell>
          <cell r="C264" t="str">
            <v>資誠聯合會計師事務所</v>
          </cell>
          <cell r="D264" t="str">
            <v>徐永堅</v>
          </cell>
          <cell r="E264" t="str">
            <v>張明輝</v>
          </cell>
          <cell r="F264">
            <v>20170331</v>
          </cell>
          <cell r="G264" t="str">
            <v>無保留意見</v>
          </cell>
        </row>
        <row r="265">
          <cell r="A265">
            <v>2321</v>
          </cell>
          <cell r="B265" t="str">
            <v>東訊</v>
          </cell>
          <cell r="C265" t="str">
            <v>資誠聯合會計師事務所</v>
          </cell>
          <cell r="D265" t="str">
            <v>鄭雅慧</v>
          </cell>
          <cell r="E265" t="str">
            <v>林玉寬</v>
          </cell>
          <cell r="F265">
            <v>20170322</v>
          </cell>
          <cell r="G265" t="str">
            <v>無保留意見</v>
          </cell>
        </row>
        <row r="266">
          <cell r="A266">
            <v>2323</v>
          </cell>
          <cell r="B266" t="str">
            <v>中環</v>
          </cell>
          <cell r="C266" t="str">
            <v>資誠聯合會計師事務所</v>
          </cell>
          <cell r="D266" t="str">
            <v>林鈞堯</v>
          </cell>
          <cell r="E266" t="str">
            <v>游淑芬</v>
          </cell>
          <cell r="F266">
            <v>20170320</v>
          </cell>
          <cell r="G266" t="str">
            <v>無保留意見</v>
          </cell>
        </row>
        <row r="267">
          <cell r="A267">
            <v>2324</v>
          </cell>
          <cell r="B267" t="str">
            <v>仁寶電腦</v>
          </cell>
          <cell r="C267" t="str">
            <v>安侯建業聯合會計師事務所</v>
          </cell>
          <cell r="D267" t="str">
            <v>郭冠纓</v>
          </cell>
          <cell r="E267" t="str">
            <v>區耀軍</v>
          </cell>
          <cell r="F267">
            <v>20170328</v>
          </cell>
          <cell r="G267" t="str">
            <v>無保留意見</v>
          </cell>
        </row>
        <row r="268">
          <cell r="A268">
            <v>2325</v>
          </cell>
          <cell r="B268" t="str">
            <v>矽品</v>
          </cell>
          <cell r="C268" t="str">
            <v>資誠聯合會計師事務所</v>
          </cell>
          <cell r="D268" t="str">
            <v>鄭雅慧</v>
          </cell>
          <cell r="E268" t="str">
            <v>王偉臣</v>
          </cell>
          <cell r="F268">
            <v>20170223</v>
          </cell>
          <cell r="G268" t="str">
            <v>無保留意見</v>
          </cell>
        </row>
        <row r="269">
          <cell r="A269">
            <v>2327</v>
          </cell>
          <cell r="B269" t="str">
            <v>國巨</v>
          </cell>
          <cell r="C269" t="str">
            <v>勤業眾信聯合會計師事務所</v>
          </cell>
          <cell r="D269" t="str">
            <v>柯志賢</v>
          </cell>
          <cell r="E269" t="str">
            <v>邱盟捷</v>
          </cell>
          <cell r="F269">
            <v>20170303</v>
          </cell>
          <cell r="G269" t="str">
            <v>無保留意見</v>
          </cell>
        </row>
        <row r="270">
          <cell r="A270">
            <v>2328</v>
          </cell>
          <cell r="B270" t="str">
            <v>廣宇</v>
          </cell>
          <cell r="C270" t="str">
            <v>資誠聯合會計師事務所</v>
          </cell>
          <cell r="D270" t="str">
            <v>徐聖忠</v>
          </cell>
          <cell r="E270" t="str">
            <v>徐永堅</v>
          </cell>
          <cell r="F270">
            <v>20170324</v>
          </cell>
          <cell r="G270" t="str">
            <v>無保留意見</v>
          </cell>
        </row>
        <row r="271">
          <cell r="A271">
            <v>2329</v>
          </cell>
          <cell r="B271" t="str">
            <v>華泰電子</v>
          </cell>
          <cell r="C271" t="str">
            <v>安永聯合會計師事務所</v>
          </cell>
          <cell r="D271" t="str">
            <v>李芳文</v>
          </cell>
          <cell r="E271" t="str">
            <v>黃世杰</v>
          </cell>
          <cell r="F271">
            <v>20170323</v>
          </cell>
          <cell r="G271" t="str">
            <v>無保留意見</v>
          </cell>
        </row>
        <row r="272">
          <cell r="A272">
            <v>2330</v>
          </cell>
          <cell r="B272" t="str">
            <v>台積電</v>
          </cell>
          <cell r="C272" t="str">
            <v>勤業眾信聯合會計師事務所</v>
          </cell>
          <cell r="D272" t="str">
            <v>高逸欣</v>
          </cell>
          <cell r="E272" t="str">
            <v>黃裕峰</v>
          </cell>
          <cell r="F272">
            <v>20170214</v>
          </cell>
          <cell r="G272" t="str">
            <v>無保留意見</v>
          </cell>
        </row>
        <row r="273">
          <cell r="A273">
            <v>2331</v>
          </cell>
          <cell r="B273" t="str">
            <v>精英</v>
          </cell>
          <cell r="C273" t="str">
            <v>勤業眾信聯合會計師事務所</v>
          </cell>
          <cell r="D273" t="str">
            <v>黃秀椿</v>
          </cell>
          <cell r="E273" t="str">
            <v>郭政弘</v>
          </cell>
          <cell r="F273">
            <v>20170328</v>
          </cell>
          <cell r="G273" t="str">
            <v>無保留意見</v>
          </cell>
        </row>
        <row r="274">
          <cell r="A274">
            <v>2332</v>
          </cell>
          <cell r="B274" t="str">
            <v>友訊科技</v>
          </cell>
          <cell r="C274" t="str">
            <v>安侯建業聯合會計師事務所</v>
          </cell>
          <cell r="D274" t="str">
            <v>高渭川</v>
          </cell>
          <cell r="E274" t="str">
            <v>周寶蓮</v>
          </cell>
          <cell r="F274">
            <v>20170314</v>
          </cell>
          <cell r="G274" t="str">
            <v>無保留意見</v>
          </cell>
        </row>
        <row r="275">
          <cell r="A275">
            <v>2337</v>
          </cell>
          <cell r="B275" t="str">
            <v>旺宏</v>
          </cell>
          <cell r="C275" t="str">
            <v>勤業眾信聯合會計師事務所</v>
          </cell>
          <cell r="D275" t="str">
            <v>陳明煇</v>
          </cell>
          <cell r="E275" t="str">
            <v>施景彬</v>
          </cell>
          <cell r="F275">
            <v>20170306</v>
          </cell>
          <cell r="G275" t="str">
            <v>無保留意見</v>
          </cell>
        </row>
        <row r="276">
          <cell r="A276">
            <v>2338</v>
          </cell>
          <cell r="B276" t="str">
            <v>光罩</v>
          </cell>
          <cell r="C276" t="str">
            <v>資誠聯合會計師事務所</v>
          </cell>
          <cell r="D276" t="str">
            <v>李典易</v>
          </cell>
          <cell r="E276" t="str">
            <v>曾國華</v>
          </cell>
          <cell r="F276">
            <v>20170329</v>
          </cell>
          <cell r="G276" t="str">
            <v>無保留意見</v>
          </cell>
        </row>
        <row r="277">
          <cell r="A277">
            <v>2340</v>
          </cell>
          <cell r="B277" t="str">
            <v>光磊</v>
          </cell>
          <cell r="C277" t="str">
            <v>資誠聯合會計師事務所</v>
          </cell>
          <cell r="D277" t="str">
            <v>林玉寬</v>
          </cell>
          <cell r="E277" t="str">
            <v>賴宗羲</v>
          </cell>
          <cell r="F277">
            <v>20170324</v>
          </cell>
          <cell r="G277" t="str">
            <v>無保留意見</v>
          </cell>
        </row>
        <row r="278">
          <cell r="A278">
            <v>2342</v>
          </cell>
          <cell r="B278" t="str">
            <v>茂矽</v>
          </cell>
          <cell r="C278" t="str">
            <v>調和聯合會計師事務所</v>
          </cell>
          <cell r="D278" t="str">
            <v>郭鎮宇</v>
          </cell>
          <cell r="E278" t="str">
            <v>陳光慧</v>
          </cell>
          <cell r="F278">
            <v>20170322</v>
          </cell>
          <cell r="G278" t="str">
            <v>無保留意見</v>
          </cell>
        </row>
        <row r="279">
          <cell r="A279">
            <v>2344</v>
          </cell>
          <cell r="B279" t="str">
            <v>華邦電</v>
          </cell>
          <cell r="C279" t="str">
            <v>勤業眾信聯合會計師事務所</v>
          </cell>
          <cell r="D279" t="str">
            <v>吳恪昌</v>
          </cell>
          <cell r="E279" t="str">
            <v>余鴻賓</v>
          </cell>
          <cell r="F279">
            <v>20170203</v>
          </cell>
          <cell r="G279" t="str">
            <v>無保留意見</v>
          </cell>
        </row>
        <row r="280">
          <cell r="A280">
            <v>2345</v>
          </cell>
          <cell r="B280" t="str">
            <v>智邦科技</v>
          </cell>
          <cell r="C280" t="str">
            <v>勤業眾信聯合會計師事務所</v>
          </cell>
          <cell r="D280" t="str">
            <v>方蘇立</v>
          </cell>
          <cell r="E280" t="str">
            <v>黃樹傑</v>
          </cell>
          <cell r="F280">
            <v>20170321</v>
          </cell>
          <cell r="G280" t="str">
            <v>無保留意見</v>
          </cell>
        </row>
        <row r="281">
          <cell r="A281">
            <v>2347</v>
          </cell>
          <cell r="B281" t="str">
            <v>聯強國際</v>
          </cell>
          <cell r="C281" t="str">
            <v>資誠聯合會計師事務所</v>
          </cell>
          <cell r="D281" t="str">
            <v>葉翠苗</v>
          </cell>
          <cell r="E281" t="str">
            <v>吳郁隆</v>
          </cell>
          <cell r="F281">
            <v>20170317</v>
          </cell>
          <cell r="G281" t="str">
            <v>無保留意見</v>
          </cell>
        </row>
        <row r="282">
          <cell r="A282">
            <v>2348</v>
          </cell>
          <cell r="B282" t="str">
            <v>海悅</v>
          </cell>
          <cell r="C282" t="str">
            <v>勤業眾信聯合會計師事務所</v>
          </cell>
          <cell r="D282" t="str">
            <v>戴信維</v>
          </cell>
          <cell r="E282" t="str">
            <v>范有偉</v>
          </cell>
          <cell r="F282">
            <v>20170324</v>
          </cell>
          <cell r="G282" t="str">
            <v>無保留意見</v>
          </cell>
        </row>
        <row r="283">
          <cell r="A283">
            <v>2349</v>
          </cell>
          <cell r="B283" t="str">
            <v>錸德科技</v>
          </cell>
          <cell r="C283" t="str">
            <v>安永聯合會計師事務所</v>
          </cell>
          <cell r="D283" t="str">
            <v>洪茂益</v>
          </cell>
          <cell r="E283" t="str">
            <v>張志銘</v>
          </cell>
          <cell r="F283">
            <v>20170324</v>
          </cell>
          <cell r="G283" t="str">
            <v>無保留意見</v>
          </cell>
        </row>
        <row r="284">
          <cell r="A284">
            <v>2351</v>
          </cell>
          <cell r="B284" t="str">
            <v>順德</v>
          </cell>
          <cell r="C284" t="str">
            <v>國富浩華聯合會計師事務所</v>
          </cell>
          <cell r="D284" t="str">
            <v>林明壽</v>
          </cell>
          <cell r="E284" t="str">
            <v>邵朝彬</v>
          </cell>
          <cell r="F284">
            <v>20170316</v>
          </cell>
          <cell r="G284" t="str">
            <v>無保留意見</v>
          </cell>
        </row>
        <row r="285">
          <cell r="A285">
            <v>2352</v>
          </cell>
          <cell r="B285" t="str">
            <v>佳世達</v>
          </cell>
          <cell r="C285" t="str">
            <v>安侯建業聯合會計師事務所</v>
          </cell>
          <cell r="D285" t="str">
            <v>唐慈杰</v>
          </cell>
          <cell r="E285" t="str">
            <v>施威銘</v>
          </cell>
          <cell r="F285">
            <v>20170309</v>
          </cell>
          <cell r="G285" t="str">
            <v>無保留意見</v>
          </cell>
        </row>
        <row r="286">
          <cell r="A286">
            <v>2353</v>
          </cell>
          <cell r="B286" t="str">
            <v>宏碁</v>
          </cell>
          <cell r="C286" t="str">
            <v>安侯建業聯合會計師事務所</v>
          </cell>
          <cell r="D286" t="str">
            <v>張惠貞</v>
          </cell>
          <cell r="E286" t="str">
            <v>唐慈杰</v>
          </cell>
          <cell r="F286">
            <v>20170330</v>
          </cell>
          <cell r="G286" t="str">
            <v>無保留意見</v>
          </cell>
        </row>
        <row r="287">
          <cell r="A287">
            <v>2354</v>
          </cell>
          <cell r="B287" t="str">
            <v>鴻準</v>
          </cell>
          <cell r="C287" t="str">
            <v>資誠聯合會計師事務所</v>
          </cell>
          <cell r="D287" t="str">
            <v>徐永堅</v>
          </cell>
          <cell r="E287" t="str">
            <v>徐聖忠</v>
          </cell>
          <cell r="F287">
            <v>20170329</v>
          </cell>
          <cell r="G287" t="str">
            <v>無保留意見</v>
          </cell>
        </row>
        <row r="288">
          <cell r="A288">
            <v>2355</v>
          </cell>
          <cell r="B288" t="str">
            <v>敬鵬</v>
          </cell>
          <cell r="C288" t="str">
            <v>安 侯 建 業 聯 合 會 計 師 事 務 所</v>
          </cell>
          <cell r="D288" t="str">
            <v>呂莉莉</v>
          </cell>
          <cell r="E288" t="str">
            <v>俞安恬</v>
          </cell>
          <cell r="F288">
            <v>20170322</v>
          </cell>
          <cell r="G288" t="str">
            <v>無保留意見</v>
          </cell>
        </row>
        <row r="289">
          <cell r="A289">
            <v>2356</v>
          </cell>
          <cell r="B289" t="str">
            <v>英業達</v>
          </cell>
          <cell r="C289" t="str">
            <v>安侯建業聯合會計師事務所</v>
          </cell>
          <cell r="D289" t="str">
            <v>陳盈如</v>
          </cell>
          <cell r="E289" t="str">
            <v>楊柳鋒</v>
          </cell>
          <cell r="F289">
            <v>20170328</v>
          </cell>
          <cell r="G289" t="str">
            <v>無保留意見</v>
          </cell>
        </row>
        <row r="290">
          <cell r="A290">
            <v>2357</v>
          </cell>
          <cell r="B290" t="str">
            <v>華碩</v>
          </cell>
          <cell r="C290" t="str">
            <v>資誠聯合會計師事務所</v>
          </cell>
          <cell r="D290" t="str">
            <v>曾惠瑾</v>
          </cell>
          <cell r="E290" t="str">
            <v>張明輝</v>
          </cell>
          <cell r="F290">
            <v>20170317</v>
          </cell>
          <cell r="G290" t="str">
            <v>無保留意見</v>
          </cell>
        </row>
        <row r="291">
          <cell r="A291">
            <v>2359</v>
          </cell>
          <cell r="B291" t="str">
            <v>所羅門</v>
          </cell>
          <cell r="C291" t="str">
            <v>資誠聯合會計師事務所</v>
          </cell>
          <cell r="D291" t="str">
            <v>蕭金木</v>
          </cell>
          <cell r="E291" t="str">
            <v>梁華玲</v>
          </cell>
          <cell r="F291">
            <v>20170321</v>
          </cell>
          <cell r="G291" t="str">
            <v>無保留意見</v>
          </cell>
        </row>
        <row r="292">
          <cell r="A292">
            <v>2360</v>
          </cell>
          <cell r="B292" t="str">
            <v>致茂電子</v>
          </cell>
          <cell r="C292" t="str">
            <v>勤業眾信聯合會計師事務所</v>
          </cell>
          <cell r="D292" t="str">
            <v>王儀雯</v>
          </cell>
          <cell r="E292" t="str">
            <v>郭文吉</v>
          </cell>
          <cell r="F292">
            <v>20170221</v>
          </cell>
          <cell r="G292" t="str">
            <v>無保留意見</v>
          </cell>
        </row>
        <row r="293">
          <cell r="A293">
            <v>2362</v>
          </cell>
          <cell r="B293" t="str">
            <v>藍天</v>
          </cell>
          <cell r="C293" t="str">
            <v>資誠聯合會計師事務所</v>
          </cell>
          <cell r="D293" t="str">
            <v>馮敏娟</v>
          </cell>
          <cell r="E293" t="str">
            <v>張明輝</v>
          </cell>
          <cell r="F293">
            <v>20170327</v>
          </cell>
          <cell r="G293" t="str">
            <v>無保留意見</v>
          </cell>
        </row>
        <row r="294">
          <cell r="A294">
            <v>2363</v>
          </cell>
          <cell r="B294" t="str">
            <v>矽統科技</v>
          </cell>
          <cell r="C294" t="str">
            <v>安永聯合會計師事務所</v>
          </cell>
          <cell r="D294" t="str">
            <v>邱琬茹</v>
          </cell>
          <cell r="E294" t="str">
            <v>涂嘉玲</v>
          </cell>
          <cell r="F294">
            <v>20170316</v>
          </cell>
          <cell r="G294" t="str">
            <v>無保留意見</v>
          </cell>
        </row>
        <row r="295">
          <cell r="A295">
            <v>2364</v>
          </cell>
          <cell r="B295" t="str">
            <v>倫飛電腦</v>
          </cell>
          <cell r="C295" t="str">
            <v>安侯建業聯合會計師事務所</v>
          </cell>
          <cell r="D295" t="str">
            <v>黃柏淑</v>
          </cell>
          <cell r="E295" t="str">
            <v>尹元聖</v>
          </cell>
          <cell r="F295">
            <v>20170328</v>
          </cell>
          <cell r="G295" t="str">
            <v>無保留意見</v>
          </cell>
        </row>
        <row r="296">
          <cell r="A296">
            <v>2365</v>
          </cell>
          <cell r="B296" t="str">
            <v>昆盈企業</v>
          </cell>
          <cell r="C296" t="str">
            <v>勤業眾信聯合會計師事務所</v>
          </cell>
          <cell r="D296" t="str">
            <v>吳美慧</v>
          </cell>
          <cell r="E296" t="str">
            <v>吳怡君</v>
          </cell>
          <cell r="F296">
            <v>20170315</v>
          </cell>
          <cell r="G296" t="str">
            <v>無保留意見</v>
          </cell>
        </row>
        <row r="297">
          <cell r="A297">
            <v>2367</v>
          </cell>
          <cell r="B297" t="str">
            <v>燿華</v>
          </cell>
          <cell r="C297" t="str">
            <v>安侯建業聯合會計師事務所</v>
          </cell>
          <cell r="D297" t="str">
            <v>王清松</v>
          </cell>
          <cell r="E297" t="str">
            <v>陳蓓琪</v>
          </cell>
          <cell r="F297">
            <v>20170328</v>
          </cell>
          <cell r="G297" t="str">
            <v>無保留意見</v>
          </cell>
        </row>
        <row r="298">
          <cell r="A298">
            <v>2368</v>
          </cell>
          <cell r="B298" t="str">
            <v>金像電</v>
          </cell>
          <cell r="C298" t="str">
            <v>勤業眾信聯合會計師事務所</v>
          </cell>
          <cell r="D298" t="str">
            <v>姚勝雄</v>
          </cell>
          <cell r="E298" t="str">
            <v>劉江抱</v>
          </cell>
          <cell r="F298">
            <v>20170324</v>
          </cell>
          <cell r="G298" t="str">
            <v>無保留意見</v>
          </cell>
        </row>
        <row r="299">
          <cell r="A299">
            <v>2369</v>
          </cell>
          <cell r="B299" t="str">
            <v>菱生</v>
          </cell>
          <cell r="C299" t="str">
            <v>勤業眾信聯合會計師事務所</v>
          </cell>
          <cell r="D299" t="str">
            <v>吳麗冬</v>
          </cell>
          <cell r="E299" t="str">
            <v>顏曉芳</v>
          </cell>
          <cell r="F299">
            <v>20170323</v>
          </cell>
          <cell r="G299" t="str">
            <v>無保留意見</v>
          </cell>
        </row>
        <row r="300">
          <cell r="A300">
            <v>2373</v>
          </cell>
          <cell r="B300" t="str">
            <v>震旦行</v>
          </cell>
          <cell r="C300" t="str">
            <v>勤業眾信聯合會計師事務所</v>
          </cell>
          <cell r="D300" t="str">
            <v>黃海悅</v>
          </cell>
          <cell r="E300" t="str">
            <v>謝建新</v>
          </cell>
          <cell r="F300">
            <v>20170307</v>
          </cell>
          <cell r="G300" t="str">
            <v>無保留意見</v>
          </cell>
        </row>
        <row r="301">
          <cell r="A301">
            <v>2374</v>
          </cell>
          <cell r="B301" t="str">
            <v>佳能</v>
          </cell>
          <cell r="C301" t="str">
            <v>資誠聯合會計師事務所</v>
          </cell>
          <cell r="D301" t="str">
            <v>徐聖忠</v>
          </cell>
          <cell r="E301" t="str">
            <v>曾惠瑾</v>
          </cell>
          <cell r="F301">
            <v>20170324</v>
          </cell>
          <cell r="G301" t="str">
            <v>無保留意見</v>
          </cell>
        </row>
        <row r="302">
          <cell r="A302">
            <v>2375</v>
          </cell>
          <cell r="B302" t="str">
            <v>智寶</v>
          </cell>
          <cell r="C302" t="str">
            <v>勤業眾信聯合會計師事務所</v>
          </cell>
          <cell r="D302" t="str">
            <v>柯志賢</v>
          </cell>
          <cell r="E302" t="str">
            <v>邱盟捷</v>
          </cell>
          <cell r="F302">
            <v>20170303</v>
          </cell>
          <cell r="G302" t="str">
            <v>無保留意見</v>
          </cell>
        </row>
        <row r="303">
          <cell r="A303">
            <v>2376</v>
          </cell>
          <cell r="B303" t="str">
            <v>技嘉</v>
          </cell>
          <cell r="C303" t="str">
            <v>資誠聯合會計師事務所</v>
          </cell>
          <cell r="D303" t="str">
            <v>蕭春鴛</v>
          </cell>
          <cell r="E303" t="str">
            <v>王方瑜</v>
          </cell>
          <cell r="F303">
            <v>20170314</v>
          </cell>
          <cell r="G303" t="str">
            <v>無保留意見</v>
          </cell>
        </row>
        <row r="304">
          <cell r="A304">
            <v>2377</v>
          </cell>
          <cell r="B304" t="str">
            <v>微星科技</v>
          </cell>
          <cell r="C304" t="str">
            <v>資誠聯合會計師事務所</v>
          </cell>
          <cell r="D304" t="str">
            <v>周筱姿</v>
          </cell>
          <cell r="E304" t="str">
            <v>賴宗羲</v>
          </cell>
          <cell r="F304">
            <v>20170324</v>
          </cell>
          <cell r="G304" t="str">
            <v>無保留意見</v>
          </cell>
        </row>
        <row r="305">
          <cell r="A305">
            <v>2379</v>
          </cell>
          <cell r="B305" t="str">
            <v>瑞昱</v>
          </cell>
          <cell r="C305" t="str">
            <v>資誠聯合會計師事務所</v>
          </cell>
          <cell r="D305" t="str">
            <v>李典易</v>
          </cell>
          <cell r="E305" t="str">
            <v>曾國華</v>
          </cell>
          <cell r="F305">
            <v>20170313</v>
          </cell>
          <cell r="G305" t="str">
            <v>無保留意見</v>
          </cell>
        </row>
        <row r="306">
          <cell r="A306">
            <v>2380</v>
          </cell>
          <cell r="B306" t="str">
            <v>虹光精密</v>
          </cell>
          <cell r="C306" t="str">
            <v>資誠聯合會計師事務所</v>
          </cell>
          <cell r="D306" t="str">
            <v>溫芳郁</v>
          </cell>
          <cell r="E306" t="str">
            <v>鄭雅慧</v>
          </cell>
          <cell r="F306">
            <v>20170324</v>
          </cell>
          <cell r="G306" t="str">
            <v>無保留意見</v>
          </cell>
        </row>
        <row r="307">
          <cell r="A307">
            <v>2382</v>
          </cell>
          <cell r="B307" t="str">
            <v>廣達</v>
          </cell>
          <cell r="C307" t="str">
            <v>安侯建業聯合會計師事務所</v>
          </cell>
          <cell r="D307" t="str">
            <v>林琬琬</v>
          </cell>
          <cell r="E307" t="str">
            <v>楊柳鋒</v>
          </cell>
          <cell r="F307">
            <v>20170328</v>
          </cell>
          <cell r="G307" t="str">
            <v>無保留意見</v>
          </cell>
        </row>
        <row r="308">
          <cell r="A308">
            <v>2383</v>
          </cell>
          <cell r="B308" t="str">
            <v>台光電子</v>
          </cell>
          <cell r="C308" t="str">
            <v>安侯建業聯合會計師事務所</v>
          </cell>
          <cell r="D308" t="str">
            <v>楊柳鋒</v>
          </cell>
          <cell r="E308" t="str">
            <v>陳盈如</v>
          </cell>
          <cell r="F308">
            <v>20170316</v>
          </cell>
          <cell r="G308" t="str">
            <v>無保留意見</v>
          </cell>
        </row>
        <row r="309">
          <cell r="A309">
            <v>2385</v>
          </cell>
          <cell r="B309" t="str">
            <v>群光電子</v>
          </cell>
          <cell r="C309" t="str">
            <v>資誠聯合會計師事務所</v>
          </cell>
          <cell r="D309" t="str">
            <v>王輝賢</v>
          </cell>
          <cell r="E309" t="str">
            <v>林鈞堯</v>
          </cell>
          <cell r="F309">
            <v>20170310</v>
          </cell>
          <cell r="G309" t="str">
            <v>無保留意見</v>
          </cell>
        </row>
        <row r="310">
          <cell r="A310">
            <v>2387</v>
          </cell>
          <cell r="B310" t="str">
            <v>精元電腦</v>
          </cell>
          <cell r="C310" t="str">
            <v>資誠聯合會計師事務所</v>
          </cell>
          <cell r="D310" t="str">
            <v>王玉娟</v>
          </cell>
          <cell r="E310" t="str">
            <v>洪淑華</v>
          </cell>
          <cell r="F310">
            <v>20170327</v>
          </cell>
          <cell r="G310" t="str">
            <v>無保留意見</v>
          </cell>
        </row>
        <row r="311">
          <cell r="A311">
            <v>2388</v>
          </cell>
          <cell r="B311" t="str">
            <v>威盛電子</v>
          </cell>
          <cell r="C311" t="str">
            <v>勤業眾信聯合會計師事務所</v>
          </cell>
          <cell r="D311" t="str">
            <v>劉書琳</v>
          </cell>
          <cell r="E311" t="str">
            <v>徐文亞</v>
          </cell>
          <cell r="F311">
            <v>20170320</v>
          </cell>
          <cell r="G311" t="str">
            <v>無保留意見</v>
          </cell>
        </row>
        <row r="312">
          <cell r="A312">
            <v>2392</v>
          </cell>
          <cell r="B312" t="str">
            <v>正崴</v>
          </cell>
          <cell r="C312" t="str">
            <v>資誠聯合會計師事務所</v>
          </cell>
          <cell r="D312" t="str">
            <v>林瑟凱</v>
          </cell>
          <cell r="E312" t="str">
            <v>周筱姿</v>
          </cell>
          <cell r="F312">
            <v>20170331</v>
          </cell>
          <cell r="G312" t="str">
            <v>無保留意見</v>
          </cell>
        </row>
        <row r="313">
          <cell r="A313">
            <v>2393</v>
          </cell>
          <cell r="B313" t="str">
            <v>億光電子</v>
          </cell>
          <cell r="C313" t="str">
            <v>安侯建業聯合會計師事務所</v>
          </cell>
          <cell r="D313" t="str">
            <v>羅瑞蘭</v>
          </cell>
          <cell r="E313" t="str">
            <v>郭冠纓</v>
          </cell>
          <cell r="F313">
            <v>20170323</v>
          </cell>
          <cell r="G313" t="str">
            <v>無保留意見</v>
          </cell>
        </row>
        <row r="314">
          <cell r="A314">
            <v>2395</v>
          </cell>
          <cell r="B314" t="str">
            <v>研華</v>
          </cell>
          <cell r="C314" t="str">
            <v>勤業眾信聯合會計師事務所</v>
          </cell>
          <cell r="D314" t="str">
            <v>邱盟捷</v>
          </cell>
          <cell r="E314" t="str">
            <v>陳清祥</v>
          </cell>
          <cell r="F314">
            <v>20170306</v>
          </cell>
          <cell r="G314" t="str">
            <v>無保留意見</v>
          </cell>
        </row>
        <row r="315">
          <cell r="A315">
            <v>2397</v>
          </cell>
          <cell r="B315" t="str">
            <v>友通資訊</v>
          </cell>
          <cell r="C315" t="str">
            <v>勤業眾信聯合會計師事務所</v>
          </cell>
          <cell r="D315" t="str">
            <v>施景彬</v>
          </cell>
          <cell r="E315" t="str">
            <v>吳恪昌</v>
          </cell>
          <cell r="F315">
            <v>20170327</v>
          </cell>
          <cell r="G315" t="str">
            <v>無保留意見</v>
          </cell>
        </row>
        <row r="316">
          <cell r="A316">
            <v>2399</v>
          </cell>
          <cell r="B316" t="str">
            <v>映泰</v>
          </cell>
          <cell r="C316" t="str">
            <v>勤業眾信聯合會計師事務所</v>
          </cell>
          <cell r="D316" t="str">
            <v>楊清鎮</v>
          </cell>
          <cell r="E316" t="str">
            <v>劉水恩</v>
          </cell>
          <cell r="F316">
            <v>20170327</v>
          </cell>
          <cell r="G316" t="str">
            <v>無保留意見</v>
          </cell>
        </row>
        <row r="317">
          <cell r="A317">
            <v>2401</v>
          </cell>
          <cell r="B317" t="str">
            <v>凌陽科技</v>
          </cell>
          <cell r="C317" t="str">
            <v>勤業眾信聯合會計師事務所</v>
          </cell>
          <cell r="D317" t="str">
            <v>林政治</v>
          </cell>
          <cell r="E317" t="str">
            <v>黃樹傑</v>
          </cell>
          <cell r="F317">
            <v>20170315</v>
          </cell>
          <cell r="G317" t="str">
            <v>無保留意見</v>
          </cell>
        </row>
        <row r="318">
          <cell r="A318">
            <v>2402</v>
          </cell>
          <cell r="B318" t="str">
            <v>毅嘉科技</v>
          </cell>
          <cell r="C318" t="str">
            <v>勤業眾信聯合會計師事務所</v>
          </cell>
          <cell r="D318" t="str">
            <v>林宜慧</v>
          </cell>
          <cell r="E318" t="str">
            <v>陳慧銘</v>
          </cell>
          <cell r="F318">
            <v>20170324</v>
          </cell>
          <cell r="G318" t="str">
            <v>無保留意見</v>
          </cell>
        </row>
        <row r="319">
          <cell r="A319">
            <v>2404</v>
          </cell>
          <cell r="B319" t="str">
            <v>漢唐</v>
          </cell>
          <cell r="C319" t="str">
            <v>安侯建業聯合會計師事務所</v>
          </cell>
          <cell r="D319" t="str">
            <v>方燕玲</v>
          </cell>
          <cell r="E319" t="str">
            <v>李慈慧</v>
          </cell>
          <cell r="F319">
            <v>20170328</v>
          </cell>
          <cell r="G319" t="str">
            <v>無保留意見</v>
          </cell>
        </row>
        <row r="320">
          <cell r="A320">
            <v>2405</v>
          </cell>
          <cell r="B320" t="str">
            <v>浩鑫</v>
          </cell>
          <cell r="C320" t="str">
            <v>勤業眾信聯合會計師事務所</v>
          </cell>
          <cell r="D320" t="str">
            <v>黃瑞展</v>
          </cell>
          <cell r="E320" t="str">
            <v>楊承修</v>
          </cell>
          <cell r="F320">
            <v>20170322</v>
          </cell>
          <cell r="G320" t="str">
            <v>無保留意見</v>
          </cell>
        </row>
        <row r="321">
          <cell r="A321">
            <v>2406</v>
          </cell>
          <cell r="B321" t="str">
            <v>國碩科技</v>
          </cell>
          <cell r="C321" t="str">
            <v>安永聯合會計師事務所</v>
          </cell>
          <cell r="D321" t="str">
            <v>涂嘉玲</v>
          </cell>
          <cell r="E321" t="str">
            <v>許新民</v>
          </cell>
          <cell r="F321">
            <v>20170329</v>
          </cell>
          <cell r="G321" t="str">
            <v>無保留意見</v>
          </cell>
        </row>
        <row r="322">
          <cell r="A322">
            <v>2408</v>
          </cell>
          <cell r="B322" t="str">
            <v>南亞科</v>
          </cell>
          <cell r="C322" t="str">
            <v>安侯建業聯合會計師事務所</v>
          </cell>
          <cell r="D322" t="str">
            <v>陳秀蘭</v>
          </cell>
          <cell r="E322" t="str">
            <v>李慈慧</v>
          </cell>
          <cell r="F322">
            <v>20170309</v>
          </cell>
          <cell r="G322" t="str">
            <v>無保留意見</v>
          </cell>
        </row>
        <row r="323">
          <cell r="A323">
            <v>2409</v>
          </cell>
          <cell r="B323" t="str">
            <v>友達</v>
          </cell>
          <cell r="C323" t="str">
            <v>安侯建業聯合會計師事務所</v>
          </cell>
          <cell r="D323" t="str">
            <v>游萬淵</v>
          </cell>
          <cell r="E323" t="str">
            <v>曾渼鈺</v>
          </cell>
          <cell r="F323">
            <v>20170213</v>
          </cell>
          <cell r="G323" t="str">
            <v>無保留意見</v>
          </cell>
        </row>
        <row r="324">
          <cell r="A324">
            <v>2412</v>
          </cell>
          <cell r="B324" t="str">
            <v>中華電</v>
          </cell>
          <cell r="C324" t="str">
            <v>勤業眾信聯合會計師事務所</v>
          </cell>
          <cell r="D324" t="str">
            <v>林鴻鵬</v>
          </cell>
          <cell r="E324" t="str">
            <v>施景彬</v>
          </cell>
          <cell r="F324">
            <v>20170307</v>
          </cell>
          <cell r="G324" t="str">
            <v>無保留意見</v>
          </cell>
        </row>
        <row r="325">
          <cell r="A325">
            <v>2413</v>
          </cell>
          <cell r="B325" t="str">
            <v>環科</v>
          </cell>
          <cell r="C325" t="str">
            <v>安永聯合會計師事務所</v>
          </cell>
          <cell r="D325" t="str">
            <v>涂清淵</v>
          </cell>
          <cell r="E325" t="str">
            <v>嚴文筆</v>
          </cell>
          <cell r="F325">
            <v>20170320</v>
          </cell>
          <cell r="G325" t="str">
            <v>無保留意見</v>
          </cell>
        </row>
        <row r="326">
          <cell r="A326">
            <v>2414</v>
          </cell>
          <cell r="B326" t="str">
            <v>精技電腦</v>
          </cell>
          <cell r="C326" t="str">
            <v>安永聯合會計師事務所</v>
          </cell>
          <cell r="D326" t="str">
            <v>邱琬茹</v>
          </cell>
          <cell r="E326" t="str">
            <v>王彥鈞</v>
          </cell>
          <cell r="F326">
            <v>20170328</v>
          </cell>
          <cell r="G326" t="str">
            <v>無保留意見</v>
          </cell>
        </row>
        <row r="327">
          <cell r="A327">
            <v>2415</v>
          </cell>
          <cell r="B327" t="str">
            <v>錩新</v>
          </cell>
          <cell r="C327" t="str">
            <v>勤業眾信聯合會計師事務所</v>
          </cell>
          <cell r="D327" t="str">
            <v>黃秀椿</v>
          </cell>
          <cell r="E327" t="str">
            <v>陳俊宏</v>
          </cell>
          <cell r="F327">
            <v>20170314</v>
          </cell>
          <cell r="G327" t="str">
            <v>無保留意見</v>
          </cell>
        </row>
        <row r="328">
          <cell r="A328">
            <v>2417</v>
          </cell>
          <cell r="B328" t="str">
            <v>圓剛</v>
          </cell>
          <cell r="C328" t="str">
            <v>勤業眾信聯合會計師事務所</v>
          </cell>
          <cell r="D328" t="str">
            <v>林文欽</v>
          </cell>
          <cell r="E328" t="str">
            <v>戴信維</v>
          </cell>
          <cell r="F328">
            <v>20170322</v>
          </cell>
          <cell r="G328" t="str">
            <v>無保留意見</v>
          </cell>
        </row>
        <row r="329">
          <cell r="A329">
            <v>2419</v>
          </cell>
          <cell r="B329" t="str">
            <v>仲琦</v>
          </cell>
          <cell r="C329" t="str">
            <v>立本台灣聯合會計師事務所</v>
          </cell>
          <cell r="D329" t="str">
            <v>劉克宜</v>
          </cell>
          <cell r="E329" t="str">
            <v>張書成</v>
          </cell>
          <cell r="F329">
            <v>20170321</v>
          </cell>
          <cell r="G329" t="str">
            <v>無保留意見</v>
          </cell>
        </row>
        <row r="330">
          <cell r="A330">
            <v>2420</v>
          </cell>
          <cell r="B330" t="str">
            <v>新巨</v>
          </cell>
          <cell r="C330" t="str">
            <v>安侯建業聯合會計師事務所</v>
          </cell>
          <cell r="D330" t="str">
            <v>林琬琬</v>
          </cell>
          <cell r="E330" t="str">
            <v>楊柳鋒</v>
          </cell>
          <cell r="F330">
            <v>20170324</v>
          </cell>
          <cell r="G330" t="str">
            <v>無保留意見</v>
          </cell>
        </row>
        <row r="331">
          <cell r="A331">
            <v>2421</v>
          </cell>
          <cell r="B331" t="str">
            <v>建準電機</v>
          </cell>
          <cell r="C331" t="str">
            <v>國富浩華聯合會計師事務所</v>
          </cell>
          <cell r="D331" t="str">
            <v>黃鈴雯</v>
          </cell>
          <cell r="E331" t="str">
            <v>蔡淑滿</v>
          </cell>
          <cell r="F331">
            <v>20170317</v>
          </cell>
          <cell r="G331" t="str">
            <v>無保留意見</v>
          </cell>
        </row>
        <row r="332">
          <cell r="A332">
            <v>2423</v>
          </cell>
          <cell r="B332" t="str">
            <v>固緯</v>
          </cell>
          <cell r="C332" t="str">
            <v>安永聯合會計師事務所</v>
          </cell>
          <cell r="D332" t="str">
            <v>蕭翠慧</v>
          </cell>
          <cell r="E332" t="str">
            <v>張志銘</v>
          </cell>
          <cell r="F332">
            <v>20170317</v>
          </cell>
          <cell r="G332" t="str">
            <v>無保留意見</v>
          </cell>
        </row>
        <row r="333">
          <cell r="A333">
            <v>2424</v>
          </cell>
          <cell r="B333" t="str">
            <v>隴華電子</v>
          </cell>
          <cell r="C333" t="str">
            <v>資誠聯合會計師事務所</v>
          </cell>
          <cell r="D333" t="str">
            <v>張淑瓊</v>
          </cell>
          <cell r="E333" t="str">
            <v>林鈞堯</v>
          </cell>
          <cell r="F333">
            <v>20170324</v>
          </cell>
          <cell r="G333" t="str">
            <v>無保留意見</v>
          </cell>
        </row>
        <row r="334">
          <cell r="A334">
            <v>2425</v>
          </cell>
          <cell r="B334" t="str">
            <v>承啟</v>
          </cell>
          <cell r="C334" t="str">
            <v>資誠聯合會計師事務所</v>
          </cell>
          <cell r="D334" t="str">
            <v>吳漢期</v>
          </cell>
          <cell r="E334" t="str">
            <v>徐聖忠</v>
          </cell>
          <cell r="F334">
            <v>20170323</v>
          </cell>
          <cell r="G334" t="str">
            <v>無保留意見</v>
          </cell>
        </row>
        <row r="335">
          <cell r="A335">
            <v>2426</v>
          </cell>
          <cell r="B335" t="str">
            <v>鼎元</v>
          </cell>
          <cell r="C335" t="str">
            <v>勤業眾信聯合會計師事務所</v>
          </cell>
          <cell r="D335" t="str">
            <v>蔡美貞</v>
          </cell>
          <cell r="E335" t="str">
            <v>林政治</v>
          </cell>
          <cell r="F335">
            <v>20170323</v>
          </cell>
          <cell r="G335" t="str">
            <v>無保留意見</v>
          </cell>
        </row>
        <row r="336">
          <cell r="A336">
            <v>2427</v>
          </cell>
          <cell r="B336" t="str">
            <v>三商電腦</v>
          </cell>
          <cell r="C336" t="str">
            <v>立本台灣聯合會計師事務所</v>
          </cell>
          <cell r="D336" t="str">
            <v>張書成</v>
          </cell>
          <cell r="E336" t="str">
            <v>劉克宜</v>
          </cell>
          <cell r="F336">
            <v>20170323</v>
          </cell>
          <cell r="G336" t="str">
            <v>無保留意見</v>
          </cell>
        </row>
        <row r="337">
          <cell r="A337">
            <v>2428</v>
          </cell>
          <cell r="B337" t="str">
            <v>興勤電子</v>
          </cell>
          <cell r="C337" t="str">
            <v>勤業眾信聯合會計師事務所</v>
          </cell>
          <cell r="D337" t="str">
            <v>龔俊吉</v>
          </cell>
          <cell r="E337" t="str">
            <v>陳珍麗</v>
          </cell>
          <cell r="F337">
            <v>20170320</v>
          </cell>
          <cell r="G337" t="str">
            <v>無保留意見</v>
          </cell>
        </row>
        <row r="338">
          <cell r="A338">
            <v>2429</v>
          </cell>
          <cell r="B338" t="str">
            <v>銘旺科</v>
          </cell>
          <cell r="C338" t="str">
            <v>建智聯合會計師事務所</v>
          </cell>
          <cell r="D338" t="str">
            <v>周芳文</v>
          </cell>
          <cell r="E338" t="str">
            <v>陳宇頌</v>
          </cell>
          <cell r="F338">
            <v>20170328</v>
          </cell>
          <cell r="G338" t="str">
            <v>無保留意見</v>
          </cell>
        </row>
        <row r="339">
          <cell r="A339">
            <v>2430</v>
          </cell>
          <cell r="B339" t="str">
            <v>燦坤實業</v>
          </cell>
          <cell r="C339" t="str">
            <v>資誠聯合會計師事務所</v>
          </cell>
          <cell r="D339" t="str">
            <v>張淑瓊</v>
          </cell>
          <cell r="E339" t="str">
            <v>林鈞堯</v>
          </cell>
          <cell r="F339">
            <v>20170310</v>
          </cell>
          <cell r="G339" t="str">
            <v>無保留意見</v>
          </cell>
        </row>
        <row r="340">
          <cell r="A340">
            <v>2431</v>
          </cell>
          <cell r="B340" t="str">
            <v>聯昌電子</v>
          </cell>
          <cell r="C340" t="str">
            <v>資誠聯合會計師事務所</v>
          </cell>
          <cell r="D340" t="str">
            <v>支秉鈞</v>
          </cell>
          <cell r="E340" t="str">
            <v>吳漢期</v>
          </cell>
          <cell r="F340">
            <v>20170324</v>
          </cell>
          <cell r="G340" t="str">
            <v>無保留意見</v>
          </cell>
        </row>
        <row r="341">
          <cell r="A341">
            <v>2433</v>
          </cell>
          <cell r="B341" t="str">
            <v>互盛電</v>
          </cell>
          <cell r="C341" t="str">
            <v>勤業眾信聯合會計師事務所</v>
          </cell>
          <cell r="D341" t="str">
            <v>黃海悅</v>
          </cell>
          <cell r="E341" t="str">
            <v>謝建新</v>
          </cell>
          <cell r="F341">
            <v>20170306</v>
          </cell>
          <cell r="G341" t="str">
            <v>無保留意見</v>
          </cell>
        </row>
        <row r="342">
          <cell r="A342">
            <v>2434</v>
          </cell>
          <cell r="B342" t="str">
            <v>統懋</v>
          </cell>
          <cell r="C342" t="str">
            <v>勤業眾信聯合會計師事務所</v>
          </cell>
          <cell r="D342" t="str">
            <v>王燕景</v>
          </cell>
          <cell r="E342" t="str">
            <v>李季珍</v>
          </cell>
          <cell r="F342">
            <v>20170328</v>
          </cell>
          <cell r="G342" t="str">
            <v>無保留意見</v>
          </cell>
        </row>
        <row r="343">
          <cell r="A343">
            <v>2436</v>
          </cell>
          <cell r="B343" t="str">
            <v>偉詮電</v>
          </cell>
          <cell r="C343" t="str">
            <v>勤業眾信聯合會計師事務所</v>
          </cell>
          <cell r="D343" t="str">
            <v>陳明煇</v>
          </cell>
          <cell r="E343" t="str">
            <v>葉東煇</v>
          </cell>
          <cell r="F343">
            <v>20170324</v>
          </cell>
          <cell r="G343" t="str">
            <v>無保留意見</v>
          </cell>
        </row>
        <row r="344">
          <cell r="A344">
            <v>2437</v>
          </cell>
          <cell r="B344" t="str">
            <v>旺詮</v>
          </cell>
          <cell r="C344" t="str">
            <v>勤業眾信聯合會計師事務所</v>
          </cell>
          <cell r="D344" t="str">
            <v>陳珍麗</v>
          </cell>
          <cell r="E344" t="str">
            <v>江佳玲</v>
          </cell>
          <cell r="F344">
            <v>20170310</v>
          </cell>
          <cell r="G344" t="str">
            <v>無保留意見</v>
          </cell>
        </row>
        <row r="345">
          <cell r="A345">
            <v>2438</v>
          </cell>
          <cell r="B345" t="str">
            <v>翔耀實業</v>
          </cell>
          <cell r="C345" t="str">
            <v>國富浩華聯合會計師事務所</v>
          </cell>
          <cell r="D345" t="str">
            <v>林志隆</v>
          </cell>
          <cell r="E345" t="str">
            <v>邱繼盛</v>
          </cell>
          <cell r="F345">
            <v>20170324</v>
          </cell>
          <cell r="G345" t="str">
            <v>無保留意見</v>
          </cell>
        </row>
        <row r="346">
          <cell r="A346">
            <v>2439</v>
          </cell>
          <cell r="B346" t="str">
            <v>美律</v>
          </cell>
          <cell r="C346" t="str">
            <v>資誠聯合會計師事務所</v>
          </cell>
          <cell r="D346" t="str">
            <v>楊明經</v>
          </cell>
          <cell r="E346" t="str">
            <v>洪淑華</v>
          </cell>
          <cell r="F346">
            <v>20170224</v>
          </cell>
          <cell r="G346" t="str">
            <v>無保留意見</v>
          </cell>
        </row>
        <row r="347">
          <cell r="A347">
            <v>2440</v>
          </cell>
          <cell r="B347" t="str">
            <v>太空梭</v>
          </cell>
          <cell r="C347" t="str">
            <v>誠正聯合會計師事務所</v>
          </cell>
          <cell r="D347" t="str">
            <v>林淑玲</v>
          </cell>
          <cell r="E347" t="str">
            <v>陳昭里</v>
          </cell>
          <cell r="F347">
            <v>20170330</v>
          </cell>
          <cell r="G347" t="str">
            <v>無保留意見</v>
          </cell>
        </row>
        <row r="348">
          <cell r="A348">
            <v>2441</v>
          </cell>
          <cell r="B348" t="str">
            <v>超豐電子</v>
          </cell>
          <cell r="C348" t="str">
            <v>勤業眾信聯合會計師事務所</v>
          </cell>
          <cell r="D348" t="str">
            <v>黃裕峰</v>
          </cell>
          <cell r="E348" t="str">
            <v>方蘇立</v>
          </cell>
          <cell r="F348">
            <v>20170221</v>
          </cell>
          <cell r="G348" t="str">
            <v>無保留意見</v>
          </cell>
        </row>
        <row r="349">
          <cell r="A349">
            <v>2442</v>
          </cell>
          <cell r="B349" t="str">
            <v>新美齊</v>
          </cell>
          <cell r="C349" t="str">
            <v>安侯建業聯合會計師事務所</v>
          </cell>
          <cell r="D349" t="str">
            <v>陳秀蘭</v>
          </cell>
          <cell r="E349" t="str">
            <v>陳蓓琪</v>
          </cell>
          <cell r="F349">
            <v>20170223</v>
          </cell>
          <cell r="G349" t="str">
            <v>無保留意見</v>
          </cell>
        </row>
        <row r="350">
          <cell r="A350">
            <v>2443</v>
          </cell>
          <cell r="B350" t="str">
            <v>新利虹</v>
          </cell>
          <cell r="C350" t="str">
            <v>勤業眾信聯合會計師事務所</v>
          </cell>
          <cell r="D350" t="str">
            <v>蔡美貞</v>
          </cell>
          <cell r="E350" t="str">
            <v>林政治</v>
          </cell>
          <cell r="F350">
            <v>20170314</v>
          </cell>
          <cell r="G350" t="str">
            <v>無保留意見</v>
          </cell>
        </row>
        <row r="351">
          <cell r="A351">
            <v>2444</v>
          </cell>
          <cell r="B351" t="str">
            <v>友旺科技</v>
          </cell>
          <cell r="C351" t="str">
            <v>勤業眾信聯合會計師事務所</v>
          </cell>
          <cell r="D351" t="str">
            <v>陳錦章</v>
          </cell>
          <cell r="E351" t="str">
            <v>陳明煇</v>
          </cell>
          <cell r="F351">
            <v>20170303</v>
          </cell>
          <cell r="G351" t="str">
            <v>無保留意見</v>
          </cell>
        </row>
        <row r="352">
          <cell r="A352">
            <v>2448</v>
          </cell>
          <cell r="B352" t="str">
            <v>晶電</v>
          </cell>
          <cell r="C352" t="str">
            <v>資誠聯合會計師事務所</v>
          </cell>
          <cell r="D352" t="str">
            <v>溫芳郁</v>
          </cell>
          <cell r="E352" t="str">
            <v>鄭雅慧</v>
          </cell>
          <cell r="F352">
            <v>20170316</v>
          </cell>
          <cell r="G352" t="str">
            <v>無保留意見</v>
          </cell>
        </row>
        <row r="353">
          <cell r="A353">
            <v>2449</v>
          </cell>
          <cell r="B353" t="str">
            <v>京元電子</v>
          </cell>
          <cell r="C353" t="str">
            <v>安永聯合會計師事務所</v>
          </cell>
          <cell r="D353" t="str">
            <v>涂嘉玲</v>
          </cell>
          <cell r="E353" t="str">
            <v>王金來</v>
          </cell>
          <cell r="F353">
            <v>20170303</v>
          </cell>
          <cell r="G353" t="str">
            <v>無保留意見</v>
          </cell>
        </row>
        <row r="354">
          <cell r="A354">
            <v>2450</v>
          </cell>
          <cell r="B354" t="str">
            <v>神腦</v>
          </cell>
          <cell r="C354" t="str">
            <v>勤業眾信聯合會計師事務所</v>
          </cell>
          <cell r="D354" t="str">
            <v>廖婉怡</v>
          </cell>
          <cell r="E354" t="str">
            <v>林鴻鵬</v>
          </cell>
          <cell r="F354">
            <v>20170302</v>
          </cell>
          <cell r="G354" t="str">
            <v>無保留意見</v>
          </cell>
        </row>
        <row r="355">
          <cell r="A355">
            <v>2451</v>
          </cell>
          <cell r="B355" t="str">
            <v>創見資訊</v>
          </cell>
          <cell r="C355" t="str">
            <v>資誠聯合會計師事務所</v>
          </cell>
          <cell r="D355" t="str">
            <v>林鈞堯</v>
          </cell>
          <cell r="E355" t="str">
            <v>周建宏</v>
          </cell>
          <cell r="F355">
            <v>20170309</v>
          </cell>
          <cell r="G355" t="str">
            <v>無保留意見</v>
          </cell>
        </row>
        <row r="356">
          <cell r="A356">
            <v>2453</v>
          </cell>
          <cell r="B356" t="str">
            <v>凌群</v>
          </cell>
          <cell r="C356" t="str">
            <v>勤業眾信聯合會計師事務所</v>
          </cell>
          <cell r="D356" t="str">
            <v>林文欽</v>
          </cell>
          <cell r="E356" t="str">
            <v>郭俐雯</v>
          </cell>
          <cell r="F356">
            <v>20170322</v>
          </cell>
          <cell r="G356" t="str">
            <v>無保留意見</v>
          </cell>
        </row>
        <row r="357">
          <cell r="A357">
            <v>2454</v>
          </cell>
          <cell r="B357" t="str">
            <v>聯發科</v>
          </cell>
          <cell r="C357" t="str">
            <v>安永聯合會計師事務所</v>
          </cell>
          <cell r="D357" t="str">
            <v>涂嘉玲</v>
          </cell>
          <cell r="E357" t="str">
            <v>王金來</v>
          </cell>
          <cell r="F357">
            <v>20170322</v>
          </cell>
          <cell r="G357" t="str">
            <v>無保留意見</v>
          </cell>
        </row>
        <row r="358">
          <cell r="A358">
            <v>2455</v>
          </cell>
          <cell r="B358" t="str">
            <v>全新</v>
          </cell>
          <cell r="C358" t="str">
            <v>資誠聯合會計師事務所</v>
          </cell>
          <cell r="D358" t="str">
            <v>周筱姿</v>
          </cell>
          <cell r="E358" t="str">
            <v>李秀玲</v>
          </cell>
          <cell r="F358">
            <v>20170310</v>
          </cell>
          <cell r="G358" t="str">
            <v>無保留意見</v>
          </cell>
        </row>
        <row r="359">
          <cell r="A359">
            <v>2456</v>
          </cell>
          <cell r="B359" t="str">
            <v>奇力新</v>
          </cell>
          <cell r="C359" t="str">
            <v>資誠聯合會計師事務所</v>
          </cell>
          <cell r="D359" t="str">
            <v>葉翠苗</v>
          </cell>
          <cell r="E359" t="str">
            <v>吳郁隆</v>
          </cell>
          <cell r="F359">
            <v>20170303</v>
          </cell>
          <cell r="G359" t="str">
            <v>無保留意見</v>
          </cell>
        </row>
        <row r="360">
          <cell r="A360">
            <v>2457</v>
          </cell>
          <cell r="B360" t="str">
            <v>飛宏科技</v>
          </cell>
          <cell r="C360" t="str">
            <v>勤業眾信聯合會計師事務所</v>
          </cell>
          <cell r="D360" t="str">
            <v>黃毅民</v>
          </cell>
          <cell r="E360" t="str">
            <v>吳恪昌</v>
          </cell>
          <cell r="F360">
            <v>20170316</v>
          </cell>
          <cell r="G360" t="str">
            <v>無保留意見</v>
          </cell>
        </row>
        <row r="361">
          <cell r="A361">
            <v>2458</v>
          </cell>
          <cell r="B361" t="str">
            <v>義隆</v>
          </cell>
          <cell r="C361" t="str">
            <v>安侯建業聯合會計師事務所</v>
          </cell>
          <cell r="D361" t="str">
            <v>周寶蓮 會計師</v>
          </cell>
          <cell r="E361" t="str">
            <v>高渭川 會計師</v>
          </cell>
          <cell r="F361">
            <v>20170310</v>
          </cell>
          <cell r="G361" t="str">
            <v>無保留意見</v>
          </cell>
        </row>
        <row r="362">
          <cell r="A362">
            <v>2459</v>
          </cell>
          <cell r="B362" t="str">
            <v>敦吉</v>
          </cell>
          <cell r="C362" t="str">
            <v>安永聯合會計師事務所</v>
          </cell>
          <cell r="D362" t="str">
            <v>王金來</v>
          </cell>
          <cell r="E362" t="str">
            <v>楊智惠</v>
          </cell>
          <cell r="F362">
            <v>20170313</v>
          </cell>
          <cell r="G362" t="str">
            <v>無保留意見</v>
          </cell>
        </row>
        <row r="363">
          <cell r="A363">
            <v>2460</v>
          </cell>
          <cell r="B363" t="str">
            <v>建通精密</v>
          </cell>
          <cell r="C363" t="str">
            <v>勤業眾信聯合會計師事務所</v>
          </cell>
          <cell r="D363" t="str">
            <v>陳珍麗</v>
          </cell>
          <cell r="E363" t="str">
            <v>吳秋燕</v>
          </cell>
          <cell r="F363">
            <v>20170323</v>
          </cell>
          <cell r="G363" t="str">
            <v>無保留意見</v>
          </cell>
        </row>
        <row r="364">
          <cell r="A364">
            <v>2461</v>
          </cell>
          <cell r="B364" t="str">
            <v>光群雷射</v>
          </cell>
          <cell r="C364" t="str">
            <v>勤業眾信聯合會計師事務所</v>
          </cell>
          <cell r="D364" t="str">
            <v>余鴻賓</v>
          </cell>
          <cell r="E364" t="str">
            <v>吳恪昌</v>
          </cell>
          <cell r="F364">
            <v>20170330</v>
          </cell>
          <cell r="G364" t="str">
            <v>無保留意見</v>
          </cell>
        </row>
        <row r="365">
          <cell r="A365">
            <v>2462</v>
          </cell>
          <cell r="B365" t="str">
            <v>良得電</v>
          </cell>
          <cell r="C365" t="str">
            <v>資誠聯合會計師事務所</v>
          </cell>
          <cell r="D365" t="str">
            <v>周筱姿</v>
          </cell>
          <cell r="E365" t="str">
            <v>李秀玲</v>
          </cell>
          <cell r="F365">
            <v>20170315</v>
          </cell>
          <cell r="G365" t="str">
            <v>無保留意見</v>
          </cell>
        </row>
        <row r="366">
          <cell r="A366">
            <v>2464</v>
          </cell>
          <cell r="B366" t="str">
            <v>盟立</v>
          </cell>
          <cell r="C366" t="str">
            <v>勤業眾信聯合會計師事務所</v>
          </cell>
          <cell r="D366" t="str">
            <v>蔡美貞</v>
          </cell>
          <cell r="E366" t="str">
            <v>陳明煇</v>
          </cell>
          <cell r="F366">
            <v>20170321</v>
          </cell>
          <cell r="G366" t="str">
            <v>無保留意見</v>
          </cell>
        </row>
        <row r="367">
          <cell r="A367">
            <v>2465</v>
          </cell>
          <cell r="B367" t="str">
            <v>麗臺科技</v>
          </cell>
          <cell r="C367" t="str">
            <v>安侯建業聯合會計師事務所</v>
          </cell>
          <cell r="D367" t="str">
            <v>區耀軍</v>
          </cell>
          <cell r="E367" t="str">
            <v>王怡文</v>
          </cell>
          <cell r="F367">
            <v>20170328</v>
          </cell>
          <cell r="G367" t="str">
            <v>無保留意見</v>
          </cell>
        </row>
        <row r="368">
          <cell r="A368">
            <v>2466</v>
          </cell>
          <cell r="B368" t="str">
            <v>冠西電</v>
          </cell>
          <cell r="C368" t="str">
            <v>勤業眾信聯合會計師事務所</v>
          </cell>
          <cell r="D368" t="str">
            <v>葉淑娟</v>
          </cell>
          <cell r="E368" t="str">
            <v>江明南</v>
          </cell>
          <cell r="F368">
            <v>20170328</v>
          </cell>
          <cell r="G368" t="str">
            <v>無保留意見</v>
          </cell>
        </row>
        <row r="369">
          <cell r="A369">
            <v>2467</v>
          </cell>
          <cell r="B369" t="str">
            <v>志聖工業</v>
          </cell>
          <cell r="C369" t="str">
            <v>勤業眾信聯合會計師事務所</v>
          </cell>
          <cell r="D369" t="str">
            <v>林宜慧</v>
          </cell>
          <cell r="E369" t="str">
            <v>李麗凰</v>
          </cell>
          <cell r="F369">
            <v>20170330</v>
          </cell>
          <cell r="G369" t="str">
            <v>無保留意見</v>
          </cell>
        </row>
        <row r="370">
          <cell r="A370">
            <v>2468</v>
          </cell>
          <cell r="B370" t="str">
            <v>華經</v>
          </cell>
          <cell r="C370" t="str">
            <v>勤業眾信聯合會計師事務所</v>
          </cell>
          <cell r="D370" t="str">
            <v>林文欽</v>
          </cell>
          <cell r="E370" t="str">
            <v>郭俐雯</v>
          </cell>
          <cell r="F370">
            <v>20170327</v>
          </cell>
          <cell r="G370" t="str">
            <v>無保留意見</v>
          </cell>
        </row>
        <row r="371">
          <cell r="A371">
            <v>2471</v>
          </cell>
          <cell r="B371" t="str">
            <v>資通</v>
          </cell>
          <cell r="C371" t="str">
            <v>資誠聯合會計師事務所</v>
          </cell>
          <cell r="D371" t="str">
            <v>翁世榮</v>
          </cell>
          <cell r="E371" t="str">
            <v>游淑芬</v>
          </cell>
          <cell r="F371">
            <v>20170329</v>
          </cell>
          <cell r="G371" t="str">
            <v>無保留意見</v>
          </cell>
        </row>
        <row r="372">
          <cell r="A372">
            <v>2472</v>
          </cell>
          <cell r="B372" t="str">
            <v>立隆電子</v>
          </cell>
          <cell r="C372" t="str">
            <v>安永聯合會計師事務所</v>
          </cell>
          <cell r="D372" t="str">
            <v>黃子評</v>
          </cell>
          <cell r="E372" t="str">
            <v>(二余)清淵</v>
          </cell>
          <cell r="F372">
            <v>20170327</v>
          </cell>
          <cell r="G372" t="str">
            <v>無保留意見</v>
          </cell>
        </row>
        <row r="373">
          <cell r="A373">
            <v>2474</v>
          </cell>
          <cell r="B373" t="str">
            <v>可成科技</v>
          </cell>
          <cell r="C373" t="str">
            <v>勤業眾信聯合會計師事務所</v>
          </cell>
          <cell r="D373" t="str">
            <v>廖鴻儒</v>
          </cell>
          <cell r="E373" t="str">
            <v>龔俊吉</v>
          </cell>
          <cell r="F373">
            <v>20170316</v>
          </cell>
          <cell r="G373" t="str">
            <v>無保留意見</v>
          </cell>
        </row>
        <row r="374">
          <cell r="A374">
            <v>2475</v>
          </cell>
          <cell r="B374" t="str">
            <v>華映</v>
          </cell>
          <cell r="C374" t="str">
            <v>安永聯合會計師事務所</v>
          </cell>
          <cell r="D374" t="str">
            <v>張志銘</v>
          </cell>
          <cell r="E374" t="str">
            <v>林素雯</v>
          </cell>
          <cell r="F374">
            <v>20170322</v>
          </cell>
          <cell r="G374" t="str">
            <v>無保留意見</v>
          </cell>
        </row>
        <row r="375">
          <cell r="A375">
            <v>2476</v>
          </cell>
          <cell r="B375" t="str">
            <v>鉅祥</v>
          </cell>
          <cell r="C375" t="str">
            <v>致遠聯合會計師事務所</v>
          </cell>
          <cell r="D375" t="str">
            <v>呂瑞文</v>
          </cell>
          <cell r="E375" t="str">
            <v>曾瑞燕</v>
          </cell>
          <cell r="F375">
            <v>20170317</v>
          </cell>
          <cell r="G375" t="str">
            <v>無保留意見</v>
          </cell>
        </row>
        <row r="376">
          <cell r="A376">
            <v>2477</v>
          </cell>
          <cell r="B376" t="str">
            <v>美隆電</v>
          </cell>
          <cell r="C376" t="str">
            <v>大中國際聯合會計師事務所</v>
          </cell>
          <cell r="D376" t="str">
            <v>張榕枝</v>
          </cell>
          <cell r="E376" t="str">
            <v>李聰明</v>
          </cell>
          <cell r="F376">
            <v>20170315</v>
          </cell>
          <cell r="G376" t="str">
            <v>無保留意見</v>
          </cell>
        </row>
        <row r="377">
          <cell r="A377">
            <v>2478</v>
          </cell>
          <cell r="B377" t="str">
            <v>大毅</v>
          </cell>
          <cell r="C377" t="str">
            <v>致遠聯合會計師事務所</v>
          </cell>
          <cell r="D377" t="str">
            <v>呂瑞文</v>
          </cell>
          <cell r="E377" t="str">
            <v>侯委晉</v>
          </cell>
          <cell r="F377">
            <v>20170316</v>
          </cell>
          <cell r="G377" t="str">
            <v>無保留意見</v>
          </cell>
        </row>
        <row r="378">
          <cell r="A378">
            <v>2480</v>
          </cell>
          <cell r="B378" t="str">
            <v>敦陽科技</v>
          </cell>
          <cell r="C378" t="str">
            <v>安永聯合會計師事務所</v>
          </cell>
          <cell r="D378" t="str">
            <v>黃益輝</v>
          </cell>
          <cell r="E378" t="str">
            <v>涂嘉玲</v>
          </cell>
          <cell r="F378">
            <v>20170220</v>
          </cell>
          <cell r="G378" t="str">
            <v>無保留意見</v>
          </cell>
        </row>
        <row r="379">
          <cell r="A379">
            <v>2481</v>
          </cell>
          <cell r="B379" t="str">
            <v>強茂</v>
          </cell>
          <cell r="C379" t="str">
            <v>安永聯合會計師事務所</v>
          </cell>
          <cell r="D379" t="str">
            <v>李芳文</v>
          </cell>
          <cell r="E379" t="str">
            <v>林鴻光</v>
          </cell>
          <cell r="F379">
            <v>20170323</v>
          </cell>
          <cell r="G379" t="str">
            <v>無保留意見</v>
          </cell>
        </row>
        <row r="380">
          <cell r="A380">
            <v>2482</v>
          </cell>
          <cell r="B380" t="str">
            <v>連宇</v>
          </cell>
          <cell r="C380" t="str">
            <v>安侯建業聯合會計師事務所</v>
          </cell>
          <cell r="D380" t="str">
            <v>唐慈杰</v>
          </cell>
          <cell r="E380" t="str">
            <v>施威銘</v>
          </cell>
          <cell r="F380">
            <v>20170315</v>
          </cell>
          <cell r="G380" t="str">
            <v>無保留意見</v>
          </cell>
        </row>
        <row r="381">
          <cell r="A381">
            <v>2483</v>
          </cell>
          <cell r="B381" t="str">
            <v>百容</v>
          </cell>
          <cell r="C381" t="str">
            <v>勤業眾信聯合會計師事務所</v>
          </cell>
          <cell r="D381" t="str">
            <v>蔣淑菁</v>
          </cell>
          <cell r="E381" t="str">
            <v>成德潤</v>
          </cell>
          <cell r="F381">
            <v>20170314</v>
          </cell>
          <cell r="G381" t="str">
            <v>無保留意見</v>
          </cell>
        </row>
        <row r="382">
          <cell r="A382">
            <v>2484</v>
          </cell>
          <cell r="B382" t="str">
            <v>希華</v>
          </cell>
          <cell r="C382" t="str">
            <v>安 永 聯 合 會 計 師 事 務 所</v>
          </cell>
          <cell r="D382" t="str">
            <v>涂 清 淵</v>
          </cell>
          <cell r="E382" t="str">
            <v>嚴 文 筆</v>
          </cell>
          <cell r="F382">
            <v>20170310</v>
          </cell>
          <cell r="G382" t="str">
            <v>無保留意見</v>
          </cell>
        </row>
        <row r="383">
          <cell r="A383">
            <v>2485</v>
          </cell>
          <cell r="B383" t="str">
            <v>兆赫電子</v>
          </cell>
          <cell r="C383" t="str">
            <v>資誠聯合會計師事務所</v>
          </cell>
          <cell r="D383" t="str">
            <v>葉翠苗</v>
          </cell>
          <cell r="E383" t="str">
            <v>張祚誠</v>
          </cell>
          <cell r="F383">
            <v>20170322</v>
          </cell>
          <cell r="G383" t="str">
            <v>無保留意見</v>
          </cell>
        </row>
        <row r="384">
          <cell r="A384">
            <v>2486</v>
          </cell>
          <cell r="B384" t="str">
            <v>一詮精密</v>
          </cell>
          <cell r="C384" t="str">
            <v>資誠聯合會計師事務所</v>
          </cell>
          <cell r="D384" t="str">
            <v>阮呂曼玉</v>
          </cell>
          <cell r="E384" t="str">
            <v>李運鞭</v>
          </cell>
          <cell r="F384">
            <v>20170308</v>
          </cell>
          <cell r="G384" t="str">
            <v>無保留意見</v>
          </cell>
        </row>
        <row r="385">
          <cell r="A385">
            <v>2488</v>
          </cell>
          <cell r="B385" t="str">
            <v>漢平</v>
          </cell>
          <cell r="C385" t="str">
            <v>資誠聯合會計師事務所</v>
          </cell>
          <cell r="D385" t="str">
            <v>李明憲</v>
          </cell>
          <cell r="E385" t="str">
            <v>林姿妤</v>
          </cell>
          <cell r="F385">
            <v>20170321</v>
          </cell>
          <cell r="G385" t="str">
            <v>無保留意見</v>
          </cell>
        </row>
        <row r="386">
          <cell r="A386">
            <v>2489</v>
          </cell>
          <cell r="B386" t="str">
            <v>瑞軒</v>
          </cell>
          <cell r="C386" t="str">
            <v>資誠聯合會計師事務所</v>
          </cell>
          <cell r="D386" t="str">
            <v>吳漢期</v>
          </cell>
          <cell r="E386" t="str">
            <v>徐永堅</v>
          </cell>
          <cell r="F386">
            <v>20170317</v>
          </cell>
          <cell r="G386" t="str">
            <v>無保留意見</v>
          </cell>
        </row>
        <row r="387">
          <cell r="A387">
            <v>2491</v>
          </cell>
          <cell r="B387" t="str">
            <v>吉祥全</v>
          </cell>
          <cell r="C387" t="str">
            <v>基富聯合會計師事務所</v>
          </cell>
          <cell r="D387" t="str">
            <v>黃世佳</v>
          </cell>
          <cell r="E387" t="str">
            <v>李惠欽</v>
          </cell>
          <cell r="F387">
            <v>20170327</v>
          </cell>
          <cell r="G387" t="str">
            <v>無保留意見</v>
          </cell>
        </row>
        <row r="388">
          <cell r="A388">
            <v>2492</v>
          </cell>
          <cell r="B388" t="str">
            <v>華新科</v>
          </cell>
          <cell r="C388" t="str">
            <v>勤業眾信聯合會計師事務所</v>
          </cell>
          <cell r="D388" t="str">
            <v>邱明玉</v>
          </cell>
          <cell r="E388" t="str">
            <v>吳恪昌</v>
          </cell>
          <cell r="F388">
            <v>20170217</v>
          </cell>
          <cell r="G388" t="str">
            <v>無保留意見</v>
          </cell>
        </row>
        <row r="389">
          <cell r="A389">
            <v>2493</v>
          </cell>
          <cell r="B389" t="str">
            <v>揚博科技</v>
          </cell>
          <cell r="C389" t="str">
            <v>資誠聯合會計師事務所</v>
          </cell>
          <cell r="D389" t="str">
            <v>周筱姿</v>
          </cell>
          <cell r="E389" t="str">
            <v>李秀玲</v>
          </cell>
          <cell r="F389">
            <v>20170322</v>
          </cell>
          <cell r="G389" t="str">
            <v>無保留意見</v>
          </cell>
        </row>
        <row r="390">
          <cell r="A390">
            <v>2495</v>
          </cell>
          <cell r="B390" t="str">
            <v>普安</v>
          </cell>
          <cell r="C390" t="str">
            <v>安侯建業聯合會計師事務所</v>
          </cell>
          <cell r="D390" t="str">
            <v>楊柳鋒</v>
          </cell>
          <cell r="E390" t="str">
            <v>江忠儀</v>
          </cell>
          <cell r="F390">
            <v>20170313</v>
          </cell>
          <cell r="G390" t="str">
            <v>無保留意見</v>
          </cell>
        </row>
        <row r="391">
          <cell r="A391">
            <v>2497</v>
          </cell>
          <cell r="B391" t="str">
            <v>怡利電子</v>
          </cell>
          <cell r="C391" t="str">
            <v>安永聯合會計師事務所</v>
          </cell>
          <cell r="D391" t="str">
            <v>嚴文筆</v>
          </cell>
          <cell r="E391" t="str">
            <v>?清淵</v>
          </cell>
          <cell r="F391">
            <v>20170323</v>
          </cell>
          <cell r="G391" t="str">
            <v>無保留意見</v>
          </cell>
        </row>
        <row r="392">
          <cell r="A392">
            <v>2498</v>
          </cell>
          <cell r="B392" t="str">
            <v>宏達電</v>
          </cell>
          <cell r="C392" t="str">
            <v>勤業眾信聯合會計師事務所</v>
          </cell>
          <cell r="D392" t="str">
            <v>徐文亞</v>
          </cell>
          <cell r="E392" t="str">
            <v>賴冠仲</v>
          </cell>
          <cell r="F392">
            <v>20170306</v>
          </cell>
          <cell r="G392" t="str">
            <v>無保留意見</v>
          </cell>
        </row>
        <row r="393">
          <cell r="A393">
            <v>2499</v>
          </cell>
          <cell r="B393" t="str">
            <v>東貝光電</v>
          </cell>
          <cell r="C393" t="str">
            <v>勤業眾信聯合會計師事務所</v>
          </cell>
          <cell r="D393" t="str">
            <v>林文欽</v>
          </cell>
          <cell r="E393" t="str">
            <v>郭文吉</v>
          </cell>
          <cell r="F393">
            <v>20170324</v>
          </cell>
          <cell r="G393" t="str">
            <v>無保留意見</v>
          </cell>
        </row>
        <row r="394">
          <cell r="A394">
            <v>2501</v>
          </cell>
          <cell r="B394" t="str">
            <v>國建</v>
          </cell>
          <cell r="C394" t="str">
            <v>安永聯合會計師事務所</v>
          </cell>
          <cell r="D394" t="str">
            <v>林麗凰</v>
          </cell>
          <cell r="E394" t="str">
            <v>黃建澤</v>
          </cell>
          <cell r="F394">
            <v>20170322</v>
          </cell>
          <cell r="G394" t="str">
            <v>無保留意見</v>
          </cell>
        </row>
        <row r="395">
          <cell r="A395">
            <v>2504</v>
          </cell>
          <cell r="B395" t="str">
            <v>國產</v>
          </cell>
          <cell r="C395" t="str">
            <v>安永聯合會計師事務所</v>
          </cell>
          <cell r="D395" t="str">
            <v>余倩如</v>
          </cell>
          <cell r="E395" t="str">
            <v>許新民</v>
          </cell>
          <cell r="F395">
            <v>20170323</v>
          </cell>
          <cell r="G395" t="str">
            <v>無保留意見</v>
          </cell>
        </row>
        <row r="396">
          <cell r="A396">
            <v>2505</v>
          </cell>
          <cell r="B396" t="str">
            <v>國揚實業</v>
          </cell>
          <cell r="C396" t="str">
            <v>資信聯合會計師事務所</v>
          </cell>
          <cell r="D396" t="str">
            <v>黃增國</v>
          </cell>
          <cell r="E396" t="str">
            <v>陳榮華</v>
          </cell>
          <cell r="F396">
            <v>20170320</v>
          </cell>
          <cell r="G396" t="str">
            <v>無保留意見</v>
          </cell>
        </row>
        <row r="397">
          <cell r="A397">
            <v>2506</v>
          </cell>
          <cell r="B397" t="str">
            <v>太設</v>
          </cell>
          <cell r="C397" t="str">
            <v>安侯建業聯合會計師事務所</v>
          </cell>
          <cell r="D397" t="str">
            <v>賴麗真</v>
          </cell>
          <cell r="E397" t="str">
            <v>張淑瑩</v>
          </cell>
          <cell r="F397">
            <v>20170327</v>
          </cell>
          <cell r="G397" t="str">
            <v>無保留意見</v>
          </cell>
        </row>
        <row r="398">
          <cell r="A398">
            <v>2509</v>
          </cell>
          <cell r="B398" t="str">
            <v>全坤建</v>
          </cell>
          <cell r="C398" t="str">
            <v>安侯建業聯合會計師事務所</v>
          </cell>
          <cell r="D398" t="str">
            <v>賴麗真</v>
          </cell>
          <cell r="E398" t="str">
            <v>簡蒂暖</v>
          </cell>
          <cell r="F398">
            <v>20170315</v>
          </cell>
          <cell r="G398" t="str">
            <v>無保留意見</v>
          </cell>
        </row>
        <row r="399">
          <cell r="A399">
            <v>2511</v>
          </cell>
          <cell r="B399" t="str">
            <v>太子</v>
          </cell>
          <cell r="C399" t="str">
            <v>資誠聯合會計師事務所</v>
          </cell>
          <cell r="D399" t="str">
            <v>吳建志</v>
          </cell>
          <cell r="E399" t="str">
            <v>林億彰</v>
          </cell>
          <cell r="F399">
            <v>20170322</v>
          </cell>
          <cell r="G399" t="str">
            <v>無保留意見</v>
          </cell>
        </row>
        <row r="400">
          <cell r="A400">
            <v>2514</v>
          </cell>
          <cell r="B400" t="str">
            <v>龍邦國際</v>
          </cell>
          <cell r="C400" t="str">
            <v>安侯建業聯合會計師事務所</v>
          </cell>
          <cell r="D400" t="str">
            <v>張淑瑩</v>
          </cell>
          <cell r="E400" t="str">
            <v>吳美萍</v>
          </cell>
          <cell r="F400">
            <v>20160322</v>
          </cell>
          <cell r="G400" t="str">
            <v>無保留意見</v>
          </cell>
        </row>
        <row r="401">
          <cell r="A401">
            <v>2515</v>
          </cell>
          <cell r="B401" t="str">
            <v>中工</v>
          </cell>
          <cell r="C401" t="str">
            <v>勤業眾信聯合會計師事務所</v>
          </cell>
          <cell r="D401" t="str">
            <v>張敬人</v>
          </cell>
          <cell r="E401" t="str">
            <v>李東峰</v>
          </cell>
          <cell r="F401">
            <v>20170329</v>
          </cell>
          <cell r="G401" t="str">
            <v>無保留意見</v>
          </cell>
        </row>
        <row r="402">
          <cell r="A402">
            <v>2516</v>
          </cell>
          <cell r="B402" t="str">
            <v>新建</v>
          </cell>
          <cell r="C402" t="str">
            <v>安侯建業聯合會計師事務所</v>
          </cell>
          <cell r="D402" t="str">
            <v>馬國柱</v>
          </cell>
          <cell r="E402" t="str">
            <v>池世欽</v>
          </cell>
          <cell r="F402">
            <v>20170321</v>
          </cell>
          <cell r="G402" t="str">
            <v>無保留意見</v>
          </cell>
        </row>
        <row r="403">
          <cell r="A403">
            <v>2520</v>
          </cell>
          <cell r="B403" t="str">
            <v>冠德</v>
          </cell>
          <cell r="C403" t="str">
            <v>安侯建業聯合會計師事務所</v>
          </cell>
          <cell r="D403" t="str">
            <v>簡蒂暖</v>
          </cell>
          <cell r="E403" t="str">
            <v>張淑瑩</v>
          </cell>
          <cell r="F403">
            <v>20170327</v>
          </cell>
          <cell r="G403" t="str">
            <v>無保留意見</v>
          </cell>
        </row>
        <row r="404">
          <cell r="A404">
            <v>2524</v>
          </cell>
          <cell r="B404" t="str">
            <v>京城</v>
          </cell>
          <cell r="C404" t="str">
            <v>調和聯合會計師事務所</v>
          </cell>
          <cell r="D404" t="str">
            <v>莊淑媛</v>
          </cell>
          <cell r="E404" t="str">
            <v>張瑞玲</v>
          </cell>
          <cell r="F404">
            <v>20170324</v>
          </cell>
          <cell r="G404" t="str">
            <v>無保留意見</v>
          </cell>
        </row>
        <row r="405">
          <cell r="A405">
            <v>2527</v>
          </cell>
          <cell r="B405" t="str">
            <v>宏璟</v>
          </cell>
          <cell r="C405" t="str">
            <v>勤業眾信聯合會計師事務所</v>
          </cell>
          <cell r="D405" t="str">
            <v>黃瑞展</v>
          </cell>
          <cell r="E405" t="str">
            <v>楊承修</v>
          </cell>
          <cell r="F405">
            <v>20170330</v>
          </cell>
          <cell r="G405" t="str">
            <v>無保留意見</v>
          </cell>
        </row>
        <row r="406">
          <cell r="A406">
            <v>2528</v>
          </cell>
          <cell r="B406" t="str">
            <v>皇普建設</v>
          </cell>
          <cell r="C406" t="str">
            <v>建鴻聯合會計師事務所</v>
          </cell>
          <cell r="D406" t="str">
            <v>辜錦章</v>
          </cell>
          <cell r="E406" t="str">
            <v>鍾肇峰</v>
          </cell>
          <cell r="F406">
            <v>20170328</v>
          </cell>
          <cell r="G406" t="str">
            <v>無保留意見</v>
          </cell>
        </row>
        <row r="407">
          <cell r="A407">
            <v>2530</v>
          </cell>
          <cell r="B407" t="str">
            <v>華建</v>
          </cell>
          <cell r="C407" t="str">
            <v>調和聯合會計師事務所</v>
          </cell>
          <cell r="D407" t="str">
            <v>郭鎮宇</v>
          </cell>
          <cell r="E407" t="str">
            <v>陳光慧</v>
          </cell>
          <cell r="F407">
            <v>20170309</v>
          </cell>
          <cell r="G407" t="str">
            <v>無保留意見</v>
          </cell>
        </row>
        <row r="408">
          <cell r="A408">
            <v>2534</v>
          </cell>
          <cell r="B408" t="str">
            <v>宏盛</v>
          </cell>
          <cell r="C408" t="str">
            <v>惠眾聯合會計師事務所</v>
          </cell>
          <cell r="D408" t="str">
            <v>項文婷</v>
          </cell>
          <cell r="E408" t="str">
            <v>林欣如</v>
          </cell>
          <cell r="F408">
            <v>20170328</v>
          </cell>
          <cell r="G408" t="str">
            <v>無保留意見</v>
          </cell>
        </row>
        <row r="409">
          <cell r="A409">
            <v>2535</v>
          </cell>
          <cell r="B409" t="str">
            <v>達工</v>
          </cell>
          <cell r="C409" t="str">
            <v>勤業眾信聯合會計師事務所</v>
          </cell>
          <cell r="D409" t="str">
            <v>趙永祥</v>
          </cell>
          <cell r="E409" t="str">
            <v>張清福</v>
          </cell>
          <cell r="F409">
            <v>20170320</v>
          </cell>
          <cell r="G409" t="str">
            <v>無保留意見</v>
          </cell>
        </row>
        <row r="410">
          <cell r="A410">
            <v>2536</v>
          </cell>
          <cell r="B410" t="str">
            <v>宏普建設</v>
          </cell>
          <cell r="C410" t="str">
            <v>安侯建業聯合會計師事務所</v>
          </cell>
          <cell r="D410" t="str">
            <v>王清松</v>
          </cell>
          <cell r="E410" t="str">
            <v>林恒昇</v>
          </cell>
          <cell r="F410">
            <v>20170323</v>
          </cell>
          <cell r="G410" t="str">
            <v>無保留意見</v>
          </cell>
        </row>
        <row r="411">
          <cell r="A411">
            <v>2537</v>
          </cell>
          <cell r="B411" t="str">
            <v>聯上開發</v>
          </cell>
          <cell r="C411" t="str">
            <v>安侯建業聯合會計師事務所</v>
          </cell>
          <cell r="D411" t="str">
            <v>賴麗真</v>
          </cell>
          <cell r="E411" t="str">
            <v>張淑瑩</v>
          </cell>
          <cell r="F411">
            <v>20170329</v>
          </cell>
          <cell r="G411" t="str">
            <v>無保留意見</v>
          </cell>
        </row>
        <row r="412">
          <cell r="A412">
            <v>2538</v>
          </cell>
          <cell r="B412" t="str">
            <v>基泰建設</v>
          </cell>
          <cell r="C412" t="str">
            <v>安永聯合會計師事務所</v>
          </cell>
          <cell r="D412" t="str">
            <v>林素雯</v>
          </cell>
          <cell r="E412" t="str">
            <v>傅文芳</v>
          </cell>
          <cell r="F412">
            <v>20170323</v>
          </cell>
          <cell r="G412" t="str">
            <v>無保留意見</v>
          </cell>
        </row>
        <row r="413">
          <cell r="A413">
            <v>2539</v>
          </cell>
          <cell r="B413" t="str">
            <v>櫻花建設</v>
          </cell>
          <cell r="C413" t="str">
            <v>立本台灣聯合會計師事務所</v>
          </cell>
          <cell r="D413" t="str">
            <v>陶鴻文</v>
          </cell>
          <cell r="E413" t="str">
            <v>王慕凡</v>
          </cell>
          <cell r="F413">
            <v>20170317</v>
          </cell>
          <cell r="G413" t="str">
            <v>無保留意見</v>
          </cell>
        </row>
        <row r="414">
          <cell r="A414">
            <v>2540</v>
          </cell>
          <cell r="B414" t="str">
            <v>愛山林</v>
          </cell>
          <cell r="C414" t="str">
            <v>安侯建業聯合會計師事務所</v>
          </cell>
          <cell r="D414" t="str">
            <v>池世欽</v>
          </cell>
          <cell r="E414" t="str">
            <v>簡蒂暖</v>
          </cell>
          <cell r="F414">
            <v>20170327</v>
          </cell>
          <cell r="G414" t="str">
            <v>無保留意見</v>
          </cell>
        </row>
        <row r="415">
          <cell r="A415">
            <v>2542</v>
          </cell>
          <cell r="B415" t="str">
            <v>興富發</v>
          </cell>
          <cell r="C415" t="str">
            <v>安侯建業聯合會計師事務所</v>
          </cell>
          <cell r="D415" t="str">
            <v>簡蒂暖</v>
          </cell>
          <cell r="E415" t="str">
            <v>曾國禓</v>
          </cell>
          <cell r="F415">
            <v>20170324</v>
          </cell>
          <cell r="G415" t="str">
            <v>無保留意見</v>
          </cell>
        </row>
        <row r="416">
          <cell r="A416">
            <v>2543</v>
          </cell>
          <cell r="B416" t="str">
            <v>皇昌營造</v>
          </cell>
          <cell r="C416" t="str">
            <v>霈昇聯合會計師事務所</v>
          </cell>
          <cell r="D416" t="str">
            <v>吳瑞卿</v>
          </cell>
          <cell r="E416" t="str">
            <v>林育雅</v>
          </cell>
          <cell r="F416">
            <v>20170330</v>
          </cell>
          <cell r="G416" t="str">
            <v>無保留意見</v>
          </cell>
        </row>
        <row r="417">
          <cell r="A417">
            <v>2545</v>
          </cell>
          <cell r="B417" t="str">
            <v>皇翔</v>
          </cell>
          <cell r="C417" t="str">
            <v>安侯建業聯合會計師事務所</v>
          </cell>
          <cell r="D417" t="str">
            <v>簡蒂暖</v>
          </cell>
          <cell r="E417" t="str">
            <v>馬國柱</v>
          </cell>
          <cell r="F417">
            <v>20170323</v>
          </cell>
          <cell r="G417" t="str">
            <v>無保留意見</v>
          </cell>
        </row>
        <row r="418">
          <cell r="A418">
            <v>2546</v>
          </cell>
          <cell r="B418" t="str">
            <v>根基</v>
          </cell>
          <cell r="C418" t="str">
            <v>安侯建業聯合會計師事務所</v>
          </cell>
          <cell r="D418" t="str">
            <v>簡蒂暖</v>
          </cell>
          <cell r="E418" t="str">
            <v>張淑瑩</v>
          </cell>
          <cell r="F418">
            <v>20170327</v>
          </cell>
          <cell r="G418" t="str">
            <v>無保留意見</v>
          </cell>
        </row>
        <row r="419">
          <cell r="A419">
            <v>2547</v>
          </cell>
          <cell r="B419" t="str">
            <v>日勝</v>
          </cell>
          <cell r="C419" t="str">
            <v>勤業眾信聯合會計師事務所</v>
          </cell>
          <cell r="D419" t="str">
            <v>楊清鎮</v>
          </cell>
          <cell r="E419" t="str">
            <v>龔則立</v>
          </cell>
          <cell r="F419">
            <v>20170324</v>
          </cell>
          <cell r="G419" t="str">
            <v>無保留意見</v>
          </cell>
        </row>
        <row r="420">
          <cell r="A420">
            <v>2548</v>
          </cell>
          <cell r="B420" t="str">
            <v>華固建設</v>
          </cell>
          <cell r="C420" t="str">
            <v>資誠聯合會計師事務所</v>
          </cell>
          <cell r="D420" t="str">
            <v>蕭春鴛</v>
          </cell>
          <cell r="E420" t="str">
            <v>王方瑜</v>
          </cell>
          <cell r="F420">
            <v>20170308</v>
          </cell>
          <cell r="G420" t="str">
            <v>無保留意見</v>
          </cell>
        </row>
        <row r="421">
          <cell r="A421">
            <v>2597</v>
          </cell>
          <cell r="B421" t="str">
            <v>潤弘精密</v>
          </cell>
          <cell r="C421" t="str">
            <v>資誠聯合會計師事務所</v>
          </cell>
          <cell r="D421" t="str">
            <v>王照明</v>
          </cell>
          <cell r="E421" t="str">
            <v>張淑瓊</v>
          </cell>
          <cell r="F421">
            <v>20170323</v>
          </cell>
          <cell r="G421" t="str">
            <v>無保留意見</v>
          </cell>
        </row>
        <row r="422">
          <cell r="A422">
            <v>2601</v>
          </cell>
          <cell r="B422" t="str">
            <v>益航</v>
          </cell>
          <cell r="C422" t="str">
            <v>安侯建業聯合會計師事務所</v>
          </cell>
          <cell r="D422" t="str">
            <v>張淑瑩</v>
          </cell>
          <cell r="E422" t="str">
            <v>賴麗真</v>
          </cell>
          <cell r="F422">
            <v>20170328</v>
          </cell>
          <cell r="G422" t="str">
            <v>無保留意見</v>
          </cell>
        </row>
        <row r="423">
          <cell r="A423">
            <v>2603</v>
          </cell>
          <cell r="B423" t="str">
            <v>長榮海運</v>
          </cell>
          <cell r="C423" t="str">
            <v>資誠聯合會計師事務所</v>
          </cell>
          <cell r="D423" t="str">
            <v>賴宗羲</v>
          </cell>
          <cell r="E423" t="str">
            <v>支秉鈞</v>
          </cell>
          <cell r="F423">
            <v>20170330</v>
          </cell>
          <cell r="G423" t="str">
            <v>無保留意見</v>
          </cell>
        </row>
        <row r="424">
          <cell r="A424">
            <v>2605</v>
          </cell>
          <cell r="B424" t="str">
            <v>新興</v>
          </cell>
          <cell r="C424" t="str">
            <v>資誠聯合會計師事務所</v>
          </cell>
          <cell r="D424" t="str">
            <v>翁世榮</v>
          </cell>
          <cell r="E424" t="str">
            <v>王輝賢</v>
          </cell>
          <cell r="F424">
            <v>20170329</v>
          </cell>
          <cell r="G424" t="str">
            <v>無保留意見</v>
          </cell>
        </row>
        <row r="425">
          <cell r="A425">
            <v>2606</v>
          </cell>
          <cell r="B425" t="str">
            <v>裕民</v>
          </cell>
          <cell r="C425" t="str">
            <v>勤業眾信聯合會計師事務所</v>
          </cell>
          <cell r="D425" t="str">
            <v>郭俐雯</v>
          </cell>
          <cell r="E425" t="str">
            <v>施景彬</v>
          </cell>
          <cell r="F425">
            <v>20170306</v>
          </cell>
          <cell r="G425" t="str">
            <v>無保留意見</v>
          </cell>
        </row>
        <row r="426">
          <cell r="A426">
            <v>2607</v>
          </cell>
          <cell r="B426" t="str">
            <v>榮運</v>
          </cell>
          <cell r="C426" t="str">
            <v>資誠聯合會計師事務所</v>
          </cell>
          <cell r="D426" t="str">
            <v>賴宗羲</v>
          </cell>
          <cell r="E426" t="str">
            <v>支秉鈞</v>
          </cell>
          <cell r="F426">
            <v>20170328</v>
          </cell>
          <cell r="G426" t="str">
            <v>無保留意見</v>
          </cell>
        </row>
        <row r="427">
          <cell r="A427">
            <v>2608</v>
          </cell>
          <cell r="B427" t="str">
            <v>嘉里大榮</v>
          </cell>
          <cell r="C427" t="str">
            <v>勤業眾信聯合會計師事務所</v>
          </cell>
          <cell r="D427" t="str">
            <v>吳麗冬</v>
          </cell>
          <cell r="E427" t="str">
            <v>徐文亞</v>
          </cell>
          <cell r="F427">
            <v>20170320</v>
          </cell>
          <cell r="G427" t="str">
            <v>無保留意見</v>
          </cell>
        </row>
        <row r="428">
          <cell r="A428">
            <v>2609</v>
          </cell>
          <cell r="B428" t="str">
            <v>陽明海運</v>
          </cell>
          <cell r="C428" t="str">
            <v>勤業眾信聯合會計師事務所</v>
          </cell>
          <cell r="D428" t="str">
            <v>鄭欽宗</v>
          </cell>
          <cell r="E428" t="str">
            <v>陳清祥</v>
          </cell>
          <cell r="F428">
            <v>20170324</v>
          </cell>
          <cell r="G428" t="str">
            <v>無保留意見</v>
          </cell>
        </row>
        <row r="429">
          <cell r="A429">
            <v>2610</v>
          </cell>
          <cell r="B429" t="str">
            <v>華航</v>
          </cell>
          <cell r="C429" t="str">
            <v>勤業眾信聯合會計師事務所</v>
          </cell>
          <cell r="D429" t="str">
            <v>楊承修</v>
          </cell>
          <cell r="E429" t="str">
            <v>陳麗琦</v>
          </cell>
          <cell r="F429">
            <v>20170330</v>
          </cell>
          <cell r="G429" t="str">
            <v>無保留意見</v>
          </cell>
        </row>
        <row r="430">
          <cell r="A430">
            <v>2611</v>
          </cell>
          <cell r="B430" t="str">
            <v>志信</v>
          </cell>
          <cell r="C430" t="str">
            <v>勤業眾信聯合會計師事務所</v>
          </cell>
          <cell r="D430" t="str">
            <v>李東峰</v>
          </cell>
          <cell r="E430" t="str">
            <v>張敬人</v>
          </cell>
          <cell r="F430">
            <v>20170324</v>
          </cell>
          <cell r="G430" t="str">
            <v>無保留意見</v>
          </cell>
        </row>
        <row r="431">
          <cell r="A431">
            <v>2612</v>
          </cell>
          <cell r="B431" t="str">
            <v>中航</v>
          </cell>
          <cell r="C431" t="str">
            <v>安侯建業聯合會計師事務所</v>
          </cell>
          <cell r="D431" t="str">
            <v>顏幸福</v>
          </cell>
          <cell r="E431" t="str">
            <v>羅瑞蘭</v>
          </cell>
          <cell r="F431">
            <v>20170321</v>
          </cell>
          <cell r="G431" t="str">
            <v>無保留意見</v>
          </cell>
        </row>
        <row r="432">
          <cell r="A432">
            <v>2613</v>
          </cell>
          <cell r="B432" t="str">
            <v>中櫃</v>
          </cell>
          <cell r="C432" t="str">
            <v>資誠聯合會計師事務所</v>
          </cell>
          <cell r="D432" t="str">
            <v>阮呂曼玉</v>
          </cell>
          <cell r="E432" t="str">
            <v>徐聖忠</v>
          </cell>
          <cell r="F432">
            <v>20170323</v>
          </cell>
          <cell r="G432" t="str">
            <v>無保留意見</v>
          </cell>
        </row>
        <row r="433">
          <cell r="A433">
            <v>2614</v>
          </cell>
          <cell r="B433" t="str">
            <v>東森</v>
          </cell>
          <cell r="C433" t="str">
            <v>安侯建業聯合會計師事務所</v>
          </cell>
          <cell r="D433" t="str">
            <v>連淑凌</v>
          </cell>
          <cell r="E433" t="str">
            <v>簡蒂暖</v>
          </cell>
          <cell r="F433">
            <v>20170328</v>
          </cell>
          <cell r="G433" t="str">
            <v>無保留意見</v>
          </cell>
        </row>
        <row r="434">
          <cell r="A434">
            <v>2615</v>
          </cell>
          <cell r="B434" t="str">
            <v>萬海</v>
          </cell>
          <cell r="C434" t="str">
            <v>安侯建業聯合會計師事務所</v>
          </cell>
          <cell r="D434" t="str">
            <v>陳宜君</v>
          </cell>
          <cell r="E434" t="str">
            <v>江忠儀</v>
          </cell>
          <cell r="F434">
            <v>20170316</v>
          </cell>
          <cell r="G434" t="str">
            <v>無保留意見</v>
          </cell>
        </row>
        <row r="435">
          <cell r="A435">
            <v>2616</v>
          </cell>
          <cell r="B435" t="str">
            <v>山隆通運</v>
          </cell>
          <cell r="C435" t="str">
            <v>安侯建業聯合會計師事務所</v>
          </cell>
          <cell r="D435" t="str">
            <v>王怡文</v>
          </cell>
          <cell r="E435" t="str">
            <v>郭冠纓</v>
          </cell>
          <cell r="F435">
            <v>20170329</v>
          </cell>
          <cell r="G435" t="str">
            <v>無保留意見</v>
          </cell>
        </row>
        <row r="436">
          <cell r="A436">
            <v>2617</v>
          </cell>
          <cell r="B436" t="str">
            <v>台航</v>
          </cell>
          <cell r="C436" t="str">
            <v>勤業眾信聯合會計師事務所</v>
          </cell>
          <cell r="D436" t="str">
            <v>翁雅玲</v>
          </cell>
          <cell r="E436" t="str">
            <v>邵志明</v>
          </cell>
          <cell r="F436">
            <v>20170322</v>
          </cell>
          <cell r="G436" t="str">
            <v>無保留意見</v>
          </cell>
        </row>
        <row r="437">
          <cell r="A437">
            <v>2618</v>
          </cell>
          <cell r="B437" t="str">
            <v>長榮航空</v>
          </cell>
          <cell r="C437" t="str">
            <v>安侯建業聯合會計師事務所</v>
          </cell>
          <cell r="D437" t="str">
            <v>陳雅琳</v>
          </cell>
          <cell r="E437" t="str">
            <v>王清松</v>
          </cell>
          <cell r="F437">
            <v>20170329</v>
          </cell>
          <cell r="G437" t="str">
            <v>無保留意見</v>
          </cell>
        </row>
        <row r="438">
          <cell r="A438">
            <v>2633</v>
          </cell>
          <cell r="B438" t="str">
            <v>台灣高鐵</v>
          </cell>
          <cell r="C438" t="str">
            <v>勤業眾信聯合會計師事務所</v>
          </cell>
          <cell r="D438" t="str">
            <v>何瑞軒</v>
          </cell>
          <cell r="E438" t="str">
            <v>賴冠仲</v>
          </cell>
          <cell r="F438">
            <v>20170222</v>
          </cell>
          <cell r="G438" t="str">
            <v>無保留意見</v>
          </cell>
        </row>
        <row r="439">
          <cell r="A439">
            <v>2634</v>
          </cell>
          <cell r="B439" t="str">
            <v>漢翔公司</v>
          </cell>
          <cell r="C439" t="str">
            <v>勤業眾信聯合會計師事務所</v>
          </cell>
          <cell r="D439" t="str">
            <v>曾棟鋆</v>
          </cell>
          <cell r="E439" t="str">
            <v>成德潤</v>
          </cell>
          <cell r="F439">
            <v>20170327</v>
          </cell>
          <cell r="G439" t="str">
            <v>無保留意見</v>
          </cell>
        </row>
        <row r="440">
          <cell r="A440">
            <v>2636</v>
          </cell>
          <cell r="B440" t="str">
            <v>台驊投控</v>
          </cell>
          <cell r="C440" t="str">
            <v>安侯建業聯合會計師事務所</v>
          </cell>
          <cell r="D440" t="str">
            <v>陳蓓琪</v>
          </cell>
          <cell r="E440" t="str">
            <v>林恒昇</v>
          </cell>
          <cell r="F440">
            <v>20170320</v>
          </cell>
          <cell r="G440" t="str">
            <v>無保留意見</v>
          </cell>
        </row>
        <row r="441">
          <cell r="A441">
            <v>2637</v>
          </cell>
          <cell r="B441" t="str">
            <v>慧洋-KY</v>
          </cell>
          <cell r="C441" t="str">
            <v>安永聯合會計師事務所</v>
          </cell>
          <cell r="D441" t="str">
            <v>林麗凰</v>
          </cell>
          <cell r="E441" t="str">
            <v>傅文芳</v>
          </cell>
          <cell r="F441">
            <v>20170324</v>
          </cell>
          <cell r="G441" t="str">
            <v>無保留意見</v>
          </cell>
        </row>
        <row r="442">
          <cell r="A442">
            <v>2642</v>
          </cell>
          <cell r="B442" t="str">
            <v>宅配通</v>
          </cell>
          <cell r="C442" t="str">
            <v>資誠聯合會計師事務所</v>
          </cell>
          <cell r="D442" t="str">
            <v>吳郁隆</v>
          </cell>
          <cell r="E442" t="str">
            <v>支秉鈞</v>
          </cell>
          <cell r="F442">
            <v>20170314</v>
          </cell>
          <cell r="G442" t="str">
            <v>無保留意見</v>
          </cell>
        </row>
        <row r="443">
          <cell r="A443">
            <v>2701</v>
          </cell>
          <cell r="B443" t="str">
            <v>萬企</v>
          </cell>
          <cell r="C443" t="str">
            <v>勤業眾信聯合會計師事務所</v>
          </cell>
          <cell r="D443" t="str">
            <v>鄭旭然</v>
          </cell>
          <cell r="E443" t="str">
            <v>黃瑞展</v>
          </cell>
          <cell r="F443">
            <v>20170316</v>
          </cell>
          <cell r="G443" t="str">
            <v>無保留意見</v>
          </cell>
        </row>
        <row r="444">
          <cell r="A444">
            <v>2702</v>
          </cell>
          <cell r="B444" t="str">
            <v>華園</v>
          </cell>
          <cell r="C444" t="str">
            <v>資誠聯合會計師事務所</v>
          </cell>
          <cell r="D444" t="str">
            <v>吳建志</v>
          </cell>
          <cell r="E444" t="str">
            <v>廖阿甚</v>
          </cell>
          <cell r="F444">
            <v>20170321</v>
          </cell>
          <cell r="G444" t="str">
            <v>無保留意見</v>
          </cell>
        </row>
        <row r="445">
          <cell r="A445">
            <v>2704</v>
          </cell>
          <cell r="B445" t="str">
            <v>國賓</v>
          </cell>
          <cell r="C445" t="str">
            <v>安永聯合會計師事務所</v>
          </cell>
          <cell r="D445" t="str">
            <v>林素雯</v>
          </cell>
          <cell r="E445" t="str">
            <v>林麗凰</v>
          </cell>
          <cell r="F445">
            <v>20170307</v>
          </cell>
          <cell r="G445" t="str">
            <v>無保留意見</v>
          </cell>
        </row>
        <row r="446">
          <cell r="A446">
            <v>2705</v>
          </cell>
          <cell r="B446" t="str">
            <v>六福</v>
          </cell>
          <cell r="C446" t="str">
            <v>安侯建業聯合會計師事務所</v>
          </cell>
          <cell r="D446" t="str">
            <v>郭欣頤</v>
          </cell>
          <cell r="E446" t="str">
            <v>寇惠植</v>
          </cell>
          <cell r="F446">
            <v>20170328</v>
          </cell>
          <cell r="G446" t="str">
            <v>無保留意見</v>
          </cell>
        </row>
        <row r="447">
          <cell r="A447">
            <v>2706</v>
          </cell>
          <cell r="B447" t="str">
            <v>第一店</v>
          </cell>
          <cell r="C447" t="str">
            <v>勤業眾信聯合會計師事務所</v>
          </cell>
          <cell r="D447" t="str">
            <v>陳盈州</v>
          </cell>
          <cell r="E447" t="str">
            <v>黃瑞展</v>
          </cell>
          <cell r="F447">
            <v>20170323</v>
          </cell>
          <cell r="G447" t="str">
            <v>無保留意見</v>
          </cell>
        </row>
        <row r="448">
          <cell r="A448">
            <v>2707</v>
          </cell>
          <cell r="B448" t="str">
            <v>晶華酒店</v>
          </cell>
          <cell r="C448" t="str">
            <v>資誠聯合會計師事務所</v>
          </cell>
          <cell r="D448" t="str">
            <v>賴宗羲</v>
          </cell>
          <cell r="E448" t="str">
            <v>張淑瓊</v>
          </cell>
          <cell r="F448">
            <v>20170320</v>
          </cell>
          <cell r="G448" t="str">
            <v>無保留意見</v>
          </cell>
        </row>
        <row r="449">
          <cell r="A449">
            <v>2712</v>
          </cell>
          <cell r="B449" t="str">
            <v>遠雄來</v>
          </cell>
          <cell r="C449" t="str">
            <v>資誠聯合會計師事務所</v>
          </cell>
          <cell r="D449" t="str">
            <v>王方瑜</v>
          </cell>
          <cell r="E449" t="str">
            <v>林瑟凱</v>
          </cell>
          <cell r="F449">
            <v>20170307</v>
          </cell>
          <cell r="G449" t="str">
            <v>無保留意見</v>
          </cell>
        </row>
        <row r="450">
          <cell r="A450">
            <v>2722</v>
          </cell>
          <cell r="B450" t="str">
            <v>夏都</v>
          </cell>
          <cell r="C450" t="str">
            <v>勤業眾信聯合會計師事務所</v>
          </cell>
          <cell r="D450" t="str">
            <v>王燕景</v>
          </cell>
          <cell r="E450" t="str">
            <v>廖鴻儒</v>
          </cell>
          <cell r="F450">
            <v>20170208</v>
          </cell>
          <cell r="G450" t="str">
            <v>無保留意見</v>
          </cell>
        </row>
        <row r="451">
          <cell r="A451">
            <v>2723</v>
          </cell>
          <cell r="B451" t="str">
            <v>美食-KY</v>
          </cell>
          <cell r="C451" t="str">
            <v>勤業眾信聯合會計師事務所</v>
          </cell>
          <cell r="D451" t="str">
            <v>謝明忠</v>
          </cell>
          <cell r="E451" t="str">
            <v>李麗凰</v>
          </cell>
          <cell r="F451">
            <v>20170302</v>
          </cell>
          <cell r="G451" t="str">
            <v>無保留意見</v>
          </cell>
        </row>
        <row r="452">
          <cell r="A452">
            <v>2727</v>
          </cell>
          <cell r="B452" t="str">
            <v>王品</v>
          </cell>
          <cell r="C452" t="str">
            <v>勤業眾信聯合會計師事務所</v>
          </cell>
          <cell r="D452" t="str">
            <v>謝明忠</v>
          </cell>
          <cell r="E452" t="str">
            <v>翁博仁</v>
          </cell>
          <cell r="F452">
            <v>20170314</v>
          </cell>
          <cell r="G452" t="str">
            <v>無保留意見</v>
          </cell>
        </row>
        <row r="453">
          <cell r="A453">
            <v>2731</v>
          </cell>
          <cell r="B453" t="str">
            <v>雄獅旅遊</v>
          </cell>
          <cell r="C453" t="str">
            <v>勤業眾信聯合會計師事務所</v>
          </cell>
          <cell r="D453" t="str">
            <v>劉水恩</v>
          </cell>
          <cell r="E453" t="str">
            <v>龔則立</v>
          </cell>
          <cell r="F453">
            <v>20170324</v>
          </cell>
          <cell r="G453" t="str">
            <v>無保留意見</v>
          </cell>
        </row>
        <row r="454">
          <cell r="A454">
            <v>2739</v>
          </cell>
          <cell r="B454" t="str">
            <v>寒舍餐旅</v>
          </cell>
          <cell r="C454" t="str">
            <v>資誠聯合會計師事務所</v>
          </cell>
          <cell r="D454" t="str">
            <v>王照明</v>
          </cell>
          <cell r="E454" t="str">
            <v>周建宏</v>
          </cell>
          <cell r="F454">
            <v>20170309</v>
          </cell>
          <cell r="G454" t="str">
            <v>無保留意見</v>
          </cell>
        </row>
        <row r="455">
          <cell r="A455">
            <v>2748</v>
          </cell>
          <cell r="B455" t="str">
            <v>雲品</v>
          </cell>
          <cell r="C455" t="str">
            <v>勤業眾信聯合會計師事務所</v>
          </cell>
          <cell r="D455" t="str">
            <v>邵志明</v>
          </cell>
          <cell r="E455" t="str">
            <v>郭政弘</v>
          </cell>
          <cell r="F455">
            <v>20170309</v>
          </cell>
          <cell r="G455" t="str">
            <v>無保留意見</v>
          </cell>
        </row>
        <row r="456">
          <cell r="A456">
            <v>2801</v>
          </cell>
          <cell r="B456" t="str">
            <v>彰化銀行</v>
          </cell>
          <cell r="C456" t="str">
            <v>勤業眾信聯合會計師事務所</v>
          </cell>
          <cell r="D456" t="str">
            <v>龔則立</v>
          </cell>
          <cell r="E456" t="str">
            <v>劉水恩</v>
          </cell>
          <cell r="F456">
            <v>20170224</v>
          </cell>
          <cell r="G456" t="str">
            <v>無保留意見</v>
          </cell>
        </row>
        <row r="457">
          <cell r="A457">
            <v>2809</v>
          </cell>
          <cell r="B457" t="str">
            <v>京城銀行</v>
          </cell>
          <cell r="C457" t="str">
            <v>安永聯合會計師事務所</v>
          </cell>
          <cell r="D457" t="str">
            <v>胡子仁</v>
          </cell>
          <cell r="E457" t="str">
            <v>張正道</v>
          </cell>
          <cell r="F457">
            <v>20170224</v>
          </cell>
          <cell r="G457" t="str">
            <v>無保留意見</v>
          </cell>
        </row>
        <row r="458">
          <cell r="A458">
            <v>2812</v>
          </cell>
          <cell r="B458" t="str">
            <v>台中銀行</v>
          </cell>
          <cell r="C458" t="str">
            <v>勤業眾信聯合會計師事務所</v>
          </cell>
          <cell r="D458" t="str">
            <v>賴冠仲</v>
          </cell>
          <cell r="E458" t="str">
            <v>徐文亞</v>
          </cell>
          <cell r="F458">
            <v>20170316</v>
          </cell>
          <cell r="G458" t="str">
            <v>無保留意見</v>
          </cell>
        </row>
        <row r="459">
          <cell r="A459">
            <v>2816</v>
          </cell>
          <cell r="B459" t="str">
            <v>旺旺保險</v>
          </cell>
          <cell r="C459" t="str">
            <v>安侯建業聯合會計師事務所</v>
          </cell>
          <cell r="D459" t="str">
            <v>李逢暉</v>
          </cell>
          <cell r="E459" t="str">
            <v>鍾丹丹</v>
          </cell>
          <cell r="F459">
            <v>20170328</v>
          </cell>
          <cell r="G459" t="str">
            <v>無保留意見</v>
          </cell>
        </row>
        <row r="460">
          <cell r="A460">
            <v>2820</v>
          </cell>
          <cell r="B460" t="str">
            <v>華票</v>
          </cell>
          <cell r="C460" t="str">
            <v>勤業眾信聯合會計師事務所</v>
          </cell>
          <cell r="D460" t="str">
            <v>黃瑞展</v>
          </cell>
          <cell r="E460" t="str">
            <v>楊承修</v>
          </cell>
          <cell r="F460">
            <v>20170221</v>
          </cell>
          <cell r="G460" t="str">
            <v>無保留意見</v>
          </cell>
        </row>
        <row r="461">
          <cell r="A461">
            <v>2823</v>
          </cell>
          <cell r="B461" t="str">
            <v>中壽</v>
          </cell>
          <cell r="C461" t="str">
            <v>安永聯合會計師事務所</v>
          </cell>
          <cell r="D461" t="str">
            <v>傅文芳</v>
          </cell>
          <cell r="E461" t="str">
            <v>徐榮煌</v>
          </cell>
          <cell r="F461">
            <v>20170223</v>
          </cell>
          <cell r="G461" t="str">
            <v>無保留意見</v>
          </cell>
        </row>
        <row r="462">
          <cell r="A462">
            <v>2832</v>
          </cell>
          <cell r="B462" t="str">
            <v>台產</v>
          </cell>
          <cell r="C462" t="str">
            <v>勤業眾信聯合會計師事務所</v>
          </cell>
          <cell r="D462" t="str">
            <v>楊承修</v>
          </cell>
          <cell r="E462" t="str">
            <v>鄭旭然</v>
          </cell>
          <cell r="F462">
            <v>20170324</v>
          </cell>
          <cell r="G462" t="str">
            <v>無保留意見</v>
          </cell>
        </row>
        <row r="463">
          <cell r="A463">
            <v>2834</v>
          </cell>
          <cell r="B463" t="str">
            <v>臺灣企銀</v>
          </cell>
          <cell r="C463" t="str">
            <v>安侯建業聯合會計師事務所</v>
          </cell>
          <cell r="D463" t="str">
            <v>鍾丹丹</v>
          </cell>
          <cell r="E463" t="str">
            <v>李逢暉</v>
          </cell>
          <cell r="F463">
            <v>20170322</v>
          </cell>
          <cell r="G463" t="str">
            <v>無保留意見</v>
          </cell>
        </row>
        <row r="464">
          <cell r="A464">
            <v>2836</v>
          </cell>
          <cell r="B464" t="str">
            <v>高銀</v>
          </cell>
          <cell r="C464" t="str">
            <v>國富浩華聯合會計師事務所</v>
          </cell>
          <cell r="D464" t="str">
            <v>謝  仁  耀</v>
          </cell>
          <cell r="E464" t="str">
            <v>蘇  炳  章</v>
          </cell>
          <cell r="F464">
            <v>20170316</v>
          </cell>
          <cell r="G464" t="str">
            <v>無保留意見</v>
          </cell>
        </row>
        <row r="465">
          <cell r="A465">
            <v>2838</v>
          </cell>
          <cell r="B465" t="str">
            <v>聯邦銀行</v>
          </cell>
          <cell r="C465" t="str">
            <v>勤業眾信聯合會計師事務所</v>
          </cell>
          <cell r="D465" t="str">
            <v>鄭旭然</v>
          </cell>
          <cell r="E465" t="str">
            <v>楊承修</v>
          </cell>
          <cell r="F465">
            <v>20170322</v>
          </cell>
          <cell r="G465" t="str">
            <v>無保留意見</v>
          </cell>
        </row>
        <row r="466">
          <cell r="A466">
            <v>2841</v>
          </cell>
          <cell r="B466" t="str">
            <v>台灣土地</v>
          </cell>
          <cell r="C466" t="str">
            <v>資誠聯合會計師事務所</v>
          </cell>
          <cell r="D466" t="str">
            <v>翁世榮</v>
          </cell>
          <cell r="E466" t="str">
            <v>王輝賢</v>
          </cell>
          <cell r="F466">
            <v>20170324</v>
          </cell>
          <cell r="G466" t="str">
            <v>無保留意見</v>
          </cell>
        </row>
        <row r="467">
          <cell r="A467">
            <v>2845</v>
          </cell>
          <cell r="B467" t="str">
            <v>遠東商銀</v>
          </cell>
          <cell r="C467" t="str">
            <v>勤業眾信聯合會計師事務所</v>
          </cell>
          <cell r="D467" t="str">
            <v>吳世宗</v>
          </cell>
          <cell r="E467" t="str">
            <v>楊承修</v>
          </cell>
          <cell r="F467">
            <v>20170321</v>
          </cell>
          <cell r="G467" t="str">
            <v>無保留意見</v>
          </cell>
        </row>
        <row r="468">
          <cell r="A468">
            <v>2849</v>
          </cell>
          <cell r="B468" t="str">
            <v>安泰銀行</v>
          </cell>
          <cell r="C468" t="str">
            <v>安侯建業聯合會計師事務所</v>
          </cell>
          <cell r="D468" t="str">
            <v>陳俊光</v>
          </cell>
          <cell r="E468" t="str">
            <v>李逢暉</v>
          </cell>
          <cell r="F468">
            <v>20170302</v>
          </cell>
          <cell r="G468" t="str">
            <v>無保留意見</v>
          </cell>
        </row>
        <row r="469">
          <cell r="A469">
            <v>2850</v>
          </cell>
          <cell r="B469" t="str">
            <v>新產</v>
          </cell>
          <cell r="C469" t="str">
            <v>安永聯合會計師事務所</v>
          </cell>
          <cell r="D469" t="str">
            <v>傅文芳</v>
          </cell>
          <cell r="E469" t="str">
            <v>張正道</v>
          </cell>
          <cell r="F469">
            <v>20170315</v>
          </cell>
          <cell r="G469" t="str">
            <v>無保留意見</v>
          </cell>
        </row>
        <row r="470">
          <cell r="A470">
            <v>2851</v>
          </cell>
          <cell r="B470" t="str">
            <v>中再保</v>
          </cell>
          <cell r="C470" t="str">
            <v>資誠聯合會計師事務所</v>
          </cell>
          <cell r="D470" t="str">
            <v>陳賢儀</v>
          </cell>
          <cell r="E470" t="str">
            <v>賴宗羲</v>
          </cell>
          <cell r="F470">
            <v>20170322</v>
          </cell>
          <cell r="G470" t="str">
            <v>無保留意見</v>
          </cell>
        </row>
        <row r="471">
          <cell r="A471">
            <v>2852</v>
          </cell>
          <cell r="B471" t="str">
            <v>第一保</v>
          </cell>
          <cell r="C471" t="str">
            <v>勤業眾信聯合會計師事務所</v>
          </cell>
          <cell r="D471" t="str">
            <v>劉永富</v>
          </cell>
          <cell r="E471" t="str">
            <v>廖婉怡</v>
          </cell>
          <cell r="F471">
            <v>20170327</v>
          </cell>
          <cell r="G471" t="str">
            <v>無保留意見</v>
          </cell>
        </row>
        <row r="472">
          <cell r="A472">
            <v>2855</v>
          </cell>
          <cell r="B472" t="str">
            <v>統一證券</v>
          </cell>
          <cell r="C472" t="str">
            <v>資誠聯合會計師事務所</v>
          </cell>
          <cell r="D472" t="str">
            <v>蕭金木</v>
          </cell>
          <cell r="E472" t="str">
            <v>張明輝</v>
          </cell>
          <cell r="F472">
            <v>20170323</v>
          </cell>
          <cell r="G472" t="str">
            <v>無保留意見</v>
          </cell>
        </row>
        <row r="473">
          <cell r="A473">
            <v>2855</v>
          </cell>
          <cell r="B473" t="str">
            <v>統一證券</v>
          </cell>
          <cell r="C473" t="str">
            <v>資誠聯合會計師事務所</v>
          </cell>
          <cell r="D473" t="str">
            <v>蕭金木</v>
          </cell>
          <cell r="E473" t="str">
            <v>張明輝</v>
          </cell>
          <cell r="F473">
            <v>20170323</v>
          </cell>
          <cell r="G473" t="str">
            <v>無保留意見</v>
          </cell>
        </row>
        <row r="474">
          <cell r="A474">
            <v>2856</v>
          </cell>
          <cell r="B474" t="str">
            <v>元富證券</v>
          </cell>
          <cell r="C474" t="str">
            <v>安永聯合會計師事務所</v>
          </cell>
          <cell r="D474" t="str">
            <v>傅 文 芳</v>
          </cell>
          <cell r="E474" t="str">
            <v>黃 建 澤</v>
          </cell>
          <cell r="F474">
            <v>20170222</v>
          </cell>
          <cell r="G474" t="str">
            <v>無保留意見</v>
          </cell>
        </row>
        <row r="475">
          <cell r="A475">
            <v>2856</v>
          </cell>
          <cell r="B475" t="str">
            <v>元富證券</v>
          </cell>
          <cell r="C475" t="str">
            <v>安永聯合會計師事務所</v>
          </cell>
          <cell r="D475" t="str">
            <v>傅 文 芳</v>
          </cell>
          <cell r="E475" t="str">
            <v>黃 建 澤</v>
          </cell>
          <cell r="F475">
            <v>20170222</v>
          </cell>
          <cell r="G475" t="str">
            <v>無保留意見</v>
          </cell>
        </row>
        <row r="476">
          <cell r="A476">
            <v>2867</v>
          </cell>
          <cell r="B476" t="str">
            <v>三商美邦</v>
          </cell>
          <cell r="C476" t="str">
            <v>安侯建業聯合會計師事務所</v>
          </cell>
          <cell r="D476" t="str">
            <v>周寶蓮</v>
          </cell>
          <cell r="E476" t="str">
            <v>高渭川</v>
          </cell>
          <cell r="F476">
            <v>20170321</v>
          </cell>
          <cell r="G476" t="str">
            <v>無保留意見</v>
          </cell>
        </row>
        <row r="477">
          <cell r="A477">
            <v>2880</v>
          </cell>
          <cell r="B477" t="str">
            <v>華南金</v>
          </cell>
          <cell r="C477" t="str">
            <v>勤業眾信聯合會計師事務所</v>
          </cell>
          <cell r="D477" t="str">
            <v>吳怡君</v>
          </cell>
          <cell r="E477" t="str">
            <v>賴冠仲</v>
          </cell>
          <cell r="F477">
            <v>20170327</v>
          </cell>
          <cell r="G477" t="str">
            <v>無保留意見</v>
          </cell>
        </row>
        <row r="478">
          <cell r="A478">
            <v>2881</v>
          </cell>
          <cell r="B478" t="str">
            <v>富邦金</v>
          </cell>
          <cell r="C478" t="str">
            <v>安侯建業聯合會計師事務所</v>
          </cell>
          <cell r="D478" t="str">
            <v>鍾丹丹</v>
          </cell>
          <cell r="E478" t="str">
            <v>于紀隆</v>
          </cell>
          <cell r="F478">
            <v>20170323</v>
          </cell>
          <cell r="G478" t="str">
            <v>無保留意見</v>
          </cell>
        </row>
        <row r="479">
          <cell r="A479">
            <v>2882</v>
          </cell>
          <cell r="B479" t="str">
            <v>國泰金</v>
          </cell>
          <cell r="C479" t="str">
            <v>安永聯合會計師事務所</v>
          </cell>
          <cell r="D479" t="str">
            <v>張正道</v>
          </cell>
          <cell r="E479" t="str">
            <v>王金來</v>
          </cell>
          <cell r="F479">
            <v>20170308</v>
          </cell>
          <cell r="G479" t="str">
            <v>無保留意見</v>
          </cell>
        </row>
        <row r="480">
          <cell r="A480">
            <v>2883</v>
          </cell>
          <cell r="B480" t="str">
            <v>開發金</v>
          </cell>
          <cell r="C480" t="str">
            <v>勤業眾信聯合會計師事務所</v>
          </cell>
          <cell r="D480" t="str">
            <v>吳美慧</v>
          </cell>
          <cell r="E480" t="str">
            <v>郭政弘</v>
          </cell>
          <cell r="F480">
            <v>20170327</v>
          </cell>
          <cell r="G480" t="str">
            <v>無保留意見</v>
          </cell>
        </row>
        <row r="481">
          <cell r="A481">
            <v>2884</v>
          </cell>
          <cell r="B481" t="str">
            <v>玉山金控</v>
          </cell>
          <cell r="C481" t="str">
            <v>勤業眾信聯合會計師事務所</v>
          </cell>
          <cell r="D481" t="str">
            <v>陳盈州</v>
          </cell>
          <cell r="E481" t="str">
            <v>黃瑞展</v>
          </cell>
          <cell r="F481">
            <v>20170306</v>
          </cell>
          <cell r="G481" t="str">
            <v>無保留意見</v>
          </cell>
        </row>
        <row r="482">
          <cell r="A482">
            <v>2885</v>
          </cell>
          <cell r="B482" t="str">
            <v>元大金</v>
          </cell>
          <cell r="C482" t="str">
            <v>資誠聯合會計師事務所</v>
          </cell>
          <cell r="D482" t="str">
            <v>郭柏如</v>
          </cell>
          <cell r="E482" t="str">
            <v>張明輝</v>
          </cell>
          <cell r="F482">
            <v>20170327</v>
          </cell>
          <cell r="G482" t="str">
            <v>無保留意見</v>
          </cell>
        </row>
        <row r="483">
          <cell r="A483">
            <v>2886</v>
          </cell>
          <cell r="B483" t="str">
            <v>兆豐金</v>
          </cell>
          <cell r="C483" t="str">
            <v>資誠聯合會計師事務所</v>
          </cell>
          <cell r="D483" t="str">
            <v>周建宏</v>
          </cell>
          <cell r="E483" t="str">
            <v>黃金澤</v>
          </cell>
          <cell r="F483">
            <v>20170328</v>
          </cell>
          <cell r="G483" t="str">
            <v>無保留意見</v>
          </cell>
        </row>
        <row r="484">
          <cell r="A484">
            <v>2887</v>
          </cell>
          <cell r="B484" t="str">
            <v>台新金控</v>
          </cell>
          <cell r="C484" t="str">
            <v>勤業眾信聯合會計師事務所</v>
          </cell>
          <cell r="D484" t="str">
            <v>龔則立</v>
          </cell>
          <cell r="E484" t="str">
            <v>賴冠仲</v>
          </cell>
          <cell r="F484">
            <v>20170224</v>
          </cell>
          <cell r="G484" t="str">
            <v>無保留意見</v>
          </cell>
        </row>
        <row r="485">
          <cell r="A485">
            <v>2888</v>
          </cell>
          <cell r="B485" t="str">
            <v>新光金</v>
          </cell>
          <cell r="C485" t="str">
            <v>勤業眾信聯合會計師事務所</v>
          </cell>
          <cell r="D485" t="str">
            <v>徐文亞</v>
          </cell>
          <cell r="E485" t="str">
            <v>郭政弘</v>
          </cell>
          <cell r="F485">
            <v>20170224</v>
          </cell>
          <cell r="G485" t="str">
            <v>無保留意見</v>
          </cell>
        </row>
        <row r="486">
          <cell r="A486">
            <v>2889</v>
          </cell>
          <cell r="B486" t="str">
            <v>國票金控</v>
          </cell>
          <cell r="C486" t="str">
            <v>資誠聯合會計師事務所</v>
          </cell>
          <cell r="D486" t="str">
            <v>紀淑梅</v>
          </cell>
          <cell r="E486" t="str">
            <v>陳賢儀</v>
          </cell>
          <cell r="F486">
            <v>20170322</v>
          </cell>
          <cell r="G486" t="str">
            <v>無保留意見</v>
          </cell>
        </row>
        <row r="487">
          <cell r="A487">
            <v>2890</v>
          </cell>
          <cell r="B487" t="str">
            <v>永豐金控</v>
          </cell>
          <cell r="C487" t="str">
            <v>勤業眾信聯合會計師事務所</v>
          </cell>
          <cell r="D487" t="str">
            <v>吳怡君</v>
          </cell>
          <cell r="E487" t="str">
            <v>黃樹傑</v>
          </cell>
          <cell r="F487">
            <v>20170324</v>
          </cell>
          <cell r="G487" t="str">
            <v>無保留意見</v>
          </cell>
        </row>
        <row r="488">
          <cell r="A488">
            <v>2891</v>
          </cell>
          <cell r="B488" t="str">
            <v>中信金</v>
          </cell>
          <cell r="C488" t="str">
            <v>安侯建業聯合會計師事務所</v>
          </cell>
          <cell r="D488" t="str">
            <v>陳俊光</v>
          </cell>
          <cell r="E488" t="str">
            <v>楊柳鋒</v>
          </cell>
          <cell r="F488">
            <v>20170328</v>
          </cell>
          <cell r="G488" t="str">
            <v>無保留意見</v>
          </cell>
        </row>
        <row r="489">
          <cell r="A489">
            <v>2892</v>
          </cell>
          <cell r="B489" t="str">
            <v>第一金控</v>
          </cell>
          <cell r="C489" t="str">
            <v>資誠聯合會計師事務所</v>
          </cell>
          <cell r="D489" t="str">
            <v>黃金澤</v>
          </cell>
          <cell r="E489" t="str">
            <v>賴宗羲</v>
          </cell>
          <cell r="F489">
            <v>20170323</v>
          </cell>
          <cell r="G489" t="str">
            <v>無保留意見</v>
          </cell>
        </row>
        <row r="490">
          <cell r="A490">
            <v>2901</v>
          </cell>
          <cell r="B490" t="str">
            <v>欣欣大眾</v>
          </cell>
          <cell r="C490" t="str">
            <v>正風聯合會計師事務所</v>
          </cell>
          <cell r="D490" t="str">
            <v>周銀來</v>
          </cell>
          <cell r="E490" t="str">
            <v>鄭憲修</v>
          </cell>
          <cell r="F490">
            <v>20170317</v>
          </cell>
          <cell r="G490" t="str">
            <v>無保留意見</v>
          </cell>
        </row>
        <row r="491">
          <cell r="A491">
            <v>2903</v>
          </cell>
          <cell r="B491" t="str">
            <v>遠百</v>
          </cell>
          <cell r="C491" t="str">
            <v>勤業眾信聯合會計師事務所</v>
          </cell>
          <cell r="D491" t="str">
            <v>葉淑娟</v>
          </cell>
          <cell r="E491" t="str">
            <v>洪國田</v>
          </cell>
          <cell r="F491">
            <v>20170324</v>
          </cell>
          <cell r="G491" t="str">
            <v>無保留意見</v>
          </cell>
        </row>
        <row r="492">
          <cell r="A492">
            <v>2904</v>
          </cell>
          <cell r="B492" t="str">
            <v>匯僑</v>
          </cell>
          <cell r="C492" t="str">
            <v>資誠聯合會計師事務所</v>
          </cell>
          <cell r="D492" t="str">
            <v>張淑瓊</v>
          </cell>
          <cell r="E492" t="str">
            <v>翁世榮</v>
          </cell>
          <cell r="F492">
            <v>20170327</v>
          </cell>
          <cell r="G492" t="str">
            <v>無保留意見</v>
          </cell>
        </row>
        <row r="493">
          <cell r="A493">
            <v>2905</v>
          </cell>
          <cell r="B493" t="str">
            <v>三商</v>
          </cell>
          <cell r="C493" t="str">
            <v>立本台灣聯合會計師事務所</v>
          </cell>
          <cell r="D493" t="str">
            <v>劉克宜</v>
          </cell>
          <cell r="E493" t="str">
            <v>許坤錫</v>
          </cell>
          <cell r="F493">
            <v>20170330</v>
          </cell>
          <cell r="G493" t="str">
            <v>無保留意見</v>
          </cell>
        </row>
        <row r="494">
          <cell r="A494">
            <v>2906</v>
          </cell>
          <cell r="B494" t="str">
            <v>高林實</v>
          </cell>
          <cell r="C494" t="str">
            <v>安侯建業聯合會計師事務</v>
          </cell>
          <cell r="D494" t="str">
            <v>陳雅琳</v>
          </cell>
          <cell r="E494" t="str">
            <v>張嘉信</v>
          </cell>
          <cell r="F494">
            <v>20170323</v>
          </cell>
          <cell r="G494" t="str">
            <v>無保留意見</v>
          </cell>
        </row>
        <row r="495">
          <cell r="A495">
            <v>2908</v>
          </cell>
          <cell r="B495" t="str">
            <v>特力</v>
          </cell>
          <cell r="C495" t="str">
            <v>勤業眾信聯合會計師事務所</v>
          </cell>
          <cell r="D495" t="str">
            <v>洪國田</v>
          </cell>
          <cell r="E495" t="str">
            <v>吳恪昌</v>
          </cell>
          <cell r="F495">
            <v>20170324</v>
          </cell>
          <cell r="G495" t="str">
            <v>無保留意見</v>
          </cell>
        </row>
        <row r="496">
          <cell r="A496">
            <v>2910</v>
          </cell>
          <cell r="B496" t="str">
            <v>統領</v>
          </cell>
          <cell r="C496" t="str">
            <v>勤業眾信聯合會計師事務所</v>
          </cell>
          <cell r="D496" t="str">
            <v>邱政俊</v>
          </cell>
          <cell r="E496" t="str">
            <v>郭慈容</v>
          </cell>
          <cell r="F496">
            <v>20170310</v>
          </cell>
          <cell r="G496" t="str">
            <v>無保留意見</v>
          </cell>
        </row>
        <row r="497">
          <cell r="A497">
            <v>2911</v>
          </cell>
          <cell r="B497" t="str">
            <v>麗嬰房</v>
          </cell>
          <cell r="C497" t="str">
            <v>勤業眾信聯合會計師事務所</v>
          </cell>
          <cell r="D497" t="str">
            <v>葉淑娟</v>
          </cell>
          <cell r="E497" t="str">
            <v>施景彬</v>
          </cell>
          <cell r="F497">
            <v>20170323</v>
          </cell>
          <cell r="G497" t="str">
            <v>無保留意見</v>
          </cell>
        </row>
        <row r="498">
          <cell r="A498">
            <v>2912</v>
          </cell>
          <cell r="B498" t="str">
            <v>統一超</v>
          </cell>
          <cell r="C498" t="str">
            <v>資誠聯合會計師事務所</v>
          </cell>
          <cell r="D498" t="str">
            <v>蕭春鴛</v>
          </cell>
          <cell r="E498" t="str">
            <v>周建宏</v>
          </cell>
          <cell r="F498">
            <v>20170222</v>
          </cell>
          <cell r="G498" t="str">
            <v>無保留意見</v>
          </cell>
        </row>
        <row r="499">
          <cell r="A499">
            <v>2913</v>
          </cell>
          <cell r="B499" t="str">
            <v>台灣農林</v>
          </cell>
          <cell r="C499" t="str">
            <v>安永聯合會計師事務所</v>
          </cell>
          <cell r="D499" t="str">
            <v>林麗凰</v>
          </cell>
          <cell r="E499" t="str">
            <v>傅文芳</v>
          </cell>
          <cell r="F499">
            <v>20170323</v>
          </cell>
          <cell r="G499" t="str">
            <v>無保留意見</v>
          </cell>
        </row>
        <row r="500">
          <cell r="A500">
            <v>2915</v>
          </cell>
          <cell r="B500" t="str">
            <v>潤泰全球</v>
          </cell>
          <cell r="C500" t="str">
            <v>勤業眾信聯合會計師事務所</v>
          </cell>
          <cell r="D500" t="str">
            <v>林文欽</v>
          </cell>
          <cell r="E500" t="str">
            <v>戴信維</v>
          </cell>
          <cell r="F500">
            <v>20170324</v>
          </cell>
          <cell r="G500" t="str">
            <v>無保留意見</v>
          </cell>
        </row>
        <row r="501">
          <cell r="A501">
            <v>2923</v>
          </cell>
          <cell r="B501" t="str">
            <v>鼎固-KY</v>
          </cell>
          <cell r="C501" t="str">
            <v>勤業眾信聯合會計師事務所</v>
          </cell>
          <cell r="D501" t="str">
            <v>黃瑞展</v>
          </cell>
          <cell r="E501" t="str">
            <v>陳麗琦</v>
          </cell>
          <cell r="F501">
            <v>20170309</v>
          </cell>
          <cell r="G501" t="str">
            <v>無保留意見</v>
          </cell>
        </row>
        <row r="502">
          <cell r="A502">
            <v>2929</v>
          </cell>
          <cell r="B502" t="str">
            <v>淘帝-KY</v>
          </cell>
          <cell r="C502" t="str">
            <v>勤業眾信聯合會計師事務所</v>
          </cell>
          <cell r="D502" t="str">
            <v>江明南</v>
          </cell>
          <cell r="E502" t="str">
            <v>施景彬</v>
          </cell>
          <cell r="F502">
            <v>20170308</v>
          </cell>
          <cell r="G502" t="str">
            <v>無保留意見</v>
          </cell>
        </row>
        <row r="503">
          <cell r="A503">
            <v>2936</v>
          </cell>
          <cell r="B503" t="str">
            <v>客思達-KY</v>
          </cell>
          <cell r="C503" t="str">
            <v>資誠聯合會計師事務所</v>
          </cell>
          <cell r="D503" t="str">
            <v>曾惠瑾</v>
          </cell>
          <cell r="E503" t="str">
            <v>張志安</v>
          </cell>
          <cell r="F503">
            <v>20170324</v>
          </cell>
          <cell r="G503" t="str">
            <v>無保留意見</v>
          </cell>
        </row>
        <row r="504">
          <cell r="A504">
            <v>3002</v>
          </cell>
          <cell r="B504" t="str">
            <v>歐格電子</v>
          </cell>
          <cell r="C504" t="str">
            <v>勤業眾信聯合會計師事務所</v>
          </cell>
          <cell r="D504" t="str">
            <v>何瑞軒</v>
          </cell>
          <cell r="E504" t="str">
            <v>陳招美</v>
          </cell>
          <cell r="F504">
            <v>20170316</v>
          </cell>
          <cell r="G504" t="str">
            <v>無保留意見</v>
          </cell>
        </row>
        <row r="505">
          <cell r="A505">
            <v>3003</v>
          </cell>
          <cell r="B505" t="str">
            <v>健和興</v>
          </cell>
          <cell r="C505" t="str">
            <v>安永聯合會計師事務所</v>
          </cell>
          <cell r="D505" t="str">
            <v>黃子評</v>
          </cell>
          <cell r="E505" t="str">
            <v>?清淵</v>
          </cell>
          <cell r="F505">
            <v>20170317</v>
          </cell>
          <cell r="G505" t="str">
            <v>無保留意見</v>
          </cell>
        </row>
        <row r="506">
          <cell r="A506">
            <v>3004</v>
          </cell>
          <cell r="B506" t="str">
            <v>豐達科技</v>
          </cell>
          <cell r="C506" t="str">
            <v>資 誠 聯 合 會 計 師 事 務 所</v>
          </cell>
          <cell r="D506" t="str">
            <v>薛守宏</v>
          </cell>
          <cell r="E506" t="str">
            <v>鄭雅慧</v>
          </cell>
          <cell r="F506">
            <v>20170310</v>
          </cell>
          <cell r="G506" t="str">
            <v>無保留意見</v>
          </cell>
        </row>
        <row r="507">
          <cell r="A507">
            <v>3005</v>
          </cell>
          <cell r="B507" t="str">
            <v>神基科技</v>
          </cell>
          <cell r="C507" t="str">
            <v>資誠聯合會計師事務所</v>
          </cell>
          <cell r="D507" t="str">
            <v>溫芳郁</v>
          </cell>
          <cell r="E507" t="str">
            <v>鄭雅慧</v>
          </cell>
          <cell r="F507">
            <v>20170329</v>
          </cell>
          <cell r="G507" t="str">
            <v>無保留意見</v>
          </cell>
        </row>
        <row r="508">
          <cell r="A508">
            <v>3006</v>
          </cell>
          <cell r="B508" t="str">
            <v>晶豪科技</v>
          </cell>
          <cell r="C508" t="str">
            <v>資誠聯合會計師事務所</v>
          </cell>
          <cell r="D508" t="str">
            <v>林玉寬</v>
          </cell>
          <cell r="E508" t="str">
            <v>李典易</v>
          </cell>
          <cell r="F508">
            <v>20170323</v>
          </cell>
          <cell r="G508" t="str">
            <v>無保留意見</v>
          </cell>
        </row>
        <row r="509">
          <cell r="A509">
            <v>3008</v>
          </cell>
          <cell r="B509" t="str">
            <v>大立光</v>
          </cell>
          <cell r="C509" t="str">
            <v>安侯建業聯合會計師事務所</v>
          </cell>
          <cell r="D509" t="str">
            <v>陳君滿</v>
          </cell>
          <cell r="E509" t="str">
            <v>張字信</v>
          </cell>
          <cell r="F509">
            <v>20170220</v>
          </cell>
          <cell r="G509" t="str">
            <v>無保留意見</v>
          </cell>
        </row>
        <row r="510">
          <cell r="A510">
            <v>3010</v>
          </cell>
          <cell r="B510" t="str">
            <v>華立</v>
          </cell>
          <cell r="C510" t="str">
            <v>勤業眾信聯合會計師事務所</v>
          </cell>
          <cell r="D510" t="str">
            <v>陳珍麗</v>
          </cell>
          <cell r="E510" t="str">
            <v>龔俊吉</v>
          </cell>
          <cell r="F510">
            <v>20170322</v>
          </cell>
          <cell r="G510" t="str">
            <v>無保留意見</v>
          </cell>
        </row>
        <row r="511">
          <cell r="A511">
            <v>3011</v>
          </cell>
          <cell r="B511" t="str">
            <v>今皓</v>
          </cell>
          <cell r="C511" t="str">
            <v>勤業眾信聯合會計師事務所</v>
          </cell>
          <cell r="D511" t="str">
            <v>張敬人</v>
          </cell>
          <cell r="E511" t="str">
            <v>李東峰</v>
          </cell>
          <cell r="F511">
            <v>20170223</v>
          </cell>
          <cell r="G511" t="str">
            <v>無保留意見</v>
          </cell>
        </row>
        <row r="512">
          <cell r="A512">
            <v>3013</v>
          </cell>
          <cell r="B512" t="str">
            <v>晟銘電子</v>
          </cell>
          <cell r="C512" t="str">
            <v>安侯建業聯合會計師事務所</v>
          </cell>
          <cell r="D512" t="str">
            <v>顏幸福</v>
          </cell>
          <cell r="E512" t="str">
            <v>郭冠纓</v>
          </cell>
          <cell r="F512">
            <v>20170322</v>
          </cell>
          <cell r="G512" t="str">
            <v>無保留意見</v>
          </cell>
        </row>
        <row r="513">
          <cell r="A513">
            <v>3014</v>
          </cell>
          <cell r="B513" t="str">
            <v>聯陽</v>
          </cell>
          <cell r="C513" t="str">
            <v>安永聯合會計師事務所</v>
          </cell>
          <cell r="D513" t="str">
            <v>邱琬茹</v>
          </cell>
          <cell r="E513" t="str">
            <v>涂嘉玲</v>
          </cell>
          <cell r="F513">
            <v>20170224</v>
          </cell>
          <cell r="G513" t="str">
            <v>無保留意見</v>
          </cell>
        </row>
        <row r="514">
          <cell r="A514">
            <v>3015</v>
          </cell>
          <cell r="B514" t="str">
            <v>全漢</v>
          </cell>
          <cell r="C514" t="str">
            <v>安侯建業聯合會計師事務所</v>
          </cell>
          <cell r="D514" t="str">
            <v>關春修</v>
          </cell>
          <cell r="E514" t="str">
            <v>呂莉莉</v>
          </cell>
          <cell r="F514">
            <v>20170320</v>
          </cell>
          <cell r="G514" t="str">
            <v>無保留意見</v>
          </cell>
        </row>
        <row r="515">
          <cell r="A515">
            <v>3016</v>
          </cell>
          <cell r="B515" t="str">
            <v>嘉晶</v>
          </cell>
          <cell r="C515" t="str">
            <v>資誠聯合會計師事務所</v>
          </cell>
          <cell r="D515" t="str">
            <v>李典易</v>
          </cell>
          <cell r="E515" t="str">
            <v>鄭雅慧</v>
          </cell>
          <cell r="F515">
            <v>20170320</v>
          </cell>
          <cell r="G515" t="str">
            <v>無保留意見</v>
          </cell>
        </row>
        <row r="516">
          <cell r="A516">
            <v>3017</v>
          </cell>
          <cell r="B516" t="str">
            <v>奇鋐科技</v>
          </cell>
          <cell r="C516" t="str">
            <v>安永聯合會計師事務所</v>
          </cell>
          <cell r="D516" t="str">
            <v>李芳文</v>
          </cell>
          <cell r="E516" t="str">
            <v>黃世杰</v>
          </cell>
          <cell r="F516">
            <v>20170322</v>
          </cell>
          <cell r="G516" t="str">
            <v>無保留意見</v>
          </cell>
        </row>
        <row r="517">
          <cell r="A517">
            <v>3018</v>
          </cell>
          <cell r="B517" t="str">
            <v>同開科技</v>
          </cell>
          <cell r="C517" t="str">
            <v>安永聯合會計師事務所</v>
          </cell>
          <cell r="D517" t="str">
            <v>張正道</v>
          </cell>
          <cell r="E517" t="str">
            <v>林素雯</v>
          </cell>
          <cell r="F517">
            <v>20160323</v>
          </cell>
          <cell r="G517" t="str">
            <v>無保留意見</v>
          </cell>
        </row>
        <row r="518">
          <cell r="A518">
            <v>3019</v>
          </cell>
          <cell r="B518" t="str">
            <v>亞洲光學</v>
          </cell>
          <cell r="C518" t="str">
            <v>勤業眾信聯合會計師事務所</v>
          </cell>
          <cell r="D518" t="str">
            <v>蔣淑菁</v>
          </cell>
          <cell r="E518" t="str">
            <v>顏曉芳</v>
          </cell>
          <cell r="F518">
            <v>20170321</v>
          </cell>
          <cell r="G518" t="str">
            <v>無保留意見</v>
          </cell>
        </row>
        <row r="519">
          <cell r="A519">
            <v>3021</v>
          </cell>
          <cell r="B519" t="str">
            <v>鴻名企業</v>
          </cell>
          <cell r="C519" t="str">
            <v>安侯建業聯合會計師事務所</v>
          </cell>
          <cell r="D519" t="str">
            <v>顏幸福</v>
          </cell>
          <cell r="E519" t="str">
            <v>羅瑞蘭</v>
          </cell>
          <cell r="F519">
            <v>20170321</v>
          </cell>
          <cell r="G519" t="str">
            <v>無保留意見</v>
          </cell>
        </row>
        <row r="520">
          <cell r="A520">
            <v>3022</v>
          </cell>
          <cell r="B520" t="str">
            <v>威強電</v>
          </cell>
          <cell r="C520" t="str">
            <v>勤業眾信聯合會計師事務所</v>
          </cell>
          <cell r="D520" t="str">
            <v>林淑婉</v>
          </cell>
          <cell r="E520" t="str">
            <v>許秀明</v>
          </cell>
          <cell r="F520">
            <v>20170327</v>
          </cell>
          <cell r="G520" t="str">
            <v>無保留意見</v>
          </cell>
        </row>
        <row r="521">
          <cell r="A521">
            <v>3023</v>
          </cell>
          <cell r="B521" t="str">
            <v>信邦電子</v>
          </cell>
          <cell r="C521" t="str">
            <v>安永聯合會計師事務所</v>
          </cell>
          <cell r="D521" t="str">
            <v>林鴻光</v>
          </cell>
          <cell r="E521" t="str">
            <v>黃子評</v>
          </cell>
          <cell r="F521">
            <v>20170309</v>
          </cell>
          <cell r="G521" t="str">
            <v>無保留意見</v>
          </cell>
        </row>
        <row r="522">
          <cell r="A522">
            <v>3024</v>
          </cell>
          <cell r="B522" t="str">
            <v>憶聲電子</v>
          </cell>
          <cell r="C522" t="str">
            <v>正風聯合會計師事務所</v>
          </cell>
          <cell r="D522" t="str">
            <v>吳欣亮</v>
          </cell>
          <cell r="E522" t="str">
            <v>彭莉真</v>
          </cell>
          <cell r="F522">
            <v>20170324</v>
          </cell>
          <cell r="G522" t="str">
            <v>無保留意見</v>
          </cell>
        </row>
        <row r="523">
          <cell r="A523">
            <v>3025</v>
          </cell>
          <cell r="B523" t="str">
            <v>星通</v>
          </cell>
          <cell r="C523" t="str">
            <v>勤業眾信聯合會計師事務所</v>
          </cell>
          <cell r="D523" t="str">
            <v>林政治</v>
          </cell>
          <cell r="E523" t="str">
            <v>方蘇立</v>
          </cell>
          <cell r="F523">
            <v>20170321</v>
          </cell>
          <cell r="G523" t="str">
            <v>無保留意見</v>
          </cell>
        </row>
        <row r="524">
          <cell r="A524">
            <v>3026</v>
          </cell>
          <cell r="B524" t="str">
            <v>禾伸堂</v>
          </cell>
          <cell r="C524" t="str">
            <v>安 侯 建 業 聯 合 會 計 師 事 務 所</v>
          </cell>
          <cell r="D524" t="str">
            <v>王清松</v>
          </cell>
          <cell r="E524" t="str">
            <v>陳蓓琪</v>
          </cell>
          <cell r="F524">
            <v>20170315</v>
          </cell>
          <cell r="G524" t="str">
            <v>無保留意見</v>
          </cell>
        </row>
        <row r="525">
          <cell r="A525">
            <v>3027</v>
          </cell>
          <cell r="B525" t="str">
            <v>盛達電業</v>
          </cell>
          <cell r="C525" t="str">
            <v>勤業眾信聯合會計師事務所</v>
          </cell>
          <cell r="D525" t="str">
            <v>劉永富</v>
          </cell>
          <cell r="E525" t="str">
            <v>陳招美</v>
          </cell>
          <cell r="F525">
            <v>20170315</v>
          </cell>
          <cell r="G525" t="str">
            <v>無保留意見</v>
          </cell>
        </row>
        <row r="526">
          <cell r="A526">
            <v>3028</v>
          </cell>
          <cell r="B526" t="str">
            <v>增你強</v>
          </cell>
          <cell r="C526" t="str">
            <v>資誠聯合會計師事務所</v>
          </cell>
          <cell r="D526" t="str">
            <v>杜佩玲</v>
          </cell>
          <cell r="E526" t="str">
            <v>王輝賢</v>
          </cell>
          <cell r="F526">
            <v>20170322</v>
          </cell>
          <cell r="G526" t="str">
            <v>無保留意見</v>
          </cell>
        </row>
        <row r="527">
          <cell r="A527">
            <v>3029</v>
          </cell>
          <cell r="B527" t="str">
            <v>零壹科技</v>
          </cell>
          <cell r="C527" t="str">
            <v>勤業眾信聯合會計師事務所</v>
          </cell>
          <cell r="D527" t="str">
            <v>林文欽</v>
          </cell>
          <cell r="E527" t="str">
            <v>郭俐雯</v>
          </cell>
          <cell r="F527">
            <v>20170224</v>
          </cell>
          <cell r="G527" t="str">
            <v>無保留意見</v>
          </cell>
        </row>
        <row r="528">
          <cell r="A528">
            <v>3030</v>
          </cell>
          <cell r="B528" t="str">
            <v>德律科技</v>
          </cell>
          <cell r="C528" t="str">
            <v>資誠聯合會計師事務所</v>
          </cell>
          <cell r="D528" t="str">
            <v>潘慧玲</v>
          </cell>
          <cell r="E528" t="str">
            <v>廖阿甚</v>
          </cell>
          <cell r="F528">
            <v>20170222</v>
          </cell>
          <cell r="G528" t="str">
            <v>無保留意見</v>
          </cell>
        </row>
        <row r="529">
          <cell r="A529">
            <v>3031</v>
          </cell>
          <cell r="B529" t="str">
            <v>佰鴻工業</v>
          </cell>
          <cell r="C529" t="str">
            <v>安 侯 建 業 聯 合 會 計 師 事 務 所</v>
          </cell>
          <cell r="D529" t="str">
            <v>寇　惠　植</v>
          </cell>
          <cell r="E529" t="str">
            <v>郭　欣　頤</v>
          </cell>
          <cell r="F529">
            <v>20170324</v>
          </cell>
          <cell r="G529" t="str">
            <v>無保留意見</v>
          </cell>
        </row>
        <row r="530">
          <cell r="A530">
            <v>3032</v>
          </cell>
          <cell r="B530" t="str">
            <v>偉訓科技</v>
          </cell>
          <cell r="C530" t="str">
            <v>勤業眾信聯合會計師事務所</v>
          </cell>
          <cell r="D530" t="str">
            <v>李季珍</v>
          </cell>
          <cell r="E530" t="str">
            <v>王燕景</v>
          </cell>
          <cell r="F530">
            <v>20170315</v>
          </cell>
          <cell r="G530" t="str">
            <v>無保留意見</v>
          </cell>
        </row>
        <row r="531">
          <cell r="A531">
            <v>3033</v>
          </cell>
          <cell r="B531" t="str">
            <v>威健</v>
          </cell>
          <cell r="C531" t="str">
            <v>安侯建業聯合會計師事務所</v>
          </cell>
          <cell r="D531" t="str">
            <v>羅瑞蘭</v>
          </cell>
          <cell r="E531" t="str">
            <v>郭冠纓</v>
          </cell>
          <cell r="F531">
            <v>20170322</v>
          </cell>
          <cell r="G531" t="str">
            <v>無保留意見</v>
          </cell>
        </row>
        <row r="532">
          <cell r="A532">
            <v>3034</v>
          </cell>
          <cell r="B532" t="str">
            <v>聯詠</v>
          </cell>
          <cell r="C532" t="str">
            <v>安永聯合會計師事務所</v>
          </cell>
          <cell r="D532" t="str">
            <v>涂嘉玲</v>
          </cell>
          <cell r="E532" t="str">
            <v>郭紹彬</v>
          </cell>
          <cell r="F532">
            <v>20170314</v>
          </cell>
          <cell r="G532" t="str">
            <v>無保留意見</v>
          </cell>
        </row>
        <row r="533">
          <cell r="A533">
            <v>3035</v>
          </cell>
          <cell r="B533" t="str">
            <v>智原</v>
          </cell>
          <cell r="C533" t="str">
            <v>安永聯合會計師事務所</v>
          </cell>
          <cell r="D533" t="str">
            <v>邱琬茹</v>
          </cell>
          <cell r="E533" t="str">
            <v>郭紹彬</v>
          </cell>
          <cell r="F533">
            <v>20170217</v>
          </cell>
          <cell r="G533" t="str">
            <v>無保留意見</v>
          </cell>
        </row>
        <row r="534">
          <cell r="A534">
            <v>3036</v>
          </cell>
          <cell r="B534" t="str">
            <v>文曄科技</v>
          </cell>
          <cell r="C534" t="str">
            <v>資誠聯合會計師事務所</v>
          </cell>
          <cell r="D534" t="str">
            <v>徐永堅</v>
          </cell>
          <cell r="E534" t="str">
            <v>徐聖忠</v>
          </cell>
          <cell r="F534">
            <v>20170324</v>
          </cell>
          <cell r="G534" t="str">
            <v>無保留意見</v>
          </cell>
        </row>
        <row r="535">
          <cell r="A535">
            <v>3037</v>
          </cell>
          <cell r="B535" t="str">
            <v>欣興電子</v>
          </cell>
          <cell r="C535" t="str">
            <v>資誠聯合會計師事務所</v>
          </cell>
          <cell r="D535" t="str">
            <v>吳漢期</v>
          </cell>
          <cell r="E535" t="str">
            <v>王國華</v>
          </cell>
          <cell r="F535">
            <v>20170329</v>
          </cell>
          <cell r="G535" t="str">
            <v>無保留意見</v>
          </cell>
        </row>
        <row r="536">
          <cell r="A536">
            <v>3038</v>
          </cell>
          <cell r="B536" t="str">
            <v>全台</v>
          </cell>
          <cell r="C536" t="str">
            <v>安侯建業聯合會計師事務所</v>
          </cell>
          <cell r="D536" t="str">
            <v>楊博任</v>
          </cell>
          <cell r="E536" t="str">
            <v>陳國宗</v>
          </cell>
          <cell r="F536">
            <v>20170308</v>
          </cell>
          <cell r="G536" t="str">
            <v>無保留意見</v>
          </cell>
        </row>
        <row r="537">
          <cell r="A537">
            <v>3040</v>
          </cell>
          <cell r="B537" t="str">
            <v>遠見</v>
          </cell>
          <cell r="C537" t="str">
            <v>勤業眾信聯合會計師事務所</v>
          </cell>
          <cell r="D537" t="str">
            <v>林文欽</v>
          </cell>
          <cell r="E537" t="str">
            <v>劉建良</v>
          </cell>
          <cell r="F537">
            <v>20170314</v>
          </cell>
          <cell r="G537" t="str">
            <v>無保留意見</v>
          </cell>
        </row>
        <row r="538">
          <cell r="A538">
            <v>3041</v>
          </cell>
          <cell r="B538" t="str">
            <v>揚智</v>
          </cell>
          <cell r="C538" t="str">
            <v>勤業眾信聯合會計師事務所</v>
          </cell>
          <cell r="D538" t="str">
            <v>邱盟捷</v>
          </cell>
          <cell r="E538" t="str">
            <v>柯志賢</v>
          </cell>
          <cell r="F538">
            <v>20170317</v>
          </cell>
          <cell r="G538" t="str">
            <v>無保留意見</v>
          </cell>
        </row>
        <row r="539">
          <cell r="A539">
            <v>3042</v>
          </cell>
          <cell r="B539" t="str">
            <v>晶技</v>
          </cell>
          <cell r="C539" t="str">
            <v>勤業眾信聯合會計師事務所</v>
          </cell>
          <cell r="D539" t="str">
            <v>林宜慧</v>
          </cell>
          <cell r="E539" t="str">
            <v>翁博仁</v>
          </cell>
          <cell r="F539">
            <v>20170330</v>
          </cell>
          <cell r="G539" t="str">
            <v>無保留意見</v>
          </cell>
        </row>
        <row r="540">
          <cell r="A540">
            <v>3044</v>
          </cell>
          <cell r="B540" t="str">
            <v>健鼎科技</v>
          </cell>
          <cell r="C540" t="str">
            <v>勤業眾信聯合會計師事務所</v>
          </cell>
          <cell r="D540" t="str">
            <v>陳重成</v>
          </cell>
          <cell r="E540" t="str">
            <v>張耿禧</v>
          </cell>
          <cell r="F540">
            <v>20170221</v>
          </cell>
          <cell r="G540" t="str">
            <v>無保留意見</v>
          </cell>
        </row>
        <row r="541">
          <cell r="A541">
            <v>3045</v>
          </cell>
          <cell r="B541" t="str">
            <v>台灣大</v>
          </cell>
          <cell r="C541" t="str">
            <v>勤業眾信聯合會計師事務所</v>
          </cell>
          <cell r="D541" t="str">
            <v>郭俐雯</v>
          </cell>
          <cell r="E541" t="str">
            <v>賴冠仲</v>
          </cell>
          <cell r="F541">
            <v>20170125</v>
          </cell>
          <cell r="G541" t="str">
            <v>無保留意見</v>
          </cell>
        </row>
        <row r="542">
          <cell r="A542">
            <v>3046</v>
          </cell>
          <cell r="B542" t="str">
            <v>建碁</v>
          </cell>
          <cell r="C542" t="str">
            <v>安侯建業聯合會計師事務所</v>
          </cell>
          <cell r="D542" t="str">
            <v>陳雅琳</v>
          </cell>
          <cell r="E542" t="str">
            <v>張嘉信</v>
          </cell>
          <cell r="F542">
            <v>20170317</v>
          </cell>
          <cell r="G542" t="str">
            <v>無保留意見</v>
          </cell>
        </row>
        <row r="543">
          <cell r="A543">
            <v>3047</v>
          </cell>
          <cell r="B543" t="str">
            <v>訊舟科技</v>
          </cell>
          <cell r="C543" t="str">
            <v>勤業眾信聯合會計師事務所</v>
          </cell>
          <cell r="D543" t="str">
            <v>龔則立</v>
          </cell>
          <cell r="E543" t="str">
            <v>張敬人</v>
          </cell>
          <cell r="F543">
            <v>20170303</v>
          </cell>
          <cell r="G543" t="str">
            <v>無保留意見</v>
          </cell>
        </row>
        <row r="544">
          <cell r="A544">
            <v>3048</v>
          </cell>
          <cell r="B544" t="str">
            <v>益登</v>
          </cell>
          <cell r="C544" t="str">
            <v>勤業眾信聯合會計師事務所</v>
          </cell>
          <cell r="D544" t="str">
            <v>林安惠</v>
          </cell>
          <cell r="E544" t="str">
            <v>柯志賢</v>
          </cell>
          <cell r="F544">
            <v>20170327</v>
          </cell>
          <cell r="G544" t="str">
            <v>無保留意見</v>
          </cell>
        </row>
        <row r="545">
          <cell r="A545">
            <v>3049</v>
          </cell>
          <cell r="B545" t="str">
            <v>和鑫</v>
          </cell>
          <cell r="C545" t="str">
            <v>資誠聯合會計師事務所</v>
          </cell>
          <cell r="D545" t="str">
            <v>王輝賢</v>
          </cell>
          <cell r="E545" t="str">
            <v>林鈞堯</v>
          </cell>
          <cell r="F545">
            <v>20170314</v>
          </cell>
          <cell r="G545" t="str">
            <v>無保留意見</v>
          </cell>
        </row>
        <row r="546">
          <cell r="A546">
            <v>3050</v>
          </cell>
          <cell r="B546" t="str">
            <v>鈺德科技</v>
          </cell>
          <cell r="C546" t="str">
            <v>安永聯合會計師事務所</v>
          </cell>
          <cell r="D546" t="str">
            <v>洪茂益</v>
          </cell>
          <cell r="E546" t="str">
            <v>張志銘</v>
          </cell>
          <cell r="F546">
            <v>20170321</v>
          </cell>
          <cell r="G546" t="str">
            <v>無保留意見</v>
          </cell>
        </row>
        <row r="547">
          <cell r="A547">
            <v>3051</v>
          </cell>
          <cell r="B547" t="str">
            <v>力特光電</v>
          </cell>
          <cell r="C547" t="str">
            <v>正風聯合會計師事務所</v>
          </cell>
          <cell r="D547" t="str">
            <v>賴永吉</v>
          </cell>
          <cell r="E547" t="str">
            <v>彭莉真</v>
          </cell>
          <cell r="F547">
            <v>20170323</v>
          </cell>
          <cell r="G547" t="str">
            <v>無保留意見</v>
          </cell>
        </row>
        <row r="548">
          <cell r="A548">
            <v>3052</v>
          </cell>
          <cell r="B548" t="str">
            <v>夆典</v>
          </cell>
          <cell r="C548" t="str">
            <v>資誠聯合會計師事務所</v>
          </cell>
          <cell r="D548" t="str">
            <v>翁世榮</v>
          </cell>
          <cell r="E548" t="str">
            <v>王輝賢</v>
          </cell>
          <cell r="F548">
            <v>20170324</v>
          </cell>
          <cell r="G548" t="str">
            <v>無保留意見</v>
          </cell>
        </row>
        <row r="549">
          <cell r="A549">
            <v>3054</v>
          </cell>
          <cell r="B549" t="str">
            <v>立萬利</v>
          </cell>
          <cell r="C549" t="str">
            <v>資誠聯合會計師事務所</v>
          </cell>
          <cell r="D549" t="str">
            <v>吳郁隆</v>
          </cell>
          <cell r="E549" t="str">
            <v>黃世鈞</v>
          </cell>
          <cell r="F549">
            <v>20170309</v>
          </cell>
          <cell r="G549" t="str">
            <v>無保留意見</v>
          </cell>
        </row>
        <row r="550">
          <cell r="A550">
            <v>3055</v>
          </cell>
          <cell r="B550" t="str">
            <v>蔚華科技</v>
          </cell>
          <cell r="C550" t="str">
            <v>資誠聯合會計師事務所</v>
          </cell>
          <cell r="D550" t="str">
            <v>曾國華</v>
          </cell>
          <cell r="E550" t="str">
            <v>王偉臣</v>
          </cell>
          <cell r="F550">
            <v>20170329</v>
          </cell>
          <cell r="G550" t="str">
            <v>無保留意見</v>
          </cell>
        </row>
        <row r="551">
          <cell r="A551">
            <v>3056</v>
          </cell>
          <cell r="B551" t="str">
            <v>總太地產</v>
          </cell>
          <cell r="C551" t="str">
            <v>勤業眾信聯合會計師事務所</v>
          </cell>
          <cell r="D551" t="str">
            <v>顏曉芳</v>
          </cell>
          <cell r="E551" t="str">
            <v>曾棟鋆</v>
          </cell>
          <cell r="F551">
            <v>20170324</v>
          </cell>
          <cell r="G551" t="str">
            <v>無保留意見</v>
          </cell>
        </row>
        <row r="552">
          <cell r="A552">
            <v>3057</v>
          </cell>
          <cell r="B552" t="str">
            <v>喬鼎資訊</v>
          </cell>
          <cell r="C552" t="str">
            <v>勤業眾信聯合會計師事務所</v>
          </cell>
          <cell r="D552" t="str">
            <v>葉東煇</v>
          </cell>
          <cell r="E552" t="str">
            <v>陳明煇</v>
          </cell>
          <cell r="F552">
            <v>20170322</v>
          </cell>
          <cell r="G552" t="str">
            <v>無保留意見</v>
          </cell>
        </row>
        <row r="553">
          <cell r="A553">
            <v>3058</v>
          </cell>
          <cell r="B553" t="str">
            <v>立德電子</v>
          </cell>
          <cell r="C553" t="str">
            <v>安侯建業聯合會計師事務所</v>
          </cell>
          <cell r="D553" t="str">
            <v>郭欣頤</v>
          </cell>
          <cell r="E553" t="str">
            <v>黃柏淑</v>
          </cell>
          <cell r="F553">
            <v>20170323</v>
          </cell>
          <cell r="G553" t="str">
            <v>無保留意見</v>
          </cell>
        </row>
        <row r="554">
          <cell r="A554">
            <v>3059</v>
          </cell>
          <cell r="B554" t="str">
            <v>華晶科技</v>
          </cell>
          <cell r="C554" t="str">
            <v>資誠聯合會計師事務所</v>
          </cell>
          <cell r="D554" t="str">
            <v>李典易</v>
          </cell>
          <cell r="E554" t="str">
            <v>林玉寬</v>
          </cell>
          <cell r="F554">
            <v>20170327</v>
          </cell>
          <cell r="G554" t="str">
            <v>無保留意見</v>
          </cell>
        </row>
        <row r="555">
          <cell r="A555">
            <v>3060</v>
          </cell>
          <cell r="B555" t="str">
            <v>銘異</v>
          </cell>
          <cell r="C555" t="str">
            <v>安侯建業聯合會計師事務所</v>
          </cell>
          <cell r="D555" t="str">
            <v>吳美萍</v>
          </cell>
          <cell r="E555" t="str">
            <v>黃泳華</v>
          </cell>
          <cell r="F555">
            <v>20170320</v>
          </cell>
          <cell r="G555" t="str">
            <v>無保留意見</v>
          </cell>
        </row>
        <row r="556">
          <cell r="A556">
            <v>3062</v>
          </cell>
          <cell r="B556" t="str">
            <v>建漢科技</v>
          </cell>
          <cell r="C556" t="str">
            <v>資誠聯合會計師事務所</v>
          </cell>
          <cell r="D556" t="str">
            <v>徐聖忠</v>
          </cell>
          <cell r="E556" t="str">
            <v>吳漢期</v>
          </cell>
          <cell r="F556">
            <v>20170329</v>
          </cell>
          <cell r="G556" t="str">
            <v>無保留意見</v>
          </cell>
        </row>
        <row r="557">
          <cell r="A557">
            <v>3090</v>
          </cell>
          <cell r="B557" t="str">
            <v>日電貿</v>
          </cell>
          <cell r="C557" t="str">
            <v>勤業眾信聯合會計師事務所</v>
          </cell>
          <cell r="D557" t="str">
            <v>葉淑娟</v>
          </cell>
          <cell r="E557" t="str">
            <v>江明南</v>
          </cell>
          <cell r="F557">
            <v>20170323</v>
          </cell>
          <cell r="G557" t="str">
            <v>無保留意見</v>
          </cell>
        </row>
        <row r="558">
          <cell r="A558">
            <v>3094</v>
          </cell>
          <cell r="B558" t="str">
            <v>聯傑國際</v>
          </cell>
          <cell r="C558" t="str">
            <v>資誠聯合會計師事務所</v>
          </cell>
          <cell r="D558" t="str">
            <v>蕭金木</v>
          </cell>
          <cell r="E558" t="str">
            <v>蕭春鴛</v>
          </cell>
          <cell r="F558">
            <v>20170224</v>
          </cell>
          <cell r="G558" t="str">
            <v>無保留意見</v>
          </cell>
        </row>
        <row r="559">
          <cell r="A559">
            <v>3130</v>
          </cell>
          <cell r="B559" t="str">
            <v>一零四</v>
          </cell>
          <cell r="C559" t="str">
            <v>安侯建業聯合會計師事務所</v>
          </cell>
          <cell r="D559" t="str">
            <v>關春修</v>
          </cell>
          <cell r="E559" t="str">
            <v>呂莉莉</v>
          </cell>
          <cell r="F559">
            <v>20170316</v>
          </cell>
          <cell r="G559" t="str">
            <v>無保留意見</v>
          </cell>
        </row>
        <row r="560">
          <cell r="A560">
            <v>3149</v>
          </cell>
          <cell r="B560" t="str">
            <v>正達國際</v>
          </cell>
          <cell r="C560" t="str">
            <v>安侯建業聯合會計師事務所</v>
          </cell>
          <cell r="D560" t="str">
            <v>池世欽</v>
          </cell>
          <cell r="E560" t="str">
            <v>張淑瑩</v>
          </cell>
          <cell r="F560">
            <v>19280327</v>
          </cell>
          <cell r="G560" t="str">
            <v>無保留意見</v>
          </cell>
        </row>
        <row r="561">
          <cell r="A561">
            <v>3164</v>
          </cell>
          <cell r="B561" t="str">
            <v>景岳生技</v>
          </cell>
          <cell r="C561" t="str">
            <v>資誠聯合會計師事務所</v>
          </cell>
          <cell r="D561" t="str">
            <v>林姿妤</v>
          </cell>
          <cell r="E561" t="str">
            <v>林永智</v>
          </cell>
          <cell r="F561">
            <v>20170328</v>
          </cell>
          <cell r="G561" t="str">
            <v>無保留意見</v>
          </cell>
        </row>
        <row r="562">
          <cell r="A562">
            <v>3167</v>
          </cell>
          <cell r="B562" t="str">
            <v>大量科技</v>
          </cell>
          <cell r="C562" t="str">
            <v>安永聯合會計師事務所</v>
          </cell>
          <cell r="D562" t="str">
            <v>洪茂益</v>
          </cell>
          <cell r="E562" t="str">
            <v>張志銘</v>
          </cell>
          <cell r="F562">
            <v>20161231</v>
          </cell>
          <cell r="G562" t="str">
            <v>無保留意見</v>
          </cell>
        </row>
        <row r="563">
          <cell r="A563">
            <v>3189</v>
          </cell>
          <cell r="B563" t="str">
            <v>景碩科技</v>
          </cell>
          <cell r="C563" t="str">
            <v>安永聯合會計師事務所</v>
          </cell>
          <cell r="D563" t="str">
            <v>黃益輝</v>
          </cell>
          <cell r="E563" t="str">
            <v>張志銘</v>
          </cell>
          <cell r="F563">
            <v>20170208</v>
          </cell>
          <cell r="G563" t="str">
            <v>無保留意見</v>
          </cell>
        </row>
        <row r="564">
          <cell r="A564">
            <v>3209</v>
          </cell>
          <cell r="B564" t="str">
            <v>全科</v>
          </cell>
          <cell r="C564" t="str">
            <v>勤業眾信聯合會計師事務所</v>
          </cell>
          <cell r="D564" t="str">
            <v>蔡振財</v>
          </cell>
          <cell r="E564" t="str">
            <v>鄭欽宗</v>
          </cell>
          <cell r="F564">
            <v>20170310</v>
          </cell>
          <cell r="G564" t="str">
            <v>無保留意見</v>
          </cell>
        </row>
        <row r="565">
          <cell r="A565">
            <v>3229</v>
          </cell>
          <cell r="B565" t="str">
            <v>晟鈦</v>
          </cell>
          <cell r="C565" t="str">
            <v>安侯建業聯合會計師事務所</v>
          </cell>
          <cell r="D565" t="str">
            <v>李枋儀</v>
          </cell>
          <cell r="E565" t="str">
            <v>梅元貞</v>
          </cell>
          <cell r="F565">
            <v>20160328</v>
          </cell>
          <cell r="G565" t="str">
            <v>無保留意見</v>
          </cell>
        </row>
        <row r="566">
          <cell r="A566">
            <v>3231</v>
          </cell>
          <cell r="B566" t="str">
            <v>緯創</v>
          </cell>
          <cell r="C566" t="str">
            <v>安侯建業聯合會計師事務所</v>
          </cell>
          <cell r="D566" t="str">
            <v>陳雅琳</v>
          </cell>
          <cell r="E566" t="str">
            <v>呂莉莉</v>
          </cell>
          <cell r="F566">
            <v>20170320</v>
          </cell>
          <cell r="G566" t="str">
            <v>無保留意見</v>
          </cell>
        </row>
        <row r="567">
          <cell r="A567">
            <v>3257</v>
          </cell>
          <cell r="B567" t="str">
            <v>虹冠電</v>
          </cell>
          <cell r="C567" t="str">
            <v>勤業眾信聯合會計師事務所</v>
          </cell>
          <cell r="D567" t="str">
            <v>陳明煇</v>
          </cell>
          <cell r="E567" t="str">
            <v>葉東煇</v>
          </cell>
          <cell r="F567">
            <v>20170215</v>
          </cell>
          <cell r="G567" t="str">
            <v>無保留意見</v>
          </cell>
        </row>
        <row r="568">
          <cell r="A568">
            <v>3266</v>
          </cell>
          <cell r="B568" t="str">
            <v>昇陽建設</v>
          </cell>
          <cell r="C568" t="str">
            <v>安侯建業聯合會計師事務所</v>
          </cell>
          <cell r="D568" t="str">
            <v>曾國禓</v>
          </cell>
          <cell r="E568" t="str">
            <v>池世欽</v>
          </cell>
          <cell r="F568">
            <v>20170321</v>
          </cell>
          <cell r="G568" t="str">
            <v>無保留意見</v>
          </cell>
        </row>
        <row r="569">
          <cell r="A569">
            <v>3296</v>
          </cell>
          <cell r="B569" t="str">
            <v>勝德國際</v>
          </cell>
          <cell r="C569" t="str">
            <v>安侯建業聯合會計師事務所</v>
          </cell>
          <cell r="D569" t="str">
            <v>呂莉莉</v>
          </cell>
          <cell r="E569" t="str">
            <v>王勇勝</v>
          </cell>
          <cell r="F569">
            <v>20170313</v>
          </cell>
          <cell r="G569" t="str">
            <v>無保留意見</v>
          </cell>
        </row>
        <row r="570">
          <cell r="A570">
            <v>3305</v>
          </cell>
          <cell r="B570" t="str">
            <v>昇貿科技</v>
          </cell>
          <cell r="C570" t="str">
            <v>安侯建業聯合會計師事務所</v>
          </cell>
          <cell r="D570" t="str">
            <v>江忠儀</v>
          </cell>
          <cell r="E570" t="str">
            <v>陳宜君</v>
          </cell>
          <cell r="F570">
            <v>20170309</v>
          </cell>
          <cell r="G570" t="str">
            <v>無保留意見</v>
          </cell>
        </row>
        <row r="571">
          <cell r="A571">
            <v>3308</v>
          </cell>
          <cell r="B571" t="str">
            <v>聯德電子</v>
          </cell>
          <cell r="C571" t="str">
            <v>勤業眾信聯合會計師事務所</v>
          </cell>
          <cell r="D571" t="str">
            <v>韋亮發</v>
          </cell>
          <cell r="E571" t="str">
            <v>簡明彥</v>
          </cell>
          <cell r="F571">
            <v>20170330</v>
          </cell>
          <cell r="G571" t="str">
            <v>無保留意見</v>
          </cell>
        </row>
        <row r="572">
          <cell r="A572">
            <v>3311</v>
          </cell>
          <cell r="B572" t="str">
            <v>閎暉</v>
          </cell>
          <cell r="C572" t="str">
            <v>勤業眾信聯合會計師事務所</v>
          </cell>
          <cell r="D572" t="str">
            <v>蔡振財</v>
          </cell>
          <cell r="E572" t="str">
            <v>趙永祥</v>
          </cell>
          <cell r="F572">
            <v>20170223</v>
          </cell>
          <cell r="G572" t="str">
            <v>無保留意見</v>
          </cell>
        </row>
        <row r="573">
          <cell r="A573">
            <v>3312</v>
          </cell>
          <cell r="B573" t="str">
            <v>弘憶國際</v>
          </cell>
          <cell r="C573" t="str">
            <v>安 侯 建 業 聯 合 會 計 師 事 務 所</v>
          </cell>
          <cell r="D573" t="str">
            <v>楊樹芝</v>
          </cell>
          <cell r="E573" t="str">
            <v>陳蓓琪</v>
          </cell>
          <cell r="F573">
            <v>20170327</v>
          </cell>
          <cell r="G573" t="str">
            <v>無保留意見</v>
          </cell>
        </row>
        <row r="574">
          <cell r="A574">
            <v>3315</v>
          </cell>
          <cell r="B574" t="str">
            <v>宣昶</v>
          </cell>
          <cell r="C574" t="str">
            <v>安侯建業聯合會計師事務所</v>
          </cell>
          <cell r="D574" t="str">
            <v>楊樹芝</v>
          </cell>
          <cell r="E574" t="str">
            <v>王清松</v>
          </cell>
          <cell r="F574">
            <v>20170323</v>
          </cell>
          <cell r="G574" t="str">
            <v>無保留意見</v>
          </cell>
        </row>
        <row r="575">
          <cell r="A575">
            <v>3321</v>
          </cell>
          <cell r="B575" t="str">
            <v>同泰電子</v>
          </cell>
          <cell r="C575" t="str">
            <v>資誠聯合會計師事務所</v>
          </cell>
          <cell r="D575" t="str">
            <v>吳漢期</v>
          </cell>
          <cell r="E575" t="str">
            <v>支秉鈞</v>
          </cell>
          <cell r="F575">
            <v>20170328</v>
          </cell>
          <cell r="G575" t="str">
            <v>無保留意見</v>
          </cell>
        </row>
        <row r="576">
          <cell r="A576">
            <v>3338</v>
          </cell>
          <cell r="B576" t="str">
            <v>泰碩電子</v>
          </cell>
          <cell r="C576" t="str">
            <v>安侯建業聯合會計師事務所</v>
          </cell>
          <cell r="D576" t="str">
            <v>李慈慧</v>
          </cell>
          <cell r="E576" t="str">
            <v>方燕玲</v>
          </cell>
          <cell r="F576">
            <v>20170302</v>
          </cell>
          <cell r="G576" t="str">
            <v>無保留意見</v>
          </cell>
        </row>
        <row r="577">
          <cell r="A577">
            <v>3346</v>
          </cell>
          <cell r="B577" t="str">
            <v>麗清</v>
          </cell>
          <cell r="C577" t="str">
            <v>勤業眾信聯合會計師事務所</v>
          </cell>
          <cell r="D577" t="str">
            <v>許庭禎</v>
          </cell>
          <cell r="E577" t="str">
            <v>楊清鎮</v>
          </cell>
          <cell r="F577">
            <v>20170324</v>
          </cell>
          <cell r="G577" t="str">
            <v>無保留意見</v>
          </cell>
        </row>
        <row r="578">
          <cell r="A578">
            <v>3356</v>
          </cell>
          <cell r="B578" t="str">
            <v>奇偶科技</v>
          </cell>
          <cell r="C578" t="str">
            <v>資誠聯合會計師事務所</v>
          </cell>
          <cell r="D578" t="str">
            <v>徐聖忠</v>
          </cell>
          <cell r="E578" t="str">
            <v>吳漢期</v>
          </cell>
          <cell r="F578">
            <v>20170224</v>
          </cell>
          <cell r="G578" t="str">
            <v>無保留意見</v>
          </cell>
        </row>
        <row r="579">
          <cell r="A579">
            <v>3376</v>
          </cell>
          <cell r="B579" t="str">
            <v>新日興</v>
          </cell>
          <cell r="C579" t="str">
            <v>勤業眾信聯合會計師事務所</v>
          </cell>
          <cell r="D579" t="str">
            <v>龔雙雄</v>
          </cell>
          <cell r="E579" t="str">
            <v>林宜慧</v>
          </cell>
          <cell r="F579">
            <v>20170308</v>
          </cell>
          <cell r="G579" t="str">
            <v>無保留意見</v>
          </cell>
        </row>
        <row r="580">
          <cell r="A580">
            <v>3380</v>
          </cell>
          <cell r="B580" t="str">
            <v>明泰科技</v>
          </cell>
          <cell r="C580" t="str">
            <v>安侯建業聯合會計師事務所</v>
          </cell>
          <cell r="D580" t="str">
            <v>游萬淵</v>
          </cell>
          <cell r="E580" t="str">
            <v>陳振乾</v>
          </cell>
          <cell r="F580">
            <v>20170316</v>
          </cell>
          <cell r="G580" t="str">
            <v>無保留意見</v>
          </cell>
        </row>
        <row r="581">
          <cell r="A581">
            <v>3383</v>
          </cell>
          <cell r="B581" t="str">
            <v>新世紀</v>
          </cell>
          <cell r="C581" t="str">
            <v>資誠聯合會計師事務所</v>
          </cell>
          <cell r="D581" t="str">
            <v>李明憲</v>
          </cell>
          <cell r="E581" t="str">
            <v>劉子猛</v>
          </cell>
          <cell r="F581">
            <v>20170303</v>
          </cell>
          <cell r="G581" t="str">
            <v>無保留意見</v>
          </cell>
        </row>
        <row r="582">
          <cell r="A582">
            <v>3406</v>
          </cell>
          <cell r="B582" t="str">
            <v>玉晶光</v>
          </cell>
          <cell r="C582" t="str">
            <v>安永聯合會計師事務所</v>
          </cell>
          <cell r="D582" t="str">
            <v>嚴文筆</v>
          </cell>
          <cell r="E582" t="str">
            <v>涂清淵</v>
          </cell>
          <cell r="F582">
            <v>20170330</v>
          </cell>
          <cell r="G582" t="str">
            <v>無保留意見</v>
          </cell>
        </row>
        <row r="583">
          <cell r="A583">
            <v>3413</v>
          </cell>
          <cell r="B583" t="str">
            <v>京鼎</v>
          </cell>
          <cell r="C583" t="str">
            <v>資誠聯合會計師事務所</v>
          </cell>
          <cell r="D583" t="str">
            <v>徐聖忠</v>
          </cell>
          <cell r="E583" t="str">
            <v>徐永堅</v>
          </cell>
          <cell r="F583">
            <v>20170224</v>
          </cell>
          <cell r="G583" t="str">
            <v>無保留意見</v>
          </cell>
        </row>
        <row r="584">
          <cell r="A584">
            <v>3416</v>
          </cell>
          <cell r="B584" t="str">
            <v>融程電訊</v>
          </cell>
          <cell r="C584" t="str">
            <v>勤業眾信聯合會計師事務所</v>
          </cell>
          <cell r="D584" t="str">
            <v>鄭旭然</v>
          </cell>
          <cell r="E584" t="str">
            <v>陳麗琦</v>
          </cell>
          <cell r="F584">
            <v>20170307</v>
          </cell>
          <cell r="G584" t="str">
            <v>無保留意見</v>
          </cell>
        </row>
        <row r="585">
          <cell r="A585">
            <v>3419</v>
          </cell>
          <cell r="B585" t="str">
            <v>譁裕實業</v>
          </cell>
          <cell r="C585" t="str">
            <v>勤業眾信聯合會計師事務所</v>
          </cell>
          <cell r="D585" t="str">
            <v>林政治</v>
          </cell>
          <cell r="E585" t="str">
            <v>黃裕峰</v>
          </cell>
          <cell r="F585">
            <v>20170329</v>
          </cell>
          <cell r="G585" t="str">
            <v>無保留意見</v>
          </cell>
        </row>
        <row r="586">
          <cell r="A586">
            <v>3432</v>
          </cell>
          <cell r="B586" t="str">
            <v>台端</v>
          </cell>
          <cell r="C586" t="str">
            <v>勤業眾信聯合會計師事務所</v>
          </cell>
          <cell r="D586" t="str">
            <v>龔則立</v>
          </cell>
          <cell r="E586" t="str">
            <v>劉水恩</v>
          </cell>
          <cell r="F586">
            <v>20170321</v>
          </cell>
          <cell r="G586" t="str">
            <v>無保留意見</v>
          </cell>
        </row>
        <row r="587">
          <cell r="A587">
            <v>3437</v>
          </cell>
          <cell r="B587" t="str">
            <v>榮創</v>
          </cell>
          <cell r="C587" t="str">
            <v>資誠聯合會計師事務所</v>
          </cell>
          <cell r="D587" t="str">
            <v>張淑瓊</v>
          </cell>
          <cell r="E587" t="str">
            <v>翁世榮</v>
          </cell>
          <cell r="F587">
            <v>20170328</v>
          </cell>
          <cell r="G587" t="str">
            <v>無保留意見</v>
          </cell>
        </row>
        <row r="588">
          <cell r="A588">
            <v>3443</v>
          </cell>
          <cell r="B588" t="str">
            <v>創意電子</v>
          </cell>
          <cell r="C588" t="str">
            <v>勤業眾信聯合會計師事務所</v>
          </cell>
          <cell r="D588" t="str">
            <v>高逸欣</v>
          </cell>
          <cell r="E588" t="str">
            <v>黃裕峰</v>
          </cell>
          <cell r="F588">
            <v>20170209</v>
          </cell>
          <cell r="G588" t="str">
            <v>無保留意見</v>
          </cell>
        </row>
        <row r="589">
          <cell r="A589">
            <v>3450</v>
          </cell>
          <cell r="B589" t="str">
            <v>聯鈞</v>
          </cell>
          <cell r="C589" t="str">
            <v>勤業眾信聯合會計師事務所</v>
          </cell>
          <cell r="D589" t="str">
            <v>張耿禧</v>
          </cell>
          <cell r="E589" t="str">
            <v>虞成全</v>
          </cell>
          <cell r="F589">
            <v>20170330</v>
          </cell>
          <cell r="G589" t="str">
            <v>無保留意見</v>
          </cell>
        </row>
        <row r="590">
          <cell r="A590">
            <v>3454</v>
          </cell>
          <cell r="B590" t="str">
            <v>晶睿</v>
          </cell>
          <cell r="C590" t="str">
            <v>安侯建業聯合會計師事務所</v>
          </cell>
          <cell r="D590" t="str">
            <v>張惠貞</v>
          </cell>
          <cell r="E590" t="str">
            <v>施威銘</v>
          </cell>
          <cell r="F590">
            <v>20170323</v>
          </cell>
          <cell r="G590" t="str">
            <v>無保留意見</v>
          </cell>
        </row>
        <row r="591">
          <cell r="A591">
            <v>3481</v>
          </cell>
          <cell r="B591" t="str">
            <v>群創光電</v>
          </cell>
          <cell r="C591" t="str">
            <v>資誠聯合會計師事務所</v>
          </cell>
          <cell r="D591" t="str">
            <v>吳漢期</v>
          </cell>
          <cell r="E591" t="str">
            <v>徐聖忠</v>
          </cell>
          <cell r="F591">
            <v>20170210</v>
          </cell>
          <cell r="G591" t="str">
            <v>無保留意見</v>
          </cell>
        </row>
        <row r="592">
          <cell r="A592">
            <v>3494</v>
          </cell>
          <cell r="B592" t="str">
            <v>誠研科技</v>
          </cell>
          <cell r="C592" t="str">
            <v>安侯建業聯合會計師事務所</v>
          </cell>
          <cell r="D592" t="str">
            <v>楊樹芝</v>
          </cell>
          <cell r="E592" t="str">
            <v>陳蓓琪</v>
          </cell>
          <cell r="F592">
            <v>20170328</v>
          </cell>
          <cell r="G592" t="str">
            <v>無保留意見</v>
          </cell>
        </row>
        <row r="593">
          <cell r="A593">
            <v>3501</v>
          </cell>
          <cell r="B593" t="str">
            <v>維熹科技</v>
          </cell>
          <cell r="C593" t="str">
            <v>資誠聯合會計師事務所</v>
          </cell>
          <cell r="D593" t="str">
            <v>林瑟凱</v>
          </cell>
          <cell r="E593" t="str">
            <v>李秀玲</v>
          </cell>
          <cell r="F593">
            <v>20170322</v>
          </cell>
          <cell r="G593" t="str">
            <v>無保留意見</v>
          </cell>
        </row>
        <row r="594">
          <cell r="A594">
            <v>3504</v>
          </cell>
          <cell r="B594" t="str">
            <v>揚明光學</v>
          </cell>
          <cell r="C594" t="str">
            <v>安永聯合會計師事務所</v>
          </cell>
          <cell r="D594" t="str">
            <v>許新民</v>
          </cell>
          <cell r="E594" t="str">
            <v>王金來</v>
          </cell>
          <cell r="F594">
            <v>20170214</v>
          </cell>
          <cell r="G594" t="str">
            <v>無保留意見</v>
          </cell>
        </row>
        <row r="595">
          <cell r="A595">
            <v>3514</v>
          </cell>
          <cell r="B595" t="str">
            <v>昱晶能源</v>
          </cell>
          <cell r="C595" t="str">
            <v>勤業眾信聯合會計師事務所</v>
          </cell>
          <cell r="D595" t="str">
            <v>謝建新</v>
          </cell>
          <cell r="E595" t="str">
            <v>何瑞軒</v>
          </cell>
          <cell r="F595">
            <v>20170322</v>
          </cell>
          <cell r="G595" t="str">
            <v>無保留意見</v>
          </cell>
        </row>
        <row r="596">
          <cell r="A596">
            <v>3515</v>
          </cell>
          <cell r="B596" t="str">
            <v>華擎</v>
          </cell>
          <cell r="C596" t="str">
            <v>安永聯合會計師事務所</v>
          </cell>
          <cell r="D596" t="str">
            <v>楊智惠</v>
          </cell>
          <cell r="E596" t="str">
            <v>蕭翠慧</v>
          </cell>
          <cell r="F596">
            <v>20170301</v>
          </cell>
          <cell r="G596" t="str">
            <v>無保留意見</v>
          </cell>
        </row>
        <row r="597">
          <cell r="A597">
            <v>3518</v>
          </cell>
          <cell r="B597" t="str">
            <v>柏騰科技</v>
          </cell>
          <cell r="C597" t="str">
            <v>勤業眾信聯合會計師事務所</v>
          </cell>
          <cell r="D597" t="str">
            <v>陳慧銘</v>
          </cell>
          <cell r="E597" t="str">
            <v>謝明忠</v>
          </cell>
          <cell r="F597">
            <v>20170317</v>
          </cell>
          <cell r="G597" t="str">
            <v>無保留意見</v>
          </cell>
        </row>
        <row r="598">
          <cell r="A598">
            <v>3519</v>
          </cell>
          <cell r="B598" t="str">
            <v>綠能</v>
          </cell>
          <cell r="C598" t="str">
            <v>安永聯合會計師事務所</v>
          </cell>
          <cell r="D598" t="str">
            <v>林素雯</v>
          </cell>
          <cell r="E598" t="str">
            <v>蕭翠慧</v>
          </cell>
          <cell r="F598">
            <v>20170324</v>
          </cell>
          <cell r="G598" t="str">
            <v>無保留意見</v>
          </cell>
        </row>
        <row r="599">
          <cell r="A599">
            <v>3528</v>
          </cell>
          <cell r="B599" t="str">
            <v>安馳科技</v>
          </cell>
          <cell r="C599" t="str">
            <v>勤業眾信聯合會計師事務所</v>
          </cell>
          <cell r="D599" t="str">
            <v>陳慧銘</v>
          </cell>
          <cell r="E599" t="str">
            <v>李麗凰</v>
          </cell>
          <cell r="F599">
            <v>20170316</v>
          </cell>
          <cell r="G599" t="str">
            <v>無保留意見</v>
          </cell>
        </row>
        <row r="600">
          <cell r="A600">
            <v>3532</v>
          </cell>
          <cell r="B600" t="str">
            <v>台勝科</v>
          </cell>
          <cell r="C600" t="str">
            <v>勤業眾信聯合會計師事務所</v>
          </cell>
          <cell r="D600" t="str">
            <v>楊靜婷</v>
          </cell>
          <cell r="E600" t="str">
            <v>龔則立</v>
          </cell>
          <cell r="F600">
            <v>20170317</v>
          </cell>
          <cell r="G600" t="str">
            <v>無保留意見</v>
          </cell>
        </row>
        <row r="601">
          <cell r="A601">
            <v>3533</v>
          </cell>
          <cell r="B601" t="str">
            <v>嘉澤端子</v>
          </cell>
          <cell r="C601" t="str">
            <v>安 侯 建 業 聯 合 會 計 師 事 務 所</v>
          </cell>
          <cell r="D601" t="str">
            <v>鍾  丹  丹</v>
          </cell>
          <cell r="E601" t="str">
            <v>陳  富  煒</v>
          </cell>
          <cell r="F601">
            <v>20170320</v>
          </cell>
          <cell r="G601" t="str">
            <v>無保留意見</v>
          </cell>
        </row>
        <row r="602">
          <cell r="A602">
            <v>3535</v>
          </cell>
          <cell r="B602" t="str">
            <v>晶彩科</v>
          </cell>
          <cell r="C602" t="str">
            <v>勤業眾信聯合會計師事務所</v>
          </cell>
          <cell r="D602" t="str">
            <v>林政治</v>
          </cell>
          <cell r="E602" t="str">
            <v>黃裕峰</v>
          </cell>
          <cell r="F602">
            <v>20170324</v>
          </cell>
          <cell r="G602" t="str">
            <v>無保留意見</v>
          </cell>
        </row>
        <row r="603">
          <cell r="A603">
            <v>3536</v>
          </cell>
          <cell r="B603" t="str">
            <v>誠創科技</v>
          </cell>
          <cell r="C603" t="str">
            <v>勤業眾信聯合會計師事務所</v>
          </cell>
          <cell r="D603" t="str">
            <v>洪國田</v>
          </cell>
          <cell r="E603" t="str">
            <v>余鴻賓</v>
          </cell>
          <cell r="F603">
            <v>20170308</v>
          </cell>
          <cell r="G603" t="str">
            <v>無保留意見</v>
          </cell>
        </row>
        <row r="604">
          <cell r="A604">
            <v>3545</v>
          </cell>
          <cell r="B604" t="str">
            <v>敦泰</v>
          </cell>
          <cell r="C604" t="str">
            <v>勤業眾信聯合會計師事務所</v>
          </cell>
          <cell r="D604" t="str">
            <v>許秀明</v>
          </cell>
          <cell r="E604" t="str">
            <v>林淑婉</v>
          </cell>
          <cell r="F604">
            <v>20170327</v>
          </cell>
          <cell r="G604" t="str">
            <v>無保留意見</v>
          </cell>
        </row>
        <row r="605">
          <cell r="A605">
            <v>3550</v>
          </cell>
          <cell r="B605" t="str">
            <v>聯穎</v>
          </cell>
          <cell r="C605" t="str">
            <v>勤業眾信聯合會計師事務所</v>
          </cell>
          <cell r="D605" t="str">
            <v>黃裕峰</v>
          </cell>
          <cell r="E605" t="str">
            <v>陳明煇</v>
          </cell>
          <cell r="F605">
            <v>20170327</v>
          </cell>
          <cell r="G605" t="str">
            <v>無保留意見</v>
          </cell>
        </row>
        <row r="606">
          <cell r="A606">
            <v>3557</v>
          </cell>
          <cell r="B606" t="str">
            <v>嘉威光電</v>
          </cell>
          <cell r="C606" t="str">
            <v>安侯建業聯合會計師事務所</v>
          </cell>
          <cell r="D606" t="str">
            <v>陳國宗</v>
          </cell>
          <cell r="E606" t="str">
            <v>楊博任</v>
          </cell>
          <cell r="F606">
            <v>20170310</v>
          </cell>
          <cell r="G606" t="str">
            <v>無保留意見</v>
          </cell>
        </row>
        <row r="607">
          <cell r="A607">
            <v>3559</v>
          </cell>
          <cell r="B607" t="str">
            <v>全智科</v>
          </cell>
          <cell r="C607" t="str">
            <v>勤業眾信聯合會計師事務所</v>
          </cell>
          <cell r="D607" t="str">
            <v>方蘇立</v>
          </cell>
          <cell r="E607" t="str">
            <v>林政治</v>
          </cell>
          <cell r="F607">
            <v>20170301</v>
          </cell>
          <cell r="G607" t="str">
            <v>無保留意見</v>
          </cell>
        </row>
        <row r="608">
          <cell r="A608">
            <v>3561</v>
          </cell>
          <cell r="B608" t="str">
            <v>昇陽光電</v>
          </cell>
          <cell r="C608" t="str">
            <v>安侯建業聯合會計師事務所</v>
          </cell>
          <cell r="D608" t="str">
            <v>黃泳華</v>
          </cell>
          <cell r="E608" t="str">
            <v>吳美萍</v>
          </cell>
          <cell r="F608">
            <v>20170324</v>
          </cell>
          <cell r="G608" t="str">
            <v>無保留意見</v>
          </cell>
        </row>
        <row r="609">
          <cell r="A609">
            <v>3579</v>
          </cell>
          <cell r="B609" t="str">
            <v>尚志</v>
          </cell>
          <cell r="C609" t="str">
            <v>安永聯合會計師事務所</v>
          </cell>
          <cell r="D609" t="str">
            <v>林素雯</v>
          </cell>
          <cell r="E609" t="str">
            <v>蕭翠慧</v>
          </cell>
          <cell r="F609">
            <v>20170328</v>
          </cell>
          <cell r="G609" t="str">
            <v>無保留意見</v>
          </cell>
        </row>
        <row r="610">
          <cell r="A610">
            <v>3583</v>
          </cell>
          <cell r="B610" t="str">
            <v>辛耘</v>
          </cell>
          <cell r="C610" t="str">
            <v>勤業眾信聯合會計師事務所</v>
          </cell>
          <cell r="D610" t="str">
            <v>邵志明</v>
          </cell>
          <cell r="E610" t="str">
            <v>翁雅玲</v>
          </cell>
          <cell r="F610">
            <v>20170310</v>
          </cell>
          <cell r="G610" t="str">
            <v>無保留意見</v>
          </cell>
        </row>
        <row r="611">
          <cell r="A611">
            <v>3588</v>
          </cell>
          <cell r="B611" t="str">
            <v>通嘉</v>
          </cell>
          <cell r="C611" t="str">
            <v>勤業眾信聯合會計師事務所</v>
          </cell>
          <cell r="D611" t="str">
            <v>黃裕峰</v>
          </cell>
          <cell r="E611" t="str">
            <v>高逸欣</v>
          </cell>
          <cell r="F611">
            <v>20170323</v>
          </cell>
          <cell r="G611" t="str">
            <v>無保留意見</v>
          </cell>
        </row>
        <row r="612">
          <cell r="A612">
            <v>3591</v>
          </cell>
          <cell r="B612" t="str">
            <v>艾笛森</v>
          </cell>
          <cell r="C612" t="str">
            <v>安侯建業聯合會計師事務所</v>
          </cell>
          <cell r="D612" t="str">
            <v>楊樹芝</v>
          </cell>
          <cell r="E612" t="str">
            <v>王清松</v>
          </cell>
          <cell r="F612">
            <v>20170306</v>
          </cell>
          <cell r="G612" t="str">
            <v>無保留意見</v>
          </cell>
        </row>
        <row r="613">
          <cell r="A613">
            <v>3593</v>
          </cell>
          <cell r="B613" t="str">
            <v>力銘</v>
          </cell>
          <cell r="C613" t="str">
            <v>勤業眾信聯合會計師事務所</v>
          </cell>
          <cell r="D613" t="str">
            <v>江佳玲</v>
          </cell>
          <cell r="E613" t="str">
            <v>陳珍麗</v>
          </cell>
          <cell r="F613">
            <v>20170328</v>
          </cell>
          <cell r="G613" t="str">
            <v>無保留意見</v>
          </cell>
        </row>
        <row r="614">
          <cell r="A614">
            <v>3596</v>
          </cell>
          <cell r="B614" t="str">
            <v>智易科技</v>
          </cell>
          <cell r="C614" t="str">
            <v>安侯建業聯合會計師事務所</v>
          </cell>
          <cell r="D614" t="str">
            <v>郭冠纓</v>
          </cell>
          <cell r="E614" t="str">
            <v>顏幸福</v>
          </cell>
          <cell r="F614">
            <v>20170223</v>
          </cell>
          <cell r="G614" t="str">
            <v>無保留意見</v>
          </cell>
        </row>
        <row r="615">
          <cell r="A615">
            <v>3605</v>
          </cell>
          <cell r="B615" t="str">
            <v>宏致</v>
          </cell>
          <cell r="C615" t="str">
            <v>安侯建業聯合會計師事務所</v>
          </cell>
          <cell r="D615" t="str">
            <v>楊樹芝</v>
          </cell>
          <cell r="E615" t="str">
            <v>陳蓓琪</v>
          </cell>
          <cell r="F615">
            <v>20170330</v>
          </cell>
          <cell r="G615" t="str">
            <v>無保留意見</v>
          </cell>
        </row>
        <row r="616">
          <cell r="A616">
            <v>3607</v>
          </cell>
          <cell r="B616" t="str">
            <v>谷崧</v>
          </cell>
          <cell r="C616" t="str">
            <v>勤業眾信聯合會計師事務所</v>
          </cell>
          <cell r="D616" t="str">
            <v>游素環</v>
          </cell>
          <cell r="E616" t="str">
            <v>翁博仁</v>
          </cell>
          <cell r="F616">
            <v>20170310</v>
          </cell>
          <cell r="G616" t="str">
            <v>無保留意見</v>
          </cell>
        </row>
        <row r="617">
          <cell r="A617">
            <v>3617</v>
          </cell>
          <cell r="B617" t="str">
            <v>碩天科技</v>
          </cell>
          <cell r="C617" t="str">
            <v>勤業眾信聯合會計師事務所</v>
          </cell>
          <cell r="D617" t="str">
            <v>王錦燕</v>
          </cell>
          <cell r="E617" t="str">
            <v>施錦川</v>
          </cell>
          <cell r="F617">
            <v>20170330</v>
          </cell>
          <cell r="G617" t="str">
            <v>無保留意見</v>
          </cell>
        </row>
        <row r="618">
          <cell r="A618">
            <v>3622</v>
          </cell>
          <cell r="B618" t="str">
            <v>洋華</v>
          </cell>
          <cell r="C618" t="str">
            <v>勤業眾信聯合會計師事務所</v>
          </cell>
          <cell r="D618" t="str">
            <v>劉水恩</v>
          </cell>
          <cell r="E618" t="str">
            <v>龔則立</v>
          </cell>
          <cell r="F618">
            <v>20170322</v>
          </cell>
          <cell r="G618" t="str">
            <v>無保留意見</v>
          </cell>
        </row>
        <row r="619">
          <cell r="A619">
            <v>3645</v>
          </cell>
          <cell r="B619" t="str">
            <v>達邁</v>
          </cell>
          <cell r="C619" t="str">
            <v>勤業眾信聯合會計師事務所</v>
          </cell>
          <cell r="D619" t="str">
            <v>黃裕峰</v>
          </cell>
          <cell r="E619" t="str">
            <v>陳明煇</v>
          </cell>
          <cell r="F619">
            <v>20170321</v>
          </cell>
          <cell r="G619" t="str">
            <v>無保留意見</v>
          </cell>
        </row>
        <row r="620">
          <cell r="A620">
            <v>3653</v>
          </cell>
          <cell r="B620" t="str">
            <v>健策</v>
          </cell>
          <cell r="C620" t="str">
            <v>勤業眾信聯合會計師事務所</v>
          </cell>
          <cell r="D620" t="str">
            <v>張敬人</v>
          </cell>
          <cell r="E620" t="str">
            <v>楊清鎮</v>
          </cell>
          <cell r="F620">
            <v>20170315</v>
          </cell>
          <cell r="G620" t="str">
            <v>無保留意見</v>
          </cell>
        </row>
        <row r="621">
          <cell r="A621">
            <v>3661</v>
          </cell>
          <cell r="B621" t="str">
            <v>世芯-KY</v>
          </cell>
          <cell r="C621" t="str">
            <v>勤業眾信聯合會計師事務所</v>
          </cell>
          <cell r="D621" t="str">
            <v>李振銘</v>
          </cell>
          <cell r="E621" t="str">
            <v>黃樹傑</v>
          </cell>
          <cell r="F621">
            <v>20170310</v>
          </cell>
          <cell r="G621" t="str">
            <v>無保留意見</v>
          </cell>
        </row>
        <row r="622">
          <cell r="A622">
            <v>3665</v>
          </cell>
          <cell r="B622" t="str">
            <v>貿聯-KY</v>
          </cell>
          <cell r="C622" t="str">
            <v>勤業眾信聯合會計師事務所</v>
          </cell>
          <cell r="D622" t="str">
            <v>陳重成</v>
          </cell>
          <cell r="E622" t="str">
            <v>虞成全</v>
          </cell>
          <cell r="F622">
            <v>20170308</v>
          </cell>
          <cell r="G622" t="str">
            <v>無保留意見</v>
          </cell>
        </row>
        <row r="623">
          <cell r="A623">
            <v>3669</v>
          </cell>
          <cell r="B623" t="str">
            <v>圓展</v>
          </cell>
          <cell r="C623" t="str">
            <v>勤業眾信聯合會計師事務所</v>
          </cell>
          <cell r="D623" t="str">
            <v>李振銘</v>
          </cell>
          <cell r="E623" t="str">
            <v>范有偉</v>
          </cell>
          <cell r="F623">
            <v>20170224</v>
          </cell>
          <cell r="G623" t="str">
            <v>無保留意見</v>
          </cell>
        </row>
        <row r="624">
          <cell r="A624">
            <v>3673</v>
          </cell>
          <cell r="B624" t="str">
            <v>TPK-KY</v>
          </cell>
          <cell r="C624" t="str">
            <v>勤業眾信聯合會計師事務所</v>
          </cell>
          <cell r="D624" t="str">
            <v>陳俊宏</v>
          </cell>
          <cell r="E624" t="str">
            <v>郭政弘</v>
          </cell>
          <cell r="F624">
            <v>20170303</v>
          </cell>
          <cell r="G624" t="str">
            <v>無保留意見</v>
          </cell>
        </row>
        <row r="625">
          <cell r="A625">
            <v>3679</v>
          </cell>
          <cell r="B625" t="str">
            <v>新至陞</v>
          </cell>
          <cell r="C625" t="str">
            <v>安侯建業聯合會計師事務所</v>
          </cell>
          <cell r="D625" t="str">
            <v>陳振乾</v>
          </cell>
          <cell r="E625" t="str">
            <v>黃泳華</v>
          </cell>
          <cell r="F625">
            <v>20170224</v>
          </cell>
          <cell r="G625" t="str">
            <v>無保留意見</v>
          </cell>
        </row>
        <row r="626">
          <cell r="A626">
            <v>3682</v>
          </cell>
          <cell r="B626" t="str">
            <v>亞太電信</v>
          </cell>
          <cell r="C626" t="str">
            <v>資誠聯合會計師事務所</v>
          </cell>
          <cell r="D626" t="str">
            <v>吳郁隆</v>
          </cell>
          <cell r="E626" t="str">
            <v>周建宏</v>
          </cell>
          <cell r="F626">
            <v>20170316</v>
          </cell>
          <cell r="G626" t="str">
            <v>無保留意見</v>
          </cell>
        </row>
        <row r="627">
          <cell r="A627">
            <v>3686</v>
          </cell>
          <cell r="B627" t="str">
            <v>達能</v>
          </cell>
          <cell r="C627" t="str">
            <v>資誠聯合會計師事務所</v>
          </cell>
          <cell r="D627" t="str">
            <v>李秀玲</v>
          </cell>
          <cell r="E627" t="str">
            <v>支秉鈞</v>
          </cell>
          <cell r="F627">
            <v>20170223</v>
          </cell>
          <cell r="G627" t="str">
            <v>無保留意見</v>
          </cell>
        </row>
        <row r="628">
          <cell r="A628">
            <v>3694</v>
          </cell>
          <cell r="B628" t="str">
            <v>海華科技</v>
          </cell>
          <cell r="C628" t="str">
            <v>勤業眾信聯合會計師事務所</v>
          </cell>
          <cell r="D628" t="str">
            <v>劉書琳</v>
          </cell>
          <cell r="E628" t="str">
            <v>施錦川</v>
          </cell>
          <cell r="F628">
            <v>20170313</v>
          </cell>
          <cell r="G628" t="str">
            <v>無保留意見</v>
          </cell>
        </row>
        <row r="629">
          <cell r="A629">
            <v>3698</v>
          </cell>
          <cell r="B629" t="str">
            <v>隆達</v>
          </cell>
          <cell r="C629" t="str">
            <v>安侯建業聯合會計師事務所</v>
          </cell>
          <cell r="D629" t="str">
            <v>吳美萍</v>
          </cell>
          <cell r="E629" t="str">
            <v>黃泳華</v>
          </cell>
          <cell r="F629">
            <v>20170309</v>
          </cell>
          <cell r="G629" t="str">
            <v>無保留意見</v>
          </cell>
        </row>
        <row r="630">
          <cell r="A630">
            <v>3701</v>
          </cell>
          <cell r="B630" t="str">
            <v>大眾投控</v>
          </cell>
          <cell r="C630" t="str">
            <v>勤業眾信聯合會計師事務所</v>
          </cell>
          <cell r="D630" t="str">
            <v>徐文亞</v>
          </cell>
          <cell r="E630" t="str">
            <v>鄭淂蓁</v>
          </cell>
          <cell r="F630">
            <v>20170320</v>
          </cell>
          <cell r="G630" t="str">
            <v>無保留意見-繼續經營能力存在重大不確定性/繼續經營假設存有重大疑慮</v>
          </cell>
        </row>
        <row r="631">
          <cell r="A631">
            <v>3702</v>
          </cell>
          <cell r="B631" t="str">
            <v>大聯大</v>
          </cell>
          <cell r="C631" t="str">
            <v>資誠聯合會計師事務所</v>
          </cell>
          <cell r="D631" t="str">
            <v>曾惠瑾</v>
          </cell>
          <cell r="E631" t="str">
            <v>林鈞堯</v>
          </cell>
          <cell r="F631">
            <v>20170328</v>
          </cell>
          <cell r="G631" t="str">
            <v>無保留意見</v>
          </cell>
        </row>
        <row r="632">
          <cell r="A632">
            <v>3703</v>
          </cell>
          <cell r="B632" t="str">
            <v>欣陸投控</v>
          </cell>
          <cell r="C632" t="str">
            <v>安侯建業聯合會計師事務所</v>
          </cell>
          <cell r="D632" t="str">
            <v>曾國禓</v>
          </cell>
          <cell r="E632" t="str">
            <v>簡蒂暖</v>
          </cell>
          <cell r="F632">
            <v>20170320</v>
          </cell>
          <cell r="G632" t="str">
            <v>無保留意見</v>
          </cell>
        </row>
        <row r="633">
          <cell r="A633">
            <v>3704</v>
          </cell>
          <cell r="B633" t="str">
            <v>合勤控</v>
          </cell>
          <cell r="C633" t="str">
            <v>安侯建業聯合會計師事務所</v>
          </cell>
          <cell r="D633" t="str">
            <v>魏興海</v>
          </cell>
          <cell r="E633" t="str">
            <v>黃海寧</v>
          </cell>
          <cell r="F633">
            <v>20170316</v>
          </cell>
          <cell r="G633" t="str">
            <v>無保留意見</v>
          </cell>
        </row>
        <row r="634">
          <cell r="A634">
            <v>3705</v>
          </cell>
          <cell r="B634" t="str">
            <v>永信</v>
          </cell>
          <cell r="C634" t="str">
            <v>資誠聯合會計師事務所</v>
          </cell>
          <cell r="D634" t="str">
            <v>洪淑華</v>
          </cell>
          <cell r="E634" t="str">
            <v>曾惠瑾</v>
          </cell>
          <cell r="F634">
            <v>20170327</v>
          </cell>
          <cell r="G634" t="str">
            <v>無保留意見</v>
          </cell>
        </row>
        <row r="635">
          <cell r="A635">
            <v>3706</v>
          </cell>
          <cell r="B635" t="str">
            <v>神達</v>
          </cell>
          <cell r="C635" t="str">
            <v>資誠聯合會計師事務所</v>
          </cell>
          <cell r="D635" t="str">
            <v>溫芳郁</v>
          </cell>
          <cell r="E635" t="str">
            <v>鄭雅慧</v>
          </cell>
          <cell r="F635">
            <v>20170329</v>
          </cell>
          <cell r="G635" t="str">
            <v>無保留意見</v>
          </cell>
        </row>
        <row r="636">
          <cell r="A636">
            <v>3708</v>
          </cell>
          <cell r="B636" t="str">
            <v>上緯投控</v>
          </cell>
          <cell r="C636" t="str">
            <v>安侯建業聯合會計師事務所</v>
          </cell>
          <cell r="D636" t="str">
            <v>張字信</v>
          </cell>
          <cell r="E636" t="str">
            <v>郭士華</v>
          </cell>
          <cell r="F636">
            <v>20170224</v>
          </cell>
          <cell r="G636" t="str">
            <v>無保留意見</v>
          </cell>
        </row>
        <row r="637">
          <cell r="A637">
            <v>4104</v>
          </cell>
          <cell r="B637" t="str">
            <v>佳醫</v>
          </cell>
          <cell r="C637" t="str">
            <v>勤業眾信聯合會計師事務所</v>
          </cell>
          <cell r="D637" t="str">
            <v>許庭禎</v>
          </cell>
          <cell r="E637" t="str">
            <v>楊清鎮</v>
          </cell>
          <cell r="F637">
            <v>20170309</v>
          </cell>
          <cell r="G637" t="str">
            <v>無保留意見</v>
          </cell>
        </row>
        <row r="638">
          <cell r="A638">
            <v>4106</v>
          </cell>
          <cell r="B638" t="str">
            <v>雃博</v>
          </cell>
          <cell r="C638" t="str">
            <v>安侯建業聯合會計師事務所</v>
          </cell>
          <cell r="D638" t="str">
            <v>寇惠植</v>
          </cell>
          <cell r="E638" t="str">
            <v>陳秀蘭</v>
          </cell>
          <cell r="F638">
            <v>20170322</v>
          </cell>
          <cell r="G638" t="str">
            <v>無保留意見</v>
          </cell>
        </row>
        <row r="639">
          <cell r="A639">
            <v>4108</v>
          </cell>
          <cell r="B639" t="str">
            <v>懷特</v>
          </cell>
          <cell r="C639" t="str">
            <v>勤業眾信聯合會計師事務所</v>
          </cell>
          <cell r="D639" t="str">
            <v>黃海悅</v>
          </cell>
          <cell r="E639" t="str">
            <v>陳重成</v>
          </cell>
          <cell r="F639">
            <v>20170221</v>
          </cell>
          <cell r="G639" t="str">
            <v>無保留意見</v>
          </cell>
        </row>
        <row r="640">
          <cell r="A640">
            <v>4119</v>
          </cell>
          <cell r="B640" t="str">
            <v>旭富製藥</v>
          </cell>
          <cell r="C640" t="str">
            <v>立本台灣聯合會計師事務所</v>
          </cell>
          <cell r="D640" t="str">
            <v>劉克宜</v>
          </cell>
          <cell r="E640" t="str">
            <v>許坤錫</v>
          </cell>
          <cell r="F640">
            <v>20170329</v>
          </cell>
          <cell r="G640" t="str">
            <v>無保留意見</v>
          </cell>
        </row>
        <row r="641">
          <cell r="A641">
            <v>4133</v>
          </cell>
          <cell r="B641" t="str">
            <v>亞諾法</v>
          </cell>
          <cell r="C641" t="str">
            <v>資誠聯合會計師事務所</v>
          </cell>
          <cell r="D641" t="str">
            <v>鄧聖偉</v>
          </cell>
          <cell r="E641" t="str">
            <v>曾惠瑾</v>
          </cell>
          <cell r="F641">
            <v>20170329</v>
          </cell>
          <cell r="G641" t="str">
            <v>無保留意見</v>
          </cell>
        </row>
        <row r="642">
          <cell r="A642">
            <v>4137</v>
          </cell>
          <cell r="B642" t="str">
            <v>麗豐-KY</v>
          </cell>
          <cell r="C642" t="str">
            <v>安侯建業聯合會計師事務所</v>
          </cell>
          <cell r="D642" t="str">
            <v>黃柏淑</v>
          </cell>
          <cell r="E642" t="str">
            <v>俞安恬</v>
          </cell>
          <cell r="F642">
            <v>20170314</v>
          </cell>
          <cell r="G642" t="str">
            <v>無保留意見</v>
          </cell>
        </row>
        <row r="643">
          <cell r="A643">
            <v>4141</v>
          </cell>
          <cell r="B643" t="str">
            <v>龍燈-KY</v>
          </cell>
          <cell r="C643" t="str">
            <v>勤業眾信聯合會計師事務所</v>
          </cell>
          <cell r="D643" t="str">
            <v>虞成全</v>
          </cell>
          <cell r="E643" t="str">
            <v>張耿禧</v>
          </cell>
          <cell r="F643">
            <v>20170328</v>
          </cell>
          <cell r="G643" t="str">
            <v>無保留意見</v>
          </cell>
        </row>
        <row r="644">
          <cell r="A644">
            <v>4142</v>
          </cell>
          <cell r="B644" t="str">
            <v>國光生技</v>
          </cell>
          <cell r="C644" t="str">
            <v>資誠聯合會計師事務所</v>
          </cell>
          <cell r="D644" t="str">
            <v>楊明經</v>
          </cell>
          <cell r="E644" t="str">
            <v>洪淑華</v>
          </cell>
          <cell r="F644">
            <v>20170324</v>
          </cell>
          <cell r="G644" t="str">
            <v>無保留意見</v>
          </cell>
        </row>
        <row r="645">
          <cell r="A645">
            <v>4144</v>
          </cell>
          <cell r="B645" t="str">
            <v>康聯-KY</v>
          </cell>
          <cell r="C645" t="str">
            <v>安永聯合會計師事務所</v>
          </cell>
          <cell r="D645" t="str">
            <v>余倩如</v>
          </cell>
          <cell r="E645" t="str">
            <v>林麗凰</v>
          </cell>
          <cell r="F645">
            <v>20170227</v>
          </cell>
          <cell r="G645" t="str">
            <v>無保留意見</v>
          </cell>
        </row>
        <row r="646">
          <cell r="A646">
            <v>4164</v>
          </cell>
          <cell r="B646" t="str">
            <v>承業醫</v>
          </cell>
          <cell r="C646" t="str">
            <v>資誠聯合會計師事務所</v>
          </cell>
          <cell r="D646" t="str">
            <v>鄧聖偉</v>
          </cell>
          <cell r="E646" t="str">
            <v>周筱姿</v>
          </cell>
          <cell r="F646">
            <v>20170324</v>
          </cell>
          <cell r="G646" t="str">
            <v>無保留意見</v>
          </cell>
        </row>
        <row r="647">
          <cell r="A647">
            <v>4190</v>
          </cell>
          <cell r="B647" t="str">
            <v>佐登-KY</v>
          </cell>
          <cell r="C647" t="str">
            <v>勤業眾信聯合會計師事務所</v>
          </cell>
          <cell r="D647" t="str">
            <v>邱政俊</v>
          </cell>
          <cell r="E647" t="str">
            <v>郭慈容</v>
          </cell>
          <cell r="F647">
            <v>20170322</v>
          </cell>
          <cell r="G647" t="str">
            <v>無保留意見</v>
          </cell>
        </row>
        <row r="648">
          <cell r="A648">
            <v>4414</v>
          </cell>
          <cell r="B648" t="str">
            <v>如興</v>
          </cell>
          <cell r="C648" t="str">
            <v>安永聯合會計師事務所</v>
          </cell>
          <cell r="D648" t="str">
            <v>許新民</v>
          </cell>
          <cell r="E648" t="str">
            <v>楊智慧</v>
          </cell>
          <cell r="F648">
            <v>20170330</v>
          </cell>
          <cell r="G648" t="str">
            <v>無保留意見</v>
          </cell>
        </row>
        <row r="649">
          <cell r="A649">
            <v>4426</v>
          </cell>
          <cell r="B649" t="str">
            <v>利勤實業</v>
          </cell>
          <cell r="C649" t="str">
            <v>安侯建業聯合會計師事務所</v>
          </cell>
          <cell r="D649" t="str">
            <v>郭士華</v>
          </cell>
          <cell r="E649" t="str">
            <v>陳君滿</v>
          </cell>
          <cell r="F649">
            <v>20170320</v>
          </cell>
          <cell r="G649" t="str">
            <v>無保留意見</v>
          </cell>
        </row>
        <row r="650">
          <cell r="A650">
            <v>4438</v>
          </cell>
          <cell r="B650" t="str">
            <v>廣越</v>
          </cell>
          <cell r="C650" t="str">
            <v>勤業眾信聯合會計師事務所</v>
          </cell>
          <cell r="D650" t="str">
            <v>謝明忠</v>
          </cell>
          <cell r="E650" t="str">
            <v>陳慧銘</v>
          </cell>
          <cell r="F650">
            <v>20170328</v>
          </cell>
          <cell r="G650" t="str">
            <v>無保留意見</v>
          </cell>
        </row>
        <row r="651">
          <cell r="A651">
            <v>4526</v>
          </cell>
          <cell r="B651" t="str">
            <v>東台</v>
          </cell>
          <cell r="C651" t="str">
            <v>勤業眾信聯合會計師事務所</v>
          </cell>
          <cell r="D651" t="str">
            <v>劉裕祥</v>
          </cell>
          <cell r="E651" t="str">
            <v>郭麗園</v>
          </cell>
          <cell r="F651">
            <v>20170322</v>
          </cell>
          <cell r="G651" t="str">
            <v>無保留意見</v>
          </cell>
        </row>
        <row r="652">
          <cell r="A652">
            <v>4532</v>
          </cell>
          <cell r="B652" t="str">
            <v>瑞智精密</v>
          </cell>
          <cell r="C652" t="str">
            <v>勤業眾信聯合會計師事務所</v>
          </cell>
          <cell r="D652" t="str">
            <v>蔡振財</v>
          </cell>
          <cell r="E652" t="str">
            <v>鄭欽宗</v>
          </cell>
          <cell r="F652">
            <v>20170317</v>
          </cell>
          <cell r="G652" t="str">
            <v>無保留意見</v>
          </cell>
        </row>
        <row r="653">
          <cell r="A653">
            <v>4536</v>
          </cell>
          <cell r="B653" t="str">
            <v>拓凱</v>
          </cell>
          <cell r="C653" t="str">
            <v>勤業眾信聯合會計師事務所</v>
          </cell>
          <cell r="D653" t="str">
            <v>成德潤</v>
          </cell>
          <cell r="E653" t="str">
            <v>顏曉芳</v>
          </cell>
          <cell r="F653">
            <v>20170309</v>
          </cell>
          <cell r="G653" t="str">
            <v>無保留意見</v>
          </cell>
        </row>
        <row r="654">
          <cell r="A654">
            <v>4545</v>
          </cell>
          <cell r="B654" t="str">
            <v>銘鈺</v>
          </cell>
          <cell r="C654" t="str">
            <v>安侯建業聯合會計師事務所</v>
          </cell>
          <cell r="D654" t="str">
            <v>吳美萍</v>
          </cell>
          <cell r="E654" t="str">
            <v>黃泳華</v>
          </cell>
          <cell r="F654">
            <v>20170317</v>
          </cell>
          <cell r="G654" t="str">
            <v>無保留意見</v>
          </cell>
        </row>
        <row r="655">
          <cell r="A655">
            <v>4551</v>
          </cell>
          <cell r="B655" t="str">
            <v>智伸科</v>
          </cell>
          <cell r="C655" t="str">
            <v>勤業眾信聯合會計師事務所</v>
          </cell>
          <cell r="D655" t="str">
            <v>李麗凰</v>
          </cell>
          <cell r="E655" t="str">
            <v>陳慧銘</v>
          </cell>
          <cell r="F655">
            <v>20170324</v>
          </cell>
          <cell r="G655" t="str">
            <v>無保留意見</v>
          </cell>
        </row>
        <row r="656">
          <cell r="A656">
            <v>4552</v>
          </cell>
          <cell r="B656" t="str">
            <v>力達-KY</v>
          </cell>
          <cell r="C656" t="str">
            <v>資誠聯合會計師事務所</v>
          </cell>
          <cell r="D656" t="str">
            <v>張祚誠</v>
          </cell>
          <cell r="E656" t="str">
            <v>蕭金木</v>
          </cell>
          <cell r="F656">
            <v>20170324</v>
          </cell>
          <cell r="G656" t="str">
            <v>無保留意見</v>
          </cell>
        </row>
        <row r="657">
          <cell r="A657">
            <v>4555</v>
          </cell>
          <cell r="B657" t="str">
            <v>台灣氣立</v>
          </cell>
          <cell r="C657" t="str">
            <v>勤業眾信聯合會計師事務所</v>
          </cell>
          <cell r="D657" t="str">
            <v>虞成全</v>
          </cell>
          <cell r="E657" t="str">
            <v>張耿禧</v>
          </cell>
          <cell r="F657">
            <v>20170322</v>
          </cell>
          <cell r="G657" t="str">
            <v>無保留意見</v>
          </cell>
        </row>
        <row r="658">
          <cell r="A658">
            <v>4557</v>
          </cell>
          <cell r="B658" t="str">
            <v>永新-KY</v>
          </cell>
          <cell r="C658" t="str">
            <v>資誠聯合會計師事務所</v>
          </cell>
          <cell r="D658" t="str">
            <v>張祚誠</v>
          </cell>
          <cell r="E658" t="str">
            <v>吳郁隆</v>
          </cell>
          <cell r="F658">
            <v>20170315</v>
          </cell>
          <cell r="G658" t="str">
            <v>無保留意見</v>
          </cell>
        </row>
        <row r="659">
          <cell r="A659">
            <v>4720</v>
          </cell>
          <cell r="B659" t="str">
            <v>德淵企業</v>
          </cell>
          <cell r="C659" t="str">
            <v>勤業眾信聯合會計師事務所</v>
          </cell>
          <cell r="D659" t="str">
            <v>韋亮發</v>
          </cell>
          <cell r="E659" t="str">
            <v>邱政俊</v>
          </cell>
          <cell r="F659">
            <v>20160329</v>
          </cell>
          <cell r="G659" t="str">
            <v>無保留意見</v>
          </cell>
        </row>
        <row r="660">
          <cell r="A660">
            <v>4722</v>
          </cell>
          <cell r="B660" t="str">
            <v>國精化學</v>
          </cell>
          <cell r="C660" t="str">
            <v>勤業眾信聯合會計師事務所</v>
          </cell>
          <cell r="D660" t="str">
            <v>江佳玲</v>
          </cell>
          <cell r="E660" t="str">
            <v>吳秋燕</v>
          </cell>
          <cell r="F660">
            <v>20170309</v>
          </cell>
          <cell r="G660" t="str">
            <v>無保留意見</v>
          </cell>
        </row>
        <row r="661">
          <cell r="A661">
            <v>4725</v>
          </cell>
          <cell r="B661" t="str">
            <v>信昌化</v>
          </cell>
          <cell r="C661" t="str">
            <v>勤業眾信聯合會計師事務所</v>
          </cell>
          <cell r="D661" t="str">
            <v>邵志明</v>
          </cell>
          <cell r="E661" t="str">
            <v>翁雅玲</v>
          </cell>
          <cell r="F661">
            <v>20170324</v>
          </cell>
          <cell r="G661" t="str">
            <v>無保留意見</v>
          </cell>
        </row>
        <row r="662">
          <cell r="A662">
            <v>4737</v>
          </cell>
          <cell r="B662" t="str">
            <v>華廣</v>
          </cell>
          <cell r="C662" t="str">
            <v>安侯建業聯合會計師事務所</v>
          </cell>
          <cell r="D662" t="str">
            <v>張字信</v>
          </cell>
          <cell r="E662" t="str">
            <v>郭士華</v>
          </cell>
          <cell r="F662">
            <v>20170313</v>
          </cell>
          <cell r="G662" t="str">
            <v>無保留意見</v>
          </cell>
        </row>
        <row r="663">
          <cell r="A663">
            <v>4746</v>
          </cell>
          <cell r="B663" t="str">
            <v>台耀</v>
          </cell>
          <cell r="C663" t="str">
            <v>資誠聯合會計師事務所</v>
          </cell>
          <cell r="D663" t="str">
            <v>鄧聖偉</v>
          </cell>
          <cell r="E663" t="str">
            <v>潘慧玲</v>
          </cell>
          <cell r="F663">
            <v>20170309</v>
          </cell>
          <cell r="G663" t="str">
            <v>無保留意見</v>
          </cell>
        </row>
        <row r="664">
          <cell r="A664">
            <v>4755</v>
          </cell>
          <cell r="B664" t="str">
            <v>三福化工</v>
          </cell>
          <cell r="C664" t="str">
            <v>勤業眾信聯合會計師事務所</v>
          </cell>
          <cell r="D664" t="str">
            <v>林淑婉</v>
          </cell>
          <cell r="E664" t="str">
            <v>翁雅玲</v>
          </cell>
          <cell r="F664">
            <v>20170322</v>
          </cell>
          <cell r="G664" t="str">
            <v>無保留意見</v>
          </cell>
        </row>
        <row r="665">
          <cell r="A665">
            <v>4763</v>
          </cell>
          <cell r="B665" t="str">
            <v>材料-KY</v>
          </cell>
          <cell r="C665" t="str">
            <v>勤業眾信聯合會計師事務所</v>
          </cell>
          <cell r="D665" t="str">
            <v>李東峰</v>
          </cell>
          <cell r="E665" t="str">
            <v>楊清鎮</v>
          </cell>
          <cell r="F665">
            <v>20170324</v>
          </cell>
          <cell r="G665" t="str">
            <v>無保留意見</v>
          </cell>
        </row>
        <row r="666">
          <cell r="A666">
            <v>4904</v>
          </cell>
          <cell r="B666" t="str">
            <v>遠傳</v>
          </cell>
          <cell r="C666" t="str">
            <v>勤業眾信聯合會計師事務所</v>
          </cell>
          <cell r="D666" t="str">
            <v>林安惠</v>
          </cell>
          <cell r="E666" t="str">
            <v>郭政弘</v>
          </cell>
          <cell r="F666">
            <v>20170215</v>
          </cell>
          <cell r="G666" t="str">
            <v>無保留意見</v>
          </cell>
        </row>
        <row r="667">
          <cell r="A667">
            <v>4906</v>
          </cell>
          <cell r="B667" t="str">
            <v>正文</v>
          </cell>
          <cell r="C667" t="str">
            <v>勤業眾信聯合會計師事務所</v>
          </cell>
          <cell r="D667" t="str">
            <v>楊清鎮</v>
          </cell>
          <cell r="E667" t="str">
            <v>龔則立</v>
          </cell>
          <cell r="F667">
            <v>20170317</v>
          </cell>
          <cell r="G667" t="str">
            <v>無保留意見</v>
          </cell>
        </row>
        <row r="668">
          <cell r="A668">
            <v>4912</v>
          </cell>
          <cell r="B668" t="str">
            <v>聯德控股-KY</v>
          </cell>
          <cell r="C668" t="str">
            <v>勤業眾信聯合會計師事務所</v>
          </cell>
          <cell r="D668" t="str">
            <v>李麗凰</v>
          </cell>
          <cell r="E668" t="str">
            <v>謝明忠</v>
          </cell>
          <cell r="F668">
            <v>20170328</v>
          </cell>
          <cell r="G668" t="str">
            <v>無保留意見</v>
          </cell>
        </row>
        <row r="669">
          <cell r="A669">
            <v>4915</v>
          </cell>
          <cell r="B669" t="str">
            <v>致伸</v>
          </cell>
          <cell r="C669" t="str">
            <v>安侯建業聯合會計師事務所</v>
          </cell>
          <cell r="D669" t="str">
            <v>黃泳華</v>
          </cell>
          <cell r="E669" t="str">
            <v>于紀隆</v>
          </cell>
          <cell r="F669">
            <v>20170307</v>
          </cell>
          <cell r="G669" t="str">
            <v>無保留意見</v>
          </cell>
        </row>
        <row r="670">
          <cell r="A670">
            <v>4916</v>
          </cell>
          <cell r="B670" t="str">
            <v>事欣科</v>
          </cell>
          <cell r="C670" t="str">
            <v>勤業眾信聯合會計師事務所</v>
          </cell>
          <cell r="D670" t="str">
            <v>范有偉</v>
          </cell>
          <cell r="E670" t="str">
            <v>林文欽</v>
          </cell>
          <cell r="F670">
            <v>20170329</v>
          </cell>
          <cell r="G670" t="str">
            <v>無保留意見</v>
          </cell>
        </row>
        <row r="671">
          <cell r="A671">
            <v>4919</v>
          </cell>
          <cell r="B671" t="str">
            <v>新唐科技</v>
          </cell>
          <cell r="C671" t="str">
            <v>勤業眾信聯合會計師事務所</v>
          </cell>
          <cell r="D671" t="str">
            <v>吳恪昌</v>
          </cell>
          <cell r="E671" t="str">
            <v>余鴻賓</v>
          </cell>
          <cell r="F671">
            <v>20170203</v>
          </cell>
          <cell r="G671" t="str">
            <v>無保留意見</v>
          </cell>
        </row>
        <row r="672">
          <cell r="A672">
            <v>4927</v>
          </cell>
          <cell r="B672" t="str">
            <v>泰鼎-KY</v>
          </cell>
          <cell r="C672" t="str">
            <v>安侯建業聯合會計師事務所</v>
          </cell>
          <cell r="D672" t="str">
            <v>關春修</v>
          </cell>
          <cell r="E672" t="str">
            <v>呂莉莉</v>
          </cell>
          <cell r="F672">
            <v>20170315</v>
          </cell>
          <cell r="G672" t="str">
            <v>無保留意見</v>
          </cell>
        </row>
        <row r="673">
          <cell r="A673">
            <v>4930</v>
          </cell>
          <cell r="B673" t="str">
            <v>燦星網通</v>
          </cell>
          <cell r="C673" t="str">
            <v>資誠聯合會計師事務所</v>
          </cell>
          <cell r="D673" t="str">
            <v>林鈞堯</v>
          </cell>
          <cell r="E673" t="str">
            <v>張淑瓊</v>
          </cell>
          <cell r="F673">
            <v>20170327</v>
          </cell>
          <cell r="G673" t="str">
            <v>無保留意見</v>
          </cell>
        </row>
        <row r="674">
          <cell r="A674">
            <v>4934</v>
          </cell>
          <cell r="B674" t="str">
            <v>太極能源</v>
          </cell>
          <cell r="C674" t="str">
            <v>勤業眾信聯合會計師事務所</v>
          </cell>
          <cell r="D674" t="str">
            <v>謝明忠</v>
          </cell>
          <cell r="E674" t="str">
            <v>陳慧銘</v>
          </cell>
          <cell r="F674">
            <v>20170330</v>
          </cell>
          <cell r="G674" t="str">
            <v>無保留意見</v>
          </cell>
        </row>
        <row r="675">
          <cell r="A675">
            <v>4935</v>
          </cell>
          <cell r="B675" t="str">
            <v>茂林-KY</v>
          </cell>
          <cell r="C675" t="str">
            <v>致遠聯合會計師事務所</v>
          </cell>
          <cell r="D675" t="str">
            <v>曾瑞燕</v>
          </cell>
          <cell r="E675" t="str">
            <v>呂瑞文</v>
          </cell>
          <cell r="F675">
            <v>20170329</v>
          </cell>
          <cell r="G675" t="str">
            <v>無保留意見</v>
          </cell>
        </row>
        <row r="676">
          <cell r="A676">
            <v>4938</v>
          </cell>
          <cell r="B676" t="str">
            <v>和碩</v>
          </cell>
          <cell r="C676" t="str">
            <v>安 侯 建 業 聯 合 會 計 師 事 務 所</v>
          </cell>
          <cell r="D676" t="str">
            <v>曾國禓</v>
          </cell>
          <cell r="E676" t="str">
            <v>于紀隆</v>
          </cell>
          <cell r="F676">
            <v>20170314</v>
          </cell>
          <cell r="G676" t="str">
            <v>無保留意見</v>
          </cell>
        </row>
        <row r="677">
          <cell r="A677">
            <v>4942</v>
          </cell>
          <cell r="B677" t="str">
            <v>嘉彰</v>
          </cell>
          <cell r="C677" t="str">
            <v>勤業眾信聯合會計師事務所</v>
          </cell>
          <cell r="D677" t="str">
            <v>吳美慧</v>
          </cell>
          <cell r="E677" t="str">
            <v>吳怡君</v>
          </cell>
          <cell r="F677">
            <v>20170321</v>
          </cell>
          <cell r="G677" t="str">
            <v>無保留意見</v>
          </cell>
        </row>
        <row r="678">
          <cell r="A678">
            <v>4943</v>
          </cell>
          <cell r="B678" t="str">
            <v>康控-KY</v>
          </cell>
          <cell r="C678" t="str">
            <v>資誠聯合會計師事務所</v>
          </cell>
          <cell r="D678" t="str">
            <v>林瑟凱</v>
          </cell>
          <cell r="E678" t="str">
            <v>張祚誠</v>
          </cell>
          <cell r="F678">
            <v>20170328</v>
          </cell>
          <cell r="G678" t="str">
            <v>無保留意見</v>
          </cell>
        </row>
        <row r="679">
          <cell r="A679">
            <v>4952</v>
          </cell>
          <cell r="B679" t="str">
            <v>凌通科技</v>
          </cell>
          <cell r="C679" t="str">
            <v>勤業眾信聯合會計師事務所</v>
          </cell>
          <cell r="D679" t="str">
            <v>林政治</v>
          </cell>
          <cell r="E679" t="str">
            <v>方蘇立</v>
          </cell>
          <cell r="F679">
            <v>20170207</v>
          </cell>
          <cell r="G679" t="str">
            <v>無保留意見</v>
          </cell>
        </row>
        <row r="680">
          <cell r="A680">
            <v>4956</v>
          </cell>
          <cell r="B680" t="str">
            <v>光鋐</v>
          </cell>
          <cell r="C680" t="str">
            <v>勤業眾信聯合會計師事務所</v>
          </cell>
          <cell r="D680" t="str">
            <v>廖鴻儒</v>
          </cell>
          <cell r="E680" t="str">
            <v>王燕景</v>
          </cell>
          <cell r="F680">
            <v>20170118</v>
          </cell>
          <cell r="G680" t="str">
            <v>無保留意見</v>
          </cell>
        </row>
        <row r="681">
          <cell r="A681">
            <v>4958</v>
          </cell>
          <cell r="B681" t="str">
            <v>臻鼎-KY</v>
          </cell>
          <cell r="C681" t="str">
            <v>資誠聯合會計師事務所</v>
          </cell>
          <cell r="D681" t="str">
            <v>徐聖忠</v>
          </cell>
          <cell r="E681" t="str">
            <v>張明輝</v>
          </cell>
          <cell r="F681">
            <v>20170322</v>
          </cell>
          <cell r="G681" t="str">
            <v>無保留意見</v>
          </cell>
        </row>
        <row r="682">
          <cell r="A682">
            <v>4960</v>
          </cell>
          <cell r="B682" t="str">
            <v>奇美材料</v>
          </cell>
          <cell r="C682" t="str">
            <v>勤業眾信聯合會計師事務所</v>
          </cell>
          <cell r="D682" t="str">
            <v>陳明煇</v>
          </cell>
          <cell r="E682" t="str">
            <v>黃樹傑</v>
          </cell>
          <cell r="F682">
            <v>20170220</v>
          </cell>
          <cell r="G682" t="str">
            <v>無保留意見</v>
          </cell>
        </row>
        <row r="683">
          <cell r="A683">
            <v>4968</v>
          </cell>
          <cell r="B683" t="str">
            <v>立積</v>
          </cell>
          <cell r="C683" t="str">
            <v>勤業眾信聯合會計師事務所</v>
          </cell>
          <cell r="D683" t="str">
            <v>方蘇立</v>
          </cell>
          <cell r="E683" t="str">
            <v>林政治</v>
          </cell>
          <cell r="F683">
            <v>20170208</v>
          </cell>
          <cell r="G683" t="str">
            <v>無保留意見</v>
          </cell>
        </row>
        <row r="684">
          <cell r="A684">
            <v>4976</v>
          </cell>
          <cell r="B684" t="str">
            <v>佳凌</v>
          </cell>
          <cell r="C684" t="str">
            <v>安侯建業聯合會計師事務所</v>
          </cell>
          <cell r="D684" t="str">
            <v>郭士華 會計師</v>
          </cell>
          <cell r="E684" t="str">
            <v>張字信 會計師</v>
          </cell>
          <cell r="F684">
            <v>20170316</v>
          </cell>
          <cell r="G684" t="str">
            <v>無保留意見</v>
          </cell>
        </row>
        <row r="685">
          <cell r="A685">
            <v>4977</v>
          </cell>
          <cell r="B685" t="str">
            <v>眾達-KY</v>
          </cell>
          <cell r="C685" t="str">
            <v>勤業眾信聯合會計師事務所</v>
          </cell>
          <cell r="D685" t="str">
            <v>廖婉怡</v>
          </cell>
          <cell r="E685" t="str">
            <v>何瑞軒</v>
          </cell>
          <cell r="F685">
            <v>20170215</v>
          </cell>
          <cell r="G685" t="str">
            <v>無保留意見</v>
          </cell>
        </row>
        <row r="686">
          <cell r="A686">
            <v>4984</v>
          </cell>
          <cell r="B686" t="str">
            <v>科納-KY</v>
          </cell>
          <cell r="C686" t="str">
            <v>勤業眾信聯合會計師事務所</v>
          </cell>
          <cell r="D686" t="str">
            <v>郭俐雯</v>
          </cell>
          <cell r="E686" t="str">
            <v>李振銘</v>
          </cell>
          <cell r="F686">
            <v>20160324</v>
          </cell>
          <cell r="G686" t="str">
            <v>無保留意見</v>
          </cell>
        </row>
        <row r="687">
          <cell r="A687">
            <v>4994</v>
          </cell>
          <cell r="B687" t="str">
            <v>傳奇</v>
          </cell>
          <cell r="C687" t="str">
            <v>資誠聯合會計師事務所</v>
          </cell>
          <cell r="D687" t="str">
            <v>李秀玲</v>
          </cell>
          <cell r="E687" t="str">
            <v>支秉鈞</v>
          </cell>
          <cell r="F687">
            <v>20170310</v>
          </cell>
          <cell r="G687" t="str">
            <v>無保留意見</v>
          </cell>
        </row>
        <row r="688">
          <cell r="A688">
            <v>4999</v>
          </cell>
          <cell r="B688" t="str">
            <v>鑫禾</v>
          </cell>
          <cell r="C688" t="str">
            <v>安侯建業聯合會計師事務所</v>
          </cell>
          <cell r="D688" t="str">
            <v>郭冠纓</v>
          </cell>
          <cell r="E688" t="str">
            <v>顏幸福</v>
          </cell>
          <cell r="F688">
            <v>20170125</v>
          </cell>
          <cell r="G688" t="str">
            <v>無保留意見</v>
          </cell>
        </row>
        <row r="689">
          <cell r="A689">
            <v>5007</v>
          </cell>
          <cell r="B689" t="str">
            <v>三星科技</v>
          </cell>
          <cell r="C689" t="str">
            <v>安永聯合會計師事務所</v>
          </cell>
          <cell r="D689" t="str">
            <v>李芳文</v>
          </cell>
          <cell r="E689" t="str">
            <v>黃世杰</v>
          </cell>
          <cell r="F689">
            <v>20170223</v>
          </cell>
          <cell r="G689" t="str">
            <v>無保留意見</v>
          </cell>
        </row>
        <row r="690">
          <cell r="A690">
            <v>5203</v>
          </cell>
          <cell r="B690" t="str">
            <v>訊連</v>
          </cell>
          <cell r="C690" t="str">
            <v>資誠聯合會計師事務所</v>
          </cell>
          <cell r="D690" t="str">
            <v>王照明</v>
          </cell>
          <cell r="E690" t="str">
            <v>周建宏</v>
          </cell>
          <cell r="F690">
            <v>20170222</v>
          </cell>
          <cell r="G690" t="str">
            <v>無保留意見</v>
          </cell>
        </row>
        <row r="691">
          <cell r="A691">
            <v>5215</v>
          </cell>
          <cell r="B691" t="str">
            <v>科嘉-KY</v>
          </cell>
          <cell r="C691" t="str">
            <v>勤業眾信聯合會計師事務所</v>
          </cell>
          <cell r="D691" t="str">
            <v>廖婉怡</v>
          </cell>
          <cell r="E691" t="str">
            <v>謝建新</v>
          </cell>
          <cell r="F691">
            <v>20170314</v>
          </cell>
          <cell r="G691" t="str">
            <v>無保留意見</v>
          </cell>
        </row>
        <row r="692">
          <cell r="A692">
            <v>5225</v>
          </cell>
          <cell r="B692" t="str">
            <v>東科-KY</v>
          </cell>
          <cell r="C692" t="str">
            <v>勤業眾信聯合會計師事務所</v>
          </cell>
          <cell r="D692" t="str">
            <v>賴冠仲</v>
          </cell>
          <cell r="E692" t="str">
            <v>劉書琳</v>
          </cell>
          <cell r="F692">
            <v>20170220</v>
          </cell>
          <cell r="G692" t="str">
            <v>無保留意見</v>
          </cell>
        </row>
        <row r="693">
          <cell r="A693">
            <v>5234</v>
          </cell>
          <cell r="B693" t="str">
            <v>達興材料</v>
          </cell>
          <cell r="C693" t="str">
            <v>安侯建業聯合會計師事務所</v>
          </cell>
          <cell r="D693" t="str">
            <v>曾渼鈺</v>
          </cell>
          <cell r="E693" t="str">
            <v>黃海寧</v>
          </cell>
          <cell r="F693">
            <v>20170308</v>
          </cell>
          <cell r="G693" t="str">
            <v>無保留意見</v>
          </cell>
        </row>
        <row r="694">
          <cell r="A694">
            <v>5243</v>
          </cell>
          <cell r="B694" t="str">
            <v>乙盛-KY</v>
          </cell>
          <cell r="C694" t="str">
            <v>勤業眾信聯合會計師事務所</v>
          </cell>
          <cell r="D694" t="str">
            <v>洪國田</v>
          </cell>
          <cell r="E694" t="str">
            <v>吳恪昌</v>
          </cell>
          <cell r="F694">
            <v>20170318</v>
          </cell>
          <cell r="G694" t="str">
            <v>無保留意見</v>
          </cell>
        </row>
        <row r="695">
          <cell r="A695">
            <v>5258</v>
          </cell>
          <cell r="B695" t="str">
            <v>虹堡</v>
          </cell>
          <cell r="C695" t="str">
            <v>資誠聯合會計師事務所</v>
          </cell>
          <cell r="D695" t="str">
            <v>葉翠苗</v>
          </cell>
          <cell r="E695" t="str">
            <v>梁華玲</v>
          </cell>
          <cell r="F695">
            <v>20170327</v>
          </cell>
          <cell r="G695" t="str">
            <v>無保留意見</v>
          </cell>
        </row>
        <row r="696">
          <cell r="A696">
            <v>5259</v>
          </cell>
          <cell r="B696" t="str">
            <v>清惠</v>
          </cell>
          <cell r="C696" t="str">
            <v>資誠聯合會計師事務所</v>
          </cell>
          <cell r="D696" t="str">
            <v>賴宗羲</v>
          </cell>
          <cell r="E696" t="str">
            <v>支秉鈞</v>
          </cell>
          <cell r="F696">
            <v>20170330</v>
          </cell>
          <cell r="G696" t="str">
            <v>無保留意見-繼續經營能力存在重大不確定性/繼續經營假設存有重大疑慮</v>
          </cell>
        </row>
        <row r="697">
          <cell r="A697">
            <v>5264</v>
          </cell>
          <cell r="B697" t="str">
            <v>鎧勝-KY</v>
          </cell>
          <cell r="C697" t="str">
            <v>安侯建業聯合會計師事務所</v>
          </cell>
          <cell r="D697" t="str">
            <v>顏幸福</v>
          </cell>
          <cell r="E697" t="str">
            <v>林琬琬</v>
          </cell>
          <cell r="F697">
            <v>20170307</v>
          </cell>
          <cell r="G697" t="str">
            <v>無保留意見</v>
          </cell>
        </row>
        <row r="698">
          <cell r="A698">
            <v>5269</v>
          </cell>
          <cell r="B698" t="str">
            <v>祥碩科技</v>
          </cell>
          <cell r="C698" t="str">
            <v>資誠聯合會計師事務所</v>
          </cell>
          <cell r="D698" t="str">
            <v>曾惠瑾</v>
          </cell>
          <cell r="E698" t="str">
            <v>潘慧玲</v>
          </cell>
          <cell r="F698">
            <v>20170315</v>
          </cell>
          <cell r="G698" t="str">
            <v>無保留意見</v>
          </cell>
        </row>
        <row r="699">
          <cell r="A699">
            <v>5284</v>
          </cell>
          <cell r="B699" t="str">
            <v>jpp-KY</v>
          </cell>
          <cell r="C699" t="str">
            <v>勤業眾信聯合會計師事務所</v>
          </cell>
          <cell r="D699" t="str">
            <v>龔則立</v>
          </cell>
          <cell r="E699" t="str">
            <v>李東峰</v>
          </cell>
          <cell r="F699">
            <v>20170327</v>
          </cell>
          <cell r="G699" t="str">
            <v>無保留意見</v>
          </cell>
        </row>
        <row r="700">
          <cell r="A700">
            <v>5285</v>
          </cell>
          <cell r="B700" t="str">
            <v>界霖</v>
          </cell>
          <cell r="C700" t="str">
            <v>安永聯合會計師事務所</v>
          </cell>
          <cell r="D700" t="str">
            <v>陳政初</v>
          </cell>
          <cell r="E700" t="str">
            <v>李芳文</v>
          </cell>
          <cell r="F700">
            <v>20170322</v>
          </cell>
          <cell r="G700" t="str">
            <v>無保留意見</v>
          </cell>
        </row>
        <row r="701">
          <cell r="A701">
            <v>5288</v>
          </cell>
          <cell r="B701" t="str">
            <v>豐祥-KY</v>
          </cell>
          <cell r="C701" t="str">
            <v>安永聯合會計師事務所</v>
          </cell>
          <cell r="D701" t="str">
            <v>洪茂益</v>
          </cell>
          <cell r="E701" t="str">
            <v>張志銘</v>
          </cell>
          <cell r="F701">
            <v>20170316</v>
          </cell>
          <cell r="G701" t="str">
            <v>無保留意見</v>
          </cell>
        </row>
        <row r="702">
          <cell r="A702">
            <v>5305</v>
          </cell>
          <cell r="B702" t="str">
            <v>敦南科技</v>
          </cell>
          <cell r="C702" t="str">
            <v>勤業眾信聯合會計師事務所</v>
          </cell>
          <cell r="D702" t="str">
            <v>鄭欽宗</v>
          </cell>
          <cell r="E702" t="str">
            <v>柯志賢</v>
          </cell>
          <cell r="F702">
            <v>20160323</v>
          </cell>
          <cell r="G702" t="str">
            <v>無保留意見</v>
          </cell>
        </row>
        <row r="703">
          <cell r="A703">
            <v>5388</v>
          </cell>
          <cell r="B703" t="str">
            <v>中磊電子</v>
          </cell>
          <cell r="C703" t="str">
            <v>安永聯合會計師事務所</v>
          </cell>
          <cell r="D703" t="str">
            <v>許新民</v>
          </cell>
          <cell r="E703" t="str">
            <v>王金來</v>
          </cell>
          <cell r="F703">
            <v>20170327</v>
          </cell>
          <cell r="G703" t="str">
            <v>無保留意見</v>
          </cell>
        </row>
        <row r="704">
          <cell r="A704">
            <v>5434</v>
          </cell>
          <cell r="B704" t="str">
            <v>崇越科技</v>
          </cell>
          <cell r="C704" t="str">
            <v>安侯建業聯合會計師事務所</v>
          </cell>
          <cell r="D704" t="str">
            <v>區耀軍</v>
          </cell>
          <cell r="E704" t="str">
            <v>郭冠纓</v>
          </cell>
          <cell r="F704">
            <v>20170322</v>
          </cell>
          <cell r="G704" t="str">
            <v>無保留意見</v>
          </cell>
        </row>
        <row r="705">
          <cell r="A705">
            <v>5469</v>
          </cell>
          <cell r="B705" t="str">
            <v>瀚宇博德</v>
          </cell>
          <cell r="C705" t="str">
            <v>勤業眾信聯合會計師事務所</v>
          </cell>
          <cell r="D705" t="str">
            <v>吳恪昌</v>
          </cell>
          <cell r="E705" t="str">
            <v>洪國田</v>
          </cell>
          <cell r="F705">
            <v>20170217</v>
          </cell>
          <cell r="G705" t="str">
            <v>無保留意見</v>
          </cell>
        </row>
        <row r="706">
          <cell r="A706">
            <v>5471</v>
          </cell>
          <cell r="B706" t="str">
            <v>松翰科技</v>
          </cell>
          <cell r="C706" t="str">
            <v>勤業眾信聯合會計師事務所</v>
          </cell>
          <cell r="D706" t="str">
            <v>張敬人</v>
          </cell>
          <cell r="E706" t="str">
            <v>楊靜婷</v>
          </cell>
          <cell r="F706">
            <v>20170315</v>
          </cell>
          <cell r="G706" t="str">
            <v>無保留意見</v>
          </cell>
        </row>
        <row r="707">
          <cell r="A707">
            <v>5484</v>
          </cell>
          <cell r="B707" t="str">
            <v>慧友電子</v>
          </cell>
          <cell r="C707" t="str">
            <v>勤業眾信聯合會計師事務所</v>
          </cell>
          <cell r="D707" t="str">
            <v>余鴻賓</v>
          </cell>
          <cell r="E707" t="str">
            <v>吳恪昌</v>
          </cell>
          <cell r="F707">
            <v>20170316</v>
          </cell>
          <cell r="G707" t="str">
            <v>無保留意見</v>
          </cell>
        </row>
        <row r="708">
          <cell r="A708">
            <v>5515</v>
          </cell>
          <cell r="B708" t="str">
            <v>建國工程</v>
          </cell>
          <cell r="C708" t="str">
            <v>勤業眾信聯合會計師事務所</v>
          </cell>
          <cell r="D708" t="str">
            <v>王儀雯</v>
          </cell>
          <cell r="E708" t="str">
            <v>范有偉</v>
          </cell>
          <cell r="F708">
            <v>20170330</v>
          </cell>
          <cell r="G708" t="str">
            <v>無保留意見</v>
          </cell>
        </row>
        <row r="709">
          <cell r="A709">
            <v>5519</v>
          </cell>
          <cell r="B709" t="str">
            <v>隆大營建</v>
          </cell>
          <cell r="C709" t="str">
            <v>安永聯合會計師事務所</v>
          </cell>
          <cell r="D709" t="str">
            <v>李芳文</v>
          </cell>
          <cell r="E709" t="str">
            <v>林鴻光</v>
          </cell>
          <cell r="F709">
            <v>20170313</v>
          </cell>
          <cell r="G709" t="str">
            <v>無保留意見</v>
          </cell>
        </row>
        <row r="710">
          <cell r="A710">
            <v>5521</v>
          </cell>
          <cell r="B710" t="str">
            <v>工信</v>
          </cell>
          <cell r="C710" t="str">
            <v>資誠聯合會計師事務所</v>
          </cell>
          <cell r="D710" t="str">
            <v>張祚誠</v>
          </cell>
          <cell r="E710" t="str">
            <v>王方瑜</v>
          </cell>
          <cell r="F710">
            <v>20170324</v>
          </cell>
          <cell r="G710" t="str">
            <v>無保留意見</v>
          </cell>
        </row>
        <row r="711">
          <cell r="A711">
            <v>5522</v>
          </cell>
          <cell r="B711" t="str">
            <v>遠雄建設</v>
          </cell>
          <cell r="C711" t="str">
            <v>資誠聯合會計師事務所</v>
          </cell>
          <cell r="D711" t="str">
            <v>張淑瓊</v>
          </cell>
          <cell r="E711" t="str">
            <v>林鈞堯</v>
          </cell>
          <cell r="F711">
            <v>20170330</v>
          </cell>
          <cell r="G711" t="str">
            <v>無保留意見</v>
          </cell>
        </row>
        <row r="712">
          <cell r="A712">
            <v>5525</v>
          </cell>
          <cell r="B712" t="str">
            <v>順天建設</v>
          </cell>
          <cell r="C712" t="str">
            <v>建智聯合會計師事務所</v>
          </cell>
          <cell r="D712" t="str">
            <v>陳靜宜</v>
          </cell>
          <cell r="E712" t="str">
            <v>廖年傑</v>
          </cell>
          <cell r="F712">
            <v>20170324</v>
          </cell>
          <cell r="G712" t="str">
            <v>無保留意見</v>
          </cell>
        </row>
        <row r="713">
          <cell r="A713">
            <v>5531</v>
          </cell>
          <cell r="B713" t="str">
            <v>鄉林建設</v>
          </cell>
          <cell r="C713" t="str">
            <v>國富浩華聯合會計師事務所</v>
          </cell>
          <cell r="D713" t="str">
            <v>王家祥</v>
          </cell>
          <cell r="E713" t="str">
            <v>吳麗容</v>
          </cell>
          <cell r="F713">
            <v>20170321</v>
          </cell>
          <cell r="G713" t="str">
            <v>無保留意見</v>
          </cell>
        </row>
        <row r="714">
          <cell r="A714">
            <v>5533</v>
          </cell>
          <cell r="B714" t="str">
            <v>皇鼎建設</v>
          </cell>
          <cell r="C714" t="str">
            <v>勤業眾信聯合會計師事務所</v>
          </cell>
          <cell r="D714" t="str">
            <v>謝明忠</v>
          </cell>
          <cell r="E714" t="str">
            <v>林宜慧</v>
          </cell>
          <cell r="F714">
            <v>20170308</v>
          </cell>
          <cell r="G714" t="str">
            <v>無保留意見</v>
          </cell>
        </row>
        <row r="715">
          <cell r="A715">
            <v>5534</v>
          </cell>
          <cell r="B715" t="str">
            <v>長虹</v>
          </cell>
          <cell r="C715" t="str">
            <v>安侯建業聯合會計師事務所</v>
          </cell>
          <cell r="D715" t="str">
            <v>王清松</v>
          </cell>
          <cell r="E715" t="str">
            <v>林恒昇</v>
          </cell>
          <cell r="F715">
            <v>20170329</v>
          </cell>
          <cell r="G715" t="str">
            <v>無保留意見</v>
          </cell>
        </row>
        <row r="716">
          <cell r="A716">
            <v>5538</v>
          </cell>
          <cell r="B716" t="str">
            <v>東明-KY</v>
          </cell>
          <cell r="C716" t="str">
            <v>勤業眾信聯合會計師事務所</v>
          </cell>
          <cell r="D716" t="str">
            <v>謝明忠</v>
          </cell>
          <cell r="E716" t="str">
            <v>翁博仁</v>
          </cell>
          <cell r="F716">
            <v>20170317</v>
          </cell>
          <cell r="G716" t="str">
            <v>無保留意見</v>
          </cell>
        </row>
        <row r="717">
          <cell r="A717">
            <v>5607</v>
          </cell>
          <cell r="B717" t="str">
            <v>遠雄港</v>
          </cell>
          <cell r="C717" t="str">
            <v>資誠聯合會計師事務所</v>
          </cell>
          <cell r="D717" t="str">
            <v>支秉鈞</v>
          </cell>
          <cell r="E717" t="str">
            <v>馮敏娟</v>
          </cell>
          <cell r="F717">
            <v>20170328</v>
          </cell>
          <cell r="G717" t="str">
            <v>無保留意見</v>
          </cell>
        </row>
        <row r="718">
          <cell r="A718">
            <v>5608</v>
          </cell>
          <cell r="B718" t="str">
            <v>四維航業</v>
          </cell>
          <cell r="C718" t="str">
            <v>勤業眾信聯合會計師事務所</v>
          </cell>
          <cell r="D718" t="str">
            <v>許秀明</v>
          </cell>
          <cell r="E718" t="str">
            <v>翁雅玲</v>
          </cell>
          <cell r="F718">
            <v>20170330</v>
          </cell>
          <cell r="G718" t="str">
            <v>無保留意見</v>
          </cell>
        </row>
        <row r="719">
          <cell r="A719">
            <v>5706</v>
          </cell>
          <cell r="B719" t="str">
            <v>鳳凰旅遊</v>
          </cell>
          <cell r="C719" t="str">
            <v>致遠聯合會計師事務所</v>
          </cell>
          <cell r="D719" t="str">
            <v>曾瑞燕</v>
          </cell>
          <cell r="E719" t="str">
            <v>侯委晉</v>
          </cell>
          <cell r="F719">
            <v>20170310</v>
          </cell>
          <cell r="G719" t="str">
            <v>無保留意見</v>
          </cell>
        </row>
        <row r="720">
          <cell r="A720">
            <v>5871</v>
          </cell>
          <cell r="B720" t="str">
            <v>中租-KY</v>
          </cell>
          <cell r="C720" t="str">
            <v>安 侯 建 業 聯 合 會 計 師 事 務 所</v>
          </cell>
          <cell r="D720" t="str">
            <v>江忠儀</v>
          </cell>
          <cell r="E720" t="str">
            <v>陳宜君</v>
          </cell>
          <cell r="F720">
            <v>20170316</v>
          </cell>
          <cell r="G720" t="str">
            <v>無保留意見</v>
          </cell>
        </row>
        <row r="721">
          <cell r="A721">
            <v>5880</v>
          </cell>
          <cell r="B721" t="str">
            <v>合庫金</v>
          </cell>
          <cell r="C721" t="str">
            <v>勤業眾信聯合會計師事務所</v>
          </cell>
          <cell r="D721" t="str">
            <v>陳麗琦</v>
          </cell>
          <cell r="E721" t="str">
            <v>郭政弘</v>
          </cell>
          <cell r="F721">
            <v>20170327</v>
          </cell>
          <cell r="G721" t="str">
            <v>無保留意見</v>
          </cell>
        </row>
        <row r="722">
          <cell r="A722">
            <v>5906</v>
          </cell>
          <cell r="B722" t="str">
            <v>台南-KY</v>
          </cell>
          <cell r="C722" t="str">
            <v>資誠聯合會計師事務所</v>
          </cell>
          <cell r="D722" t="str">
            <v>林姿妤</v>
          </cell>
          <cell r="E722" t="str">
            <v>劉子猛</v>
          </cell>
          <cell r="F722">
            <v>20170316</v>
          </cell>
          <cell r="G722" t="str">
            <v>無保留意見</v>
          </cell>
        </row>
        <row r="723">
          <cell r="A723">
            <v>5907</v>
          </cell>
          <cell r="B723" t="str">
            <v>大洋-KY</v>
          </cell>
          <cell r="C723" t="str">
            <v>安侯建業聯合會計師事務所</v>
          </cell>
          <cell r="D723" t="str">
            <v>張淑瑩</v>
          </cell>
          <cell r="E723" t="str">
            <v>賴麗真</v>
          </cell>
          <cell r="F723">
            <v>20170328</v>
          </cell>
          <cell r="G723" t="str">
            <v>無保留意見</v>
          </cell>
        </row>
        <row r="724">
          <cell r="A724">
            <v>6005</v>
          </cell>
          <cell r="B724" t="str">
            <v>群益證</v>
          </cell>
          <cell r="C724" t="str">
            <v>安侯建業聯合會計師事務所</v>
          </cell>
          <cell r="D724" t="str">
            <v>李逢暉</v>
          </cell>
          <cell r="E724" t="str">
            <v>鍾丹丹</v>
          </cell>
          <cell r="F724">
            <v>20170327</v>
          </cell>
          <cell r="G724" t="str">
            <v>無保留意見</v>
          </cell>
        </row>
        <row r="725">
          <cell r="A725">
            <v>6005</v>
          </cell>
          <cell r="B725" t="str">
            <v>群益證</v>
          </cell>
          <cell r="C725" t="str">
            <v>安侯建業聯合會計師事務所</v>
          </cell>
          <cell r="D725" t="str">
            <v>李逢暉</v>
          </cell>
          <cell r="E725" t="str">
            <v>鍾丹丹</v>
          </cell>
          <cell r="F725">
            <v>20160327</v>
          </cell>
          <cell r="G725" t="str">
            <v>無保留意見</v>
          </cell>
        </row>
        <row r="726">
          <cell r="A726">
            <v>6108</v>
          </cell>
          <cell r="B726" t="str">
            <v>競國實業</v>
          </cell>
          <cell r="C726" t="str">
            <v>安侯建業聯合會計師事務所</v>
          </cell>
          <cell r="D726" t="str">
            <v>關春修</v>
          </cell>
          <cell r="E726" t="str">
            <v>呂莉莉</v>
          </cell>
          <cell r="F726">
            <v>20170324</v>
          </cell>
          <cell r="G726" t="str">
            <v>無保留意見</v>
          </cell>
        </row>
        <row r="727">
          <cell r="A727">
            <v>6112</v>
          </cell>
          <cell r="B727" t="str">
            <v>聚碩</v>
          </cell>
          <cell r="C727" t="str">
            <v>安侯建業聯合會計師事務所</v>
          </cell>
          <cell r="D727" t="str">
            <v>陳振乾</v>
          </cell>
          <cell r="E727" t="str">
            <v>黃泳華</v>
          </cell>
          <cell r="F727">
            <v>20170330</v>
          </cell>
          <cell r="G727" t="str">
            <v>無保留意見</v>
          </cell>
        </row>
        <row r="728">
          <cell r="A728">
            <v>6115</v>
          </cell>
          <cell r="B728" t="str">
            <v>鎰勝</v>
          </cell>
          <cell r="C728" t="str">
            <v>安永聯合會計師事務所</v>
          </cell>
          <cell r="D728" t="str">
            <v>蕭翠慧</v>
          </cell>
          <cell r="E728" t="str">
            <v>黃建澤</v>
          </cell>
          <cell r="F728">
            <v>20170322</v>
          </cell>
          <cell r="G728" t="str">
            <v>無保留意見</v>
          </cell>
        </row>
        <row r="729">
          <cell r="A729">
            <v>6116</v>
          </cell>
          <cell r="B729" t="str">
            <v>彩晶</v>
          </cell>
          <cell r="C729" t="str">
            <v>資誠聯合會計師事務所</v>
          </cell>
          <cell r="D729" t="str">
            <v>王輝賢</v>
          </cell>
          <cell r="E729" t="str">
            <v>林鈞堯</v>
          </cell>
          <cell r="F729">
            <v>20170315</v>
          </cell>
          <cell r="G729" t="str">
            <v>無保留意見</v>
          </cell>
        </row>
        <row r="730">
          <cell r="A730">
            <v>6117</v>
          </cell>
          <cell r="B730" t="str">
            <v>迎廣科技</v>
          </cell>
          <cell r="C730" t="str">
            <v>安永聯合會計師事務所</v>
          </cell>
          <cell r="D730" t="str">
            <v>蕭翠慧</v>
          </cell>
          <cell r="E730" t="str">
            <v>王彥鈞</v>
          </cell>
          <cell r="F730">
            <v>20170323</v>
          </cell>
          <cell r="G730" t="str">
            <v>無保留意見</v>
          </cell>
        </row>
        <row r="731">
          <cell r="A731">
            <v>6120</v>
          </cell>
          <cell r="B731" t="str">
            <v>達運</v>
          </cell>
          <cell r="C731" t="str">
            <v>安侯建業聯合會計師事務所</v>
          </cell>
          <cell r="D731" t="str">
            <v>張字信</v>
          </cell>
          <cell r="E731" t="str">
            <v>曾渼鈺</v>
          </cell>
          <cell r="F731">
            <v>20170210</v>
          </cell>
          <cell r="G731" t="str">
            <v>無保留意見</v>
          </cell>
        </row>
        <row r="732">
          <cell r="A732">
            <v>6128</v>
          </cell>
          <cell r="B732" t="str">
            <v>上福全球</v>
          </cell>
          <cell r="C732" t="str">
            <v>安永聯合會計師事務所</v>
          </cell>
          <cell r="D732" t="str">
            <v>嚴文筆</v>
          </cell>
          <cell r="E732" t="str">
            <v>黃子評</v>
          </cell>
          <cell r="F732">
            <v>20170310</v>
          </cell>
          <cell r="G732" t="str">
            <v>無保留意見</v>
          </cell>
        </row>
        <row r="733">
          <cell r="A733">
            <v>6131</v>
          </cell>
          <cell r="B733" t="str">
            <v>悠克國際</v>
          </cell>
          <cell r="C733" t="str">
            <v>眾智聯合會計師事務所</v>
          </cell>
          <cell r="D733" t="str">
            <v>游佩靜</v>
          </cell>
          <cell r="E733" t="str">
            <v>莊雯秋</v>
          </cell>
          <cell r="F733">
            <v>20170321</v>
          </cell>
          <cell r="G733" t="str">
            <v>無保留意見</v>
          </cell>
        </row>
        <row r="734">
          <cell r="A734">
            <v>6133</v>
          </cell>
          <cell r="B734" t="str">
            <v>金橋科技</v>
          </cell>
          <cell r="C734" t="str">
            <v>勤業眾信聯合會計師事務所</v>
          </cell>
          <cell r="D734" t="str">
            <v>翁博仁</v>
          </cell>
          <cell r="E734" t="str">
            <v>林宜慧</v>
          </cell>
          <cell r="F734">
            <v>20170309</v>
          </cell>
          <cell r="G734" t="str">
            <v>無保留意見</v>
          </cell>
        </row>
        <row r="735">
          <cell r="A735">
            <v>6136</v>
          </cell>
          <cell r="B735" t="str">
            <v>富爾特</v>
          </cell>
          <cell r="C735" t="str">
            <v>立本台灣聯合會計事務所</v>
          </cell>
          <cell r="D735" t="str">
            <v>許坤錫</v>
          </cell>
          <cell r="E735" t="str">
            <v>張書成</v>
          </cell>
          <cell r="F735">
            <v>20170329</v>
          </cell>
          <cell r="G735" t="str">
            <v>無保留意見</v>
          </cell>
        </row>
        <row r="736">
          <cell r="A736">
            <v>6139</v>
          </cell>
          <cell r="B736" t="str">
            <v>亞翔工程</v>
          </cell>
          <cell r="C736" t="str">
            <v>資信聯合會計師事務所</v>
          </cell>
          <cell r="D736" t="str">
            <v>陳榮華</v>
          </cell>
          <cell r="E736" t="str">
            <v>蔡中元</v>
          </cell>
          <cell r="F736">
            <v>20160303</v>
          </cell>
          <cell r="G736" t="str">
            <v>無保留意見</v>
          </cell>
        </row>
        <row r="737">
          <cell r="A737">
            <v>6141</v>
          </cell>
          <cell r="B737" t="str">
            <v>柏承科技</v>
          </cell>
          <cell r="C737" t="str">
            <v>資誠聯合會計師事務所</v>
          </cell>
          <cell r="D737" t="str">
            <v>王方瑜</v>
          </cell>
          <cell r="E737" t="str">
            <v>張祚誠</v>
          </cell>
          <cell r="F737">
            <v>20170323</v>
          </cell>
          <cell r="G737" t="str">
            <v>無保留意見</v>
          </cell>
        </row>
        <row r="738">
          <cell r="A738">
            <v>6142</v>
          </cell>
          <cell r="B738" t="str">
            <v>友勁科技</v>
          </cell>
          <cell r="C738" t="str">
            <v>安 侯 建 業 聯 合 會 計 師 事 務 所</v>
          </cell>
          <cell r="D738" t="str">
            <v>羅瑞蘭</v>
          </cell>
          <cell r="E738" t="str">
            <v>王怡文</v>
          </cell>
          <cell r="F738">
            <v>20170324</v>
          </cell>
          <cell r="G738" t="str">
            <v>無保留意見</v>
          </cell>
        </row>
        <row r="739">
          <cell r="A739">
            <v>6145</v>
          </cell>
          <cell r="B739" t="str">
            <v>勁永國際</v>
          </cell>
          <cell r="C739" t="str">
            <v>安侯建業聯合會計師事務所</v>
          </cell>
          <cell r="D739" t="str">
            <v>池世欽</v>
          </cell>
          <cell r="E739" t="str">
            <v>張淑瑩</v>
          </cell>
          <cell r="F739">
            <v>20170330</v>
          </cell>
          <cell r="G739" t="str">
            <v>無保留意見</v>
          </cell>
        </row>
        <row r="740">
          <cell r="A740">
            <v>6152</v>
          </cell>
          <cell r="B740" t="str">
            <v>百一電子</v>
          </cell>
          <cell r="C740" t="str">
            <v>安永聯合會計師事務所</v>
          </cell>
          <cell r="D740" t="str">
            <v>鄭清標</v>
          </cell>
          <cell r="E740" t="str">
            <v>許新民</v>
          </cell>
          <cell r="F740">
            <v>20170321</v>
          </cell>
          <cell r="G740" t="str">
            <v>無保留意見</v>
          </cell>
        </row>
        <row r="741">
          <cell r="A741">
            <v>6153</v>
          </cell>
          <cell r="B741" t="str">
            <v>嘉聯益</v>
          </cell>
          <cell r="C741" t="str">
            <v>勤業眾信聯合會計師事務所</v>
          </cell>
          <cell r="D741" t="str">
            <v>葉東煇</v>
          </cell>
          <cell r="E741" t="str">
            <v>方蘇立</v>
          </cell>
          <cell r="F741">
            <v>20170322</v>
          </cell>
          <cell r="G741" t="str">
            <v>無保留意見</v>
          </cell>
        </row>
        <row r="742">
          <cell r="A742">
            <v>6155</v>
          </cell>
          <cell r="B742" t="str">
            <v>鈞寶</v>
          </cell>
          <cell r="C742" t="str">
            <v>安永聯合會計師事務所</v>
          </cell>
          <cell r="D742" t="str">
            <v>鄭清標</v>
          </cell>
          <cell r="E742" t="str">
            <v>許新民</v>
          </cell>
          <cell r="F742">
            <v>20170220</v>
          </cell>
          <cell r="G742" t="str">
            <v>無保留意見</v>
          </cell>
        </row>
        <row r="743">
          <cell r="A743">
            <v>6164</v>
          </cell>
          <cell r="B743" t="str">
            <v>華興電子</v>
          </cell>
          <cell r="C743" t="str">
            <v>安永聯合會計師事務所</v>
          </cell>
          <cell r="D743" t="str">
            <v>張志銘</v>
          </cell>
          <cell r="E743" t="str">
            <v>徐榮煌</v>
          </cell>
          <cell r="F743">
            <v>20170317</v>
          </cell>
          <cell r="G743" t="str">
            <v>無保留意見</v>
          </cell>
        </row>
        <row r="744">
          <cell r="A744">
            <v>6165</v>
          </cell>
          <cell r="B744" t="str">
            <v>捷泰精密</v>
          </cell>
          <cell r="C744" t="str">
            <v>安永聯合會計師事務所</v>
          </cell>
          <cell r="D744" t="str">
            <v>洪茂益</v>
          </cell>
          <cell r="E744" t="str">
            <v>黃益輝</v>
          </cell>
          <cell r="F744">
            <v>20170328</v>
          </cell>
          <cell r="G744" t="str">
            <v>無保留意見</v>
          </cell>
        </row>
        <row r="745">
          <cell r="A745">
            <v>6166</v>
          </cell>
          <cell r="B745" t="str">
            <v>凌華科技</v>
          </cell>
          <cell r="C745" t="str">
            <v>勤業眾信聯合會計師事務所</v>
          </cell>
          <cell r="D745" t="str">
            <v>劉建良</v>
          </cell>
          <cell r="E745" t="str">
            <v>林文欽</v>
          </cell>
          <cell r="F745">
            <v>20170308</v>
          </cell>
          <cell r="G745" t="str">
            <v>無保留意見</v>
          </cell>
        </row>
        <row r="746">
          <cell r="A746">
            <v>6168</v>
          </cell>
          <cell r="B746" t="str">
            <v>宏齊科技</v>
          </cell>
          <cell r="C746" t="str">
            <v>安永聯合會計師事務所</v>
          </cell>
          <cell r="D746" t="str">
            <v>涂嘉玲</v>
          </cell>
          <cell r="E746" t="str">
            <v>黃益輝</v>
          </cell>
          <cell r="F746">
            <v>20170324</v>
          </cell>
          <cell r="G746" t="str">
            <v>無保留意見</v>
          </cell>
        </row>
        <row r="747">
          <cell r="A747">
            <v>6172</v>
          </cell>
          <cell r="B747" t="str">
            <v>互億科技</v>
          </cell>
          <cell r="C747" t="str">
            <v>眾智聯合會計師事務所</v>
          </cell>
          <cell r="D747" t="str">
            <v>吳光皋</v>
          </cell>
          <cell r="E747" t="str">
            <v>王惠民</v>
          </cell>
          <cell r="F747">
            <v>20170315</v>
          </cell>
          <cell r="G747" t="str">
            <v>無保留意見</v>
          </cell>
        </row>
        <row r="748">
          <cell r="A748">
            <v>6176</v>
          </cell>
          <cell r="B748" t="str">
            <v>瑞儀光電</v>
          </cell>
          <cell r="C748" t="str">
            <v>安侯建業聯合會計師事務所</v>
          </cell>
          <cell r="D748" t="str">
            <v>楊博任</v>
          </cell>
          <cell r="E748" t="str">
            <v>陳惠媛</v>
          </cell>
          <cell r="F748">
            <v>20170316</v>
          </cell>
          <cell r="G748" t="str">
            <v>無保留意見</v>
          </cell>
        </row>
        <row r="749">
          <cell r="A749">
            <v>6177</v>
          </cell>
          <cell r="B749" t="str">
            <v>達麗</v>
          </cell>
          <cell r="C749" t="str">
            <v>立本台灣聯合會計師事務所</v>
          </cell>
          <cell r="D749" t="str">
            <v>劉克宜</v>
          </cell>
          <cell r="E749" t="str">
            <v>張書成</v>
          </cell>
          <cell r="F749">
            <v>20170314</v>
          </cell>
          <cell r="G749" t="str">
            <v>無保留意見</v>
          </cell>
        </row>
        <row r="750">
          <cell r="A750">
            <v>6183</v>
          </cell>
          <cell r="B750" t="str">
            <v>關貿</v>
          </cell>
          <cell r="C750" t="str">
            <v>勤業眾信聯合會計師事務所</v>
          </cell>
          <cell r="D750" t="str">
            <v>游素環</v>
          </cell>
          <cell r="E750" t="str">
            <v>龔雙雄</v>
          </cell>
          <cell r="F750">
            <v>20170223</v>
          </cell>
          <cell r="G750" t="str">
            <v>無保留意見</v>
          </cell>
        </row>
        <row r="751">
          <cell r="A751">
            <v>6184</v>
          </cell>
          <cell r="B751" t="str">
            <v>大豐電</v>
          </cell>
          <cell r="C751" t="str">
            <v>資誠聯合會計師事務所</v>
          </cell>
          <cell r="D751" t="str">
            <v>吳漢期</v>
          </cell>
          <cell r="E751" t="str">
            <v>張淑瓊</v>
          </cell>
          <cell r="F751">
            <v>20170321</v>
          </cell>
          <cell r="G751" t="str">
            <v>無保留意見</v>
          </cell>
        </row>
        <row r="752">
          <cell r="A752">
            <v>6189</v>
          </cell>
          <cell r="B752" t="str">
            <v>豐藝電子</v>
          </cell>
          <cell r="C752" t="str">
            <v>勤業眾信聯合會計師事務所</v>
          </cell>
          <cell r="D752" t="str">
            <v>李麗凰</v>
          </cell>
          <cell r="E752" t="str">
            <v>陳慧銘</v>
          </cell>
          <cell r="F752">
            <v>20170330</v>
          </cell>
          <cell r="G752" t="str">
            <v>無保留意見</v>
          </cell>
        </row>
        <row r="753">
          <cell r="A753">
            <v>6191</v>
          </cell>
          <cell r="B753" t="str">
            <v>精成科技</v>
          </cell>
          <cell r="C753" t="str">
            <v>勤業眾信聯合會計師事務所</v>
          </cell>
          <cell r="D753" t="str">
            <v>吳恪昌</v>
          </cell>
          <cell r="E753" t="str">
            <v>黃毅民</v>
          </cell>
          <cell r="F753">
            <v>20170217</v>
          </cell>
          <cell r="G753" t="str">
            <v>無保留意見</v>
          </cell>
        </row>
        <row r="754">
          <cell r="A754">
            <v>6192</v>
          </cell>
          <cell r="B754" t="str">
            <v>巨路國際</v>
          </cell>
          <cell r="C754" t="str">
            <v>勤業眾信聯合會計師事務所</v>
          </cell>
          <cell r="D754" t="str">
            <v>林文欽</v>
          </cell>
          <cell r="E754" t="str">
            <v>郭俐雯</v>
          </cell>
          <cell r="F754">
            <v>20170324</v>
          </cell>
          <cell r="G754" t="str">
            <v>無保留意見</v>
          </cell>
        </row>
        <row r="755">
          <cell r="A755">
            <v>6196</v>
          </cell>
          <cell r="B755" t="str">
            <v>帆宣科技</v>
          </cell>
          <cell r="C755" t="str">
            <v>資誠聯合會計師事務所</v>
          </cell>
          <cell r="D755" t="str">
            <v>林鈞堯</v>
          </cell>
          <cell r="E755" t="str">
            <v>張淑瓊</v>
          </cell>
          <cell r="F755">
            <v>20170220</v>
          </cell>
          <cell r="G755" t="str">
            <v>無保留意見</v>
          </cell>
        </row>
        <row r="756">
          <cell r="A756">
            <v>6197</v>
          </cell>
          <cell r="B756" t="str">
            <v>佳必琪</v>
          </cell>
          <cell r="C756" t="str">
            <v>資誠聯合會計師事務所</v>
          </cell>
          <cell r="D756" t="str">
            <v>徐聖忠</v>
          </cell>
          <cell r="E756" t="str">
            <v>徐永堅</v>
          </cell>
          <cell r="F756">
            <v>20170324</v>
          </cell>
          <cell r="G756" t="str">
            <v>無保留意見</v>
          </cell>
        </row>
        <row r="757">
          <cell r="A757">
            <v>6201</v>
          </cell>
          <cell r="B757" t="str">
            <v>亞弘電</v>
          </cell>
          <cell r="C757" t="str">
            <v>安永聯合會計師事務所</v>
          </cell>
          <cell r="D757" t="str">
            <v>胡子仁</v>
          </cell>
          <cell r="E757" t="str">
            <v>黃世杰</v>
          </cell>
          <cell r="F757">
            <v>20170310</v>
          </cell>
          <cell r="G757" t="str">
            <v>無保留意見</v>
          </cell>
        </row>
        <row r="758">
          <cell r="A758">
            <v>6202</v>
          </cell>
          <cell r="B758" t="str">
            <v>盛群</v>
          </cell>
          <cell r="C758" t="str">
            <v>安侯建業聯合會計師事務所</v>
          </cell>
          <cell r="D758" t="str">
            <v>曾渼鈺</v>
          </cell>
          <cell r="E758" t="str">
            <v>游萬淵</v>
          </cell>
          <cell r="F758">
            <v>20170125</v>
          </cell>
          <cell r="G758" t="str">
            <v>無保留意見</v>
          </cell>
        </row>
        <row r="759">
          <cell r="A759">
            <v>6205</v>
          </cell>
          <cell r="B759" t="str">
            <v>詮欣</v>
          </cell>
          <cell r="C759" t="str">
            <v>資誠聯合會計師事務所</v>
          </cell>
          <cell r="D759" t="str">
            <v>薛守宏</v>
          </cell>
          <cell r="E759" t="str">
            <v>李燕娜</v>
          </cell>
          <cell r="F759">
            <v>20170317</v>
          </cell>
          <cell r="G759" t="str">
            <v>無保留意見</v>
          </cell>
        </row>
        <row r="760">
          <cell r="A760">
            <v>6206</v>
          </cell>
          <cell r="B760" t="str">
            <v>飛捷</v>
          </cell>
          <cell r="C760" t="str">
            <v>安侯建業聯合會計師事務所</v>
          </cell>
          <cell r="D760" t="str">
            <v>張惠貞</v>
          </cell>
          <cell r="E760" t="str">
            <v>施威銘</v>
          </cell>
          <cell r="F760">
            <v>20170329</v>
          </cell>
          <cell r="G760" t="str">
            <v>無保留意見</v>
          </cell>
        </row>
        <row r="761">
          <cell r="A761">
            <v>6209</v>
          </cell>
          <cell r="B761" t="str">
            <v>今國光學</v>
          </cell>
          <cell r="C761" t="str">
            <v>勤業眾信聯合會計師事務所</v>
          </cell>
          <cell r="D761" t="str">
            <v>吳麗冬</v>
          </cell>
          <cell r="E761" t="str">
            <v>曾棟鋆</v>
          </cell>
          <cell r="F761">
            <v>20170322</v>
          </cell>
          <cell r="G761" t="str">
            <v>無保留意見</v>
          </cell>
        </row>
        <row r="762">
          <cell r="A762">
            <v>6213</v>
          </cell>
          <cell r="B762" t="str">
            <v>聯茂</v>
          </cell>
          <cell r="C762" t="str">
            <v>勤業眾信聯合會計師事務所</v>
          </cell>
          <cell r="D762" t="str">
            <v>黃瑞展</v>
          </cell>
          <cell r="E762" t="str">
            <v>翁博仁</v>
          </cell>
          <cell r="F762">
            <v>20170309</v>
          </cell>
          <cell r="G762" t="str">
            <v>無保留意見</v>
          </cell>
        </row>
        <row r="763">
          <cell r="A763">
            <v>6214</v>
          </cell>
          <cell r="B763" t="str">
            <v>精誠資訊</v>
          </cell>
          <cell r="C763" t="str">
            <v>勤業眾信聯合會計師事務所</v>
          </cell>
          <cell r="D763" t="str">
            <v>林淑婉</v>
          </cell>
          <cell r="E763" t="str">
            <v>許秀明</v>
          </cell>
          <cell r="F763">
            <v>20170323</v>
          </cell>
          <cell r="G763" t="str">
            <v>無保留意見</v>
          </cell>
        </row>
        <row r="764">
          <cell r="A764">
            <v>6215</v>
          </cell>
          <cell r="B764" t="str">
            <v>和椿科技</v>
          </cell>
          <cell r="C764" t="str">
            <v>資誠聯合會計師事務所</v>
          </cell>
          <cell r="D764" t="str">
            <v>游淑芬</v>
          </cell>
          <cell r="E764" t="str">
            <v>王照明</v>
          </cell>
          <cell r="F764">
            <v>20170323</v>
          </cell>
          <cell r="G764" t="str">
            <v>無保留意見</v>
          </cell>
        </row>
        <row r="765">
          <cell r="A765">
            <v>6216</v>
          </cell>
          <cell r="B765" t="str">
            <v>居易</v>
          </cell>
          <cell r="C765" t="str">
            <v>安侯建業聯合會計師事務所</v>
          </cell>
          <cell r="D765" t="str">
            <v>游萬淵</v>
          </cell>
          <cell r="E765" t="str">
            <v>黃海寧</v>
          </cell>
          <cell r="F765">
            <v>20170329</v>
          </cell>
          <cell r="G765" t="str">
            <v>無保留意見</v>
          </cell>
        </row>
        <row r="766">
          <cell r="A766">
            <v>6224</v>
          </cell>
          <cell r="B766" t="str">
            <v>聚鼎</v>
          </cell>
          <cell r="C766" t="str">
            <v>資誠聯合會計師事務所</v>
          </cell>
          <cell r="D766" t="str">
            <v>李典易</v>
          </cell>
          <cell r="E766" t="str">
            <v>鄭雅慧</v>
          </cell>
          <cell r="F766">
            <v>20170316</v>
          </cell>
          <cell r="G766" t="str">
            <v>無保留意見</v>
          </cell>
        </row>
        <row r="767">
          <cell r="A767">
            <v>6225</v>
          </cell>
          <cell r="B767" t="str">
            <v>天瀚</v>
          </cell>
          <cell r="C767" t="str">
            <v>德昌聯合會計師事務所</v>
          </cell>
          <cell r="D767" t="str">
            <v>陳文彬</v>
          </cell>
          <cell r="E767" t="str">
            <v>陳裕勳</v>
          </cell>
          <cell r="F767">
            <v>20170330</v>
          </cell>
          <cell r="G767" t="str">
            <v>無保留意見-繼續經營能力存在重大不確定性/繼續經營假設存有重大疑慮</v>
          </cell>
        </row>
        <row r="768">
          <cell r="A768">
            <v>6226</v>
          </cell>
          <cell r="B768" t="str">
            <v>光鼎電子</v>
          </cell>
          <cell r="C768" t="str">
            <v>安侯建業聯合會計師事務所</v>
          </cell>
          <cell r="D768" t="str">
            <v>周寶蓮</v>
          </cell>
          <cell r="E768" t="str">
            <v>許育峰</v>
          </cell>
          <cell r="F768">
            <v>20170317</v>
          </cell>
          <cell r="G768" t="str">
            <v>無保留意見</v>
          </cell>
        </row>
        <row r="769">
          <cell r="A769">
            <v>6230</v>
          </cell>
          <cell r="B769" t="str">
            <v>超眾</v>
          </cell>
          <cell r="C769" t="str">
            <v>安侯建業聯合會計師事務所</v>
          </cell>
          <cell r="D769" t="str">
            <v>寇惠植</v>
          </cell>
          <cell r="E769" t="str">
            <v>郭欣頤</v>
          </cell>
          <cell r="F769">
            <v>20170308</v>
          </cell>
          <cell r="G769" t="str">
            <v>無保留意見</v>
          </cell>
        </row>
        <row r="770">
          <cell r="A770">
            <v>6235</v>
          </cell>
          <cell r="B770" t="str">
            <v>華孚科技</v>
          </cell>
          <cell r="C770" t="str">
            <v>勤業眾信聯合會計師事務所</v>
          </cell>
          <cell r="D770" t="str">
            <v>劉建良</v>
          </cell>
          <cell r="E770" t="str">
            <v>王儀雯</v>
          </cell>
          <cell r="F770">
            <v>20170322</v>
          </cell>
          <cell r="G770" t="str">
            <v>無保留意見</v>
          </cell>
        </row>
        <row r="771">
          <cell r="A771">
            <v>6239</v>
          </cell>
          <cell r="B771" t="str">
            <v>力成</v>
          </cell>
          <cell r="C771" t="str">
            <v>勤業眾信聯合會計師事務所</v>
          </cell>
          <cell r="D771" t="str">
            <v>黃裕峰</v>
          </cell>
          <cell r="E771" t="str">
            <v>方蘇立</v>
          </cell>
          <cell r="F771">
            <v>20170222</v>
          </cell>
          <cell r="G771" t="str">
            <v>無保留意見</v>
          </cell>
        </row>
        <row r="772">
          <cell r="A772">
            <v>6243</v>
          </cell>
          <cell r="B772" t="str">
            <v>迅杰</v>
          </cell>
          <cell r="C772" t="str">
            <v>安侯建業聯合會計師事務所</v>
          </cell>
          <cell r="D772" t="str">
            <v>黃海寧</v>
          </cell>
          <cell r="E772" t="str">
            <v>魏興海</v>
          </cell>
          <cell r="F772">
            <v>20170324</v>
          </cell>
          <cell r="G772" t="str">
            <v>無保留意見</v>
          </cell>
        </row>
        <row r="773">
          <cell r="A773">
            <v>6251</v>
          </cell>
          <cell r="B773" t="str">
            <v>定穎電子</v>
          </cell>
          <cell r="C773" t="str">
            <v>安永聯合會計師事務所</v>
          </cell>
          <cell r="D773" t="str">
            <v>鄭清標</v>
          </cell>
          <cell r="E773" t="str">
            <v>洪茂益</v>
          </cell>
          <cell r="F773">
            <v>20170223</v>
          </cell>
          <cell r="G773" t="str">
            <v>無保留意見</v>
          </cell>
        </row>
        <row r="774">
          <cell r="A774">
            <v>6257</v>
          </cell>
          <cell r="B774" t="str">
            <v>矽格</v>
          </cell>
          <cell r="C774" t="str">
            <v>資誠聯合會計師事務所</v>
          </cell>
          <cell r="D774" t="str">
            <v>李典易</v>
          </cell>
          <cell r="E774" t="str">
            <v>曾國華</v>
          </cell>
          <cell r="F774">
            <v>20170308</v>
          </cell>
          <cell r="G774" t="str">
            <v>無保留意見</v>
          </cell>
        </row>
        <row r="775">
          <cell r="A775">
            <v>6269</v>
          </cell>
          <cell r="B775" t="str">
            <v>台郡科技</v>
          </cell>
          <cell r="C775" t="str">
            <v>資誠聯合會計師事務所</v>
          </cell>
          <cell r="D775" t="str">
            <v>廖阿甚</v>
          </cell>
          <cell r="E775" t="str">
            <v>林億彰</v>
          </cell>
          <cell r="F775">
            <v>20170221</v>
          </cell>
          <cell r="G775" t="str">
            <v>無保留意見</v>
          </cell>
        </row>
        <row r="776">
          <cell r="A776">
            <v>6271</v>
          </cell>
          <cell r="B776" t="str">
            <v>同欣電子</v>
          </cell>
          <cell r="C776" t="str">
            <v>安侯建業聯合會計師事務所</v>
          </cell>
          <cell r="D776" t="str">
            <v>王怡文</v>
          </cell>
          <cell r="E776" t="str">
            <v>顏幸福</v>
          </cell>
          <cell r="F776">
            <v>20170310</v>
          </cell>
          <cell r="G776" t="str">
            <v>無保留意見</v>
          </cell>
        </row>
        <row r="777">
          <cell r="A777">
            <v>6277</v>
          </cell>
          <cell r="B777" t="str">
            <v>宏正科</v>
          </cell>
          <cell r="C777" t="str">
            <v>安 侯 建 業 聯 合 會 計 師 事 務 所</v>
          </cell>
          <cell r="D777" t="str">
            <v>黃　柏　淑</v>
          </cell>
          <cell r="E777" t="str">
            <v>吳　　　麟</v>
          </cell>
          <cell r="F777">
            <v>20170314</v>
          </cell>
          <cell r="G777" t="str">
            <v>無保留意見</v>
          </cell>
        </row>
        <row r="778">
          <cell r="A778">
            <v>6278</v>
          </cell>
          <cell r="B778" t="str">
            <v>台表科</v>
          </cell>
          <cell r="C778" t="str">
            <v>資誠聯合會計師事務所</v>
          </cell>
          <cell r="D778" t="str">
            <v>李秀玲</v>
          </cell>
          <cell r="E778" t="str">
            <v>張明輝</v>
          </cell>
          <cell r="F778">
            <v>20170317</v>
          </cell>
          <cell r="G778" t="str">
            <v>無保留意見</v>
          </cell>
        </row>
        <row r="779">
          <cell r="A779">
            <v>6281</v>
          </cell>
          <cell r="B779" t="str">
            <v>全國電</v>
          </cell>
          <cell r="C779" t="str">
            <v>安侯建業聯合會計師事務所</v>
          </cell>
          <cell r="D779" t="str">
            <v>施威銘</v>
          </cell>
          <cell r="E779" t="str">
            <v>張惠貞</v>
          </cell>
          <cell r="F779">
            <v>20170224</v>
          </cell>
          <cell r="G779" t="str">
            <v>無保留意見</v>
          </cell>
        </row>
        <row r="780">
          <cell r="A780">
            <v>6282</v>
          </cell>
          <cell r="B780" t="str">
            <v>康舒</v>
          </cell>
          <cell r="C780" t="str">
            <v>安侯建業聯合會計師事務所</v>
          </cell>
          <cell r="D780" t="str">
            <v>王怡文</v>
          </cell>
          <cell r="E780" t="str">
            <v>郭冠纓</v>
          </cell>
          <cell r="F780">
            <v>20170309</v>
          </cell>
          <cell r="G780" t="str">
            <v>無保留意見</v>
          </cell>
        </row>
        <row r="781">
          <cell r="A781">
            <v>6283</v>
          </cell>
          <cell r="B781" t="str">
            <v>淳安電子</v>
          </cell>
          <cell r="C781" t="str">
            <v>勤業眾信聯合會計師事務所</v>
          </cell>
          <cell r="D781" t="str">
            <v>劉健良</v>
          </cell>
          <cell r="E781" t="str">
            <v>郭文吉</v>
          </cell>
          <cell r="F781">
            <v>20170210</v>
          </cell>
          <cell r="G781" t="str">
            <v>無保留意見</v>
          </cell>
        </row>
        <row r="782">
          <cell r="A782">
            <v>6285</v>
          </cell>
          <cell r="B782" t="str">
            <v>啟碁科技</v>
          </cell>
          <cell r="C782" t="str">
            <v>安侯建業聯合會計師事務所</v>
          </cell>
          <cell r="D782" t="str">
            <v>魏興海</v>
          </cell>
          <cell r="E782" t="str">
            <v>黃海寧</v>
          </cell>
          <cell r="F782">
            <v>20170315</v>
          </cell>
          <cell r="G782" t="str">
            <v>無保留意見</v>
          </cell>
        </row>
        <row r="783">
          <cell r="A783">
            <v>6289</v>
          </cell>
          <cell r="B783" t="str">
            <v>華上光電</v>
          </cell>
          <cell r="C783" t="str">
            <v>資信聯合會計師事務所</v>
          </cell>
          <cell r="D783" t="str">
            <v>黃增國</v>
          </cell>
          <cell r="E783" t="str">
            <v>陳榮華</v>
          </cell>
          <cell r="F783">
            <v>20170308</v>
          </cell>
          <cell r="G783" t="str">
            <v>無保留意見</v>
          </cell>
        </row>
        <row r="784">
          <cell r="A784">
            <v>6405</v>
          </cell>
          <cell r="B784" t="str">
            <v>悅城科技</v>
          </cell>
          <cell r="C784" t="str">
            <v>資誠聯合會計師事務所</v>
          </cell>
          <cell r="D784" t="str">
            <v>蕭金木</v>
          </cell>
          <cell r="E784" t="str">
            <v>葉翠苗</v>
          </cell>
          <cell r="F784">
            <v>20170313</v>
          </cell>
          <cell r="G784" t="str">
            <v>無保留意見</v>
          </cell>
        </row>
        <row r="785">
          <cell r="A785">
            <v>6409</v>
          </cell>
          <cell r="B785" t="str">
            <v>旭隼</v>
          </cell>
          <cell r="C785" t="str">
            <v>勤業眾信聯合會計師事務所</v>
          </cell>
          <cell r="D785" t="str">
            <v>虞成全</v>
          </cell>
          <cell r="E785" t="str">
            <v>陳重成</v>
          </cell>
          <cell r="F785">
            <v>20170224</v>
          </cell>
          <cell r="G785" t="str">
            <v>無保留意見</v>
          </cell>
        </row>
        <row r="786">
          <cell r="A786">
            <v>6412</v>
          </cell>
          <cell r="B786" t="str">
            <v>群光電能</v>
          </cell>
          <cell r="C786" t="str">
            <v>資誠聯合會計師事務所</v>
          </cell>
          <cell r="D786" t="str">
            <v>林鈞堯</v>
          </cell>
          <cell r="E786" t="str">
            <v>翁世榮</v>
          </cell>
          <cell r="F786">
            <v>20170301</v>
          </cell>
          <cell r="G786" t="str">
            <v>無保留意見</v>
          </cell>
        </row>
        <row r="787">
          <cell r="A787">
            <v>6414</v>
          </cell>
          <cell r="B787" t="str">
            <v>樺漢科技</v>
          </cell>
          <cell r="C787" t="str">
            <v>勤業眾信聯合會計師事務所</v>
          </cell>
          <cell r="D787" t="str">
            <v>劉水恩</v>
          </cell>
          <cell r="E787" t="str">
            <v>楊清鎮</v>
          </cell>
          <cell r="F787">
            <v>20170223</v>
          </cell>
          <cell r="G787" t="str">
            <v>無保留意見</v>
          </cell>
        </row>
        <row r="788">
          <cell r="A788">
            <v>6415</v>
          </cell>
          <cell r="B788" t="str">
            <v>矽力-KY</v>
          </cell>
          <cell r="C788" t="str">
            <v>勤業眾信聯合會計師事務所</v>
          </cell>
          <cell r="D788" t="str">
            <v>簡明彥</v>
          </cell>
          <cell r="E788" t="str">
            <v>韋亮發</v>
          </cell>
          <cell r="F788">
            <v>20170315</v>
          </cell>
          <cell r="G788" t="str">
            <v>無保留意見</v>
          </cell>
        </row>
        <row r="789">
          <cell r="A789">
            <v>6422</v>
          </cell>
          <cell r="B789" t="str">
            <v>君耀-KY</v>
          </cell>
          <cell r="C789" t="str">
            <v>資誠聯合會計師事務所</v>
          </cell>
          <cell r="D789" t="str">
            <v>吳郁隆</v>
          </cell>
          <cell r="E789" t="str">
            <v>張祚誠</v>
          </cell>
          <cell r="F789">
            <v>20170320</v>
          </cell>
          <cell r="G789" t="str">
            <v>無保留意見</v>
          </cell>
        </row>
        <row r="790">
          <cell r="A790">
            <v>6431</v>
          </cell>
          <cell r="B790" t="str">
            <v>光麗-KY</v>
          </cell>
          <cell r="C790" t="str">
            <v>勤業眾信聯合會計師事務所</v>
          </cell>
          <cell r="D790" t="str">
            <v>蘇郁琇</v>
          </cell>
          <cell r="E790" t="str">
            <v>謝明忠</v>
          </cell>
          <cell r="F790">
            <v>20170329</v>
          </cell>
          <cell r="G790" t="str">
            <v>無保留意見</v>
          </cell>
        </row>
        <row r="791">
          <cell r="A791">
            <v>6442</v>
          </cell>
          <cell r="B791" t="str">
            <v>光聖</v>
          </cell>
          <cell r="C791" t="str">
            <v>勤業眾信聯合會計師事務所</v>
          </cell>
          <cell r="D791" t="str">
            <v>陳俊宏</v>
          </cell>
          <cell r="E791" t="str">
            <v>韋亮發</v>
          </cell>
          <cell r="F791">
            <v>20170329</v>
          </cell>
          <cell r="G791" t="str">
            <v>無保留意見</v>
          </cell>
        </row>
        <row r="792">
          <cell r="A792">
            <v>6443</v>
          </cell>
          <cell r="B792" t="str">
            <v>元晶</v>
          </cell>
          <cell r="C792" t="str">
            <v>勤業眾信聯合會計師事務所</v>
          </cell>
          <cell r="D792" t="str">
            <v>劉永富</v>
          </cell>
          <cell r="E792" t="str">
            <v>陳招美</v>
          </cell>
          <cell r="F792">
            <v>20170314</v>
          </cell>
          <cell r="G792" t="str">
            <v>無保留意見</v>
          </cell>
        </row>
        <row r="793">
          <cell r="A793">
            <v>6449</v>
          </cell>
          <cell r="B793" t="str">
            <v>鈺邦科技</v>
          </cell>
          <cell r="C793" t="str">
            <v>安侯建業聯合會計師事務所</v>
          </cell>
          <cell r="D793" t="str">
            <v>曾渼鈺</v>
          </cell>
          <cell r="E793" t="str">
            <v>呂倩慧</v>
          </cell>
          <cell r="F793">
            <v>20170315</v>
          </cell>
          <cell r="G793" t="str">
            <v>無保留意見</v>
          </cell>
        </row>
        <row r="794">
          <cell r="A794">
            <v>6451</v>
          </cell>
          <cell r="B794" t="str">
            <v>訊芯-KY</v>
          </cell>
          <cell r="C794" t="str">
            <v>安侯建業聯合會計師事務所</v>
          </cell>
          <cell r="D794" t="str">
            <v>關春修</v>
          </cell>
          <cell r="E794" t="str">
            <v>于紀隆</v>
          </cell>
          <cell r="F794">
            <v>20170309</v>
          </cell>
          <cell r="G794" t="str">
            <v>無保留意見</v>
          </cell>
        </row>
        <row r="795">
          <cell r="A795">
            <v>6452</v>
          </cell>
          <cell r="B795" t="str">
            <v>康友-KY</v>
          </cell>
          <cell r="C795" t="str">
            <v>勤業眾信聯合會計師事務所</v>
          </cell>
          <cell r="D795" t="str">
            <v>施景彬</v>
          </cell>
          <cell r="E795" t="str">
            <v>江明南</v>
          </cell>
          <cell r="F795">
            <v>20170322</v>
          </cell>
          <cell r="G795" t="str">
            <v>無保留意見</v>
          </cell>
        </row>
        <row r="796">
          <cell r="A796">
            <v>6456</v>
          </cell>
          <cell r="B796" t="str">
            <v>GIS-KY</v>
          </cell>
          <cell r="C796" t="str">
            <v>資誠聯合會計師事務所</v>
          </cell>
          <cell r="D796" t="str">
            <v>徐永堅</v>
          </cell>
          <cell r="E796" t="str">
            <v>徐聖忠</v>
          </cell>
          <cell r="F796">
            <v>20170306</v>
          </cell>
          <cell r="G796" t="str">
            <v>無保留意見</v>
          </cell>
        </row>
        <row r="797">
          <cell r="A797">
            <v>6464</v>
          </cell>
          <cell r="B797" t="str">
            <v>台數科</v>
          </cell>
          <cell r="C797" t="str">
            <v>勤業眾信聯合會計師事務所</v>
          </cell>
          <cell r="D797" t="str">
            <v>吳麗冬</v>
          </cell>
          <cell r="E797" t="str">
            <v>蔣淑菁</v>
          </cell>
          <cell r="F797">
            <v>20170224</v>
          </cell>
          <cell r="G797" t="str">
            <v>無保留意見</v>
          </cell>
        </row>
        <row r="798">
          <cell r="A798">
            <v>6477</v>
          </cell>
          <cell r="B798" t="str">
            <v>安集</v>
          </cell>
          <cell r="C798" t="str">
            <v>勤業眾信聯合會計師事務所</v>
          </cell>
          <cell r="D798" t="str">
            <v>李季珍</v>
          </cell>
          <cell r="E798" t="str">
            <v>廖鴻儒</v>
          </cell>
          <cell r="F798">
            <v>20170323</v>
          </cell>
          <cell r="G798" t="str">
            <v>無保留意見</v>
          </cell>
        </row>
        <row r="799">
          <cell r="A799">
            <v>6504</v>
          </cell>
          <cell r="B799" t="str">
            <v>南六</v>
          </cell>
          <cell r="C799" t="str">
            <v>揚智聯合會計師事務所</v>
          </cell>
          <cell r="D799" t="str">
            <v>王錦祥</v>
          </cell>
          <cell r="E799" t="str">
            <v>王淑冬</v>
          </cell>
          <cell r="F799">
            <v>20170314</v>
          </cell>
          <cell r="G799" t="str">
            <v>無保留意見</v>
          </cell>
        </row>
        <row r="800">
          <cell r="A800">
            <v>6505</v>
          </cell>
          <cell r="B800" t="str">
            <v>台塑石化</v>
          </cell>
          <cell r="C800" t="str">
            <v>安永聯合會計師事務所</v>
          </cell>
          <cell r="D800" t="str">
            <v>曾祥裕</v>
          </cell>
          <cell r="E800" t="str">
            <v>王金來</v>
          </cell>
          <cell r="F800">
            <v>20170315</v>
          </cell>
          <cell r="G800" t="str">
            <v>無保留意見</v>
          </cell>
        </row>
        <row r="801">
          <cell r="A801">
            <v>6525</v>
          </cell>
          <cell r="B801" t="str">
            <v>捷敏-KY</v>
          </cell>
          <cell r="C801" t="str">
            <v>勤業眾信聯合會計師事務所</v>
          </cell>
          <cell r="D801" t="str">
            <v>張耿禧</v>
          </cell>
          <cell r="E801" t="str">
            <v>虞成全</v>
          </cell>
          <cell r="F801">
            <v>20170329</v>
          </cell>
          <cell r="G801" t="str">
            <v>無保留意見</v>
          </cell>
        </row>
        <row r="802">
          <cell r="A802">
            <v>6531</v>
          </cell>
          <cell r="B802" t="str">
            <v>愛普</v>
          </cell>
          <cell r="C802" t="str">
            <v>勤業眾信聯合會計師事務所</v>
          </cell>
          <cell r="D802" t="str">
            <v>簡明彥</v>
          </cell>
          <cell r="E802" t="str">
            <v>韋亮發</v>
          </cell>
          <cell r="F802">
            <v>20170316</v>
          </cell>
          <cell r="G802" t="str">
            <v>無保留意見</v>
          </cell>
        </row>
        <row r="803">
          <cell r="A803">
            <v>6533</v>
          </cell>
          <cell r="B803" t="str">
            <v>晶心科</v>
          </cell>
          <cell r="C803" t="str">
            <v>安永聯合會計師事務所</v>
          </cell>
          <cell r="D803" t="str">
            <v>許  新  民</v>
          </cell>
          <cell r="E803" t="str">
            <v>郭  紹  彬</v>
          </cell>
          <cell r="F803">
            <v>20170330</v>
          </cell>
          <cell r="G803" t="str">
            <v>無保留意見</v>
          </cell>
        </row>
        <row r="804">
          <cell r="A804">
            <v>6552</v>
          </cell>
          <cell r="B804" t="str">
            <v>易華電</v>
          </cell>
          <cell r="C804" t="str">
            <v>勤業眾信聯合會計師事務所</v>
          </cell>
          <cell r="D804" t="str">
            <v>許瑞軒</v>
          </cell>
          <cell r="E804" t="str">
            <v>龔俊吉</v>
          </cell>
          <cell r="F804">
            <v>20170210</v>
          </cell>
          <cell r="G804" t="str">
            <v>無保留意見</v>
          </cell>
        </row>
        <row r="805">
          <cell r="A805">
            <v>6605</v>
          </cell>
          <cell r="B805" t="str">
            <v>帝寶工業</v>
          </cell>
          <cell r="C805" t="str">
            <v>勤業眾信聯合會計師事務所</v>
          </cell>
          <cell r="D805" t="str">
            <v>吳麗冬</v>
          </cell>
          <cell r="E805" t="str">
            <v>顏曉芳</v>
          </cell>
          <cell r="F805">
            <v>20170324</v>
          </cell>
          <cell r="G805" t="str">
            <v>無保留意見</v>
          </cell>
        </row>
        <row r="806">
          <cell r="A806">
            <v>8011</v>
          </cell>
          <cell r="B806" t="str">
            <v>台通</v>
          </cell>
          <cell r="C806" t="str">
            <v>勤業眾信聯合會計師事務所</v>
          </cell>
          <cell r="D806" t="str">
            <v>陳盈州</v>
          </cell>
          <cell r="E806" t="str">
            <v>楊承修</v>
          </cell>
          <cell r="F806">
            <v>20170330</v>
          </cell>
          <cell r="G806" t="str">
            <v>無保留意見</v>
          </cell>
        </row>
        <row r="807">
          <cell r="A807">
            <v>8016</v>
          </cell>
          <cell r="B807" t="str">
            <v>矽創電子</v>
          </cell>
          <cell r="C807" t="str">
            <v>勤業眾信聯合會計師事務所</v>
          </cell>
          <cell r="D807" t="str">
            <v>方蘇立</v>
          </cell>
          <cell r="E807" t="str">
            <v>黃裕峰</v>
          </cell>
          <cell r="F807">
            <v>20170315</v>
          </cell>
          <cell r="G807" t="str">
            <v>無保留意見</v>
          </cell>
        </row>
        <row r="808">
          <cell r="A808">
            <v>8021</v>
          </cell>
          <cell r="B808" t="str">
            <v>尖點</v>
          </cell>
          <cell r="C808" t="str">
            <v>勤業眾信聯合會計師事務所</v>
          </cell>
          <cell r="D808" t="str">
            <v>廖婉怡</v>
          </cell>
          <cell r="E808" t="str">
            <v>謝建新</v>
          </cell>
          <cell r="F808">
            <v>20170223</v>
          </cell>
          <cell r="G808" t="str">
            <v>無保留意見</v>
          </cell>
        </row>
        <row r="809">
          <cell r="A809">
            <v>8039</v>
          </cell>
          <cell r="B809" t="str">
            <v>台虹科技</v>
          </cell>
          <cell r="C809" t="str">
            <v>安永聯合會計師事務所</v>
          </cell>
          <cell r="D809" t="str">
            <v>李芳文</v>
          </cell>
          <cell r="E809" t="str">
            <v>林鴻光</v>
          </cell>
          <cell r="F809">
            <v>20170223</v>
          </cell>
          <cell r="G809" t="str">
            <v>無保留意見</v>
          </cell>
        </row>
        <row r="810">
          <cell r="A810">
            <v>8046</v>
          </cell>
          <cell r="B810" t="str">
            <v>南電</v>
          </cell>
          <cell r="C810" t="str">
            <v>安侯建業聯合會計師事務所</v>
          </cell>
          <cell r="D810" t="str">
            <v>陳秀蘭</v>
          </cell>
          <cell r="E810" t="str">
            <v>陳蓓琪</v>
          </cell>
          <cell r="F810">
            <v>20170324</v>
          </cell>
          <cell r="G810" t="str">
            <v>無保留意見</v>
          </cell>
        </row>
        <row r="811">
          <cell r="A811">
            <v>8070</v>
          </cell>
          <cell r="B811" t="str">
            <v>長華電材</v>
          </cell>
          <cell r="C811" t="str">
            <v>勤業眾信聯合會計師事務所</v>
          </cell>
          <cell r="D811" t="str">
            <v>郭麗園</v>
          </cell>
          <cell r="E811" t="str">
            <v>劉裕祥</v>
          </cell>
          <cell r="F811">
            <v>20170215</v>
          </cell>
          <cell r="G811" t="str">
            <v>無保留意見</v>
          </cell>
        </row>
        <row r="812">
          <cell r="A812">
            <v>8072</v>
          </cell>
          <cell r="B812" t="str">
            <v>陞泰</v>
          </cell>
          <cell r="C812" t="str">
            <v>勤業眾信聯合會計師事務所</v>
          </cell>
          <cell r="D812" t="str">
            <v>李振銘</v>
          </cell>
          <cell r="E812" t="str">
            <v>郭文吉</v>
          </cell>
          <cell r="F812">
            <v>20170315</v>
          </cell>
          <cell r="G812" t="str">
            <v>無保留意見</v>
          </cell>
        </row>
        <row r="813">
          <cell r="A813">
            <v>8081</v>
          </cell>
          <cell r="B813" t="str">
            <v>致新</v>
          </cell>
          <cell r="C813" t="str">
            <v>勤業眾信聯合會計師事務所</v>
          </cell>
          <cell r="D813" t="str">
            <v>陳明煇</v>
          </cell>
          <cell r="E813" t="str">
            <v>黃裕峰</v>
          </cell>
          <cell r="F813">
            <v>20170323</v>
          </cell>
          <cell r="G813" t="str">
            <v>無保留意見</v>
          </cell>
        </row>
        <row r="814">
          <cell r="A814">
            <v>8101</v>
          </cell>
          <cell r="B814" t="str">
            <v>華冠通訊</v>
          </cell>
          <cell r="C814" t="str">
            <v>安侯建業聯合會計師事務所</v>
          </cell>
          <cell r="D814" t="str">
            <v>吳美萍</v>
          </cell>
          <cell r="E814" t="str">
            <v>黃泳華</v>
          </cell>
          <cell r="F814">
            <v>20170329</v>
          </cell>
          <cell r="G814" t="str">
            <v>無保留意見</v>
          </cell>
        </row>
        <row r="815">
          <cell r="A815">
            <v>8103</v>
          </cell>
          <cell r="B815" t="str">
            <v>瀚荃</v>
          </cell>
          <cell r="C815" t="str">
            <v>安侯建業聯合會計師事務所</v>
          </cell>
          <cell r="D815" t="str">
            <v>陳雅琳</v>
          </cell>
          <cell r="E815" t="str">
            <v>王清松</v>
          </cell>
          <cell r="F815">
            <v>20170322</v>
          </cell>
          <cell r="G815" t="str">
            <v>無保留意見</v>
          </cell>
        </row>
        <row r="816">
          <cell r="A816">
            <v>8105</v>
          </cell>
          <cell r="B816" t="str">
            <v>凌巨</v>
          </cell>
          <cell r="C816" t="str">
            <v>安永聯合會計師事務所</v>
          </cell>
          <cell r="D816" t="str">
            <v>涂嘉玲</v>
          </cell>
          <cell r="E816" t="str">
            <v>張志銘</v>
          </cell>
          <cell r="F816">
            <v>20170223</v>
          </cell>
          <cell r="G816" t="str">
            <v>無保留意見</v>
          </cell>
        </row>
        <row r="817">
          <cell r="A817">
            <v>8110</v>
          </cell>
          <cell r="B817" t="str">
            <v>華東</v>
          </cell>
          <cell r="C817" t="str">
            <v>勤業眾信聯合會計師事務所</v>
          </cell>
          <cell r="D817" t="str">
            <v>許瑞軒</v>
          </cell>
          <cell r="E817" t="str">
            <v>郭麗園</v>
          </cell>
          <cell r="F817">
            <v>20170217</v>
          </cell>
          <cell r="G817" t="str">
            <v>無保留意見</v>
          </cell>
        </row>
        <row r="818">
          <cell r="A818">
            <v>8112</v>
          </cell>
          <cell r="B818" t="str">
            <v>至上電子</v>
          </cell>
          <cell r="C818" t="str">
            <v>安侯建業聯合會計師事務所</v>
          </cell>
          <cell r="D818" t="str">
            <v>黃泳華</v>
          </cell>
          <cell r="E818" t="str">
            <v>吳美萍</v>
          </cell>
          <cell r="F818">
            <v>20170310</v>
          </cell>
          <cell r="G818" t="str">
            <v>無保留意見</v>
          </cell>
        </row>
        <row r="819">
          <cell r="A819">
            <v>8114</v>
          </cell>
          <cell r="B819" t="str">
            <v>振樺電子</v>
          </cell>
          <cell r="C819" t="str">
            <v>勤業眾信聯合會計師事務所</v>
          </cell>
          <cell r="D819" t="str">
            <v>江明南</v>
          </cell>
          <cell r="E819" t="str">
            <v>葉淑娟</v>
          </cell>
          <cell r="F819">
            <v>20170313</v>
          </cell>
          <cell r="G819" t="str">
            <v>無保留意見</v>
          </cell>
        </row>
        <row r="820">
          <cell r="A820">
            <v>8131</v>
          </cell>
          <cell r="B820" t="str">
            <v>福懋科技</v>
          </cell>
          <cell r="C820" t="str">
            <v>資誠聯合會計師事務所</v>
          </cell>
          <cell r="D820" t="str">
            <v>周建宏</v>
          </cell>
          <cell r="E820" t="str">
            <v>阮呂曼玉</v>
          </cell>
          <cell r="F820">
            <v>20170317</v>
          </cell>
          <cell r="G820" t="str">
            <v>無保留意見</v>
          </cell>
        </row>
        <row r="821">
          <cell r="A821">
            <v>8150</v>
          </cell>
          <cell r="B821" t="str">
            <v>南茂科技</v>
          </cell>
          <cell r="C821" t="str">
            <v>資誠聯合會計師事務所</v>
          </cell>
          <cell r="D821" t="str">
            <v>蕭春鴛</v>
          </cell>
          <cell r="E821" t="str">
            <v>謝智政</v>
          </cell>
          <cell r="F821">
            <v>20170309</v>
          </cell>
          <cell r="G821" t="str">
            <v>無保留意見</v>
          </cell>
        </row>
        <row r="822">
          <cell r="A822">
            <v>8163</v>
          </cell>
          <cell r="B822" t="str">
            <v>達方電子</v>
          </cell>
          <cell r="C822" t="str">
            <v>安侯建業聯合會計師事務所</v>
          </cell>
          <cell r="D822" t="str">
            <v>唐慈杰</v>
          </cell>
          <cell r="E822" t="str">
            <v>施威銘</v>
          </cell>
          <cell r="F822">
            <v>20170302</v>
          </cell>
          <cell r="G822" t="str">
            <v>無保留意見</v>
          </cell>
        </row>
        <row r="823">
          <cell r="A823">
            <v>8201</v>
          </cell>
          <cell r="B823" t="str">
            <v>無敵</v>
          </cell>
          <cell r="C823" t="str">
            <v>安 侯 建 業 聯 合 會 計 師 事 務 所</v>
          </cell>
          <cell r="D823" t="str">
            <v>陳盈如</v>
          </cell>
          <cell r="E823" t="str">
            <v>楊柳鋒</v>
          </cell>
          <cell r="F823">
            <v>20170327</v>
          </cell>
          <cell r="G823" t="str">
            <v>無保留意見</v>
          </cell>
        </row>
        <row r="824">
          <cell r="A824">
            <v>8210</v>
          </cell>
          <cell r="B824" t="str">
            <v>勤誠興業</v>
          </cell>
          <cell r="C824" t="str">
            <v>資誠聯合會計師事務所</v>
          </cell>
          <cell r="D824" t="str">
            <v>曾惠瑾</v>
          </cell>
          <cell r="E824" t="str">
            <v>支秉鈞</v>
          </cell>
          <cell r="F824">
            <v>20170223</v>
          </cell>
          <cell r="G824" t="str">
            <v>無保留意見</v>
          </cell>
        </row>
        <row r="825">
          <cell r="A825">
            <v>8213</v>
          </cell>
          <cell r="B825" t="str">
            <v>志超</v>
          </cell>
          <cell r="C825" t="str">
            <v>安侯建業聯合會計師事務所</v>
          </cell>
          <cell r="D825" t="str">
            <v>林琬琬</v>
          </cell>
          <cell r="E825" t="str">
            <v>陳宜君</v>
          </cell>
          <cell r="F825">
            <v>20170320</v>
          </cell>
          <cell r="G825" t="str">
            <v>無保留意見</v>
          </cell>
        </row>
        <row r="826">
          <cell r="A826">
            <v>8215</v>
          </cell>
          <cell r="B826" t="str">
            <v>明基材料</v>
          </cell>
          <cell r="C826" t="str">
            <v>安侯建業聯合會計師事務所</v>
          </cell>
          <cell r="D826" t="str">
            <v>施威銘</v>
          </cell>
          <cell r="E826" t="str">
            <v>張惠貞</v>
          </cell>
          <cell r="F826">
            <v>20170302</v>
          </cell>
          <cell r="G826" t="str">
            <v>無保留意見</v>
          </cell>
        </row>
        <row r="827">
          <cell r="A827">
            <v>8222</v>
          </cell>
          <cell r="B827" t="str">
            <v>寶一科技</v>
          </cell>
          <cell r="C827" t="str">
            <v>勤業眾信聯合會計師事務所</v>
          </cell>
          <cell r="D827" t="str">
            <v>廖鴻儒</v>
          </cell>
          <cell r="E827" t="str">
            <v>李季珍</v>
          </cell>
          <cell r="F827">
            <v>20170218</v>
          </cell>
          <cell r="G827" t="str">
            <v>無保留意見</v>
          </cell>
        </row>
        <row r="828">
          <cell r="A828">
            <v>8249</v>
          </cell>
          <cell r="B828" t="str">
            <v>菱光科技</v>
          </cell>
          <cell r="C828" t="str">
            <v>資誠聯合會計師事務所</v>
          </cell>
          <cell r="D828" t="str">
            <v>林鈞堯</v>
          </cell>
          <cell r="E828" t="str">
            <v>張淑瓊</v>
          </cell>
          <cell r="F828">
            <v>20170322</v>
          </cell>
          <cell r="G828" t="str">
            <v>無保留意見</v>
          </cell>
        </row>
        <row r="829">
          <cell r="A829">
            <v>8261</v>
          </cell>
          <cell r="B829" t="str">
            <v>富鼎</v>
          </cell>
          <cell r="C829" t="str">
            <v>勤業眾信聯合會計師事務所</v>
          </cell>
          <cell r="D829" t="str">
            <v>林文欽</v>
          </cell>
          <cell r="E829" t="str">
            <v>李振銘</v>
          </cell>
          <cell r="F829">
            <v>20170327</v>
          </cell>
          <cell r="G829" t="str">
            <v>無保留意見</v>
          </cell>
        </row>
        <row r="830">
          <cell r="A830">
            <v>8271</v>
          </cell>
          <cell r="B830" t="str">
            <v>宇瞻科技</v>
          </cell>
          <cell r="C830" t="str">
            <v>安侯建業聯合會計師事務所</v>
          </cell>
          <cell r="D830" t="str">
            <v>陳玫燕</v>
          </cell>
          <cell r="E830" t="str">
            <v>吳麟</v>
          </cell>
          <cell r="F830">
            <v>20170221</v>
          </cell>
          <cell r="G830" t="str">
            <v>無保留意見</v>
          </cell>
        </row>
        <row r="831">
          <cell r="A831">
            <v>8341</v>
          </cell>
          <cell r="B831" t="str">
            <v>日友</v>
          </cell>
          <cell r="C831" t="str">
            <v>資誠聯合會計師事務所</v>
          </cell>
          <cell r="D831" t="str">
            <v>李秀玲</v>
          </cell>
          <cell r="E831" t="str">
            <v>翁世榮</v>
          </cell>
          <cell r="F831">
            <v>20170224</v>
          </cell>
          <cell r="G831" t="str">
            <v>無保留意見</v>
          </cell>
        </row>
        <row r="832">
          <cell r="A832">
            <v>8374</v>
          </cell>
          <cell r="B832" t="str">
            <v>羅昇</v>
          </cell>
          <cell r="C832" t="str">
            <v>安侯建業聯合會計師事務所</v>
          </cell>
          <cell r="D832" t="str">
            <v>施威銘</v>
          </cell>
          <cell r="E832" t="str">
            <v>張惠貞</v>
          </cell>
          <cell r="F832">
            <v>20170317</v>
          </cell>
          <cell r="G832" t="str">
            <v>無保留意見</v>
          </cell>
        </row>
        <row r="833">
          <cell r="A833">
            <v>8404</v>
          </cell>
          <cell r="B833" t="str">
            <v>百和興業-KY</v>
          </cell>
          <cell r="C833" t="str">
            <v>勤業眾信聯合會計師事務所</v>
          </cell>
          <cell r="D833" t="str">
            <v>蔣淑菁</v>
          </cell>
          <cell r="E833" t="str">
            <v>顏曉芳</v>
          </cell>
          <cell r="F833">
            <v>20170307</v>
          </cell>
          <cell r="G833" t="str">
            <v>無保留意見</v>
          </cell>
        </row>
        <row r="834">
          <cell r="A834">
            <v>8411</v>
          </cell>
          <cell r="B834" t="str">
            <v>福貞-KY</v>
          </cell>
          <cell r="C834" t="str">
            <v>安侯建業聯合會計師事務所</v>
          </cell>
          <cell r="D834" t="str">
            <v>余聖河</v>
          </cell>
          <cell r="E834" t="str">
            <v>黃泳華</v>
          </cell>
          <cell r="F834">
            <v>20170325</v>
          </cell>
          <cell r="G834" t="str">
            <v>無保留意見</v>
          </cell>
        </row>
        <row r="835">
          <cell r="A835">
            <v>8422</v>
          </cell>
          <cell r="B835" t="str">
            <v>可寧衛</v>
          </cell>
          <cell r="C835" t="str">
            <v>勤業眾信聯合會計師事務所</v>
          </cell>
          <cell r="D835" t="str">
            <v>鄭淂蓁</v>
          </cell>
          <cell r="E835" t="str">
            <v>施錦川</v>
          </cell>
          <cell r="F835">
            <v>20170324</v>
          </cell>
          <cell r="G835" t="str">
            <v>無保留意見</v>
          </cell>
        </row>
        <row r="836">
          <cell r="A836">
            <v>8427</v>
          </cell>
          <cell r="B836" t="str">
            <v>基勝-KY</v>
          </cell>
          <cell r="C836" t="str">
            <v>勤業眾信聯合會計師事務所</v>
          </cell>
          <cell r="D836" t="str">
            <v>謝明忠</v>
          </cell>
          <cell r="E836" t="str">
            <v>李麗凰</v>
          </cell>
          <cell r="F836">
            <v>20170317</v>
          </cell>
          <cell r="G836" t="str">
            <v>無保留意見</v>
          </cell>
        </row>
        <row r="837">
          <cell r="A837">
            <v>8429</v>
          </cell>
          <cell r="B837" t="str">
            <v>金麗-KY</v>
          </cell>
          <cell r="C837" t="str">
            <v>資誠聯合會計師事務所</v>
          </cell>
          <cell r="D837" t="str">
            <v>張祚誠</v>
          </cell>
          <cell r="E837" t="str">
            <v>蕭金木</v>
          </cell>
          <cell r="F837">
            <v>20170331</v>
          </cell>
          <cell r="G837" t="str">
            <v>無保留意見</v>
          </cell>
        </row>
        <row r="838">
          <cell r="A838">
            <v>8442</v>
          </cell>
          <cell r="B838" t="str">
            <v>威宏-KY</v>
          </cell>
          <cell r="C838" t="str">
            <v>安侯建業聯合會計師事務所</v>
          </cell>
          <cell r="D838" t="str">
            <v>李禾方儀</v>
          </cell>
          <cell r="E838" t="str">
            <v>陳雅琳</v>
          </cell>
          <cell r="F838">
            <v>20170323</v>
          </cell>
          <cell r="G838" t="str">
            <v>無保留意見</v>
          </cell>
        </row>
        <row r="839">
          <cell r="A839">
            <v>8443</v>
          </cell>
          <cell r="B839" t="str">
            <v>阿瘦</v>
          </cell>
          <cell r="C839" t="str">
            <v>資誠聯合會計師事務所</v>
          </cell>
          <cell r="D839" t="str">
            <v>王方瑜</v>
          </cell>
          <cell r="E839" t="str">
            <v>李運鞭</v>
          </cell>
          <cell r="F839">
            <v>20170321</v>
          </cell>
          <cell r="G839" t="str">
            <v>無保留意見</v>
          </cell>
        </row>
        <row r="840">
          <cell r="A840">
            <v>8454</v>
          </cell>
          <cell r="B840" t="str">
            <v>富邦媒</v>
          </cell>
          <cell r="C840" t="str">
            <v>勤業眾信聯合會計師事務所</v>
          </cell>
          <cell r="D840" t="str">
            <v>郭俐雯</v>
          </cell>
          <cell r="E840" t="str">
            <v>林文欽</v>
          </cell>
          <cell r="F840">
            <v>20170124</v>
          </cell>
          <cell r="G840" t="str">
            <v>無保留意見</v>
          </cell>
        </row>
        <row r="841">
          <cell r="A841">
            <v>8463</v>
          </cell>
          <cell r="B841" t="str">
            <v>潤泰精材</v>
          </cell>
          <cell r="C841" t="str">
            <v>資誠聯合會計師事務所</v>
          </cell>
          <cell r="D841" t="str">
            <v>王照明</v>
          </cell>
          <cell r="E841" t="str">
            <v>張淑瓊</v>
          </cell>
          <cell r="F841">
            <v>20170323</v>
          </cell>
          <cell r="G841" t="str">
            <v>無保留意見</v>
          </cell>
        </row>
        <row r="842">
          <cell r="A842">
            <v>8464</v>
          </cell>
          <cell r="B842" t="str">
            <v>億豐</v>
          </cell>
          <cell r="C842" t="str">
            <v>安永聯合會計師事務所</v>
          </cell>
          <cell r="D842" t="str">
            <v>林鴻光</v>
          </cell>
          <cell r="E842" t="str">
            <v>涂清淵</v>
          </cell>
          <cell r="F842">
            <v>20170322</v>
          </cell>
          <cell r="G842" t="str">
            <v>無保留意見</v>
          </cell>
        </row>
        <row r="843">
          <cell r="A843">
            <v>8466</v>
          </cell>
          <cell r="B843" t="str">
            <v>美吉吉-KY</v>
          </cell>
          <cell r="C843" t="str">
            <v>勤業眾信聯合會計師事務所</v>
          </cell>
          <cell r="D843" t="str">
            <v>虞成全</v>
          </cell>
          <cell r="E843" t="str">
            <v>張耿禧</v>
          </cell>
          <cell r="F843">
            <v>20170309</v>
          </cell>
          <cell r="G843" t="str">
            <v>無保留意見</v>
          </cell>
        </row>
        <row r="844">
          <cell r="A844">
            <v>8467</v>
          </cell>
          <cell r="B844" t="str">
            <v>波力-KY</v>
          </cell>
          <cell r="C844" t="str">
            <v>安永聯合會計師事務所</v>
          </cell>
          <cell r="D844" t="str">
            <v>(二余)清淵</v>
          </cell>
          <cell r="E844" t="str">
            <v>黃子評</v>
          </cell>
          <cell r="F844">
            <v>20170324</v>
          </cell>
          <cell r="G844" t="str">
            <v>無保留意見</v>
          </cell>
        </row>
        <row r="845">
          <cell r="A845">
            <v>8473</v>
          </cell>
          <cell r="B845" t="str">
            <v>山林水</v>
          </cell>
          <cell r="C845" t="str">
            <v>安 侯 建 業 聯 合 會 計 師 事 務 所</v>
          </cell>
          <cell r="D845" t="str">
            <v>張淑瑩</v>
          </cell>
          <cell r="E845" t="str">
            <v>曾國禓</v>
          </cell>
          <cell r="F845">
            <v>20170323</v>
          </cell>
          <cell r="G845" t="str">
            <v>無保留意見</v>
          </cell>
        </row>
        <row r="846">
          <cell r="A846">
            <v>8480</v>
          </cell>
          <cell r="B846" t="str">
            <v>泰昇-KY</v>
          </cell>
          <cell r="C846" t="str">
            <v>勤業眾信聯合會計師事務所</v>
          </cell>
          <cell r="D846" t="str">
            <v>謝明忠</v>
          </cell>
          <cell r="E846" t="str">
            <v>林宜慧</v>
          </cell>
          <cell r="F846">
            <v>20170308</v>
          </cell>
          <cell r="G846" t="str">
            <v>無保留意見</v>
          </cell>
        </row>
        <row r="847">
          <cell r="A847">
            <v>8481</v>
          </cell>
          <cell r="B847" t="str">
            <v>政伸</v>
          </cell>
          <cell r="C847" t="str">
            <v>安侯建業聯合會計師事務所</v>
          </cell>
          <cell r="D847" t="str">
            <v>陳君滿</v>
          </cell>
          <cell r="E847" t="str">
            <v>張字信</v>
          </cell>
          <cell r="F847">
            <v>20170317</v>
          </cell>
          <cell r="G847" t="str">
            <v>無保留意見</v>
          </cell>
        </row>
        <row r="848">
          <cell r="A848">
            <v>8488</v>
          </cell>
          <cell r="B848" t="str">
            <v>吉源-KY</v>
          </cell>
          <cell r="C848" t="str">
            <v>資誠聯合會計師事務所</v>
          </cell>
          <cell r="D848" t="str">
            <v>葉翠苗</v>
          </cell>
          <cell r="E848" t="str">
            <v>吳郁隆</v>
          </cell>
          <cell r="F848">
            <v>20170328</v>
          </cell>
          <cell r="G848" t="str">
            <v>無保留意見</v>
          </cell>
        </row>
        <row r="849">
          <cell r="A849">
            <v>8926</v>
          </cell>
          <cell r="B849" t="str">
            <v>台汽電</v>
          </cell>
          <cell r="C849" t="str">
            <v>勤業眾信聯合會計師事務所</v>
          </cell>
          <cell r="D849" t="str">
            <v>何瑞軒</v>
          </cell>
          <cell r="E849" t="str">
            <v>謝建新</v>
          </cell>
          <cell r="F849">
            <v>20170329</v>
          </cell>
          <cell r="G849" t="str">
            <v>無保留意見</v>
          </cell>
        </row>
        <row r="850">
          <cell r="A850">
            <v>8940</v>
          </cell>
          <cell r="B850" t="str">
            <v>新天地</v>
          </cell>
          <cell r="C850" t="str">
            <v>勤業眾信聯合會計師事務所</v>
          </cell>
          <cell r="D850" t="str">
            <v>吳麗冬</v>
          </cell>
          <cell r="E850" t="str">
            <v>成德潤</v>
          </cell>
          <cell r="F850">
            <v>20170207</v>
          </cell>
          <cell r="G850" t="str">
            <v>無保留意見</v>
          </cell>
        </row>
        <row r="851">
          <cell r="A851">
            <v>8996</v>
          </cell>
          <cell r="B851" t="str">
            <v>高力</v>
          </cell>
          <cell r="C851" t="str">
            <v>勤業眾信聯合會計師事務所</v>
          </cell>
          <cell r="D851" t="str">
            <v>蘇郁琇</v>
          </cell>
          <cell r="E851" t="str">
            <v>龔雙雄</v>
          </cell>
          <cell r="F851">
            <v>20170324</v>
          </cell>
          <cell r="G851" t="str">
            <v>無保留意見</v>
          </cell>
        </row>
        <row r="852">
          <cell r="A852">
            <v>9802</v>
          </cell>
          <cell r="B852" t="str">
            <v>鈺齊-KY</v>
          </cell>
          <cell r="C852" t="str">
            <v>資誠聯合會計師事務所</v>
          </cell>
          <cell r="D852" t="str">
            <v>洪淑華</v>
          </cell>
          <cell r="E852" t="str">
            <v>王玉娟</v>
          </cell>
          <cell r="F852">
            <v>20170309</v>
          </cell>
          <cell r="G852" t="str">
            <v>無保留意見</v>
          </cell>
        </row>
        <row r="853">
          <cell r="A853">
            <v>9902</v>
          </cell>
          <cell r="B853" t="str">
            <v>台火</v>
          </cell>
          <cell r="C853" t="str">
            <v>大中國際聯合會計師事務所</v>
          </cell>
          <cell r="D853" t="str">
            <v>林寬照</v>
          </cell>
          <cell r="E853" t="str">
            <v>徐靖賢</v>
          </cell>
          <cell r="F853">
            <v>20170322</v>
          </cell>
          <cell r="G853" t="str">
            <v>無保留意見</v>
          </cell>
        </row>
        <row r="854">
          <cell r="A854">
            <v>9904</v>
          </cell>
          <cell r="B854" t="str">
            <v>寶成工業</v>
          </cell>
          <cell r="C854" t="str">
            <v>勤業眾信聯合會計師事務所</v>
          </cell>
          <cell r="D854" t="str">
            <v>吳恪昌</v>
          </cell>
          <cell r="E854" t="str">
            <v>余鴻賓</v>
          </cell>
          <cell r="F854">
            <v>20170327</v>
          </cell>
          <cell r="G854" t="str">
            <v>無保留意見</v>
          </cell>
        </row>
        <row r="855">
          <cell r="A855">
            <v>9905</v>
          </cell>
          <cell r="B855" t="str">
            <v>大華金</v>
          </cell>
          <cell r="C855" t="str">
            <v>勤業眾信聯合會計師事務所</v>
          </cell>
          <cell r="D855" t="str">
            <v>張清福</v>
          </cell>
          <cell r="E855" t="str">
            <v>張清福</v>
          </cell>
          <cell r="F855">
            <v>20170314</v>
          </cell>
          <cell r="G855" t="str">
            <v>無保留意見</v>
          </cell>
        </row>
        <row r="856">
          <cell r="A856">
            <v>9906</v>
          </cell>
          <cell r="B856" t="str">
            <v>欣巴巴</v>
          </cell>
          <cell r="C856" t="str">
            <v>勤業眾信聯合會計師事務所</v>
          </cell>
          <cell r="D856" t="str">
            <v>江佳玲</v>
          </cell>
          <cell r="E856" t="str">
            <v>陳珍麗</v>
          </cell>
          <cell r="F856">
            <v>20170328</v>
          </cell>
          <cell r="G856" t="str">
            <v>無保留意見</v>
          </cell>
        </row>
        <row r="857">
          <cell r="A857">
            <v>9907</v>
          </cell>
          <cell r="B857" t="str">
            <v>統一實業</v>
          </cell>
          <cell r="C857" t="str">
            <v>資誠聯合會計師事務所</v>
          </cell>
          <cell r="D857" t="str">
            <v>林姿妤</v>
          </cell>
          <cell r="E857" t="str">
            <v>李明憲</v>
          </cell>
          <cell r="F857">
            <v>20170328</v>
          </cell>
          <cell r="G857" t="str">
            <v>無保留意見</v>
          </cell>
        </row>
        <row r="858">
          <cell r="A858">
            <v>9908</v>
          </cell>
          <cell r="B858" t="str">
            <v>大台北</v>
          </cell>
          <cell r="C858" t="str">
            <v>勤業眾信聯合會計師事所</v>
          </cell>
          <cell r="D858" t="str">
            <v>游素環</v>
          </cell>
          <cell r="E858" t="str">
            <v>翁博仁</v>
          </cell>
          <cell r="F858">
            <v>20170316</v>
          </cell>
          <cell r="G858" t="str">
            <v>無保留意見</v>
          </cell>
        </row>
        <row r="859">
          <cell r="A859">
            <v>9910</v>
          </cell>
          <cell r="B859" t="str">
            <v>豐泰企業</v>
          </cell>
          <cell r="C859" t="str">
            <v>安侯建業聯合會計師事務所</v>
          </cell>
          <cell r="D859" t="str">
            <v>林琬琬</v>
          </cell>
          <cell r="E859" t="str">
            <v>楊柳鋒</v>
          </cell>
          <cell r="F859">
            <v>20170324</v>
          </cell>
          <cell r="G859" t="str">
            <v>無保留意見</v>
          </cell>
        </row>
        <row r="860">
          <cell r="A860">
            <v>9911</v>
          </cell>
          <cell r="B860" t="str">
            <v>台灣櫻花</v>
          </cell>
          <cell r="C860" t="str">
            <v>安永聯合會計師事務所</v>
          </cell>
          <cell r="D860" t="str">
            <v>涂清淵</v>
          </cell>
          <cell r="E860" t="str">
            <v>嚴文筆</v>
          </cell>
          <cell r="F860">
            <v>20170320</v>
          </cell>
          <cell r="G860" t="str">
            <v>無保留意見</v>
          </cell>
        </row>
        <row r="861">
          <cell r="A861">
            <v>9912</v>
          </cell>
          <cell r="B861" t="str">
            <v>偉聯</v>
          </cell>
          <cell r="C861" t="str">
            <v>安侯建業聯合會計師事務所</v>
          </cell>
          <cell r="D861" t="str">
            <v>區耀軍</v>
          </cell>
          <cell r="E861" t="str">
            <v>羅瑞蘭</v>
          </cell>
          <cell r="F861">
            <v>20170316</v>
          </cell>
          <cell r="G861" t="str">
            <v>無保留意見</v>
          </cell>
        </row>
        <row r="862">
          <cell r="A862">
            <v>9914</v>
          </cell>
          <cell r="B862" t="str">
            <v>美利達</v>
          </cell>
          <cell r="C862" t="str">
            <v>勤業眾信聯合會計師事務所</v>
          </cell>
          <cell r="D862" t="str">
            <v>蔣淑菁</v>
          </cell>
          <cell r="E862" t="str">
            <v>吳麗冬</v>
          </cell>
          <cell r="F862">
            <v>20170327</v>
          </cell>
          <cell r="G862" t="str">
            <v>無保留意見</v>
          </cell>
        </row>
        <row r="863">
          <cell r="A863">
            <v>9917</v>
          </cell>
          <cell r="B863" t="str">
            <v>中保</v>
          </cell>
          <cell r="C863" t="str">
            <v>安永聯合會計師事務所</v>
          </cell>
          <cell r="D863" t="str">
            <v>余倩如</v>
          </cell>
          <cell r="E863" t="str">
            <v>許新民</v>
          </cell>
          <cell r="F863">
            <v>20170324</v>
          </cell>
          <cell r="G863" t="str">
            <v>無保留意見</v>
          </cell>
        </row>
        <row r="864">
          <cell r="A864">
            <v>9918</v>
          </cell>
          <cell r="B864" t="str">
            <v>欣天然</v>
          </cell>
          <cell r="C864" t="str">
            <v>立本台灣聯合會計師事務所</v>
          </cell>
          <cell r="D864" t="str">
            <v>柯俊輝</v>
          </cell>
          <cell r="E864" t="str">
            <v>陳玉芳</v>
          </cell>
          <cell r="F864">
            <v>20170317</v>
          </cell>
          <cell r="G864" t="str">
            <v>無保留意見</v>
          </cell>
        </row>
        <row r="865">
          <cell r="A865">
            <v>9919</v>
          </cell>
          <cell r="B865" t="str">
            <v>康那香</v>
          </cell>
          <cell r="C865" t="str">
            <v>資誠聯合會計師事務所</v>
          </cell>
          <cell r="D865" t="str">
            <v>支秉鈞</v>
          </cell>
          <cell r="E865" t="str">
            <v>曾惠瑾</v>
          </cell>
          <cell r="F865">
            <v>20170224</v>
          </cell>
          <cell r="G865" t="str">
            <v>無保留意見</v>
          </cell>
        </row>
        <row r="866">
          <cell r="A866">
            <v>9921</v>
          </cell>
          <cell r="B866" t="str">
            <v>巨大機械</v>
          </cell>
          <cell r="C866" t="str">
            <v>勤業眾信聯合會計師事務所</v>
          </cell>
          <cell r="D866" t="str">
            <v>顏曉芳</v>
          </cell>
          <cell r="E866" t="str">
            <v>曾棟鋆</v>
          </cell>
          <cell r="F866">
            <v>20170329</v>
          </cell>
          <cell r="G866" t="str">
            <v>無保留意見</v>
          </cell>
        </row>
        <row r="867">
          <cell r="A867">
            <v>9924</v>
          </cell>
          <cell r="B867" t="str">
            <v>台灣福興</v>
          </cell>
          <cell r="C867" t="str">
            <v>資誠聯合會計師事務所</v>
          </cell>
          <cell r="D867" t="str">
            <v>王國華</v>
          </cell>
          <cell r="E867" t="str">
            <v>廖阿甚</v>
          </cell>
          <cell r="F867">
            <v>20170327</v>
          </cell>
          <cell r="G867" t="str">
            <v>無保留意見</v>
          </cell>
        </row>
        <row r="868">
          <cell r="A868">
            <v>9925</v>
          </cell>
          <cell r="B868" t="str">
            <v>新光保全</v>
          </cell>
          <cell r="C868" t="str">
            <v>勤業眾信聯合會計師事務所</v>
          </cell>
          <cell r="D868" t="str">
            <v>翁博仁</v>
          </cell>
          <cell r="E868" t="str">
            <v>陳慧銘</v>
          </cell>
          <cell r="F868">
            <v>20170324</v>
          </cell>
          <cell r="G868" t="str">
            <v>無保留意見</v>
          </cell>
        </row>
        <row r="869">
          <cell r="A869">
            <v>9926</v>
          </cell>
          <cell r="B869" t="str">
            <v>新海瓦斯</v>
          </cell>
          <cell r="C869" t="str">
            <v>勤業眾信聯合會計師事務所</v>
          </cell>
          <cell r="D869" t="str">
            <v>游素環</v>
          </cell>
          <cell r="E869" t="str">
            <v>翁博仁</v>
          </cell>
          <cell r="F869">
            <v>20170316</v>
          </cell>
          <cell r="G869" t="str">
            <v>無保留意見</v>
          </cell>
        </row>
        <row r="870">
          <cell r="A870">
            <v>9927</v>
          </cell>
          <cell r="B870" t="str">
            <v>泰銘</v>
          </cell>
          <cell r="C870" t="str">
            <v>勤業眾信聯合會計師事務所</v>
          </cell>
          <cell r="D870" t="str">
            <v>吳秋燕</v>
          </cell>
          <cell r="E870" t="str">
            <v>江佳玲</v>
          </cell>
          <cell r="F870">
            <v>20170324</v>
          </cell>
          <cell r="G870" t="str">
            <v>無保留意見</v>
          </cell>
        </row>
        <row r="871">
          <cell r="A871">
            <v>9928</v>
          </cell>
          <cell r="B871" t="str">
            <v>中視</v>
          </cell>
          <cell r="C871" t="str">
            <v>安侯建業聯合會計師事務所</v>
          </cell>
          <cell r="D871" t="str">
            <v>曾國禓</v>
          </cell>
          <cell r="E871" t="str">
            <v>賴麗真</v>
          </cell>
          <cell r="F871">
            <v>20170328</v>
          </cell>
          <cell r="G871" t="str">
            <v>無保留意見</v>
          </cell>
        </row>
        <row r="872">
          <cell r="A872">
            <v>9929</v>
          </cell>
          <cell r="B872" t="str">
            <v>秋雨</v>
          </cell>
          <cell r="C872" t="str">
            <v>資誠聯合會計師事務所</v>
          </cell>
          <cell r="D872" t="str">
            <v>翁世榮</v>
          </cell>
          <cell r="E872" t="str">
            <v>潘慧玲</v>
          </cell>
          <cell r="F872">
            <v>20170329</v>
          </cell>
          <cell r="G872" t="str">
            <v>無保留意見</v>
          </cell>
        </row>
        <row r="873">
          <cell r="A873">
            <v>9930</v>
          </cell>
          <cell r="B873" t="str">
            <v>中聯資源</v>
          </cell>
          <cell r="C873" t="str">
            <v>勤業眾信聯合會計師事務所</v>
          </cell>
          <cell r="D873" t="str">
            <v>郭麗園</v>
          </cell>
          <cell r="E873" t="str">
            <v>許瑞軒</v>
          </cell>
          <cell r="F873">
            <v>20170316</v>
          </cell>
          <cell r="G873" t="str">
            <v>無保留意見</v>
          </cell>
        </row>
        <row r="874">
          <cell r="A874">
            <v>9931</v>
          </cell>
          <cell r="B874" t="str">
            <v>欣高</v>
          </cell>
          <cell r="C874" t="str">
            <v>正風聯合會計師事務所</v>
          </cell>
          <cell r="D874" t="str">
            <v>賴永吉</v>
          </cell>
          <cell r="E874" t="str">
            <v>曾國富</v>
          </cell>
          <cell r="F874">
            <v>20170320</v>
          </cell>
          <cell r="G874" t="str">
            <v>無保留意見</v>
          </cell>
        </row>
        <row r="875">
          <cell r="A875">
            <v>9933</v>
          </cell>
          <cell r="B875" t="str">
            <v>中鼎工程</v>
          </cell>
          <cell r="C875" t="str">
            <v>資誠聯合會計師事務所</v>
          </cell>
          <cell r="D875" t="str">
            <v>翁世榮</v>
          </cell>
          <cell r="E875" t="str">
            <v>張淑瓊</v>
          </cell>
          <cell r="F875">
            <v>20170317</v>
          </cell>
          <cell r="G875" t="str">
            <v>無保留意見</v>
          </cell>
        </row>
        <row r="876">
          <cell r="A876">
            <v>9934</v>
          </cell>
          <cell r="B876" t="str">
            <v>成霖企業</v>
          </cell>
          <cell r="C876" t="str">
            <v>安永聯合會計師事務所</v>
          </cell>
          <cell r="D876" t="str">
            <v>黃子評</v>
          </cell>
          <cell r="E876" t="str">
            <v>林鴻光</v>
          </cell>
          <cell r="F876">
            <v>20170303</v>
          </cell>
          <cell r="G876" t="str">
            <v>無保留意見</v>
          </cell>
        </row>
        <row r="877">
          <cell r="A877">
            <v>9935</v>
          </cell>
          <cell r="B877" t="str">
            <v>慶豐富</v>
          </cell>
          <cell r="C877" t="str">
            <v>群智聯合會計師事務所</v>
          </cell>
          <cell r="D877" t="str">
            <v>呂　松　裕</v>
          </cell>
          <cell r="E877" t="str">
            <v>吳  乾  萌</v>
          </cell>
          <cell r="F877">
            <v>20170327</v>
          </cell>
          <cell r="G877" t="str">
            <v>無保留意見</v>
          </cell>
        </row>
        <row r="878">
          <cell r="A878">
            <v>9937</v>
          </cell>
          <cell r="B878" t="str">
            <v>全國</v>
          </cell>
          <cell r="C878" t="str">
            <v>安永聯合會計師事務所</v>
          </cell>
          <cell r="D878" t="str">
            <v>徐 榮 煌</v>
          </cell>
          <cell r="E878" t="str">
            <v>黃 建 澤</v>
          </cell>
          <cell r="F878">
            <v>20170320</v>
          </cell>
          <cell r="G878" t="str">
            <v>無保留意見</v>
          </cell>
        </row>
        <row r="879">
          <cell r="A879">
            <v>9938</v>
          </cell>
          <cell r="B879" t="str">
            <v>台灣百和</v>
          </cell>
          <cell r="C879" t="str">
            <v>勤業眾信聯合會計師事務所</v>
          </cell>
          <cell r="D879" t="str">
            <v>蔣淑菁</v>
          </cell>
          <cell r="E879" t="str">
            <v>顏曉芳</v>
          </cell>
          <cell r="F879">
            <v>20170307</v>
          </cell>
          <cell r="G879" t="str">
            <v>無保留意見</v>
          </cell>
        </row>
        <row r="880">
          <cell r="A880">
            <v>9939</v>
          </cell>
          <cell r="B880" t="str">
            <v>宏全</v>
          </cell>
          <cell r="C880" t="str">
            <v>勤業眾信聯合會計師事務所</v>
          </cell>
          <cell r="D880" t="str">
            <v>顏曉芳</v>
          </cell>
          <cell r="E880" t="str">
            <v>曾棟鋆</v>
          </cell>
          <cell r="F880">
            <v>20170324</v>
          </cell>
          <cell r="G880" t="str">
            <v>無保留意見</v>
          </cell>
        </row>
        <row r="881">
          <cell r="A881">
            <v>9940</v>
          </cell>
          <cell r="B881" t="str">
            <v>信義房屋</v>
          </cell>
          <cell r="C881" t="str">
            <v>勤業眾信聯合會計師事務所</v>
          </cell>
          <cell r="D881" t="str">
            <v>徐文亞</v>
          </cell>
          <cell r="E881" t="str">
            <v>賴冠仲</v>
          </cell>
          <cell r="F881">
            <v>20170224</v>
          </cell>
          <cell r="G881" t="str">
            <v>無保留意見</v>
          </cell>
        </row>
        <row r="882">
          <cell r="A882">
            <v>9941</v>
          </cell>
          <cell r="B882" t="str">
            <v>裕融企業</v>
          </cell>
          <cell r="C882" t="str">
            <v>勤業眾信聯合會計師事務所</v>
          </cell>
          <cell r="D882" t="str">
            <v>戴信維</v>
          </cell>
          <cell r="E882" t="str">
            <v>范有偉</v>
          </cell>
          <cell r="F882">
            <v>20170320</v>
          </cell>
          <cell r="G882" t="str">
            <v>無保留意見</v>
          </cell>
        </row>
        <row r="883">
          <cell r="A883">
            <v>9942</v>
          </cell>
          <cell r="B883" t="str">
            <v>茂順</v>
          </cell>
          <cell r="C883" t="str">
            <v>資誠聯合會計師事務所</v>
          </cell>
          <cell r="D883" t="str">
            <v>王玉娟</v>
          </cell>
          <cell r="E883" t="str">
            <v>洪淑華</v>
          </cell>
          <cell r="F883">
            <v>20170327</v>
          </cell>
          <cell r="G883" t="str">
            <v>無保留意見</v>
          </cell>
        </row>
        <row r="884">
          <cell r="A884">
            <v>9943</v>
          </cell>
          <cell r="B884" t="str">
            <v>好樂迪</v>
          </cell>
          <cell r="C884" t="str">
            <v>勤業眾信聯合會計師事務所</v>
          </cell>
          <cell r="D884" t="str">
            <v>張敬人</v>
          </cell>
          <cell r="E884" t="str">
            <v>李東峰</v>
          </cell>
          <cell r="F884">
            <v>20170314</v>
          </cell>
          <cell r="G884" t="str">
            <v>無保留意見</v>
          </cell>
        </row>
        <row r="885">
          <cell r="A885">
            <v>9944</v>
          </cell>
          <cell r="B885" t="str">
            <v>新麗企業</v>
          </cell>
          <cell r="C885" t="str">
            <v>國富浩華聯合會計師事務所</v>
          </cell>
          <cell r="D885" t="str">
            <v>林明壽</v>
          </cell>
          <cell r="E885" t="str">
            <v>楊貞瑜</v>
          </cell>
          <cell r="F885">
            <v>20170322</v>
          </cell>
          <cell r="G885" t="str">
            <v>無保留意見</v>
          </cell>
        </row>
        <row r="886">
          <cell r="A886">
            <v>9945</v>
          </cell>
          <cell r="B886" t="str">
            <v>潤泰創新</v>
          </cell>
          <cell r="C886" t="str">
            <v>資誠聯合會計師事務所</v>
          </cell>
          <cell r="D886" t="str">
            <v>王照明</v>
          </cell>
          <cell r="E886" t="str">
            <v>張淑瓊</v>
          </cell>
          <cell r="F886">
            <v>20170324</v>
          </cell>
          <cell r="G886" t="str">
            <v>無保留意見</v>
          </cell>
        </row>
        <row r="887">
          <cell r="A887">
            <v>9946</v>
          </cell>
          <cell r="B887" t="str">
            <v>三發地產</v>
          </cell>
          <cell r="C887" t="str">
            <v>安侯建業聯合會計師事務所</v>
          </cell>
          <cell r="D887" t="str">
            <v>馬國柱</v>
          </cell>
          <cell r="E887" t="str">
            <v>張淑瑩</v>
          </cell>
          <cell r="F887">
            <v>20170222</v>
          </cell>
          <cell r="G887" t="str">
            <v>無保留意見</v>
          </cell>
        </row>
        <row r="888">
          <cell r="A888">
            <v>9955</v>
          </cell>
          <cell r="B888" t="str">
            <v>佳龍</v>
          </cell>
          <cell r="C888" t="str">
            <v>安永聯合會計師事務所</v>
          </cell>
          <cell r="D888" t="str">
            <v>黃益輝</v>
          </cell>
          <cell r="E888" t="str">
            <v>郭紹彬</v>
          </cell>
          <cell r="F888">
            <v>20170317</v>
          </cell>
          <cell r="G888" t="str">
            <v>無保留意見</v>
          </cell>
        </row>
        <row r="889">
          <cell r="A889">
            <v>9958</v>
          </cell>
          <cell r="B889" t="str">
            <v>世紀鋼構</v>
          </cell>
          <cell r="C889" t="str">
            <v>勤業眾信聯合會計師事務所</v>
          </cell>
          <cell r="D889" t="str">
            <v>葉東煇</v>
          </cell>
          <cell r="E889" t="str">
            <v>陳明煇</v>
          </cell>
          <cell r="F889">
            <v>20170321</v>
          </cell>
          <cell r="G889" t="str">
            <v>無保留意見</v>
          </cell>
        </row>
        <row r="890">
          <cell r="A890">
            <v>1258</v>
          </cell>
          <cell r="B890" t="str">
            <v>其祥-KY</v>
          </cell>
          <cell r="C890" t="str">
            <v>勤業眾信聯合會計師事務所</v>
          </cell>
          <cell r="D890" t="str">
            <v>龔則立</v>
          </cell>
          <cell r="E890" t="str">
            <v>李東峰</v>
          </cell>
          <cell r="F890">
            <v>20170317</v>
          </cell>
          <cell r="G890" t="str">
            <v>無保留意見</v>
          </cell>
        </row>
        <row r="891">
          <cell r="A891">
            <v>1259</v>
          </cell>
          <cell r="B891" t="str">
            <v>安心</v>
          </cell>
          <cell r="C891" t="str">
            <v>資誠聯合會計師事務所</v>
          </cell>
          <cell r="D891" t="str">
            <v>支秉鈞</v>
          </cell>
          <cell r="E891" t="str">
            <v>吳郁隆</v>
          </cell>
          <cell r="F891">
            <v>20170222</v>
          </cell>
          <cell r="G891" t="str">
            <v>無保留意見</v>
          </cell>
        </row>
        <row r="892">
          <cell r="A892">
            <v>1264</v>
          </cell>
          <cell r="B892" t="str">
            <v>德麥</v>
          </cell>
          <cell r="C892" t="str">
            <v>勤業眾信聯合會計師事務所</v>
          </cell>
          <cell r="D892" t="str">
            <v>張耿禧</v>
          </cell>
          <cell r="E892" t="str">
            <v>虞成全</v>
          </cell>
          <cell r="F892">
            <v>20170309</v>
          </cell>
          <cell r="G892" t="str">
            <v>無保留意見</v>
          </cell>
        </row>
        <row r="893">
          <cell r="A893">
            <v>1333</v>
          </cell>
          <cell r="B893" t="str">
            <v>恩得利</v>
          </cell>
          <cell r="C893" t="str">
            <v>勤業眾信聯合會計師事務所</v>
          </cell>
          <cell r="D893" t="str">
            <v>戴信維</v>
          </cell>
          <cell r="E893" t="str">
            <v>林文欽</v>
          </cell>
          <cell r="F893">
            <v>20170329</v>
          </cell>
          <cell r="G893" t="str">
            <v>無保留意見</v>
          </cell>
        </row>
        <row r="894">
          <cell r="A894">
            <v>1336</v>
          </cell>
          <cell r="B894" t="str">
            <v>台翰</v>
          </cell>
          <cell r="C894" t="str">
            <v>勤業眾信聯合會計師事務所</v>
          </cell>
          <cell r="D894" t="str">
            <v>翁博仁</v>
          </cell>
          <cell r="E894" t="str">
            <v>林宜慧</v>
          </cell>
          <cell r="F894">
            <v>20170329</v>
          </cell>
          <cell r="G894" t="str">
            <v>無保留意見</v>
          </cell>
        </row>
        <row r="895">
          <cell r="A895">
            <v>1565</v>
          </cell>
          <cell r="B895" t="str">
            <v>精華光學</v>
          </cell>
          <cell r="C895" t="str">
            <v>資誠聯合會計師事務所</v>
          </cell>
          <cell r="D895" t="str">
            <v>廖阿甚</v>
          </cell>
          <cell r="E895" t="str">
            <v>曾惠瑾</v>
          </cell>
          <cell r="F895">
            <v>20170323</v>
          </cell>
          <cell r="G895" t="str">
            <v>無保留意見</v>
          </cell>
        </row>
        <row r="896">
          <cell r="A896">
            <v>1566</v>
          </cell>
          <cell r="B896" t="str">
            <v>捷邦</v>
          </cell>
          <cell r="C896" t="str">
            <v>勤業眾信聯合會計師事務所</v>
          </cell>
          <cell r="D896" t="str">
            <v>陳錦章</v>
          </cell>
          <cell r="E896" t="str">
            <v>蔡美貞</v>
          </cell>
          <cell r="F896">
            <v>20170322</v>
          </cell>
          <cell r="G896" t="str">
            <v>無保留意見</v>
          </cell>
        </row>
        <row r="897">
          <cell r="A897">
            <v>1569</v>
          </cell>
          <cell r="B897" t="str">
            <v>濱川</v>
          </cell>
          <cell r="C897" t="str">
            <v>勤業眾信聯合會計師事務所</v>
          </cell>
          <cell r="D897" t="str">
            <v>郭麗園</v>
          </cell>
          <cell r="E897" t="str">
            <v>劉裕祥</v>
          </cell>
          <cell r="F897">
            <v>20170322</v>
          </cell>
          <cell r="G897" t="str">
            <v>無保留意見</v>
          </cell>
        </row>
        <row r="898">
          <cell r="A898">
            <v>1570</v>
          </cell>
          <cell r="B898" t="str">
            <v>力肯實業</v>
          </cell>
          <cell r="C898" t="str">
            <v>勤業眾信聯合會計師事務所</v>
          </cell>
          <cell r="D898" t="str">
            <v>龔則立</v>
          </cell>
          <cell r="E898" t="str">
            <v>楊清鎮</v>
          </cell>
          <cell r="F898">
            <v>20170324</v>
          </cell>
          <cell r="G898" t="str">
            <v>無保留意見</v>
          </cell>
        </row>
        <row r="899">
          <cell r="A899">
            <v>1580</v>
          </cell>
          <cell r="B899" t="str">
            <v>新麥企業</v>
          </cell>
          <cell r="C899" t="str">
            <v>勤業眾信聯合會計師事務所</v>
          </cell>
          <cell r="D899" t="str">
            <v>張耿禧</v>
          </cell>
          <cell r="E899" t="str">
            <v>虞成全</v>
          </cell>
          <cell r="F899">
            <v>20170328</v>
          </cell>
          <cell r="G899" t="str">
            <v>無保留意見</v>
          </cell>
        </row>
        <row r="900">
          <cell r="A900">
            <v>1584</v>
          </cell>
          <cell r="B900" t="str">
            <v>精剛精密</v>
          </cell>
          <cell r="C900" t="str">
            <v>勤業眾信聯合會計師事務所</v>
          </cell>
          <cell r="D900" t="str">
            <v>鄭欽宗</v>
          </cell>
          <cell r="E900" t="str">
            <v>蔡振財</v>
          </cell>
          <cell r="F900">
            <v>20170224</v>
          </cell>
          <cell r="G900" t="str">
            <v>無保留意見</v>
          </cell>
        </row>
        <row r="901">
          <cell r="A901">
            <v>1586</v>
          </cell>
          <cell r="B901" t="str">
            <v>和勤精機</v>
          </cell>
          <cell r="C901" t="str">
            <v>安永聯合會計師事務所</v>
          </cell>
          <cell r="D901" t="str">
            <v>黃子評</v>
          </cell>
          <cell r="E901" t="str">
            <v>嚴文筆</v>
          </cell>
          <cell r="F901">
            <v>20170323</v>
          </cell>
          <cell r="G901" t="str">
            <v>無保留意見</v>
          </cell>
        </row>
        <row r="902">
          <cell r="A902">
            <v>1591</v>
          </cell>
          <cell r="B902" t="str">
            <v>駿吉-KY</v>
          </cell>
          <cell r="C902" t="str">
            <v>安永聯合會計師事務所</v>
          </cell>
          <cell r="D902" t="str">
            <v>徐榮煌</v>
          </cell>
          <cell r="E902" t="str">
            <v>曾祥裕</v>
          </cell>
          <cell r="F902">
            <v>20170321</v>
          </cell>
          <cell r="G902" t="str">
            <v>無保留意見</v>
          </cell>
        </row>
        <row r="903">
          <cell r="A903">
            <v>1593</v>
          </cell>
          <cell r="B903" t="str">
            <v>祺驊</v>
          </cell>
          <cell r="C903" t="str">
            <v>勤業眾信聯合會計師事務所</v>
          </cell>
          <cell r="D903" t="str">
            <v>施錦川</v>
          </cell>
          <cell r="E903" t="str">
            <v>鄭淂蓁</v>
          </cell>
          <cell r="F903">
            <v>20170318</v>
          </cell>
          <cell r="G903" t="str">
            <v>無保留意見</v>
          </cell>
        </row>
        <row r="904">
          <cell r="A904">
            <v>1595</v>
          </cell>
          <cell r="B904" t="str">
            <v>川寶科技</v>
          </cell>
          <cell r="C904" t="str">
            <v>勤業眾信聯合會計師事務所</v>
          </cell>
          <cell r="D904" t="str">
            <v>葉東煇</v>
          </cell>
          <cell r="E904" t="str">
            <v>林政治</v>
          </cell>
          <cell r="F904">
            <v>20170310</v>
          </cell>
          <cell r="G904" t="str">
            <v>無保留意見</v>
          </cell>
        </row>
        <row r="905">
          <cell r="A905">
            <v>1597</v>
          </cell>
          <cell r="B905" t="str">
            <v>直得</v>
          </cell>
          <cell r="C905" t="str">
            <v>資誠聯合會計師事務所</v>
          </cell>
          <cell r="D905" t="str">
            <v>林姿妤</v>
          </cell>
          <cell r="E905" t="str">
            <v>劉子猛</v>
          </cell>
          <cell r="F905">
            <v>20170323</v>
          </cell>
          <cell r="G905" t="str">
            <v>無保留意見</v>
          </cell>
        </row>
        <row r="906">
          <cell r="A906">
            <v>1599</v>
          </cell>
          <cell r="B906" t="str">
            <v>宏佳騰</v>
          </cell>
          <cell r="C906" t="str">
            <v>資誠聯合會計師事務所</v>
          </cell>
          <cell r="D906" t="str">
            <v>林姿妤</v>
          </cell>
          <cell r="E906" t="str">
            <v>劉子猛</v>
          </cell>
          <cell r="F906">
            <v>20170321</v>
          </cell>
          <cell r="G906" t="str">
            <v>無保留意見</v>
          </cell>
        </row>
        <row r="907">
          <cell r="A907">
            <v>1742</v>
          </cell>
          <cell r="B907" t="str">
            <v>台蠟</v>
          </cell>
          <cell r="C907" t="str">
            <v>霈昇聯合會計師事務所</v>
          </cell>
          <cell r="D907" t="str">
            <v>林憲章</v>
          </cell>
          <cell r="E907" t="str">
            <v>林育雅</v>
          </cell>
          <cell r="F907">
            <v>20170323</v>
          </cell>
          <cell r="G907" t="str">
            <v>無保留意見</v>
          </cell>
        </row>
        <row r="908">
          <cell r="A908">
            <v>1752</v>
          </cell>
          <cell r="B908" t="str">
            <v>南光</v>
          </cell>
          <cell r="C908" t="str">
            <v>資誠聯合會計師事務所</v>
          </cell>
          <cell r="D908" t="str">
            <v>劉子猛</v>
          </cell>
          <cell r="E908" t="str">
            <v>林姿妤</v>
          </cell>
          <cell r="F908">
            <v>20170321</v>
          </cell>
          <cell r="G908" t="str">
            <v>無保留意見</v>
          </cell>
        </row>
        <row r="909">
          <cell r="A909">
            <v>1777</v>
          </cell>
          <cell r="B909" t="str">
            <v>生泰</v>
          </cell>
          <cell r="C909" t="str">
            <v>資誠聯合會計師事務所</v>
          </cell>
          <cell r="D909" t="str">
            <v>林姿妤</v>
          </cell>
          <cell r="E909" t="str">
            <v>劉子猛</v>
          </cell>
          <cell r="F909">
            <v>20170324</v>
          </cell>
          <cell r="G909" t="str">
            <v>無保留意見</v>
          </cell>
        </row>
        <row r="910">
          <cell r="A910">
            <v>1781</v>
          </cell>
          <cell r="B910" t="str">
            <v>合世生醫</v>
          </cell>
          <cell r="C910" t="str">
            <v>資誠聯合會計師事務所</v>
          </cell>
          <cell r="D910" t="str">
            <v>周筱姿</v>
          </cell>
          <cell r="E910" t="str">
            <v>李秀玲</v>
          </cell>
          <cell r="F910">
            <v>20170324</v>
          </cell>
          <cell r="G910" t="str">
            <v>無保留意見</v>
          </cell>
        </row>
        <row r="911">
          <cell r="A911">
            <v>1784</v>
          </cell>
          <cell r="B911" t="str">
            <v>訊聯生物</v>
          </cell>
          <cell r="C911" t="str">
            <v>資誠聯合會計師事務所</v>
          </cell>
          <cell r="D911" t="str">
            <v>潘慧玲</v>
          </cell>
          <cell r="E911" t="str">
            <v>林一帆</v>
          </cell>
          <cell r="F911">
            <v>20170324</v>
          </cell>
          <cell r="G911" t="str">
            <v>無保留意見</v>
          </cell>
        </row>
        <row r="912">
          <cell r="A912">
            <v>1785</v>
          </cell>
          <cell r="B912" t="str">
            <v>光洋科</v>
          </cell>
          <cell r="C912" t="str">
            <v>南台聯合會計師事務所</v>
          </cell>
          <cell r="D912" t="str">
            <v>丁澤祥</v>
          </cell>
          <cell r="E912" t="str">
            <v>蔡玉琴</v>
          </cell>
          <cell r="F912">
            <v>20170321</v>
          </cell>
          <cell r="G912" t="str">
            <v>無保留意見</v>
          </cell>
        </row>
        <row r="913">
          <cell r="A913">
            <v>1787</v>
          </cell>
          <cell r="B913" t="str">
            <v>福盈科</v>
          </cell>
          <cell r="C913" t="str">
            <v>勤業眾信聯合會計師事務所</v>
          </cell>
          <cell r="D913" t="str">
            <v>鄭欽宗</v>
          </cell>
          <cell r="E913" t="str">
            <v>柯志賢</v>
          </cell>
          <cell r="F913">
            <v>20170329</v>
          </cell>
          <cell r="G913" t="str">
            <v>無保留意見</v>
          </cell>
        </row>
        <row r="914">
          <cell r="A914">
            <v>1788</v>
          </cell>
          <cell r="B914" t="str">
            <v>杏昌生技</v>
          </cell>
          <cell r="C914" t="str">
            <v>安侯建業聯合會計師事務所</v>
          </cell>
          <cell r="D914" t="str">
            <v>楊樹芝</v>
          </cell>
          <cell r="E914" t="str">
            <v>陳蓓琪</v>
          </cell>
          <cell r="F914">
            <v>20170314</v>
          </cell>
          <cell r="G914" t="str">
            <v>無保留意見</v>
          </cell>
        </row>
        <row r="915">
          <cell r="A915">
            <v>1795</v>
          </cell>
          <cell r="B915" t="str">
            <v>美時製藥</v>
          </cell>
          <cell r="C915" t="str">
            <v>勤業眾信聯合會計師事務所</v>
          </cell>
          <cell r="D915" t="str">
            <v>許秀明</v>
          </cell>
          <cell r="E915" t="str">
            <v>林淑婉</v>
          </cell>
          <cell r="F915">
            <v>20170321</v>
          </cell>
          <cell r="G915" t="str">
            <v>無保留意見</v>
          </cell>
        </row>
        <row r="916">
          <cell r="A916">
            <v>1799</v>
          </cell>
          <cell r="B916" t="str">
            <v>易威</v>
          </cell>
          <cell r="C916" t="str">
            <v>資誠聯合會計師師務所</v>
          </cell>
          <cell r="D916" t="str">
            <v>林玉寬</v>
          </cell>
          <cell r="E916" t="str">
            <v>曾惠瑾</v>
          </cell>
          <cell r="F916">
            <v>20170322</v>
          </cell>
          <cell r="G916" t="str">
            <v>無保留意見</v>
          </cell>
        </row>
        <row r="917">
          <cell r="A917">
            <v>1813</v>
          </cell>
          <cell r="B917" t="str">
            <v>寶利徠</v>
          </cell>
          <cell r="C917" t="str">
            <v>勤業眾信聯合會計師事務所</v>
          </cell>
          <cell r="D917" t="str">
            <v>趙永祥</v>
          </cell>
          <cell r="E917" t="str">
            <v>林安惠</v>
          </cell>
          <cell r="F917">
            <v>20160308</v>
          </cell>
          <cell r="G917" t="str">
            <v>無保留意見</v>
          </cell>
        </row>
        <row r="918">
          <cell r="A918">
            <v>1815</v>
          </cell>
          <cell r="B918" t="str">
            <v>富喬工業</v>
          </cell>
          <cell r="C918" t="str">
            <v>勤業眾信聯合會計師事務所</v>
          </cell>
          <cell r="D918" t="str">
            <v>劉建良</v>
          </cell>
          <cell r="E918" t="str">
            <v>王儀雯</v>
          </cell>
          <cell r="F918">
            <v>20170328</v>
          </cell>
          <cell r="G918" t="str">
            <v>無保留意見</v>
          </cell>
        </row>
        <row r="919">
          <cell r="A919">
            <v>2035</v>
          </cell>
          <cell r="B919" t="str">
            <v>唐榮公司</v>
          </cell>
          <cell r="C919" t="str">
            <v>安侯建業聯合會計師事務所</v>
          </cell>
          <cell r="D919" t="str">
            <v>池世欽</v>
          </cell>
          <cell r="E919" t="str">
            <v>陳嘉修</v>
          </cell>
          <cell r="F919">
            <v>20170222</v>
          </cell>
          <cell r="G919" t="str">
            <v>無保留意見</v>
          </cell>
        </row>
        <row r="920">
          <cell r="A920">
            <v>2061</v>
          </cell>
          <cell r="B920" t="str">
            <v>風青</v>
          </cell>
          <cell r="C920" t="str">
            <v>資誠聯合會計師事務所</v>
          </cell>
          <cell r="D920" t="str">
            <v>廖阿甚</v>
          </cell>
          <cell r="E920" t="str">
            <v>吳建志</v>
          </cell>
          <cell r="F920">
            <v>20170324</v>
          </cell>
          <cell r="G920" t="str">
            <v>無保留意見</v>
          </cell>
        </row>
        <row r="921">
          <cell r="A921">
            <v>2063</v>
          </cell>
          <cell r="B921" t="str">
            <v>世鎧</v>
          </cell>
          <cell r="C921" t="str">
            <v>勤業眾信聯合會計師事務所</v>
          </cell>
          <cell r="D921" t="str">
            <v>江佳玲</v>
          </cell>
          <cell r="E921" t="str">
            <v>陳珍麗</v>
          </cell>
          <cell r="F921">
            <v>20170309</v>
          </cell>
          <cell r="G921" t="str">
            <v>無保留意見</v>
          </cell>
        </row>
        <row r="922">
          <cell r="A922">
            <v>2064</v>
          </cell>
          <cell r="B922" t="str">
            <v>晉椿</v>
          </cell>
          <cell r="C922" t="str">
            <v>安侯建業聯合會計師事務所</v>
          </cell>
          <cell r="D922" t="str">
            <v>黃柏淑</v>
          </cell>
          <cell r="E922" t="str">
            <v>呂莉莉</v>
          </cell>
          <cell r="F922">
            <v>20170322</v>
          </cell>
          <cell r="G922" t="str">
            <v>無保留意見</v>
          </cell>
        </row>
        <row r="923">
          <cell r="A923">
            <v>2066</v>
          </cell>
          <cell r="B923" t="str">
            <v>世德</v>
          </cell>
          <cell r="C923" t="str">
            <v>資誠聯合會計師事務所</v>
          </cell>
          <cell r="D923" t="str">
            <v>林億彰</v>
          </cell>
          <cell r="E923" t="str">
            <v>吳建志</v>
          </cell>
          <cell r="F923">
            <v>20170324</v>
          </cell>
          <cell r="G923" t="str">
            <v>無保留意見</v>
          </cell>
        </row>
        <row r="924">
          <cell r="A924">
            <v>2067</v>
          </cell>
          <cell r="B924" t="str">
            <v>嘉鋼</v>
          </cell>
          <cell r="C924" t="str">
            <v>勤業眾信聯合會計師事務所</v>
          </cell>
          <cell r="D924" t="str">
            <v>吳秋燕</v>
          </cell>
          <cell r="E924" t="str">
            <v>陳珍麗</v>
          </cell>
          <cell r="F924">
            <v>20170327</v>
          </cell>
          <cell r="G924" t="str">
            <v>無保留意見</v>
          </cell>
        </row>
        <row r="925">
          <cell r="A925">
            <v>2221</v>
          </cell>
          <cell r="B925" t="str">
            <v>大甲永和</v>
          </cell>
          <cell r="C925" t="str">
            <v>勤業眾信聯合會計師事務所</v>
          </cell>
          <cell r="D925" t="str">
            <v>蔣淑菁</v>
          </cell>
          <cell r="E925" t="str">
            <v>曾棟鋆</v>
          </cell>
          <cell r="F925">
            <v>20170323</v>
          </cell>
          <cell r="G925" t="str">
            <v>無保留意見</v>
          </cell>
        </row>
        <row r="926">
          <cell r="A926">
            <v>2230</v>
          </cell>
          <cell r="B926" t="str">
            <v>泰茂</v>
          </cell>
          <cell r="C926" t="str">
            <v>勤業眾信聯合會計師事務所</v>
          </cell>
          <cell r="D926" t="str">
            <v>廖鴻儒</v>
          </cell>
          <cell r="E926" t="str">
            <v>王燕景</v>
          </cell>
          <cell r="F926">
            <v>20170329</v>
          </cell>
          <cell r="G926" t="str">
            <v>無保留意見</v>
          </cell>
        </row>
        <row r="927">
          <cell r="A927">
            <v>2233</v>
          </cell>
          <cell r="B927" t="str">
            <v>宇隆</v>
          </cell>
          <cell r="C927" t="str">
            <v>安永聯合會計師事務所</v>
          </cell>
          <cell r="D927" t="str">
            <v>黃子評</v>
          </cell>
          <cell r="E927" t="str">
            <v>嚴文筆</v>
          </cell>
          <cell r="F927">
            <v>20170321</v>
          </cell>
          <cell r="G927" t="str">
            <v>無保留意見</v>
          </cell>
        </row>
        <row r="928">
          <cell r="A928">
            <v>2235</v>
          </cell>
          <cell r="B928" t="str">
            <v>謚源</v>
          </cell>
          <cell r="C928" t="str">
            <v>安永聯合會計師事務所</v>
          </cell>
          <cell r="D928" t="str">
            <v>蕭翠慧</v>
          </cell>
          <cell r="E928" t="str">
            <v>許新民</v>
          </cell>
          <cell r="F928">
            <v>20170323</v>
          </cell>
          <cell r="G928" t="str">
            <v>無保留意見</v>
          </cell>
        </row>
        <row r="929">
          <cell r="A929">
            <v>2596</v>
          </cell>
          <cell r="B929" t="str">
            <v>綠意開發</v>
          </cell>
          <cell r="C929" t="str">
            <v>安侯建業聯合會計師事務所</v>
          </cell>
          <cell r="D929" t="str">
            <v>黃柏淑</v>
          </cell>
          <cell r="E929" t="str">
            <v>呂莉莉</v>
          </cell>
          <cell r="F929">
            <v>20170224</v>
          </cell>
          <cell r="G929" t="str">
            <v>無保留意見</v>
          </cell>
        </row>
        <row r="930">
          <cell r="A930">
            <v>2640</v>
          </cell>
          <cell r="B930" t="str">
            <v>大車隊</v>
          </cell>
          <cell r="C930" t="str">
            <v>資誠聯合會計師事務所</v>
          </cell>
          <cell r="D930" t="str">
            <v>支秉鈞</v>
          </cell>
          <cell r="E930" t="str">
            <v>吳漢期</v>
          </cell>
          <cell r="F930">
            <v>20170320</v>
          </cell>
          <cell r="G930" t="str">
            <v>無保留意見</v>
          </cell>
        </row>
        <row r="931">
          <cell r="A931">
            <v>2641</v>
          </cell>
          <cell r="B931" t="str">
            <v>正德海運</v>
          </cell>
          <cell r="C931" t="str">
            <v>資誠聯合會計師事務所</v>
          </cell>
          <cell r="D931" t="str">
            <v>林億彰</v>
          </cell>
          <cell r="E931" t="str">
            <v>吳建志</v>
          </cell>
          <cell r="F931">
            <v>20170324</v>
          </cell>
          <cell r="G931" t="str">
            <v>無保留意見</v>
          </cell>
        </row>
        <row r="932">
          <cell r="A932">
            <v>2643</v>
          </cell>
          <cell r="B932" t="str">
            <v>捷迅</v>
          </cell>
          <cell r="C932" t="str">
            <v>勤業眾信聯合會計師事務所</v>
          </cell>
          <cell r="D932" t="str">
            <v>劉永富</v>
          </cell>
          <cell r="E932" t="str">
            <v>黃海悅</v>
          </cell>
          <cell r="F932">
            <v>20170315</v>
          </cell>
          <cell r="G932" t="str">
            <v>無保留意見</v>
          </cell>
        </row>
        <row r="933">
          <cell r="A933">
            <v>2718</v>
          </cell>
          <cell r="B933" t="str">
            <v>晶悅</v>
          </cell>
          <cell r="C933" t="str">
            <v>資誠聯合會計師事務所</v>
          </cell>
          <cell r="D933" t="str">
            <v>王照明</v>
          </cell>
          <cell r="E933" t="str">
            <v>周建宏</v>
          </cell>
          <cell r="F933">
            <v>20170222</v>
          </cell>
          <cell r="G933" t="str">
            <v>無保留意見</v>
          </cell>
        </row>
        <row r="934">
          <cell r="A934">
            <v>2719</v>
          </cell>
          <cell r="B934" t="str">
            <v>燦星旅</v>
          </cell>
          <cell r="C934" t="str">
            <v>資誠聯合會計師事務所</v>
          </cell>
          <cell r="D934" t="str">
            <v>張淑瓊</v>
          </cell>
          <cell r="E934" t="str">
            <v>林鈞堯</v>
          </cell>
          <cell r="F934">
            <v>20170324</v>
          </cell>
          <cell r="G934" t="str">
            <v>無保留意見</v>
          </cell>
        </row>
        <row r="935">
          <cell r="A935">
            <v>2724</v>
          </cell>
          <cell r="B935" t="str">
            <v>富驛-KY</v>
          </cell>
          <cell r="C935" t="str">
            <v>勤業眾信聯合會計師事務所</v>
          </cell>
          <cell r="D935" t="str">
            <v>葉東煇</v>
          </cell>
          <cell r="E935" t="str">
            <v>黃樹傑</v>
          </cell>
          <cell r="F935">
            <v>20170329</v>
          </cell>
          <cell r="G935" t="str">
            <v>無保留意見</v>
          </cell>
        </row>
        <row r="936">
          <cell r="A936">
            <v>2726</v>
          </cell>
          <cell r="B936" t="str">
            <v>雅茗-KY</v>
          </cell>
          <cell r="C936" t="str">
            <v>勤業眾信聯合會計師事務所</v>
          </cell>
          <cell r="D936" t="str">
            <v>余鴻賓</v>
          </cell>
          <cell r="E936" t="str">
            <v>洪國田</v>
          </cell>
          <cell r="F936">
            <v>20170322</v>
          </cell>
          <cell r="G936" t="str">
            <v>無保留意見</v>
          </cell>
        </row>
        <row r="937">
          <cell r="A937">
            <v>2729</v>
          </cell>
          <cell r="B937" t="str">
            <v>瓦城泰統</v>
          </cell>
          <cell r="C937" t="str">
            <v>資誠聯合會計師事務所</v>
          </cell>
          <cell r="D937" t="str">
            <v>游淑芬</v>
          </cell>
          <cell r="E937" t="str">
            <v>林一帆</v>
          </cell>
          <cell r="F937">
            <v>20170328</v>
          </cell>
          <cell r="G937" t="str">
            <v>無保留意見</v>
          </cell>
        </row>
        <row r="938">
          <cell r="A938">
            <v>2732</v>
          </cell>
          <cell r="B938" t="str">
            <v>六角國際</v>
          </cell>
          <cell r="C938" t="str">
            <v>勤業眾信聯合會計師事務所</v>
          </cell>
          <cell r="D938" t="str">
            <v>韋亮發</v>
          </cell>
          <cell r="E938" t="str">
            <v>簡明彥</v>
          </cell>
          <cell r="F938">
            <v>20170306</v>
          </cell>
          <cell r="G938" t="str">
            <v>無保留意見</v>
          </cell>
        </row>
        <row r="939">
          <cell r="A939">
            <v>2734</v>
          </cell>
          <cell r="B939" t="str">
            <v>易飛網</v>
          </cell>
          <cell r="C939" t="str">
            <v>勤業眾信聯合會計師事務所</v>
          </cell>
          <cell r="D939" t="str">
            <v>龔雙雄</v>
          </cell>
          <cell r="E939" t="str">
            <v>蘇郁琇</v>
          </cell>
          <cell r="F939">
            <v>20170315</v>
          </cell>
          <cell r="G939" t="str">
            <v>無保留意見</v>
          </cell>
        </row>
        <row r="940">
          <cell r="A940">
            <v>2736</v>
          </cell>
          <cell r="B940" t="str">
            <v>高野</v>
          </cell>
          <cell r="C940" t="str">
            <v>安侯建業聯合會計師事務所</v>
          </cell>
          <cell r="D940" t="str">
            <v>郭士華</v>
          </cell>
          <cell r="E940" t="str">
            <v>張字信</v>
          </cell>
          <cell r="F940">
            <v>20170323</v>
          </cell>
          <cell r="G940" t="str">
            <v>無保留意見</v>
          </cell>
        </row>
        <row r="941">
          <cell r="A941">
            <v>2740</v>
          </cell>
          <cell r="B941" t="str">
            <v>天蔥</v>
          </cell>
          <cell r="C941" t="str">
            <v>資誠聯合會計師事務所</v>
          </cell>
          <cell r="D941" t="str">
            <v>馮敏娟</v>
          </cell>
          <cell r="E941" t="str">
            <v>吳漢期</v>
          </cell>
          <cell r="F941">
            <v>20170328</v>
          </cell>
          <cell r="G941" t="str">
            <v>無保留意見</v>
          </cell>
        </row>
        <row r="942">
          <cell r="A942">
            <v>2916</v>
          </cell>
          <cell r="B942" t="str">
            <v>滿心企業</v>
          </cell>
          <cell r="C942" t="str">
            <v>安侯建業聯合會計師事務所</v>
          </cell>
          <cell r="D942" t="str">
            <v>江忠儀</v>
          </cell>
          <cell r="E942" t="str">
            <v>楊柳鋒</v>
          </cell>
          <cell r="F942">
            <v>20170320</v>
          </cell>
          <cell r="G942" t="str">
            <v>無保留意見</v>
          </cell>
        </row>
        <row r="943">
          <cell r="A943">
            <v>2924</v>
          </cell>
          <cell r="B943" t="str">
            <v>東凌-KY</v>
          </cell>
          <cell r="C943" t="str">
            <v>勤業眾信聯合會計師事務所</v>
          </cell>
          <cell r="D943" t="str">
            <v>吳恪昌</v>
          </cell>
          <cell r="E943" t="str">
            <v>黃毅民</v>
          </cell>
          <cell r="F943">
            <v>20170323</v>
          </cell>
          <cell r="G943" t="str">
            <v>無保留意見</v>
          </cell>
        </row>
        <row r="944">
          <cell r="A944">
            <v>2926</v>
          </cell>
          <cell r="B944" t="str">
            <v>誠品生活</v>
          </cell>
          <cell r="C944" t="str">
            <v>資誠聯合會計師事務所</v>
          </cell>
          <cell r="D944" t="str">
            <v>張淑瓊</v>
          </cell>
          <cell r="E944" t="str">
            <v>王輝賢</v>
          </cell>
          <cell r="F944">
            <v>20170224</v>
          </cell>
          <cell r="G944" t="str">
            <v>無保留意見</v>
          </cell>
        </row>
        <row r="945">
          <cell r="A945">
            <v>2928</v>
          </cell>
          <cell r="B945" t="str">
            <v>紅馬-KY</v>
          </cell>
          <cell r="C945" t="str">
            <v>安侯建業聯合會計師事務所</v>
          </cell>
          <cell r="D945" t="str">
            <v>林恒昇</v>
          </cell>
          <cell r="E945" t="str">
            <v>陳蓓琪</v>
          </cell>
          <cell r="F945">
            <v>20170330</v>
          </cell>
          <cell r="G945" t="str">
            <v>無保留意見</v>
          </cell>
        </row>
        <row r="946">
          <cell r="A946">
            <v>3064</v>
          </cell>
          <cell r="B946" t="str">
            <v>泰偉電子</v>
          </cell>
          <cell r="C946" t="str">
            <v>安永聯合會計師事務所</v>
          </cell>
          <cell r="D946" t="str">
            <v>謝勝安</v>
          </cell>
          <cell r="E946" t="str">
            <v>張正道</v>
          </cell>
          <cell r="F946">
            <v>20170315</v>
          </cell>
          <cell r="G946" t="str">
            <v>無保留意見</v>
          </cell>
        </row>
        <row r="947">
          <cell r="A947">
            <v>3066</v>
          </cell>
          <cell r="B947" t="str">
            <v>李洲科技</v>
          </cell>
          <cell r="C947" t="str">
            <v>勤業眾信聯合會計師事務所</v>
          </cell>
          <cell r="D947" t="str">
            <v>黃毅民</v>
          </cell>
          <cell r="E947" t="str">
            <v>吳恪昌</v>
          </cell>
          <cell r="F947">
            <v>20170310</v>
          </cell>
          <cell r="G947" t="str">
            <v>無保留意見</v>
          </cell>
        </row>
        <row r="948">
          <cell r="A948">
            <v>3067</v>
          </cell>
          <cell r="B948" t="str">
            <v>全域</v>
          </cell>
          <cell r="C948" t="str">
            <v>國富浩華聯合會計師事務所</v>
          </cell>
          <cell r="D948" t="str">
            <v>林春枝</v>
          </cell>
          <cell r="E948" t="str">
            <v>林金鳳</v>
          </cell>
          <cell r="F948">
            <v>20170330</v>
          </cell>
          <cell r="G948" t="str">
            <v>無保留意見</v>
          </cell>
        </row>
        <row r="949">
          <cell r="A949">
            <v>3068</v>
          </cell>
          <cell r="B949" t="str">
            <v>美磊</v>
          </cell>
          <cell r="C949" t="str">
            <v>勤業眾信聯合會計師事務所</v>
          </cell>
          <cell r="D949" t="str">
            <v>翁博仁</v>
          </cell>
          <cell r="E949" t="str">
            <v>陳慧銘</v>
          </cell>
          <cell r="F949">
            <v>20170223</v>
          </cell>
          <cell r="G949" t="str">
            <v>無保留意見</v>
          </cell>
        </row>
        <row r="950">
          <cell r="A950">
            <v>3071</v>
          </cell>
          <cell r="B950" t="str">
            <v>協禧電機</v>
          </cell>
          <cell r="C950" t="str">
            <v>安永聯合會計師事務所</v>
          </cell>
          <cell r="D950" t="str">
            <v>李芳文</v>
          </cell>
          <cell r="E950" t="str">
            <v>黃世杰</v>
          </cell>
          <cell r="F950">
            <v>20170221</v>
          </cell>
          <cell r="G950" t="str">
            <v>無保留意見</v>
          </cell>
        </row>
        <row r="951">
          <cell r="A951">
            <v>3073</v>
          </cell>
          <cell r="B951" t="str">
            <v>普格科技</v>
          </cell>
          <cell r="C951" t="str">
            <v>勤業眾信聯合會計師事務所</v>
          </cell>
          <cell r="D951" t="str">
            <v>龔雙雄</v>
          </cell>
          <cell r="E951" t="str">
            <v>蘇郁琇</v>
          </cell>
          <cell r="F951">
            <v>20170322</v>
          </cell>
          <cell r="G951" t="str">
            <v>無保留意見</v>
          </cell>
        </row>
        <row r="952">
          <cell r="A952">
            <v>3078</v>
          </cell>
          <cell r="B952" t="str">
            <v>僑威科技</v>
          </cell>
          <cell r="C952" t="str">
            <v>勤業眾信聯合會計師事務所</v>
          </cell>
          <cell r="D952" t="str">
            <v>楊清鎮</v>
          </cell>
          <cell r="E952" t="str">
            <v>龔則立</v>
          </cell>
          <cell r="F952">
            <v>20170329</v>
          </cell>
          <cell r="G952" t="str">
            <v>無保留意見</v>
          </cell>
        </row>
        <row r="953">
          <cell r="A953">
            <v>3081</v>
          </cell>
          <cell r="B953" t="str">
            <v>聯亞光電</v>
          </cell>
          <cell r="C953" t="str">
            <v>安侯建業聯合會計師事務所</v>
          </cell>
          <cell r="D953" t="str">
            <v>陳惠媛</v>
          </cell>
          <cell r="E953" t="str">
            <v>許振隆</v>
          </cell>
          <cell r="F953">
            <v>20170214</v>
          </cell>
          <cell r="G953" t="str">
            <v>無保留意見</v>
          </cell>
        </row>
        <row r="954">
          <cell r="A954">
            <v>3083</v>
          </cell>
          <cell r="B954" t="str">
            <v>中華網龍</v>
          </cell>
          <cell r="C954" t="str">
            <v>勤業眾信聯合會計師事務所</v>
          </cell>
          <cell r="D954" t="str">
            <v>鄭旭然</v>
          </cell>
          <cell r="E954" t="str">
            <v>楊承修</v>
          </cell>
          <cell r="F954">
            <v>20170322</v>
          </cell>
          <cell r="G954" t="str">
            <v>無保留意見</v>
          </cell>
        </row>
        <row r="955">
          <cell r="A955">
            <v>3085</v>
          </cell>
          <cell r="B955" t="str">
            <v>久大</v>
          </cell>
          <cell r="C955" t="str">
            <v>安永聯合會計師事務所</v>
          </cell>
          <cell r="D955" t="str">
            <v>許新民</v>
          </cell>
          <cell r="E955" t="str">
            <v>余倩如</v>
          </cell>
          <cell r="F955">
            <v>19280323</v>
          </cell>
          <cell r="G955" t="str">
            <v>無保留意見</v>
          </cell>
        </row>
        <row r="956">
          <cell r="A956">
            <v>3086</v>
          </cell>
          <cell r="B956" t="str">
            <v>華義國際</v>
          </cell>
          <cell r="C956" t="str">
            <v>勤業眾信聯合會計師事務所</v>
          </cell>
          <cell r="D956" t="str">
            <v>翁博仁</v>
          </cell>
          <cell r="E956" t="str">
            <v>林宜慧</v>
          </cell>
          <cell r="F956">
            <v>20170329</v>
          </cell>
          <cell r="G956" t="str">
            <v>無保留意見</v>
          </cell>
        </row>
        <row r="957">
          <cell r="A957">
            <v>3088</v>
          </cell>
          <cell r="B957" t="str">
            <v>艾訊</v>
          </cell>
          <cell r="C957" t="str">
            <v>資誠聯合會計師事務所</v>
          </cell>
          <cell r="D957" t="str">
            <v>馮敏娟</v>
          </cell>
          <cell r="E957" t="str">
            <v>徐聖忠</v>
          </cell>
          <cell r="F957">
            <v>20170223</v>
          </cell>
          <cell r="G957" t="str">
            <v>無保留意見</v>
          </cell>
        </row>
        <row r="958">
          <cell r="A958">
            <v>3089</v>
          </cell>
          <cell r="B958" t="str">
            <v>遠昇</v>
          </cell>
          <cell r="C958" t="str">
            <v>卓群聯合會計師事務所</v>
          </cell>
          <cell r="D958" t="str">
            <v>方冠智</v>
          </cell>
          <cell r="E958" t="str">
            <v>曾友龍</v>
          </cell>
          <cell r="F958">
            <v>20170322</v>
          </cell>
          <cell r="G958" t="str">
            <v>無保留意見</v>
          </cell>
        </row>
        <row r="959">
          <cell r="A959">
            <v>3092</v>
          </cell>
          <cell r="B959" t="str">
            <v>鴻碩</v>
          </cell>
          <cell r="C959" t="str">
            <v>資誠聯合會計師事務所</v>
          </cell>
          <cell r="D959" t="str">
            <v>阮呂曼玉</v>
          </cell>
          <cell r="E959" t="str">
            <v>支秉鈞</v>
          </cell>
          <cell r="F959">
            <v>20170316</v>
          </cell>
          <cell r="G959" t="str">
            <v>無保留意見</v>
          </cell>
        </row>
        <row r="960">
          <cell r="A960">
            <v>3093</v>
          </cell>
          <cell r="B960" t="str">
            <v>港建</v>
          </cell>
          <cell r="C960" t="str">
            <v>安永聯合會計師事務所</v>
          </cell>
          <cell r="D960" t="str">
            <v>傅文芳</v>
          </cell>
          <cell r="E960" t="str">
            <v>林麗凰</v>
          </cell>
          <cell r="F960">
            <v>20170322</v>
          </cell>
          <cell r="G960" t="str">
            <v>無保留意見</v>
          </cell>
        </row>
        <row r="961">
          <cell r="A961">
            <v>3105</v>
          </cell>
          <cell r="B961" t="str">
            <v>穩懋</v>
          </cell>
          <cell r="C961" t="str">
            <v>安侯建業聯合會計師事務所</v>
          </cell>
          <cell r="D961" t="str">
            <v>陳雅琳</v>
          </cell>
          <cell r="E961" t="str">
            <v>陳玫燕</v>
          </cell>
          <cell r="F961">
            <v>20170323</v>
          </cell>
          <cell r="G961" t="str">
            <v>無保留意見</v>
          </cell>
        </row>
        <row r="962">
          <cell r="A962">
            <v>3114</v>
          </cell>
          <cell r="B962" t="str">
            <v>好德科技</v>
          </cell>
          <cell r="C962" t="str">
            <v>安永聯合會計師事務所</v>
          </cell>
          <cell r="D962" t="str">
            <v>林素雯</v>
          </cell>
          <cell r="E962" t="str">
            <v>曾祥裕</v>
          </cell>
          <cell r="F962">
            <v>20170323</v>
          </cell>
          <cell r="G962" t="str">
            <v>無保留意見</v>
          </cell>
        </row>
        <row r="963">
          <cell r="A963">
            <v>3115</v>
          </cell>
          <cell r="B963" t="str">
            <v>寶島極</v>
          </cell>
          <cell r="C963" t="str">
            <v>正風聯合會計師事務所</v>
          </cell>
          <cell r="D963" t="str">
            <v>賴永吉</v>
          </cell>
          <cell r="E963" t="str">
            <v>鄭憲修</v>
          </cell>
          <cell r="F963">
            <v>20170324</v>
          </cell>
          <cell r="G963" t="str">
            <v>無保留意見</v>
          </cell>
        </row>
        <row r="964">
          <cell r="A964">
            <v>3118</v>
          </cell>
          <cell r="B964" t="str">
            <v>進階生物</v>
          </cell>
          <cell r="C964" t="str">
            <v>安侯建業聯合會計師事務所</v>
          </cell>
          <cell r="D964" t="str">
            <v>林恒昇</v>
          </cell>
          <cell r="E964" t="str">
            <v>陳蓓琪</v>
          </cell>
          <cell r="F964">
            <v>20170323</v>
          </cell>
          <cell r="G964" t="str">
            <v>無保留意見</v>
          </cell>
        </row>
        <row r="965">
          <cell r="A965">
            <v>3122</v>
          </cell>
          <cell r="B965" t="str">
            <v>笙泉科技</v>
          </cell>
          <cell r="C965" t="str">
            <v>勤業眾信聯合會計師事務所</v>
          </cell>
          <cell r="D965" t="str">
            <v>蔡美貞</v>
          </cell>
          <cell r="E965" t="str">
            <v>葉東煇</v>
          </cell>
          <cell r="F965">
            <v>20170214</v>
          </cell>
          <cell r="G965" t="str">
            <v>無保留意見</v>
          </cell>
        </row>
        <row r="966">
          <cell r="A966">
            <v>3128</v>
          </cell>
          <cell r="B966" t="str">
            <v>昇銳電子</v>
          </cell>
          <cell r="C966" t="str">
            <v>勤業眾信聯合會計師事務所</v>
          </cell>
          <cell r="D966" t="str">
            <v>陳重成</v>
          </cell>
          <cell r="E966" t="str">
            <v>張耿禧</v>
          </cell>
          <cell r="F966">
            <v>20170328</v>
          </cell>
          <cell r="G966" t="str">
            <v>無保留意見</v>
          </cell>
        </row>
        <row r="967">
          <cell r="A967">
            <v>3131</v>
          </cell>
          <cell r="B967" t="str">
            <v>弘塑科技</v>
          </cell>
          <cell r="C967" t="str">
            <v>勤業眾信聯合會計師事務所</v>
          </cell>
          <cell r="D967" t="str">
            <v>陳錦章</v>
          </cell>
          <cell r="E967" t="str">
            <v>蔡美貞</v>
          </cell>
          <cell r="F967">
            <v>20170320</v>
          </cell>
          <cell r="G967" t="str">
            <v>無保留意見</v>
          </cell>
        </row>
        <row r="968">
          <cell r="A968">
            <v>3141</v>
          </cell>
          <cell r="B968" t="str">
            <v>晶宏</v>
          </cell>
          <cell r="C968" t="str">
            <v>勤業眾信聯合會計師事務所</v>
          </cell>
          <cell r="D968" t="str">
            <v>劉永富</v>
          </cell>
          <cell r="E968" t="str">
            <v>廖婉怡</v>
          </cell>
          <cell r="F968">
            <v>20170216</v>
          </cell>
          <cell r="G968" t="str">
            <v>無保留意見</v>
          </cell>
        </row>
        <row r="969">
          <cell r="A969">
            <v>3144</v>
          </cell>
          <cell r="B969" t="str">
            <v>新揚科</v>
          </cell>
          <cell r="C969" t="str">
            <v>資誠聯合會計師事務所</v>
          </cell>
          <cell r="D969" t="str">
            <v>廖阿甚</v>
          </cell>
          <cell r="E969" t="str">
            <v>林億彰</v>
          </cell>
          <cell r="F969">
            <v>20170216</v>
          </cell>
          <cell r="G969" t="str">
            <v>無保留意見</v>
          </cell>
        </row>
        <row r="970">
          <cell r="A970">
            <v>3152</v>
          </cell>
          <cell r="B970" t="str">
            <v>璟德電子</v>
          </cell>
          <cell r="C970" t="str">
            <v>安侯建業聯合會計師事務所</v>
          </cell>
          <cell r="D970" t="str">
            <v>曾渼鈺</v>
          </cell>
          <cell r="E970" t="str">
            <v>呂倩慧</v>
          </cell>
          <cell r="F970">
            <v>20170221</v>
          </cell>
          <cell r="G970" t="str">
            <v>無保留意見</v>
          </cell>
        </row>
        <row r="971">
          <cell r="A971">
            <v>3162</v>
          </cell>
          <cell r="B971" t="str">
            <v>精確實業</v>
          </cell>
          <cell r="C971" t="str">
            <v>勤業眾信聯合會計師事務所</v>
          </cell>
          <cell r="D971" t="str">
            <v>李麗凰</v>
          </cell>
          <cell r="E971" t="str">
            <v>蘇郁琇</v>
          </cell>
          <cell r="F971">
            <v>20170328</v>
          </cell>
          <cell r="G971" t="str">
            <v>無保留意見</v>
          </cell>
        </row>
        <row r="972">
          <cell r="A972">
            <v>3163</v>
          </cell>
          <cell r="B972" t="str">
            <v>波若威</v>
          </cell>
          <cell r="C972" t="str">
            <v>資誠聯合會計師事務所</v>
          </cell>
          <cell r="D972" t="str">
            <v>鄭雅慧</v>
          </cell>
          <cell r="E972" t="str">
            <v>李典易</v>
          </cell>
          <cell r="F972">
            <v>20170302</v>
          </cell>
          <cell r="G972" t="str">
            <v>無保留意見</v>
          </cell>
        </row>
        <row r="973">
          <cell r="A973">
            <v>3169</v>
          </cell>
          <cell r="B973" t="str">
            <v>亞信電子</v>
          </cell>
          <cell r="C973" t="str">
            <v>安 侯 建 業 聯 合 會 計 師 事 務 所</v>
          </cell>
          <cell r="D973" t="str">
            <v>黃海寧</v>
          </cell>
          <cell r="E973" t="str">
            <v>魏興海</v>
          </cell>
          <cell r="F973">
            <v>20170308</v>
          </cell>
          <cell r="G973" t="str">
            <v>無保留意見</v>
          </cell>
        </row>
        <row r="974">
          <cell r="A974">
            <v>3171</v>
          </cell>
          <cell r="B974" t="str">
            <v>新洲全球</v>
          </cell>
          <cell r="C974" t="str">
            <v>資誠聯合會計師事務所</v>
          </cell>
          <cell r="D974" t="str">
            <v>王輝賢</v>
          </cell>
          <cell r="E974" t="str">
            <v>翁世榮</v>
          </cell>
          <cell r="F974">
            <v>20170329</v>
          </cell>
          <cell r="G974" t="str">
            <v>無保留意見</v>
          </cell>
        </row>
        <row r="975">
          <cell r="A975">
            <v>3176</v>
          </cell>
          <cell r="B975" t="str">
            <v>基亞</v>
          </cell>
          <cell r="C975" t="str">
            <v>資誠聯合會計師事務所</v>
          </cell>
          <cell r="D975" t="str">
            <v>馮敏娟</v>
          </cell>
          <cell r="E975" t="str">
            <v>鄧聖偉</v>
          </cell>
          <cell r="F975">
            <v>20170321</v>
          </cell>
          <cell r="G975" t="str">
            <v>無保留意見</v>
          </cell>
        </row>
        <row r="976">
          <cell r="A976">
            <v>3188</v>
          </cell>
          <cell r="B976" t="str">
            <v>鑫龍騰</v>
          </cell>
          <cell r="C976" t="str">
            <v>勤業眾信聯合會計師事務所</v>
          </cell>
          <cell r="D976" t="str">
            <v>郭麗園</v>
          </cell>
          <cell r="E976" t="str">
            <v>龔俊吉</v>
          </cell>
          <cell r="F976">
            <v>20170324</v>
          </cell>
          <cell r="G976" t="str">
            <v>無保留意見</v>
          </cell>
        </row>
        <row r="977">
          <cell r="A977">
            <v>3191</v>
          </cell>
          <cell r="B977" t="str">
            <v>和進</v>
          </cell>
          <cell r="C977" t="str">
            <v>誠信聯合會計師事務所</v>
          </cell>
          <cell r="D977" t="str">
            <v>張瀚星</v>
          </cell>
          <cell r="E977" t="str">
            <v>王忠偉</v>
          </cell>
          <cell r="F977">
            <v>20170329</v>
          </cell>
          <cell r="G977" t="str">
            <v>無保留意見</v>
          </cell>
        </row>
        <row r="978">
          <cell r="A978">
            <v>3202</v>
          </cell>
          <cell r="B978" t="str">
            <v>樺晟電子</v>
          </cell>
          <cell r="C978" t="str">
            <v>國 富 浩 華 聯 合 會 計 師 事 務 所</v>
          </cell>
          <cell r="D978" t="str">
            <v>吳孟達</v>
          </cell>
          <cell r="E978" t="str">
            <v>張亞荃</v>
          </cell>
          <cell r="F978">
            <v>20170309</v>
          </cell>
          <cell r="G978" t="str">
            <v>無保留意見</v>
          </cell>
        </row>
        <row r="979">
          <cell r="A979">
            <v>3205</v>
          </cell>
          <cell r="B979" t="str">
            <v>佰研</v>
          </cell>
          <cell r="C979" t="str">
            <v>國富浩華聯合會計師事務所</v>
          </cell>
          <cell r="D979" t="str">
            <v>蕭英嘉</v>
          </cell>
          <cell r="E979" t="str">
            <v>王戊昌</v>
          </cell>
          <cell r="F979">
            <v>20170322</v>
          </cell>
          <cell r="G979" t="str">
            <v>無保留意見</v>
          </cell>
        </row>
        <row r="980">
          <cell r="A980">
            <v>3206</v>
          </cell>
          <cell r="B980" t="str">
            <v>志豐電子</v>
          </cell>
          <cell r="C980" t="str">
            <v>安侯建業聯合會計師事務所</v>
          </cell>
          <cell r="D980" t="str">
            <v>黃　柏　淑</v>
          </cell>
          <cell r="E980" t="str">
            <v>俞　安　恬</v>
          </cell>
          <cell r="F980">
            <v>20170310</v>
          </cell>
          <cell r="G980" t="str">
            <v>無保留意見</v>
          </cell>
        </row>
        <row r="981">
          <cell r="A981">
            <v>3207</v>
          </cell>
          <cell r="B981" t="str">
            <v>耀勝</v>
          </cell>
          <cell r="C981" t="str">
            <v>勤業眾信聯合會計師事務所</v>
          </cell>
          <cell r="D981" t="str">
            <v>黃瑞展</v>
          </cell>
          <cell r="E981" t="str">
            <v>鄭旭然</v>
          </cell>
          <cell r="F981">
            <v>20170327</v>
          </cell>
          <cell r="G981" t="str">
            <v>無保留意見</v>
          </cell>
        </row>
        <row r="982">
          <cell r="A982">
            <v>3211</v>
          </cell>
          <cell r="B982" t="str">
            <v>順達科</v>
          </cell>
          <cell r="C982" t="str">
            <v>勤業眾信聯合會計師事務所</v>
          </cell>
          <cell r="D982" t="str">
            <v>韋亮發</v>
          </cell>
          <cell r="E982" t="str">
            <v>簡明彥</v>
          </cell>
          <cell r="F982">
            <v>20170303</v>
          </cell>
          <cell r="G982" t="str">
            <v>無保留意見</v>
          </cell>
        </row>
        <row r="983">
          <cell r="A983">
            <v>3213</v>
          </cell>
          <cell r="B983" t="str">
            <v>茂訊電腦</v>
          </cell>
          <cell r="C983" t="str">
            <v>安侯建業聯合會計師事務所</v>
          </cell>
          <cell r="D983" t="str">
            <v>唐慈杰</v>
          </cell>
          <cell r="E983" t="str">
            <v>張惠貞</v>
          </cell>
          <cell r="F983">
            <v>20170323</v>
          </cell>
          <cell r="G983" t="str">
            <v>無保留意見</v>
          </cell>
        </row>
        <row r="984">
          <cell r="A984">
            <v>3217</v>
          </cell>
          <cell r="B984" t="str">
            <v>優群科技</v>
          </cell>
          <cell r="C984" t="str">
            <v>眾智聯合會計師事務所</v>
          </cell>
          <cell r="D984" t="str">
            <v>王惠民</v>
          </cell>
          <cell r="E984" t="str">
            <v>吳光皋</v>
          </cell>
          <cell r="F984">
            <v>20170315</v>
          </cell>
          <cell r="G984" t="str">
            <v>無保留意見</v>
          </cell>
        </row>
        <row r="985">
          <cell r="A985">
            <v>3218</v>
          </cell>
          <cell r="B985" t="str">
            <v>大學光</v>
          </cell>
          <cell r="C985" t="str">
            <v>勤業眾信聯合會計師事務所</v>
          </cell>
          <cell r="D985" t="str">
            <v>陳慧銘</v>
          </cell>
          <cell r="E985" t="str">
            <v>謝明忠</v>
          </cell>
          <cell r="F985">
            <v>20170329</v>
          </cell>
          <cell r="G985" t="str">
            <v>無保留意見</v>
          </cell>
        </row>
        <row r="986">
          <cell r="A986">
            <v>3219</v>
          </cell>
          <cell r="B986" t="str">
            <v>倚強科技</v>
          </cell>
          <cell r="C986" t="str">
            <v>資誠聯合會計師事務所</v>
          </cell>
          <cell r="D986" t="str">
            <v>林鈞堯</v>
          </cell>
          <cell r="E986" t="str">
            <v>邱昭賢</v>
          </cell>
          <cell r="F986">
            <v>20170310</v>
          </cell>
          <cell r="G986" t="str">
            <v>無保留意見</v>
          </cell>
        </row>
        <row r="987">
          <cell r="A987">
            <v>3221</v>
          </cell>
          <cell r="B987" t="str">
            <v>台灣嘉碩</v>
          </cell>
          <cell r="C987" t="str">
            <v>勤業眾信聯合會計師事務所</v>
          </cell>
          <cell r="D987" t="str">
            <v>楊承修</v>
          </cell>
          <cell r="E987" t="str">
            <v>鄭旭然</v>
          </cell>
          <cell r="F987">
            <v>20170322</v>
          </cell>
          <cell r="G987" t="str">
            <v>無保留意見</v>
          </cell>
        </row>
        <row r="988">
          <cell r="A988">
            <v>3224</v>
          </cell>
          <cell r="B988" t="str">
            <v>三顧</v>
          </cell>
          <cell r="C988" t="str">
            <v>資誠聯合會計師事務所</v>
          </cell>
          <cell r="D988" t="str">
            <v>李秀玲</v>
          </cell>
          <cell r="E988" t="str">
            <v>支秉鈞</v>
          </cell>
          <cell r="F988">
            <v>20170324</v>
          </cell>
          <cell r="G988" t="str">
            <v>無保留意見</v>
          </cell>
        </row>
        <row r="989">
          <cell r="A989">
            <v>3226</v>
          </cell>
          <cell r="B989" t="str">
            <v>至寶電</v>
          </cell>
          <cell r="C989" t="str">
            <v>勤業眾信聯合會計師事務所</v>
          </cell>
          <cell r="D989" t="str">
            <v>劉永富</v>
          </cell>
          <cell r="E989" t="str">
            <v>陳招美</v>
          </cell>
          <cell r="F989">
            <v>20170324</v>
          </cell>
          <cell r="G989" t="str">
            <v>無保留意見</v>
          </cell>
        </row>
        <row r="990">
          <cell r="A990">
            <v>3227</v>
          </cell>
          <cell r="B990" t="str">
            <v>原相</v>
          </cell>
          <cell r="C990" t="str">
            <v>安永聯合會計師事務所</v>
          </cell>
          <cell r="D990" t="str">
            <v>涂嘉玲</v>
          </cell>
          <cell r="E990" t="str">
            <v>王金來</v>
          </cell>
          <cell r="F990">
            <v>20170327</v>
          </cell>
          <cell r="G990" t="str">
            <v>無保留意見</v>
          </cell>
        </row>
        <row r="991">
          <cell r="A991">
            <v>3228</v>
          </cell>
          <cell r="B991" t="str">
            <v>金麗科</v>
          </cell>
          <cell r="C991" t="str">
            <v>資誠聯合會計師事務所</v>
          </cell>
          <cell r="D991" t="str">
            <v>李典易</v>
          </cell>
          <cell r="E991" t="str">
            <v>林玉寬</v>
          </cell>
          <cell r="F991">
            <v>20170215</v>
          </cell>
          <cell r="G991" t="str">
            <v>無保留意見</v>
          </cell>
        </row>
        <row r="992">
          <cell r="A992">
            <v>3230</v>
          </cell>
          <cell r="B992" t="str">
            <v>錦明實</v>
          </cell>
          <cell r="C992" t="str">
            <v>資誠聯合會計師事務所</v>
          </cell>
          <cell r="D992" t="str">
            <v>李燕娜</v>
          </cell>
          <cell r="E992" t="str">
            <v>薛守宏</v>
          </cell>
          <cell r="F992">
            <v>20170327</v>
          </cell>
          <cell r="G992" t="str">
            <v>無保留意見</v>
          </cell>
        </row>
        <row r="993">
          <cell r="A993">
            <v>3232</v>
          </cell>
          <cell r="B993" t="str">
            <v>昱捷</v>
          </cell>
          <cell r="C993" t="str">
            <v>資誠聯合會計師事務所</v>
          </cell>
          <cell r="D993" t="str">
            <v>蕭春鴛</v>
          </cell>
          <cell r="E993" t="str">
            <v>王方瑜</v>
          </cell>
          <cell r="F993">
            <v>20170328</v>
          </cell>
          <cell r="G993" t="str">
            <v>無保留意見</v>
          </cell>
        </row>
        <row r="994">
          <cell r="A994">
            <v>3234</v>
          </cell>
          <cell r="B994" t="str">
            <v>光環</v>
          </cell>
          <cell r="C994" t="str">
            <v>資誠聯合會計師事務所</v>
          </cell>
          <cell r="D994" t="str">
            <v>鄭雅慧</v>
          </cell>
          <cell r="E994" t="str">
            <v>溫芳郁</v>
          </cell>
          <cell r="F994">
            <v>20170330</v>
          </cell>
          <cell r="G994" t="str">
            <v>無保留意見</v>
          </cell>
        </row>
        <row r="995">
          <cell r="A995">
            <v>3236</v>
          </cell>
          <cell r="B995" t="str">
            <v>千如</v>
          </cell>
          <cell r="C995" t="str">
            <v>勤業眾信聯合會計師事務所</v>
          </cell>
          <cell r="D995" t="str">
            <v>方蘇立</v>
          </cell>
          <cell r="E995" t="str">
            <v>黃裕峰</v>
          </cell>
          <cell r="F995">
            <v>20170329</v>
          </cell>
          <cell r="G995" t="str">
            <v>無保留意見</v>
          </cell>
        </row>
        <row r="996">
          <cell r="A996">
            <v>3252</v>
          </cell>
          <cell r="B996" t="str">
            <v>海灣</v>
          </cell>
          <cell r="C996" t="str">
            <v>安 侯 建 業 聯 合 會 計 師 事 務 所</v>
          </cell>
          <cell r="D996" t="str">
            <v>張　字　信</v>
          </cell>
          <cell r="E996" t="str">
            <v>郭　士　華</v>
          </cell>
          <cell r="F996">
            <v>20170323</v>
          </cell>
          <cell r="G996" t="str">
            <v>無保留意見</v>
          </cell>
        </row>
        <row r="997">
          <cell r="A997">
            <v>3259</v>
          </cell>
          <cell r="B997" t="str">
            <v>鑫創科技</v>
          </cell>
          <cell r="C997" t="str">
            <v>安侯建業聯合會計師事務所</v>
          </cell>
          <cell r="D997" t="str">
            <v>黃海寧</v>
          </cell>
          <cell r="E997" t="str">
            <v>魏興海</v>
          </cell>
          <cell r="F997">
            <v>20170302</v>
          </cell>
          <cell r="G997" t="str">
            <v>無保留意見</v>
          </cell>
        </row>
        <row r="998">
          <cell r="A998">
            <v>3260</v>
          </cell>
          <cell r="B998" t="str">
            <v>威剛科技</v>
          </cell>
          <cell r="C998" t="str">
            <v>資誠聯合會計師事務所</v>
          </cell>
          <cell r="D998" t="str">
            <v>葉翠苗</v>
          </cell>
          <cell r="E998" t="str">
            <v>王方瑜</v>
          </cell>
          <cell r="F998">
            <v>20170307</v>
          </cell>
          <cell r="G998" t="str">
            <v>無保留意見</v>
          </cell>
        </row>
        <row r="999">
          <cell r="A999">
            <v>3264</v>
          </cell>
          <cell r="B999" t="str">
            <v>欣銓科技</v>
          </cell>
          <cell r="C999" t="str">
            <v>資誠聯合會計師事務所</v>
          </cell>
          <cell r="D999" t="str">
            <v>溫芳郁</v>
          </cell>
          <cell r="E999" t="str">
            <v>林玉寬</v>
          </cell>
          <cell r="F999">
            <v>20170323</v>
          </cell>
          <cell r="G999" t="str">
            <v>無保留意見</v>
          </cell>
        </row>
        <row r="1000">
          <cell r="A1000">
            <v>3265</v>
          </cell>
          <cell r="B1000" t="str">
            <v>台星科</v>
          </cell>
          <cell r="C1000" t="str">
            <v>安侯建業聯合會計師事務所</v>
          </cell>
          <cell r="D1000" t="str">
            <v>魏興海</v>
          </cell>
          <cell r="E1000" t="str">
            <v>黃海寧</v>
          </cell>
          <cell r="F1000">
            <v>20170303</v>
          </cell>
          <cell r="G1000" t="str">
            <v>無保留意見</v>
          </cell>
        </row>
        <row r="1001">
          <cell r="A1001">
            <v>3268</v>
          </cell>
          <cell r="B1001" t="str">
            <v>海德威</v>
          </cell>
          <cell r="C1001" t="str">
            <v>資誠聯合會計師事務所</v>
          </cell>
          <cell r="D1001" t="str">
            <v>王玉娟</v>
          </cell>
          <cell r="E1001" t="str">
            <v>楊明經</v>
          </cell>
          <cell r="F1001">
            <v>20170328</v>
          </cell>
          <cell r="G1001" t="str">
            <v>無保留意見</v>
          </cell>
        </row>
        <row r="1002">
          <cell r="A1002">
            <v>3272</v>
          </cell>
          <cell r="B1002" t="str">
            <v>東碩</v>
          </cell>
          <cell r="C1002" t="str">
            <v>資誠聯合會計師事務所</v>
          </cell>
          <cell r="D1002" t="str">
            <v>吳郁隆</v>
          </cell>
          <cell r="E1002" t="str">
            <v>王方瑜</v>
          </cell>
          <cell r="F1002">
            <v>20170317</v>
          </cell>
          <cell r="G1002" t="str">
            <v>無保留意見</v>
          </cell>
        </row>
        <row r="1003">
          <cell r="A1003">
            <v>3276</v>
          </cell>
          <cell r="B1003" t="str">
            <v>宇環</v>
          </cell>
          <cell r="C1003" t="str">
            <v>安侯建業聯合會計師事務所</v>
          </cell>
          <cell r="D1003" t="str">
            <v>陳宜君</v>
          </cell>
          <cell r="E1003" t="str">
            <v>江忠儀</v>
          </cell>
          <cell r="F1003">
            <v>20170320</v>
          </cell>
          <cell r="G1003" t="str">
            <v>無保留意見</v>
          </cell>
        </row>
        <row r="1004">
          <cell r="A1004">
            <v>3284</v>
          </cell>
          <cell r="B1004" t="str">
            <v>太普高</v>
          </cell>
          <cell r="C1004" t="str">
            <v>安永聯合會計師事務所</v>
          </cell>
          <cell r="D1004" t="str">
            <v>李芳文</v>
          </cell>
          <cell r="E1004" t="str">
            <v>黃世杰</v>
          </cell>
          <cell r="F1004">
            <v>20170321</v>
          </cell>
          <cell r="G1004" t="str">
            <v>無保留意見</v>
          </cell>
        </row>
        <row r="1005">
          <cell r="A1005">
            <v>3285</v>
          </cell>
          <cell r="B1005" t="str">
            <v>微端</v>
          </cell>
          <cell r="C1005" t="str">
            <v>勤業眾信聯合會計師事務所</v>
          </cell>
          <cell r="D1005" t="str">
            <v>李麗凰</v>
          </cell>
          <cell r="E1005" t="str">
            <v>林宜慧</v>
          </cell>
          <cell r="F1005">
            <v>20170316</v>
          </cell>
          <cell r="G1005" t="str">
            <v>無保留意見</v>
          </cell>
        </row>
        <row r="1006">
          <cell r="A1006">
            <v>3287</v>
          </cell>
          <cell r="B1006" t="str">
            <v>廣寰</v>
          </cell>
          <cell r="C1006" t="str">
            <v>勤業眾信聯合會計師事務所</v>
          </cell>
          <cell r="D1006" t="str">
            <v>邱盟捷</v>
          </cell>
          <cell r="E1006" t="str">
            <v>柯志賢</v>
          </cell>
          <cell r="F1006">
            <v>20170323</v>
          </cell>
          <cell r="G1006" t="str">
            <v>無保留意見</v>
          </cell>
        </row>
        <row r="1007">
          <cell r="A1007">
            <v>3288</v>
          </cell>
          <cell r="B1007" t="str">
            <v>點晶科技</v>
          </cell>
          <cell r="C1007" t="str">
            <v>勤業眾信聯合會計師事務所</v>
          </cell>
          <cell r="D1007" t="str">
            <v>黃裕峰</v>
          </cell>
          <cell r="E1007" t="str">
            <v>蔡美貞</v>
          </cell>
          <cell r="F1007">
            <v>20170328</v>
          </cell>
          <cell r="G1007" t="str">
            <v>無保留意見-繼續經營能力存在重大不確定性/繼續經營假設存有重大疑慮</v>
          </cell>
        </row>
        <row r="1008">
          <cell r="A1008">
            <v>3289</v>
          </cell>
          <cell r="B1008" t="str">
            <v>宜特科技</v>
          </cell>
          <cell r="C1008" t="str">
            <v>勤業眾信聯合會計師事務所</v>
          </cell>
          <cell r="D1008" t="str">
            <v>葉東煇</v>
          </cell>
          <cell r="E1008" t="str">
            <v>蔡美貞</v>
          </cell>
          <cell r="F1008">
            <v>20170322</v>
          </cell>
          <cell r="G1008" t="str">
            <v>無保留意見</v>
          </cell>
        </row>
        <row r="1009">
          <cell r="A1009">
            <v>3290</v>
          </cell>
          <cell r="B1009" t="str">
            <v>東浦精密</v>
          </cell>
          <cell r="C1009" t="str">
            <v>安侯建業聯合會計師事務所</v>
          </cell>
          <cell r="D1009" t="str">
            <v>張字信</v>
          </cell>
          <cell r="E1009" t="str">
            <v>陳君滿</v>
          </cell>
          <cell r="F1009">
            <v>20170216</v>
          </cell>
          <cell r="G1009" t="str">
            <v>無保留意見</v>
          </cell>
        </row>
        <row r="1010">
          <cell r="A1010">
            <v>3293</v>
          </cell>
          <cell r="B1010" t="str">
            <v>鈊象電子</v>
          </cell>
          <cell r="C1010" t="str">
            <v>勤業眾信聯合會計師事務所</v>
          </cell>
          <cell r="D1010" t="str">
            <v>李東峰</v>
          </cell>
          <cell r="E1010" t="str">
            <v>龔則立</v>
          </cell>
          <cell r="F1010">
            <v>20170324</v>
          </cell>
          <cell r="G1010" t="str">
            <v>無保留意見</v>
          </cell>
        </row>
        <row r="1011">
          <cell r="A1011">
            <v>3294</v>
          </cell>
          <cell r="B1011" t="str">
            <v>英濟</v>
          </cell>
          <cell r="C1011" t="str">
            <v>安侯建業聯合會計師事務所</v>
          </cell>
          <cell r="D1011" t="str">
            <v>許育峰</v>
          </cell>
          <cell r="E1011" t="str">
            <v>唐慈杰</v>
          </cell>
          <cell r="F1011">
            <v>20170328</v>
          </cell>
          <cell r="G1011" t="str">
            <v>無保留意見</v>
          </cell>
        </row>
        <row r="1012">
          <cell r="A1012">
            <v>3297</v>
          </cell>
          <cell r="B1012" t="str">
            <v>杭特</v>
          </cell>
          <cell r="C1012" t="str">
            <v>資誠聯合會計師事務所</v>
          </cell>
          <cell r="D1012" t="str">
            <v>李秀玲</v>
          </cell>
          <cell r="E1012" t="str">
            <v>支秉鈞</v>
          </cell>
          <cell r="F1012">
            <v>20170308</v>
          </cell>
          <cell r="G1012" t="str">
            <v>無保留意見</v>
          </cell>
        </row>
        <row r="1013">
          <cell r="A1013">
            <v>3299</v>
          </cell>
          <cell r="B1013" t="str">
            <v>帛漢</v>
          </cell>
          <cell r="C1013" t="str">
            <v>勤業眾信聯合會計師事務所</v>
          </cell>
          <cell r="D1013" t="str">
            <v>廖鴻儒</v>
          </cell>
          <cell r="E1013" t="str">
            <v>龔俊吉</v>
          </cell>
          <cell r="F1013">
            <v>20170310</v>
          </cell>
          <cell r="G1013" t="str">
            <v>無保留意見</v>
          </cell>
        </row>
        <row r="1014">
          <cell r="A1014">
            <v>3303</v>
          </cell>
          <cell r="B1014" t="str">
            <v>岱稜</v>
          </cell>
          <cell r="C1014" t="str">
            <v>安永聯合會計師事務所</v>
          </cell>
          <cell r="D1014" t="str">
            <v>黃世杰</v>
          </cell>
          <cell r="E1014" t="str">
            <v>胡子仁</v>
          </cell>
          <cell r="F1014">
            <v>20170308</v>
          </cell>
          <cell r="G1014" t="str">
            <v>無保留意見</v>
          </cell>
        </row>
        <row r="1015">
          <cell r="A1015">
            <v>3306</v>
          </cell>
          <cell r="B1015" t="str">
            <v>鼎天國際</v>
          </cell>
          <cell r="C1015" t="str">
            <v>安侯建業聯合會計師事務所</v>
          </cell>
          <cell r="D1015" t="str">
            <v>陳宜君</v>
          </cell>
          <cell r="E1015" t="str">
            <v>林琬琬</v>
          </cell>
          <cell r="F1015">
            <v>20170320</v>
          </cell>
          <cell r="G1015" t="str">
            <v>無保留意見</v>
          </cell>
        </row>
        <row r="1016">
          <cell r="A1016">
            <v>3310</v>
          </cell>
          <cell r="B1016" t="str">
            <v>佳穎精密</v>
          </cell>
          <cell r="C1016" t="str">
            <v>安侯建業聯合會計師事務所</v>
          </cell>
          <cell r="D1016" t="str">
            <v>張淑瑩</v>
          </cell>
          <cell r="E1016" t="str">
            <v>池世欽</v>
          </cell>
          <cell r="F1016">
            <v>20170327</v>
          </cell>
          <cell r="G1016" t="str">
            <v>無保留意見</v>
          </cell>
        </row>
        <row r="1017">
          <cell r="A1017">
            <v>3313</v>
          </cell>
          <cell r="B1017" t="str">
            <v>斐成</v>
          </cell>
          <cell r="C1017" t="str">
            <v>安侯建業聯合會計師事務所</v>
          </cell>
          <cell r="D1017" t="str">
            <v>郭欣頤</v>
          </cell>
          <cell r="E1017" t="str">
            <v>陳秀蘭</v>
          </cell>
          <cell r="F1017">
            <v>20170317</v>
          </cell>
          <cell r="G1017" t="str">
            <v>無保留意見</v>
          </cell>
        </row>
        <row r="1018">
          <cell r="A1018">
            <v>3317</v>
          </cell>
          <cell r="B1018" t="str">
            <v>尼克森微</v>
          </cell>
          <cell r="C1018" t="str">
            <v>安侯建業聯合會計師事務所</v>
          </cell>
          <cell r="D1018" t="str">
            <v>吳美萍</v>
          </cell>
          <cell r="E1018" t="str">
            <v>黃泳華</v>
          </cell>
          <cell r="F1018">
            <v>20170324</v>
          </cell>
          <cell r="G1018" t="str">
            <v>無保留意見</v>
          </cell>
        </row>
        <row r="1019">
          <cell r="A1019">
            <v>3322</v>
          </cell>
          <cell r="B1019" t="str">
            <v>建舜電子</v>
          </cell>
          <cell r="C1019" t="str">
            <v>安侯建業聯合會計師事務所</v>
          </cell>
          <cell r="D1019" t="str">
            <v>羅瑞蘭</v>
          </cell>
          <cell r="E1019" t="str">
            <v>郭冠纓</v>
          </cell>
          <cell r="F1019">
            <v>20170322</v>
          </cell>
          <cell r="G1019" t="str">
            <v>無保留意見</v>
          </cell>
        </row>
        <row r="1020">
          <cell r="A1020">
            <v>3323</v>
          </cell>
          <cell r="B1020" t="str">
            <v>加百裕</v>
          </cell>
          <cell r="C1020" t="str">
            <v>安侯建業聯合會計師事務所</v>
          </cell>
          <cell r="D1020" t="str">
            <v>郭冠纓</v>
          </cell>
          <cell r="E1020" t="str">
            <v>王怡文</v>
          </cell>
          <cell r="F1020">
            <v>20170302</v>
          </cell>
          <cell r="G1020" t="str">
            <v>無保留意見</v>
          </cell>
        </row>
        <row r="1021">
          <cell r="A1021">
            <v>3324</v>
          </cell>
          <cell r="B1021" t="str">
            <v>雙鴻科技</v>
          </cell>
          <cell r="C1021" t="str">
            <v>資誠聯合會計師事務所</v>
          </cell>
          <cell r="D1021" t="str">
            <v>徐聖忠</v>
          </cell>
          <cell r="E1021" t="str">
            <v>徐永堅</v>
          </cell>
          <cell r="F1021">
            <v>20170306</v>
          </cell>
          <cell r="G1021" t="str">
            <v>無保留意見</v>
          </cell>
        </row>
        <row r="1022">
          <cell r="A1022">
            <v>3325</v>
          </cell>
          <cell r="B1022" t="str">
            <v>旭品科技</v>
          </cell>
          <cell r="C1022" t="str">
            <v>勤業眾信聯合會計師事務所</v>
          </cell>
          <cell r="D1022" t="str">
            <v>黃瑞展</v>
          </cell>
          <cell r="E1022" t="str">
            <v>鄭旭然</v>
          </cell>
          <cell r="F1022">
            <v>20170327</v>
          </cell>
          <cell r="G1022" t="str">
            <v>無保留意見</v>
          </cell>
        </row>
        <row r="1023">
          <cell r="A1023">
            <v>3332</v>
          </cell>
          <cell r="B1023" t="str">
            <v>幸康</v>
          </cell>
          <cell r="C1023" t="str">
            <v>資誠聯合會計師事務所</v>
          </cell>
          <cell r="D1023" t="str">
            <v>支秉鈞</v>
          </cell>
          <cell r="E1023" t="str">
            <v>王國華</v>
          </cell>
          <cell r="F1023">
            <v>20170323</v>
          </cell>
          <cell r="G1023" t="str">
            <v>無保留意見</v>
          </cell>
        </row>
        <row r="1024">
          <cell r="A1024">
            <v>3339</v>
          </cell>
          <cell r="B1024" t="str">
            <v>泰谷光電</v>
          </cell>
          <cell r="C1024" t="str">
            <v>安 侯 建 業 聯 合 會 計 師 事 務 所</v>
          </cell>
          <cell r="D1024" t="str">
            <v>區耀軍</v>
          </cell>
          <cell r="E1024" t="str">
            <v>郭冠纓</v>
          </cell>
          <cell r="F1024">
            <v>20170314</v>
          </cell>
          <cell r="G1024" t="str">
            <v>無保留意見-繼續經營能力存在重大不確定性/繼續經營假設存有重大疑慮</v>
          </cell>
        </row>
        <row r="1025">
          <cell r="A1025">
            <v>3354</v>
          </cell>
          <cell r="B1025" t="str">
            <v>律勝科技</v>
          </cell>
          <cell r="C1025" t="str">
            <v>資誠聯合會計師事務所</v>
          </cell>
          <cell r="D1025" t="str">
            <v>劉子猛</v>
          </cell>
          <cell r="E1025" t="str">
            <v>林永智</v>
          </cell>
          <cell r="F1025">
            <v>20170324</v>
          </cell>
          <cell r="G1025" t="str">
            <v>無保留意見</v>
          </cell>
        </row>
        <row r="1026">
          <cell r="A1026">
            <v>3360</v>
          </cell>
          <cell r="B1026" t="str">
            <v>尚立</v>
          </cell>
          <cell r="C1026" t="str">
            <v>勤業眾信聯合會計師事務所</v>
          </cell>
          <cell r="D1026" t="str">
            <v>洪國田</v>
          </cell>
          <cell r="E1026" t="str">
            <v>黃毅民</v>
          </cell>
          <cell r="F1026">
            <v>20170322</v>
          </cell>
          <cell r="G1026" t="str">
            <v>無保留意見</v>
          </cell>
        </row>
        <row r="1027">
          <cell r="A1027">
            <v>3362</v>
          </cell>
          <cell r="B1027" t="str">
            <v>先進光電</v>
          </cell>
          <cell r="C1027" t="str">
            <v>安侯建業聯合會計師事務所</v>
          </cell>
          <cell r="D1027" t="str">
            <v>張字信</v>
          </cell>
          <cell r="E1027" t="str">
            <v>曾渼鈺</v>
          </cell>
          <cell r="F1027">
            <v>20170222</v>
          </cell>
          <cell r="G1027" t="str">
            <v>無保留意見</v>
          </cell>
        </row>
        <row r="1028">
          <cell r="A1028">
            <v>3363</v>
          </cell>
          <cell r="B1028" t="str">
            <v>上詮</v>
          </cell>
          <cell r="C1028" t="str">
            <v>資誠聯合會計師事務所</v>
          </cell>
          <cell r="D1028" t="str">
            <v>鄭雅慧</v>
          </cell>
          <cell r="E1028" t="str">
            <v>林玉寬</v>
          </cell>
          <cell r="F1028">
            <v>20170322</v>
          </cell>
          <cell r="G1028" t="str">
            <v>無保留意見</v>
          </cell>
        </row>
        <row r="1029">
          <cell r="A1029">
            <v>3372</v>
          </cell>
          <cell r="B1029" t="str">
            <v>典範</v>
          </cell>
          <cell r="C1029" t="str">
            <v>資誠聯合會計師事務所</v>
          </cell>
          <cell r="D1029" t="str">
            <v>林鈞堯</v>
          </cell>
          <cell r="E1029" t="str">
            <v>王國華</v>
          </cell>
          <cell r="F1029">
            <v>20170307</v>
          </cell>
          <cell r="G1029" t="str">
            <v>無保留意見</v>
          </cell>
        </row>
        <row r="1030">
          <cell r="A1030">
            <v>3373</v>
          </cell>
          <cell r="B1030" t="str">
            <v>熱映</v>
          </cell>
          <cell r="C1030" t="str">
            <v>勤業眾信聯合會計師事務所</v>
          </cell>
          <cell r="D1030" t="str">
            <v>李振銘</v>
          </cell>
          <cell r="E1030" t="str">
            <v>林文欽</v>
          </cell>
          <cell r="F1030">
            <v>20170306</v>
          </cell>
          <cell r="G1030" t="str">
            <v>無保留意見</v>
          </cell>
        </row>
        <row r="1031">
          <cell r="A1031">
            <v>3374</v>
          </cell>
          <cell r="B1031" t="str">
            <v>精材</v>
          </cell>
          <cell r="C1031" t="str">
            <v>勤業眾信聯合會計師事務所</v>
          </cell>
          <cell r="D1031" t="str">
            <v>黃裕峰</v>
          </cell>
          <cell r="E1031" t="str">
            <v>林政治</v>
          </cell>
          <cell r="F1031">
            <v>20170217</v>
          </cell>
          <cell r="G1031" t="str">
            <v>無保留意見</v>
          </cell>
        </row>
        <row r="1032">
          <cell r="A1032">
            <v>3379</v>
          </cell>
          <cell r="B1032" t="str">
            <v>彬台科技</v>
          </cell>
          <cell r="C1032" t="str">
            <v>勤業眾信聯合會計師事務所</v>
          </cell>
          <cell r="D1032" t="str">
            <v>黃海悅</v>
          </cell>
          <cell r="E1032" t="str">
            <v>謝建新</v>
          </cell>
          <cell r="F1032">
            <v>20170321</v>
          </cell>
          <cell r="G1032" t="str">
            <v>無保留意見</v>
          </cell>
        </row>
        <row r="1033">
          <cell r="A1033">
            <v>3388</v>
          </cell>
          <cell r="B1033" t="str">
            <v>崇越電</v>
          </cell>
          <cell r="C1033" t="str">
            <v>安侯建業聯合會計師事務所</v>
          </cell>
          <cell r="D1033" t="str">
            <v>顏幸福</v>
          </cell>
          <cell r="E1033" t="str">
            <v>王怡文</v>
          </cell>
          <cell r="F1033">
            <v>20170320</v>
          </cell>
          <cell r="G1033" t="str">
            <v>無保留意見</v>
          </cell>
        </row>
        <row r="1034">
          <cell r="A1034">
            <v>3390</v>
          </cell>
          <cell r="B1034" t="str">
            <v>旭軟</v>
          </cell>
          <cell r="C1034" t="str">
            <v>致遠聯合會計師事務所</v>
          </cell>
          <cell r="D1034" t="str">
            <v>呂瑞文</v>
          </cell>
          <cell r="E1034" t="str">
            <v>侯委晉</v>
          </cell>
          <cell r="F1034">
            <v>20170309</v>
          </cell>
          <cell r="G1034" t="str">
            <v>無保留意見</v>
          </cell>
        </row>
        <row r="1035">
          <cell r="A1035">
            <v>3402</v>
          </cell>
          <cell r="B1035" t="str">
            <v>漢科系統</v>
          </cell>
          <cell r="C1035" t="str">
            <v>勤業眾信聯合會計師事務所</v>
          </cell>
          <cell r="D1035" t="str">
            <v>葉東煇</v>
          </cell>
          <cell r="E1035" t="str">
            <v>蔡美貞</v>
          </cell>
          <cell r="F1035">
            <v>20170324</v>
          </cell>
          <cell r="G1035" t="str">
            <v>無保留意見</v>
          </cell>
        </row>
        <row r="1036">
          <cell r="A1036">
            <v>3426</v>
          </cell>
          <cell r="B1036" t="str">
            <v>台興</v>
          </cell>
          <cell r="C1036" t="str">
            <v>勤業眾信聯合會計師事務所</v>
          </cell>
          <cell r="D1036" t="str">
            <v>龔雙雄</v>
          </cell>
          <cell r="E1036" t="str">
            <v>林宜慧</v>
          </cell>
          <cell r="F1036">
            <v>20170310</v>
          </cell>
          <cell r="G1036" t="str">
            <v>無保留意見</v>
          </cell>
        </row>
        <row r="1037">
          <cell r="A1037">
            <v>3428</v>
          </cell>
          <cell r="B1037" t="str">
            <v>光燿科</v>
          </cell>
          <cell r="C1037" t="str">
            <v>資誠聯合會計師事務所</v>
          </cell>
          <cell r="D1037" t="str">
            <v>王玉娟</v>
          </cell>
          <cell r="E1037" t="str">
            <v>周筱姿</v>
          </cell>
          <cell r="F1037">
            <v>20170329</v>
          </cell>
          <cell r="G1037" t="str">
            <v>無保留意見</v>
          </cell>
        </row>
        <row r="1038">
          <cell r="A1038">
            <v>3431</v>
          </cell>
          <cell r="B1038" t="str">
            <v>長天科技</v>
          </cell>
          <cell r="C1038" t="str">
            <v>國富浩華聯合會計師事務所</v>
          </cell>
          <cell r="D1038" t="str">
            <v>邱繼盛</v>
          </cell>
          <cell r="E1038" t="str">
            <v>林志隆</v>
          </cell>
          <cell r="F1038">
            <v>20170330</v>
          </cell>
          <cell r="G1038" t="str">
            <v>無保留意見</v>
          </cell>
        </row>
        <row r="1039">
          <cell r="A1039">
            <v>3434</v>
          </cell>
          <cell r="B1039" t="str">
            <v>哲固</v>
          </cell>
          <cell r="C1039" t="str">
            <v>資  誠  聯  合  會  計  師  事  務  所</v>
          </cell>
          <cell r="D1039" t="str">
            <v>薛守宏</v>
          </cell>
          <cell r="E1039" t="str">
            <v>李燕娜</v>
          </cell>
          <cell r="F1039">
            <v>20170316</v>
          </cell>
          <cell r="G1039" t="str">
            <v>無保留意見</v>
          </cell>
        </row>
        <row r="1040">
          <cell r="A1040">
            <v>3438</v>
          </cell>
          <cell r="B1040" t="str">
            <v>台灣類比</v>
          </cell>
          <cell r="C1040" t="str">
            <v>資誠聯合會計師事務所</v>
          </cell>
          <cell r="D1040" t="str">
            <v>曾國華</v>
          </cell>
          <cell r="E1040" t="str">
            <v>李典易</v>
          </cell>
          <cell r="F1040">
            <v>20170323</v>
          </cell>
          <cell r="G1040" t="str">
            <v>無保留意見</v>
          </cell>
        </row>
        <row r="1041">
          <cell r="A1041">
            <v>3441</v>
          </cell>
          <cell r="B1041" t="str">
            <v>聯一光學</v>
          </cell>
          <cell r="C1041" t="str">
            <v>勤業眾信聯合會計師事務所</v>
          </cell>
          <cell r="D1041" t="str">
            <v>曾棟鋆</v>
          </cell>
          <cell r="E1041" t="str">
            <v>顏曉芳</v>
          </cell>
          <cell r="F1041">
            <v>20170323</v>
          </cell>
          <cell r="G1041" t="str">
            <v>無保留意見</v>
          </cell>
        </row>
        <row r="1042">
          <cell r="A1042">
            <v>3444</v>
          </cell>
          <cell r="B1042" t="str">
            <v>利機企業</v>
          </cell>
          <cell r="C1042" t="str">
            <v>勤業眾信聯合會計師事務所</v>
          </cell>
          <cell r="D1042" t="str">
            <v>成德潤</v>
          </cell>
          <cell r="E1042" t="str">
            <v>吳麗冬</v>
          </cell>
          <cell r="F1042">
            <v>20170329</v>
          </cell>
          <cell r="G1042" t="str">
            <v>無保留意見</v>
          </cell>
        </row>
        <row r="1043">
          <cell r="A1043">
            <v>3452</v>
          </cell>
          <cell r="B1043" t="str">
            <v>益通光能</v>
          </cell>
          <cell r="C1043" t="str">
            <v>安侯建業聯合會計師事務所</v>
          </cell>
          <cell r="D1043" t="str">
            <v>陳盈如</v>
          </cell>
          <cell r="E1043" t="str">
            <v>林琬琬</v>
          </cell>
          <cell r="F1043">
            <v>20170327</v>
          </cell>
          <cell r="G1043" t="str">
            <v>無保留意見</v>
          </cell>
        </row>
        <row r="1044">
          <cell r="A1044">
            <v>3455</v>
          </cell>
          <cell r="B1044" t="str">
            <v>由田</v>
          </cell>
          <cell r="C1044" t="str">
            <v>安侯建業聯合會計師事務所</v>
          </cell>
          <cell r="D1044" t="str">
            <v>楊樹芝</v>
          </cell>
          <cell r="E1044" t="str">
            <v>陳蓓琪</v>
          </cell>
          <cell r="F1044">
            <v>20170309</v>
          </cell>
          <cell r="G1044" t="str">
            <v>無保留意見</v>
          </cell>
        </row>
        <row r="1045">
          <cell r="A1045">
            <v>3465</v>
          </cell>
          <cell r="B1045" t="str">
            <v>祥業科技</v>
          </cell>
          <cell r="C1045" t="str">
            <v>勤業眾信聯合會計師事務所</v>
          </cell>
          <cell r="D1045" t="str">
            <v>江明南</v>
          </cell>
          <cell r="E1045" t="str">
            <v>黃毅民</v>
          </cell>
          <cell r="F1045">
            <v>20170310</v>
          </cell>
          <cell r="G1045" t="str">
            <v>無保留意見</v>
          </cell>
        </row>
        <row r="1046">
          <cell r="A1046">
            <v>3466</v>
          </cell>
          <cell r="B1046" t="str">
            <v>致振</v>
          </cell>
          <cell r="C1046" t="str">
            <v>安侯建業聯合會計師事務所</v>
          </cell>
          <cell r="D1046" t="str">
            <v>許淑敏</v>
          </cell>
          <cell r="E1046" t="str">
            <v>江忠儀</v>
          </cell>
          <cell r="F1046">
            <v>20170327</v>
          </cell>
          <cell r="G1046" t="str">
            <v>無保留意見</v>
          </cell>
        </row>
        <row r="1047">
          <cell r="A1047">
            <v>3479</v>
          </cell>
          <cell r="B1047" t="str">
            <v>安勤科技</v>
          </cell>
          <cell r="C1047" t="str">
            <v>安侯建業聯合會計師事務所</v>
          </cell>
          <cell r="D1047" t="str">
            <v>顏幸福</v>
          </cell>
          <cell r="E1047" t="str">
            <v>羅瑞蘭</v>
          </cell>
          <cell r="F1047">
            <v>20170316</v>
          </cell>
          <cell r="G1047" t="str">
            <v>無保留意見</v>
          </cell>
        </row>
        <row r="1048">
          <cell r="A1048">
            <v>3483</v>
          </cell>
          <cell r="B1048" t="str">
            <v>力致</v>
          </cell>
          <cell r="C1048" t="str">
            <v>勤業眾信聯合會計師事務所</v>
          </cell>
          <cell r="D1048" t="str">
            <v>陳錦章</v>
          </cell>
          <cell r="E1048" t="str">
            <v>蔡美貞</v>
          </cell>
          <cell r="F1048">
            <v>20170321</v>
          </cell>
          <cell r="G1048" t="str">
            <v>無保留意見</v>
          </cell>
        </row>
        <row r="1049">
          <cell r="A1049">
            <v>3484</v>
          </cell>
          <cell r="B1049" t="str">
            <v>崧騰</v>
          </cell>
          <cell r="C1049" t="str">
            <v>勤業眾信聯合會計師事務所</v>
          </cell>
          <cell r="D1049" t="str">
            <v>翁雅玲</v>
          </cell>
          <cell r="E1049" t="str">
            <v>邵志明</v>
          </cell>
          <cell r="F1049">
            <v>20170327</v>
          </cell>
          <cell r="G1049" t="str">
            <v>無保留意見</v>
          </cell>
        </row>
        <row r="1050">
          <cell r="A1050">
            <v>3489</v>
          </cell>
          <cell r="B1050" t="str">
            <v>森寶</v>
          </cell>
          <cell r="C1050" t="str">
            <v>安侯建業聯合會計師事務所</v>
          </cell>
          <cell r="D1050" t="str">
            <v>寇惠植</v>
          </cell>
          <cell r="E1050" t="str">
            <v>郭欣頤</v>
          </cell>
          <cell r="F1050">
            <v>20170308</v>
          </cell>
          <cell r="G1050" t="str">
            <v>無保留意見</v>
          </cell>
        </row>
        <row r="1051">
          <cell r="A1051">
            <v>3490</v>
          </cell>
          <cell r="B1051" t="str">
            <v>單井</v>
          </cell>
          <cell r="C1051" t="str">
            <v>德昌聯合會計師事務所</v>
          </cell>
          <cell r="D1051" t="str">
            <v>林兆民</v>
          </cell>
          <cell r="E1051" t="str">
            <v>李定益</v>
          </cell>
          <cell r="F1051">
            <v>20170328</v>
          </cell>
          <cell r="G1051" t="str">
            <v>無保留意見</v>
          </cell>
        </row>
        <row r="1052">
          <cell r="A1052">
            <v>3491</v>
          </cell>
          <cell r="B1052" t="str">
            <v>昇達科技</v>
          </cell>
          <cell r="C1052" t="str">
            <v>勤業眾信聯合會計師事務所</v>
          </cell>
          <cell r="D1052" t="str">
            <v>郭慈容</v>
          </cell>
          <cell r="E1052" t="str">
            <v>簡明彥</v>
          </cell>
          <cell r="F1052">
            <v>20170324</v>
          </cell>
          <cell r="G1052" t="str">
            <v>無保留意見</v>
          </cell>
        </row>
        <row r="1053">
          <cell r="A1053">
            <v>3492</v>
          </cell>
          <cell r="B1053" t="str">
            <v>長盛科技</v>
          </cell>
          <cell r="C1053" t="str">
            <v>安侯建業聯合會計師事務所</v>
          </cell>
          <cell r="D1053" t="str">
            <v>許淑敏</v>
          </cell>
          <cell r="E1053" t="str">
            <v>林琬琬</v>
          </cell>
          <cell r="F1053">
            <v>20170328</v>
          </cell>
          <cell r="G1053" t="str">
            <v>無保留意見</v>
          </cell>
        </row>
        <row r="1054">
          <cell r="A1054">
            <v>3498</v>
          </cell>
          <cell r="B1054" t="str">
            <v>陽程科技</v>
          </cell>
          <cell r="C1054" t="str">
            <v>正風聯合會計師事務所</v>
          </cell>
          <cell r="D1054" t="str">
            <v>曾國富</v>
          </cell>
          <cell r="E1054" t="str">
            <v>吳欣亮</v>
          </cell>
          <cell r="F1054">
            <v>20170324</v>
          </cell>
          <cell r="G1054" t="str">
            <v>無保留意見</v>
          </cell>
        </row>
        <row r="1055">
          <cell r="A1055">
            <v>3499</v>
          </cell>
          <cell r="B1055" t="str">
            <v>環天科</v>
          </cell>
          <cell r="C1055" t="str">
            <v>勤業眾信聯合會計師事務所</v>
          </cell>
          <cell r="D1055" t="str">
            <v>邱盟捷</v>
          </cell>
          <cell r="E1055" t="str">
            <v>柯志賢</v>
          </cell>
          <cell r="F1055">
            <v>20170324</v>
          </cell>
          <cell r="G1055" t="str">
            <v>無保留意見</v>
          </cell>
        </row>
        <row r="1056">
          <cell r="A1056">
            <v>3508</v>
          </cell>
          <cell r="B1056" t="str">
            <v>位速</v>
          </cell>
          <cell r="C1056" t="str">
            <v>安侯建業聯合會計師事務所</v>
          </cell>
          <cell r="D1056" t="str">
            <v>郭冠纓</v>
          </cell>
          <cell r="E1056" t="str">
            <v>王怡文</v>
          </cell>
          <cell r="F1056">
            <v>20170324</v>
          </cell>
          <cell r="G1056" t="str">
            <v>無保留意見</v>
          </cell>
        </row>
        <row r="1057">
          <cell r="A1057">
            <v>3511</v>
          </cell>
          <cell r="B1057" t="str">
            <v>矽瑪科技</v>
          </cell>
          <cell r="C1057" t="str">
            <v>安永聯合會計師事務所</v>
          </cell>
          <cell r="D1057" t="str">
            <v>黃益輝</v>
          </cell>
          <cell r="E1057" t="str">
            <v>郭紹彬</v>
          </cell>
          <cell r="F1057">
            <v>20170223</v>
          </cell>
          <cell r="G1057" t="str">
            <v>無保留意見</v>
          </cell>
        </row>
        <row r="1058">
          <cell r="A1058">
            <v>3512</v>
          </cell>
          <cell r="B1058" t="str">
            <v>能緹</v>
          </cell>
          <cell r="C1058" t="str">
            <v>安侯建業聯合會計師事務所</v>
          </cell>
          <cell r="D1058" t="str">
            <v>池世欽</v>
          </cell>
          <cell r="E1058" t="str">
            <v>陳嘉修</v>
          </cell>
          <cell r="F1058">
            <v>20170322</v>
          </cell>
          <cell r="G1058" t="str">
            <v>無保留意見</v>
          </cell>
        </row>
        <row r="1059">
          <cell r="A1059">
            <v>3516</v>
          </cell>
          <cell r="B1059" t="str">
            <v>亞帝歐</v>
          </cell>
          <cell r="C1059" t="str">
            <v>安 永 聯 合 會 計 師 事 務 所</v>
          </cell>
          <cell r="D1059" t="str">
            <v>鄭清標</v>
          </cell>
          <cell r="E1059" t="str">
            <v>許新民</v>
          </cell>
          <cell r="F1059">
            <v>20170330</v>
          </cell>
          <cell r="G1059" t="str">
            <v>無保留意見</v>
          </cell>
        </row>
        <row r="1060">
          <cell r="A1060">
            <v>3520</v>
          </cell>
          <cell r="B1060" t="str">
            <v>振維電子</v>
          </cell>
          <cell r="C1060" t="str">
            <v>勤業眾信聯合會計師事務所</v>
          </cell>
          <cell r="D1060" t="str">
            <v>張敬人</v>
          </cell>
          <cell r="E1060" t="str">
            <v>李東峰</v>
          </cell>
          <cell r="F1060">
            <v>20170323</v>
          </cell>
          <cell r="G1060" t="str">
            <v>無保留意見</v>
          </cell>
        </row>
        <row r="1061">
          <cell r="A1061">
            <v>3521</v>
          </cell>
          <cell r="B1061" t="str">
            <v>鴻翊</v>
          </cell>
          <cell r="C1061" t="str">
            <v>勤業眾信聯合會計師事務所</v>
          </cell>
          <cell r="D1061" t="str">
            <v>吳恪昌</v>
          </cell>
          <cell r="E1061" t="str">
            <v>洪國田</v>
          </cell>
          <cell r="F1061">
            <v>20170314</v>
          </cell>
          <cell r="G1061" t="str">
            <v>無保留意見</v>
          </cell>
        </row>
        <row r="1062">
          <cell r="A1062">
            <v>3522</v>
          </cell>
          <cell r="B1062" t="str">
            <v>宏森</v>
          </cell>
          <cell r="C1062" t="str">
            <v>安永聯合會計師事務所</v>
          </cell>
          <cell r="D1062" t="str">
            <v>張志銘</v>
          </cell>
          <cell r="E1062" t="str">
            <v>傅文芳</v>
          </cell>
          <cell r="F1062">
            <v>20170329</v>
          </cell>
          <cell r="G1062" t="str">
            <v>無保留意見</v>
          </cell>
        </row>
        <row r="1063">
          <cell r="A1063">
            <v>3523</v>
          </cell>
          <cell r="B1063" t="str">
            <v>迎輝科技</v>
          </cell>
          <cell r="C1063" t="str">
            <v>安永聯合會計師事務所</v>
          </cell>
          <cell r="D1063" t="str">
            <v>黃世杰</v>
          </cell>
          <cell r="E1063" t="str">
            <v>胡子仁</v>
          </cell>
          <cell r="F1063">
            <v>20170320</v>
          </cell>
          <cell r="G1063" t="str">
            <v>無保留意見-繼續經營能力存在重大不確定性/繼續經營假設存有重大疑慮</v>
          </cell>
        </row>
        <row r="1064">
          <cell r="A1064">
            <v>3526</v>
          </cell>
          <cell r="B1064" t="str">
            <v>凡甲科技</v>
          </cell>
          <cell r="C1064" t="str">
            <v>勤業眾信聯合會計師事務所</v>
          </cell>
          <cell r="D1064" t="str">
            <v>張耿禧</v>
          </cell>
          <cell r="E1064" t="str">
            <v>陳重成</v>
          </cell>
          <cell r="F1064">
            <v>20170221</v>
          </cell>
          <cell r="G1064" t="str">
            <v>無保留意見</v>
          </cell>
        </row>
        <row r="1065">
          <cell r="A1065">
            <v>3527</v>
          </cell>
          <cell r="B1065" t="str">
            <v>聚積</v>
          </cell>
          <cell r="C1065" t="str">
            <v>勤業眾信聯合會計師事務所</v>
          </cell>
          <cell r="D1065" t="str">
            <v>林政治</v>
          </cell>
          <cell r="E1065" t="str">
            <v>葉東煇</v>
          </cell>
          <cell r="F1065">
            <v>20170316</v>
          </cell>
          <cell r="G1065" t="str">
            <v>無保留意見</v>
          </cell>
        </row>
        <row r="1066">
          <cell r="A1066">
            <v>3529</v>
          </cell>
          <cell r="B1066" t="str">
            <v>力旺</v>
          </cell>
          <cell r="C1066" t="str">
            <v>勤業眾信聯合會計師事務所</v>
          </cell>
          <cell r="D1066" t="str">
            <v>高逸欣</v>
          </cell>
          <cell r="E1066" t="str">
            <v>葉東煇</v>
          </cell>
          <cell r="F1066">
            <v>20170222</v>
          </cell>
          <cell r="G1066" t="str">
            <v>無保留意見</v>
          </cell>
        </row>
        <row r="1067">
          <cell r="A1067">
            <v>3531</v>
          </cell>
          <cell r="B1067" t="str">
            <v>先益電子</v>
          </cell>
          <cell r="C1067" t="str">
            <v>安侯建業聯合會計師事務所</v>
          </cell>
          <cell r="D1067" t="str">
            <v>陳君滿</v>
          </cell>
          <cell r="E1067" t="str">
            <v>張字信</v>
          </cell>
          <cell r="F1067">
            <v>20170316</v>
          </cell>
          <cell r="G1067" t="str">
            <v>無保留意見</v>
          </cell>
        </row>
        <row r="1068">
          <cell r="A1068">
            <v>3537</v>
          </cell>
          <cell r="B1068" t="str">
            <v>堡達</v>
          </cell>
          <cell r="C1068" t="str">
            <v>安侯建業聯合會計師事務所</v>
          </cell>
          <cell r="D1068" t="str">
            <v>陳眉芳</v>
          </cell>
          <cell r="E1068" t="str">
            <v>陳俊光</v>
          </cell>
          <cell r="F1068">
            <v>20170316</v>
          </cell>
          <cell r="G1068" t="str">
            <v>無保留意見</v>
          </cell>
        </row>
        <row r="1069">
          <cell r="A1069">
            <v>3540</v>
          </cell>
          <cell r="B1069" t="str">
            <v>曜越科技</v>
          </cell>
          <cell r="C1069" t="str">
            <v>眾智聯合會計師事務所</v>
          </cell>
          <cell r="D1069" t="str">
            <v>林征聖</v>
          </cell>
          <cell r="E1069" t="str">
            <v>吳光皋</v>
          </cell>
          <cell r="F1069">
            <v>20170321</v>
          </cell>
          <cell r="G1069" t="str">
            <v>無保留意見</v>
          </cell>
        </row>
        <row r="1070">
          <cell r="A1070">
            <v>3541</v>
          </cell>
          <cell r="B1070" t="str">
            <v>西柏科技</v>
          </cell>
          <cell r="C1070" t="str">
            <v>富 鋒 聯 合 會 計 師 事 務 所</v>
          </cell>
          <cell r="D1070" t="str">
            <v>吳金地</v>
          </cell>
          <cell r="E1070" t="str">
            <v>紀嘉祐</v>
          </cell>
          <cell r="F1070">
            <v>20170324</v>
          </cell>
          <cell r="G1070" t="str">
            <v>無保留意見</v>
          </cell>
        </row>
        <row r="1071">
          <cell r="A1071">
            <v>3546</v>
          </cell>
          <cell r="B1071" t="str">
            <v>宇峻奧汀</v>
          </cell>
          <cell r="C1071" t="str">
            <v>勤業眾信聯合會計師事務所</v>
          </cell>
          <cell r="D1071" t="str">
            <v>余鴻賓</v>
          </cell>
          <cell r="E1071" t="str">
            <v>吳恪昌</v>
          </cell>
          <cell r="F1071">
            <v>20170322</v>
          </cell>
          <cell r="G1071" t="str">
            <v>無保留意見</v>
          </cell>
        </row>
        <row r="1072">
          <cell r="A1072">
            <v>3548</v>
          </cell>
          <cell r="B1072" t="str">
            <v>兆利</v>
          </cell>
          <cell r="C1072" t="str">
            <v>安侯建業聯合會計師事務所</v>
          </cell>
          <cell r="D1072" t="str">
            <v>王清松</v>
          </cell>
          <cell r="E1072" t="str">
            <v>楊樹芝</v>
          </cell>
          <cell r="F1072">
            <v>20170303</v>
          </cell>
          <cell r="G1072" t="str">
            <v>無保留意見</v>
          </cell>
        </row>
        <row r="1073">
          <cell r="A1073">
            <v>3551</v>
          </cell>
          <cell r="B1073" t="str">
            <v>世禾</v>
          </cell>
          <cell r="C1073" t="str">
            <v>勤業眾信聯合會計師事務所</v>
          </cell>
          <cell r="D1073" t="str">
            <v>龔雙雄</v>
          </cell>
          <cell r="E1073" t="str">
            <v>蘇郁琇</v>
          </cell>
          <cell r="F1073">
            <v>20170327</v>
          </cell>
          <cell r="G1073" t="str">
            <v>無保留意見</v>
          </cell>
        </row>
        <row r="1074">
          <cell r="A1074">
            <v>3552</v>
          </cell>
          <cell r="B1074" t="str">
            <v>同致電子</v>
          </cell>
          <cell r="C1074" t="str">
            <v>資誠聯合會計師事務所</v>
          </cell>
          <cell r="D1074" t="str">
            <v>林瑟凱</v>
          </cell>
          <cell r="E1074" t="str">
            <v>王方瑜</v>
          </cell>
          <cell r="F1074">
            <v>20170315</v>
          </cell>
          <cell r="G1074" t="str">
            <v>無保留意見</v>
          </cell>
        </row>
        <row r="1075">
          <cell r="A1075">
            <v>3553</v>
          </cell>
          <cell r="B1075" t="str">
            <v>力積</v>
          </cell>
          <cell r="C1075" t="str">
            <v>勤業眾信聯合會計師事務所</v>
          </cell>
          <cell r="D1075" t="str">
            <v>簡明彥</v>
          </cell>
          <cell r="E1075" t="str">
            <v>韋亮發</v>
          </cell>
          <cell r="F1075">
            <v>20170316</v>
          </cell>
          <cell r="G1075" t="str">
            <v>無保留意見</v>
          </cell>
        </row>
        <row r="1076">
          <cell r="A1076">
            <v>3555</v>
          </cell>
          <cell r="B1076" t="str">
            <v>(重鳥)鵬</v>
          </cell>
          <cell r="C1076" t="str">
            <v>資誠聯合會計師事務所</v>
          </cell>
          <cell r="D1076" t="str">
            <v>吳郁隆</v>
          </cell>
          <cell r="E1076" t="str">
            <v>葉翠苗</v>
          </cell>
          <cell r="F1076">
            <v>20170315</v>
          </cell>
          <cell r="G1076" t="str">
            <v>無保留意見</v>
          </cell>
        </row>
        <row r="1077">
          <cell r="A1077">
            <v>3556</v>
          </cell>
          <cell r="B1077" t="str">
            <v>禾瑞亞</v>
          </cell>
          <cell r="C1077" t="str">
            <v>安侯建業聯合會計師事務所</v>
          </cell>
          <cell r="D1077" t="str">
            <v>王清松</v>
          </cell>
          <cell r="E1077" t="str">
            <v>楊樹芝</v>
          </cell>
          <cell r="F1077">
            <v>20170316</v>
          </cell>
          <cell r="G1077" t="str">
            <v>無保留意見</v>
          </cell>
        </row>
        <row r="1078">
          <cell r="A1078">
            <v>3558</v>
          </cell>
          <cell r="B1078" t="str">
            <v>神準</v>
          </cell>
          <cell r="C1078" t="str">
            <v>資誠聯合會計師事務所</v>
          </cell>
          <cell r="D1078" t="str">
            <v>王輝賢</v>
          </cell>
          <cell r="E1078" t="str">
            <v>盧文聰</v>
          </cell>
          <cell r="F1078">
            <v>20170222</v>
          </cell>
          <cell r="G1078" t="str">
            <v>無保留意見</v>
          </cell>
        </row>
        <row r="1079">
          <cell r="A1079">
            <v>3562</v>
          </cell>
          <cell r="B1079" t="str">
            <v>頂晶科</v>
          </cell>
          <cell r="C1079" t="str">
            <v>勤業眾信聯合會計師事務所</v>
          </cell>
          <cell r="D1079" t="str">
            <v>蔡美貞</v>
          </cell>
          <cell r="E1079" t="str">
            <v>林政治</v>
          </cell>
          <cell r="F1079">
            <v>20170323</v>
          </cell>
          <cell r="G1079" t="str">
            <v>無保留意見-繼續經營能力存在重大不確定性/繼續經營假設存有重大疑慮</v>
          </cell>
        </row>
        <row r="1080">
          <cell r="A1080">
            <v>3563</v>
          </cell>
          <cell r="B1080" t="str">
            <v>牧德</v>
          </cell>
          <cell r="C1080" t="str">
            <v>安侯建業聯合會計師事務所</v>
          </cell>
          <cell r="D1080" t="str">
            <v>黃柏淑</v>
          </cell>
          <cell r="E1080" t="str">
            <v>俞安恬</v>
          </cell>
          <cell r="F1080">
            <v>20170126</v>
          </cell>
          <cell r="G1080" t="str">
            <v>無保留意見</v>
          </cell>
        </row>
        <row r="1081">
          <cell r="A1081">
            <v>3564</v>
          </cell>
          <cell r="B1081" t="str">
            <v>其陽</v>
          </cell>
          <cell r="C1081" t="str">
            <v>勤業眾信聯合會計師事務所</v>
          </cell>
          <cell r="D1081" t="str">
            <v>林文欽</v>
          </cell>
          <cell r="E1081" t="str">
            <v>郭文吉</v>
          </cell>
          <cell r="F1081">
            <v>20170310</v>
          </cell>
          <cell r="G1081" t="str">
            <v>無保留意見</v>
          </cell>
        </row>
        <row r="1082">
          <cell r="A1082">
            <v>3567</v>
          </cell>
          <cell r="B1082" t="str">
            <v>逸昌科技</v>
          </cell>
          <cell r="C1082" t="str">
            <v>勤業眾信聯合會計師事務所</v>
          </cell>
          <cell r="D1082" t="str">
            <v>陳錦章</v>
          </cell>
          <cell r="E1082" t="str">
            <v>蔡美貞</v>
          </cell>
          <cell r="F1082">
            <v>20170321</v>
          </cell>
          <cell r="G1082" t="str">
            <v>無保留意見</v>
          </cell>
        </row>
        <row r="1083">
          <cell r="A1083">
            <v>3570</v>
          </cell>
          <cell r="B1083" t="str">
            <v>大塚資訊</v>
          </cell>
          <cell r="C1083" t="str">
            <v>安侯建業聯合會計師事務所</v>
          </cell>
          <cell r="D1083" t="str">
            <v>吳美萍</v>
          </cell>
          <cell r="E1083" t="str">
            <v>黃泳華</v>
          </cell>
          <cell r="F1083">
            <v>20170320</v>
          </cell>
          <cell r="G1083" t="str">
            <v>無保留意見</v>
          </cell>
        </row>
        <row r="1084">
          <cell r="A1084">
            <v>3577</v>
          </cell>
          <cell r="B1084" t="str">
            <v>泓格科技</v>
          </cell>
          <cell r="C1084" t="str">
            <v>資誠聯合會計師事務所</v>
          </cell>
          <cell r="D1084" t="str">
            <v>李燕娜</v>
          </cell>
          <cell r="E1084" t="str">
            <v>薛守宏</v>
          </cell>
          <cell r="F1084">
            <v>20170317</v>
          </cell>
          <cell r="G1084" t="str">
            <v>無保留意見</v>
          </cell>
        </row>
        <row r="1085">
          <cell r="A1085">
            <v>3580</v>
          </cell>
          <cell r="B1085" t="str">
            <v>友威科技</v>
          </cell>
          <cell r="C1085" t="str">
            <v>勤業眾信聯合會計師事務所</v>
          </cell>
          <cell r="D1085" t="str">
            <v>陳杰忠</v>
          </cell>
          <cell r="E1085" t="str">
            <v>邵志明</v>
          </cell>
          <cell r="F1085">
            <v>20170321</v>
          </cell>
          <cell r="G1085" t="str">
            <v>無保留意見</v>
          </cell>
        </row>
        <row r="1086">
          <cell r="A1086">
            <v>3581</v>
          </cell>
          <cell r="B1086" t="str">
            <v>博磊科技</v>
          </cell>
          <cell r="C1086" t="str">
            <v>日正聯合會計師事務所</v>
          </cell>
          <cell r="D1086" t="str">
            <v>陳世元</v>
          </cell>
          <cell r="E1086" t="str">
            <v>巫貴珍</v>
          </cell>
          <cell r="F1086">
            <v>20170323</v>
          </cell>
          <cell r="G1086" t="str">
            <v>無保留意見</v>
          </cell>
        </row>
        <row r="1087">
          <cell r="A1087">
            <v>3587</v>
          </cell>
          <cell r="B1087" t="str">
            <v>閎康科技</v>
          </cell>
          <cell r="C1087" t="str">
            <v>勤業眾信聯合會計師事務所</v>
          </cell>
          <cell r="D1087" t="str">
            <v>林政治</v>
          </cell>
          <cell r="E1087" t="str">
            <v>陳明煇</v>
          </cell>
          <cell r="F1087">
            <v>20170323</v>
          </cell>
          <cell r="G1087" t="str">
            <v>無保留意見</v>
          </cell>
        </row>
        <row r="1088">
          <cell r="A1088">
            <v>3594</v>
          </cell>
          <cell r="B1088" t="str">
            <v>磐儀</v>
          </cell>
          <cell r="C1088" t="str">
            <v>資誠聯合會計師事務所</v>
          </cell>
          <cell r="D1088" t="str">
            <v>王照明</v>
          </cell>
          <cell r="E1088" t="str">
            <v>李秀玲</v>
          </cell>
          <cell r="F1088">
            <v>20170328</v>
          </cell>
          <cell r="G1088" t="str">
            <v>無保留意見</v>
          </cell>
        </row>
        <row r="1089">
          <cell r="A1089">
            <v>3609</v>
          </cell>
          <cell r="B1089" t="str">
            <v>東林</v>
          </cell>
          <cell r="C1089" t="str">
            <v>資誠聯合會計師事務所</v>
          </cell>
          <cell r="D1089" t="str">
            <v>洪淑華</v>
          </cell>
          <cell r="E1089" t="str">
            <v>王玉娟</v>
          </cell>
          <cell r="F1089">
            <v>20170322</v>
          </cell>
          <cell r="G1089" t="str">
            <v>無保留意見</v>
          </cell>
        </row>
        <row r="1090">
          <cell r="A1090">
            <v>3611</v>
          </cell>
          <cell r="B1090" t="str">
            <v>鼎翰</v>
          </cell>
          <cell r="C1090" t="str">
            <v>勤業眾信聯合會計師事務所</v>
          </cell>
          <cell r="D1090" t="str">
            <v>王儀雯</v>
          </cell>
          <cell r="E1090" t="str">
            <v>黃樹傑</v>
          </cell>
          <cell r="F1090">
            <v>20170326</v>
          </cell>
          <cell r="G1090" t="str">
            <v>無保留意見</v>
          </cell>
        </row>
        <row r="1091">
          <cell r="A1091">
            <v>3615</v>
          </cell>
          <cell r="B1091" t="str">
            <v>安可光電</v>
          </cell>
          <cell r="C1091" t="str">
            <v>安永聯合會計師事務所</v>
          </cell>
          <cell r="D1091" t="str">
            <v>張志銘</v>
          </cell>
          <cell r="E1091" t="str">
            <v>洪茂益</v>
          </cell>
          <cell r="F1091">
            <v>20170324</v>
          </cell>
          <cell r="G1091" t="str">
            <v>無保留意見</v>
          </cell>
        </row>
        <row r="1092">
          <cell r="A1092">
            <v>3623</v>
          </cell>
          <cell r="B1092" t="str">
            <v>富晶通</v>
          </cell>
          <cell r="C1092" t="str">
            <v>資誠聯合會計師事務所</v>
          </cell>
          <cell r="D1092" t="str">
            <v>游淑芬</v>
          </cell>
          <cell r="E1092" t="str">
            <v>林鈞堯</v>
          </cell>
          <cell r="F1092">
            <v>20170316</v>
          </cell>
          <cell r="G1092" t="str">
            <v>無保留意見</v>
          </cell>
        </row>
        <row r="1093">
          <cell r="A1093">
            <v>3624</v>
          </cell>
          <cell r="B1093" t="str">
            <v>光頡</v>
          </cell>
          <cell r="C1093" t="str">
            <v>資誠聯合會計師事務所</v>
          </cell>
          <cell r="D1093" t="str">
            <v>林玉寬</v>
          </cell>
          <cell r="E1093" t="str">
            <v>鄭雅慧</v>
          </cell>
          <cell r="F1093">
            <v>20170308</v>
          </cell>
          <cell r="G1093" t="str">
            <v>無保留意見</v>
          </cell>
        </row>
        <row r="1094">
          <cell r="A1094">
            <v>3625</v>
          </cell>
          <cell r="B1094" t="str">
            <v>西勝</v>
          </cell>
          <cell r="C1094" t="str">
            <v>勤業眾信聯合會計師事務所</v>
          </cell>
          <cell r="D1094" t="str">
            <v>翁博仁</v>
          </cell>
          <cell r="E1094" t="str">
            <v>陳慧銘</v>
          </cell>
          <cell r="F1094">
            <v>20170315</v>
          </cell>
          <cell r="G1094" t="str">
            <v>無保留意見</v>
          </cell>
        </row>
        <row r="1095">
          <cell r="A1095">
            <v>3628</v>
          </cell>
          <cell r="B1095" t="str">
            <v>盈正豫順</v>
          </cell>
          <cell r="C1095" t="str">
            <v>資誠聯合會計師事務所</v>
          </cell>
          <cell r="D1095" t="str">
            <v>周筱姿</v>
          </cell>
          <cell r="E1095" t="str">
            <v>李秀玲</v>
          </cell>
          <cell r="F1095">
            <v>20170327</v>
          </cell>
          <cell r="G1095" t="str">
            <v>無保留意見</v>
          </cell>
        </row>
        <row r="1096">
          <cell r="A1096">
            <v>3629</v>
          </cell>
          <cell r="B1096" t="str">
            <v>群富通</v>
          </cell>
          <cell r="C1096" t="str">
            <v>勤業眾信聯合會計師事務所</v>
          </cell>
          <cell r="D1096" t="str">
            <v>林政治</v>
          </cell>
          <cell r="E1096" t="str">
            <v>黃裕峰</v>
          </cell>
          <cell r="F1096">
            <v>20170327</v>
          </cell>
          <cell r="G1096" t="str">
            <v>無保留意見</v>
          </cell>
        </row>
        <row r="1097">
          <cell r="A1097">
            <v>3630</v>
          </cell>
          <cell r="B1097" t="str">
            <v>新鉅科</v>
          </cell>
          <cell r="C1097" t="str">
            <v>資誠聯合會計師事務所</v>
          </cell>
          <cell r="D1097" t="str">
            <v>王輝賢</v>
          </cell>
          <cell r="E1097" t="str">
            <v>王玉娟</v>
          </cell>
          <cell r="F1097">
            <v>20170303</v>
          </cell>
          <cell r="G1097" t="str">
            <v>無保留意見</v>
          </cell>
        </row>
        <row r="1098">
          <cell r="A1098">
            <v>3631</v>
          </cell>
          <cell r="B1098" t="str">
            <v>晟楠</v>
          </cell>
          <cell r="C1098" t="str">
            <v>國富浩華聯合會計師事務所</v>
          </cell>
          <cell r="D1098" t="str">
            <v>高佩</v>
          </cell>
          <cell r="E1098" t="str">
            <v>王戊昌</v>
          </cell>
          <cell r="F1098">
            <v>20170324</v>
          </cell>
          <cell r="G1098" t="str">
            <v>無保留意見</v>
          </cell>
        </row>
        <row r="1099">
          <cell r="A1099">
            <v>3632</v>
          </cell>
          <cell r="B1099" t="str">
            <v>研勤</v>
          </cell>
          <cell r="C1099" t="str">
            <v>勤業眾信聯合會計師事務所</v>
          </cell>
          <cell r="D1099" t="str">
            <v>邱盟捷</v>
          </cell>
          <cell r="E1099" t="str">
            <v>趙永祥</v>
          </cell>
          <cell r="F1099">
            <v>20170324</v>
          </cell>
          <cell r="G1099" t="str">
            <v>無保留意見</v>
          </cell>
        </row>
        <row r="1100">
          <cell r="A1100">
            <v>3642</v>
          </cell>
          <cell r="B1100" t="str">
            <v>駿熠電子</v>
          </cell>
          <cell r="C1100" t="str">
            <v>調和聯合會計師事務所</v>
          </cell>
          <cell r="D1100" t="str">
            <v>郭鎮宇</v>
          </cell>
          <cell r="E1100" t="str">
            <v>陳光慧</v>
          </cell>
          <cell r="F1100">
            <v>20170313</v>
          </cell>
          <cell r="G1100" t="str">
            <v>無保留意見</v>
          </cell>
        </row>
        <row r="1101">
          <cell r="A1101">
            <v>3646</v>
          </cell>
          <cell r="B1101" t="str">
            <v>艾恩特</v>
          </cell>
          <cell r="C1101" t="str">
            <v>勤業眾信聯合會計師事務所</v>
          </cell>
          <cell r="D1101" t="str">
            <v>吳怡君</v>
          </cell>
          <cell r="E1101" t="str">
            <v>吳美慧</v>
          </cell>
          <cell r="F1101">
            <v>20170324</v>
          </cell>
          <cell r="G1101" t="str">
            <v>無保留意見</v>
          </cell>
        </row>
        <row r="1102">
          <cell r="A1102">
            <v>3652</v>
          </cell>
          <cell r="B1102" t="str">
            <v>精聯</v>
          </cell>
          <cell r="C1102" t="str">
            <v>安永聯合會計師事務所</v>
          </cell>
          <cell r="D1102" t="str">
            <v>邱琬茹</v>
          </cell>
          <cell r="E1102" t="str">
            <v>王彥鈞</v>
          </cell>
          <cell r="F1102">
            <v>20170328</v>
          </cell>
          <cell r="G1102" t="str">
            <v>無保留意見</v>
          </cell>
        </row>
        <row r="1103">
          <cell r="A1103">
            <v>3663</v>
          </cell>
          <cell r="B1103" t="str">
            <v>鑫科材料</v>
          </cell>
          <cell r="C1103" t="str">
            <v>勤業眾信聯合會計師事務所</v>
          </cell>
          <cell r="D1103" t="str">
            <v>劉裕祥</v>
          </cell>
          <cell r="E1103" t="str">
            <v>許瑞軒</v>
          </cell>
          <cell r="F1103">
            <v>20170315</v>
          </cell>
          <cell r="G1103" t="str">
            <v>無保留意見</v>
          </cell>
        </row>
        <row r="1104">
          <cell r="A1104">
            <v>3664</v>
          </cell>
          <cell r="B1104" t="str">
            <v>安瑞-KY</v>
          </cell>
          <cell r="C1104" t="str">
            <v>勤業眾信聯合會計師事務所</v>
          </cell>
          <cell r="D1104" t="str">
            <v>王儀雯</v>
          </cell>
          <cell r="E1104" t="str">
            <v>李振銘</v>
          </cell>
          <cell r="F1104">
            <v>20170324</v>
          </cell>
          <cell r="G1104" t="str">
            <v>無保留意見</v>
          </cell>
        </row>
        <row r="1105">
          <cell r="A1105">
            <v>3666</v>
          </cell>
          <cell r="B1105" t="str">
            <v>光耀</v>
          </cell>
          <cell r="C1105" t="str">
            <v>勤業眾信聯合會計師事務所</v>
          </cell>
          <cell r="D1105" t="str">
            <v>吳恪昌</v>
          </cell>
          <cell r="E1105" t="str">
            <v>余鴻賓</v>
          </cell>
          <cell r="F1105">
            <v>20170316</v>
          </cell>
          <cell r="G1105" t="str">
            <v>無保留意見</v>
          </cell>
        </row>
        <row r="1106">
          <cell r="A1106">
            <v>3672</v>
          </cell>
          <cell r="B1106" t="str">
            <v>康聯訊</v>
          </cell>
          <cell r="C1106" t="str">
            <v>勤業眾信聯合會計師事務所</v>
          </cell>
          <cell r="D1106" t="str">
            <v>楊清鎮</v>
          </cell>
          <cell r="E1106" t="str">
            <v>龔則立</v>
          </cell>
          <cell r="F1106">
            <v>20170309</v>
          </cell>
          <cell r="G1106" t="str">
            <v>無保留意見</v>
          </cell>
        </row>
        <row r="1107">
          <cell r="A1107">
            <v>3675</v>
          </cell>
          <cell r="B1107" t="str">
            <v>德微科技</v>
          </cell>
          <cell r="C1107" t="str">
            <v>勤業眾信聯合會計師事務所</v>
          </cell>
          <cell r="D1107" t="str">
            <v>吳世宗</v>
          </cell>
          <cell r="E1107" t="str">
            <v>黃秀椿</v>
          </cell>
          <cell r="F1107">
            <v>20170220</v>
          </cell>
          <cell r="G1107" t="str">
            <v>無保留意見</v>
          </cell>
        </row>
        <row r="1108">
          <cell r="A1108">
            <v>3680</v>
          </cell>
          <cell r="B1108" t="str">
            <v>家登精密</v>
          </cell>
          <cell r="C1108" t="str">
            <v>勤業眾信聯合會計師事務所</v>
          </cell>
          <cell r="D1108" t="str">
            <v>林宜慧</v>
          </cell>
          <cell r="E1108" t="str">
            <v>陳慧銘</v>
          </cell>
          <cell r="F1108">
            <v>20170324</v>
          </cell>
          <cell r="G1108" t="str">
            <v>無保留意見</v>
          </cell>
        </row>
        <row r="1109">
          <cell r="A1109">
            <v>3684</v>
          </cell>
          <cell r="B1109" t="str">
            <v>榮昌</v>
          </cell>
          <cell r="C1109" t="str">
            <v>資誠聯合會計師事務所</v>
          </cell>
          <cell r="D1109" t="str">
            <v>李典易</v>
          </cell>
          <cell r="E1109" t="str">
            <v>鄭雅慧</v>
          </cell>
          <cell r="F1109">
            <v>20170313</v>
          </cell>
          <cell r="G1109" t="str">
            <v>無保留意見</v>
          </cell>
        </row>
        <row r="1110">
          <cell r="A1110">
            <v>3685</v>
          </cell>
          <cell r="B1110" t="str">
            <v>元創精密</v>
          </cell>
          <cell r="C1110" t="str">
            <v>安侯建業聯合會計師事務所</v>
          </cell>
          <cell r="D1110" t="str">
            <v>張字信</v>
          </cell>
          <cell r="E1110" t="str">
            <v>陳君滿</v>
          </cell>
          <cell r="F1110">
            <v>20170314</v>
          </cell>
          <cell r="G1110" t="str">
            <v>無保留意見</v>
          </cell>
        </row>
        <row r="1111">
          <cell r="A1111">
            <v>3687</v>
          </cell>
          <cell r="B1111" t="str">
            <v>歐買尬</v>
          </cell>
          <cell r="C1111" t="str">
            <v>安侯建業聯合會計師事務所</v>
          </cell>
          <cell r="D1111" t="str">
            <v>陳蓓琪</v>
          </cell>
          <cell r="E1111" t="str">
            <v>區耀軍</v>
          </cell>
          <cell r="F1111">
            <v>20170329</v>
          </cell>
          <cell r="G1111" t="str">
            <v>無保留意見</v>
          </cell>
        </row>
        <row r="1112">
          <cell r="A1112">
            <v>3689</v>
          </cell>
          <cell r="B1112" t="str">
            <v>湧德電子</v>
          </cell>
          <cell r="C1112" t="str">
            <v>勤業眾信聯合會計師事務所</v>
          </cell>
          <cell r="D1112" t="str">
            <v>陳招美</v>
          </cell>
          <cell r="E1112" t="str">
            <v>陳重成</v>
          </cell>
          <cell r="F1112">
            <v>20170309</v>
          </cell>
          <cell r="G1112" t="str">
            <v>無保留意見</v>
          </cell>
        </row>
        <row r="1113">
          <cell r="A1113">
            <v>3691</v>
          </cell>
          <cell r="B1113" t="str">
            <v>碩禾</v>
          </cell>
          <cell r="C1113" t="str">
            <v>安永聯合會計師事務所</v>
          </cell>
          <cell r="D1113" t="str">
            <v>涂嘉玲</v>
          </cell>
          <cell r="E1113" t="str">
            <v>許新民</v>
          </cell>
          <cell r="F1113">
            <v>20170317</v>
          </cell>
          <cell r="G1113" t="str">
            <v>無保留意見</v>
          </cell>
        </row>
        <row r="1114">
          <cell r="A1114">
            <v>3693</v>
          </cell>
          <cell r="B1114" t="str">
            <v>營邦</v>
          </cell>
          <cell r="C1114" t="str">
            <v>勤業眾信聯合會計師事務所</v>
          </cell>
          <cell r="D1114" t="str">
            <v>李東峰</v>
          </cell>
          <cell r="E1114" t="str">
            <v>楊清鎮</v>
          </cell>
          <cell r="F1114">
            <v>20170315</v>
          </cell>
          <cell r="G1114" t="str">
            <v>無保留意見</v>
          </cell>
        </row>
        <row r="1115">
          <cell r="A1115">
            <v>3707</v>
          </cell>
          <cell r="B1115" t="str">
            <v>漢磊</v>
          </cell>
          <cell r="C1115" t="str">
            <v>資誠聯合會計師事務所</v>
          </cell>
          <cell r="D1115" t="str">
            <v>李典易</v>
          </cell>
          <cell r="E1115" t="str">
            <v>曾國華</v>
          </cell>
          <cell r="F1115">
            <v>20170321</v>
          </cell>
          <cell r="G1115" t="str">
            <v>無保留意見</v>
          </cell>
        </row>
        <row r="1116">
          <cell r="A1116">
            <v>4102</v>
          </cell>
          <cell r="B1116" t="str">
            <v>永日化工</v>
          </cell>
          <cell r="C1116" t="str">
            <v>資誠聯合會計師事務所</v>
          </cell>
          <cell r="D1116" t="str">
            <v>洪淑華</v>
          </cell>
          <cell r="E1116" t="str">
            <v>曾惠瑾</v>
          </cell>
          <cell r="F1116">
            <v>20170322</v>
          </cell>
          <cell r="G1116" t="str">
            <v>無保留意見</v>
          </cell>
        </row>
        <row r="1117">
          <cell r="A1117">
            <v>4103</v>
          </cell>
          <cell r="B1117" t="str">
            <v>百略醫學</v>
          </cell>
          <cell r="C1117" t="str">
            <v>安侯建業聯合會計師事務所</v>
          </cell>
          <cell r="D1117" t="str">
            <v>林恒昇</v>
          </cell>
          <cell r="E1117" t="str">
            <v>于紀隆</v>
          </cell>
          <cell r="F1117">
            <v>20170329</v>
          </cell>
          <cell r="G1117" t="str">
            <v>無保留意見</v>
          </cell>
        </row>
        <row r="1118">
          <cell r="A1118">
            <v>4105</v>
          </cell>
          <cell r="B1118" t="str">
            <v>台灣東洋</v>
          </cell>
          <cell r="C1118" t="str">
            <v>安侯建業聯合會計師事務所</v>
          </cell>
          <cell r="D1118" t="str">
            <v>曾國禓</v>
          </cell>
          <cell r="E1118" t="str">
            <v>池世欽</v>
          </cell>
          <cell r="F1118">
            <v>20170310</v>
          </cell>
          <cell r="G1118" t="str">
            <v>無保留意見</v>
          </cell>
        </row>
        <row r="1119">
          <cell r="A1119">
            <v>4107</v>
          </cell>
          <cell r="B1119" t="str">
            <v>邦特生技</v>
          </cell>
          <cell r="C1119" t="str">
            <v>安侯建業聯合會計師事務所</v>
          </cell>
          <cell r="D1119" t="str">
            <v>陳雅琳</v>
          </cell>
          <cell r="E1119" t="str">
            <v>黃柏淑</v>
          </cell>
          <cell r="F1119">
            <v>20170315</v>
          </cell>
          <cell r="G1119" t="str">
            <v>無保留意見</v>
          </cell>
        </row>
        <row r="1120">
          <cell r="A1120">
            <v>4109</v>
          </cell>
          <cell r="B1120" t="str">
            <v>穆拉德加捷</v>
          </cell>
          <cell r="C1120" t="str">
            <v>資誠聯合會計師事務所</v>
          </cell>
          <cell r="D1120" t="str">
            <v>吳建志</v>
          </cell>
          <cell r="E1120" t="str">
            <v>林億彰</v>
          </cell>
          <cell r="F1120">
            <v>20170329</v>
          </cell>
          <cell r="G1120" t="str">
            <v>無保留意見</v>
          </cell>
        </row>
        <row r="1121">
          <cell r="A1121">
            <v>4111</v>
          </cell>
          <cell r="B1121" t="str">
            <v>濟生藥廠</v>
          </cell>
          <cell r="C1121" t="str">
            <v>安永聯合會計師事務所</v>
          </cell>
          <cell r="D1121" t="str">
            <v>邱琬茹</v>
          </cell>
          <cell r="E1121" t="str">
            <v>涂嘉玲</v>
          </cell>
          <cell r="F1121">
            <v>20170316</v>
          </cell>
          <cell r="G1121" t="str">
            <v>無保留意見</v>
          </cell>
        </row>
        <row r="1122">
          <cell r="A1122">
            <v>4113</v>
          </cell>
          <cell r="B1122" t="str">
            <v>聯上</v>
          </cell>
          <cell r="C1122" t="str">
            <v>廣信益群聯合會計師事務所</v>
          </cell>
          <cell r="D1122" t="str">
            <v>翁子霖</v>
          </cell>
          <cell r="E1122" t="str">
            <v>黃健豪</v>
          </cell>
          <cell r="F1122">
            <v>20170317</v>
          </cell>
          <cell r="G1122" t="str">
            <v>無保留意見</v>
          </cell>
        </row>
        <row r="1123">
          <cell r="A1123">
            <v>4114</v>
          </cell>
          <cell r="B1123" t="str">
            <v>健喬信元</v>
          </cell>
          <cell r="C1123" t="str">
            <v>勤業眾信聯合會計師事務所</v>
          </cell>
          <cell r="D1123" t="str">
            <v>陳重成</v>
          </cell>
          <cell r="E1123" t="str">
            <v>虞成全</v>
          </cell>
          <cell r="F1123">
            <v>20170315</v>
          </cell>
          <cell r="G1123" t="str">
            <v>無保留意見</v>
          </cell>
        </row>
        <row r="1124">
          <cell r="A1124">
            <v>4116</v>
          </cell>
          <cell r="B1124" t="str">
            <v>明基醫</v>
          </cell>
          <cell r="C1124" t="str">
            <v>安侯建業聯合會計師事務所</v>
          </cell>
          <cell r="D1124" t="str">
            <v>唐慈杰</v>
          </cell>
          <cell r="E1124" t="str">
            <v>施威銘</v>
          </cell>
          <cell r="F1124">
            <v>20170303</v>
          </cell>
          <cell r="G1124" t="str">
            <v>無保留意見</v>
          </cell>
        </row>
        <row r="1125">
          <cell r="A1125">
            <v>4120</v>
          </cell>
          <cell r="B1125" t="str">
            <v>友華</v>
          </cell>
          <cell r="C1125" t="str">
            <v>勤業眾信聯合會計師事務所</v>
          </cell>
          <cell r="D1125" t="str">
            <v>吳美慧</v>
          </cell>
          <cell r="E1125" t="str">
            <v>郭政弘</v>
          </cell>
          <cell r="F1125">
            <v>20170222</v>
          </cell>
          <cell r="G1125" t="str">
            <v>無保留意見</v>
          </cell>
        </row>
        <row r="1126">
          <cell r="A1126">
            <v>4121</v>
          </cell>
          <cell r="B1126" t="str">
            <v>優盛醫學</v>
          </cell>
          <cell r="C1126" t="str">
            <v>安 侯 建 業 聯 合 會 計 師 事 務 所</v>
          </cell>
          <cell r="D1126" t="str">
            <v>簡蒂暖</v>
          </cell>
          <cell r="E1126" t="str">
            <v>池世欽</v>
          </cell>
          <cell r="F1126">
            <v>20170224</v>
          </cell>
          <cell r="G1126" t="str">
            <v>無保留意見</v>
          </cell>
        </row>
        <row r="1127">
          <cell r="A1127">
            <v>4123</v>
          </cell>
          <cell r="B1127" t="str">
            <v>晟德</v>
          </cell>
          <cell r="C1127" t="str">
            <v>富鋒聯合會計師事務所</v>
          </cell>
          <cell r="D1127" t="str">
            <v>吳金地</v>
          </cell>
          <cell r="E1127" t="str">
            <v>戴維良</v>
          </cell>
          <cell r="F1127">
            <v>20170329</v>
          </cell>
          <cell r="G1127" t="str">
            <v>無保留意見</v>
          </cell>
        </row>
        <row r="1128">
          <cell r="A1128">
            <v>4126</v>
          </cell>
          <cell r="B1128" t="str">
            <v>太醫</v>
          </cell>
          <cell r="C1128" t="str">
            <v>勤業眾信聯合會計師事務所</v>
          </cell>
          <cell r="D1128" t="str">
            <v>劉江抱</v>
          </cell>
          <cell r="E1128" t="str">
            <v>周以隆</v>
          </cell>
          <cell r="F1128">
            <v>20170223</v>
          </cell>
          <cell r="G1128" t="str">
            <v>無保留意見</v>
          </cell>
        </row>
        <row r="1129">
          <cell r="A1129">
            <v>4127</v>
          </cell>
          <cell r="B1129" t="str">
            <v>天良生技</v>
          </cell>
          <cell r="C1129" t="str">
            <v>正風聯合會計師事務所</v>
          </cell>
          <cell r="D1129" t="str">
            <v>賴永吉</v>
          </cell>
          <cell r="E1129" t="str">
            <v>丁鴻勛</v>
          </cell>
          <cell r="F1129">
            <v>20170324</v>
          </cell>
          <cell r="G1129" t="str">
            <v>無保留意見</v>
          </cell>
        </row>
        <row r="1130">
          <cell r="A1130">
            <v>4128</v>
          </cell>
          <cell r="B1130" t="str">
            <v>中天生技</v>
          </cell>
          <cell r="C1130" t="str">
            <v>勤業眾信聯合會計師事務所</v>
          </cell>
          <cell r="D1130" t="str">
            <v>邱盟捷</v>
          </cell>
          <cell r="E1130" t="str">
            <v>張清福</v>
          </cell>
          <cell r="F1130">
            <v>20170320</v>
          </cell>
          <cell r="G1130" t="str">
            <v>無保留意見</v>
          </cell>
        </row>
        <row r="1131">
          <cell r="A1131">
            <v>4129</v>
          </cell>
          <cell r="B1131" t="str">
            <v>聯合骨科</v>
          </cell>
          <cell r="C1131" t="str">
            <v>安永聯合會計師事務所</v>
          </cell>
          <cell r="D1131" t="str">
            <v>張志銘</v>
          </cell>
          <cell r="E1131" t="str">
            <v>黃建澤</v>
          </cell>
          <cell r="F1131">
            <v>20170307</v>
          </cell>
          <cell r="G1131" t="str">
            <v>無保留意見</v>
          </cell>
        </row>
        <row r="1132">
          <cell r="A1132">
            <v>4130</v>
          </cell>
          <cell r="B1132" t="str">
            <v>健亞</v>
          </cell>
          <cell r="C1132" t="str">
            <v>資誠聯合會計師事務所</v>
          </cell>
          <cell r="D1132" t="str">
            <v>鄭雅慧</v>
          </cell>
          <cell r="E1132" t="str">
            <v>溫芳郁</v>
          </cell>
          <cell r="F1132">
            <v>20170323</v>
          </cell>
          <cell r="G1132" t="str">
            <v>無保留意見</v>
          </cell>
        </row>
        <row r="1133">
          <cell r="A1133">
            <v>4131</v>
          </cell>
          <cell r="B1133" t="str">
            <v>晶宇生技</v>
          </cell>
          <cell r="C1133" t="str">
            <v>安永聯合會計師事務所</v>
          </cell>
          <cell r="D1133" t="str">
            <v>嚴文筆</v>
          </cell>
          <cell r="E1133" t="str">
            <v>黃子評</v>
          </cell>
          <cell r="F1133">
            <v>20170307</v>
          </cell>
          <cell r="G1133" t="str">
            <v>無保留意見</v>
          </cell>
        </row>
        <row r="1134">
          <cell r="A1134">
            <v>4138</v>
          </cell>
          <cell r="B1134" t="str">
            <v>曜亞國際</v>
          </cell>
          <cell r="C1134" t="str">
            <v>勤業眾信聯合會計師事務所</v>
          </cell>
          <cell r="D1134" t="str">
            <v>許庭禎</v>
          </cell>
          <cell r="E1134" t="str">
            <v>楊清鎮</v>
          </cell>
          <cell r="F1134">
            <v>20170309</v>
          </cell>
          <cell r="G1134" t="str">
            <v>無保留意見</v>
          </cell>
        </row>
        <row r="1135">
          <cell r="A1135">
            <v>4139</v>
          </cell>
          <cell r="B1135" t="str">
            <v>馬光-KY</v>
          </cell>
          <cell r="C1135" t="str">
            <v>安永聯合會計師事務所</v>
          </cell>
          <cell r="D1135" t="str">
            <v>李芳文</v>
          </cell>
          <cell r="E1135" t="str">
            <v>謝勝安</v>
          </cell>
          <cell r="F1135">
            <v>20170320</v>
          </cell>
          <cell r="G1135" t="str">
            <v>無保留意見</v>
          </cell>
        </row>
        <row r="1136">
          <cell r="A1136">
            <v>4147</v>
          </cell>
          <cell r="B1136" t="str">
            <v>中裕新藥</v>
          </cell>
          <cell r="C1136" t="str">
            <v>勤業眾信聯合會計師事務所</v>
          </cell>
          <cell r="D1136" t="str">
            <v>趙永祥</v>
          </cell>
          <cell r="E1136" t="str">
            <v>鄭欽宗</v>
          </cell>
          <cell r="F1136">
            <v>20170306</v>
          </cell>
          <cell r="G1136" t="str">
            <v>無保留意見</v>
          </cell>
        </row>
        <row r="1137">
          <cell r="A1137">
            <v>4152</v>
          </cell>
          <cell r="B1137" t="str">
            <v>台微體</v>
          </cell>
          <cell r="C1137" t="str">
            <v>資誠聯合會計師事務所</v>
          </cell>
          <cell r="D1137" t="str">
            <v>鄧聖偉</v>
          </cell>
          <cell r="E1137" t="str">
            <v>梁華玲</v>
          </cell>
          <cell r="F1137">
            <v>20170223</v>
          </cell>
          <cell r="G1137" t="str">
            <v>無保留意見</v>
          </cell>
        </row>
        <row r="1138">
          <cell r="A1138">
            <v>4153</v>
          </cell>
          <cell r="B1138" t="str">
            <v>鈺緯</v>
          </cell>
          <cell r="C1138" t="str">
            <v>勤業眾信聯合會計師事務所</v>
          </cell>
          <cell r="D1138" t="str">
            <v>卓明信</v>
          </cell>
          <cell r="E1138" t="str">
            <v>葉淑娟</v>
          </cell>
          <cell r="F1138">
            <v>20170329</v>
          </cell>
          <cell r="G1138" t="str">
            <v>無保留意見</v>
          </cell>
        </row>
        <row r="1139">
          <cell r="A1139">
            <v>4154</v>
          </cell>
          <cell r="B1139" t="str">
            <v>康樂-KY</v>
          </cell>
          <cell r="C1139" t="str">
            <v>勤業眾信聯合會計師事務所</v>
          </cell>
          <cell r="D1139" t="str">
            <v>郭俐雯</v>
          </cell>
          <cell r="E1139" t="str">
            <v>范有偉</v>
          </cell>
          <cell r="F1139">
            <v>20170330</v>
          </cell>
          <cell r="G1139" t="str">
            <v>無保留意見</v>
          </cell>
        </row>
        <row r="1140">
          <cell r="A1140">
            <v>4157</v>
          </cell>
          <cell r="B1140" t="str">
            <v>太景*-KY</v>
          </cell>
          <cell r="C1140" t="str">
            <v>勤業眾信聯合會計師事務所</v>
          </cell>
          <cell r="D1140" t="str">
            <v>許秀明</v>
          </cell>
          <cell r="E1140" t="str">
            <v>翁雅玲</v>
          </cell>
          <cell r="F1140">
            <v>20170321</v>
          </cell>
          <cell r="G1140" t="str">
            <v>無保留意見</v>
          </cell>
        </row>
        <row r="1141">
          <cell r="A1141">
            <v>4160</v>
          </cell>
          <cell r="B1141" t="str">
            <v>創源生技</v>
          </cell>
          <cell r="C1141" t="str">
            <v>安永聯合會計師事務所</v>
          </cell>
          <cell r="D1141" t="str">
            <v>張 正 道</v>
          </cell>
          <cell r="E1141" t="str">
            <v>王 金 來</v>
          </cell>
          <cell r="F1141">
            <v>20170317</v>
          </cell>
          <cell r="G1141" t="str">
            <v>無保留意見</v>
          </cell>
        </row>
        <row r="1142">
          <cell r="A1142">
            <v>4161</v>
          </cell>
          <cell r="B1142" t="str">
            <v>聿新生技</v>
          </cell>
          <cell r="C1142" t="str">
            <v>資誠聯合會計師事務所</v>
          </cell>
          <cell r="D1142" t="str">
            <v>鄭雅慧</v>
          </cell>
          <cell r="E1142" t="str">
            <v>李典易</v>
          </cell>
          <cell r="F1142">
            <v>20170329</v>
          </cell>
          <cell r="G1142" t="str">
            <v>無保留意見</v>
          </cell>
        </row>
        <row r="1143">
          <cell r="A1143">
            <v>4162</v>
          </cell>
          <cell r="B1143" t="str">
            <v>智擎</v>
          </cell>
          <cell r="C1143" t="str">
            <v>資誠聯合會計師事務所</v>
          </cell>
          <cell r="D1143" t="str">
            <v>鄧聖偉</v>
          </cell>
          <cell r="E1143" t="str">
            <v>曾惠瑾</v>
          </cell>
          <cell r="F1143">
            <v>20170307</v>
          </cell>
          <cell r="G1143" t="str">
            <v>無保留意見</v>
          </cell>
        </row>
        <row r="1144">
          <cell r="A1144">
            <v>4163</v>
          </cell>
          <cell r="B1144" t="str">
            <v>鐿鈦科技</v>
          </cell>
          <cell r="C1144" t="str">
            <v>勤業眾信聯合會計師事務所</v>
          </cell>
          <cell r="D1144" t="str">
            <v>成德潤</v>
          </cell>
          <cell r="E1144" t="str">
            <v>顏曉芳</v>
          </cell>
          <cell r="F1144">
            <v>20170316</v>
          </cell>
          <cell r="G1144" t="str">
            <v>無保留意見</v>
          </cell>
        </row>
        <row r="1145">
          <cell r="A1145">
            <v>4167</v>
          </cell>
          <cell r="B1145" t="str">
            <v>展旺</v>
          </cell>
          <cell r="C1145" t="str">
            <v>資誠聯合會計師事務所</v>
          </cell>
          <cell r="D1145" t="str">
            <v>林玉寬</v>
          </cell>
          <cell r="E1145" t="str">
            <v>鄭雅慧</v>
          </cell>
          <cell r="F1145">
            <v>20170324</v>
          </cell>
          <cell r="G1145" t="str">
            <v>無保留意見</v>
          </cell>
        </row>
        <row r="1146">
          <cell r="A1146">
            <v>4168</v>
          </cell>
          <cell r="B1146" t="str">
            <v>醣聯</v>
          </cell>
          <cell r="C1146" t="str">
            <v>資誠聯合會計師事務所</v>
          </cell>
          <cell r="D1146" t="str">
            <v>鄧聖偉</v>
          </cell>
          <cell r="E1146" t="str">
            <v>游淑芬</v>
          </cell>
          <cell r="F1146">
            <v>20170322</v>
          </cell>
          <cell r="G1146" t="str">
            <v>無保留意見</v>
          </cell>
        </row>
        <row r="1147">
          <cell r="A1147">
            <v>4171</v>
          </cell>
          <cell r="B1147" t="str">
            <v>瑞基海洋</v>
          </cell>
          <cell r="C1147" t="str">
            <v>安侯建業聯合會計師事務所</v>
          </cell>
          <cell r="D1147" t="str">
            <v>呂莉莉</v>
          </cell>
          <cell r="E1147" t="str">
            <v>俞安恬</v>
          </cell>
          <cell r="F1147">
            <v>20170323</v>
          </cell>
          <cell r="G1147" t="str">
            <v>無保留意見</v>
          </cell>
        </row>
        <row r="1148">
          <cell r="A1148">
            <v>4173</v>
          </cell>
          <cell r="B1148" t="str">
            <v>久裕</v>
          </cell>
          <cell r="C1148" t="str">
            <v>勤業眾信聯合會計師事務所</v>
          </cell>
          <cell r="D1148" t="str">
            <v>陳慧銘</v>
          </cell>
          <cell r="E1148" t="str">
            <v>游素環</v>
          </cell>
          <cell r="F1148">
            <v>20170308</v>
          </cell>
          <cell r="G1148" t="str">
            <v>無保留意見</v>
          </cell>
        </row>
        <row r="1149">
          <cell r="A1149">
            <v>4174</v>
          </cell>
          <cell r="B1149" t="str">
            <v>浩鼎</v>
          </cell>
          <cell r="C1149" t="str">
            <v>資誠聯合會計師事務所</v>
          </cell>
          <cell r="D1149" t="str">
            <v>曾惠瑾</v>
          </cell>
          <cell r="E1149" t="str">
            <v>張明輝</v>
          </cell>
          <cell r="F1149">
            <v>20170309</v>
          </cell>
          <cell r="G1149" t="str">
            <v>無保留意見</v>
          </cell>
        </row>
        <row r="1150">
          <cell r="A1150">
            <v>4175</v>
          </cell>
          <cell r="B1150" t="str">
            <v>杏一</v>
          </cell>
          <cell r="C1150" t="str">
            <v>勤業眾信聯合會計師事務所</v>
          </cell>
          <cell r="D1150" t="str">
            <v>陳慧銘</v>
          </cell>
          <cell r="E1150" t="str">
            <v>翁博仁</v>
          </cell>
          <cell r="F1150">
            <v>20170327</v>
          </cell>
          <cell r="G1150" t="str">
            <v>無保留意見</v>
          </cell>
        </row>
        <row r="1151">
          <cell r="A1151">
            <v>4180</v>
          </cell>
          <cell r="B1151" t="str">
            <v>安成藥業</v>
          </cell>
          <cell r="C1151" t="str">
            <v>資誠聯合會計師事務所</v>
          </cell>
          <cell r="D1151" t="str">
            <v>鄧聖偉</v>
          </cell>
          <cell r="E1151" t="str">
            <v>梁華玲</v>
          </cell>
          <cell r="F1151">
            <v>20170323</v>
          </cell>
          <cell r="G1151" t="str">
            <v>無保留意見</v>
          </cell>
        </row>
        <row r="1152">
          <cell r="A1152">
            <v>4183</v>
          </cell>
          <cell r="B1152" t="str">
            <v>福永生技</v>
          </cell>
          <cell r="C1152" t="str">
            <v>勤業眾信聯合會計師事務所</v>
          </cell>
          <cell r="D1152" t="str">
            <v>張耿禧</v>
          </cell>
          <cell r="E1152" t="str">
            <v>虞成全</v>
          </cell>
          <cell r="F1152">
            <v>20170302</v>
          </cell>
          <cell r="G1152" t="str">
            <v>無保留意見</v>
          </cell>
        </row>
        <row r="1153">
          <cell r="A1153">
            <v>4188</v>
          </cell>
          <cell r="B1153" t="str">
            <v>安克生醫</v>
          </cell>
          <cell r="C1153" t="str">
            <v>安永聯合會計師事務所</v>
          </cell>
          <cell r="D1153" t="str">
            <v>王彥鈞</v>
          </cell>
          <cell r="E1153" t="str">
            <v>林素雯</v>
          </cell>
          <cell r="F1153">
            <v>20170217</v>
          </cell>
          <cell r="G1153" t="str">
            <v>無保留意見</v>
          </cell>
        </row>
        <row r="1154">
          <cell r="A1154">
            <v>4192</v>
          </cell>
          <cell r="B1154" t="str">
            <v>杏國新藥</v>
          </cell>
          <cell r="C1154" t="str">
            <v>國富浩華聯合會計師事務所</v>
          </cell>
          <cell r="D1154" t="str">
            <v>張亞荃</v>
          </cell>
          <cell r="E1154" t="str">
            <v>林春枝</v>
          </cell>
          <cell r="F1154">
            <v>20170320</v>
          </cell>
          <cell r="G1154" t="str">
            <v>無保留意見</v>
          </cell>
        </row>
        <row r="1155">
          <cell r="A1155">
            <v>4198</v>
          </cell>
          <cell r="B1155" t="str">
            <v>環瑞醫</v>
          </cell>
          <cell r="C1155" t="str">
            <v>資誠聯合會計師事務所</v>
          </cell>
          <cell r="D1155" t="str">
            <v>曾惠瑾</v>
          </cell>
          <cell r="E1155" t="str">
            <v>梁嬋女</v>
          </cell>
          <cell r="F1155">
            <v>20170329</v>
          </cell>
          <cell r="G1155" t="str">
            <v>無保留意見</v>
          </cell>
        </row>
        <row r="1156">
          <cell r="A1156">
            <v>4205</v>
          </cell>
          <cell r="B1156" t="str">
            <v>中華食品</v>
          </cell>
          <cell r="C1156" t="str">
            <v>資誠聯合會計師事務所</v>
          </cell>
          <cell r="D1156" t="str">
            <v>廖阿甚</v>
          </cell>
          <cell r="E1156" t="str">
            <v>吳建志</v>
          </cell>
          <cell r="F1156">
            <v>20170314</v>
          </cell>
          <cell r="G1156" t="str">
            <v>無保留意見</v>
          </cell>
        </row>
        <row r="1157">
          <cell r="A1157">
            <v>4207</v>
          </cell>
          <cell r="B1157" t="str">
            <v>環泰企業</v>
          </cell>
          <cell r="C1157" t="str">
            <v>勤業眾信聯合會計師事務所</v>
          </cell>
          <cell r="D1157" t="str">
            <v>李麗凰</v>
          </cell>
          <cell r="E1157" t="str">
            <v>陳慧銘</v>
          </cell>
          <cell r="F1157">
            <v>20170329</v>
          </cell>
          <cell r="G1157" t="str">
            <v>無保留意見</v>
          </cell>
        </row>
        <row r="1158">
          <cell r="A1158">
            <v>4303</v>
          </cell>
          <cell r="B1158" t="str">
            <v>信立</v>
          </cell>
          <cell r="C1158" t="str">
            <v>資誠聯合會計師事務所</v>
          </cell>
          <cell r="D1158" t="str">
            <v>馮敏娟</v>
          </cell>
          <cell r="E1158" t="str">
            <v>徐聖忠</v>
          </cell>
          <cell r="F1158">
            <v>20170315</v>
          </cell>
          <cell r="G1158" t="str">
            <v>無保留意見</v>
          </cell>
        </row>
        <row r="1159">
          <cell r="A1159">
            <v>4304</v>
          </cell>
          <cell r="B1159" t="str">
            <v>勝昱</v>
          </cell>
          <cell r="C1159" t="str">
            <v>勤業眾信聯合會計師事務所</v>
          </cell>
          <cell r="D1159" t="str">
            <v>姚勝雄</v>
          </cell>
          <cell r="E1159" t="str">
            <v>張瑞娜</v>
          </cell>
          <cell r="F1159">
            <v>20170330</v>
          </cell>
          <cell r="G1159" t="str">
            <v>無保留意見</v>
          </cell>
        </row>
        <row r="1160">
          <cell r="A1160">
            <v>4305</v>
          </cell>
          <cell r="B1160" t="str">
            <v>世坤塑膠</v>
          </cell>
          <cell r="C1160" t="str">
            <v>資誠聯合會計師事務所</v>
          </cell>
          <cell r="D1160" t="str">
            <v>李明憲</v>
          </cell>
          <cell r="E1160" t="str">
            <v>林永智</v>
          </cell>
          <cell r="F1160">
            <v>20170321</v>
          </cell>
          <cell r="G1160" t="str">
            <v>無保留意見</v>
          </cell>
        </row>
        <row r="1161">
          <cell r="A1161">
            <v>4401</v>
          </cell>
          <cell r="B1161" t="str">
            <v>東隆興業</v>
          </cell>
          <cell r="C1161" t="str">
            <v>大師聯合會計師事務所</v>
          </cell>
          <cell r="D1161" t="str">
            <v>張蔚誠</v>
          </cell>
          <cell r="E1161" t="str">
            <v>謝婉麗</v>
          </cell>
          <cell r="F1161">
            <v>20170317</v>
          </cell>
          <cell r="G1161" t="str">
            <v>無保留意見</v>
          </cell>
        </row>
        <row r="1162">
          <cell r="A1162">
            <v>4402</v>
          </cell>
          <cell r="B1162" t="str">
            <v>福大</v>
          </cell>
          <cell r="C1162" t="str">
            <v>立本台灣聯合會計師事務所</v>
          </cell>
          <cell r="D1162" t="str">
            <v>張宜鈞</v>
          </cell>
          <cell r="E1162" t="str">
            <v>王慕凡</v>
          </cell>
          <cell r="F1162">
            <v>20170329</v>
          </cell>
          <cell r="G1162" t="str">
            <v>無保留意見</v>
          </cell>
        </row>
        <row r="1163">
          <cell r="A1163">
            <v>4406</v>
          </cell>
          <cell r="B1163" t="str">
            <v>新昕纖維</v>
          </cell>
          <cell r="C1163" t="str">
            <v>安侯建業會計師事務所</v>
          </cell>
          <cell r="D1163" t="str">
            <v>周寶蓮</v>
          </cell>
          <cell r="E1163" t="str">
            <v>蕭佩如</v>
          </cell>
          <cell r="F1163">
            <v>20170323</v>
          </cell>
          <cell r="G1163" t="str">
            <v>無保留意見</v>
          </cell>
        </row>
        <row r="1164">
          <cell r="A1164">
            <v>4413</v>
          </cell>
          <cell r="B1164" t="str">
            <v>飛寶企業</v>
          </cell>
          <cell r="C1164" t="str">
            <v>廣信益群聯合會計師事務所</v>
          </cell>
          <cell r="D1164" t="str">
            <v>陳永琳</v>
          </cell>
          <cell r="E1164" t="str">
            <v>郭欣訓</v>
          </cell>
          <cell r="F1164">
            <v>20170329</v>
          </cell>
          <cell r="G1164" t="str">
            <v>無保留意見</v>
          </cell>
        </row>
        <row r="1165">
          <cell r="A1165">
            <v>4415</v>
          </cell>
          <cell r="B1165" t="str">
            <v>台原藥</v>
          </cell>
          <cell r="C1165" t="str">
            <v>國富浩華聯合會計師事務所</v>
          </cell>
          <cell r="D1165" t="str">
            <v>王家祥</v>
          </cell>
          <cell r="E1165" t="str">
            <v>黃勝義</v>
          </cell>
          <cell r="F1165">
            <v>20170215</v>
          </cell>
          <cell r="G1165" t="str">
            <v>無保留意見-繼續經營能力存在重大不確定性/繼續經營假設存有重大疑慮</v>
          </cell>
        </row>
        <row r="1166">
          <cell r="A1166">
            <v>4416</v>
          </cell>
          <cell r="B1166" t="str">
            <v>三圓</v>
          </cell>
          <cell r="C1166" t="str">
            <v>集智聯合會計師事務所</v>
          </cell>
          <cell r="D1166" t="str">
            <v>林書銘</v>
          </cell>
          <cell r="E1166" t="str">
            <v>林來福</v>
          </cell>
          <cell r="F1166">
            <v>20170324</v>
          </cell>
          <cell r="G1166" t="str">
            <v>無保留意見</v>
          </cell>
        </row>
        <row r="1167">
          <cell r="A1167">
            <v>4417</v>
          </cell>
          <cell r="B1167" t="str">
            <v>金洲海洋</v>
          </cell>
          <cell r="C1167" t="str">
            <v>勤業眾信聯合會計師事務所</v>
          </cell>
          <cell r="D1167" t="str">
            <v>陳珍麗</v>
          </cell>
          <cell r="E1167" t="str">
            <v>郭麗園</v>
          </cell>
          <cell r="F1167">
            <v>20170322</v>
          </cell>
          <cell r="G1167" t="str">
            <v>無保留意見</v>
          </cell>
        </row>
        <row r="1168">
          <cell r="A1168">
            <v>4419</v>
          </cell>
          <cell r="B1168" t="str">
            <v>松懋工業</v>
          </cell>
          <cell r="C1168" t="str">
            <v>立本台灣聯合會計師事務所</v>
          </cell>
          <cell r="D1168" t="str">
            <v>王慕凡</v>
          </cell>
          <cell r="E1168" t="str">
            <v>陶鴻文</v>
          </cell>
          <cell r="F1168">
            <v>20170213</v>
          </cell>
          <cell r="G1168" t="str">
            <v>無保留意見</v>
          </cell>
        </row>
        <row r="1169">
          <cell r="A1169">
            <v>4420</v>
          </cell>
          <cell r="B1169" t="str">
            <v>光明絲織</v>
          </cell>
          <cell r="C1169" t="str">
            <v>安侯建業聯合會計師事務所</v>
          </cell>
          <cell r="D1169" t="str">
            <v>張淑瑩</v>
          </cell>
          <cell r="E1169" t="str">
            <v>連淑凌</v>
          </cell>
          <cell r="F1169">
            <v>20170317</v>
          </cell>
          <cell r="G1169" t="str">
            <v>無保留意見</v>
          </cell>
        </row>
        <row r="1170">
          <cell r="A1170">
            <v>4429</v>
          </cell>
          <cell r="B1170" t="str">
            <v>聚紡</v>
          </cell>
          <cell r="C1170" t="str">
            <v>勤業眾信聯合會計師事務所</v>
          </cell>
          <cell r="D1170" t="str">
            <v>陳照敏</v>
          </cell>
          <cell r="E1170" t="str">
            <v>張瑞娜</v>
          </cell>
          <cell r="F1170">
            <v>20170324</v>
          </cell>
          <cell r="G1170" t="str">
            <v>無保留意見</v>
          </cell>
        </row>
        <row r="1171">
          <cell r="A1171">
            <v>4430</v>
          </cell>
          <cell r="B1171" t="str">
            <v>耀億工業</v>
          </cell>
          <cell r="C1171" t="str">
            <v>資誠聯合會計師事務所</v>
          </cell>
          <cell r="D1171" t="str">
            <v>徐建業</v>
          </cell>
          <cell r="E1171" t="str">
            <v>楊明經</v>
          </cell>
          <cell r="F1171">
            <v>20170320</v>
          </cell>
          <cell r="G1171" t="str">
            <v>無保留意見</v>
          </cell>
        </row>
        <row r="1172">
          <cell r="A1172">
            <v>4432</v>
          </cell>
          <cell r="B1172" t="str">
            <v>銘旺實</v>
          </cell>
          <cell r="C1172" t="str">
            <v>資誠聯合會計師事務所</v>
          </cell>
          <cell r="D1172" t="str">
            <v>王照明</v>
          </cell>
          <cell r="E1172" t="str">
            <v>支秉鈞</v>
          </cell>
          <cell r="F1172">
            <v>20170324</v>
          </cell>
          <cell r="G1172" t="str">
            <v>無保留意見</v>
          </cell>
        </row>
        <row r="1173">
          <cell r="A1173">
            <v>4433</v>
          </cell>
          <cell r="B1173" t="str">
            <v>興采實業</v>
          </cell>
          <cell r="C1173" t="str">
            <v>資誠聯合會計師事務所</v>
          </cell>
          <cell r="D1173" t="str">
            <v>葉翠苗</v>
          </cell>
          <cell r="E1173" t="str">
            <v>王方瑜</v>
          </cell>
          <cell r="F1173">
            <v>20170321</v>
          </cell>
          <cell r="G1173" t="str">
            <v>無保留意見</v>
          </cell>
        </row>
        <row r="1174">
          <cell r="A1174">
            <v>4502</v>
          </cell>
          <cell r="B1174" t="str">
            <v>健信科技</v>
          </cell>
          <cell r="C1174" t="str">
            <v>資誠聯合會計師事務所</v>
          </cell>
          <cell r="D1174" t="str">
            <v>王玉娟</v>
          </cell>
          <cell r="E1174" t="str">
            <v>洪淑華</v>
          </cell>
          <cell r="F1174">
            <v>20170329</v>
          </cell>
          <cell r="G1174" t="str">
            <v>無保留意見</v>
          </cell>
        </row>
        <row r="1175">
          <cell r="A1175">
            <v>4503</v>
          </cell>
          <cell r="B1175" t="str">
            <v>金雨</v>
          </cell>
          <cell r="C1175" t="str">
            <v>勤業眾信聯合會計師事務所</v>
          </cell>
          <cell r="D1175" t="str">
            <v>鄭旭然</v>
          </cell>
          <cell r="E1175" t="str">
            <v>陳麗琦</v>
          </cell>
          <cell r="F1175">
            <v>20170328</v>
          </cell>
          <cell r="G1175" t="str">
            <v>無保留意見</v>
          </cell>
        </row>
        <row r="1176">
          <cell r="A1176">
            <v>4506</v>
          </cell>
          <cell r="B1176" t="str">
            <v>崇友</v>
          </cell>
          <cell r="C1176" t="str">
            <v>安永聯合會計師事務所</v>
          </cell>
          <cell r="D1176" t="str">
            <v>黃建澤</v>
          </cell>
          <cell r="E1176" t="str">
            <v>徐榮煌</v>
          </cell>
          <cell r="F1176">
            <v>20170328</v>
          </cell>
          <cell r="G1176" t="str">
            <v>無保留意見</v>
          </cell>
        </row>
        <row r="1177">
          <cell r="A1177">
            <v>4510</v>
          </cell>
          <cell r="B1177" t="str">
            <v>高鋒工業</v>
          </cell>
          <cell r="C1177" t="str">
            <v>國富浩華聯合會計師事務所</v>
          </cell>
          <cell r="D1177" t="str">
            <v>張福郎</v>
          </cell>
          <cell r="E1177" t="str">
            <v>王戊昌</v>
          </cell>
          <cell r="F1177">
            <v>20170322</v>
          </cell>
          <cell r="G1177" t="str">
            <v>無保留意見</v>
          </cell>
        </row>
        <row r="1178">
          <cell r="A1178">
            <v>4513</v>
          </cell>
          <cell r="B1178" t="str">
            <v>福裕事業</v>
          </cell>
          <cell r="C1178" t="str">
            <v>安永聯合會計師事務所</v>
          </cell>
          <cell r="D1178" t="str">
            <v>黃 子 評</v>
          </cell>
          <cell r="E1178" t="str">
            <v>涂 清 淵</v>
          </cell>
          <cell r="F1178">
            <v>20170328</v>
          </cell>
          <cell r="G1178" t="str">
            <v>無保留意見</v>
          </cell>
        </row>
        <row r="1179">
          <cell r="A1179">
            <v>4523</v>
          </cell>
          <cell r="B1179" t="str">
            <v>永彰機電</v>
          </cell>
          <cell r="C1179" t="str">
            <v>建昇財稅聯合會計師事務所</v>
          </cell>
          <cell r="D1179" t="str">
            <v>林昇平</v>
          </cell>
          <cell r="E1179" t="str">
            <v>陳秀莉</v>
          </cell>
          <cell r="F1179">
            <v>20170314</v>
          </cell>
          <cell r="G1179" t="str">
            <v>無保留意見</v>
          </cell>
        </row>
        <row r="1180">
          <cell r="A1180">
            <v>4527</v>
          </cell>
          <cell r="B1180" t="str">
            <v>霖</v>
          </cell>
          <cell r="C1180" t="str">
            <v>資誠聯合會計師事務所</v>
          </cell>
          <cell r="D1180" t="str">
            <v>王國華</v>
          </cell>
          <cell r="E1180" t="str">
            <v>廖阿甚</v>
          </cell>
          <cell r="F1180">
            <v>20170320</v>
          </cell>
          <cell r="G1180" t="str">
            <v>無保留意見</v>
          </cell>
        </row>
        <row r="1181">
          <cell r="A1181">
            <v>4528</v>
          </cell>
          <cell r="B1181" t="str">
            <v>江興鍛壓</v>
          </cell>
          <cell r="C1181" t="str">
            <v>安永聯合會計師事務所</v>
          </cell>
          <cell r="D1181" t="str">
            <v>涂清淵</v>
          </cell>
          <cell r="E1181" t="str">
            <v>嚴文筆</v>
          </cell>
          <cell r="F1181">
            <v>20170321</v>
          </cell>
          <cell r="G1181" t="str">
            <v>無保留意見</v>
          </cell>
        </row>
        <row r="1182">
          <cell r="A1182">
            <v>4529</v>
          </cell>
          <cell r="B1182" t="str">
            <v>昶洧</v>
          </cell>
          <cell r="C1182" t="str">
            <v>國富浩華聯合會計師師事務所</v>
          </cell>
          <cell r="D1182" t="str">
            <v>林志隆</v>
          </cell>
          <cell r="E1182" t="str">
            <v>王戊昌</v>
          </cell>
          <cell r="F1182">
            <v>20170328</v>
          </cell>
          <cell r="G1182" t="str">
            <v>無保留意見</v>
          </cell>
        </row>
        <row r="1183">
          <cell r="A1183">
            <v>4530</v>
          </cell>
          <cell r="B1183" t="str">
            <v>宏易精密</v>
          </cell>
          <cell r="C1183" t="str">
            <v>勤業眾信聯合會計師事務所</v>
          </cell>
          <cell r="D1183" t="str">
            <v>邵志明</v>
          </cell>
          <cell r="E1183" t="str">
            <v>翁雅玲</v>
          </cell>
          <cell r="F1183">
            <v>20170320</v>
          </cell>
          <cell r="G1183" t="str">
            <v>無保留意見</v>
          </cell>
        </row>
        <row r="1184">
          <cell r="A1184">
            <v>4533</v>
          </cell>
          <cell r="B1184" t="str">
            <v>協易機械</v>
          </cell>
          <cell r="C1184" t="str">
            <v>勤業眾信聯合會計師事務所</v>
          </cell>
          <cell r="D1184" t="str">
            <v>韋亮發</v>
          </cell>
          <cell r="E1184" t="str">
            <v>簡明彥</v>
          </cell>
          <cell r="F1184">
            <v>20170314</v>
          </cell>
          <cell r="G1184" t="str">
            <v>無保留意見</v>
          </cell>
        </row>
        <row r="1185">
          <cell r="A1185">
            <v>4534</v>
          </cell>
          <cell r="B1185" t="str">
            <v>慶騰精密</v>
          </cell>
          <cell r="C1185" t="str">
            <v>安永聯合會計師事務所</v>
          </cell>
          <cell r="D1185" t="str">
            <v>黃益輝</v>
          </cell>
          <cell r="E1185" t="str">
            <v>許新民</v>
          </cell>
          <cell r="F1185">
            <v>20170327</v>
          </cell>
          <cell r="G1185" t="str">
            <v>無保留意見</v>
          </cell>
        </row>
        <row r="1186">
          <cell r="A1186">
            <v>4535</v>
          </cell>
          <cell r="B1186" t="str">
            <v>至興精機</v>
          </cell>
          <cell r="C1186" t="str">
            <v>富鋒聯合會計師事務所</v>
          </cell>
          <cell r="D1186" t="str">
            <v>顏國裕</v>
          </cell>
          <cell r="E1186" t="str">
            <v>紀嘉祐</v>
          </cell>
          <cell r="F1186">
            <v>20170321</v>
          </cell>
          <cell r="G1186" t="str">
            <v>無保留意見</v>
          </cell>
        </row>
        <row r="1187">
          <cell r="A1187">
            <v>4541</v>
          </cell>
          <cell r="B1187" t="str">
            <v>晟田科技</v>
          </cell>
          <cell r="C1187" t="str">
            <v>資誠聯合會計師事務所</v>
          </cell>
          <cell r="D1187" t="str">
            <v>吳建志</v>
          </cell>
          <cell r="E1187" t="str">
            <v>王國華</v>
          </cell>
          <cell r="F1187">
            <v>20170310</v>
          </cell>
          <cell r="G1187" t="str">
            <v>無保留意見</v>
          </cell>
        </row>
        <row r="1188">
          <cell r="A1188">
            <v>4542</v>
          </cell>
          <cell r="B1188" t="str">
            <v>科嶠</v>
          </cell>
          <cell r="C1188" t="str">
            <v>資誠聯合會計師事務所</v>
          </cell>
          <cell r="D1188" t="str">
            <v>吳郁隆</v>
          </cell>
          <cell r="E1188" t="str">
            <v>蕭春鴛</v>
          </cell>
          <cell r="F1188">
            <v>20170321</v>
          </cell>
          <cell r="G1188" t="str">
            <v>無保留意見</v>
          </cell>
        </row>
        <row r="1189">
          <cell r="A1189">
            <v>4543</v>
          </cell>
          <cell r="B1189" t="str">
            <v>萬在</v>
          </cell>
          <cell r="C1189" t="str">
            <v>安永聯合會計師事務所</v>
          </cell>
          <cell r="D1189" t="str">
            <v>黃世杰</v>
          </cell>
          <cell r="E1189" t="str">
            <v>林鴻光</v>
          </cell>
          <cell r="F1189">
            <v>20170303</v>
          </cell>
          <cell r="G1189" t="str">
            <v>無保留意見</v>
          </cell>
        </row>
        <row r="1190">
          <cell r="A1190">
            <v>4549</v>
          </cell>
          <cell r="B1190" t="str">
            <v>桓達</v>
          </cell>
          <cell r="C1190" t="str">
            <v>勤業眾信聯合會計師事務所</v>
          </cell>
          <cell r="D1190" t="str">
            <v>陳重成</v>
          </cell>
          <cell r="E1190" t="str">
            <v>張耿禧</v>
          </cell>
          <cell r="F1190">
            <v>20170313</v>
          </cell>
          <cell r="G1190" t="str">
            <v>無保留意見</v>
          </cell>
        </row>
        <row r="1191">
          <cell r="A1191">
            <v>4550</v>
          </cell>
          <cell r="B1191" t="str">
            <v>長佳</v>
          </cell>
          <cell r="C1191" t="str">
            <v>勤業眾信聯合會計師事務所</v>
          </cell>
          <cell r="D1191" t="str">
            <v>趙永祥</v>
          </cell>
          <cell r="E1191" t="str">
            <v>林安惠</v>
          </cell>
          <cell r="F1191">
            <v>20170321</v>
          </cell>
          <cell r="G1191" t="str">
            <v>無保留意見</v>
          </cell>
        </row>
        <row r="1192">
          <cell r="A1192">
            <v>4554</v>
          </cell>
          <cell r="B1192" t="str">
            <v>橙的</v>
          </cell>
          <cell r="C1192" t="str">
            <v>安永聯合會計師事務所</v>
          </cell>
          <cell r="D1192" t="str">
            <v>黃子評</v>
          </cell>
          <cell r="E1192" t="str">
            <v>林鴻光</v>
          </cell>
          <cell r="F1192">
            <v>20170309</v>
          </cell>
          <cell r="G1192" t="str">
            <v>無保留意見</v>
          </cell>
        </row>
        <row r="1193">
          <cell r="A1193">
            <v>4556</v>
          </cell>
          <cell r="B1193" t="str">
            <v>旭然國際</v>
          </cell>
          <cell r="C1193" t="str">
            <v>資誠聯合會計師事務所</v>
          </cell>
          <cell r="D1193" t="str">
            <v>翁世榮</v>
          </cell>
          <cell r="E1193" t="str">
            <v>王輝賢</v>
          </cell>
          <cell r="F1193">
            <v>20170324</v>
          </cell>
          <cell r="G1193" t="str">
            <v>無保留意見</v>
          </cell>
        </row>
        <row r="1194">
          <cell r="A1194">
            <v>4609</v>
          </cell>
          <cell r="B1194" t="str">
            <v>唐鋒實業</v>
          </cell>
          <cell r="C1194" t="str">
            <v>安侯建業聯合會計師事務所</v>
          </cell>
          <cell r="D1194" t="str">
            <v>許淑敏</v>
          </cell>
          <cell r="E1194" t="str">
            <v>陳盈如</v>
          </cell>
          <cell r="F1194">
            <v>20170316</v>
          </cell>
          <cell r="G1194" t="str">
            <v>無保留意見</v>
          </cell>
        </row>
        <row r="1195">
          <cell r="A1195">
            <v>4702</v>
          </cell>
          <cell r="B1195" t="str">
            <v>中美實</v>
          </cell>
          <cell r="C1195" t="str">
            <v>資誠聯合會計師事務所</v>
          </cell>
          <cell r="D1195" t="str">
            <v>阮呂曼玉</v>
          </cell>
          <cell r="E1195" t="str">
            <v>蕭金木</v>
          </cell>
          <cell r="F1195">
            <v>20170329</v>
          </cell>
          <cell r="G1195" t="str">
            <v>無保留意見</v>
          </cell>
        </row>
        <row r="1196">
          <cell r="A1196">
            <v>4706</v>
          </cell>
          <cell r="B1196" t="str">
            <v>大恭化學</v>
          </cell>
          <cell r="C1196" t="str">
            <v>勤業眾信聯合會計師事務所</v>
          </cell>
          <cell r="D1196" t="str">
            <v>趙永祥</v>
          </cell>
          <cell r="E1196" t="str">
            <v>張清福</v>
          </cell>
          <cell r="F1196">
            <v>20170320</v>
          </cell>
          <cell r="G1196" t="str">
            <v>無保留意見</v>
          </cell>
        </row>
        <row r="1197">
          <cell r="A1197">
            <v>4707</v>
          </cell>
          <cell r="B1197" t="str">
            <v>磐亞</v>
          </cell>
          <cell r="C1197" t="str">
            <v>勤業眾信聯合會計師事務所</v>
          </cell>
          <cell r="D1197" t="str">
            <v>施錦川</v>
          </cell>
          <cell r="E1197" t="str">
            <v>王錦燕</v>
          </cell>
          <cell r="F1197">
            <v>20170320</v>
          </cell>
          <cell r="G1197" t="str">
            <v>無保留意見</v>
          </cell>
        </row>
        <row r="1198">
          <cell r="A1198">
            <v>4711</v>
          </cell>
          <cell r="B1198" t="str">
            <v>永純化工</v>
          </cell>
          <cell r="C1198" t="str">
            <v>勤業眾信聯合會計師事務所</v>
          </cell>
          <cell r="D1198" t="str">
            <v>翁博仁</v>
          </cell>
          <cell r="E1198" t="str">
            <v>游素環</v>
          </cell>
          <cell r="F1198">
            <v>20170323</v>
          </cell>
          <cell r="G1198" t="str">
            <v>無保留意見</v>
          </cell>
        </row>
        <row r="1199">
          <cell r="A1199">
            <v>4712</v>
          </cell>
          <cell r="B1199" t="str">
            <v>南璋</v>
          </cell>
          <cell r="C1199" t="str">
            <v>資誠聯合會計師事務所</v>
          </cell>
          <cell r="D1199" t="str">
            <v>李秀玲</v>
          </cell>
          <cell r="E1199" t="str">
            <v>翁世榮</v>
          </cell>
          <cell r="F1199">
            <v>20170223</v>
          </cell>
          <cell r="G1199" t="str">
            <v>無保留意見</v>
          </cell>
        </row>
        <row r="1200">
          <cell r="A1200">
            <v>4714</v>
          </cell>
          <cell r="B1200" t="str">
            <v>永捷</v>
          </cell>
          <cell r="C1200" t="str">
            <v>安侯建業聯合會計師事務所</v>
          </cell>
          <cell r="D1200" t="str">
            <v>陳國宗</v>
          </cell>
          <cell r="E1200" t="str">
            <v>陳惠媛</v>
          </cell>
          <cell r="F1200">
            <v>20170314</v>
          </cell>
          <cell r="G1200" t="str">
            <v>無保留意見</v>
          </cell>
        </row>
        <row r="1201">
          <cell r="A1201">
            <v>4716</v>
          </cell>
          <cell r="B1201" t="str">
            <v>大立高</v>
          </cell>
          <cell r="C1201" t="str">
            <v>安永聯合會計師事務所</v>
          </cell>
          <cell r="D1201" t="str">
            <v>李芳文</v>
          </cell>
          <cell r="E1201" t="str">
            <v>黃世杰</v>
          </cell>
          <cell r="F1201">
            <v>20170320</v>
          </cell>
          <cell r="G1201" t="str">
            <v>無保留意見</v>
          </cell>
        </row>
        <row r="1202">
          <cell r="A1202">
            <v>4721</v>
          </cell>
          <cell r="B1202" t="str">
            <v>美琪瑪</v>
          </cell>
          <cell r="C1202" t="str">
            <v>勤業眾信聯合會計師事務所</v>
          </cell>
          <cell r="D1202" t="str">
            <v>賴冠仲</v>
          </cell>
          <cell r="E1202" t="str">
            <v>鄭淂蓁</v>
          </cell>
          <cell r="F1202">
            <v>20170320</v>
          </cell>
          <cell r="G1202" t="str">
            <v>無保留意見</v>
          </cell>
        </row>
        <row r="1203">
          <cell r="A1203">
            <v>4726</v>
          </cell>
          <cell r="B1203" t="str">
            <v>永昕生物</v>
          </cell>
          <cell r="C1203" t="str">
            <v>勤業眾信聯合會計師事務所</v>
          </cell>
          <cell r="D1203" t="str">
            <v>江明南</v>
          </cell>
          <cell r="E1203" t="str">
            <v>葉淑娟</v>
          </cell>
          <cell r="F1203">
            <v>20170221</v>
          </cell>
          <cell r="G1203" t="str">
            <v>無保留意見</v>
          </cell>
        </row>
        <row r="1204">
          <cell r="A1204">
            <v>4728</v>
          </cell>
          <cell r="B1204" t="str">
            <v>雙美</v>
          </cell>
          <cell r="C1204" t="str">
            <v>安侯建業聯合會計師事務所</v>
          </cell>
          <cell r="D1204" t="str">
            <v>許育峰</v>
          </cell>
          <cell r="E1204" t="str">
            <v>梅元貞</v>
          </cell>
          <cell r="F1204">
            <v>20170314</v>
          </cell>
          <cell r="G1204" t="str">
            <v>無保留意見</v>
          </cell>
        </row>
        <row r="1205">
          <cell r="A1205">
            <v>4729</v>
          </cell>
          <cell r="B1205" t="str">
            <v>熒茂</v>
          </cell>
          <cell r="C1205" t="str">
            <v>安永聯合會計師事務所</v>
          </cell>
          <cell r="D1205" t="str">
            <v>李芳文</v>
          </cell>
          <cell r="E1205" t="str">
            <v>林鴻光</v>
          </cell>
          <cell r="F1205">
            <v>20170323</v>
          </cell>
          <cell r="G1205" t="str">
            <v>無保留意見</v>
          </cell>
        </row>
        <row r="1206">
          <cell r="A1206">
            <v>4735</v>
          </cell>
          <cell r="B1206" t="str">
            <v>豪展醫療</v>
          </cell>
          <cell r="C1206" t="str">
            <v>寶業聯合會計師事務所</v>
          </cell>
          <cell r="D1206" t="str">
            <v>金昌民</v>
          </cell>
          <cell r="E1206" t="str">
            <v>余煒楨</v>
          </cell>
          <cell r="F1206">
            <v>20170327</v>
          </cell>
          <cell r="G1206" t="str">
            <v>無保留意見</v>
          </cell>
        </row>
        <row r="1207">
          <cell r="A1207">
            <v>4736</v>
          </cell>
          <cell r="B1207" t="str">
            <v>泰博</v>
          </cell>
          <cell r="C1207" t="str">
            <v>勤業眾信聯合會計師事務所</v>
          </cell>
          <cell r="D1207" t="str">
            <v>謝明忠</v>
          </cell>
          <cell r="E1207" t="str">
            <v>林宜慧</v>
          </cell>
          <cell r="F1207">
            <v>20170307</v>
          </cell>
          <cell r="G1207" t="str">
            <v>無保留意見</v>
          </cell>
        </row>
        <row r="1208">
          <cell r="A1208">
            <v>4739</v>
          </cell>
          <cell r="B1208" t="str">
            <v>康普材料</v>
          </cell>
          <cell r="C1208" t="str">
            <v>勤業眾信聯合會計師事務所</v>
          </cell>
          <cell r="D1208" t="str">
            <v>陳錦章</v>
          </cell>
          <cell r="E1208" t="str">
            <v>方蘇立</v>
          </cell>
          <cell r="F1208">
            <v>20170308</v>
          </cell>
          <cell r="G1208" t="str">
            <v>無保留意見</v>
          </cell>
        </row>
        <row r="1209">
          <cell r="A1209">
            <v>4743</v>
          </cell>
          <cell r="B1209" t="str">
            <v>合一生技</v>
          </cell>
          <cell r="C1209" t="str">
            <v>勤業眾信聯合會計師事務所</v>
          </cell>
          <cell r="D1209" t="str">
            <v>邱盟捷</v>
          </cell>
          <cell r="E1209" t="str">
            <v>張清福</v>
          </cell>
          <cell r="F1209">
            <v>20170309</v>
          </cell>
          <cell r="G1209" t="str">
            <v>無保留意見</v>
          </cell>
        </row>
        <row r="1210">
          <cell r="A1210">
            <v>4745</v>
          </cell>
          <cell r="B1210" t="str">
            <v>合富-KY</v>
          </cell>
          <cell r="C1210" t="str">
            <v>安侯建業聯合會計師事務所</v>
          </cell>
          <cell r="D1210" t="str">
            <v>高渭川</v>
          </cell>
          <cell r="E1210" t="str">
            <v>梅元貞</v>
          </cell>
          <cell r="F1210">
            <v>20170317</v>
          </cell>
          <cell r="G1210" t="str">
            <v>無保留意見</v>
          </cell>
        </row>
        <row r="1211">
          <cell r="A1211">
            <v>4747</v>
          </cell>
          <cell r="B1211" t="str">
            <v>強生製藥</v>
          </cell>
          <cell r="C1211" t="str">
            <v>安永聯合會計師事務所</v>
          </cell>
          <cell r="D1211" t="str">
            <v>張志銘</v>
          </cell>
          <cell r="E1211" t="str">
            <v>徐榮煌</v>
          </cell>
          <cell r="F1211">
            <v>20170307</v>
          </cell>
          <cell r="G1211" t="str">
            <v>無保留意見</v>
          </cell>
        </row>
        <row r="1212">
          <cell r="A1212">
            <v>4754</v>
          </cell>
          <cell r="B1212" t="str">
            <v>國碳科</v>
          </cell>
          <cell r="C1212" t="str">
            <v>安侯建業聯合會計師事務所</v>
          </cell>
          <cell r="D1212" t="str">
            <v>郭欣頤</v>
          </cell>
          <cell r="E1212" t="str">
            <v>陳秀蘭</v>
          </cell>
          <cell r="F1212">
            <v>20170323</v>
          </cell>
          <cell r="G1212" t="str">
            <v>無保留意見</v>
          </cell>
        </row>
        <row r="1213">
          <cell r="A1213">
            <v>4762</v>
          </cell>
          <cell r="B1213" t="str">
            <v>三汰-KY</v>
          </cell>
          <cell r="C1213" t="str">
            <v>勤業眾信聯合會計師事務所</v>
          </cell>
          <cell r="D1213" t="str">
            <v>陳慧銘</v>
          </cell>
          <cell r="E1213" t="str">
            <v>謝明忠</v>
          </cell>
          <cell r="F1213">
            <v>20160329</v>
          </cell>
          <cell r="G1213" t="str">
            <v>無保留意見</v>
          </cell>
        </row>
        <row r="1214">
          <cell r="A1214">
            <v>4803</v>
          </cell>
          <cell r="B1214" t="str">
            <v>VHQ-KY</v>
          </cell>
          <cell r="C1214" t="str">
            <v>安侯建業聯合會計師事務所</v>
          </cell>
          <cell r="D1214" t="str">
            <v>林恒昇</v>
          </cell>
          <cell r="E1214" t="str">
            <v>關春修</v>
          </cell>
          <cell r="F1214">
            <v>20170331</v>
          </cell>
          <cell r="G1214" t="str">
            <v>無保留意見</v>
          </cell>
        </row>
        <row r="1215">
          <cell r="A1215">
            <v>4804</v>
          </cell>
          <cell r="B1215" t="str">
            <v>大略-KY</v>
          </cell>
          <cell r="C1215" t="str">
            <v>勤業眾信聯合會計師事務所</v>
          </cell>
          <cell r="D1215" t="str">
            <v>邱政俊</v>
          </cell>
          <cell r="E1215" t="str">
            <v>韋亮發</v>
          </cell>
          <cell r="F1215">
            <v>20170307</v>
          </cell>
          <cell r="G1215" t="str">
            <v>無保留意見</v>
          </cell>
        </row>
        <row r="1216">
          <cell r="A1216">
            <v>4806</v>
          </cell>
          <cell r="B1216" t="str">
            <v>昇華</v>
          </cell>
          <cell r="C1216" t="str">
            <v>資誠聯合會計師事務所</v>
          </cell>
          <cell r="D1216" t="str">
            <v>支秉鈞</v>
          </cell>
          <cell r="E1216" t="str">
            <v>吳漢期</v>
          </cell>
          <cell r="F1216">
            <v>20170327</v>
          </cell>
          <cell r="G1216" t="str">
            <v>無保留意見</v>
          </cell>
        </row>
        <row r="1217">
          <cell r="A1217">
            <v>4903</v>
          </cell>
          <cell r="B1217" t="str">
            <v>聯光通信</v>
          </cell>
          <cell r="C1217" t="str">
            <v>勤業眾信聯合會計師事務所</v>
          </cell>
          <cell r="D1217" t="str">
            <v>林政治</v>
          </cell>
          <cell r="E1217" t="str">
            <v>高逸欣</v>
          </cell>
          <cell r="F1217">
            <v>20170317</v>
          </cell>
          <cell r="G1217" t="str">
            <v>無保留意見</v>
          </cell>
        </row>
        <row r="1218">
          <cell r="A1218">
            <v>4905</v>
          </cell>
          <cell r="B1218" t="str">
            <v>台聯電訊</v>
          </cell>
          <cell r="C1218" t="str">
            <v>安永聯合會計師事務所</v>
          </cell>
          <cell r="D1218" t="str">
            <v>楊智惠</v>
          </cell>
          <cell r="E1218" t="str">
            <v>林素雯</v>
          </cell>
          <cell r="F1218">
            <v>20170323</v>
          </cell>
          <cell r="G1218" t="str">
            <v>無保留意見</v>
          </cell>
        </row>
        <row r="1219">
          <cell r="A1219">
            <v>4907</v>
          </cell>
          <cell r="B1219" t="str">
            <v>富宇地產</v>
          </cell>
          <cell r="C1219" t="str">
            <v>立本台灣聯合會計師事務所</v>
          </cell>
          <cell r="D1219" t="str">
            <v>王慕凡</v>
          </cell>
          <cell r="E1219" t="str">
            <v>張宜鈞</v>
          </cell>
          <cell r="F1219">
            <v>20170317</v>
          </cell>
          <cell r="G1219" t="str">
            <v>無保留意見</v>
          </cell>
        </row>
        <row r="1220">
          <cell r="A1220">
            <v>4908</v>
          </cell>
          <cell r="B1220" t="str">
            <v>前鼎光電</v>
          </cell>
          <cell r="C1220" t="str">
            <v>安侯建業聯合會計師事務所</v>
          </cell>
          <cell r="D1220" t="str">
            <v>張嘉信</v>
          </cell>
          <cell r="E1220" t="str">
            <v>陳玫燕</v>
          </cell>
          <cell r="F1220">
            <v>20170322</v>
          </cell>
          <cell r="G1220" t="str">
            <v>無保留意見</v>
          </cell>
        </row>
        <row r="1221">
          <cell r="A1221">
            <v>4909</v>
          </cell>
          <cell r="B1221" t="str">
            <v>新復興</v>
          </cell>
          <cell r="C1221" t="str">
            <v>勤業眾信聯合會計師事務所</v>
          </cell>
          <cell r="D1221" t="str">
            <v>張清福</v>
          </cell>
          <cell r="E1221" t="str">
            <v>鄭欽宗</v>
          </cell>
          <cell r="F1221">
            <v>20170328</v>
          </cell>
          <cell r="G1221" t="str">
            <v>無保留意見</v>
          </cell>
        </row>
        <row r="1222">
          <cell r="A1222">
            <v>4911</v>
          </cell>
          <cell r="B1222" t="str">
            <v>德英</v>
          </cell>
          <cell r="C1222" t="str">
            <v>資誠聯合會計師事務所</v>
          </cell>
          <cell r="D1222" t="str">
            <v>林姿妤</v>
          </cell>
          <cell r="E1222" t="str">
            <v>林永智</v>
          </cell>
          <cell r="F1222">
            <v>20170223</v>
          </cell>
          <cell r="G1222" t="str">
            <v>無保留意見</v>
          </cell>
        </row>
        <row r="1223">
          <cell r="A1223">
            <v>4924</v>
          </cell>
          <cell r="B1223" t="str">
            <v>欣厚-KY</v>
          </cell>
          <cell r="C1223" t="str">
            <v>德昌聯合會計師事務所</v>
          </cell>
          <cell r="D1223" t="str">
            <v>陳裕勳</v>
          </cell>
          <cell r="E1223" t="str">
            <v>李定益</v>
          </cell>
          <cell r="F1223">
            <v>20170327</v>
          </cell>
          <cell r="G1223" t="str">
            <v>無保留意見</v>
          </cell>
        </row>
        <row r="1224">
          <cell r="A1224">
            <v>4933</v>
          </cell>
          <cell r="B1224" t="str">
            <v>友輝</v>
          </cell>
          <cell r="C1224" t="str">
            <v>勤業眾信聯合會計師事務所</v>
          </cell>
          <cell r="D1224" t="str">
            <v>施錦川</v>
          </cell>
          <cell r="E1224" t="str">
            <v>鄭淂蓁</v>
          </cell>
          <cell r="F1224">
            <v>20170316</v>
          </cell>
          <cell r="G1224" t="str">
            <v>無保留意見</v>
          </cell>
        </row>
        <row r="1225">
          <cell r="A1225">
            <v>4939</v>
          </cell>
          <cell r="B1225" t="str">
            <v>亞電</v>
          </cell>
          <cell r="C1225" t="str">
            <v>安永聯合會計師事務所</v>
          </cell>
          <cell r="D1225" t="str">
            <v>洪茂益</v>
          </cell>
          <cell r="E1225" t="str">
            <v>許新民</v>
          </cell>
          <cell r="F1225">
            <v>20170224</v>
          </cell>
          <cell r="G1225" t="str">
            <v>無保留意見</v>
          </cell>
        </row>
        <row r="1226">
          <cell r="A1226">
            <v>4944</v>
          </cell>
          <cell r="B1226" t="str">
            <v>兆遠科技</v>
          </cell>
          <cell r="C1226" t="str">
            <v>安永聯合會計師事務所</v>
          </cell>
          <cell r="D1226" t="str">
            <v>涂嘉玲</v>
          </cell>
          <cell r="E1226" t="str">
            <v>陳智忠</v>
          </cell>
          <cell r="F1226">
            <v>20170316</v>
          </cell>
          <cell r="G1226" t="str">
            <v>無保留意見</v>
          </cell>
        </row>
        <row r="1227">
          <cell r="A1227">
            <v>4946</v>
          </cell>
          <cell r="B1227" t="str">
            <v>紅心辣椒</v>
          </cell>
          <cell r="C1227" t="str">
            <v>資誠聯合會計師事務所</v>
          </cell>
          <cell r="D1227" t="str">
            <v>蕭春鴛</v>
          </cell>
          <cell r="E1227" t="str">
            <v>葉翠苗</v>
          </cell>
          <cell r="F1227">
            <v>20170324</v>
          </cell>
          <cell r="G1227" t="str">
            <v>無保留意見</v>
          </cell>
        </row>
        <row r="1228">
          <cell r="A1228">
            <v>4947</v>
          </cell>
          <cell r="B1228" t="str">
            <v>昂寶-KY</v>
          </cell>
          <cell r="C1228" t="str">
            <v>勤業眾信聯合會計師事務所</v>
          </cell>
          <cell r="D1228" t="str">
            <v>鄭欽宗</v>
          </cell>
          <cell r="E1228" t="str">
            <v>張清福</v>
          </cell>
          <cell r="F1228">
            <v>20170315</v>
          </cell>
          <cell r="G1228" t="str">
            <v>無保留意見</v>
          </cell>
        </row>
        <row r="1229">
          <cell r="A1229">
            <v>4950</v>
          </cell>
          <cell r="B1229" t="str">
            <v>牧東</v>
          </cell>
          <cell r="C1229" t="str">
            <v>勤業眾信聯合會計師事務所</v>
          </cell>
          <cell r="D1229" t="str">
            <v>劉建良</v>
          </cell>
          <cell r="E1229" t="str">
            <v>林文欽</v>
          </cell>
          <cell r="F1229">
            <v>20170324</v>
          </cell>
          <cell r="G1229" t="str">
            <v>無保留意見</v>
          </cell>
        </row>
        <row r="1230">
          <cell r="A1230">
            <v>4953</v>
          </cell>
          <cell r="B1230" t="str">
            <v>緯創軟體</v>
          </cell>
          <cell r="C1230" t="str">
            <v>安侯建業聯合會計師事務所</v>
          </cell>
          <cell r="D1230" t="str">
            <v>陳雅琳</v>
          </cell>
          <cell r="E1230" t="str">
            <v>陳蓓琪</v>
          </cell>
          <cell r="F1230">
            <v>20170321</v>
          </cell>
          <cell r="G1230" t="str">
            <v>無保留意見</v>
          </cell>
        </row>
        <row r="1231">
          <cell r="A1231">
            <v>4965</v>
          </cell>
          <cell r="B1231" t="str">
            <v>商店街</v>
          </cell>
          <cell r="C1231" t="str">
            <v>安侯建業聯合會計師事務所</v>
          </cell>
          <cell r="D1231" t="str">
            <v>江忠儀</v>
          </cell>
          <cell r="E1231" t="str">
            <v>林琬琬</v>
          </cell>
          <cell r="F1231">
            <v>20170306</v>
          </cell>
          <cell r="G1231" t="str">
            <v>無保留意見</v>
          </cell>
        </row>
        <row r="1232">
          <cell r="A1232">
            <v>4966</v>
          </cell>
          <cell r="B1232" t="str">
            <v>譜瑞-KY</v>
          </cell>
          <cell r="C1232" t="str">
            <v>資誠聯合會計師事務所</v>
          </cell>
          <cell r="D1232" t="str">
            <v>周筱姿</v>
          </cell>
          <cell r="E1232" t="str">
            <v>賴宗羲</v>
          </cell>
          <cell r="F1232">
            <v>20170308</v>
          </cell>
          <cell r="G1232" t="str">
            <v>無保留意見</v>
          </cell>
        </row>
        <row r="1233">
          <cell r="A1233">
            <v>4971</v>
          </cell>
          <cell r="B1233" t="str">
            <v>IET-KY</v>
          </cell>
          <cell r="C1233" t="str">
            <v>資誠聯合會計師事務所</v>
          </cell>
          <cell r="D1233" t="str">
            <v>連忠政</v>
          </cell>
          <cell r="E1233" t="str">
            <v>周建宏</v>
          </cell>
          <cell r="F1233">
            <v>20170328</v>
          </cell>
          <cell r="G1233" t="str">
            <v>無保留意見</v>
          </cell>
        </row>
        <row r="1234">
          <cell r="A1234">
            <v>4972</v>
          </cell>
          <cell r="B1234" t="str">
            <v>湯石照明</v>
          </cell>
          <cell r="C1234" t="str">
            <v>資誠聯合會計師事務所</v>
          </cell>
          <cell r="D1234" t="str">
            <v>王玉娟</v>
          </cell>
          <cell r="E1234" t="str">
            <v>洪淑華</v>
          </cell>
          <cell r="F1234">
            <v>20170224</v>
          </cell>
          <cell r="G1234" t="str">
            <v>無保留意見</v>
          </cell>
        </row>
        <row r="1235">
          <cell r="A1235">
            <v>4973</v>
          </cell>
          <cell r="B1235" t="str">
            <v>廣穎電通</v>
          </cell>
          <cell r="C1235" t="str">
            <v>資誠聯合會計師事務所</v>
          </cell>
          <cell r="D1235" t="str">
            <v>周筱姿</v>
          </cell>
          <cell r="E1235" t="str">
            <v>李秀玲</v>
          </cell>
          <cell r="F1235">
            <v>20170324</v>
          </cell>
          <cell r="G1235" t="str">
            <v>無保留意見</v>
          </cell>
        </row>
        <row r="1236">
          <cell r="A1236">
            <v>4974</v>
          </cell>
          <cell r="B1236" t="str">
            <v>亞泰</v>
          </cell>
          <cell r="C1236" t="str">
            <v>勤業眾信聯合會計師事務所</v>
          </cell>
          <cell r="D1236" t="str">
            <v>蔣淑菁</v>
          </cell>
          <cell r="E1236" t="str">
            <v>顏曉芳</v>
          </cell>
          <cell r="F1236">
            <v>20170217</v>
          </cell>
          <cell r="G1236" t="str">
            <v>無保留意見</v>
          </cell>
        </row>
        <row r="1237">
          <cell r="A1237">
            <v>4979</v>
          </cell>
          <cell r="B1237" t="str">
            <v>華星光</v>
          </cell>
          <cell r="C1237" t="str">
            <v>安侯建業聯合會計師事務所</v>
          </cell>
          <cell r="D1237" t="str">
            <v>吳美萍</v>
          </cell>
          <cell r="E1237" t="str">
            <v>黃泳華</v>
          </cell>
          <cell r="F1237">
            <v>20170306</v>
          </cell>
          <cell r="G1237" t="str">
            <v>無保留意見</v>
          </cell>
        </row>
        <row r="1238">
          <cell r="A1238">
            <v>4987</v>
          </cell>
          <cell r="B1238" t="str">
            <v>科誠</v>
          </cell>
          <cell r="C1238" t="str">
            <v>資誠聯合會計師事務所</v>
          </cell>
          <cell r="D1238" t="str">
            <v>黃世鈞</v>
          </cell>
          <cell r="E1238" t="str">
            <v>吳郁隆</v>
          </cell>
          <cell r="F1238">
            <v>20170323</v>
          </cell>
          <cell r="G1238" t="str">
            <v>無保留意見</v>
          </cell>
        </row>
        <row r="1239">
          <cell r="A1239">
            <v>4991</v>
          </cell>
          <cell r="B1239" t="str">
            <v>環宇-KY</v>
          </cell>
          <cell r="C1239" t="str">
            <v>資誠聯合會計師事務所</v>
          </cell>
          <cell r="D1239" t="str">
            <v>張志安</v>
          </cell>
          <cell r="E1239" t="str">
            <v>李典易</v>
          </cell>
          <cell r="F1239">
            <v>20170223</v>
          </cell>
          <cell r="G1239" t="str">
            <v>無保留意見</v>
          </cell>
        </row>
        <row r="1240">
          <cell r="A1240">
            <v>4995</v>
          </cell>
          <cell r="B1240" t="str">
            <v>晶達光電</v>
          </cell>
          <cell r="C1240" t="str">
            <v>勤業眾信聯合會計師事務所</v>
          </cell>
          <cell r="D1240" t="str">
            <v>楊承修</v>
          </cell>
          <cell r="E1240" t="str">
            <v>陳麗琦</v>
          </cell>
          <cell r="F1240">
            <v>20170221</v>
          </cell>
          <cell r="G1240" t="str">
            <v>無保留意見</v>
          </cell>
        </row>
        <row r="1241">
          <cell r="A1241">
            <v>5009</v>
          </cell>
          <cell r="B1241" t="str">
            <v>榮剛</v>
          </cell>
          <cell r="C1241" t="str">
            <v>勤業眾信聯合會計師事務所</v>
          </cell>
          <cell r="D1241" t="str">
            <v>蔡振財</v>
          </cell>
          <cell r="E1241" t="str">
            <v>鄭欽宗</v>
          </cell>
          <cell r="F1241">
            <v>20170306</v>
          </cell>
          <cell r="G1241" t="str">
            <v>無保留意見</v>
          </cell>
        </row>
        <row r="1242">
          <cell r="A1242">
            <v>5011</v>
          </cell>
          <cell r="B1242" t="str">
            <v>久陽</v>
          </cell>
          <cell r="C1242" t="str">
            <v>資誠聯合會計師事務所</v>
          </cell>
          <cell r="D1242" t="str">
            <v>吳建志</v>
          </cell>
          <cell r="E1242" t="str">
            <v>林永智</v>
          </cell>
          <cell r="F1242">
            <v>20170321</v>
          </cell>
          <cell r="G1242" t="str">
            <v>無保留意見</v>
          </cell>
        </row>
        <row r="1243">
          <cell r="A1243">
            <v>5013</v>
          </cell>
          <cell r="B1243" t="str">
            <v>強新工業</v>
          </cell>
          <cell r="C1243" t="str">
            <v>集智聯合會計師事務所</v>
          </cell>
          <cell r="D1243" t="str">
            <v>林書銘</v>
          </cell>
          <cell r="E1243" t="str">
            <v>王惠新</v>
          </cell>
          <cell r="F1243">
            <v>20170315</v>
          </cell>
          <cell r="G1243" t="str">
            <v>無保留意見</v>
          </cell>
        </row>
        <row r="1244">
          <cell r="A1244">
            <v>5014</v>
          </cell>
          <cell r="B1244" t="str">
            <v>建錩實業</v>
          </cell>
          <cell r="C1244" t="str">
            <v>正大聯合會計師事務所</v>
          </cell>
          <cell r="D1244" t="str">
            <v>楊 雅 慧</v>
          </cell>
          <cell r="E1244" t="str">
            <v>劉 慧 萍</v>
          </cell>
          <cell r="F1244">
            <v>20170324</v>
          </cell>
          <cell r="G1244" t="str">
            <v>無保留意見</v>
          </cell>
        </row>
        <row r="1245">
          <cell r="A1245">
            <v>5015</v>
          </cell>
          <cell r="B1245" t="str">
            <v>華祺</v>
          </cell>
          <cell r="C1245" t="str">
            <v>惠眾聯合會計師事務所</v>
          </cell>
          <cell r="D1245" t="str">
            <v>項文婷</v>
          </cell>
          <cell r="E1245" t="str">
            <v>林欣如</v>
          </cell>
          <cell r="F1245">
            <v>20170327</v>
          </cell>
          <cell r="G1245" t="str">
            <v>無保留意見</v>
          </cell>
        </row>
        <row r="1246">
          <cell r="A1246">
            <v>5016</v>
          </cell>
          <cell r="B1246" t="str">
            <v>松和工業</v>
          </cell>
          <cell r="C1246" t="str">
            <v>安永聯合會計師事務所</v>
          </cell>
          <cell r="D1246" t="str">
            <v>嚴文筆</v>
          </cell>
          <cell r="E1246" t="str">
            <v>涂清淵</v>
          </cell>
          <cell r="F1246">
            <v>20170317</v>
          </cell>
          <cell r="G1246" t="str">
            <v>無保留意見</v>
          </cell>
        </row>
        <row r="1247">
          <cell r="A1247">
            <v>5102</v>
          </cell>
          <cell r="B1247" t="str">
            <v>富強</v>
          </cell>
          <cell r="C1247" t="str">
            <v>國富浩華聯合會計師事務所</v>
          </cell>
          <cell r="D1247" t="str">
            <v>邵朝彬</v>
          </cell>
          <cell r="E1247" t="str">
            <v>楊貞瑜</v>
          </cell>
          <cell r="F1247">
            <v>20170328</v>
          </cell>
          <cell r="G1247" t="str">
            <v>無保留意見</v>
          </cell>
        </row>
        <row r="1248">
          <cell r="A1248">
            <v>5201</v>
          </cell>
          <cell r="B1248" t="str">
            <v>凱衛資訊</v>
          </cell>
          <cell r="C1248" t="str">
            <v>臺經聯合會計師事務所</v>
          </cell>
          <cell r="D1248" t="str">
            <v>洪英俊</v>
          </cell>
          <cell r="E1248" t="str">
            <v>李孟修</v>
          </cell>
          <cell r="F1248">
            <v>20170321</v>
          </cell>
          <cell r="G1248" t="str">
            <v>無保留意見</v>
          </cell>
        </row>
        <row r="1249">
          <cell r="A1249">
            <v>5202</v>
          </cell>
          <cell r="B1249" t="str">
            <v>力新國際</v>
          </cell>
          <cell r="C1249" t="str">
            <v>勤業眾信聯合會計師事務所</v>
          </cell>
          <cell r="D1249" t="str">
            <v>林文欽</v>
          </cell>
          <cell r="E1249" t="str">
            <v>戴信維</v>
          </cell>
          <cell r="F1249">
            <v>20170321</v>
          </cell>
          <cell r="G1249" t="str">
            <v>無保留意見</v>
          </cell>
        </row>
        <row r="1250">
          <cell r="A1250">
            <v>5205</v>
          </cell>
          <cell r="B1250" t="str">
            <v>漢康科技</v>
          </cell>
          <cell r="C1250" t="str">
            <v>眾智聯合會計師事務所</v>
          </cell>
          <cell r="D1250" t="str">
            <v>王惠民</v>
          </cell>
          <cell r="E1250" t="str">
            <v>游佩靜</v>
          </cell>
          <cell r="F1250">
            <v>20170317</v>
          </cell>
          <cell r="G1250" t="str">
            <v>無保留意見-繼續經營能力存在重大不確定性/繼續經營假設存有重大疑慮</v>
          </cell>
        </row>
        <row r="1251">
          <cell r="A1251">
            <v>5206</v>
          </cell>
          <cell r="B1251" t="str">
            <v>坤悅</v>
          </cell>
          <cell r="C1251" t="str">
            <v>建智聯合會計師事務所</v>
          </cell>
          <cell r="D1251" t="str">
            <v>黃祥穎</v>
          </cell>
          <cell r="E1251" t="str">
            <v>曹永仁</v>
          </cell>
          <cell r="F1251">
            <v>20170307</v>
          </cell>
          <cell r="G1251" t="str">
            <v>無保留意見</v>
          </cell>
        </row>
        <row r="1252">
          <cell r="A1252">
            <v>5209</v>
          </cell>
          <cell r="B1252" t="str">
            <v>新鼎系統</v>
          </cell>
          <cell r="C1252" t="str">
            <v>資誠聯合會計師事務所</v>
          </cell>
          <cell r="D1252" t="str">
            <v>吳郁隆</v>
          </cell>
          <cell r="E1252" t="str">
            <v>張祚誠</v>
          </cell>
          <cell r="F1252">
            <v>20170316</v>
          </cell>
          <cell r="G1252" t="str">
            <v>無保留意見</v>
          </cell>
        </row>
        <row r="1253">
          <cell r="A1253">
            <v>5210</v>
          </cell>
          <cell r="B1253" t="str">
            <v>寶碩</v>
          </cell>
          <cell r="C1253" t="str">
            <v>國富浩華聯合會計師事務所</v>
          </cell>
          <cell r="D1253" t="str">
            <v>林美玲</v>
          </cell>
          <cell r="E1253" t="str">
            <v>邱繼盛</v>
          </cell>
          <cell r="F1253">
            <v>20170327</v>
          </cell>
          <cell r="G1253" t="str">
            <v>無保留意見</v>
          </cell>
        </row>
        <row r="1254">
          <cell r="A1254">
            <v>5211</v>
          </cell>
          <cell r="B1254" t="str">
            <v>蒙恬</v>
          </cell>
          <cell r="C1254" t="str">
            <v>勤業眾信聯合會計師事務所</v>
          </cell>
          <cell r="D1254" t="str">
            <v>陳錦章</v>
          </cell>
          <cell r="E1254" t="str">
            <v>蔡美貞</v>
          </cell>
          <cell r="F1254">
            <v>20170302</v>
          </cell>
          <cell r="G1254" t="str">
            <v>無保留意見</v>
          </cell>
        </row>
        <row r="1255">
          <cell r="A1255">
            <v>5212</v>
          </cell>
          <cell r="B1255" t="str">
            <v>凌網科技</v>
          </cell>
          <cell r="C1255" t="str">
            <v>安永聯合會計師事務所</v>
          </cell>
          <cell r="D1255" t="str">
            <v>陳智忠</v>
          </cell>
          <cell r="E1255" t="str">
            <v>涂嘉玲</v>
          </cell>
          <cell r="F1255">
            <v>20170308</v>
          </cell>
          <cell r="G1255" t="str">
            <v>無保留意見</v>
          </cell>
        </row>
        <row r="1256">
          <cell r="A1256">
            <v>5213</v>
          </cell>
          <cell r="B1256" t="str">
            <v>亞昕國際</v>
          </cell>
          <cell r="C1256" t="str">
            <v>安侯建業聯合會計師事務所</v>
          </cell>
          <cell r="D1256" t="str">
            <v>張淑瑩</v>
          </cell>
          <cell r="E1256" t="str">
            <v>池世欽</v>
          </cell>
          <cell r="F1256">
            <v>20170322</v>
          </cell>
          <cell r="G1256" t="str">
            <v>無保留意見</v>
          </cell>
        </row>
        <row r="1257">
          <cell r="A1257">
            <v>5227</v>
          </cell>
          <cell r="B1257" t="str">
            <v>立凱-KY</v>
          </cell>
          <cell r="C1257" t="str">
            <v>資誠聯合會計師事務所</v>
          </cell>
          <cell r="D1257" t="str">
            <v>鄭雅慧</v>
          </cell>
          <cell r="E1257" t="str">
            <v>李燕娜</v>
          </cell>
          <cell r="F1257">
            <v>20170324</v>
          </cell>
          <cell r="G1257" t="str">
            <v>無保留意見</v>
          </cell>
        </row>
        <row r="1258">
          <cell r="A1258">
            <v>5230</v>
          </cell>
          <cell r="B1258" t="str">
            <v>雷笛克光學</v>
          </cell>
          <cell r="C1258" t="str">
            <v>勤業眾信聯合會計師事務所</v>
          </cell>
          <cell r="D1258" t="str">
            <v>吳恪昌</v>
          </cell>
          <cell r="E1258" t="str">
            <v>黃毅民</v>
          </cell>
          <cell r="F1258">
            <v>20170308</v>
          </cell>
          <cell r="G1258" t="str">
            <v>無保留意見</v>
          </cell>
        </row>
        <row r="1259">
          <cell r="A1259">
            <v>5245</v>
          </cell>
          <cell r="B1259" t="str">
            <v>智晶</v>
          </cell>
          <cell r="C1259" t="str">
            <v>勤業眾信聯合會計師事務所</v>
          </cell>
          <cell r="D1259" t="str">
            <v>謝明忠</v>
          </cell>
          <cell r="E1259" t="str">
            <v>翁博仁</v>
          </cell>
          <cell r="F1259">
            <v>20170324</v>
          </cell>
          <cell r="G1259" t="str">
            <v>無保留意見</v>
          </cell>
        </row>
        <row r="1260">
          <cell r="A1260">
            <v>5251</v>
          </cell>
          <cell r="B1260" t="str">
            <v>天鉞電</v>
          </cell>
          <cell r="C1260" t="str">
            <v>勤業眾信聯合會計師事務所</v>
          </cell>
          <cell r="D1260" t="str">
            <v>江明南</v>
          </cell>
          <cell r="E1260" t="str">
            <v>葉淑娟</v>
          </cell>
          <cell r="F1260">
            <v>20170324</v>
          </cell>
          <cell r="G1260" t="str">
            <v>無保留意見</v>
          </cell>
        </row>
        <row r="1261">
          <cell r="A1261">
            <v>5255</v>
          </cell>
          <cell r="B1261" t="str">
            <v>美桀</v>
          </cell>
          <cell r="C1261" t="str">
            <v>勤業眾信聯合會計師事務所</v>
          </cell>
          <cell r="D1261" t="str">
            <v>謝明忠</v>
          </cell>
          <cell r="E1261" t="str">
            <v>李麗凰</v>
          </cell>
          <cell r="F1261">
            <v>20170324</v>
          </cell>
          <cell r="G1261" t="str">
            <v>無保留意見</v>
          </cell>
        </row>
        <row r="1262">
          <cell r="A1262">
            <v>5263</v>
          </cell>
          <cell r="B1262" t="str">
            <v>智崴資訊</v>
          </cell>
          <cell r="C1262" t="str">
            <v>正大聯合會計師事務所</v>
          </cell>
          <cell r="D1262" t="str">
            <v>張益順</v>
          </cell>
          <cell r="E1262" t="str">
            <v>羅裕傑</v>
          </cell>
          <cell r="F1262">
            <v>20170314</v>
          </cell>
          <cell r="G1262" t="str">
            <v>無保留意見</v>
          </cell>
        </row>
        <row r="1263">
          <cell r="A1263">
            <v>5272</v>
          </cell>
          <cell r="B1263" t="str">
            <v>笙科</v>
          </cell>
          <cell r="C1263" t="str">
            <v>勤業眾信聯合會計師事務所</v>
          </cell>
          <cell r="D1263" t="str">
            <v>陳錦章</v>
          </cell>
          <cell r="E1263" t="str">
            <v>蔡美貞</v>
          </cell>
          <cell r="F1263">
            <v>20170309</v>
          </cell>
          <cell r="G1263" t="str">
            <v>無保留意見</v>
          </cell>
        </row>
        <row r="1264">
          <cell r="A1264">
            <v>5274</v>
          </cell>
          <cell r="B1264" t="str">
            <v>信驊科技</v>
          </cell>
          <cell r="C1264" t="str">
            <v>勤業眾信聯合會計師事務所</v>
          </cell>
          <cell r="D1264" t="str">
            <v>陳明煇</v>
          </cell>
          <cell r="E1264" t="str">
            <v>方蘇立</v>
          </cell>
          <cell r="F1264">
            <v>20170308</v>
          </cell>
          <cell r="G1264" t="str">
            <v>無保留意見</v>
          </cell>
        </row>
        <row r="1265">
          <cell r="A1265">
            <v>5276</v>
          </cell>
          <cell r="B1265" t="str">
            <v>達輝-KY</v>
          </cell>
          <cell r="C1265" t="str">
            <v>安侯建業聯合會計師事務所</v>
          </cell>
          <cell r="D1265" t="str">
            <v>林恒昇</v>
          </cell>
          <cell r="E1265" t="str">
            <v>王清松</v>
          </cell>
          <cell r="F1265">
            <v>20170318</v>
          </cell>
          <cell r="G1265" t="str">
            <v>無保留意見</v>
          </cell>
        </row>
        <row r="1266">
          <cell r="A1266">
            <v>5278</v>
          </cell>
          <cell r="B1266" t="str">
            <v>尚凡</v>
          </cell>
          <cell r="C1266" t="str">
            <v>資誠聯合會計師事務所</v>
          </cell>
          <cell r="D1266" t="str">
            <v>徐聖忠</v>
          </cell>
          <cell r="E1266" t="str">
            <v>徐永堅</v>
          </cell>
          <cell r="F1266">
            <v>20170330</v>
          </cell>
          <cell r="G1266" t="str">
            <v>無保留意見</v>
          </cell>
        </row>
        <row r="1267">
          <cell r="A1267">
            <v>5281</v>
          </cell>
          <cell r="B1267" t="str">
            <v>大峽谷-KY</v>
          </cell>
          <cell r="C1267" t="str">
            <v>資誠聯合會計師事務所</v>
          </cell>
          <cell r="D1267" t="str">
            <v>游淑芬</v>
          </cell>
          <cell r="E1267" t="str">
            <v>林鈞堯</v>
          </cell>
          <cell r="F1267">
            <v>20170310</v>
          </cell>
          <cell r="G1267" t="str">
            <v>無保留意見</v>
          </cell>
        </row>
        <row r="1268">
          <cell r="A1268">
            <v>5287</v>
          </cell>
          <cell r="B1268" t="str">
            <v>數字</v>
          </cell>
          <cell r="C1268" t="str">
            <v>安侯建業聯合會計師事務所</v>
          </cell>
          <cell r="D1268" t="str">
            <v>余聖河</v>
          </cell>
          <cell r="E1268" t="str">
            <v>李慈慧</v>
          </cell>
          <cell r="F1268">
            <v>20170314</v>
          </cell>
          <cell r="G1268" t="str">
            <v>無保留意見</v>
          </cell>
        </row>
        <row r="1269">
          <cell r="A1269">
            <v>5289</v>
          </cell>
          <cell r="B1269" t="str">
            <v>宜鼎國際</v>
          </cell>
          <cell r="C1269" t="str">
            <v>資誠聯合會計師事務所</v>
          </cell>
          <cell r="D1269" t="str">
            <v>葉翠苗</v>
          </cell>
          <cell r="E1269" t="str">
            <v>周建宏</v>
          </cell>
          <cell r="F1269">
            <v>20170314</v>
          </cell>
          <cell r="G1269" t="str">
            <v>無保留意見</v>
          </cell>
        </row>
        <row r="1270">
          <cell r="A1270">
            <v>5291</v>
          </cell>
          <cell r="B1270" t="str">
            <v>邑昇</v>
          </cell>
          <cell r="C1270" t="str">
            <v>勤業眾信聯合會計師事務所</v>
          </cell>
          <cell r="D1270" t="str">
            <v>邵志明</v>
          </cell>
          <cell r="E1270" t="str">
            <v>翁雅玲</v>
          </cell>
          <cell r="F1270">
            <v>20170323</v>
          </cell>
          <cell r="G1270" t="str">
            <v>無保留意見</v>
          </cell>
        </row>
        <row r="1271">
          <cell r="A1271">
            <v>5301</v>
          </cell>
          <cell r="B1271" t="str">
            <v>寶得利</v>
          </cell>
          <cell r="C1271" t="str">
            <v>資誠聯合會計師事務所</v>
          </cell>
          <cell r="D1271" t="str">
            <v>蕭春鴛</v>
          </cell>
          <cell r="E1271" t="str">
            <v>蕭金木</v>
          </cell>
          <cell r="F1271">
            <v>20170327</v>
          </cell>
          <cell r="G1271" t="str">
            <v>無保留意見</v>
          </cell>
        </row>
        <row r="1272">
          <cell r="A1272">
            <v>5302</v>
          </cell>
          <cell r="B1272" t="str">
            <v>太欣</v>
          </cell>
          <cell r="C1272" t="str">
            <v>安永聯合會計師事務所</v>
          </cell>
          <cell r="D1272" t="str">
            <v>林 素 雯</v>
          </cell>
          <cell r="E1272" t="str">
            <v>曾 祥 裕</v>
          </cell>
          <cell r="F1272">
            <v>20170330</v>
          </cell>
          <cell r="G1272" t="str">
            <v>無保留意見</v>
          </cell>
        </row>
        <row r="1273">
          <cell r="A1273">
            <v>5304</v>
          </cell>
          <cell r="B1273" t="str">
            <v>鼎創達</v>
          </cell>
          <cell r="C1273" t="str">
            <v>德昌聯合會計師事務所</v>
          </cell>
          <cell r="D1273" t="str">
            <v>陳文彬</v>
          </cell>
          <cell r="E1273" t="str">
            <v>陳裕勳</v>
          </cell>
          <cell r="F1273">
            <v>20170322</v>
          </cell>
          <cell r="G1273" t="str">
            <v>無保留意見</v>
          </cell>
        </row>
        <row r="1274">
          <cell r="A1274">
            <v>5306</v>
          </cell>
          <cell r="B1274" t="str">
            <v>桂盟</v>
          </cell>
          <cell r="C1274" t="str">
            <v>勤業眾信聯合會計師事務所</v>
          </cell>
          <cell r="D1274" t="str">
            <v>廖鴻儒</v>
          </cell>
          <cell r="E1274" t="str">
            <v>李季珍</v>
          </cell>
          <cell r="F1274">
            <v>20170320</v>
          </cell>
          <cell r="G1274" t="str">
            <v>無保留意見</v>
          </cell>
        </row>
        <row r="1275">
          <cell r="A1275">
            <v>5309</v>
          </cell>
          <cell r="B1275" t="str">
            <v>系統電子</v>
          </cell>
          <cell r="C1275" t="str">
            <v>資誠聯合會計師事務所</v>
          </cell>
          <cell r="D1275" t="str">
            <v>支秉鈞</v>
          </cell>
          <cell r="E1275" t="str">
            <v>吳漢期</v>
          </cell>
          <cell r="F1275">
            <v>20170330</v>
          </cell>
          <cell r="G1275" t="str">
            <v>無保留意見</v>
          </cell>
        </row>
        <row r="1276">
          <cell r="A1276">
            <v>5310</v>
          </cell>
          <cell r="B1276" t="str">
            <v>天剛資訊</v>
          </cell>
          <cell r="C1276" t="str">
            <v>正風聯合會計師事務所</v>
          </cell>
          <cell r="D1276" t="str">
            <v>曾國富</v>
          </cell>
          <cell r="E1276" t="str">
            <v>彭莉真</v>
          </cell>
          <cell r="F1276">
            <v>20170309</v>
          </cell>
          <cell r="G1276" t="str">
            <v>無保留意見</v>
          </cell>
        </row>
        <row r="1277">
          <cell r="A1277">
            <v>5312</v>
          </cell>
          <cell r="B1277" t="str">
            <v>寶島科</v>
          </cell>
          <cell r="C1277" t="str">
            <v>勤業眾信聯合會計師事務所</v>
          </cell>
          <cell r="D1277" t="str">
            <v>蔡振財</v>
          </cell>
          <cell r="E1277" t="str">
            <v>趙永祥</v>
          </cell>
          <cell r="F1277">
            <v>20170324</v>
          </cell>
          <cell r="G1277" t="str">
            <v>無保留意見</v>
          </cell>
        </row>
        <row r="1278">
          <cell r="A1278">
            <v>5314</v>
          </cell>
          <cell r="B1278" t="str">
            <v>世紀民生</v>
          </cell>
          <cell r="C1278" t="str">
            <v>資誠聯合會計師事務所</v>
          </cell>
          <cell r="D1278" t="str">
            <v>林玉寬</v>
          </cell>
          <cell r="E1278" t="str">
            <v>溫芳郁</v>
          </cell>
          <cell r="F1278">
            <v>20170309</v>
          </cell>
          <cell r="G1278" t="str">
            <v>無保留意見</v>
          </cell>
        </row>
        <row r="1279">
          <cell r="A1279">
            <v>5315</v>
          </cell>
          <cell r="B1279" t="str">
            <v>光聯科技</v>
          </cell>
          <cell r="C1279" t="str">
            <v>勤業眾信聯合會計師事務所</v>
          </cell>
          <cell r="D1279" t="str">
            <v>會 計 師吳麗冬</v>
          </cell>
          <cell r="E1279" t="str">
            <v>會 計 師顏曉芳</v>
          </cell>
          <cell r="F1279">
            <v>20170301</v>
          </cell>
          <cell r="G1279" t="str">
            <v>無保留意見</v>
          </cell>
        </row>
        <row r="1280">
          <cell r="A1280">
            <v>5317</v>
          </cell>
          <cell r="B1280" t="str">
            <v>凱美</v>
          </cell>
          <cell r="C1280" t="str">
            <v>勤業眾信聯合會計師事務所</v>
          </cell>
          <cell r="D1280" t="str">
            <v>柯志賢</v>
          </cell>
          <cell r="E1280" t="str">
            <v>趙永祥</v>
          </cell>
          <cell r="F1280">
            <v>20170303</v>
          </cell>
          <cell r="G1280" t="str">
            <v>無保留意見</v>
          </cell>
        </row>
        <row r="1281">
          <cell r="A1281">
            <v>5321</v>
          </cell>
          <cell r="B1281" t="str">
            <v>友銓電子</v>
          </cell>
          <cell r="C1281" t="str">
            <v>國富浩華聯合會計師事務所</v>
          </cell>
          <cell r="D1281" t="str">
            <v>黃勝義</v>
          </cell>
          <cell r="E1281" t="str">
            <v>王家祥</v>
          </cell>
          <cell r="F1281">
            <v>20170327</v>
          </cell>
          <cell r="G1281" t="str">
            <v>無保留意見</v>
          </cell>
        </row>
        <row r="1282">
          <cell r="A1282">
            <v>5324</v>
          </cell>
          <cell r="B1282" t="str">
            <v>士開</v>
          </cell>
          <cell r="C1282" t="str">
            <v>安侯建業聯合會計師事務所</v>
          </cell>
          <cell r="D1282" t="str">
            <v>池世欽</v>
          </cell>
          <cell r="E1282" t="str">
            <v>陳嘉修</v>
          </cell>
          <cell r="F1282">
            <v>20170324</v>
          </cell>
          <cell r="G1282" t="str">
            <v>無保留意見</v>
          </cell>
        </row>
        <row r="1283">
          <cell r="A1283">
            <v>5328</v>
          </cell>
          <cell r="B1283" t="str">
            <v>華容公司</v>
          </cell>
          <cell r="C1283" t="str">
            <v>安永會計師事務所</v>
          </cell>
          <cell r="D1283" t="str">
            <v>李芳文</v>
          </cell>
          <cell r="E1283" t="str">
            <v>傅文芳</v>
          </cell>
          <cell r="F1283">
            <v>20170317</v>
          </cell>
          <cell r="G1283" t="str">
            <v>無保留意見</v>
          </cell>
        </row>
        <row r="1284">
          <cell r="A1284">
            <v>5340</v>
          </cell>
          <cell r="B1284" t="str">
            <v>建榮工業</v>
          </cell>
          <cell r="C1284" t="str">
            <v>資誠聯合會計師事務所</v>
          </cell>
          <cell r="D1284" t="str">
            <v>曾國華</v>
          </cell>
          <cell r="E1284" t="str">
            <v>李典易</v>
          </cell>
          <cell r="F1284">
            <v>20170314</v>
          </cell>
          <cell r="G1284" t="str">
            <v>無保留意見</v>
          </cell>
        </row>
        <row r="1285">
          <cell r="A1285">
            <v>5344</v>
          </cell>
          <cell r="B1285" t="str">
            <v>立衛科技</v>
          </cell>
          <cell r="C1285" t="str">
            <v>勤業眾信聯合會計師事務所</v>
          </cell>
          <cell r="D1285" t="str">
            <v>蔡美貞</v>
          </cell>
          <cell r="E1285" t="str">
            <v>黃樹傑</v>
          </cell>
          <cell r="F1285">
            <v>20170317</v>
          </cell>
          <cell r="G1285" t="str">
            <v>無保留意見</v>
          </cell>
        </row>
        <row r="1286">
          <cell r="A1286">
            <v>5345</v>
          </cell>
          <cell r="B1286" t="str">
            <v>天揚</v>
          </cell>
          <cell r="C1286" t="str">
            <v>正風聯合會計師事務所</v>
          </cell>
          <cell r="D1286" t="str">
            <v>吳欣亮</v>
          </cell>
          <cell r="E1286" t="str">
            <v>丁鴻勛</v>
          </cell>
          <cell r="F1286">
            <v>20170329</v>
          </cell>
          <cell r="G1286" t="str">
            <v>無保留意見</v>
          </cell>
        </row>
        <row r="1287">
          <cell r="A1287">
            <v>5347</v>
          </cell>
          <cell r="B1287" t="str">
            <v>世界</v>
          </cell>
          <cell r="C1287" t="str">
            <v>勤業眾信聯合會計師事務所</v>
          </cell>
          <cell r="D1287" t="str">
            <v>黃裕峰</v>
          </cell>
          <cell r="E1287" t="str">
            <v>林政治</v>
          </cell>
          <cell r="F1287">
            <v>20170221</v>
          </cell>
          <cell r="G1287" t="str">
            <v>無保留意見</v>
          </cell>
        </row>
        <row r="1288">
          <cell r="A1288">
            <v>5348</v>
          </cell>
          <cell r="B1288" t="str">
            <v>系通科技</v>
          </cell>
          <cell r="C1288" t="str">
            <v>勤業眾信聯合會計師事務所</v>
          </cell>
          <cell r="D1288" t="str">
            <v>葉東煇</v>
          </cell>
          <cell r="E1288" t="str">
            <v>方蘇立</v>
          </cell>
          <cell r="F1288">
            <v>20170221</v>
          </cell>
          <cell r="G1288" t="str">
            <v>無保留意見</v>
          </cell>
        </row>
        <row r="1289">
          <cell r="A1289">
            <v>5349</v>
          </cell>
          <cell r="B1289" t="str">
            <v>先豐通訊</v>
          </cell>
          <cell r="C1289" t="str">
            <v>勤業眾信聯合會計師事務所</v>
          </cell>
          <cell r="D1289" t="str">
            <v>林安惠</v>
          </cell>
          <cell r="E1289" t="str">
            <v>陳清祥</v>
          </cell>
          <cell r="F1289">
            <v>20170315</v>
          </cell>
          <cell r="G1289" t="str">
            <v>無保留意見</v>
          </cell>
        </row>
        <row r="1290">
          <cell r="A1290">
            <v>5351</v>
          </cell>
          <cell r="B1290" t="str">
            <v>鈺創科技</v>
          </cell>
          <cell r="C1290" t="str">
            <v>資誠聯合會計師事務所</v>
          </cell>
          <cell r="D1290" t="str">
            <v>溫芳郁</v>
          </cell>
          <cell r="E1290" t="str">
            <v>王偉臣</v>
          </cell>
          <cell r="F1290">
            <v>20170328</v>
          </cell>
          <cell r="G1290" t="str">
            <v>無保留意見</v>
          </cell>
        </row>
        <row r="1291">
          <cell r="A1291">
            <v>5353</v>
          </cell>
          <cell r="B1291" t="str">
            <v>台林電通</v>
          </cell>
          <cell r="C1291" t="str">
            <v>安永聯合會計師事務所</v>
          </cell>
          <cell r="D1291" t="str">
            <v>王彥鈞</v>
          </cell>
          <cell r="E1291" t="str">
            <v>王瑄瑄</v>
          </cell>
          <cell r="F1291">
            <v>20170317</v>
          </cell>
          <cell r="G1291" t="str">
            <v>無保留意見</v>
          </cell>
        </row>
        <row r="1292">
          <cell r="A1292">
            <v>5355</v>
          </cell>
          <cell r="B1292" t="str">
            <v>佳總</v>
          </cell>
          <cell r="C1292" t="str">
            <v>正風聯合會計師事務所</v>
          </cell>
          <cell r="D1292" t="str">
            <v>丁鴻勛</v>
          </cell>
          <cell r="E1292" t="str">
            <v>賴家裕</v>
          </cell>
          <cell r="F1292">
            <v>20170328</v>
          </cell>
          <cell r="G1292" t="str">
            <v>無保留意見</v>
          </cell>
        </row>
        <row r="1293">
          <cell r="A1293">
            <v>5356</v>
          </cell>
          <cell r="B1293" t="str">
            <v>協益電子</v>
          </cell>
          <cell r="C1293" t="str">
            <v>安侯建業聯合會計師事務所</v>
          </cell>
          <cell r="D1293" t="str">
            <v>陳眉芳</v>
          </cell>
          <cell r="E1293" t="str">
            <v>陳俊光</v>
          </cell>
          <cell r="F1293">
            <v>20170322</v>
          </cell>
          <cell r="G1293" t="str">
            <v>無保留意見</v>
          </cell>
        </row>
        <row r="1294">
          <cell r="A1294">
            <v>5364</v>
          </cell>
          <cell r="B1294" t="str">
            <v>力麗店</v>
          </cell>
          <cell r="C1294" t="str">
            <v>安侯建業聯合會計師事務所</v>
          </cell>
          <cell r="D1294" t="str">
            <v>張淑瑩</v>
          </cell>
          <cell r="E1294" t="str">
            <v>曾國禓</v>
          </cell>
          <cell r="F1294">
            <v>20170323</v>
          </cell>
          <cell r="G1294" t="str">
            <v>無保留意見</v>
          </cell>
        </row>
        <row r="1295">
          <cell r="A1295">
            <v>5371</v>
          </cell>
          <cell r="B1295" t="str">
            <v>中光電</v>
          </cell>
          <cell r="C1295" t="str">
            <v>安永聯合會計師事務所</v>
          </cell>
          <cell r="D1295" t="str">
            <v>許新民</v>
          </cell>
          <cell r="E1295" t="str">
            <v>王金來</v>
          </cell>
          <cell r="F1295">
            <v>20170215</v>
          </cell>
          <cell r="G1295" t="str">
            <v>無保留意見</v>
          </cell>
        </row>
        <row r="1296">
          <cell r="A1296">
            <v>5381</v>
          </cell>
          <cell r="B1296" t="str">
            <v>合正科技</v>
          </cell>
          <cell r="C1296" t="str">
            <v>勤業眾信聯合會計師事務所</v>
          </cell>
          <cell r="D1296" t="str">
            <v>楊承修</v>
          </cell>
          <cell r="E1296" t="str">
            <v>黃瑞展</v>
          </cell>
          <cell r="F1296">
            <v>20170317</v>
          </cell>
          <cell r="G1296" t="str">
            <v>無保留意見</v>
          </cell>
        </row>
        <row r="1297">
          <cell r="A1297">
            <v>5383</v>
          </cell>
          <cell r="B1297" t="str">
            <v>金利精密</v>
          </cell>
          <cell r="C1297" t="str">
            <v>建昇財稅聯合會計師事務所</v>
          </cell>
          <cell r="D1297" t="str">
            <v>林昇平</v>
          </cell>
          <cell r="E1297" t="str">
            <v>陳秀莉</v>
          </cell>
          <cell r="F1297">
            <v>20170327</v>
          </cell>
          <cell r="G1297" t="str">
            <v>無保留意見</v>
          </cell>
        </row>
        <row r="1298">
          <cell r="A1298">
            <v>5384</v>
          </cell>
          <cell r="B1298" t="str">
            <v>捷元</v>
          </cell>
          <cell r="C1298" t="str">
            <v>資誠聯合會計師事務所</v>
          </cell>
          <cell r="D1298" t="str">
            <v>潘慧玲</v>
          </cell>
          <cell r="E1298" t="str">
            <v>鄧聖偉</v>
          </cell>
          <cell r="F1298">
            <v>20170327</v>
          </cell>
          <cell r="G1298" t="str">
            <v>無保留意見</v>
          </cell>
        </row>
        <row r="1299">
          <cell r="A1299">
            <v>5386</v>
          </cell>
          <cell r="B1299" t="str">
            <v>青雲國際</v>
          </cell>
          <cell r="C1299" t="str">
            <v>眾智聯合會計師事務所</v>
          </cell>
          <cell r="D1299" t="str">
            <v>游佩靜</v>
          </cell>
          <cell r="E1299" t="str">
            <v>莊雯秋</v>
          </cell>
          <cell r="F1299">
            <v>20170321</v>
          </cell>
          <cell r="G1299" t="str">
            <v>無保留意見</v>
          </cell>
        </row>
        <row r="1300">
          <cell r="A1300">
            <v>5392</v>
          </cell>
          <cell r="B1300" t="str">
            <v>應華精密</v>
          </cell>
          <cell r="C1300" t="str">
            <v>資誠聯合會計師事務所</v>
          </cell>
          <cell r="D1300" t="str">
            <v>阮呂曼玉</v>
          </cell>
          <cell r="E1300" t="str">
            <v>徐聖忠</v>
          </cell>
          <cell r="F1300">
            <v>20170322</v>
          </cell>
          <cell r="G1300" t="str">
            <v>無保留意見</v>
          </cell>
        </row>
        <row r="1301">
          <cell r="A1301">
            <v>5398</v>
          </cell>
          <cell r="B1301" t="str">
            <v>力瑋</v>
          </cell>
          <cell r="C1301" t="str">
            <v>安 侯 建 業 聯 合 會 計 師 事 務 所</v>
          </cell>
          <cell r="D1301" t="str">
            <v>池世欽</v>
          </cell>
          <cell r="E1301" t="str">
            <v>曾國禓</v>
          </cell>
          <cell r="F1301">
            <v>20170329</v>
          </cell>
          <cell r="G1301" t="str">
            <v>無保留意見</v>
          </cell>
        </row>
        <row r="1302">
          <cell r="A1302">
            <v>5403</v>
          </cell>
          <cell r="B1302" t="str">
            <v>中菲電腦</v>
          </cell>
          <cell r="C1302" t="str">
            <v>勤業眾信聯合會計師事務所</v>
          </cell>
          <cell r="D1302" t="str">
            <v>柯志賢</v>
          </cell>
          <cell r="E1302" t="str">
            <v>蔡振財</v>
          </cell>
          <cell r="F1302">
            <v>20170315</v>
          </cell>
          <cell r="G1302" t="str">
            <v>無保留意見</v>
          </cell>
        </row>
        <row r="1303">
          <cell r="A1303">
            <v>5410</v>
          </cell>
          <cell r="B1303" t="str">
            <v>國眾電腦</v>
          </cell>
          <cell r="C1303" t="str">
            <v>勤業眾信聯合會計師事務所</v>
          </cell>
          <cell r="D1303" t="str">
            <v>劉書琳</v>
          </cell>
          <cell r="E1303" t="str">
            <v>鄭淂蓁</v>
          </cell>
          <cell r="F1303">
            <v>20170313</v>
          </cell>
          <cell r="G1303" t="str">
            <v>無保留意見</v>
          </cell>
        </row>
        <row r="1304">
          <cell r="A1304">
            <v>5425</v>
          </cell>
          <cell r="B1304" t="str">
            <v>台半</v>
          </cell>
          <cell r="C1304" t="str">
            <v>安侯建業聯合會計師事務所</v>
          </cell>
          <cell r="D1304" t="str">
            <v>梅元貞</v>
          </cell>
          <cell r="E1304" t="str">
            <v>許育峰</v>
          </cell>
          <cell r="F1304">
            <v>20170327</v>
          </cell>
          <cell r="G1304" t="str">
            <v>無保留意見</v>
          </cell>
        </row>
        <row r="1305">
          <cell r="A1305">
            <v>5426</v>
          </cell>
          <cell r="B1305" t="str">
            <v>振發</v>
          </cell>
          <cell r="C1305" t="str">
            <v>高威聯合會計師事務所</v>
          </cell>
          <cell r="D1305" t="str">
            <v>謝秀梅</v>
          </cell>
          <cell r="E1305" t="str">
            <v>何晏芳</v>
          </cell>
          <cell r="F1305">
            <v>20170323</v>
          </cell>
          <cell r="G1305" t="str">
            <v>無保留意見</v>
          </cell>
        </row>
        <row r="1306">
          <cell r="A1306">
            <v>5432</v>
          </cell>
          <cell r="B1306" t="str">
            <v>達威光電</v>
          </cell>
          <cell r="C1306" t="str">
            <v>資誠聯合會計師事務所</v>
          </cell>
          <cell r="D1306" t="str">
            <v>王方瑜</v>
          </cell>
          <cell r="E1306" t="str">
            <v>梁華玲</v>
          </cell>
          <cell r="F1306">
            <v>20170317</v>
          </cell>
          <cell r="G1306" t="str">
            <v>無保留意見</v>
          </cell>
        </row>
        <row r="1307">
          <cell r="A1307">
            <v>5438</v>
          </cell>
          <cell r="B1307" t="str">
            <v>東友科技</v>
          </cell>
          <cell r="C1307" t="str">
            <v>資誠聯合會計師事務所</v>
          </cell>
          <cell r="D1307" t="str">
            <v>葉翠苗</v>
          </cell>
          <cell r="E1307" t="str">
            <v>曾惠瑾</v>
          </cell>
          <cell r="F1307">
            <v>20170320</v>
          </cell>
          <cell r="G1307" t="str">
            <v>無保留意見</v>
          </cell>
        </row>
        <row r="1308">
          <cell r="A1308">
            <v>5439</v>
          </cell>
          <cell r="B1308" t="str">
            <v>高技</v>
          </cell>
          <cell r="C1308" t="str">
            <v>勤業眾信聯合會計師事務所</v>
          </cell>
          <cell r="D1308" t="str">
            <v>許晉銘</v>
          </cell>
          <cell r="E1308" t="str">
            <v>劉書琳</v>
          </cell>
          <cell r="F1308">
            <v>20170314</v>
          </cell>
          <cell r="G1308" t="str">
            <v>無保留意見</v>
          </cell>
        </row>
        <row r="1309">
          <cell r="A1309">
            <v>5443</v>
          </cell>
          <cell r="B1309" t="str">
            <v>均豪精密</v>
          </cell>
          <cell r="C1309" t="str">
            <v>資誠聯合會計師事務所</v>
          </cell>
          <cell r="D1309" t="str">
            <v>李典易</v>
          </cell>
          <cell r="E1309" t="str">
            <v>鄭雅慧</v>
          </cell>
          <cell r="F1309">
            <v>20170320</v>
          </cell>
          <cell r="G1309" t="str">
            <v>無保留意見</v>
          </cell>
        </row>
        <row r="1310">
          <cell r="A1310">
            <v>5450</v>
          </cell>
          <cell r="B1310" t="str">
            <v>寶聯通</v>
          </cell>
          <cell r="C1310" t="str">
            <v>勤業眾信聯合會計師事務所</v>
          </cell>
          <cell r="D1310" t="str">
            <v>邱政俊</v>
          </cell>
          <cell r="E1310" t="str">
            <v>吳世宗</v>
          </cell>
          <cell r="F1310">
            <v>20170321</v>
          </cell>
          <cell r="G1310" t="str">
            <v>無保留意見</v>
          </cell>
        </row>
        <row r="1311">
          <cell r="A1311">
            <v>5452</v>
          </cell>
          <cell r="B1311" t="str">
            <v>佶優</v>
          </cell>
          <cell r="C1311" t="str">
            <v>安侯建業聯合會計師事務所</v>
          </cell>
          <cell r="D1311" t="str">
            <v>江忠儀</v>
          </cell>
          <cell r="E1311" t="str">
            <v>許淑敏</v>
          </cell>
          <cell r="F1311">
            <v>20170328</v>
          </cell>
          <cell r="G1311" t="str">
            <v>無保留意見</v>
          </cell>
        </row>
        <row r="1312">
          <cell r="A1312">
            <v>5455</v>
          </cell>
          <cell r="B1312" t="str">
            <v>訊利電</v>
          </cell>
          <cell r="C1312" t="str">
            <v>致遠聯合會計師事務所</v>
          </cell>
          <cell r="D1312" t="str">
            <v>曾瑞燕</v>
          </cell>
          <cell r="E1312" t="str">
            <v>侯委晉</v>
          </cell>
          <cell r="F1312">
            <v>20170302</v>
          </cell>
          <cell r="G1312" t="str">
            <v>無保留意見</v>
          </cell>
        </row>
        <row r="1313">
          <cell r="A1313">
            <v>5457</v>
          </cell>
          <cell r="B1313" t="str">
            <v>宣德</v>
          </cell>
          <cell r="C1313" t="str">
            <v>資誠聯合會計師事務所</v>
          </cell>
          <cell r="D1313" t="str">
            <v>葉翠苗</v>
          </cell>
          <cell r="E1313" t="str">
            <v>吳郁隆</v>
          </cell>
          <cell r="F1313">
            <v>20170324</v>
          </cell>
          <cell r="G1313" t="str">
            <v>無保留意見</v>
          </cell>
        </row>
        <row r="1314">
          <cell r="A1314">
            <v>5460</v>
          </cell>
          <cell r="B1314" t="str">
            <v>同協電子</v>
          </cell>
          <cell r="C1314" t="str">
            <v>勤業眾信聯合會計師事務所</v>
          </cell>
          <cell r="D1314" t="str">
            <v>廖婉怡</v>
          </cell>
          <cell r="E1314" t="str">
            <v>謝建新</v>
          </cell>
          <cell r="F1314">
            <v>20170323</v>
          </cell>
          <cell r="G1314" t="str">
            <v>無保留意見</v>
          </cell>
        </row>
        <row r="1315">
          <cell r="A1315">
            <v>5464</v>
          </cell>
          <cell r="B1315" t="str">
            <v>霖宏科技</v>
          </cell>
          <cell r="C1315" t="str">
            <v>安 永 聯 合 會 計 師 事 務 所</v>
          </cell>
          <cell r="D1315" t="str">
            <v>嚴 文 筆</v>
          </cell>
          <cell r="E1315" t="str">
            <v>黃 子 評</v>
          </cell>
          <cell r="F1315">
            <v>20170324</v>
          </cell>
          <cell r="G1315" t="str">
            <v>無保留意見</v>
          </cell>
        </row>
        <row r="1316">
          <cell r="A1316">
            <v>5465</v>
          </cell>
          <cell r="B1316" t="str">
            <v>富驊</v>
          </cell>
          <cell r="C1316" t="str">
            <v>勤業眾信聯合會計師事務所</v>
          </cell>
          <cell r="D1316" t="str">
            <v>李季珍</v>
          </cell>
          <cell r="E1316" t="str">
            <v>廖鴻儒</v>
          </cell>
          <cell r="F1316">
            <v>20170313</v>
          </cell>
          <cell r="G1316" t="str">
            <v>無保留意見</v>
          </cell>
        </row>
        <row r="1317">
          <cell r="A1317">
            <v>5468</v>
          </cell>
          <cell r="B1317" t="str">
            <v>凱鈺</v>
          </cell>
          <cell r="C1317" t="str">
            <v>資誠聯合會計師事務所</v>
          </cell>
          <cell r="D1317" t="str">
            <v>溫芳郁</v>
          </cell>
          <cell r="E1317" t="str">
            <v>王偉臣</v>
          </cell>
          <cell r="F1317">
            <v>20170328</v>
          </cell>
          <cell r="G1317" t="str">
            <v>無保留意見</v>
          </cell>
        </row>
        <row r="1318">
          <cell r="A1318">
            <v>5474</v>
          </cell>
          <cell r="B1318" t="str">
            <v>聰泰科技</v>
          </cell>
          <cell r="C1318" t="str">
            <v>資誠聯合會計師事務所</v>
          </cell>
          <cell r="D1318" t="str">
            <v>徐聖忠</v>
          </cell>
          <cell r="E1318" t="str">
            <v>鄧聖偉</v>
          </cell>
          <cell r="F1318">
            <v>20170316</v>
          </cell>
          <cell r="G1318" t="str">
            <v>無保留意見</v>
          </cell>
        </row>
        <row r="1319">
          <cell r="A1319">
            <v>5475</v>
          </cell>
          <cell r="B1319" t="str">
            <v>德宏工業</v>
          </cell>
          <cell r="C1319" t="str">
            <v>資誠聯合會計師事務所</v>
          </cell>
          <cell r="D1319" t="str">
            <v>王輝賢</v>
          </cell>
          <cell r="E1319" t="str">
            <v>翁世榮</v>
          </cell>
          <cell r="F1319">
            <v>20170327</v>
          </cell>
          <cell r="G1319" t="str">
            <v>無保留意見</v>
          </cell>
        </row>
        <row r="1320">
          <cell r="A1320">
            <v>5478</v>
          </cell>
          <cell r="B1320" t="str">
            <v>智冠</v>
          </cell>
          <cell r="C1320" t="str">
            <v>勤業眾信聯合會計師事務所</v>
          </cell>
          <cell r="D1320" t="str">
            <v>吳秋燕</v>
          </cell>
          <cell r="E1320" t="str">
            <v>江佳玲</v>
          </cell>
          <cell r="F1320">
            <v>20170322</v>
          </cell>
          <cell r="G1320" t="str">
            <v>無保留意見</v>
          </cell>
        </row>
        <row r="1321">
          <cell r="A1321">
            <v>5480</v>
          </cell>
          <cell r="B1321" t="str">
            <v>統盟電子</v>
          </cell>
          <cell r="C1321" t="str">
            <v>安侯建業聯合會計師事務所</v>
          </cell>
          <cell r="D1321" t="str">
            <v>林琬琬</v>
          </cell>
          <cell r="E1321" t="str">
            <v>陳宜君</v>
          </cell>
          <cell r="F1321">
            <v>20170320</v>
          </cell>
          <cell r="G1321" t="str">
            <v>無保留意見</v>
          </cell>
        </row>
        <row r="1322">
          <cell r="A1322">
            <v>5481</v>
          </cell>
          <cell r="B1322" t="str">
            <v>華韡電子</v>
          </cell>
          <cell r="C1322" t="str">
            <v>卓群聯合會計師事務所</v>
          </cell>
          <cell r="D1322" t="str">
            <v>韋月桂</v>
          </cell>
          <cell r="E1322" t="str">
            <v>方冠智</v>
          </cell>
          <cell r="F1322">
            <v>20170227</v>
          </cell>
          <cell r="G1322" t="str">
            <v>無保留意見</v>
          </cell>
        </row>
        <row r="1323">
          <cell r="A1323">
            <v>5483</v>
          </cell>
          <cell r="B1323" t="str">
            <v>中美矽晶</v>
          </cell>
          <cell r="C1323" t="str">
            <v>安侯建業聯合會計師事務所</v>
          </cell>
          <cell r="D1323" t="str">
            <v>曾渼鈺</v>
          </cell>
          <cell r="E1323" t="str">
            <v>黃泳華</v>
          </cell>
          <cell r="F1323">
            <v>20170323</v>
          </cell>
          <cell r="G1323" t="str">
            <v>無保留意見</v>
          </cell>
        </row>
        <row r="1324">
          <cell r="A1324">
            <v>5487</v>
          </cell>
          <cell r="B1324" t="str">
            <v>通泰</v>
          </cell>
          <cell r="C1324" t="str">
            <v>臺經聯合會計師事務所</v>
          </cell>
          <cell r="D1324" t="str">
            <v>蔡秀麗</v>
          </cell>
          <cell r="E1324" t="str">
            <v>張銘哲</v>
          </cell>
          <cell r="F1324">
            <v>20170317</v>
          </cell>
          <cell r="G1324" t="str">
            <v>無保留意見</v>
          </cell>
        </row>
        <row r="1325">
          <cell r="A1325">
            <v>5488</v>
          </cell>
          <cell r="B1325" t="str">
            <v>松普科技</v>
          </cell>
          <cell r="C1325" t="str">
            <v>霈 昇 聯 合 會 計 師 事 務 所</v>
          </cell>
          <cell r="D1325" t="str">
            <v>林憲章</v>
          </cell>
          <cell r="E1325" t="str">
            <v>林育雅</v>
          </cell>
          <cell r="F1325">
            <v>20170329</v>
          </cell>
          <cell r="G1325" t="str">
            <v>無保留意見</v>
          </cell>
        </row>
        <row r="1326">
          <cell r="A1326">
            <v>5489</v>
          </cell>
          <cell r="B1326" t="str">
            <v>彩富電子</v>
          </cell>
          <cell r="C1326" t="str">
            <v>勤業眾信聯合會計師事務所</v>
          </cell>
          <cell r="D1326" t="str">
            <v>李振銘</v>
          </cell>
          <cell r="E1326" t="str">
            <v>劉建良</v>
          </cell>
          <cell r="F1326">
            <v>20170307</v>
          </cell>
          <cell r="G1326" t="str">
            <v>無保留意見</v>
          </cell>
        </row>
        <row r="1327">
          <cell r="A1327">
            <v>5490</v>
          </cell>
          <cell r="B1327" t="str">
            <v>同亨</v>
          </cell>
          <cell r="C1327" t="str">
            <v>安侯建業聯合會計師事務所</v>
          </cell>
          <cell r="D1327" t="str">
            <v>魏興海</v>
          </cell>
          <cell r="E1327" t="str">
            <v>黃海寧</v>
          </cell>
          <cell r="F1327">
            <v>20170316</v>
          </cell>
          <cell r="G1327" t="str">
            <v>無保留意見</v>
          </cell>
        </row>
        <row r="1328">
          <cell r="A1328">
            <v>5491</v>
          </cell>
          <cell r="B1328" t="str">
            <v>連展科技</v>
          </cell>
          <cell r="C1328" t="str">
            <v>資誠聯合會計師事務所</v>
          </cell>
          <cell r="D1328" t="str">
            <v>徐聖忠</v>
          </cell>
          <cell r="E1328" t="str">
            <v>吳漢期</v>
          </cell>
          <cell r="F1328">
            <v>20170324</v>
          </cell>
          <cell r="G1328" t="str">
            <v>無保留意見</v>
          </cell>
        </row>
        <row r="1329">
          <cell r="A1329">
            <v>5493</v>
          </cell>
          <cell r="B1329" t="str">
            <v>三聯科技</v>
          </cell>
          <cell r="C1329" t="str">
            <v>集智聯合會計師事務所</v>
          </cell>
          <cell r="D1329" t="str">
            <v>林書(人+予)會計師</v>
          </cell>
          <cell r="E1329" t="str">
            <v>張俊德會計師</v>
          </cell>
          <cell r="F1329">
            <v>20170324</v>
          </cell>
          <cell r="G1329" t="str">
            <v>無保留意見</v>
          </cell>
        </row>
        <row r="1330">
          <cell r="A1330">
            <v>5498</v>
          </cell>
          <cell r="B1330" t="str">
            <v>凱崴電子</v>
          </cell>
          <cell r="C1330" t="str">
            <v>勤業眾信聯合會計師事務所</v>
          </cell>
          <cell r="D1330" t="str">
            <v>鄭旭然</v>
          </cell>
          <cell r="E1330" t="str">
            <v>黃瑞展</v>
          </cell>
          <cell r="F1330">
            <v>20170308</v>
          </cell>
          <cell r="G1330" t="str">
            <v>無保留意見</v>
          </cell>
        </row>
        <row r="1331">
          <cell r="A1331">
            <v>5508</v>
          </cell>
          <cell r="B1331" t="str">
            <v>永信建設</v>
          </cell>
          <cell r="C1331" t="str">
            <v>勤業眾信聯合會計師事務所</v>
          </cell>
          <cell r="D1331" t="str">
            <v>郭麗園</v>
          </cell>
          <cell r="E1331" t="str">
            <v>劉裕祥</v>
          </cell>
          <cell r="F1331">
            <v>20170313</v>
          </cell>
          <cell r="G1331" t="str">
            <v>無保留意見</v>
          </cell>
        </row>
        <row r="1332">
          <cell r="A1332">
            <v>5511</v>
          </cell>
          <cell r="B1332" t="str">
            <v>德昌營造</v>
          </cell>
          <cell r="C1332" t="str">
            <v>冠恆聯合會計師事務所</v>
          </cell>
          <cell r="D1332" t="str">
            <v>張 進 德</v>
          </cell>
          <cell r="E1332" t="str">
            <v>李 玉 芝</v>
          </cell>
          <cell r="F1332">
            <v>20170324</v>
          </cell>
          <cell r="G1332" t="str">
            <v>無保留意見</v>
          </cell>
        </row>
        <row r="1333">
          <cell r="A1333">
            <v>5512</v>
          </cell>
          <cell r="B1333" t="str">
            <v>力麒</v>
          </cell>
          <cell r="C1333" t="str">
            <v>安侯建業聯合會計師事務所</v>
          </cell>
          <cell r="D1333" t="str">
            <v>張淑瑩</v>
          </cell>
          <cell r="E1333" t="str">
            <v>馬國柱</v>
          </cell>
          <cell r="F1333">
            <v>20170324</v>
          </cell>
          <cell r="G1333" t="str">
            <v>無保留意見</v>
          </cell>
        </row>
        <row r="1334">
          <cell r="A1334">
            <v>5514</v>
          </cell>
          <cell r="B1334" t="str">
            <v>三豐建設</v>
          </cell>
          <cell r="C1334" t="str">
            <v>安永聯合會計師事務所</v>
          </cell>
          <cell r="D1334" t="str">
            <v>林素雯</v>
          </cell>
          <cell r="E1334" t="str">
            <v>洪茂益</v>
          </cell>
          <cell r="F1334">
            <v>20170308</v>
          </cell>
          <cell r="G1334" t="str">
            <v>無保留意見</v>
          </cell>
        </row>
        <row r="1335">
          <cell r="A1335">
            <v>5516</v>
          </cell>
          <cell r="B1335" t="str">
            <v>雙喜營造</v>
          </cell>
          <cell r="C1335" t="str">
            <v>安 侯 建 業 聯 合 會 計 師 事 務 所</v>
          </cell>
          <cell r="D1335" t="str">
            <v>張淑塋</v>
          </cell>
          <cell r="E1335" t="str">
            <v>簡蒂暖</v>
          </cell>
          <cell r="F1335">
            <v>20170323</v>
          </cell>
          <cell r="G1335" t="str">
            <v>無保留意見</v>
          </cell>
        </row>
        <row r="1336">
          <cell r="A1336">
            <v>5520</v>
          </cell>
          <cell r="B1336" t="str">
            <v>力泰建設</v>
          </cell>
          <cell r="C1336" t="str">
            <v>霈昇聯合會計師事務所</v>
          </cell>
          <cell r="D1336" t="str">
            <v>吳瑞卿</v>
          </cell>
          <cell r="E1336" t="str">
            <v>林育雅</v>
          </cell>
          <cell r="F1336">
            <v>20170324</v>
          </cell>
          <cell r="G1336" t="str">
            <v>無保留意見</v>
          </cell>
        </row>
        <row r="1337">
          <cell r="A1337">
            <v>5523</v>
          </cell>
          <cell r="B1337" t="str">
            <v>豐謙</v>
          </cell>
          <cell r="C1337" t="str">
            <v>資誠聯合會計師事務所</v>
          </cell>
          <cell r="D1337" t="str">
            <v>王玉娟</v>
          </cell>
          <cell r="E1337" t="str">
            <v>楊明經</v>
          </cell>
          <cell r="F1337">
            <v>20170321</v>
          </cell>
          <cell r="G1337" t="str">
            <v>無保留意見</v>
          </cell>
        </row>
        <row r="1338">
          <cell r="A1338">
            <v>5529</v>
          </cell>
          <cell r="B1338" t="str">
            <v>志嘉建設</v>
          </cell>
          <cell r="C1338" t="str">
            <v>資誠聯合會計師事務所</v>
          </cell>
          <cell r="D1338" t="str">
            <v>王玉娟</v>
          </cell>
          <cell r="E1338" t="str">
            <v>楊明經</v>
          </cell>
          <cell r="F1338">
            <v>20170329</v>
          </cell>
          <cell r="G1338" t="str">
            <v>無保留意見</v>
          </cell>
        </row>
        <row r="1339">
          <cell r="A1339">
            <v>5530</v>
          </cell>
          <cell r="B1339" t="str">
            <v>龍巖</v>
          </cell>
          <cell r="C1339" t="str">
            <v>安侯建業聯合會計師事務所</v>
          </cell>
          <cell r="D1339" t="str">
            <v>曾國禓</v>
          </cell>
          <cell r="E1339" t="str">
            <v>賴麗真</v>
          </cell>
          <cell r="F1339">
            <v>20170329</v>
          </cell>
          <cell r="G1339" t="str">
            <v>無保留意見</v>
          </cell>
        </row>
        <row r="1340">
          <cell r="A1340">
            <v>5536</v>
          </cell>
          <cell r="B1340" t="str">
            <v>聖暉</v>
          </cell>
          <cell r="C1340" t="str">
            <v>安侯建業聯合會計師事務所</v>
          </cell>
          <cell r="D1340" t="str">
            <v>張字信</v>
          </cell>
          <cell r="E1340" t="str">
            <v>黃海寧</v>
          </cell>
          <cell r="F1340">
            <v>20170223</v>
          </cell>
          <cell r="G1340" t="str">
            <v>無保留意見</v>
          </cell>
        </row>
        <row r="1341">
          <cell r="A1341">
            <v>5543</v>
          </cell>
          <cell r="B1341" t="str">
            <v>崇佑-KY</v>
          </cell>
          <cell r="C1341" t="str">
            <v>資誠聯合會計師事務所</v>
          </cell>
          <cell r="D1341" t="str">
            <v>支秉鈞</v>
          </cell>
          <cell r="E1341" t="str">
            <v>曾惠瑾</v>
          </cell>
          <cell r="F1341">
            <v>20170324</v>
          </cell>
          <cell r="G1341" t="str">
            <v>無保留意見</v>
          </cell>
        </row>
        <row r="1342">
          <cell r="A1342">
            <v>5601</v>
          </cell>
          <cell r="B1342" t="str">
            <v>臺聯貨櫃</v>
          </cell>
          <cell r="C1342" t="str">
            <v>安永聯合會計師事務所</v>
          </cell>
          <cell r="D1342" t="str">
            <v>林麗凰</v>
          </cell>
          <cell r="E1342" t="str">
            <v>張志銘</v>
          </cell>
          <cell r="F1342">
            <v>20170315</v>
          </cell>
          <cell r="G1342" t="str">
            <v>無保留意見</v>
          </cell>
        </row>
        <row r="1343">
          <cell r="A1343">
            <v>5603</v>
          </cell>
          <cell r="B1343" t="str">
            <v>陸海</v>
          </cell>
          <cell r="C1343" t="str">
            <v>資誠聯合會計師事務所</v>
          </cell>
          <cell r="D1343" t="str">
            <v>王照明</v>
          </cell>
          <cell r="E1343" t="str">
            <v>翁世榮</v>
          </cell>
          <cell r="F1343">
            <v>20170327</v>
          </cell>
          <cell r="G1343" t="str">
            <v>無保留意見</v>
          </cell>
        </row>
        <row r="1344">
          <cell r="A1344">
            <v>5604</v>
          </cell>
          <cell r="B1344" t="str">
            <v>中連貨運</v>
          </cell>
          <cell r="C1344" t="str">
            <v>安侯建業聯合會計師事務所</v>
          </cell>
          <cell r="D1344" t="str">
            <v>郭士華</v>
          </cell>
          <cell r="E1344" t="str">
            <v>陳君滿</v>
          </cell>
          <cell r="F1344">
            <v>20170315</v>
          </cell>
          <cell r="G1344" t="str">
            <v>無保留意見</v>
          </cell>
        </row>
        <row r="1345">
          <cell r="A1345">
            <v>5609</v>
          </cell>
          <cell r="B1345" t="str">
            <v>中菲行</v>
          </cell>
          <cell r="C1345" t="str">
            <v>安 侯 建 業 聯 合 會 計 師 事 務 所</v>
          </cell>
          <cell r="D1345" t="str">
            <v>關春修</v>
          </cell>
          <cell r="E1345" t="str">
            <v>黃柏淑</v>
          </cell>
          <cell r="F1345">
            <v>20170316</v>
          </cell>
          <cell r="G1345" t="str">
            <v>無保留意見</v>
          </cell>
        </row>
        <row r="1346">
          <cell r="A1346">
            <v>5701</v>
          </cell>
          <cell r="B1346" t="str">
            <v>劍湖山</v>
          </cell>
          <cell r="C1346" t="str">
            <v>國富浩華聯合會計師事務所</v>
          </cell>
          <cell r="D1346" t="str">
            <v>李青霖</v>
          </cell>
          <cell r="E1346" t="str">
            <v>蔡淑滿</v>
          </cell>
          <cell r="F1346">
            <v>20170324</v>
          </cell>
          <cell r="G1346" t="str">
            <v>無保留意見</v>
          </cell>
        </row>
        <row r="1347">
          <cell r="A1347">
            <v>5703</v>
          </cell>
          <cell r="B1347" t="str">
            <v>亞都麗緻</v>
          </cell>
          <cell r="C1347" t="str">
            <v>國富浩華聯合會計師事務所</v>
          </cell>
          <cell r="D1347" t="str">
            <v>林美玲</v>
          </cell>
          <cell r="E1347" t="str">
            <v>楊淑卿</v>
          </cell>
          <cell r="F1347">
            <v>20170327</v>
          </cell>
          <cell r="G1347" t="str">
            <v>無保留意見</v>
          </cell>
        </row>
        <row r="1348">
          <cell r="A1348">
            <v>5704</v>
          </cell>
          <cell r="B1348" t="str">
            <v>知本老爺</v>
          </cell>
          <cell r="C1348" t="str">
            <v>資誠聯合會計師事務所</v>
          </cell>
          <cell r="D1348" t="str">
            <v>阮呂曼玉</v>
          </cell>
          <cell r="E1348" t="str">
            <v>吳漢期</v>
          </cell>
          <cell r="F1348">
            <v>20170322</v>
          </cell>
          <cell r="G1348" t="str">
            <v>無保留意見</v>
          </cell>
        </row>
        <row r="1349">
          <cell r="A1349">
            <v>5820</v>
          </cell>
          <cell r="B1349" t="str">
            <v>日盛金控</v>
          </cell>
          <cell r="C1349" t="str">
            <v>安侯建業聯合會計師事務所</v>
          </cell>
          <cell r="D1349" t="str">
            <v>陳俊光</v>
          </cell>
          <cell r="E1349" t="str">
            <v>李逢暉</v>
          </cell>
          <cell r="F1349">
            <v>20170324</v>
          </cell>
          <cell r="G1349" t="str">
            <v>無保留意見</v>
          </cell>
        </row>
        <row r="1350">
          <cell r="A1350">
            <v>5878</v>
          </cell>
          <cell r="B1350" t="str">
            <v>台名</v>
          </cell>
          <cell r="C1350" t="str">
            <v>勤業眾信聯合會計師事務所</v>
          </cell>
          <cell r="D1350" t="str">
            <v>楊承修</v>
          </cell>
          <cell r="E1350" t="str">
            <v>鄭旭然</v>
          </cell>
          <cell r="F1350">
            <v>20170223</v>
          </cell>
          <cell r="G1350" t="str">
            <v>無保留意見</v>
          </cell>
        </row>
        <row r="1351">
          <cell r="A1351">
            <v>5902</v>
          </cell>
          <cell r="B1351" t="str">
            <v>德記</v>
          </cell>
          <cell r="C1351" t="str">
            <v>資誠聯合會計師事務所</v>
          </cell>
          <cell r="D1351" t="str">
            <v>林姿妤</v>
          </cell>
          <cell r="E1351" t="str">
            <v>林永智</v>
          </cell>
          <cell r="F1351">
            <v>20170317</v>
          </cell>
          <cell r="G1351" t="str">
            <v>無保留意見</v>
          </cell>
        </row>
        <row r="1352">
          <cell r="A1352">
            <v>5903</v>
          </cell>
          <cell r="B1352" t="str">
            <v>全家便利</v>
          </cell>
          <cell r="C1352" t="str">
            <v>資誠聯合會計師事務所</v>
          </cell>
          <cell r="D1352" t="str">
            <v>李運鞭</v>
          </cell>
          <cell r="E1352" t="str">
            <v>張志安</v>
          </cell>
          <cell r="F1352">
            <v>20170327</v>
          </cell>
          <cell r="G1352" t="str">
            <v>無保留意見</v>
          </cell>
        </row>
        <row r="1353">
          <cell r="A1353">
            <v>5904</v>
          </cell>
          <cell r="B1353" t="str">
            <v>寶雅</v>
          </cell>
          <cell r="C1353" t="str">
            <v>資誠聯合會計師事務所</v>
          </cell>
          <cell r="D1353" t="str">
            <v>李明憲</v>
          </cell>
          <cell r="E1353" t="str">
            <v>劉子猛</v>
          </cell>
          <cell r="F1353">
            <v>20170220</v>
          </cell>
          <cell r="G1353" t="str">
            <v>無保留意見</v>
          </cell>
        </row>
        <row r="1354">
          <cell r="A1354">
            <v>5905</v>
          </cell>
          <cell r="B1354" t="str">
            <v>南仁湖</v>
          </cell>
          <cell r="C1354" t="str">
            <v>資誠聯合會計師事務所</v>
          </cell>
          <cell r="D1354" t="str">
            <v>吳建志</v>
          </cell>
          <cell r="E1354" t="str">
            <v>林億彰</v>
          </cell>
          <cell r="F1354">
            <v>20170324</v>
          </cell>
          <cell r="G1354" t="str">
            <v>無保留意見</v>
          </cell>
        </row>
        <row r="1355">
          <cell r="A1355">
            <v>6015</v>
          </cell>
          <cell r="B1355" t="str">
            <v>宏遠證券</v>
          </cell>
          <cell r="C1355" t="str">
            <v>安永聯合會計師事務所</v>
          </cell>
          <cell r="D1355" t="str">
            <v>張 正 道</v>
          </cell>
          <cell r="E1355" t="str">
            <v>傅 文 芳</v>
          </cell>
          <cell r="F1355">
            <v>20170223</v>
          </cell>
          <cell r="G1355" t="str">
            <v>無保留意見</v>
          </cell>
        </row>
        <row r="1356">
          <cell r="A1356">
            <v>6015</v>
          </cell>
          <cell r="B1356" t="str">
            <v>宏遠證券</v>
          </cell>
          <cell r="C1356" t="str">
            <v>安永聯合會計師事務所</v>
          </cell>
          <cell r="D1356" t="str">
            <v>張正道</v>
          </cell>
          <cell r="E1356" t="str">
            <v>傅文芳</v>
          </cell>
          <cell r="F1356">
            <v>20170223</v>
          </cell>
          <cell r="G1356" t="str">
            <v>無保留意見</v>
          </cell>
        </row>
        <row r="1357">
          <cell r="A1357">
            <v>6016</v>
          </cell>
          <cell r="B1357" t="str">
            <v>康和證券</v>
          </cell>
          <cell r="C1357" t="str">
            <v>勤業眾信聯合會計師事務所</v>
          </cell>
          <cell r="D1357" t="str">
            <v>陳俊宏</v>
          </cell>
          <cell r="E1357" t="str">
            <v>郭政弘</v>
          </cell>
          <cell r="F1357">
            <v>20170327</v>
          </cell>
          <cell r="G1357" t="str">
            <v>無保留意見</v>
          </cell>
        </row>
        <row r="1358">
          <cell r="A1358">
            <v>6016</v>
          </cell>
          <cell r="B1358" t="str">
            <v>康和證券</v>
          </cell>
          <cell r="C1358" t="str">
            <v>勤業眾信聯合會計師事務所</v>
          </cell>
          <cell r="D1358" t="str">
            <v>陳俊宏</v>
          </cell>
          <cell r="E1358" t="str">
            <v>郭政弘</v>
          </cell>
          <cell r="F1358">
            <v>20170327</v>
          </cell>
          <cell r="G1358" t="str">
            <v>無保留意見</v>
          </cell>
        </row>
        <row r="1359">
          <cell r="A1359">
            <v>6020</v>
          </cell>
          <cell r="B1359" t="str">
            <v>大展證</v>
          </cell>
          <cell r="C1359" t="str">
            <v>安永聯合會計師事務所</v>
          </cell>
          <cell r="D1359" t="str">
            <v>張正道</v>
          </cell>
          <cell r="E1359" t="str">
            <v>徐榮煌</v>
          </cell>
          <cell r="F1359">
            <v>20170322</v>
          </cell>
          <cell r="G1359" t="str">
            <v>無保留意見</v>
          </cell>
        </row>
        <row r="1360">
          <cell r="A1360">
            <v>6020</v>
          </cell>
          <cell r="B1360" t="str">
            <v>大展證</v>
          </cell>
          <cell r="C1360" t="str">
            <v>安永聯合會計師事務所</v>
          </cell>
          <cell r="D1360" t="str">
            <v>張正道</v>
          </cell>
          <cell r="E1360" t="str">
            <v>徐榮煌</v>
          </cell>
          <cell r="F1360">
            <v>20170322</v>
          </cell>
          <cell r="G1360" t="str">
            <v>無保留意見</v>
          </cell>
        </row>
        <row r="1361">
          <cell r="A1361">
            <v>6021</v>
          </cell>
          <cell r="B1361" t="str">
            <v>大慶證</v>
          </cell>
          <cell r="C1361" t="str">
            <v>霈昇聯合會計師事務所</v>
          </cell>
          <cell r="D1361" t="str">
            <v>林憲章</v>
          </cell>
          <cell r="E1361" t="str">
            <v>林育雅</v>
          </cell>
          <cell r="F1361">
            <v>20170323</v>
          </cell>
          <cell r="G1361" t="str">
            <v>無保留意見</v>
          </cell>
        </row>
        <row r="1362">
          <cell r="A1362">
            <v>6021</v>
          </cell>
          <cell r="B1362" t="str">
            <v>大慶證</v>
          </cell>
          <cell r="C1362" t="str">
            <v>霈 昇 聯 合 會 計 師 事 務 所</v>
          </cell>
          <cell r="D1362" t="str">
            <v>林憲章</v>
          </cell>
          <cell r="E1362" t="str">
            <v>林育雅</v>
          </cell>
          <cell r="F1362">
            <v>20170323</v>
          </cell>
          <cell r="G1362" t="str">
            <v>無保留意見</v>
          </cell>
        </row>
        <row r="1363">
          <cell r="A1363">
            <v>6022</v>
          </cell>
          <cell r="B1363" t="str">
            <v>大眾證券</v>
          </cell>
          <cell r="C1363" t="str">
            <v>勤業眾信聯合會計師事務所</v>
          </cell>
          <cell r="D1363" t="str">
            <v>龔俊吉</v>
          </cell>
          <cell r="E1363" t="str">
            <v>許瑞軒</v>
          </cell>
          <cell r="F1363">
            <v>20170221</v>
          </cell>
          <cell r="G1363" t="str">
            <v>無保留意見</v>
          </cell>
        </row>
        <row r="1364">
          <cell r="A1364">
            <v>6022</v>
          </cell>
          <cell r="B1364" t="str">
            <v>大眾證券</v>
          </cell>
          <cell r="C1364" t="str">
            <v>勤業眾信聯合會計師事務所</v>
          </cell>
          <cell r="D1364" t="str">
            <v>龔俊吉</v>
          </cell>
          <cell r="E1364" t="str">
            <v>許瑞軒</v>
          </cell>
          <cell r="F1364">
            <v>20170221</v>
          </cell>
          <cell r="G1364" t="str">
            <v>無保留意見</v>
          </cell>
        </row>
        <row r="1365">
          <cell r="A1365">
            <v>6023</v>
          </cell>
          <cell r="B1365" t="str">
            <v>元大期貨</v>
          </cell>
          <cell r="C1365" t="str">
            <v>資誠聯合會計師事務所</v>
          </cell>
          <cell r="D1365" t="str">
            <v>林瑟凱</v>
          </cell>
          <cell r="E1365" t="str">
            <v>李秀玲</v>
          </cell>
          <cell r="F1365">
            <v>20170323</v>
          </cell>
          <cell r="G1365" t="str">
            <v>無保留意見</v>
          </cell>
        </row>
        <row r="1366">
          <cell r="A1366">
            <v>6023</v>
          </cell>
          <cell r="B1366" t="str">
            <v>元大期貨</v>
          </cell>
          <cell r="C1366" t="str">
            <v>資誠聯合會計師事務所</v>
          </cell>
          <cell r="D1366" t="str">
            <v>林瑟凱</v>
          </cell>
          <cell r="E1366" t="str">
            <v>李秀玲</v>
          </cell>
          <cell r="F1366">
            <v>20170323</v>
          </cell>
          <cell r="G1366" t="str">
            <v>無保留意見</v>
          </cell>
        </row>
        <row r="1367">
          <cell r="A1367">
            <v>6024</v>
          </cell>
          <cell r="B1367" t="str">
            <v>群益期</v>
          </cell>
          <cell r="C1367" t="str">
            <v>安侯建業聯合會計師事務所</v>
          </cell>
          <cell r="D1367" t="str">
            <v>李逢暉</v>
          </cell>
          <cell r="E1367" t="str">
            <v>鍾丹丹</v>
          </cell>
          <cell r="F1367">
            <v>20170327</v>
          </cell>
          <cell r="G1367" t="str">
            <v>無保留意見</v>
          </cell>
        </row>
        <row r="1368">
          <cell r="A1368">
            <v>6024</v>
          </cell>
          <cell r="B1368" t="str">
            <v>群益期</v>
          </cell>
          <cell r="C1368" t="str">
            <v>安侯建業聯合會計師事務所</v>
          </cell>
          <cell r="D1368" t="str">
            <v>李逢暉</v>
          </cell>
          <cell r="E1368" t="str">
            <v>鍾丹丹</v>
          </cell>
          <cell r="F1368">
            <v>20170327</v>
          </cell>
          <cell r="G1368" t="str">
            <v>無保留意見</v>
          </cell>
        </row>
        <row r="1369">
          <cell r="A1369">
            <v>6026</v>
          </cell>
          <cell r="B1369" t="str">
            <v>福邦證券</v>
          </cell>
          <cell r="C1369" t="str">
            <v>勤業眾信聯合會計師事務所</v>
          </cell>
          <cell r="D1369" t="str">
            <v>廖婉怡</v>
          </cell>
          <cell r="E1369" t="str">
            <v>謝建新</v>
          </cell>
          <cell r="F1369">
            <v>20170216</v>
          </cell>
          <cell r="G1369" t="str">
            <v>無保留意見</v>
          </cell>
        </row>
        <row r="1370">
          <cell r="A1370">
            <v>6026</v>
          </cell>
          <cell r="B1370" t="str">
            <v>福邦證券</v>
          </cell>
          <cell r="C1370" t="str">
            <v>勤業眾信聯合會計師事務所</v>
          </cell>
          <cell r="D1370" t="str">
            <v>廖婉怡</v>
          </cell>
          <cell r="E1370" t="str">
            <v>謝建新</v>
          </cell>
          <cell r="F1370">
            <v>20170216</v>
          </cell>
          <cell r="G1370" t="str">
            <v>無保留意見</v>
          </cell>
        </row>
        <row r="1371">
          <cell r="A1371">
            <v>6101</v>
          </cell>
          <cell r="B1371" t="str">
            <v>弘捷</v>
          </cell>
          <cell r="C1371" t="str">
            <v>資誠聯合會計師事務所</v>
          </cell>
          <cell r="D1371" t="str">
            <v>支秉鈞</v>
          </cell>
          <cell r="E1371" t="str">
            <v>王國華</v>
          </cell>
          <cell r="F1371">
            <v>20170330</v>
          </cell>
          <cell r="G1371" t="str">
            <v>無保留意見</v>
          </cell>
        </row>
        <row r="1372">
          <cell r="A1372">
            <v>6103</v>
          </cell>
          <cell r="B1372" t="str">
            <v>合邦電子</v>
          </cell>
          <cell r="C1372" t="str">
            <v>中山聯合會計師事務所</v>
          </cell>
          <cell r="D1372" t="str">
            <v>黃精培</v>
          </cell>
          <cell r="E1372" t="str">
            <v>莊鎮嶽</v>
          </cell>
          <cell r="F1372">
            <v>20160302</v>
          </cell>
          <cell r="G1372" t="str">
            <v>無保留意見</v>
          </cell>
        </row>
        <row r="1373">
          <cell r="A1373">
            <v>6104</v>
          </cell>
          <cell r="B1373" t="str">
            <v>創惟科技</v>
          </cell>
          <cell r="C1373" t="str">
            <v>安侯建業聯合會計師事務所</v>
          </cell>
          <cell r="D1373" t="str">
            <v>陳振乾</v>
          </cell>
          <cell r="E1373" t="str">
            <v>黃泳華</v>
          </cell>
          <cell r="F1373">
            <v>20170324</v>
          </cell>
          <cell r="G1373" t="str">
            <v>無保留意見</v>
          </cell>
        </row>
        <row r="1374">
          <cell r="A1374">
            <v>6105</v>
          </cell>
          <cell r="B1374" t="str">
            <v>瑞傳科技</v>
          </cell>
          <cell r="C1374" t="str">
            <v>安侯建業聯合會計師事務所</v>
          </cell>
          <cell r="D1374" t="str">
            <v>寇惠植</v>
          </cell>
          <cell r="E1374" t="str">
            <v>郭欣頤</v>
          </cell>
          <cell r="F1374">
            <v>20170321</v>
          </cell>
          <cell r="G1374" t="str">
            <v>無保留意見</v>
          </cell>
        </row>
        <row r="1375">
          <cell r="A1375">
            <v>6107</v>
          </cell>
          <cell r="B1375" t="str">
            <v>華美電子</v>
          </cell>
          <cell r="C1375" t="str">
            <v>勤業眾信聯合會計師事務所</v>
          </cell>
          <cell r="D1375" t="str">
            <v>郭文吉</v>
          </cell>
          <cell r="E1375" t="str">
            <v>劉建良</v>
          </cell>
          <cell r="F1375">
            <v>20170331</v>
          </cell>
          <cell r="G1375" t="str">
            <v>無保留意見</v>
          </cell>
        </row>
        <row r="1376">
          <cell r="A1376">
            <v>6109</v>
          </cell>
          <cell r="B1376" t="str">
            <v>亞元科技</v>
          </cell>
          <cell r="C1376" t="str">
            <v>大中國際聯合會計師事務所</v>
          </cell>
          <cell r="D1376" t="str">
            <v>李聰明</v>
          </cell>
          <cell r="E1376" t="str">
            <v>施文婉</v>
          </cell>
          <cell r="F1376">
            <v>20170323</v>
          </cell>
          <cell r="G1376" t="str">
            <v>無保留意見</v>
          </cell>
        </row>
        <row r="1377">
          <cell r="A1377">
            <v>6111</v>
          </cell>
          <cell r="B1377" t="str">
            <v>大宇資訊</v>
          </cell>
          <cell r="C1377" t="str">
            <v>資誠聯合會計師事務所</v>
          </cell>
          <cell r="D1377" t="str">
            <v>杜佩玲</v>
          </cell>
          <cell r="E1377" t="str">
            <v>王輝賢</v>
          </cell>
          <cell r="F1377">
            <v>20170328</v>
          </cell>
          <cell r="G1377" t="str">
            <v>無保留意見</v>
          </cell>
        </row>
        <row r="1378">
          <cell r="A1378">
            <v>6113</v>
          </cell>
          <cell r="B1378" t="str">
            <v>亞矽科技</v>
          </cell>
          <cell r="C1378" t="str">
            <v>安侯建業聯合會計師事務所</v>
          </cell>
          <cell r="D1378" t="str">
            <v>陳振乾</v>
          </cell>
          <cell r="E1378" t="str">
            <v>黃泳華</v>
          </cell>
          <cell r="F1378">
            <v>20170328</v>
          </cell>
          <cell r="G1378" t="str">
            <v>無保留意見</v>
          </cell>
        </row>
        <row r="1379">
          <cell r="A1379">
            <v>6114</v>
          </cell>
          <cell r="B1379" t="str">
            <v>久威國際</v>
          </cell>
          <cell r="C1379" t="str">
            <v>資誠聯合會計師事務所</v>
          </cell>
          <cell r="D1379" t="str">
            <v>王照明</v>
          </cell>
          <cell r="E1379" t="str">
            <v>翁世榮</v>
          </cell>
          <cell r="F1379">
            <v>20170324</v>
          </cell>
          <cell r="G1379" t="str">
            <v>無保留意見</v>
          </cell>
        </row>
        <row r="1380">
          <cell r="A1380">
            <v>6118</v>
          </cell>
          <cell r="B1380" t="str">
            <v>建達國際</v>
          </cell>
          <cell r="C1380" t="str">
            <v>勤業眾信聯合會計師事務所</v>
          </cell>
          <cell r="D1380" t="str">
            <v>鄭淂蓁</v>
          </cell>
          <cell r="E1380" t="str">
            <v>劉書琳</v>
          </cell>
          <cell r="F1380">
            <v>20170327</v>
          </cell>
          <cell r="G1380" t="str">
            <v>無保留意見</v>
          </cell>
        </row>
        <row r="1381">
          <cell r="A1381">
            <v>6121</v>
          </cell>
          <cell r="B1381" t="str">
            <v>新普</v>
          </cell>
          <cell r="C1381" t="str">
            <v>勤業眾信聯合會計師事務所</v>
          </cell>
          <cell r="D1381" t="str">
            <v>陳錦章</v>
          </cell>
          <cell r="E1381" t="str">
            <v>蔡美貞</v>
          </cell>
          <cell r="F1381">
            <v>20170329</v>
          </cell>
          <cell r="G1381" t="str">
            <v>無保留意見</v>
          </cell>
        </row>
        <row r="1382">
          <cell r="A1382">
            <v>6122</v>
          </cell>
          <cell r="B1382" t="str">
            <v>擎邦國際</v>
          </cell>
          <cell r="C1382" t="str">
            <v>安侯建業聯合會計師事務所</v>
          </cell>
          <cell r="D1382" t="str">
            <v>陳雅琳</v>
          </cell>
          <cell r="E1382" t="str">
            <v>黃柏淑</v>
          </cell>
          <cell r="F1382">
            <v>20170321</v>
          </cell>
          <cell r="G1382" t="str">
            <v>無保留意見</v>
          </cell>
        </row>
        <row r="1383">
          <cell r="A1383">
            <v>6123</v>
          </cell>
          <cell r="B1383" t="str">
            <v>上奇科技</v>
          </cell>
          <cell r="C1383" t="str">
            <v>資誠聯合會計師事務所</v>
          </cell>
          <cell r="D1383" t="str">
            <v>阮呂曼玉</v>
          </cell>
          <cell r="E1383" t="str">
            <v>吳漢期</v>
          </cell>
          <cell r="F1383">
            <v>20170314</v>
          </cell>
          <cell r="G1383" t="str">
            <v>無保留意見</v>
          </cell>
        </row>
        <row r="1384">
          <cell r="A1384">
            <v>6124</v>
          </cell>
          <cell r="B1384" t="str">
            <v>業強科技</v>
          </cell>
          <cell r="C1384" t="str">
            <v>安侯建業聯合會計師事務所</v>
          </cell>
          <cell r="D1384" t="str">
            <v>黃海寧</v>
          </cell>
          <cell r="E1384" t="str">
            <v>呂倩慧</v>
          </cell>
          <cell r="F1384">
            <v>20170323</v>
          </cell>
          <cell r="G1384" t="str">
            <v>無保留意見</v>
          </cell>
        </row>
        <row r="1385">
          <cell r="A1385">
            <v>6125</v>
          </cell>
          <cell r="B1385" t="str">
            <v>廣運</v>
          </cell>
          <cell r="C1385" t="str">
            <v>勤業眾信聯合會計師事務所</v>
          </cell>
          <cell r="D1385" t="str">
            <v>陳慧銘</v>
          </cell>
          <cell r="E1385" t="str">
            <v>謝明忠</v>
          </cell>
          <cell r="F1385">
            <v>20170329</v>
          </cell>
          <cell r="G1385" t="str">
            <v>無保留意見</v>
          </cell>
        </row>
        <row r="1386">
          <cell r="A1386">
            <v>6126</v>
          </cell>
          <cell r="B1386" t="str">
            <v>信音企業</v>
          </cell>
          <cell r="C1386" t="str">
            <v>安永聯合會計師事務所</v>
          </cell>
          <cell r="D1386" t="str">
            <v>鄭清標</v>
          </cell>
          <cell r="E1386" t="str">
            <v>郭紹彬</v>
          </cell>
          <cell r="F1386">
            <v>20170314</v>
          </cell>
          <cell r="G1386" t="str">
            <v>無保留意見</v>
          </cell>
        </row>
        <row r="1387">
          <cell r="A1387">
            <v>6127</v>
          </cell>
          <cell r="B1387" t="str">
            <v>九豪精密</v>
          </cell>
          <cell r="C1387" t="str">
            <v>勤業眾信聯合會計師事務所</v>
          </cell>
          <cell r="D1387" t="str">
            <v>王錦燕</v>
          </cell>
          <cell r="E1387" t="str">
            <v>鄭淂蓁</v>
          </cell>
          <cell r="F1387">
            <v>20170328</v>
          </cell>
          <cell r="G1387" t="str">
            <v>無保留意見</v>
          </cell>
        </row>
        <row r="1388">
          <cell r="A1388">
            <v>6129</v>
          </cell>
          <cell r="B1388" t="str">
            <v>普誠科技</v>
          </cell>
          <cell r="C1388" t="str">
            <v>國富浩華聯合會計師事務所</v>
          </cell>
          <cell r="D1388" t="str">
            <v>林松樹</v>
          </cell>
          <cell r="E1388" t="str">
            <v>吳孟達</v>
          </cell>
          <cell r="F1388">
            <v>20170223</v>
          </cell>
          <cell r="G1388" t="str">
            <v>無保留意見</v>
          </cell>
        </row>
        <row r="1389">
          <cell r="A1389">
            <v>6130</v>
          </cell>
          <cell r="B1389" t="str">
            <v>星寶國際</v>
          </cell>
          <cell r="C1389" t="str">
            <v>德 昌 聯 合 會 計 師 事 務 所</v>
          </cell>
          <cell r="D1389" t="str">
            <v>陳裕勳</v>
          </cell>
          <cell r="E1389" t="str">
            <v>李定益</v>
          </cell>
          <cell r="F1389">
            <v>20170323</v>
          </cell>
          <cell r="G1389" t="str">
            <v>無保留意見</v>
          </cell>
        </row>
        <row r="1390">
          <cell r="A1390">
            <v>6134</v>
          </cell>
          <cell r="B1390" t="str">
            <v>萬旭電業</v>
          </cell>
          <cell r="C1390" t="str">
            <v>資誠聯合會計師事務所</v>
          </cell>
          <cell r="D1390" t="str">
            <v>張淑瓊</v>
          </cell>
          <cell r="E1390" t="str">
            <v>王輝賢</v>
          </cell>
          <cell r="F1390">
            <v>20170323</v>
          </cell>
          <cell r="G1390" t="str">
            <v>無保留意見</v>
          </cell>
        </row>
        <row r="1391">
          <cell r="A1391">
            <v>6138</v>
          </cell>
          <cell r="B1391" t="str">
            <v>茂達電子</v>
          </cell>
          <cell r="C1391" t="str">
            <v>資誠聯合會計師事務所</v>
          </cell>
          <cell r="D1391" t="str">
            <v>鄭雅慧</v>
          </cell>
          <cell r="E1391" t="str">
            <v>溫芳郁</v>
          </cell>
          <cell r="F1391">
            <v>20170321</v>
          </cell>
          <cell r="G1391" t="str">
            <v>無保留意見</v>
          </cell>
        </row>
        <row r="1392">
          <cell r="A1392">
            <v>6140</v>
          </cell>
          <cell r="B1392" t="str">
            <v>訊達電腦</v>
          </cell>
          <cell r="C1392" t="str">
            <v>勤業眾信聯合會計師事務所</v>
          </cell>
          <cell r="D1392" t="str">
            <v>林宜慧</v>
          </cell>
          <cell r="E1392" t="str">
            <v>蘇郁琇</v>
          </cell>
          <cell r="F1392">
            <v>20170327</v>
          </cell>
          <cell r="G1392" t="str">
            <v>無保留意見</v>
          </cell>
        </row>
        <row r="1393">
          <cell r="A1393">
            <v>6143</v>
          </cell>
          <cell r="B1393" t="str">
            <v>振曜科技</v>
          </cell>
          <cell r="C1393" t="str">
            <v>安侯建業聯合會計師事務所</v>
          </cell>
          <cell r="D1393" t="str">
            <v>魏興海</v>
          </cell>
          <cell r="E1393" t="str">
            <v>黃海寧</v>
          </cell>
          <cell r="F1393">
            <v>20170324</v>
          </cell>
          <cell r="G1393" t="str">
            <v>無保留意見</v>
          </cell>
        </row>
        <row r="1394">
          <cell r="A1394">
            <v>6144</v>
          </cell>
          <cell r="B1394" t="str">
            <v>得利影視</v>
          </cell>
          <cell r="C1394" t="str">
            <v>資誠聯合會計師事務所</v>
          </cell>
          <cell r="D1394" t="str">
            <v>張淑瓊</v>
          </cell>
          <cell r="E1394" t="str">
            <v>林鈞堯</v>
          </cell>
          <cell r="F1394">
            <v>20170320</v>
          </cell>
          <cell r="G1394" t="str">
            <v>無保留意見</v>
          </cell>
        </row>
        <row r="1395">
          <cell r="A1395">
            <v>6146</v>
          </cell>
          <cell r="B1395" t="str">
            <v>耕興</v>
          </cell>
          <cell r="C1395" t="str">
            <v>勤業眾信聯合會計師事務所</v>
          </cell>
          <cell r="D1395" t="str">
            <v>余鴻賓</v>
          </cell>
          <cell r="E1395" t="str">
            <v>邱明玉</v>
          </cell>
          <cell r="F1395">
            <v>20170222</v>
          </cell>
          <cell r="G1395" t="str">
            <v>無保留意見</v>
          </cell>
        </row>
        <row r="1396">
          <cell r="A1396">
            <v>6147</v>
          </cell>
          <cell r="B1396" t="str">
            <v>頎邦科技</v>
          </cell>
          <cell r="C1396" t="str">
            <v>資誠聯合會計師事務所</v>
          </cell>
          <cell r="D1396" t="str">
            <v>溫芳郁</v>
          </cell>
          <cell r="E1396" t="str">
            <v>王國華</v>
          </cell>
          <cell r="F1396">
            <v>20170224</v>
          </cell>
          <cell r="G1396" t="str">
            <v>無保留意見</v>
          </cell>
        </row>
        <row r="1397">
          <cell r="A1397">
            <v>6148</v>
          </cell>
          <cell r="B1397" t="str">
            <v>驊宏資</v>
          </cell>
          <cell r="C1397" t="str">
            <v>勤業眾信聯合會計師事務所</v>
          </cell>
          <cell r="D1397" t="str">
            <v>姚勝雄</v>
          </cell>
          <cell r="E1397" t="str">
            <v>張瑞娜</v>
          </cell>
          <cell r="F1397">
            <v>20170324</v>
          </cell>
          <cell r="G1397" t="str">
            <v>無保留意見</v>
          </cell>
        </row>
        <row r="1398">
          <cell r="A1398">
            <v>6150</v>
          </cell>
          <cell r="B1398" t="str">
            <v>撼訊科技</v>
          </cell>
          <cell r="C1398" t="str">
            <v>勤業眾信聯合會計師事務所</v>
          </cell>
          <cell r="D1398" t="str">
            <v>鄭欽宗</v>
          </cell>
          <cell r="E1398" t="str">
            <v>趙永祥</v>
          </cell>
          <cell r="F1398">
            <v>20170323</v>
          </cell>
          <cell r="G1398" t="str">
            <v>無保留意見</v>
          </cell>
        </row>
        <row r="1399">
          <cell r="A1399">
            <v>6151</v>
          </cell>
          <cell r="B1399" t="str">
            <v>晉倫科技</v>
          </cell>
          <cell r="C1399" t="str">
            <v>正風聯合會計師事務所</v>
          </cell>
          <cell r="D1399" t="str">
            <v>鄭憲修</v>
          </cell>
          <cell r="E1399" t="str">
            <v>曾國富</v>
          </cell>
          <cell r="F1399">
            <v>20170317</v>
          </cell>
          <cell r="G1399" t="str">
            <v>無保留意見</v>
          </cell>
        </row>
        <row r="1400">
          <cell r="A1400">
            <v>6154</v>
          </cell>
          <cell r="B1400" t="str">
            <v>順發</v>
          </cell>
          <cell r="C1400" t="str">
            <v>勤業眾信聯合會計師事務所</v>
          </cell>
          <cell r="D1400" t="str">
            <v>江佳玲</v>
          </cell>
          <cell r="E1400" t="str">
            <v>龔俊吉</v>
          </cell>
          <cell r="F1400">
            <v>20170317</v>
          </cell>
          <cell r="G1400" t="str">
            <v>無保留意見</v>
          </cell>
        </row>
        <row r="1401">
          <cell r="A1401">
            <v>6156</v>
          </cell>
          <cell r="B1401" t="str">
            <v>松上電子</v>
          </cell>
          <cell r="C1401" t="str">
            <v>安永聯合會計師事務所</v>
          </cell>
          <cell r="D1401" t="str">
            <v>洪茂益</v>
          </cell>
          <cell r="E1401" t="str">
            <v>張志銘</v>
          </cell>
          <cell r="F1401">
            <v>20170313</v>
          </cell>
          <cell r="G1401" t="str">
            <v>無保留意見</v>
          </cell>
        </row>
        <row r="1402">
          <cell r="A1402">
            <v>6158</v>
          </cell>
          <cell r="B1402" t="str">
            <v>禾昌</v>
          </cell>
          <cell r="C1402" t="str">
            <v>勤業眾信聯合會計師事務所</v>
          </cell>
          <cell r="D1402" t="str">
            <v>劉建良</v>
          </cell>
          <cell r="E1402" t="str">
            <v>王儀雯</v>
          </cell>
          <cell r="F1402">
            <v>20170321</v>
          </cell>
          <cell r="G1402" t="str">
            <v>無保留意見</v>
          </cell>
        </row>
        <row r="1403">
          <cell r="A1403">
            <v>6160</v>
          </cell>
          <cell r="B1403" t="str">
            <v>欣技資訊</v>
          </cell>
          <cell r="C1403" t="str">
            <v>勤業眾信聯合會計師事務所</v>
          </cell>
          <cell r="D1403" t="str">
            <v>虞成全</v>
          </cell>
          <cell r="E1403" t="str">
            <v>陳重成</v>
          </cell>
          <cell r="F1403">
            <v>20170329</v>
          </cell>
          <cell r="G1403" t="str">
            <v>無保留意見</v>
          </cell>
        </row>
        <row r="1404">
          <cell r="A1404">
            <v>6161</v>
          </cell>
          <cell r="B1404" t="str">
            <v>捷波</v>
          </cell>
          <cell r="C1404" t="str">
            <v>資誠聯合會計師事務所</v>
          </cell>
          <cell r="D1404" t="str">
            <v>馮敏娟</v>
          </cell>
          <cell r="E1404" t="str">
            <v>鄧聖偉</v>
          </cell>
          <cell r="F1404">
            <v>20170327</v>
          </cell>
          <cell r="G1404" t="str">
            <v>無保留意見</v>
          </cell>
        </row>
        <row r="1405">
          <cell r="A1405">
            <v>6163</v>
          </cell>
          <cell r="B1405" t="str">
            <v>華電網</v>
          </cell>
          <cell r="C1405" t="str">
            <v>立本台灣聯合會計師事務所</v>
          </cell>
          <cell r="D1405" t="str">
            <v>張書成</v>
          </cell>
          <cell r="E1405" t="str">
            <v>劉克宜</v>
          </cell>
          <cell r="F1405">
            <v>20170321</v>
          </cell>
          <cell r="G1405" t="str">
            <v>無保留意見</v>
          </cell>
        </row>
        <row r="1406">
          <cell r="A1406">
            <v>6167</v>
          </cell>
          <cell r="B1406" t="str">
            <v>久正光電</v>
          </cell>
          <cell r="C1406" t="str">
            <v>安 侯 建 業 聯 合 會 計 師 事 務 所</v>
          </cell>
          <cell r="D1406" t="str">
            <v>王怡文</v>
          </cell>
          <cell r="E1406" t="str">
            <v>羅瑞蘭</v>
          </cell>
          <cell r="F1406">
            <v>20170327</v>
          </cell>
          <cell r="G1406" t="str">
            <v>無保留意見</v>
          </cell>
        </row>
        <row r="1407">
          <cell r="A1407">
            <v>6169</v>
          </cell>
          <cell r="B1407" t="str">
            <v>昱泉國際</v>
          </cell>
          <cell r="C1407" t="str">
            <v>勤業眾信聯合會計師事務所</v>
          </cell>
          <cell r="D1407" t="str">
            <v>鄭欽宗</v>
          </cell>
          <cell r="E1407" t="str">
            <v>邱盟捷</v>
          </cell>
          <cell r="F1407">
            <v>20170323</v>
          </cell>
          <cell r="G1407" t="str">
            <v>無保留意見</v>
          </cell>
        </row>
        <row r="1408">
          <cell r="A1408">
            <v>6170</v>
          </cell>
          <cell r="B1408" t="str">
            <v>統振</v>
          </cell>
          <cell r="C1408" t="str">
            <v>勤業眾信聯合會計師事務所</v>
          </cell>
          <cell r="D1408" t="str">
            <v>施錦川</v>
          </cell>
          <cell r="E1408" t="str">
            <v>王錦燕</v>
          </cell>
          <cell r="F1408">
            <v>20170323</v>
          </cell>
          <cell r="G1408" t="str">
            <v>無保留意見</v>
          </cell>
        </row>
        <row r="1409">
          <cell r="A1409">
            <v>6171</v>
          </cell>
          <cell r="B1409" t="str">
            <v>亞銳士</v>
          </cell>
          <cell r="C1409" t="str">
            <v>建智聯合會計師事務所</v>
          </cell>
          <cell r="D1409" t="str">
            <v>黃祥穎</v>
          </cell>
          <cell r="E1409" t="str">
            <v>曹永仁</v>
          </cell>
          <cell r="F1409">
            <v>20170323</v>
          </cell>
          <cell r="G1409" t="str">
            <v>無保留意見</v>
          </cell>
        </row>
        <row r="1410">
          <cell r="A1410">
            <v>6173</v>
          </cell>
          <cell r="B1410" t="str">
            <v>信昌電陶</v>
          </cell>
          <cell r="C1410" t="str">
            <v>勤業眾信聯合會計師事務所</v>
          </cell>
          <cell r="D1410" t="str">
            <v>邱明玉</v>
          </cell>
          <cell r="E1410" t="str">
            <v>余鴻賓</v>
          </cell>
          <cell r="F1410">
            <v>20170217</v>
          </cell>
          <cell r="G1410" t="str">
            <v>無保留意見</v>
          </cell>
        </row>
        <row r="1411">
          <cell r="A1411">
            <v>6174</v>
          </cell>
          <cell r="B1411" t="str">
            <v>安碁科技</v>
          </cell>
          <cell r="C1411" t="str">
            <v>資誠聯合會計師事務所</v>
          </cell>
          <cell r="D1411" t="str">
            <v>徐建業</v>
          </cell>
          <cell r="E1411" t="str">
            <v>洪淑華</v>
          </cell>
          <cell r="F1411">
            <v>20170323</v>
          </cell>
          <cell r="G1411" t="str">
            <v>無保留意見</v>
          </cell>
        </row>
        <row r="1412">
          <cell r="A1412">
            <v>6175</v>
          </cell>
          <cell r="B1412" t="str">
            <v>立敦</v>
          </cell>
          <cell r="C1412" t="str">
            <v>安永聯合會計師事務所</v>
          </cell>
          <cell r="D1412" t="str">
            <v>(二余)清淵</v>
          </cell>
          <cell r="E1412" t="str">
            <v>黃子評</v>
          </cell>
          <cell r="F1412">
            <v>20170327</v>
          </cell>
          <cell r="G1412" t="str">
            <v>無保留意見</v>
          </cell>
        </row>
        <row r="1413">
          <cell r="A1413">
            <v>6179</v>
          </cell>
          <cell r="B1413" t="str">
            <v>亞通</v>
          </cell>
          <cell r="C1413" t="str">
            <v>勤業眾信聯合會計師事務所</v>
          </cell>
          <cell r="D1413" t="str">
            <v>張敬人</v>
          </cell>
          <cell r="E1413" t="str">
            <v>李東峰</v>
          </cell>
          <cell r="F1413">
            <v>20170308</v>
          </cell>
          <cell r="G1413" t="str">
            <v>無保留意見</v>
          </cell>
        </row>
        <row r="1414">
          <cell r="A1414">
            <v>6180</v>
          </cell>
          <cell r="B1414" t="str">
            <v>遊戲橘子</v>
          </cell>
          <cell r="C1414" t="str">
            <v>資誠聯合會計師事務所</v>
          </cell>
          <cell r="D1414" t="str">
            <v>林一帆</v>
          </cell>
          <cell r="E1414" t="str">
            <v>張淑瓊</v>
          </cell>
          <cell r="F1414">
            <v>20170316</v>
          </cell>
          <cell r="G1414" t="str">
            <v>無保留意見</v>
          </cell>
        </row>
        <row r="1415">
          <cell r="A1415">
            <v>6182</v>
          </cell>
          <cell r="B1415" t="str">
            <v>合晶</v>
          </cell>
          <cell r="C1415" t="str">
            <v>安永聯合會計師事務所</v>
          </cell>
          <cell r="D1415" t="str">
            <v>黃益輝</v>
          </cell>
          <cell r="E1415" t="str">
            <v>洪茂益</v>
          </cell>
          <cell r="F1415">
            <v>20170327</v>
          </cell>
          <cell r="G1415" t="str">
            <v>無保留意見</v>
          </cell>
        </row>
        <row r="1416">
          <cell r="A1416">
            <v>6185</v>
          </cell>
          <cell r="B1416" t="str">
            <v>幃翔精密</v>
          </cell>
          <cell r="C1416" t="str">
            <v>大中國際聯合會計師事務所</v>
          </cell>
          <cell r="D1416" t="str">
            <v>張榕枝</v>
          </cell>
          <cell r="E1416" t="str">
            <v>林月霞</v>
          </cell>
          <cell r="F1416">
            <v>20170307</v>
          </cell>
          <cell r="G1416" t="str">
            <v>無保留意見</v>
          </cell>
        </row>
        <row r="1417">
          <cell r="A1417">
            <v>6186</v>
          </cell>
          <cell r="B1417" t="str">
            <v>新潤</v>
          </cell>
          <cell r="C1417" t="str">
            <v>資誠聯合會計師事務所</v>
          </cell>
          <cell r="D1417" t="str">
            <v>李秀玲</v>
          </cell>
          <cell r="E1417" t="str">
            <v>周筱姿</v>
          </cell>
          <cell r="F1417">
            <v>20170314</v>
          </cell>
          <cell r="G1417" t="str">
            <v>無保留意見</v>
          </cell>
        </row>
        <row r="1418">
          <cell r="A1418">
            <v>6187</v>
          </cell>
          <cell r="B1418" t="str">
            <v>萬潤科技</v>
          </cell>
          <cell r="C1418" t="str">
            <v>資誠聯合會計師事務所</v>
          </cell>
          <cell r="D1418" t="str">
            <v>林姿妤</v>
          </cell>
          <cell r="E1418" t="str">
            <v>劉子猛</v>
          </cell>
          <cell r="F1418">
            <v>20170316</v>
          </cell>
          <cell r="G1418" t="str">
            <v>無保留意見</v>
          </cell>
        </row>
        <row r="1419">
          <cell r="A1419">
            <v>6188</v>
          </cell>
          <cell r="B1419" t="str">
            <v>廣明光電</v>
          </cell>
          <cell r="C1419" t="str">
            <v>安侯建業聯合會計師事務所</v>
          </cell>
          <cell r="D1419" t="str">
            <v>江忠儀</v>
          </cell>
          <cell r="E1419" t="str">
            <v>林琬琬</v>
          </cell>
          <cell r="F1419">
            <v>20170315</v>
          </cell>
          <cell r="G1419" t="str">
            <v>無保留意見</v>
          </cell>
        </row>
        <row r="1420">
          <cell r="A1420">
            <v>6190</v>
          </cell>
          <cell r="B1420" t="str">
            <v>萬泰科</v>
          </cell>
          <cell r="C1420" t="str">
            <v>資誠聯合會計師事務所</v>
          </cell>
          <cell r="D1420" t="str">
            <v>杜佩玲</v>
          </cell>
          <cell r="E1420" t="str">
            <v>翁世榮</v>
          </cell>
          <cell r="F1420">
            <v>20170323</v>
          </cell>
          <cell r="G1420" t="str">
            <v>無保留意見</v>
          </cell>
        </row>
        <row r="1421">
          <cell r="A1421">
            <v>6194</v>
          </cell>
          <cell r="B1421" t="str">
            <v>育富電子</v>
          </cell>
          <cell r="C1421" t="str">
            <v>誠正聯合會計師事務所</v>
          </cell>
          <cell r="D1421" t="str">
            <v>林淑玲</v>
          </cell>
          <cell r="E1421" t="str">
            <v>陳昭里</v>
          </cell>
          <cell r="F1421">
            <v>20170328</v>
          </cell>
          <cell r="G1421" t="str">
            <v>無保留意見</v>
          </cell>
        </row>
        <row r="1422">
          <cell r="A1422">
            <v>6195</v>
          </cell>
          <cell r="B1422" t="str">
            <v>詩肯</v>
          </cell>
          <cell r="C1422" t="str">
            <v>勤業眾信聯合會計師事務所</v>
          </cell>
          <cell r="D1422" t="str">
            <v>李麗凰</v>
          </cell>
          <cell r="E1422" t="str">
            <v>謝明忠</v>
          </cell>
          <cell r="F1422">
            <v>20170323</v>
          </cell>
          <cell r="G1422" t="str">
            <v>無保留意見</v>
          </cell>
        </row>
        <row r="1423">
          <cell r="A1423">
            <v>6198</v>
          </cell>
          <cell r="B1423" t="str">
            <v>凌泰科技</v>
          </cell>
          <cell r="C1423" t="str">
            <v>國富浩華聯合會計師事務所</v>
          </cell>
          <cell r="D1423" t="str">
            <v>林志隆</v>
          </cell>
          <cell r="E1423" t="str">
            <v>陳桂美</v>
          </cell>
          <cell r="F1423">
            <v>20170203</v>
          </cell>
          <cell r="G1423" t="str">
            <v>無保留意見</v>
          </cell>
        </row>
        <row r="1424">
          <cell r="A1424">
            <v>6199</v>
          </cell>
          <cell r="B1424" t="str">
            <v>天品</v>
          </cell>
          <cell r="C1424" t="str">
            <v>國富浩華聯合會計師事務所</v>
          </cell>
          <cell r="D1424" t="str">
            <v>吳孟達</v>
          </cell>
          <cell r="E1424" t="str">
            <v>林春枝</v>
          </cell>
          <cell r="F1424">
            <v>20170315</v>
          </cell>
          <cell r="G1424" t="str">
            <v>無保留意見</v>
          </cell>
        </row>
        <row r="1425">
          <cell r="A1425">
            <v>6203</v>
          </cell>
          <cell r="B1425" t="str">
            <v>海韻電</v>
          </cell>
          <cell r="C1425" t="str">
            <v>國富浩華聯合會計師事務所</v>
          </cell>
          <cell r="D1425" t="str">
            <v>陳桂美</v>
          </cell>
          <cell r="E1425" t="str">
            <v>林志隆</v>
          </cell>
          <cell r="F1425">
            <v>20170327</v>
          </cell>
          <cell r="G1425" t="str">
            <v>無保留意見</v>
          </cell>
        </row>
        <row r="1426">
          <cell r="A1426">
            <v>6204</v>
          </cell>
          <cell r="B1426" t="str">
            <v>艾華電子</v>
          </cell>
          <cell r="C1426" t="str">
            <v>勤業眾信聯合會計師事務所</v>
          </cell>
          <cell r="D1426" t="str">
            <v>許秀明</v>
          </cell>
          <cell r="E1426" t="str">
            <v>林淑婉</v>
          </cell>
          <cell r="F1426">
            <v>20170327</v>
          </cell>
          <cell r="G1426" t="str">
            <v>無保留意見</v>
          </cell>
        </row>
        <row r="1427">
          <cell r="A1427">
            <v>6207</v>
          </cell>
          <cell r="B1427" t="str">
            <v>雷科</v>
          </cell>
          <cell r="C1427" t="str">
            <v>資誠聯合會計師事務所</v>
          </cell>
          <cell r="D1427" t="str">
            <v>吳建志</v>
          </cell>
          <cell r="E1427" t="str">
            <v>王國華</v>
          </cell>
          <cell r="F1427">
            <v>20170313</v>
          </cell>
          <cell r="G1427" t="str">
            <v>無保留意見</v>
          </cell>
        </row>
        <row r="1428">
          <cell r="A1428">
            <v>6208</v>
          </cell>
          <cell r="B1428" t="str">
            <v>日揚科技</v>
          </cell>
          <cell r="C1428" t="str">
            <v>勤業眾信聯合會計師事務所</v>
          </cell>
          <cell r="D1428" t="str">
            <v>廖鴻儒</v>
          </cell>
          <cell r="E1428" t="str">
            <v>龔俊吉</v>
          </cell>
          <cell r="F1428">
            <v>20170317</v>
          </cell>
          <cell r="G1428" t="str">
            <v>無保留意見</v>
          </cell>
        </row>
        <row r="1429">
          <cell r="A1429">
            <v>6210</v>
          </cell>
          <cell r="B1429" t="str">
            <v>慶生電子</v>
          </cell>
          <cell r="C1429" t="str">
            <v>資誠聯合會計師事務所</v>
          </cell>
          <cell r="D1429" t="str">
            <v>李燕娜</v>
          </cell>
          <cell r="E1429" t="str">
            <v>薛守宏</v>
          </cell>
          <cell r="F1429">
            <v>20170315</v>
          </cell>
          <cell r="G1429" t="str">
            <v>無保留意見</v>
          </cell>
        </row>
        <row r="1430">
          <cell r="A1430">
            <v>6212</v>
          </cell>
          <cell r="B1430" t="str">
            <v>理銘</v>
          </cell>
          <cell r="C1430" t="str">
            <v>致遠聯合會計師事務所</v>
          </cell>
          <cell r="D1430" t="str">
            <v>曾瑞燕</v>
          </cell>
          <cell r="E1430" t="str">
            <v>侯委晉</v>
          </cell>
          <cell r="F1430">
            <v>20170316</v>
          </cell>
          <cell r="G1430" t="str">
            <v>無保留意見</v>
          </cell>
        </row>
        <row r="1431">
          <cell r="A1431">
            <v>6217</v>
          </cell>
          <cell r="B1431" t="str">
            <v>中國探針</v>
          </cell>
          <cell r="C1431" t="str">
            <v>資誠聯合會計師事務所</v>
          </cell>
          <cell r="D1431" t="str">
            <v>馮敏娟</v>
          </cell>
          <cell r="E1431" t="str">
            <v>徐聖忠</v>
          </cell>
          <cell r="F1431">
            <v>20170317</v>
          </cell>
          <cell r="G1431" t="str">
            <v>無保留意見</v>
          </cell>
        </row>
        <row r="1432">
          <cell r="A1432">
            <v>6218</v>
          </cell>
          <cell r="B1432" t="str">
            <v>豪勉科技</v>
          </cell>
          <cell r="C1432" t="str">
            <v>勤業眾信聯合會計師事務所</v>
          </cell>
          <cell r="D1432" t="str">
            <v>韋亮發</v>
          </cell>
          <cell r="E1432" t="str">
            <v>邱政俊</v>
          </cell>
          <cell r="F1432">
            <v>20170324</v>
          </cell>
          <cell r="G1432" t="str">
            <v>無保留意見</v>
          </cell>
        </row>
        <row r="1433">
          <cell r="A1433">
            <v>6219</v>
          </cell>
          <cell r="B1433" t="str">
            <v>富旺國際</v>
          </cell>
          <cell r="C1433" t="str">
            <v>勤業眾信聯合會計師事務所</v>
          </cell>
          <cell r="D1433" t="str">
            <v>成德潤</v>
          </cell>
          <cell r="E1433" t="str">
            <v>曾棟鋆</v>
          </cell>
          <cell r="F1433">
            <v>20170209</v>
          </cell>
          <cell r="G1433" t="str">
            <v>無保留意見</v>
          </cell>
        </row>
        <row r="1434">
          <cell r="A1434">
            <v>6220</v>
          </cell>
          <cell r="B1434" t="str">
            <v>岳豐</v>
          </cell>
          <cell r="C1434" t="str">
            <v>安侯建業聯合會計師事務所</v>
          </cell>
          <cell r="D1434" t="str">
            <v>李(禾方)儀</v>
          </cell>
          <cell r="E1434" t="str">
            <v>梅元貞</v>
          </cell>
          <cell r="F1434">
            <v>20170324</v>
          </cell>
          <cell r="G1434" t="str">
            <v>無保留意見</v>
          </cell>
        </row>
        <row r="1435">
          <cell r="A1435">
            <v>6221</v>
          </cell>
          <cell r="B1435" t="str">
            <v>晉泰</v>
          </cell>
          <cell r="C1435" t="str">
            <v>勤業眾信聯合會計師事務所</v>
          </cell>
          <cell r="D1435" t="str">
            <v>蔡美貞</v>
          </cell>
          <cell r="E1435" t="str">
            <v>黃裕峰</v>
          </cell>
          <cell r="F1435">
            <v>20170321</v>
          </cell>
          <cell r="G1435" t="str">
            <v>無保留意見</v>
          </cell>
        </row>
        <row r="1436">
          <cell r="A1436">
            <v>6222</v>
          </cell>
          <cell r="B1436" t="str">
            <v>上揚科技</v>
          </cell>
          <cell r="C1436" t="str">
            <v>日正聯合會計師事務所</v>
          </cell>
          <cell r="D1436" t="str">
            <v>陳枝凌</v>
          </cell>
          <cell r="E1436" t="str">
            <v>陳燦煌</v>
          </cell>
          <cell r="F1436">
            <v>20170323</v>
          </cell>
          <cell r="G1436" t="str">
            <v>無保留意見</v>
          </cell>
        </row>
        <row r="1437">
          <cell r="A1437">
            <v>6223</v>
          </cell>
          <cell r="B1437" t="str">
            <v>旺矽</v>
          </cell>
          <cell r="C1437" t="str">
            <v>日正聯合會計師事務所</v>
          </cell>
          <cell r="D1437" t="str">
            <v>巫貴珍</v>
          </cell>
          <cell r="E1437" t="str">
            <v>陳燦煌</v>
          </cell>
          <cell r="F1437">
            <v>20170324</v>
          </cell>
          <cell r="G1437" t="str">
            <v>無保留意見</v>
          </cell>
        </row>
        <row r="1438">
          <cell r="A1438">
            <v>6227</v>
          </cell>
          <cell r="B1438" t="str">
            <v>茂綸</v>
          </cell>
          <cell r="C1438" t="str">
            <v>安永聯合會計師事務所</v>
          </cell>
          <cell r="D1438" t="str">
            <v>徐榮煌</v>
          </cell>
          <cell r="E1438" t="str">
            <v>張志銘</v>
          </cell>
          <cell r="F1438">
            <v>20170321</v>
          </cell>
          <cell r="G1438" t="str">
            <v>無保留意見</v>
          </cell>
        </row>
        <row r="1439">
          <cell r="A1439">
            <v>6228</v>
          </cell>
          <cell r="B1439" t="str">
            <v>全譜科技</v>
          </cell>
          <cell r="C1439" t="str">
            <v>勤業眾信聯合會計師事務所</v>
          </cell>
          <cell r="D1439" t="str">
            <v>陳錦章</v>
          </cell>
          <cell r="E1439" t="str">
            <v>黃裕峰</v>
          </cell>
          <cell r="F1439">
            <v>20170315</v>
          </cell>
          <cell r="G1439" t="str">
            <v>無保留意見</v>
          </cell>
        </row>
        <row r="1440">
          <cell r="A1440">
            <v>6229</v>
          </cell>
          <cell r="B1440" t="str">
            <v>研通</v>
          </cell>
          <cell r="C1440" t="str">
            <v>勤業眾信聯合會計師事務所</v>
          </cell>
          <cell r="D1440" t="str">
            <v>周以隆</v>
          </cell>
          <cell r="E1440" t="str">
            <v>張淳儀</v>
          </cell>
          <cell r="F1440">
            <v>20170330</v>
          </cell>
          <cell r="G1440" t="str">
            <v>無保留意見</v>
          </cell>
        </row>
        <row r="1441">
          <cell r="A1441">
            <v>6231</v>
          </cell>
          <cell r="B1441" t="str">
            <v>系微</v>
          </cell>
          <cell r="C1441" t="str">
            <v>安侯建業聯合會計師事務所</v>
          </cell>
          <cell r="D1441" t="str">
            <v>陳眉芳</v>
          </cell>
          <cell r="E1441" t="str">
            <v>陳俊光</v>
          </cell>
          <cell r="F1441">
            <v>20170323</v>
          </cell>
          <cell r="G1441" t="str">
            <v>無保留意見</v>
          </cell>
        </row>
        <row r="1442">
          <cell r="A1442">
            <v>6233</v>
          </cell>
          <cell r="B1442" t="str">
            <v>旺玖科技</v>
          </cell>
          <cell r="C1442" t="str">
            <v>安侯建業聯合會計師事務所</v>
          </cell>
          <cell r="D1442" t="str">
            <v>陳振乾</v>
          </cell>
          <cell r="E1442" t="str">
            <v>黃泳華</v>
          </cell>
          <cell r="F1442">
            <v>20170308</v>
          </cell>
          <cell r="G1442" t="str">
            <v>無保留意見</v>
          </cell>
        </row>
        <row r="1443">
          <cell r="A1443">
            <v>6234</v>
          </cell>
          <cell r="B1443" t="str">
            <v>高僑</v>
          </cell>
          <cell r="C1443" t="str">
            <v>安侯建業聯合會計師事務所</v>
          </cell>
          <cell r="D1443" t="str">
            <v>郭士華</v>
          </cell>
          <cell r="E1443" t="str">
            <v>張字信</v>
          </cell>
          <cell r="F1443">
            <v>20170309</v>
          </cell>
          <cell r="G1443" t="str">
            <v>無保留意見</v>
          </cell>
        </row>
        <row r="1444">
          <cell r="A1444">
            <v>6236</v>
          </cell>
          <cell r="B1444" t="str">
            <v>康呈</v>
          </cell>
          <cell r="C1444" t="str">
            <v>安侯建業聯合會計師事務所</v>
          </cell>
          <cell r="D1444" t="str">
            <v>許育峰</v>
          </cell>
          <cell r="E1444" t="str">
            <v>梅元貞</v>
          </cell>
          <cell r="F1444">
            <v>20170330</v>
          </cell>
          <cell r="G1444" t="str">
            <v>無保留意見</v>
          </cell>
        </row>
        <row r="1445">
          <cell r="A1445">
            <v>6237</v>
          </cell>
          <cell r="B1445" t="str">
            <v>驊訊</v>
          </cell>
          <cell r="C1445" t="str">
            <v>資誠聯合會計師事務所</v>
          </cell>
          <cell r="D1445" t="str">
            <v>李秀玲</v>
          </cell>
          <cell r="E1445" t="str">
            <v>支秉鈞</v>
          </cell>
          <cell r="F1445">
            <v>20170323</v>
          </cell>
          <cell r="G1445" t="str">
            <v>無保留意見</v>
          </cell>
        </row>
        <row r="1446">
          <cell r="A1446">
            <v>6238</v>
          </cell>
          <cell r="B1446" t="str">
            <v>勝麗國際</v>
          </cell>
          <cell r="C1446" t="str">
            <v>勤業眾信聯合會計師事務所</v>
          </cell>
          <cell r="D1446" t="str">
            <v>郭文吉</v>
          </cell>
          <cell r="E1446" t="str">
            <v>王儀雯</v>
          </cell>
          <cell r="F1446">
            <v>20170217</v>
          </cell>
          <cell r="G1446" t="str">
            <v>無保留意見</v>
          </cell>
        </row>
        <row r="1447">
          <cell r="A1447">
            <v>6240</v>
          </cell>
          <cell r="B1447" t="str">
            <v>松崗資產</v>
          </cell>
          <cell r="C1447" t="str">
            <v>安 侯 建 業 聯 合 會 計 師 事 務 所</v>
          </cell>
          <cell r="D1447" t="str">
            <v>吳美萍</v>
          </cell>
          <cell r="E1447" t="str">
            <v>張淑瑩</v>
          </cell>
          <cell r="F1447">
            <v>20160321</v>
          </cell>
          <cell r="G1447" t="str">
            <v>無保留意見</v>
          </cell>
        </row>
        <row r="1448">
          <cell r="A1448">
            <v>6241</v>
          </cell>
          <cell r="B1448" t="str">
            <v>易通展</v>
          </cell>
          <cell r="C1448" t="str">
            <v>立本台灣聯合會計師事務所</v>
          </cell>
          <cell r="D1448" t="str">
            <v>張書成</v>
          </cell>
          <cell r="E1448" t="str">
            <v>許坤錫</v>
          </cell>
          <cell r="F1448">
            <v>20170327</v>
          </cell>
          <cell r="G1448" t="str">
            <v>無保留意見</v>
          </cell>
        </row>
        <row r="1449">
          <cell r="A1449">
            <v>6242</v>
          </cell>
          <cell r="B1449" t="str">
            <v>立康</v>
          </cell>
          <cell r="C1449" t="str">
            <v>勤業眾信聯合會計師事務所</v>
          </cell>
          <cell r="D1449" t="str">
            <v>廖鴻儒</v>
          </cell>
          <cell r="E1449" t="str">
            <v>李季珍</v>
          </cell>
          <cell r="F1449">
            <v>20170303</v>
          </cell>
          <cell r="G1449" t="str">
            <v>無保留意見</v>
          </cell>
        </row>
        <row r="1450">
          <cell r="A1450">
            <v>6244</v>
          </cell>
          <cell r="B1450" t="str">
            <v>茂迪</v>
          </cell>
          <cell r="C1450" t="str">
            <v>安侯建業聯合會計師事務所</v>
          </cell>
          <cell r="D1450" t="str">
            <v>陳雅琳</v>
          </cell>
          <cell r="E1450" t="str">
            <v>陳玫燕</v>
          </cell>
          <cell r="F1450">
            <v>20170306</v>
          </cell>
          <cell r="G1450" t="str">
            <v>無保留意見</v>
          </cell>
        </row>
        <row r="1451">
          <cell r="A1451">
            <v>6245</v>
          </cell>
          <cell r="B1451" t="str">
            <v>立端科技</v>
          </cell>
          <cell r="C1451" t="str">
            <v>安侯建業聯合會計師事務所</v>
          </cell>
          <cell r="D1451" t="str">
            <v>王勇勝</v>
          </cell>
          <cell r="E1451" t="str">
            <v>吳麟</v>
          </cell>
          <cell r="F1451">
            <v>20170302</v>
          </cell>
          <cell r="G1451" t="str">
            <v>無保留意見</v>
          </cell>
        </row>
        <row r="1452">
          <cell r="A1452">
            <v>6246</v>
          </cell>
          <cell r="B1452" t="str">
            <v>臺龍</v>
          </cell>
          <cell r="C1452" t="str">
            <v>德昌聯合會計師事務所</v>
          </cell>
          <cell r="D1452" t="str">
            <v>陳文彬</v>
          </cell>
          <cell r="E1452" t="str">
            <v>陳裕勳</v>
          </cell>
          <cell r="F1452">
            <v>20170330</v>
          </cell>
          <cell r="G1452" t="str">
            <v>無保留意見</v>
          </cell>
        </row>
        <row r="1453">
          <cell r="A1453">
            <v>6247</v>
          </cell>
          <cell r="B1453" t="str">
            <v>淇譽電</v>
          </cell>
          <cell r="C1453" t="str">
            <v>安永聯合會計師事務所</v>
          </cell>
          <cell r="D1453" t="str">
            <v>張正道</v>
          </cell>
          <cell r="E1453" t="str">
            <v>張志銘</v>
          </cell>
          <cell r="F1453">
            <v>20170327</v>
          </cell>
          <cell r="G1453" t="str">
            <v>無保留意見</v>
          </cell>
        </row>
        <row r="1454">
          <cell r="A1454">
            <v>6248</v>
          </cell>
          <cell r="B1454" t="str">
            <v>沛波</v>
          </cell>
          <cell r="C1454" t="str">
            <v>勤業眾信聯合會計師事務所</v>
          </cell>
          <cell r="D1454" t="str">
            <v>鄭旭然</v>
          </cell>
          <cell r="E1454" t="str">
            <v>陳麗琦</v>
          </cell>
          <cell r="F1454">
            <v>20170327</v>
          </cell>
          <cell r="G1454" t="str">
            <v>無保留意見</v>
          </cell>
        </row>
        <row r="1455">
          <cell r="A1455">
            <v>6259</v>
          </cell>
          <cell r="B1455" t="str">
            <v>百徽</v>
          </cell>
          <cell r="C1455" t="str">
            <v>調和聯合會計師事務所</v>
          </cell>
          <cell r="D1455" t="str">
            <v>郭   鎮   宇</v>
          </cell>
          <cell r="E1455" t="str">
            <v>陳   光   慧</v>
          </cell>
          <cell r="F1455">
            <v>20170317</v>
          </cell>
          <cell r="G1455" t="str">
            <v>無保留意見</v>
          </cell>
        </row>
        <row r="1456">
          <cell r="A1456">
            <v>6261</v>
          </cell>
          <cell r="B1456" t="str">
            <v>久元</v>
          </cell>
          <cell r="C1456" t="str">
            <v>勤業眾信聯合會計師事務所</v>
          </cell>
          <cell r="D1456" t="str">
            <v>林政治</v>
          </cell>
          <cell r="E1456" t="str">
            <v>陳明煇</v>
          </cell>
          <cell r="F1456">
            <v>20170322</v>
          </cell>
          <cell r="G1456" t="str">
            <v>無保留意見</v>
          </cell>
        </row>
        <row r="1457">
          <cell r="A1457">
            <v>6263</v>
          </cell>
          <cell r="B1457" t="str">
            <v>普萊德科</v>
          </cell>
          <cell r="C1457" t="str">
            <v>正風聯合會計師事務所</v>
          </cell>
          <cell r="D1457" t="str">
            <v>丁鴻勛</v>
          </cell>
          <cell r="E1457" t="str">
            <v>周銀來</v>
          </cell>
          <cell r="F1457">
            <v>20170310</v>
          </cell>
          <cell r="G1457" t="str">
            <v>無保留意見</v>
          </cell>
        </row>
        <row r="1458">
          <cell r="A1458">
            <v>6264</v>
          </cell>
          <cell r="B1458" t="str">
            <v>富裔</v>
          </cell>
          <cell r="C1458" t="str">
            <v>勤業眾信聯合會計師事務所</v>
          </cell>
          <cell r="D1458" t="str">
            <v>劉水恩</v>
          </cell>
          <cell r="E1458" t="str">
            <v>龔則立</v>
          </cell>
          <cell r="F1458">
            <v>20170328</v>
          </cell>
          <cell r="G1458" t="str">
            <v>無保留意見</v>
          </cell>
        </row>
        <row r="1459">
          <cell r="A1459">
            <v>6265</v>
          </cell>
          <cell r="B1459" t="str">
            <v>方土昶</v>
          </cell>
          <cell r="C1459" t="str">
            <v>資誠聯合會計師事務所</v>
          </cell>
          <cell r="D1459" t="str">
            <v>葉翠苗</v>
          </cell>
          <cell r="E1459" t="str">
            <v>李燕娜</v>
          </cell>
          <cell r="F1459">
            <v>20170324</v>
          </cell>
          <cell r="G1459" t="str">
            <v>無保留意見</v>
          </cell>
        </row>
        <row r="1460">
          <cell r="A1460">
            <v>6266</v>
          </cell>
          <cell r="B1460" t="str">
            <v>泰詠電子</v>
          </cell>
          <cell r="C1460" t="str">
            <v>勤業眾信聯合會計師事務所</v>
          </cell>
          <cell r="D1460" t="str">
            <v>林政治</v>
          </cell>
          <cell r="E1460" t="str">
            <v>蔡美貞</v>
          </cell>
          <cell r="F1460">
            <v>20170223</v>
          </cell>
          <cell r="G1460" t="str">
            <v>無保留意見</v>
          </cell>
        </row>
        <row r="1461">
          <cell r="A1461">
            <v>6270</v>
          </cell>
          <cell r="B1461" t="str">
            <v>倍微科技</v>
          </cell>
          <cell r="C1461" t="str">
            <v>資誠聯合會計師事務所</v>
          </cell>
          <cell r="D1461" t="str">
            <v>鄧聖偉</v>
          </cell>
          <cell r="E1461" t="str">
            <v>林一帆</v>
          </cell>
          <cell r="F1461">
            <v>20170322</v>
          </cell>
          <cell r="G1461" t="str">
            <v>無保留意見</v>
          </cell>
        </row>
        <row r="1462">
          <cell r="A1462">
            <v>6274</v>
          </cell>
          <cell r="B1462" t="str">
            <v>台燿</v>
          </cell>
          <cell r="C1462" t="str">
            <v>勤業眾信聯合會計師事務所</v>
          </cell>
          <cell r="D1462" t="str">
            <v>龔雙雄</v>
          </cell>
          <cell r="E1462" t="str">
            <v>林宜慧</v>
          </cell>
          <cell r="F1462">
            <v>20170327</v>
          </cell>
          <cell r="G1462" t="str">
            <v>無保留意見</v>
          </cell>
        </row>
        <row r="1463">
          <cell r="A1463">
            <v>6275</v>
          </cell>
          <cell r="B1463" t="str">
            <v>元山科技</v>
          </cell>
          <cell r="C1463" t="str">
            <v>安侯建業聯合會計師事務所</v>
          </cell>
          <cell r="D1463" t="str">
            <v>楊博任</v>
          </cell>
          <cell r="E1463" t="str">
            <v>陳國宗</v>
          </cell>
          <cell r="F1463">
            <v>20170329</v>
          </cell>
          <cell r="G1463" t="str">
            <v>無保留意見</v>
          </cell>
        </row>
        <row r="1464">
          <cell r="A1464">
            <v>6276</v>
          </cell>
          <cell r="B1464" t="str">
            <v>安鈦克</v>
          </cell>
          <cell r="C1464" t="str">
            <v>勤業眾信聯合會計師事務所</v>
          </cell>
          <cell r="D1464" t="str">
            <v>陳慧銘會計師</v>
          </cell>
          <cell r="E1464" t="str">
            <v>李麗凰會計師</v>
          </cell>
          <cell r="F1464">
            <v>20170314</v>
          </cell>
          <cell r="G1464" t="str">
            <v>無保留意見</v>
          </cell>
        </row>
        <row r="1465">
          <cell r="A1465">
            <v>6279</v>
          </cell>
          <cell r="B1465" t="str">
            <v>胡連</v>
          </cell>
          <cell r="C1465" t="str">
            <v>勤業眾信聯合會計師事務所</v>
          </cell>
          <cell r="D1465" t="str">
            <v>鄭旭然</v>
          </cell>
          <cell r="E1465" t="str">
            <v>楊承修</v>
          </cell>
          <cell r="F1465">
            <v>20170327</v>
          </cell>
          <cell r="G1465" t="str">
            <v>無保留意見</v>
          </cell>
        </row>
        <row r="1466">
          <cell r="A1466">
            <v>6284</v>
          </cell>
          <cell r="B1466" t="str">
            <v>佳邦科技</v>
          </cell>
          <cell r="C1466" t="str">
            <v>安侯建業聯合會計師事務所</v>
          </cell>
          <cell r="D1466" t="str">
            <v>魏興海</v>
          </cell>
          <cell r="E1466" t="str">
            <v>呂倩慧</v>
          </cell>
          <cell r="F1466">
            <v>20170307</v>
          </cell>
          <cell r="G1466" t="str">
            <v>無保留意見</v>
          </cell>
        </row>
        <row r="1467">
          <cell r="A1467">
            <v>6287</v>
          </cell>
          <cell r="B1467" t="str">
            <v>元隆電子</v>
          </cell>
          <cell r="C1467" t="str">
            <v>安永聯合會計師事務所</v>
          </cell>
          <cell r="D1467" t="str">
            <v>陳智忠</v>
          </cell>
          <cell r="E1467" t="str">
            <v>郭紹彬</v>
          </cell>
          <cell r="F1467">
            <v>20170309</v>
          </cell>
          <cell r="G1467" t="str">
            <v>無保留意見</v>
          </cell>
        </row>
        <row r="1468">
          <cell r="A1468">
            <v>6290</v>
          </cell>
          <cell r="B1468" t="str">
            <v>良維科技</v>
          </cell>
          <cell r="C1468" t="str">
            <v>資誠聯合會計師事務所</v>
          </cell>
          <cell r="D1468" t="str">
            <v>蕭春鴛</v>
          </cell>
          <cell r="E1468" t="str">
            <v>張祚誠</v>
          </cell>
          <cell r="F1468">
            <v>20170317</v>
          </cell>
          <cell r="G1468" t="str">
            <v>無保留意見</v>
          </cell>
        </row>
        <row r="1469">
          <cell r="A1469">
            <v>6291</v>
          </cell>
          <cell r="B1469" t="str">
            <v>沛亨</v>
          </cell>
          <cell r="C1469" t="str">
            <v>安 侯 建 業 聯 合 會 計 師 事 務 所</v>
          </cell>
          <cell r="D1469" t="str">
            <v>曾　渼　鈺</v>
          </cell>
          <cell r="E1469" t="str">
            <v>呂　倩　慧</v>
          </cell>
          <cell r="F1469">
            <v>20170324</v>
          </cell>
          <cell r="G1469" t="str">
            <v>無保留意見</v>
          </cell>
        </row>
        <row r="1470">
          <cell r="A1470">
            <v>6292</v>
          </cell>
          <cell r="B1470" t="str">
            <v>迅德興業</v>
          </cell>
          <cell r="C1470" t="str">
            <v>資誠聯合會計師事務所</v>
          </cell>
          <cell r="D1470" t="str">
            <v>李燕娜</v>
          </cell>
          <cell r="E1470" t="str">
            <v>李典易</v>
          </cell>
          <cell r="F1470">
            <v>20170308</v>
          </cell>
          <cell r="G1470" t="str">
            <v>無保留意見</v>
          </cell>
        </row>
        <row r="1471">
          <cell r="A1471">
            <v>6294</v>
          </cell>
          <cell r="B1471" t="str">
            <v>智基科技</v>
          </cell>
          <cell r="C1471" t="str">
            <v>資誠聯合會計師事務所</v>
          </cell>
          <cell r="D1471" t="str">
            <v>劉子猛</v>
          </cell>
          <cell r="E1471" t="str">
            <v>林姿妤</v>
          </cell>
          <cell r="F1471">
            <v>20170320</v>
          </cell>
          <cell r="G1471" t="str">
            <v>無保留意見</v>
          </cell>
        </row>
        <row r="1472">
          <cell r="A1472">
            <v>6298</v>
          </cell>
          <cell r="B1472" t="str">
            <v>崴強科技</v>
          </cell>
          <cell r="C1472" t="str">
            <v>資誠聯合會計師事務所</v>
          </cell>
          <cell r="D1472" t="str">
            <v>周筱姿</v>
          </cell>
          <cell r="E1472" t="str">
            <v>林瑟凱</v>
          </cell>
          <cell r="F1472">
            <v>20170328</v>
          </cell>
          <cell r="G1472" t="str">
            <v>無保留意見</v>
          </cell>
        </row>
        <row r="1473">
          <cell r="A1473">
            <v>6404</v>
          </cell>
          <cell r="B1473" t="str">
            <v>通訊-KY</v>
          </cell>
          <cell r="C1473" t="str">
            <v>勤業眾信聯合會計師事務所</v>
          </cell>
          <cell r="D1473" t="str">
            <v>張耿禧</v>
          </cell>
          <cell r="E1473" t="str">
            <v>虞成全</v>
          </cell>
          <cell r="F1473">
            <v>20170328</v>
          </cell>
          <cell r="G1473" t="str">
            <v>無保留意見</v>
          </cell>
        </row>
        <row r="1474">
          <cell r="A1474">
            <v>6411</v>
          </cell>
          <cell r="B1474" t="str">
            <v>晶焱</v>
          </cell>
          <cell r="C1474" t="str">
            <v>安侯建業聯合會計師事務所</v>
          </cell>
          <cell r="D1474" t="str">
            <v>梅元貞</v>
          </cell>
          <cell r="E1474" t="str">
            <v>周寶蓮</v>
          </cell>
          <cell r="F1474">
            <v>20170327</v>
          </cell>
          <cell r="G1474" t="str">
            <v>無保留意見</v>
          </cell>
        </row>
        <row r="1475">
          <cell r="A1475">
            <v>6417</v>
          </cell>
          <cell r="B1475" t="str">
            <v>韋僑</v>
          </cell>
          <cell r="C1475" t="str">
            <v>勤業眾信聯合會計師事務所</v>
          </cell>
          <cell r="D1475" t="str">
            <v>成德潤</v>
          </cell>
          <cell r="E1475" t="str">
            <v>吳麗冬</v>
          </cell>
          <cell r="F1475">
            <v>20170309</v>
          </cell>
          <cell r="G1475" t="str">
            <v>無保留意見</v>
          </cell>
        </row>
        <row r="1476">
          <cell r="A1476">
            <v>6419</v>
          </cell>
          <cell r="B1476" t="str">
            <v>京晨科</v>
          </cell>
          <cell r="C1476" t="str">
            <v>安侯建業聯合會計師事務所</v>
          </cell>
          <cell r="D1476" t="str">
            <v>許育峰</v>
          </cell>
          <cell r="E1476" t="str">
            <v>李慈慧</v>
          </cell>
          <cell r="F1476">
            <v>20170328</v>
          </cell>
          <cell r="G1476" t="str">
            <v>無保留意見</v>
          </cell>
        </row>
        <row r="1477">
          <cell r="A1477">
            <v>6426</v>
          </cell>
          <cell r="B1477" t="str">
            <v>統新</v>
          </cell>
          <cell r="C1477" t="str">
            <v>安永聯合會計師事務所</v>
          </cell>
          <cell r="D1477" t="str">
            <v>胡子仁</v>
          </cell>
          <cell r="E1477" t="str">
            <v>陳政初</v>
          </cell>
          <cell r="F1477">
            <v>20170314</v>
          </cell>
          <cell r="G1477" t="str">
            <v>無保留意見</v>
          </cell>
        </row>
        <row r="1478">
          <cell r="A1478">
            <v>6432</v>
          </cell>
          <cell r="B1478" t="str">
            <v>今展科技</v>
          </cell>
          <cell r="C1478" t="str">
            <v>勤業眾信聯合會計師事務所</v>
          </cell>
          <cell r="D1478" t="str">
            <v>郭文吉</v>
          </cell>
          <cell r="E1478" t="str">
            <v>劉建良</v>
          </cell>
          <cell r="F1478">
            <v>20170323</v>
          </cell>
          <cell r="G1478" t="str">
            <v>無保留意見</v>
          </cell>
        </row>
        <row r="1479">
          <cell r="A1479">
            <v>6435</v>
          </cell>
          <cell r="B1479" t="str">
            <v>大中</v>
          </cell>
          <cell r="C1479" t="str">
            <v>資誠聯合會計師事務所</v>
          </cell>
          <cell r="D1479" t="str">
            <v>鄭雅慧</v>
          </cell>
          <cell r="E1479" t="str">
            <v>溫芳郁</v>
          </cell>
          <cell r="F1479">
            <v>20170321</v>
          </cell>
          <cell r="G1479" t="str">
            <v>無保留意見</v>
          </cell>
        </row>
        <row r="1480">
          <cell r="A1480">
            <v>6446</v>
          </cell>
          <cell r="B1480" t="str">
            <v>藥華醫藥</v>
          </cell>
          <cell r="C1480" t="str">
            <v>安永聯合會計師事務所</v>
          </cell>
          <cell r="D1480" t="str">
            <v>林素雯</v>
          </cell>
          <cell r="E1480" t="str">
            <v>林麗凰</v>
          </cell>
          <cell r="F1480">
            <v>20170322</v>
          </cell>
          <cell r="G1480" t="str">
            <v>無保留意見</v>
          </cell>
        </row>
        <row r="1481">
          <cell r="A1481">
            <v>6457</v>
          </cell>
          <cell r="B1481" t="str">
            <v>紘康科技</v>
          </cell>
          <cell r="C1481" t="str">
            <v>勤業眾信聯合會計師事務所</v>
          </cell>
          <cell r="D1481" t="str">
            <v>戴信維</v>
          </cell>
          <cell r="E1481" t="str">
            <v>林文欽</v>
          </cell>
          <cell r="F1481">
            <v>20170308</v>
          </cell>
          <cell r="G1481" t="str">
            <v>無保留意見</v>
          </cell>
        </row>
        <row r="1482">
          <cell r="A1482">
            <v>6462</v>
          </cell>
          <cell r="B1482" t="str">
            <v>神盾</v>
          </cell>
          <cell r="C1482" t="str">
            <v>安侯建業聯合會計師事務所</v>
          </cell>
          <cell r="D1482" t="str">
            <v>施威銘</v>
          </cell>
          <cell r="E1482" t="str">
            <v>唐慈杰</v>
          </cell>
          <cell r="F1482">
            <v>20170321</v>
          </cell>
          <cell r="G1482" t="str">
            <v>無保留意見</v>
          </cell>
        </row>
        <row r="1483">
          <cell r="A1483">
            <v>6465</v>
          </cell>
          <cell r="B1483" t="str">
            <v>威潤</v>
          </cell>
          <cell r="C1483" t="str">
            <v>資誠聯合會計師事務所</v>
          </cell>
          <cell r="D1483" t="str">
            <v>黃世鈞</v>
          </cell>
          <cell r="E1483" t="str">
            <v>吳郁隆</v>
          </cell>
          <cell r="F1483">
            <v>20170314</v>
          </cell>
          <cell r="G1483" t="str">
            <v>無保留意見</v>
          </cell>
        </row>
        <row r="1484">
          <cell r="A1484">
            <v>6469</v>
          </cell>
          <cell r="B1484" t="str">
            <v>大樹醫藥</v>
          </cell>
          <cell r="C1484" t="str">
            <v>安永聯合會計師事務所</v>
          </cell>
          <cell r="D1484" t="str">
            <v>鄭清標</v>
          </cell>
          <cell r="E1484" t="str">
            <v>洪茂益</v>
          </cell>
          <cell r="F1484">
            <v>20170320</v>
          </cell>
          <cell r="G1484" t="str">
            <v>無保留意見</v>
          </cell>
        </row>
        <row r="1485">
          <cell r="A1485">
            <v>6470</v>
          </cell>
          <cell r="B1485" t="str">
            <v>宇智</v>
          </cell>
          <cell r="C1485" t="str">
            <v>勤業眾信聯合會計師事務所</v>
          </cell>
          <cell r="D1485" t="str">
            <v>陳錦章</v>
          </cell>
          <cell r="E1485" t="str">
            <v>蔡美貞</v>
          </cell>
          <cell r="F1485">
            <v>20170321</v>
          </cell>
          <cell r="G1485" t="str">
            <v>無保留意見</v>
          </cell>
        </row>
        <row r="1486">
          <cell r="A1486">
            <v>6482</v>
          </cell>
          <cell r="B1486" t="str">
            <v>弘煜科</v>
          </cell>
          <cell r="C1486" t="str">
            <v>安侯建業聯合會計師事務所</v>
          </cell>
          <cell r="D1486" t="str">
            <v>郭士華</v>
          </cell>
          <cell r="E1486" t="str">
            <v>張字信</v>
          </cell>
          <cell r="F1486">
            <v>20170321</v>
          </cell>
          <cell r="G1486" t="str">
            <v>無保留意見</v>
          </cell>
        </row>
        <row r="1487">
          <cell r="A1487">
            <v>6485</v>
          </cell>
          <cell r="B1487" t="str">
            <v>點序</v>
          </cell>
          <cell r="C1487" t="str">
            <v>勤業眾信聯合會計師事務所</v>
          </cell>
          <cell r="D1487" t="str">
            <v>陳錦章</v>
          </cell>
          <cell r="E1487" t="str">
            <v>蔡美貞</v>
          </cell>
          <cell r="F1487">
            <v>20170320</v>
          </cell>
          <cell r="G1487" t="str">
            <v>無保留意見</v>
          </cell>
        </row>
        <row r="1488">
          <cell r="A1488">
            <v>6486</v>
          </cell>
          <cell r="B1488" t="str">
            <v>互動</v>
          </cell>
          <cell r="C1488" t="str">
            <v>立本台灣聯合會計師事務所</v>
          </cell>
          <cell r="D1488" t="str">
            <v>劉克宜</v>
          </cell>
          <cell r="E1488" t="str">
            <v>張書成</v>
          </cell>
          <cell r="F1488">
            <v>20170310</v>
          </cell>
          <cell r="G1488" t="str">
            <v>無保留意見</v>
          </cell>
        </row>
        <row r="1489">
          <cell r="A1489">
            <v>6488</v>
          </cell>
          <cell r="B1489" t="str">
            <v>環球晶圓</v>
          </cell>
          <cell r="C1489" t="str">
            <v>安侯建業聯合會計師事務所</v>
          </cell>
          <cell r="D1489" t="str">
            <v>曾渼鈺</v>
          </cell>
          <cell r="E1489" t="str">
            <v>黃泳華</v>
          </cell>
          <cell r="F1489">
            <v>20170321</v>
          </cell>
          <cell r="G1489" t="str">
            <v>無保留意見</v>
          </cell>
        </row>
        <row r="1490">
          <cell r="A1490">
            <v>6494</v>
          </cell>
          <cell r="B1490" t="str">
            <v>九齊科技</v>
          </cell>
          <cell r="C1490" t="str">
            <v>勤業眾信聯合會計師事務所</v>
          </cell>
          <cell r="D1490" t="str">
            <v>洪國田</v>
          </cell>
          <cell r="E1490" t="str">
            <v>余鴻賓</v>
          </cell>
          <cell r="F1490">
            <v>20170222</v>
          </cell>
          <cell r="G1490" t="str">
            <v>無保留意見</v>
          </cell>
        </row>
        <row r="1491">
          <cell r="A1491">
            <v>6496</v>
          </cell>
          <cell r="B1491" t="str">
            <v>科懋生技</v>
          </cell>
          <cell r="C1491" t="str">
            <v>安侯建業聯合會計師事務所</v>
          </cell>
          <cell r="D1491" t="str">
            <v>黃柏淑</v>
          </cell>
          <cell r="E1491" t="str">
            <v>陳雅琳</v>
          </cell>
          <cell r="F1491">
            <v>20170213</v>
          </cell>
          <cell r="G1491" t="str">
            <v>無保留意見</v>
          </cell>
        </row>
        <row r="1492">
          <cell r="A1492">
            <v>6499</v>
          </cell>
          <cell r="B1492" t="str">
            <v>益安</v>
          </cell>
          <cell r="C1492" t="str">
            <v>資誠聯合會計師事務所</v>
          </cell>
          <cell r="D1492" t="str">
            <v>曾惠瑾</v>
          </cell>
          <cell r="E1492" t="str">
            <v>張明輝</v>
          </cell>
          <cell r="F1492">
            <v>20170322</v>
          </cell>
          <cell r="G1492" t="str">
            <v>無保留意見</v>
          </cell>
        </row>
        <row r="1493">
          <cell r="A1493">
            <v>6506</v>
          </cell>
          <cell r="B1493" t="str">
            <v>(又又)邦</v>
          </cell>
          <cell r="C1493" t="str">
            <v>維揚聯合會計師事務所</v>
          </cell>
          <cell r="D1493" t="str">
            <v>柯俊禎</v>
          </cell>
          <cell r="E1493" t="str">
            <v>林惠芬</v>
          </cell>
          <cell r="F1493">
            <v>20170317</v>
          </cell>
          <cell r="G1493" t="str">
            <v>無保留意見</v>
          </cell>
        </row>
        <row r="1494">
          <cell r="A1494">
            <v>6508</v>
          </cell>
          <cell r="B1494" t="str">
            <v>惠光</v>
          </cell>
          <cell r="C1494" t="str">
            <v>資誠聯合會計師事務所</v>
          </cell>
          <cell r="D1494" t="str">
            <v>林永智</v>
          </cell>
          <cell r="E1494" t="str">
            <v>林姿妤</v>
          </cell>
          <cell r="F1494">
            <v>20170327</v>
          </cell>
          <cell r="G1494" t="str">
            <v>無保留意見</v>
          </cell>
        </row>
        <row r="1495">
          <cell r="A1495">
            <v>6509</v>
          </cell>
          <cell r="B1495" t="str">
            <v>聚和</v>
          </cell>
          <cell r="C1495" t="str">
            <v>勤業眾信聯合會計師事務所</v>
          </cell>
          <cell r="D1495" t="str">
            <v>江佳玲</v>
          </cell>
          <cell r="E1495" t="str">
            <v>吳秋燕</v>
          </cell>
          <cell r="F1495">
            <v>20170324</v>
          </cell>
          <cell r="G1495" t="str">
            <v>無保留意見</v>
          </cell>
        </row>
        <row r="1496">
          <cell r="A1496">
            <v>6510</v>
          </cell>
          <cell r="B1496" t="str">
            <v>精測</v>
          </cell>
          <cell r="C1496" t="str">
            <v>勤業眾信聯合會計師事務所</v>
          </cell>
          <cell r="D1496" t="str">
            <v>林鴻鵬</v>
          </cell>
          <cell r="E1496" t="str">
            <v>施景彬</v>
          </cell>
          <cell r="F1496">
            <v>20170208</v>
          </cell>
          <cell r="G1496" t="str">
            <v>無保留意見</v>
          </cell>
        </row>
        <row r="1497">
          <cell r="A1497">
            <v>6512</v>
          </cell>
          <cell r="B1497" t="str">
            <v>啟發電子</v>
          </cell>
          <cell r="C1497" t="str">
            <v>勤業眾信聯合會計師事務所</v>
          </cell>
          <cell r="D1497" t="str">
            <v>黃裕峰</v>
          </cell>
          <cell r="E1497" t="str">
            <v>蔡美貞</v>
          </cell>
          <cell r="F1497">
            <v>20170224</v>
          </cell>
          <cell r="G1497" t="str">
            <v>無保留意見</v>
          </cell>
        </row>
        <row r="1498">
          <cell r="A1498">
            <v>6514</v>
          </cell>
          <cell r="B1498" t="str">
            <v>芮特-KY</v>
          </cell>
          <cell r="C1498" t="str">
            <v>勤業眾信聯合會計師事務所</v>
          </cell>
          <cell r="D1498" t="str">
            <v>郭慈容</v>
          </cell>
          <cell r="E1498" t="str">
            <v>簡明彥</v>
          </cell>
          <cell r="F1498">
            <v>20170314</v>
          </cell>
          <cell r="G1498" t="str">
            <v>無保留意見</v>
          </cell>
        </row>
        <row r="1499">
          <cell r="A1499">
            <v>6523</v>
          </cell>
          <cell r="B1499" t="str">
            <v>達爾膚</v>
          </cell>
          <cell r="C1499" t="str">
            <v>資誠聯合會計師事務所</v>
          </cell>
          <cell r="D1499" t="str">
            <v>吳郁隆</v>
          </cell>
          <cell r="E1499" t="str">
            <v>周建宏</v>
          </cell>
          <cell r="F1499">
            <v>20170310</v>
          </cell>
          <cell r="G1499" t="str">
            <v>無保留意見</v>
          </cell>
        </row>
        <row r="1500">
          <cell r="A1500">
            <v>6532</v>
          </cell>
          <cell r="B1500" t="str">
            <v>瑞耘</v>
          </cell>
          <cell r="C1500" t="str">
            <v>資誠聯合會計師事務所</v>
          </cell>
          <cell r="D1500" t="str">
            <v>鄭雅慧</v>
          </cell>
          <cell r="E1500" t="str">
            <v>林玉寬</v>
          </cell>
          <cell r="F1500">
            <v>20170314</v>
          </cell>
          <cell r="G1500" t="str">
            <v>無保留意見</v>
          </cell>
        </row>
        <row r="1501">
          <cell r="A1501">
            <v>6535</v>
          </cell>
          <cell r="B1501" t="str">
            <v>順藥</v>
          </cell>
          <cell r="C1501" t="str">
            <v>資誠聯合會計師事務所</v>
          </cell>
          <cell r="D1501" t="str">
            <v>曾惠瑾</v>
          </cell>
          <cell r="E1501" t="str">
            <v>游淑芬</v>
          </cell>
          <cell r="F1501">
            <v>20170316</v>
          </cell>
          <cell r="G1501" t="str">
            <v>無保留意見</v>
          </cell>
        </row>
        <row r="1502">
          <cell r="A1502">
            <v>6538</v>
          </cell>
          <cell r="B1502" t="str">
            <v>倉和</v>
          </cell>
          <cell r="C1502" t="str">
            <v>勤業眾信聯合會計師事務所</v>
          </cell>
          <cell r="D1502" t="str">
            <v>李麗凰</v>
          </cell>
          <cell r="E1502" t="str">
            <v>陳慧銘</v>
          </cell>
          <cell r="F1502">
            <v>20170324</v>
          </cell>
          <cell r="G1502" t="str">
            <v>無保留意見</v>
          </cell>
        </row>
        <row r="1503">
          <cell r="A1503">
            <v>6542</v>
          </cell>
          <cell r="B1503" t="str">
            <v>隆中網絡</v>
          </cell>
          <cell r="C1503" t="str">
            <v>勤業眾信聯合會計師事務所</v>
          </cell>
          <cell r="D1503" t="str">
            <v>林宜慧</v>
          </cell>
          <cell r="E1503" t="str">
            <v>謝明忠</v>
          </cell>
          <cell r="F1503">
            <v>20170323</v>
          </cell>
          <cell r="G1503" t="str">
            <v>無保留意見</v>
          </cell>
        </row>
        <row r="1504">
          <cell r="A1504">
            <v>6548</v>
          </cell>
          <cell r="B1504" t="str">
            <v>長華科</v>
          </cell>
          <cell r="C1504" t="str">
            <v>勤業眾信聯合會計師事務所</v>
          </cell>
          <cell r="D1504" t="str">
            <v>劉裕祥</v>
          </cell>
          <cell r="E1504" t="str">
            <v>許瑞軒</v>
          </cell>
          <cell r="F1504">
            <v>20170216</v>
          </cell>
          <cell r="G1504" t="str">
            <v>無保留意見</v>
          </cell>
        </row>
        <row r="1505">
          <cell r="A1505">
            <v>6554</v>
          </cell>
          <cell r="B1505" t="str">
            <v>冠科-KY</v>
          </cell>
          <cell r="C1505" t="str">
            <v>資誠聯合會計師事務所</v>
          </cell>
          <cell r="D1505" t="str">
            <v>鄧聖偉</v>
          </cell>
          <cell r="E1505" t="str">
            <v>曾惠瑾</v>
          </cell>
          <cell r="F1505">
            <v>20170330</v>
          </cell>
          <cell r="G1505" t="str">
            <v>無保留意見</v>
          </cell>
        </row>
        <row r="1506">
          <cell r="A1506">
            <v>6560</v>
          </cell>
          <cell r="B1506" t="str">
            <v>欣普羅</v>
          </cell>
          <cell r="C1506" t="str">
            <v>勤業眾信聯合會計師事務所</v>
          </cell>
          <cell r="D1506" t="str">
            <v>蔡美貞</v>
          </cell>
          <cell r="E1506" t="str">
            <v>陳錦章</v>
          </cell>
          <cell r="F1506">
            <v>20170317</v>
          </cell>
          <cell r="G1506" t="str">
            <v>無保留意見</v>
          </cell>
        </row>
        <row r="1507">
          <cell r="A1507">
            <v>6568</v>
          </cell>
          <cell r="B1507" t="str">
            <v>宏觀</v>
          </cell>
          <cell r="C1507" t="str">
            <v>安永聯合會計師事務所</v>
          </cell>
          <cell r="D1507" t="str">
            <v>許新民</v>
          </cell>
          <cell r="E1507" t="str">
            <v>郭紹彬</v>
          </cell>
          <cell r="F1507">
            <v>20170316</v>
          </cell>
          <cell r="G1507" t="str">
            <v>無保留意見</v>
          </cell>
        </row>
        <row r="1508">
          <cell r="A1508">
            <v>6569</v>
          </cell>
          <cell r="B1508" t="str">
            <v>醫揚</v>
          </cell>
          <cell r="C1508" t="str">
            <v>資誠聯合會計師事務所</v>
          </cell>
          <cell r="D1508" t="str">
            <v>張淑瓊</v>
          </cell>
          <cell r="E1508" t="str">
            <v>曾惠瑾</v>
          </cell>
          <cell r="F1508">
            <v>20170221</v>
          </cell>
          <cell r="G1508" t="str">
            <v>無保留意見</v>
          </cell>
        </row>
        <row r="1509">
          <cell r="A1509">
            <v>6577</v>
          </cell>
          <cell r="B1509" t="str">
            <v>勁豐</v>
          </cell>
          <cell r="C1509" t="str">
            <v>勤業眾信聯合會計師事務所</v>
          </cell>
          <cell r="D1509" t="str">
            <v>李麗凰</v>
          </cell>
          <cell r="E1509" t="str">
            <v>陳慧銘</v>
          </cell>
          <cell r="F1509">
            <v>20170328</v>
          </cell>
          <cell r="G1509" t="str">
            <v>無保留意見</v>
          </cell>
        </row>
        <row r="1510">
          <cell r="A1510">
            <v>6603</v>
          </cell>
          <cell r="B1510" t="str">
            <v>富強鑫</v>
          </cell>
          <cell r="C1510" t="str">
            <v>安永聯合會計師事務所</v>
          </cell>
          <cell r="D1510" t="str">
            <v>胡子仁</v>
          </cell>
          <cell r="E1510" t="str">
            <v>黃世杰</v>
          </cell>
          <cell r="F1510">
            <v>20170310</v>
          </cell>
          <cell r="G1510" t="str">
            <v>無保留意見</v>
          </cell>
        </row>
        <row r="1511">
          <cell r="A1511">
            <v>6609</v>
          </cell>
          <cell r="B1511" t="str">
            <v>瀧澤科</v>
          </cell>
          <cell r="C1511" t="str">
            <v>勤業眾信聯合會計師事務所</v>
          </cell>
          <cell r="D1511" t="str">
            <v>劉江抱</v>
          </cell>
          <cell r="E1511" t="str">
            <v>周以隆</v>
          </cell>
          <cell r="F1511">
            <v>20170315</v>
          </cell>
          <cell r="G1511" t="str">
            <v>無保留意見</v>
          </cell>
        </row>
        <row r="1512">
          <cell r="A1512">
            <v>6803</v>
          </cell>
          <cell r="B1512" t="str">
            <v>崑鼎投控</v>
          </cell>
          <cell r="C1512" t="str">
            <v>資誠聯合會計師事務所</v>
          </cell>
          <cell r="D1512" t="str">
            <v>翁世榮</v>
          </cell>
          <cell r="E1512" t="str">
            <v>張淑瓊</v>
          </cell>
          <cell r="F1512">
            <v>20170315</v>
          </cell>
          <cell r="G1512" t="str">
            <v>無保留意見</v>
          </cell>
        </row>
        <row r="1513">
          <cell r="A1513">
            <v>7402</v>
          </cell>
          <cell r="B1513" t="str">
            <v>邑錡</v>
          </cell>
          <cell r="C1513" t="str">
            <v>勤業眾信聯合會計師事務所</v>
          </cell>
          <cell r="D1513" t="str">
            <v>郭慈容</v>
          </cell>
          <cell r="E1513" t="str">
            <v>韋亮發</v>
          </cell>
          <cell r="F1513">
            <v>20170324</v>
          </cell>
          <cell r="G1513" t="str">
            <v>無保留意見</v>
          </cell>
        </row>
        <row r="1514">
          <cell r="A1514">
            <v>8024</v>
          </cell>
          <cell r="B1514" t="str">
            <v>佑華</v>
          </cell>
          <cell r="C1514" t="str">
            <v>勤業眾信聯合會計師事務所</v>
          </cell>
          <cell r="D1514" t="str">
            <v>陳錦章</v>
          </cell>
          <cell r="E1514" t="str">
            <v>方蘇立</v>
          </cell>
          <cell r="F1514">
            <v>20170323</v>
          </cell>
          <cell r="G1514" t="str">
            <v>無保留意見</v>
          </cell>
        </row>
        <row r="1515">
          <cell r="A1515">
            <v>8027</v>
          </cell>
          <cell r="B1515" t="str">
            <v>鈦昇科技</v>
          </cell>
          <cell r="C1515" t="str">
            <v>國富浩華聯合會計師事務所</v>
          </cell>
          <cell r="D1515" t="str">
            <v>黃鈴雯</v>
          </cell>
          <cell r="E1515" t="str">
            <v>蔡淑滿</v>
          </cell>
          <cell r="F1515">
            <v>20170321</v>
          </cell>
          <cell r="G1515" t="str">
            <v>無保留意見</v>
          </cell>
        </row>
        <row r="1516">
          <cell r="A1516">
            <v>8032</v>
          </cell>
          <cell r="B1516" t="str">
            <v>光菱電子</v>
          </cell>
          <cell r="C1516" t="str">
            <v>勤業眾信聯合會計師事務所</v>
          </cell>
          <cell r="D1516" t="str">
            <v>郭慈容</v>
          </cell>
          <cell r="E1516" t="str">
            <v>簡明彥</v>
          </cell>
          <cell r="F1516">
            <v>20170329</v>
          </cell>
          <cell r="G1516" t="str">
            <v>無保留意見</v>
          </cell>
        </row>
        <row r="1517">
          <cell r="A1517">
            <v>8034</v>
          </cell>
          <cell r="B1517" t="str">
            <v>榮群電訊</v>
          </cell>
          <cell r="C1517" t="str">
            <v>資誠聯合會計師事務所</v>
          </cell>
          <cell r="D1517" t="str">
            <v>曾國華</v>
          </cell>
          <cell r="E1517" t="str">
            <v>李典易</v>
          </cell>
          <cell r="F1517">
            <v>20170314</v>
          </cell>
          <cell r="G1517" t="str">
            <v>無保留意見</v>
          </cell>
        </row>
        <row r="1518">
          <cell r="A1518">
            <v>8038</v>
          </cell>
          <cell r="B1518" t="str">
            <v>長園科</v>
          </cell>
          <cell r="C1518" t="str">
            <v>資誠聯合會計師事務所</v>
          </cell>
          <cell r="D1518" t="str">
            <v>王玉娟</v>
          </cell>
          <cell r="E1518" t="str">
            <v>楊明經</v>
          </cell>
          <cell r="F1518">
            <v>20170329</v>
          </cell>
          <cell r="G1518" t="str">
            <v>無保留意見</v>
          </cell>
        </row>
        <row r="1519">
          <cell r="A1519">
            <v>8040</v>
          </cell>
          <cell r="B1519" t="str">
            <v>九暘電子</v>
          </cell>
          <cell r="C1519" t="str">
            <v>資誠聯合會計師事務所</v>
          </cell>
          <cell r="D1519" t="str">
            <v>李典易</v>
          </cell>
          <cell r="E1519" t="str">
            <v>曾國華</v>
          </cell>
          <cell r="F1519">
            <v>20170323</v>
          </cell>
          <cell r="G1519" t="str">
            <v>無保留意見</v>
          </cell>
        </row>
        <row r="1520">
          <cell r="A1520">
            <v>8042</v>
          </cell>
          <cell r="B1520" t="str">
            <v>金山電</v>
          </cell>
          <cell r="C1520" t="str">
            <v>昊興聯合會計師事務所</v>
          </cell>
          <cell r="D1520" t="str">
            <v>何喜將</v>
          </cell>
          <cell r="E1520" t="str">
            <v>蔡季嫻</v>
          </cell>
          <cell r="F1520">
            <v>20170327</v>
          </cell>
          <cell r="G1520" t="str">
            <v>無保留意見</v>
          </cell>
        </row>
        <row r="1521">
          <cell r="A1521">
            <v>8043</v>
          </cell>
          <cell r="B1521" t="str">
            <v>蜜望實企</v>
          </cell>
          <cell r="C1521" t="str">
            <v>資誠聯合會計師事務所</v>
          </cell>
          <cell r="D1521" t="str">
            <v>葉翠苗</v>
          </cell>
          <cell r="E1521" t="str">
            <v>張祚誠</v>
          </cell>
          <cell r="F1521">
            <v>20170310</v>
          </cell>
          <cell r="G1521" t="str">
            <v>無保留意見</v>
          </cell>
        </row>
        <row r="1522">
          <cell r="A1522">
            <v>8044</v>
          </cell>
          <cell r="B1522" t="str">
            <v>網路家庭</v>
          </cell>
          <cell r="C1522" t="str">
            <v>安侯建業聯合會計師事務所</v>
          </cell>
          <cell r="D1522" t="str">
            <v>陳宜君</v>
          </cell>
          <cell r="E1522" t="str">
            <v>楊柳鋒</v>
          </cell>
          <cell r="F1522">
            <v>20170328</v>
          </cell>
          <cell r="G1522" t="str">
            <v>無保留意見</v>
          </cell>
        </row>
        <row r="1523">
          <cell r="A1523">
            <v>8047</v>
          </cell>
          <cell r="B1523" t="str">
            <v>星雲電腦</v>
          </cell>
          <cell r="C1523" t="str">
            <v>安侯建業聯合會計師事務所</v>
          </cell>
          <cell r="D1523" t="str">
            <v>連淑凌</v>
          </cell>
          <cell r="E1523" t="str">
            <v>陳嘉修</v>
          </cell>
          <cell r="F1523">
            <v>20170317</v>
          </cell>
          <cell r="G1523" t="str">
            <v>無保留意見</v>
          </cell>
        </row>
        <row r="1524">
          <cell r="A1524">
            <v>8048</v>
          </cell>
          <cell r="B1524" t="str">
            <v>德勝科技</v>
          </cell>
          <cell r="C1524" t="str">
            <v>勤業眾信聯合會計師事務所</v>
          </cell>
          <cell r="D1524" t="str">
            <v>陳昭伶</v>
          </cell>
          <cell r="E1524" t="str">
            <v>張瑞娜</v>
          </cell>
          <cell r="F1524">
            <v>20170323</v>
          </cell>
          <cell r="G1524" t="str">
            <v>無保留意見</v>
          </cell>
        </row>
        <row r="1525">
          <cell r="A1525">
            <v>8049</v>
          </cell>
          <cell r="B1525" t="str">
            <v>晶采光電</v>
          </cell>
          <cell r="C1525" t="str">
            <v>安侯建業聯合會計師事務所</v>
          </cell>
          <cell r="D1525" t="str">
            <v>寇惠植</v>
          </cell>
          <cell r="E1525" t="str">
            <v>陳秀蘭</v>
          </cell>
          <cell r="F1525">
            <v>20170321</v>
          </cell>
          <cell r="G1525" t="str">
            <v>無保留意見</v>
          </cell>
        </row>
        <row r="1526">
          <cell r="A1526">
            <v>8050</v>
          </cell>
          <cell r="B1526" t="str">
            <v>廣積科技</v>
          </cell>
          <cell r="C1526" t="str">
            <v>勤業眾信聯合會計師事務所</v>
          </cell>
          <cell r="D1526" t="str">
            <v>李東峰</v>
          </cell>
          <cell r="E1526" t="str">
            <v>楊清鎮</v>
          </cell>
          <cell r="F1526">
            <v>20170314</v>
          </cell>
          <cell r="G1526" t="str">
            <v>無保留意見</v>
          </cell>
        </row>
        <row r="1527">
          <cell r="A1527">
            <v>8054</v>
          </cell>
          <cell r="B1527" t="str">
            <v>安國</v>
          </cell>
          <cell r="C1527" t="str">
            <v>資誠聯合會計師事務所</v>
          </cell>
          <cell r="D1527" t="str">
            <v>鄧聖偉</v>
          </cell>
          <cell r="E1527" t="str">
            <v>曾惠瑾</v>
          </cell>
          <cell r="F1527">
            <v>20170324</v>
          </cell>
          <cell r="G1527" t="str">
            <v>無保留意見</v>
          </cell>
        </row>
        <row r="1528">
          <cell r="A1528">
            <v>8059</v>
          </cell>
          <cell r="B1528" t="str">
            <v>凱碩科技</v>
          </cell>
          <cell r="C1528" t="str">
            <v>資誠聯合會計師事務所</v>
          </cell>
          <cell r="D1528" t="str">
            <v>徐聖忠</v>
          </cell>
          <cell r="E1528" t="str">
            <v>周建宏</v>
          </cell>
          <cell r="F1528">
            <v>20170323</v>
          </cell>
          <cell r="G1528" t="str">
            <v>無保留意見</v>
          </cell>
        </row>
        <row r="1529">
          <cell r="A1529">
            <v>8064</v>
          </cell>
          <cell r="B1529" t="str">
            <v>東捷</v>
          </cell>
          <cell r="C1529" t="str">
            <v>勤業眾信聯合會計師事務所</v>
          </cell>
          <cell r="D1529" t="str">
            <v>陳明煇</v>
          </cell>
          <cell r="E1529" t="str">
            <v>黃樹傑</v>
          </cell>
          <cell r="F1529">
            <v>20170320</v>
          </cell>
          <cell r="G1529" t="str">
            <v>無保留意見</v>
          </cell>
        </row>
        <row r="1530">
          <cell r="A1530">
            <v>8066</v>
          </cell>
          <cell r="B1530" t="str">
            <v>來思達</v>
          </cell>
          <cell r="C1530" t="str">
            <v>資誠聯合會計師事務所</v>
          </cell>
          <cell r="D1530" t="str">
            <v>梁華玲</v>
          </cell>
          <cell r="E1530" t="str">
            <v>蕭金木</v>
          </cell>
          <cell r="F1530">
            <v>20170308</v>
          </cell>
          <cell r="G1530" t="str">
            <v>無保留意見</v>
          </cell>
        </row>
        <row r="1531">
          <cell r="A1531">
            <v>8067</v>
          </cell>
          <cell r="B1531" t="str">
            <v>志旭國際</v>
          </cell>
          <cell r="C1531" t="str">
            <v>安侯建業聯合會計師事務所</v>
          </cell>
          <cell r="D1531" t="str">
            <v>呂觀文</v>
          </cell>
          <cell r="E1531" t="str">
            <v>莊鈞維</v>
          </cell>
          <cell r="F1531">
            <v>20170317</v>
          </cell>
          <cell r="G1531" t="str">
            <v>無保留意見</v>
          </cell>
        </row>
        <row r="1532">
          <cell r="A1532">
            <v>8068</v>
          </cell>
          <cell r="B1532" t="str">
            <v>全達</v>
          </cell>
          <cell r="C1532" t="str">
            <v>勤業眾信聯合會計師事務所</v>
          </cell>
          <cell r="D1532" t="str">
            <v>徐文亞</v>
          </cell>
          <cell r="E1532" t="str">
            <v>鄭淂蓁</v>
          </cell>
          <cell r="F1532">
            <v>20170329</v>
          </cell>
          <cell r="G1532" t="str">
            <v>無保留意見</v>
          </cell>
        </row>
        <row r="1533">
          <cell r="A1533">
            <v>8069</v>
          </cell>
          <cell r="B1533" t="str">
            <v>元太科技</v>
          </cell>
          <cell r="C1533" t="str">
            <v>勤業眾信聯合會計師事務所</v>
          </cell>
          <cell r="D1533" t="str">
            <v>翁雅玲</v>
          </cell>
          <cell r="E1533" t="str">
            <v>邵志明</v>
          </cell>
          <cell r="F1533">
            <v>20170322</v>
          </cell>
          <cell r="G1533" t="str">
            <v>無保留意見</v>
          </cell>
        </row>
        <row r="1534">
          <cell r="A1534">
            <v>8074</v>
          </cell>
          <cell r="B1534" t="str">
            <v>鉅橡企業</v>
          </cell>
          <cell r="C1534" t="str">
            <v>勤業眾信聯合會計師事務所</v>
          </cell>
          <cell r="D1534" t="str">
            <v>王燕景</v>
          </cell>
          <cell r="E1534" t="str">
            <v>廖鴻儒</v>
          </cell>
          <cell r="F1534">
            <v>20170303</v>
          </cell>
          <cell r="G1534" t="str">
            <v>無保留意見</v>
          </cell>
        </row>
        <row r="1535">
          <cell r="A1535">
            <v>8076</v>
          </cell>
          <cell r="B1535" t="str">
            <v>伍豐科技</v>
          </cell>
          <cell r="C1535" t="str">
            <v>資誠聯合會計師事務所</v>
          </cell>
          <cell r="D1535" t="str">
            <v>邱昭賢</v>
          </cell>
          <cell r="E1535" t="str">
            <v>徐明釧</v>
          </cell>
          <cell r="F1535">
            <v>20170331</v>
          </cell>
          <cell r="G1535" t="str">
            <v>無保留意見</v>
          </cell>
        </row>
        <row r="1536">
          <cell r="A1536">
            <v>8077</v>
          </cell>
          <cell r="B1536" t="str">
            <v>洛碁實業</v>
          </cell>
          <cell r="C1536" t="str">
            <v>安侯建業聯合會計師事務所</v>
          </cell>
          <cell r="D1536" t="str">
            <v>張淑瑩</v>
          </cell>
          <cell r="E1536" t="str">
            <v>池世欽</v>
          </cell>
          <cell r="F1536">
            <v>20170321</v>
          </cell>
          <cell r="G1536" t="str">
            <v>無保留意見</v>
          </cell>
        </row>
        <row r="1537">
          <cell r="A1537">
            <v>8080</v>
          </cell>
          <cell r="B1537" t="str">
            <v>奧斯特</v>
          </cell>
          <cell r="C1537" t="str">
            <v>德 昌 聯 合 會 計 師 事 務 所</v>
          </cell>
          <cell r="D1537" t="str">
            <v>陳 裕 勳</v>
          </cell>
          <cell r="E1537" t="str">
            <v>李 定 益</v>
          </cell>
          <cell r="F1537">
            <v>20170329</v>
          </cell>
          <cell r="G1537" t="str">
            <v>無保留意見</v>
          </cell>
        </row>
        <row r="1538">
          <cell r="A1538">
            <v>8083</v>
          </cell>
          <cell r="B1538" t="str">
            <v>瑞穎</v>
          </cell>
          <cell r="C1538" t="str">
            <v>安永聯合會計師事務所</v>
          </cell>
          <cell r="D1538" t="str">
            <v>張 志 銘</v>
          </cell>
          <cell r="E1538" t="str">
            <v>洪 茂 益</v>
          </cell>
          <cell r="F1538">
            <v>20170216</v>
          </cell>
          <cell r="G1538" t="str">
            <v>無保留意見</v>
          </cell>
        </row>
        <row r="1539">
          <cell r="A1539">
            <v>8084</v>
          </cell>
          <cell r="B1539" t="str">
            <v>巨虹電子</v>
          </cell>
          <cell r="C1539" t="str">
            <v>廣信益群聯合會計師事務所</v>
          </cell>
          <cell r="D1539" t="str">
            <v>翁子霖</v>
          </cell>
          <cell r="E1539" t="str">
            <v>黃健豪</v>
          </cell>
          <cell r="F1539">
            <v>20170314</v>
          </cell>
          <cell r="G1539" t="str">
            <v>無保留意見</v>
          </cell>
        </row>
        <row r="1540">
          <cell r="A1540">
            <v>8085</v>
          </cell>
          <cell r="B1540" t="str">
            <v>福華</v>
          </cell>
          <cell r="C1540" t="str">
            <v>安永聯合會計師事務所</v>
          </cell>
          <cell r="D1540" t="str">
            <v>楊智惠</v>
          </cell>
          <cell r="E1540" t="str">
            <v>蕭翠慧</v>
          </cell>
          <cell r="F1540">
            <v>20170322</v>
          </cell>
          <cell r="G1540" t="str">
            <v>無保留意見</v>
          </cell>
        </row>
        <row r="1541">
          <cell r="A1541">
            <v>8086</v>
          </cell>
          <cell r="B1541" t="str">
            <v>宏捷科技</v>
          </cell>
          <cell r="C1541" t="str">
            <v>資誠聯合會計師事務所</v>
          </cell>
          <cell r="D1541" t="str">
            <v>劉子猛</v>
          </cell>
          <cell r="E1541" t="str">
            <v>林永智</v>
          </cell>
          <cell r="F1541">
            <v>20170321</v>
          </cell>
          <cell r="G1541" t="str">
            <v>無保留意見</v>
          </cell>
        </row>
        <row r="1542">
          <cell r="A1542">
            <v>8087</v>
          </cell>
          <cell r="B1542" t="str">
            <v>華鎂鑫</v>
          </cell>
          <cell r="C1542" t="str">
            <v>揚智聯合會計師事務所</v>
          </cell>
          <cell r="D1542" t="str">
            <v>胡湘寧</v>
          </cell>
          <cell r="E1542" t="str">
            <v>王淑冬</v>
          </cell>
          <cell r="F1542">
            <v>20170317</v>
          </cell>
          <cell r="G1542" t="str">
            <v>無保留意見</v>
          </cell>
        </row>
        <row r="1543">
          <cell r="A1543">
            <v>8088</v>
          </cell>
          <cell r="B1543" t="str">
            <v>品安</v>
          </cell>
          <cell r="C1543" t="str">
            <v>立本台灣聯合會計師事務所</v>
          </cell>
          <cell r="D1543" t="str">
            <v>許  坤  錫</v>
          </cell>
          <cell r="E1543" t="str">
            <v>劉  克  宜</v>
          </cell>
          <cell r="F1543">
            <v>20170329</v>
          </cell>
          <cell r="G1543" t="str">
            <v>無保留意見</v>
          </cell>
        </row>
        <row r="1544">
          <cell r="A1544">
            <v>8091</v>
          </cell>
          <cell r="B1544" t="str">
            <v>翔名科技</v>
          </cell>
          <cell r="C1544" t="str">
            <v>勤業眾信聯合會計師事務所</v>
          </cell>
          <cell r="D1544" t="str">
            <v>黃裕峰</v>
          </cell>
          <cell r="E1544" t="str">
            <v>高逸欣</v>
          </cell>
          <cell r="F1544">
            <v>20170317</v>
          </cell>
          <cell r="G1544" t="str">
            <v>無保留意見</v>
          </cell>
        </row>
        <row r="1545">
          <cell r="A1545">
            <v>8092</v>
          </cell>
          <cell r="B1545" t="str">
            <v>建暐精密</v>
          </cell>
          <cell r="C1545" t="str">
            <v>資誠聯合會計師事務所</v>
          </cell>
          <cell r="D1545" t="str">
            <v>廖阿甚</v>
          </cell>
          <cell r="E1545" t="str">
            <v>吳建志</v>
          </cell>
          <cell r="F1545">
            <v>20170324</v>
          </cell>
          <cell r="G1545" t="str">
            <v>無保留意見</v>
          </cell>
        </row>
        <row r="1546">
          <cell r="A1546">
            <v>8093</v>
          </cell>
          <cell r="B1546" t="str">
            <v>保銳科技</v>
          </cell>
          <cell r="C1546" t="str">
            <v>資誠聯合會計師事務所</v>
          </cell>
          <cell r="D1546" t="str">
            <v>吳郁隆</v>
          </cell>
          <cell r="E1546" t="str">
            <v>林姿妤</v>
          </cell>
          <cell r="F1546">
            <v>20170317</v>
          </cell>
          <cell r="G1546" t="str">
            <v>無保留意見</v>
          </cell>
        </row>
        <row r="1547">
          <cell r="A1547">
            <v>8096</v>
          </cell>
          <cell r="B1547" t="str">
            <v>擎亞科技</v>
          </cell>
          <cell r="C1547" t="str">
            <v>資誠聯合會計師事務所</v>
          </cell>
          <cell r="D1547" t="str">
            <v>吳漢期</v>
          </cell>
          <cell r="E1547" t="str">
            <v>徐聖忠</v>
          </cell>
          <cell r="F1547">
            <v>20170224</v>
          </cell>
          <cell r="G1547" t="str">
            <v>無保留意見</v>
          </cell>
        </row>
        <row r="1548">
          <cell r="A1548">
            <v>8097</v>
          </cell>
          <cell r="B1548" t="str">
            <v>常珵科技</v>
          </cell>
          <cell r="C1548" t="str">
            <v>日 正 聯 合 會 計 師 事 務 所</v>
          </cell>
          <cell r="D1548" t="str">
            <v>陳　　世　　元</v>
          </cell>
          <cell r="E1548" t="str">
            <v>陳　　燦　　煌</v>
          </cell>
          <cell r="F1548">
            <v>20170328</v>
          </cell>
          <cell r="G1548" t="str">
            <v>無保留意見</v>
          </cell>
        </row>
        <row r="1549">
          <cell r="A1549">
            <v>8099</v>
          </cell>
          <cell r="B1549" t="str">
            <v>大同世界</v>
          </cell>
          <cell r="C1549" t="str">
            <v>安永聯合會計師事務所</v>
          </cell>
          <cell r="D1549" t="str">
            <v>楊智惠</v>
          </cell>
          <cell r="E1549" t="str">
            <v>蕭翠慧</v>
          </cell>
          <cell r="F1549">
            <v>20170307</v>
          </cell>
          <cell r="G1549" t="str">
            <v>無保留意見</v>
          </cell>
        </row>
        <row r="1550">
          <cell r="A1550">
            <v>8107</v>
          </cell>
          <cell r="B1550" t="str">
            <v>大億科</v>
          </cell>
          <cell r="C1550" t="str">
            <v>資誠聯合會計師事務所</v>
          </cell>
          <cell r="D1550" t="str">
            <v>劉子猛</v>
          </cell>
          <cell r="E1550" t="str">
            <v>林永智</v>
          </cell>
          <cell r="F1550">
            <v>20170314</v>
          </cell>
          <cell r="G1550" t="str">
            <v>無保留意見</v>
          </cell>
        </row>
        <row r="1551">
          <cell r="A1551">
            <v>8109</v>
          </cell>
          <cell r="B1551" t="str">
            <v>博大科技</v>
          </cell>
          <cell r="C1551" t="str">
            <v>安侯建業聯合會計師事務所</v>
          </cell>
          <cell r="D1551" t="str">
            <v>陳君滿</v>
          </cell>
          <cell r="E1551" t="str">
            <v>張字信</v>
          </cell>
          <cell r="F1551">
            <v>20170314</v>
          </cell>
          <cell r="G1551" t="str">
            <v>無保留意見</v>
          </cell>
        </row>
        <row r="1552">
          <cell r="A1552">
            <v>8111</v>
          </cell>
          <cell r="B1552" t="str">
            <v>立碁電子</v>
          </cell>
          <cell r="C1552" t="str">
            <v>國富浩華聯合會計師事務所</v>
          </cell>
          <cell r="D1552" t="str">
            <v>邱繼盛</v>
          </cell>
          <cell r="E1552" t="str">
            <v>王戊昌</v>
          </cell>
          <cell r="F1552">
            <v>20170327</v>
          </cell>
          <cell r="G1552" t="str">
            <v>無保留意見</v>
          </cell>
        </row>
        <row r="1553">
          <cell r="A1553">
            <v>8121</v>
          </cell>
          <cell r="B1553" t="str">
            <v>越峰電子</v>
          </cell>
          <cell r="C1553" t="str">
            <v>勤業眾信聯合會計師事務所</v>
          </cell>
          <cell r="D1553" t="str">
            <v>韋亮發</v>
          </cell>
          <cell r="E1553" t="str">
            <v>黃秀椿</v>
          </cell>
          <cell r="F1553">
            <v>20170313</v>
          </cell>
          <cell r="G1553" t="str">
            <v>無保留意見</v>
          </cell>
        </row>
        <row r="1554">
          <cell r="A1554">
            <v>8147</v>
          </cell>
          <cell r="B1554" t="str">
            <v>正淩精工</v>
          </cell>
          <cell r="C1554" t="str">
            <v>資誠聯合會計師事務所</v>
          </cell>
          <cell r="D1554" t="str">
            <v>李典易</v>
          </cell>
          <cell r="E1554" t="str">
            <v>鄭雅慧</v>
          </cell>
          <cell r="F1554">
            <v>20170315</v>
          </cell>
          <cell r="G1554" t="str">
            <v>無保留意見</v>
          </cell>
        </row>
        <row r="1555">
          <cell r="A1555">
            <v>8155</v>
          </cell>
          <cell r="B1555" t="str">
            <v>博智電子</v>
          </cell>
          <cell r="C1555" t="str">
            <v>安侯建業聯合會計師事務所</v>
          </cell>
          <cell r="D1555" t="str">
            <v>羅瑞蘭</v>
          </cell>
          <cell r="E1555" t="str">
            <v>郭冠纓</v>
          </cell>
          <cell r="F1555">
            <v>20170328</v>
          </cell>
          <cell r="G1555" t="str">
            <v>無保留意見</v>
          </cell>
        </row>
        <row r="1556">
          <cell r="A1556">
            <v>8171</v>
          </cell>
          <cell r="B1556" t="str">
            <v>天宇工業</v>
          </cell>
          <cell r="C1556" t="str">
            <v>勤業眾信聯合會計師事務所</v>
          </cell>
          <cell r="D1556" t="str">
            <v>陳杰忠</v>
          </cell>
          <cell r="E1556" t="str">
            <v>邵志明</v>
          </cell>
          <cell r="F1556">
            <v>20170323</v>
          </cell>
          <cell r="G1556" t="str">
            <v>無保留意見</v>
          </cell>
        </row>
        <row r="1557">
          <cell r="A1557">
            <v>8176</v>
          </cell>
          <cell r="B1557" t="str">
            <v>智捷</v>
          </cell>
          <cell r="C1557" t="str">
            <v>資誠聯合會計師事務所</v>
          </cell>
          <cell r="D1557" t="str">
            <v>鄭雅慧</v>
          </cell>
          <cell r="E1557" t="str">
            <v>溫芳郁</v>
          </cell>
          <cell r="F1557">
            <v>20170316</v>
          </cell>
          <cell r="G1557" t="str">
            <v>無保留意見</v>
          </cell>
        </row>
        <row r="1558">
          <cell r="A1558">
            <v>8182</v>
          </cell>
          <cell r="B1558" t="str">
            <v>加高電子</v>
          </cell>
          <cell r="C1558" t="str">
            <v>資誠聯合會計師事務所</v>
          </cell>
          <cell r="D1558" t="str">
            <v>林億彰</v>
          </cell>
          <cell r="E1558" t="str">
            <v>廖阿甚</v>
          </cell>
          <cell r="F1558">
            <v>20170313</v>
          </cell>
          <cell r="G1558" t="str">
            <v>無保留意見</v>
          </cell>
        </row>
        <row r="1559">
          <cell r="A1559">
            <v>8183</v>
          </cell>
          <cell r="B1559" t="str">
            <v>台灣精星</v>
          </cell>
          <cell r="C1559" t="str">
            <v>勤業眾信聯合會計師事務所</v>
          </cell>
          <cell r="D1559" t="str">
            <v>劉江抱</v>
          </cell>
          <cell r="E1559" t="str">
            <v>周以隆</v>
          </cell>
          <cell r="F1559">
            <v>20170216</v>
          </cell>
          <cell r="G1559" t="str">
            <v>無保留意見</v>
          </cell>
        </row>
        <row r="1560">
          <cell r="A1560">
            <v>8234</v>
          </cell>
          <cell r="B1560" t="str">
            <v>新漢</v>
          </cell>
          <cell r="C1560" t="str">
            <v>資誠聯合會計師事務所</v>
          </cell>
          <cell r="D1560" t="str">
            <v>徐永堅</v>
          </cell>
          <cell r="E1560" t="str">
            <v>徐聖忠</v>
          </cell>
          <cell r="F1560">
            <v>20170328</v>
          </cell>
          <cell r="G1560" t="str">
            <v>無保留意見</v>
          </cell>
        </row>
        <row r="1561">
          <cell r="A1561">
            <v>8240</v>
          </cell>
          <cell r="B1561" t="str">
            <v>華宏新技</v>
          </cell>
          <cell r="C1561" t="str">
            <v>勤業眾信聯合會計師事務所</v>
          </cell>
          <cell r="D1561" t="str">
            <v>吳秋燕</v>
          </cell>
          <cell r="E1561" t="str">
            <v>龔俊吉</v>
          </cell>
          <cell r="F1561">
            <v>20170322</v>
          </cell>
          <cell r="G1561" t="str">
            <v>無保留意見</v>
          </cell>
        </row>
        <row r="1562">
          <cell r="A1562">
            <v>8255</v>
          </cell>
          <cell r="B1562" t="str">
            <v>朋程科技</v>
          </cell>
          <cell r="C1562" t="str">
            <v>勤業眾信聯合會計師事務所</v>
          </cell>
          <cell r="D1562" t="str">
            <v>張清福</v>
          </cell>
          <cell r="E1562" t="str">
            <v>蔡振財</v>
          </cell>
          <cell r="F1562">
            <v>20170308</v>
          </cell>
          <cell r="G1562" t="str">
            <v>無保留意見</v>
          </cell>
        </row>
        <row r="1563">
          <cell r="A1563">
            <v>8277</v>
          </cell>
          <cell r="B1563" t="str">
            <v>商丞科技</v>
          </cell>
          <cell r="C1563" t="str">
            <v>國富浩華聯合會計師事務所</v>
          </cell>
          <cell r="D1563" t="str">
            <v>林松樹</v>
          </cell>
          <cell r="E1563" t="str">
            <v>張亞荃</v>
          </cell>
          <cell r="F1563">
            <v>20170322</v>
          </cell>
          <cell r="G1563" t="str">
            <v>無保留意見</v>
          </cell>
        </row>
        <row r="1564">
          <cell r="A1564">
            <v>8279</v>
          </cell>
          <cell r="B1564" t="str">
            <v>生展生技</v>
          </cell>
          <cell r="C1564" t="str">
            <v>資誠聯合會計師事務所</v>
          </cell>
          <cell r="D1564" t="str">
            <v>林姿妤</v>
          </cell>
          <cell r="E1564" t="str">
            <v>劉子猛</v>
          </cell>
          <cell r="F1564">
            <v>20170308</v>
          </cell>
          <cell r="G1564" t="str">
            <v>無保留意見</v>
          </cell>
        </row>
        <row r="1565">
          <cell r="A1565">
            <v>8287</v>
          </cell>
          <cell r="B1565" t="str">
            <v>英格爾科</v>
          </cell>
          <cell r="C1565" t="str">
            <v>勤 業 眾 信 聯 合 會 計 師 事 務 所</v>
          </cell>
          <cell r="D1565" t="str">
            <v>郭文吉</v>
          </cell>
          <cell r="E1565" t="str">
            <v>劉建良</v>
          </cell>
          <cell r="F1565">
            <v>20170324</v>
          </cell>
          <cell r="G1565" t="str">
            <v>無保留意見</v>
          </cell>
        </row>
        <row r="1566">
          <cell r="A1566">
            <v>8289</v>
          </cell>
          <cell r="B1566" t="str">
            <v>泰藝電子</v>
          </cell>
          <cell r="C1566" t="str">
            <v>勤業眾信聯合會計師事務所</v>
          </cell>
          <cell r="D1566" t="str">
            <v>虞成全</v>
          </cell>
          <cell r="E1566" t="str">
            <v>陳重成</v>
          </cell>
          <cell r="F1566">
            <v>20170329</v>
          </cell>
          <cell r="G1566" t="str">
            <v>無保留意見</v>
          </cell>
        </row>
        <row r="1567">
          <cell r="A1567">
            <v>8291</v>
          </cell>
          <cell r="B1567" t="str">
            <v>尚茂電子</v>
          </cell>
          <cell r="C1567" t="str">
            <v>勤業眾信聯合會計師事務所</v>
          </cell>
          <cell r="D1567" t="str">
            <v>陳盈州</v>
          </cell>
          <cell r="E1567" t="str">
            <v>楊承修</v>
          </cell>
          <cell r="F1567">
            <v>20170324</v>
          </cell>
          <cell r="G1567" t="str">
            <v>無保留意見</v>
          </cell>
        </row>
        <row r="1568">
          <cell r="A1568">
            <v>8299</v>
          </cell>
          <cell r="B1568" t="str">
            <v>群聯電子</v>
          </cell>
          <cell r="C1568" t="str">
            <v>勤業眾信聯合會計師事務所</v>
          </cell>
          <cell r="D1568" t="str">
            <v>戴信維</v>
          </cell>
          <cell r="E1568" t="str">
            <v>范有偉</v>
          </cell>
          <cell r="F1568">
            <v>20170320</v>
          </cell>
          <cell r="G1568" t="str">
            <v>無保留意見</v>
          </cell>
        </row>
        <row r="1569">
          <cell r="A1569">
            <v>8349</v>
          </cell>
          <cell r="B1569" t="str">
            <v>恒耀國際</v>
          </cell>
          <cell r="C1569" t="str">
            <v>勤業眾信聯合會計師事務所</v>
          </cell>
          <cell r="D1569" t="str">
            <v>李季珍</v>
          </cell>
          <cell r="E1569" t="str">
            <v>龔俊吉</v>
          </cell>
          <cell r="F1569">
            <v>20170322</v>
          </cell>
          <cell r="G1569" t="str">
            <v>無保留意見</v>
          </cell>
        </row>
        <row r="1570">
          <cell r="A1570">
            <v>8354</v>
          </cell>
          <cell r="B1570" t="str">
            <v>冠好科技</v>
          </cell>
          <cell r="C1570" t="str">
            <v>安 侯 建 業 聯 合 會 計 師 事 務 所</v>
          </cell>
          <cell r="D1570" t="str">
            <v>陳君滿</v>
          </cell>
          <cell r="E1570" t="str">
            <v>張字信</v>
          </cell>
          <cell r="F1570">
            <v>20170321</v>
          </cell>
          <cell r="G1570" t="str">
            <v>無保留意見</v>
          </cell>
        </row>
        <row r="1571">
          <cell r="A1571">
            <v>8358</v>
          </cell>
          <cell r="B1571" t="str">
            <v>金居開發</v>
          </cell>
          <cell r="C1571" t="str">
            <v>勤業眾信聯合會計師事務所</v>
          </cell>
          <cell r="D1571" t="str">
            <v>蔡振財</v>
          </cell>
          <cell r="E1571" t="str">
            <v>邱盟捷</v>
          </cell>
          <cell r="F1571">
            <v>20170120</v>
          </cell>
          <cell r="G1571" t="str">
            <v>無保留意見</v>
          </cell>
        </row>
        <row r="1572">
          <cell r="A1572">
            <v>8383</v>
          </cell>
          <cell r="B1572" t="str">
            <v>千附</v>
          </cell>
          <cell r="C1572" t="str">
            <v>勤業眾信聯合會計師事務所</v>
          </cell>
          <cell r="D1572" t="str">
            <v>林宜慧</v>
          </cell>
          <cell r="E1572" t="str">
            <v>陳慧銘</v>
          </cell>
          <cell r="F1572">
            <v>20170315</v>
          </cell>
          <cell r="G1572" t="str">
            <v>無保留意見</v>
          </cell>
        </row>
        <row r="1573">
          <cell r="A1573">
            <v>8390</v>
          </cell>
          <cell r="B1573" t="str">
            <v>金益鼎</v>
          </cell>
          <cell r="C1573" t="str">
            <v>安侯建業聯合會計師事務所</v>
          </cell>
          <cell r="D1573" t="str">
            <v>余聖河</v>
          </cell>
          <cell r="E1573" t="str">
            <v>李慈慧</v>
          </cell>
          <cell r="F1573">
            <v>20170323</v>
          </cell>
          <cell r="G1573" t="str">
            <v>無保留意見</v>
          </cell>
        </row>
        <row r="1574">
          <cell r="A1574">
            <v>8401</v>
          </cell>
          <cell r="B1574" t="str">
            <v>白紗科技</v>
          </cell>
          <cell r="C1574" t="str">
            <v>安永聯合會計師事務所</v>
          </cell>
          <cell r="D1574" t="str">
            <v>嚴文筆</v>
          </cell>
          <cell r="E1574" t="str">
            <v>黃子評</v>
          </cell>
          <cell r="F1574">
            <v>20170310</v>
          </cell>
          <cell r="G1574" t="str">
            <v>無保留意見</v>
          </cell>
        </row>
        <row r="1575">
          <cell r="A1575">
            <v>8403</v>
          </cell>
          <cell r="B1575" t="str">
            <v>盛弘醫藥</v>
          </cell>
          <cell r="C1575" t="str">
            <v>勤業眾信聯合會計師事務所</v>
          </cell>
          <cell r="D1575" t="str">
            <v>劉永富</v>
          </cell>
          <cell r="E1575" t="str">
            <v>謝建新</v>
          </cell>
          <cell r="F1575">
            <v>20160308</v>
          </cell>
          <cell r="G1575" t="str">
            <v>無保留意見</v>
          </cell>
        </row>
        <row r="1576">
          <cell r="A1576">
            <v>8406</v>
          </cell>
          <cell r="B1576" t="str">
            <v>金可-KY</v>
          </cell>
          <cell r="C1576" t="str">
            <v>安侯建業聯合會計師事務所</v>
          </cell>
          <cell r="D1576" t="str">
            <v>梅元貞</v>
          </cell>
          <cell r="E1576" t="str">
            <v>林恒昇</v>
          </cell>
          <cell r="F1576">
            <v>20170316</v>
          </cell>
          <cell r="G1576" t="str">
            <v>無保留意見</v>
          </cell>
        </row>
        <row r="1577">
          <cell r="A1577">
            <v>8409</v>
          </cell>
          <cell r="B1577" t="str">
            <v>商之器</v>
          </cell>
          <cell r="C1577" t="str">
            <v>勤業眾信聯合會計師事務所</v>
          </cell>
          <cell r="D1577" t="str">
            <v>龔則立</v>
          </cell>
          <cell r="E1577" t="str">
            <v>楊清鎮</v>
          </cell>
          <cell r="F1577">
            <v>20170324</v>
          </cell>
          <cell r="G1577" t="str">
            <v>無保留意見</v>
          </cell>
        </row>
        <row r="1578">
          <cell r="A1578">
            <v>8410</v>
          </cell>
          <cell r="B1578" t="str">
            <v>森田</v>
          </cell>
          <cell r="C1578" t="str">
            <v>安侯建業聯合會計師事務所</v>
          </cell>
          <cell r="D1578" t="str">
            <v>楊博任</v>
          </cell>
          <cell r="E1578" t="str">
            <v>許振隆</v>
          </cell>
          <cell r="F1578">
            <v>20170320</v>
          </cell>
          <cell r="G1578" t="str">
            <v>無保留意見</v>
          </cell>
        </row>
        <row r="1579">
          <cell r="A1579">
            <v>8415</v>
          </cell>
          <cell r="B1579" t="str">
            <v>大國鋼</v>
          </cell>
          <cell r="C1579" t="str">
            <v>勤業眾信聯合會計師事務所</v>
          </cell>
          <cell r="D1579" t="str">
            <v>王燕景</v>
          </cell>
          <cell r="E1579" t="str">
            <v>廖鴻儒</v>
          </cell>
          <cell r="F1579">
            <v>20170324</v>
          </cell>
          <cell r="G1579" t="str">
            <v>無保留意見</v>
          </cell>
        </row>
        <row r="1580">
          <cell r="A1580">
            <v>8416</v>
          </cell>
          <cell r="B1580" t="str">
            <v>實威</v>
          </cell>
          <cell r="C1580" t="str">
            <v>資誠聯合會計師事務所</v>
          </cell>
          <cell r="D1580" t="str">
            <v>游淑芬</v>
          </cell>
          <cell r="E1580" t="str">
            <v>張淑瓊</v>
          </cell>
          <cell r="F1580">
            <v>20170223</v>
          </cell>
          <cell r="G1580" t="str">
            <v>無保留意見</v>
          </cell>
        </row>
        <row r="1581">
          <cell r="A1581">
            <v>8418</v>
          </cell>
          <cell r="B1581" t="str">
            <v>捷必勝-KY</v>
          </cell>
          <cell r="C1581" t="str">
            <v>勤業眾信聯合會計師事務所</v>
          </cell>
          <cell r="D1581" t="str">
            <v>李麗凰</v>
          </cell>
          <cell r="E1581" t="str">
            <v>翁博仁</v>
          </cell>
          <cell r="F1581">
            <v>20170331</v>
          </cell>
          <cell r="G1581" t="str">
            <v>無保留意見</v>
          </cell>
        </row>
        <row r="1582">
          <cell r="A1582">
            <v>8420</v>
          </cell>
          <cell r="B1582" t="str">
            <v>明揚</v>
          </cell>
          <cell r="C1582" t="str">
            <v>資誠聯合會計師事務所</v>
          </cell>
          <cell r="D1582" t="str">
            <v>廖阿甚</v>
          </cell>
          <cell r="E1582" t="str">
            <v>王國華</v>
          </cell>
          <cell r="F1582">
            <v>20170308</v>
          </cell>
          <cell r="G1582" t="str">
            <v>無保留意見</v>
          </cell>
        </row>
        <row r="1583">
          <cell r="A1583">
            <v>8421</v>
          </cell>
          <cell r="B1583" t="str">
            <v>旭源</v>
          </cell>
          <cell r="C1583" t="str">
            <v>勤業眾信聯合會計師事務所</v>
          </cell>
          <cell r="D1583" t="str">
            <v>方蘇立</v>
          </cell>
          <cell r="E1583" t="str">
            <v>高逸欣</v>
          </cell>
          <cell r="F1583">
            <v>20160317</v>
          </cell>
          <cell r="G1583" t="str">
            <v>無保留意見</v>
          </cell>
        </row>
        <row r="1584">
          <cell r="A1584">
            <v>8423</v>
          </cell>
          <cell r="B1584" t="str">
            <v>保綠-KY</v>
          </cell>
          <cell r="C1584" t="str">
            <v>安侯建業聯合會計師事務所</v>
          </cell>
          <cell r="D1584" t="str">
            <v>林恒昇</v>
          </cell>
          <cell r="E1584" t="str">
            <v>王清松</v>
          </cell>
          <cell r="F1584">
            <v>20170321</v>
          </cell>
          <cell r="G1584" t="str">
            <v>無保留意見</v>
          </cell>
        </row>
        <row r="1585">
          <cell r="A1585">
            <v>8424</v>
          </cell>
          <cell r="B1585" t="str">
            <v>惠普</v>
          </cell>
          <cell r="C1585" t="str">
            <v>安永聯合會計師事務所</v>
          </cell>
          <cell r="D1585" t="str">
            <v>余倩如</v>
          </cell>
          <cell r="E1585" t="str">
            <v>許新民</v>
          </cell>
          <cell r="F1585">
            <v>20170223</v>
          </cell>
          <cell r="G1585" t="str">
            <v>無保留意見</v>
          </cell>
        </row>
        <row r="1586">
          <cell r="A1586">
            <v>8426</v>
          </cell>
          <cell r="B1586" t="str">
            <v>紅木-KY</v>
          </cell>
          <cell r="C1586" t="str">
            <v>勤業眾信聯合會計師事務所</v>
          </cell>
          <cell r="D1586" t="str">
            <v>陳慧銘會計師</v>
          </cell>
          <cell r="E1586" t="str">
            <v>翁博仁會計師</v>
          </cell>
          <cell r="F1586">
            <v>20170320</v>
          </cell>
          <cell r="G1586" t="str">
            <v>無保留意見</v>
          </cell>
        </row>
        <row r="1587">
          <cell r="A1587">
            <v>8431</v>
          </cell>
          <cell r="B1587" t="str">
            <v>匯鑽科</v>
          </cell>
          <cell r="C1587" t="str">
            <v>勤業眾信聯合會計師事務所</v>
          </cell>
          <cell r="D1587" t="str">
            <v>陳重成</v>
          </cell>
          <cell r="E1587" t="str">
            <v>陳招美</v>
          </cell>
          <cell r="F1587">
            <v>20170331</v>
          </cell>
          <cell r="G1587" t="str">
            <v>無保留意見</v>
          </cell>
        </row>
        <row r="1588">
          <cell r="A1588">
            <v>8432</v>
          </cell>
          <cell r="B1588" t="str">
            <v>東生華</v>
          </cell>
          <cell r="C1588" t="str">
            <v>安侯建業聯合會計師事務所</v>
          </cell>
          <cell r="D1588" t="str">
            <v>池世欽</v>
          </cell>
          <cell r="E1588" t="str">
            <v>曾國禓</v>
          </cell>
          <cell r="F1588">
            <v>20170308</v>
          </cell>
          <cell r="G1588" t="str">
            <v>無保留意見</v>
          </cell>
        </row>
        <row r="1589">
          <cell r="A1589">
            <v>8433</v>
          </cell>
          <cell r="B1589" t="str">
            <v>弘帆</v>
          </cell>
          <cell r="C1589" t="str">
            <v>勤業眾信聯合會計師事務所</v>
          </cell>
          <cell r="D1589" t="str">
            <v>龔雙雄</v>
          </cell>
          <cell r="E1589" t="str">
            <v>李麗凰</v>
          </cell>
          <cell r="F1589">
            <v>20170330</v>
          </cell>
          <cell r="G1589" t="str">
            <v>無保留意見</v>
          </cell>
        </row>
        <row r="1590">
          <cell r="A1590">
            <v>8435</v>
          </cell>
          <cell r="B1590" t="str">
            <v>鉅邁</v>
          </cell>
          <cell r="C1590" t="str">
            <v>勤業眾信聯合會計師事務所</v>
          </cell>
          <cell r="D1590" t="str">
            <v>陳慧銘</v>
          </cell>
          <cell r="E1590" t="str">
            <v>謝明忠</v>
          </cell>
          <cell r="F1590">
            <v>20170311</v>
          </cell>
          <cell r="G1590" t="str">
            <v>無保留意見</v>
          </cell>
        </row>
        <row r="1591">
          <cell r="A1591">
            <v>8436</v>
          </cell>
          <cell r="B1591" t="str">
            <v>大江生醫</v>
          </cell>
          <cell r="C1591" t="str">
            <v>資誠聯合會計師事務所</v>
          </cell>
          <cell r="D1591" t="str">
            <v>支秉鈞</v>
          </cell>
          <cell r="E1591" t="str">
            <v>王國華</v>
          </cell>
          <cell r="F1591">
            <v>20170301</v>
          </cell>
          <cell r="G1591" t="str">
            <v>無保留意見</v>
          </cell>
        </row>
        <row r="1592">
          <cell r="A1592">
            <v>8437</v>
          </cell>
          <cell r="B1592" t="str">
            <v>大地-KY</v>
          </cell>
          <cell r="C1592" t="str">
            <v>資誠聯合會計師事務所</v>
          </cell>
          <cell r="D1592" t="str">
            <v>林玉寬</v>
          </cell>
          <cell r="E1592" t="str">
            <v>曾國華</v>
          </cell>
          <cell r="F1592">
            <v>20170321</v>
          </cell>
          <cell r="G1592" t="str">
            <v>無保留意見</v>
          </cell>
        </row>
        <row r="1593">
          <cell r="A1593">
            <v>8444</v>
          </cell>
          <cell r="B1593" t="str">
            <v>綠河-KY</v>
          </cell>
          <cell r="C1593" t="str">
            <v>安侯建業聯合會計師事務所</v>
          </cell>
          <cell r="D1593" t="str">
            <v>關春修</v>
          </cell>
          <cell r="E1593" t="str">
            <v>呂莉莉</v>
          </cell>
          <cell r="F1593">
            <v>20170310</v>
          </cell>
          <cell r="G1593" t="str">
            <v>無保留意見</v>
          </cell>
        </row>
        <row r="1594">
          <cell r="A1594">
            <v>8446</v>
          </cell>
          <cell r="B1594" t="str">
            <v>華研音樂</v>
          </cell>
          <cell r="C1594" t="str">
            <v>資誠聯合會計師事務所</v>
          </cell>
          <cell r="D1594" t="str">
            <v>曾惠瑾</v>
          </cell>
          <cell r="E1594" t="str">
            <v>周筱姿</v>
          </cell>
          <cell r="F1594">
            <v>20170313</v>
          </cell>
          <cell r="G1594" t="str">
            <v>無保留意見</v>
          </cell>
        </row>
        <row r="1595">
          <cell r="A1595">
            <v>8450</v>
          </cell>
          <cell r="B1595" t="str">
            <v>霹靂</v>
          </cell>
          <cell r="C1595" t="str">
            <v>資誠聯合會計師事務所</v>
          </cell>
          <cell r="D1595" t="str">
            <v>吳漢期</v>
          </cell>
          <cell r="E1595" t="str">
            <v>周建宏</v>
          </cell>
          <cell r="F1595">
            <v>20170306</v>
          </cell>
          <cell r="G1595" t="str">
            <v>無保留意見</v>
          </cell>
        </row>
        <row r="1596">
          <cell r="A1596">
            <v>8455</v>
          </cell>
          <cell r="B1596" t="str">
            <v>大拓-KY</v>
          </cell>
          <cell r="C1596" t="str">
            <v>勤業眾信聯合會計師事務所</v>
          </cell>
          <cell r="D1596" t="str">
            <v>張瑞娜</v>
          </cell>
          <cell r="E1596" t="str">
            <v>劉江抱</v>
          </cell>
          <cell r="F1596">
            <v>20170314</v>
          </cell>
          <cell r="G1596" t="str">
            <v>無保留意見</v>
          </cell>
        </row>
        <row r="1597">
          <cell r="A1597">
            <v>8462</v>
          </cell>
          <cell r="B1597" t="str">
            <v>柏文</v>
          </cell>
          <cell r="C1597" t="str">
            <v>安永聯合會計師事務所</v>
          </cell>
          <cell r="D1597" t="str">
            <v>陳政初</v>
          </cell>
          <cell r="E1597" t="str">
            <v>李芳文</v>
          </cell>
          <cell r="F1597">
            <v>20170314</v>
          </cell>
          <cell r="G1597" t="str">
            <v>無保留意見</v>
          </cell>
        </row>
        <row r="1598">
          <cell r="A1598">
            <v>8472</v>
          </cell>
          <cell r="B1598" t="str">
            <v>夠麻吉</v>
          </cell>
          <cell r="C1598" t="str">
            <v>安永聯合會計師事務所</v>
          </cell>
          <cell r="D1598" t="str">
            <v>鄭清標</v>
          </cell>
          <cell r="E1598" t="str">
            <v>洪茂益</v>
          </cell>
          <cell r="F1598">
            <v>20170323</v>
          </cell>
          <cell r="G1598" t="str">
            <v>無保留意見</v>
          </cell>
        </row>
        <row r="1599">
          <cell r="A1599">
            <v>8476</v>
          </cell>
          <cell r="B1599" t="str">
            <v>台境</v>
          </cell>
          <cell r="C1599" t="str">
            <v>勤業眾信聯合會計師事務所</v>
          </cell>
          <cell r="D1599" t="str">
            <v>李季珍</v>
          </cell>
          <cell r="E1599" t="str">
            <v>廖鴻儒</v>
          </cell>
          <cell r="F1599">
            <v>20170213</v>
          </cell>
          <cell r="G1599" t="str">
            <v>無保留意見</v>
          </cell>
        </row>
        <row r="1600">
          <cell r="A1600">
            <v>8477</v>
          </cell>
          <cell r="B1600" t="str">
            <v>創業家</v>
          </cell>
          <cell r="C1600" t="str">
            <v>勤業眾信聯合會計師事務所</v>
          </cell>
          <cell r="D1600" t="str">
            <v>簡明彥</v>
          </cell>
          <cell r="E1600" t="str">
            <v>韋亮發</v>
          </cell>
          <cell r="F1600">
            <v>20170315</v>
          </cell>
          <cell r="G1600" t="str">
            <v>無保留意見</v>
          </cell>
        </row>
        <row r="1601">
          <cell r="A1601">
            <v>8905</v>
          </cell>
          <cell r="B1601" t="str">
            <v>裕國冷凍</v>
          </cell>
          <cell r="C1601" t="str">
            <v>安侯建業聯合會計師事務所</v>
          </cell>
          <cell r="D1601" t="str">
            <v>張字信</v>
          </cell>
          <cell r="E1601" t="str">
            <v>陳君滿</v>
          </cell>
          <cell r="F1601">
            <v>20170328</v>
          </cell>
          <cell r="G1601" t="str">
            <v>無保留意見</v>
          </cell>
        </row>
        <row r="1602">
          <cell r="A1602">
            <v>8906</v>
          </cell>
          <cell r="B1602" t="str">
            <v>花王企業</v>
          </cell>
          <cell r="C1602" t="str">
            <v>資誠聯合會計師事務所</v>
          </cell>
          <cell r="D1602" t="str">
            <v>張祚誠</v>
          </cell>
          <cell r="E1602" t="str">
            <v>王方瑜</v>
          </cell>
          <cell r="F1602">
            <v>20170321</v>
          </cell>
          <cell r="G1602" t="str">
            <v>無保留意見</v>
          </cell>
        </row>
        <row r="1603">
          <cell r="A1603">
            <v>8908</v>
          </cell>
          <cell r="B1603" t="str">
            <v>欣雄</v>
          </cell>
          <cell r="C1603" t="str">
            <v>安永聯合會計師事務所</v>
          </cell>
          <cell r="D1603" t="str">
            <v>傅文芳</v>
          </cell>
          <cell r="E1603" t="str">
            <v>黃世杰</v>
          </cell>
          <cell r="F1603">
            <v>20170315</v>
          </cell>
          <cell r="G1603" t="str">
            <v>無保留意見</v>
          </cell>
        </row>
        <row r="1604">
          <cell r="A1604">
            <v>8913</v>
          </cell>
          <cell r="B1604" t="str">
            <v>全銓</v>
          </cell>
          <cell r="C1604" t="str">
            <v>資誠聯合會計師事務所</v>
          </cell>
          <cell r="D1604" t="str">
            <v>廖阿甚</v>
          </cell>
          <cell r="E1604" t="str">
            <v>蕭春鴛</v>
          </cell>
          <cell r="F1604">
            <v>20170324</v>
          </cell>
          <cell r="G1604" t="str">
            <v>無保留意見</v>
          </cell>
        </row>
        <row r="1605">
          <cell r="A1605">
            <v>8916</v>
          </cell>
          <cell r="B1605" t="str">
            <v>光隆</v>
          </cell>
          <cell r="C1605" t="str">
            <v>勤業眾信聯合會計師事務所</v>
          </cell>
          <cell r="D1605" t="str">
            <v>蔡振財</v>
          </cell>
          <cell r="E1605" t="str">
            <v>鄭欽宗</v>
          </cell>
          <cell r="F1605">
            <v>20170324</v>
          </cell>
          <cell r="G1605" t="str">
            <v>無保留意見</v>
          </cell>
        </row>
        <row r="1606">
          <cell r="A1606">
            <v>8917</v>
          </cell>
          <cell r="B1606" t="str">
            <v>欣泰</v>
          </cell>
          <cell r="C1606" t="str">
            <v>勤業眾信聯合會計師事務所</v>
          </cell>
          <cell r="D1606" t="str">
            <v>游素環</v>
          </cell>
          <cell r="E1606" t="str">
            <v>李麗凰</v>
          </cell>
          <cell r="F1606">
            <v>20170321</v>
          </cell>
          <cell r="G1606" t="str">
            <v>無保留意見</v>
          </cell>
        </row>
        <row r="1607">
          <cell r="A1607">
            <v>8921</v>
          </cell>
          <cell r="B1607" t="str">
            <v>沈氏藝印</v>
          </cell>
          <cell r="C1607" t="str">
            <v>國富浩華聯合會計師事務所</v>
          </cell>
          <cell r="D1607" t="str">
            <v>諶清</v>
          </cell>
          <cell r="E1607" t="str">
            <v>林金鳳</v>
          </cell>
          <cell r="F1607">
            <v>20170322</v>
          </cell>
          <cell r="G1607" t="str">
            <v>無保留意見</v>
          </cell>
        </row>
        <row r="1608">
          <cell r="A1608">
            <v>8923</v>
          </cell>
          <cell r="B1608" t="str">
            <v>時報文化</v>
          </cell>
          <cell r="C1608" t="str">
            <v>勤業眾信聯合會計師事務所</v>
          </cell>
          <cell r="D1608" t="str">
            <v>邱盟捷</v>
          </cell>
          <cell r="E1608" t="str">
            <v>林安惠</v>
          </cell>
          <cell r="F1608">
            <v>20170308</v>
          </cell>
          <cell r="G1608" t="str">
            <v>無保留意見</v>
          </cell>
        </row>
        <row r="1609">
          <cell r="A1609">
            <v>8924</v>
          </cell>
          <cell r="B1609" t="str">
            <v>大田精密</v>
          </cell>
          <cell r="C1609" t="str">
            <v>展立聯合會計師事務所</v>
          </cell>
          <cell r="D1609" t="str">
            <v>陳　文　達</v>
          </cell>
          <cell r="E1609" t="str">
            <v>曾　有　財</v>
          </cell>
          <cell r="F1609">
            <v>20170320</v>
          </cell>
          <cell r="G1609" t="str">
            <v>無保留意見</v>
          </cell>
        </row>
        <row r="1610">
          <cell r="A1610">
            <v>8927</v>
          </cell>
          <cell r="B1610" t="str">
            <v>北基</v>
          </cell>
          <cell r="C1610" t="str">
            <v>安侯建業聯合會計師事務所</v>
          </cell>
          <cell r="D1610" t="str">
            <v>余聖河</v>
          </cell>
          <cell r="E1610" t="str">
            <v>李慈慧</v>
          </cell>
          <cell r="F1610">
            <v>20170323</v>
          </cell>
          <cell r="G1610" t="str">
            <v>無保留意見-繼續經營能力存在重大不確定性/繼續經營假設存有重大疑慮</v>
          </cell>
        </row>
        <row r="1611">
          <cell r="A1611">
            <v>8928</v>
          </cell>
          <cell r="B1611" t="str">
            <v>鉅明</v>
          </cell>
          <cell r="C1611" t="str">
            <v>安侯建業聯合會計師事務所</v>
          </cell>
          <cell r="D1611" t="str">
            <v>許振隆</v>
          </cell>
          <cell r="E1611" t="str">
            <v>楊博任</v>
          </cell>
          <cell r="F1611">
            <v>20170313</v>
          </cell>
          <cell r="G1611" t="str">
            <v>無保留意見</v>
          </cell>
        </row>
        <row r="1612">
          <cell r="A1612">
            <v>8929</v>
          </cell>
          <cell r="B1612" t="str">
            <v>富堡</v>
          </cell>
          <cell r="C1612" t="str">
            <v>正風聯合會計師事務所</v>
          </cell>
          <cell r="D1612" t="str">
            <v>曾國富</v>
          </cell>
          <cell r="E1612" t="str">
            <v>賴家裕</v>
          </cell>
          <cell r="F1612">
            <v>20170323</v>
          </cell>
          <cell r="G1612" t="str">
            <v>無保留意見</v>
          </cell>
        </row>
        <row r="1613">
          <cell r="A1613">
            <v>8930</v>
          </cell>
          <cell r="B1613" t="str">
            <v>青鋼</v>
          </cell>
          <cell r="C1613" t="str">
            <v>安侯建業聯合會計師事務所</v>
          </cell>
          <cell r="D1613" t="str">
            <v>許振隆</v>
          </cell>
          <cell r="E1613" t="str">
            <v>楊博任</v>
          </cell>
          <cell r="F1613">
            <v>20170323</v>
          </cell>
          <cell r="G1613" t="str">
            <v>無保留意見</v>
          </cell>
        </row>
        <row r="1614">
          <cell r="A1614">
            <v>8931</v>
          </cell>
          <cell r="B1614" t="str">
            <v>大園汽電</v>
          </cell>
          <cell r="C1614" t="str">
            <v>勤業眾信聯合會計師事務所</v>
          </cell>
          <cell r="D1614" t="str">
            <v>翁博仁</v>
          </cell>
          <cell r="E1614" t="str">
            <v>游素環</v>
          </cell>
          <cell r="F1614">
            <v>20170322</v>
          </cell>
          <cell r="G1614" t="str">
            <v>無保留意見</v>
          </cell>
        </row>
        <row r="1615">
          <cell r="A1615">
            <v>8932</v>
          </cell>
          <cell r="B1615" t="str">
            <v>宏大拉鍊</v>
          </cell>
          <cell r="C1615" t="str">
            <v>勤業眾信聯合會計師事務所</v>
          </cell>
          <cell r="D1615" t="str">
            <v>楊靜婷</v>
          </cell>
          <cell r="E1615" t="str">
            <v>龔則立</v>
          </cell>
          <cell r="F1615">
            <v>20170324</v>
          </cell>
          <cell r="G1615" t="str">
            <v>無保留意見</v>
          </cell>
        </row>
        <row r="1616">
          <cell r="A1616">
            <v>8933</v>
          </cell>
          <cell r="B1616" t="str">
            <v>愛地雅</v>
          </cell>
          <cell r="C1616" t="str">
            <v>國富浩華聯合會計師事務所</v>
          </cell>
          <cell r="D1616" t="str">
            <v>黃勝義</v>
          </cell>
          <cell r="E1616" t="str">
            <v>林汀培(金字旁)</v>
          </cell>
          <cell r="F1616">
            <v>20170327</v>
          </cell>
          <cell r="G1616" t="str">
            <v>無保留意見</v>
          </cell>
        </row>
        <row r="1617">
          <cell r="A1617">
            <v>8934</v>
          </cell>
          <cell r="B1617" t="str">
            <v>衡平</v>
          </cell>
          <cell r="C1617" t="str">
            <v>安侯建業聯合會計師事務所</v>
          </cell>
          <cell r="D1617" t="str">
            <v>吳美萍</v>
          </cell>
          <cell r="E1617" t="str">
            <v>黃泳華</v>
          </cell>
          <cell r="F1617">
            <v>20170324</v>
          </cell>
          <cell r="G1617" t="str">
            <v>無保留意見</v>
          </cell>
        </row>
        <row r="1618">
          <cell r="A1618">
            <v>8935</v>
          </cell>
          <cell r="B1618" t="str">
            <v>邦泰</v>
          </cell>
          <cell r="C1618" t="str">
            <v>安永聯合會計師事務所</v>
          </cell>
          <cell r="D1618" t="str">
            <v>嚴文筆</v>
          </cell>
          <cell r="E1618" t="str">
            <v>?清淵</v>
          </cell>
          <cell r="F1618">
            <v>20170313</v>
          </cell>
          <cell r="G1618" t="str">
            <v>無保留意見</v>
          </cell>
        </row>
        <row r="1619">
          <cell r="A1619">
            <v>8936</v>
          </cell>
          <cell r="B1619" t="str">
            <v>國統國際</v>
          </cell>
          <cell r="C1619" t="str">
            <v>安 侯 建 業 聯 合 會 計 師 事 務 所</v>
          </cell>
          <cell r="D1619" t="str">
            <v>陳國宗</v>
          </cell>
          <cell r="E1619" t="str">
            <v>許振隆</v>
          </cell>
          <cell r="F1619">
            <v>20170327</v>
          </cell>
          <cell r="G1619" t="str">
            <v>無保留意見</v>
          </cell>
        </row>
        <row r="1620">
          <cell r="A1620">
            <v>8937</v>
          </cell>
          <cell r="B1620" t="str">
            <v>合騏工業</v>
          </cell>
          <cell r="C1620" t="str">
            <v>正風聯合會計師事務所</v>
          </cell>
          <cell r="D1620" t="str">
            <v>丁鴻勛</v>
          </cell>
          <cell r="E1620" t="str">
            <v>鄭憲修</v>
          </cell>
          <cell r="F1620">
            <v>20170321</v>
          </cell>
          <cell r="G1620" t="str">
            <v>無保留意見</v>
          </cell>
        </row>
        <row r="1621">
          <cell r="A1621">
            <v>8938</v>
          </cell>
          <cell r="B1621" t="str">
            <v>明安</v>
          </cell>
          <cell r="C1621" t="str">
            <v>資誠聯合會計師事務所</v>
          </cell>
          <cell r="D1621" t="str">
            <v>廖阿甚</v>
          </cell>
          <cell r="E1621" t="str">
            <v>王國華</v>
          </cell>
          <cell r="F1621">
            <v>20170308</v>
          </cell>
          <cell r="G1621" t="str">
            <v>無保留意見</v>
          </cell>
        </row>
        <row r="1622">
          <cell r="A1622">
            <v>8941</v>
          </cell>
          <cell r="B1622" t="str">
            <v>關中</v>
          </cell>
          <cell r="C1622" t="str">
            <v>安 侯 建 業 聯 合 會 計 師 事 務 所</v>
          </cell>
          <cell r="D1622" t="str">
            <v>羅瑞蘭</v>
          </cell>
          <cell r="E1622" t="str">
            <v>顏幸福</v>
          </cell>
          <cell r="F1622">
            <v>20170328</v>
          </cell>
          <cell r="G1622" t="str">
            <v>無保留意見</v>
          </cell>
        </row>
        <row r="1623">
          <cell r="A1623">
            <v>8942</v>
          </cell>
          <cell r="B1623" t="str">
            <v>森鉅</v>
          </cell>
          <cell r="C1623" t="str">
            <v>安侯建業聯合會計師事務所</v>
          </cell>
          <cell r="D1623" t="str">
            <v>張嘉信</v>
          </cell>
          <cell r="E1623" t="str">
            <v>許振隆</v>
          </cell>
          <cell r="F1623">
            <v>20170301</v>
          </cell>
          <cell r="G1623" t="str">
            <v>無保留意見</v>
          </cell>
        </row>
        <row r="1624">
          <cell r="A1624">
            <v>9949</v>
          </cell>
          <cell r="B1624" t="str">
            <v>琉園</v>
          </cell>
          <cell r="C1624" t="str">
            <v>勤業眾信聯合會計師事務所</v>
          </cell>
          <cell r="D1624" t="str">
            <v>卓明信</v>
          </cell>
          <cell r="E1624" t="str">
            <v>吳恪昌</v>
          </cell>
          <cell r="F1624">
            <v>20170317</v>
          </cell>
          <cell r="G1624" t="str">
            <v>無保留意見</v>
          </cell>
        </row>
        <row r="1625">
          <cell r="A1625">
            <v>9950</v>
          </cell>
          <cell r="B1625" t="str">
            <v>萬國通路</v>
          </cell>
          <cell r="C1625" t="str">
            <v>安永聯合會計師事務所</v>
          </cell>
          <cell r="D1625" t="str">
            <v>黃世杰</v>
          </cell>
          <cell r="E1625" t="str">
            <v>胡子仁</v>
          </cell>
          <cell r="F1625">
            <v>20170324</v>
          </cell>
          <cell r="G1625" t="str">
            <v>無保留意見</v>
          </cell>
        </row>
        <row r="1626">
          <cell r="A1626">
            <v>9951</v>
          </cell>
          <cell r="B1626" t="str">
            <v>皇田工業</v>
          </cell>
          <cell r="C1626" t="str">
            <v>資誠聯合會計師事務所</v>
          </cell>
          <cell r="D1626" t="str">
            <v>劉子猛</v>
          </cell>
          <cell r="E1626" t="str">
            <v>林姿妤</v>
          </cell>
          <cell r="F1626">
            <v>20170317</v>
          </cell>
          <cell r="G1626" t="str">
            <v>無保留意見</v>
          </cell>
        </row>
        <row r="1627">
          <cell r="A1627">
            <v>9960</v>
          </cell>
          <cell r="B1627" t="str">
            <v>邁達康</v>
          </cell>
          <cell r="C1627" t="str">
            <v>勤業眾信聯合會計師事務所</v>
          </cell>
          <cell r="D1627" t="str">
            <v>許瑞軒</v>
          </cell>
          <cell r="E1627" t="str">
            <v>郭麗園</v>
          </cell>
          <cell r="F1627">
            <v>20170317</v>
          </cell>
          <cell r="G1627" t="str">
            <v>無保留意見</v>
          </cell>
        </row>
        <row r="1628">
          <cell r="A1628">
            <v>9962</v>
          </cell>
          <cell r="B1628" t="str">
            <v>有益鋼鐵</v>
          </cell>
          <cell r="C1628" t="str">
            <v>國富浩華聯合會計師事務所</v>
          </cell>
          <cell r="D1628" t="str">
            <v>李青霖</v>
          </cell>
          <cell r="E1628" t="str">
            <v>謝仁耀</v>
          </cell>
          <cell r="F1628">
            <v>20170307</v>
          </cell>
          <cell r="G1628" t="str">
            <v>無保留意見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工作表3"/>
  <dimension ref="A1:G19"/>
  <sheetViews>
    <sheetView workbookViewId="0">
      <selection activeCell="L8" sqref="L8"/>
    </sheetView>
  </sheetViews>
  <sheetFormatPr defaultRowHeight="15" x14ac:dyDescent="0.25"/>
  <cols>
    <col min="1" max="1" width="11.25" style="50" bestFit="1" customWidth="1"/>
    <col min="2" max="16384" width="9" style="50"/>
  </cols>
  <sheetData>
    <row r="1" spans="1:7" s="49" customFormat="1" ht="16.5" x14ac:dyDescent="0.25">
      <c r="A1" s="49" t="s">
        <v>135</v>
      </c>
      <c r="B1" s="49">
        <v>2892</v>
      </c>
      <c r="C1" s="49">
        <v>2886</v>
      </c>
      <c r="D1" s="49">
        <v>2881</v>
      </c>
    </row>
    <row r="2" spans="1:7" s="51" customFormat="1" ht="16.5" x14ac:dyDescent="0.25">
      <c r="A2" s="51" t="s">
        <v>136</v>
      </c>
      <c r="B2" s="51">
        <f>AVERAGE(B9:B19)</f>
        <v>0.75</v>
      </c>
      <c r="C2" s="51">
        <f>AVERAGE(D9:D19)</f>
        <v>1.1281818181818182</v>
      </c>
      <c r="D2" s="51">
        <f>AVERAGE(F9:F19)</f>
        <v>1.3772727272727272</v>
      </c>
    </row>
    <row r="3" spans="1:7" s="54" customFormat="1" ht="16.5" x14ac:dyDescent="0.25">
      <c r="A3" s="52" t="s">
        <v>139</v>
      </c>
      <c r="B3" s="53">
        <f>B2/5%</f>
        <v>15</v>
      </c>
      <c r="C3" s="53">
        <f>C2/5%</f>
        <v>22.563636363636363</v>
      </c>
      <c r="D3" s="53">
        <f>D2/5%</f>
        <v>27.545454545454543</v>
      </c>
    </row>
    <row r="4" spans="1:7" ht="16.5" x14ac:dyDescent="0.25">
      <c r="A4" s="55" t="s">
        <v>140</v>
      </c>
      <c r="B4" s="51">
        <f>B2/7.5%</f>
        <v>10</v>
      </c>
      <c r="C4" s="51">
        <f>C2/7.5%</f>
        <v>15.042424242424243</v>
      </c>
      <c r="D4" s="51">
        <f>D2/7.5%</f>
        <v>18.363636363636363</v>
      </c>
    </row>
    <row r="5" spans="1:7" ht="16.5" x14ac:dyDescent="0.25">
      <c r="A5" s="55" t="s">
        <v>141</v>
      </c>
      <c r="B5" s="51">
        <f>B2/10%</f>
        <v>7.5</v>
      </c>
      <c r="C5" s="51">
        <f>C2/10%</f>
        <v>11.281818181818181</v>
      </c>
      <c r="D5" s="51">
        <f>D2/10%</f>
        <v>13.772727272727272</v>
      </c>
    </row>
    <row r="6" spans="1:7" x14ac:dyDescent="0.25">
      <c r="A6" s="55"/>
      <c r="B6" s="51"/>
      <c r="C6" s="51"/>
    </row>
    <row r="7" spans="1:7" ht="16.5" x14ac:dyDescent="0.25">
      <c r="B7" s="50">
        <v>2892</v>
      </c>
      <c r="C7" s="58" t="s">
        <v>144</v>
      </c>
      <c r="D7" s="50">
        <v>2886</v>
      </c>
      <c r="E7" s="58" t="s">
        <v>143</v>
      </c>
      <c r="F7" s="50">
        <v>2881</v>
      </c>
      <c r="G7" s="57" t="s">
        <v>142</v>
      </c>
    </row>
    <row r="8" spans="1:7" ht="16.5" x14ac:dyDescent="0.25">
      <c r="B8" s="50" t="s">
        <v>137</v>
      </c>
      <c r="C8" s="50" t="s">
        <v>138</v>
      </c>
      <c r="D8" s="50" t="s">
        <v>137</v>
      </c>
      <c r="E8" s="50" t="s">
        <v>138</v>
      </c>
      <c r="F8" s="50" t="s">
        <v>137</v>
      </c>
      <c r="G8" s="50" t="s">
        <v>138</v>
      </c>
    </row>
    <row r="9" spans="1:7" x14ac:dyDescent="0.25">
      <c r="A9" s="50">
        <v>2015</v>
      </c>
      <c r="B9" s="50">
        <v>0.95</v>
      </c>
      <c r="C9" s="50">
        <v>0.45</v>
      </c>
      <c r="D9" s="50">
        <v>1.5</v>
      </c>
      <c r="E9" s="50">
        <v>0</v>
      </c>
      <c r="F9" s="50">
        <v>2</v>
      </c>
      <c r="G9" s="50">
        <v>0</v>
      </c>
    </row>
    <row r="10" spans="1:7" x14ac:dyDescent="0.25">
      <c r="A10" s="50">
        <v>2014</v>
      </c>
      <c r="B10" s="56">
        <v>0.7</v>
      </c>
      <c r="C10" s="56">
        <v>0.65</v>
      </c>
      <c r="D10" s="56">
        <v>1.4</v>
      </c>
      <c r="E10" s="56">
        <v>0</v>
      </c>
      <c r="F10" s="56">
        <v>3</v>
      </c>
      <c r="G10" s="56">
        <v>0</v>
      </c>
    </row>
    <row r="11" spans="1:7" x14ac:dyDescent="0.25">
      <c r="A11" s="50">
        <v>2013</v>
      </c>
      <c r="B11" s="56">
        <v>0.5</v>
      </c>
      <c r="C11" s="56">
        <v>0.7</v>
      </c>
      <c r="D11" s="56">
        <v>1.1100000000000001</v>
      </c>
      <c r="E11" s="56">
        <v>0</v>
      </c>
      <c r="F11" s="56">
        <v>1.5</v>
      </c>
      <c r="G11" s="56">
        <v>0</v>
      </c>
    </row>
    <row r="12" spans="1:7" x14ac:dyDescent="0.25">
      <c r="A12" s="50">
        <v>2012</v>
      </c>
      <c r="B12" s="56">
        <v>0.45</v>
      </c>
      <c r="C12" s="56">
        <v>0.65</v>
      </c>
      <c r="D12" s="56">
        <v>1.1000000000000001</v>
      </c>
      <c r="E12" s="56">
        <v>0</v>
      </c>
      <c r="F12" s="56">
        <v>1</v>
      </c>
      <c r="G12" s="56">
        <v>0</v>
      </c>
    </row>
    <row r="13" spans="1:7" x14ac:dyDescent="0.25">
      <c r="A13" s="50">
        <v>2011</v>
      </c>
      <c r="B13" s="56">
        <v>0.4</v>
      </c>
      <c r="C13" s="56">
        <v>0.6</v>
      </c>
      <c r="D13" s="56">
        <v>0.85</v>
      </c>
      <c r="E13" s="56">
        <v>0.15</v>
      </c>
      <c r="F13" s="56">
        <v>1</v>
      </c>
      <c r="G13" s="56">
        <v>0.5</v>
      </c>
    </row>
    <row r="14" spans="1:7" x14ac:dyDescent="0.25">
      <c r="A14" s="50">
        <v>2010</v>
      </c>
      <c r="B14" s="56">
        <v>0.3</v>
      </c>
      <c r="C14" s="56">
        <v>0.6</v>
      </c>
      <c r="D14" s="56">
        <v>0.9</v>
      </c>
      <c r="E14" s="56">
        <v>0.2</v>
      </c>
      <c r="F14" s="56">
        <v>1</v>
      </c>
      <c r="G14" s="56">
        <v>0.5</v>
      </c>
    </row>
    <row r="15" spans="1:7" x14ac:dyDescent="0.25">
      <c r="A15" s="50">
        <v>2009</v>
      </c>
      <c r="B15" s="56">
        <v>0.5</v>
      </c>
      <c r="C15" s="56">
        <v>0.25</v>
      </c>
      <c r="D15" s="56">
        <v>1</v>
      </c>
      <c r="E15" s="56">
        <v>0</v>
      </c>
      <c r="F15" s="56">
        <v>2</v>
      </c>
      <c r="G15" s="56">
        <v>0.5</v>
      </c>
    </row>
    <row r="16" spans="1:7" x14ac:dyDescent="0.25">
      <c r="A16" s="50">
        <v>2008</v>
      </c>
      <c r="B16" s="56">
        <v>0.5</v>
      </c>
      <c r="C16" s="56">
        <v>0.25</v>
      </c>
      <c r="D16" s="56">
        <v>0.25</v>
      </c>
      <c r="E16" s="56">
        <v>0</v>
      </c>
      <c r="F16" s="56">
        <v>0</v>
      </c>
      <c r="G16" s="56">
        <v>0</v>
      </c>
    </row>
    <row r="17" spans="1:7" x14ac:dyDescent="0.25">
      <c r="A17" s="50">
        <v>2007</v>
      </c>
      <c r="B17" s="56">
        <v>1.7</v>
      </c>
      <c r="C17" s="56">
        <v>0.12</v>
      </c>
      <c r="D17" s="56">
        <v>1.25</v>
      </c>
      <c r="E17" s="56">
        <v>0</v>
      </c>
      <c r="F17" s="56">
        <v>1.5</v>
      </c>
      <c r="G17" s="56">
        <v>0</v>
      </c>
    </row>
    <row r="18" spans="1:7" x14ac:dyDescent="0.25">
      <c r="A18" s="50">
        <v>2006</v>
      </c>
      <c r="B18" s="56">
        <v>1</v>
      </c>
      <c r="C18" s="56">
        <v>0.2</v>
      </c>
      <c r="D18" s="56">
        <v>1.5</v>
      </c>
      <c r="E18" s="56">
        <v>0</v>
      </c>
      <c r="F18" s="56">
        <v>1</v>
      </c>
      <c r="G18" s="56">
        <v>0</v>
      </c>
    </row>
    <row r="19" spans="1:7" x14ac:dyDescent="0.25">
      <c r="A19" s="50">
        <v>2005</v>
      </c>
      <c r="B19" s="56">
        <v>1.25</v>
      </c>
      <c r="C19" s="56">
        <v>0.25</v>
      </c>
      <c r="D19" s="56">
        <v>1.55</v>
      </c>
      <c r="E19" s="56">
        <v>0</v>
      </c>
      <c r="F19" s="56">
        <v>1.1499999999999999</v>
      </c>
      <c r="G19" s="56">
        <v>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工作表2"/>
  <dimension ref="A1:T25"/>
  <sheetViews>
    <sheetView workbookViewId="0">
      <selection activeCell="F3" sqref="F3"/>
    </sheetView>
  </sheetViews>
  <sheetFormatPr defaultColWidth="13.125" defaultRowHeight="14.25" x14ac:dyDescent="0.25"/>
  <cols>
    <col min="1" max="16384" width="13.125" style="3"/>
  </cols>
  <sheetData>
    <row r="1" spans="1:20" ht="16.5" thickBot="1" x14ac:dyDescent="0.3">
      <c r="A1" s="18" t="s">
        <v>58</v>
      </c>
      <c r="B1" s="19" t="s">
        <v>97</v>
      </c>
      <c r="C1" s="7"/>
      <c r="E1" s="24" t="s">
        <v>118</v>
      </c>
      <c r="F1" s="29" t="e">
        <f ca="1">AVERAGE(儀表板!J:J)</f>
        <v>#DIV/0!</v>
      </c>
      <c r="G1" s="39" t="s">
        <v>96</v>
      </c>
      <c r="H1" s="22" t="s">
        <v>79</v>
      </c>
      <c r="I1" s="23" t="s">
        <v>361</v>
      </c>
      <c r="K1" s="22" t="s">
        <v>79</v>
      </c>
      <c r="L1" s="23" t="s">
        <v>360</v>
      </c>
      <c r="N1" s="15"/>
      <c r="O1" s="15">
        <v>1</v>
      </c>
      <c r="P1" s="15">
        <v>2</v>
      </c>
      <c r="Q1" s="15">
        <v>8</v>
      </c>
      <c r="R1" s="15">
        <v>16</v>
      </c>
      <c r="S1" s="15">
        <v>32</v>
      </c>
      <c r="T1" s="15">
        <v>500</v>
      </c>
    </row>
    <row r="2" spans="1:20" ht="15.75" x14ac:dyDescent="0.25">
      <c r="A2" s="25" t="s">
        <v>101</v>
      </c>
      <c r="B2" s="2" t="s">
        <v>64</v>
      </c>
      <c r="C2" s="8" t="s">
        <v>119</v>
      </c>
      <c r="E2" s="39"/>
      <c r="F2" s="40"/>
      <c r="G2" s="39"/>
      <c r="H2" s="10" t="s">
        <v>56</v>
      </c>
      <c r="I2" s="75">
        <f>SUM(儀表板!G:G)</f>
        <v>19.03</v>
      </c>
      <c r="J2" s="6" t="s">
        <v>86</v>
      </c>
      <c r="K2" s="10" t="s">
        <v>56</v>
      </c>
      <c r="L2" s="75">
        <f>SUM(Yui!F2:F7)</f>
        <v>30.676000000000002</v>
      </c>
      <c r="N2" s="42" t="s">
        <v>161</v>
      </c>
      <c r="O2" s="16">
        <f t="shared" ref="O2:T2" si="0">1-O3/100</f>
        <v>1</v>
      </c>
      <c r="P2" s="16">
        <f t="shared" si="0"/>
        <v>0.54</v>
      </c>
      <c r="Q2" s="16">
        <f t="shared" si="0"/>
        <v>0.18999999999999995</v>
      </c>
      <c r="R2" s="16">
        <f t="shared" si="0"/>
        <v>6.9999999999999951E-2</v>
      </c>
      <c r="S2" s="16">
        <f t="shared" si="0"/>
        <v>4.0000000000000036E-2</v>
      </c>
      <c r="T2" s="16">
        <f t="shared" si="0"/>
        <v>1.0000000000000009E-2</v>
      </c>
    </row>
    <row r="3" spans="1:20" ht="15.75" x14ac:dyDescent="0.25">
      <c r="A3" s="26" t="s">
        <v>102</v>
      </c>
      <c r="B3" s="2" t="s">
        <v>66</v>
      </c>
      <c r="C3" s="8" t="s">
        <v>147</v>
      </c>
      <c r="E3" s="24" t="s">
        <v>117</v>
      </c>
      <c r="F3" s="32" t="e">
        <f ca="1">AVERAGE(儀表板!K:K)</f>
        <v>#VALUE!</v>
      </c>
      <c r="G3" s="39" t="s">
        <v>96</v>
      </c>
      <c r="H3" s="11" t="s">
        <v>84</v>
      </c>
      <c r="I3" s="14">
        <f>COUNTIF(儀表板!G:G,"&gt;0")</f>
        <v>6</v>
      </c>
      <c r="J3" s="6" t="s">
        <v>85</v>
      </c>
      <c r="K3" s="11" t="s">
        <v>84</v>
      </c>
      <c r="L3" s="14">
        <f>COUNTIF(Yui!F2:F7,"&gt;0")</f>
        <v>6</v>
      </c>
      <c r="N3" s="42" t="s">
        <v>160</v>
      </c>
      <c r="O3" s="15">
        <v>0</v>
      </c>
      <c r="P3" s="15">
        <v>46</v>
      </c>
      <c r="Q3" s="15">
        <v>81</v>
      </c>
      <c r="R3" s="15">
        <v>93</v>
      </c>
      <c r="S3" s="15">
        <v>96</v>
      </c>
      <c r="T3" s="15">
        <v>99</v>
      </c>
    </row>
    <row r="4" spans="1:20" ht="15.75" x14ac:dyDescent="0.25">
      <c r="A4" s="26" t="s">
        <v>103</v>
      </c>
      <c r="B4" s="2" t="s">
        <v>68</v>
      </c>
      <c r="C4" s="8" t="s">
        <v>146</v>
      </c>
      <c r="E4" s="39"/>
      <c r="F4" s="41"/>
      <c r="G4" s="39"/>
      <c r="H4" s="11" t="s">
        <v>80</v>
      </c>
      <c r="I4" s="35">
        <f>SUM(儀表板!Y:Y)</f>
        <v>1250008.7</v>
      </c>
      <c r="J4" s="1"/>
      <c r="K4" s="11" t="s">
        <v>80</v>
      </c>
      <c r="L4" s="35">
        <f>SUM(Yui!V2:V7)</f>
        <v>1062585.46</v>
      </c>
    </row>
    <row r="5" spans="1:20" ht="15.75" x14ac:dyDescent="0.25">
      <c r="A5" s="26" t="s">
        <v>104</v>
      </c>
      <c r="B5" s="2" t="s">
        <v>70</v>
      </c>
      <c r="C5" s="8" t="s">
        <v>148</v>
      </c>
      <c r="E5" s="24" t="s">
        <v>95</v>
      </c>
      <c r="F5" s="29" t="e">
        <f ca="1">AVERAGE(儀表板!U:U)</f>
        <v>#VALUE!</v>
      </c>
      <c r="G5" s="39" t="s">
        <v>96</v>
      </c>
      <c r="H5" s="11" t="s">
        <v>57</v>
      </c>
      <c r="I5" s="35">
        <f>SUM(儀表板!X:X)</f>
        <v>1247609.5</v>
      </c>
      <c r="K5" s="11" t="s">
        <v>57</v>
      </c>
      <c r="L5" s="35">
        <f>SUM(Yui!U2:U7)</f>
        <v>1178829.7</v>
      </c>
    </row>
    <row r="6" spans="1:20" ht="15.75" x14ac:dyDescent="0.25">
      <c r="A6" s="26" t="s">
        <v>105</v>
      </c>
      <c r="B6" s="2" t="s">
        <v>69</v>
      </c>
      <c r="C6" s="8" t="s">
        <v>149</v>
      </c>
      <c r="H6" s="11" t="s">
        <v>81</v>
      </c>
      <c r="I6" s="35">
        <f>I5-I4</f>
        <v>-2399.1999999999534</v>
      </c>
      <c r="K6" s="11" t="s">
        <v>81</v>
      </c>
      <c r="L6" s="35">
        <f>L5-L4</f>
        <v>116244.23999999999</v>
      </c>
      <c r="M6" s="1"/>
    </row>
    <row r="7" spans="1:20" ht="16.5" thickBot="1" x14ac:dyDescent="0.3">
      <c r="A7" s="20" t="s">
        <v>59</v>
      </c>
      <c r="B7" s="21" t="s">
        <v>98</v>
      </c>
      <c r="C7" s="8"/>
      <c r="E7" s="59"/>
      <c r="F7" s="60"/>
      <c r="G7" s="61"/>
      <c r="H7" s="12" t="s">
        <v>82</v>
      </c>
      <c r="I7" s="13">
        <f>I6/I4</f>
        <v>-1.9193466413473391E-3</v>
      </c>
      <c r="K7" s="12" t="s">
        <v>82</v>
      </c>
      <c r="L7" s="13">
        <f>L6/L4</f>
        <v>0.10939754436316115</v>
      </c>
      <c r="M7" s="6"/>
    </row>
    <row r="8" spans="1:20" ht="15.75" x14ac:dyDescent="0.25">
      <c r="A8" s="26" t="s">
        <v>106</v>
      </c>
      <c r="B8" s="5" t="s">
        <v>78</v>
      </c>
      <c r="C8" s="8" t="s">
        <v>93</v>
      </c>
      <c r="E8" s="371" t="s">
        <v>390</v>
      </c>
      <c r="F8" s="372">
        <v>2017</v>
      </c>
      <c r="G8" s="61"/>
      <c r="H8" s="38" t="s">
        <v>126</v>
      </c>
      <c r="I8" s="36">
        <f>I12-I4</f>
        <v>3599991.3</v>
      </c>
      <c r="K8" s="268"/>
      <c r="L8" s="266"/>
      <c r="M8" s="6"/>
    </row>
    <row r="9" spans="1:20" ht="15.75" x14ac:dyDescent="0.25">
      <c r="A9" s="26" t="s">
        <v>107</v>
      </c>
      <c r="B9" s="2" t="s">
        <v>71</v>
      </c>
      <c r="C9" s="8" t="s">
        <v>150</v>
      </c>
      <c r="E9" s="62"/>
      <c r="F9" s="63"/>
      <c r="G9" s="61"/>
      <c r="H9" s="1" t="s">
        <v>123</v>
      </c>
      <c r="I9" s="28">
        <f>I8/I12</f>
        <v>0.74226624742268033</v>
      </c>
      <c r="K9" s="268"/>
      <c r="L9" s="266"/>
      <c r="M9" s="1"/>
    </row>
    <row r="10" spans="1:20" ht="16.5" thickBot="1" x14ac:dyDescent="0.3">
      <c r="A10" s="26" t="s">
        <v>108</v>
      </c>
      <c r="B10" s="2" t="s">
        <v>72</v>
      </c>
      <c r="C10" s="8" t="s">
        <v>60</v>
      </c>
      <c r="K10" s="1"/>
      <c r="L10" s="269"/>
      <c r="M10" s="1"/>
    </row>
    <row r="11" spans="1:20" ht="15.75" x14ac:dyDescent="0.25">
      <c r="A11" s="26" t="s">
        <v>109</v>
      </c>
      <c r="B11" s="2" t="s">
        <v>73</v>
      </c>
      <c r="C11" s="8" t="s">
        <v>94</v>
      </c>
      <c r="E11" s="45" t="s">
        <v>133</v>
      </c>
      <c r="F11" s="46" t="s">
        <v>134</v>
      </c>
      <c r="H11" s="24" t="s">
        <v>127</v>
      </c>
      <c r="I11" s="21"/>
      <c r="J11" s="21"/>
    </row>
    <row r="12" spans="1:20" ht="15.75" x14ac:dyDescent="0.25">
      <c r="A12" s="20" t="s">
        <v>61</v>
      </c>
      <c r="B12" s="21" t="s">
        <v>99</v>
      </c>
      <c r="C12" s="8"/>
      <c r="E12" s="43" t="s">
        <v>87</v>
      </c>
      <c r="F12" s="47">
        <v>0.16500000000000001</v>
      </c>
      <c r="H12" s="30" t="s">
        <v>63</v>
      </c>
      <c r="I12" s="33">
        <v>4850000</v>
      </c>
      <c r="J12" s="5" t="s">
        <v>124</v>
      </c>
    </row>
    <row r="13" spans="1:20" ht="15.75" x14ac:dyDescent="0.25">
      <c r="A13" s="26" t="s">
        <v>110</v>
      </c>
      <c r="B13" s="4" t="s">
        <v>74</v>
      </c>
      <c r="C13" s="8"/>
      <c r="E13" s="43" t="s">
        <v>88</v>
      </c>
      <c r="F13" s="47">
        <v>0.11</v>
      </c>
      <c r="H13" s="30" t="s">
        <v>65</v>
      </c>
      <c r="I13" s="17">
        <v>10</v>
      </c>
      <c r="J13" s="5" t="s">
        <v>91</v>
      </c>
    </row>
    <row r="14" spans="1:20" ht="15.75" x14ac:dyDescent="0.25">
      <c r="A14" s="26" t="s">
        <v>111</v>
      </c>
      <c r="B14" s="5" t="s">
        <v>75</v>
      </c>
      <c r="C14" s="8"/>
      <c r="E14" s="43" t="s">
        <v>89</v>
      </c>
      <c r="F14" s="47">
        <v>8.2500000000000004E-2</v>
      </c>
      <c r="H14" s="30" t="s">
        <v>67</v>
      </c>
      <c r="I14" s="34">
        <f>I12/1000/I13</f>
        <v>485</v>
      </c>
      <c r="J14" s="5" t="s">
        <v>125</v>
      </c>
    </row>
    <row r="15" spans="1:20" ht="17.25" thickBot="1" x14ac:dyDescent="0.3">
      <c r="A15" s="26" t="s">
        <v>112</v>
      </c>
      <c r="B15" s="5" t="s">
        <v>76</v>
      </c>
      <c r="C15" s="8"/>
      <c r="E15" s="44" t="s">
        <v>90</v>
      </c>
      <c r="F15" s="48">
        <v>0.05</v>
      </c>
      <c r="H15" s="31" t="s">
        <v>83</v>
      </c>
      <c r="I15" s="271">
        <v>100</v>
      </c>
      <c r="J15" s="4" t="s">
        <v>92</v>
      </c>
      <c r="K15"/>
      <c r="L15"/>
      <c r="M15"/>
    </row>
    <row r="16" spans="1:20" ht="15.75" x14ac:dyDescent="0.25">
      <c r="A16" s="26" t="s">
        <v>113</v>
      </c>
      <c r="B16" s="5" t="s">
        <v>122</v>
      </c>
      <c r="C16" s="8"/>
    </row>
    <row r="17" spans="1:10" ht="15.75" x14ac:dyDescent="0.25">
      <c r="A17" s="26" t="s">
        <v>114</v>
      </c>
      <c r="B17" s="5" t="s">
        <v>77</v>
      </c>
      <c r="C17" s="8"/>
      <c r="H17" s="64"/>
      <c r="I17" s="65"/>
      <c r="J17" s="65"/>
    </row>
    <row r="18" spans="1:10" ht="15.75" x14ac:dyDescent="0.25">
      <c r="A18" s="20" t="s">
        <v>62</v>
      </c>
      <c r="B18" s="21" t="s">
        <v>100</v>
      </c>
      <c r="C18" s="8"/>
      <c r="E18" s="74" t="s">
        <v>154</v>
      </c>
      <c r="H18" s="66"/>
      <c r="I18" s="67"/>
      <c r="J18" s="67"/>
    </row>
    <row r="19" spans="1:10" ht="15.75" x14ac:dyDescent="0.25">
      <c r="A19" s="26" t="s">
        <v>115</v>
      </c>
      <c r="B19" s="4" t="s">
        <v>121</v>
      </c>
      <c r="C19" s="8"/>
      <c r="E19" s="74" t="s">
        <v>155</v>
      </c>
      <c r="H19" s="66"/>
      <c r="I19" s="67"/>
      <c r="J19" s="67"/>
    </row>
    <row r="20" spans="1:10" ht="16.5" thickBot="1" x14ac:dyDescent="0.3">
      <c r="A20" s="27" t="s">
        <v>116</v>
      </c>
      <c r="B20" s="37" t="s">
        <v>120</v>
      </c>
      <c r="C20" s="9"/>
      <c r="E20" s="3" t="s">
        <v>384</v>
      </c>
      <c r="H20" s="66"/>
      <c r="I20" s="67"/>
      <c r="J20" s="67"/>
    </row>
    <row r="21" spans="1:10" x14ac:dyDescent="0.25">
      <c r="H21" s="66"/>
      <c r="I21" s="67"/>
      <c r="J21" s="67"/>
    </row>
    <row r="22" spans="1:10" ht="15" x14ac:dyDescent="0.25">
      <c r="F22" s="259" t="s">
        <v>277</v>
      </c>
      <c r="G22" s="259" t="s">
        <v>278</v>
      </c>
      <c r="H22" s="259" t="s">
        <v>279</v>
      </c>
    </row>
    <row r="23" spans="1:10" x14ac:dyDescent="0.25">
      <c r="E23" s="260">
        <v>0.6</v>
      </c>
      <c r="F23" s="261">
        <f ca="1">PERCENTILE(儀表板!L:L,$E23)</f>
        <v>85.829679773167797</v>
      </c>
      <c r="G23" s="261">
        <f ca="1">PERCENTILE(儀表板!M:M,$E23)</f>
        <v>84</v>
      </c>
      <c r="H23" s="261">
        <f ca="1">PERCENTILE(儀表板!N:N,$E23)</f>
        <v>97.198920010864128</v>
      </c>
    </row>
    <row r="24" spans="1:10" x14ac:dyDescent="0.25">
      <c r="E24" s="260">
        <v>0.4</v>
      </c>
      <c r="F24" s="261">
        <f ca="1">PERCENTILE(儀表板!L:L,$E24)</f>
        <v>83.171506337993378</v>
      </c>
      <c r="G24" s="261">
        <f ca="1">PERCENTILE(儀表板!M:M,$E24)</f>
        <v>80</v>
      </c>
      <c r="H24" s="261">
        <f ca="1">PERCENTILE(儀表板!N:N,$E24)</f>
        <v>95.506458213009054</v>
      </c>
    </row>
    <row r="25" spans="1:10" x14ac:dyDescent="0.25">
      <c r="E25" s="260">
        <v>0.2</v>
      </c>
      <c r="F25" s="267">
        <v>60</v>
      </c>
      <c r="G25" s="261">
        <f ca="1">PERCENTILE(儀表板!M:M,$E25)</f>
        <v>72</v>
      </c>
      <c r="H25" s="261">
        <f ca="1">PERCENTILE(儀表板!N:N,$E25)</f>
        <v>89.872397420153277</v>
      </c>
    </row>
  </sheetData>
  <phoneticPr fontId="3" type="noConversion"/>
  <conditionalFormatting sqref="F5">
    <cfRule type="colorScale" priority="16">
      <colorScale>
        <cfvo type="num" val="0.25"/>
        <cfvo type="num" val="0.5"/>
        <cfvo type="num" val="0.75"/>
        <color rgb="FF008000"/>
        <color rgb="FFFFFF00"/>
        <color rgb="FFFF0000"/>
      </colorScale>
    </cfRule>
  </conditionalFormatting>
  <conditionalFormatting sqref="F1">
    <cfRule type="colorScale" priority="12">
      <colorScale>
        <cfvo type="num" val="0.04"/>
        <cfvo type="num" val="0.06"/>
        <cfvo type="num" val="0.08"/>
        <color rgb="FFFF0000"/>
        <color rgb="FFFFFF00"/>
        <color rgb="FF008000"/>
      </colorScale>
    </cfRule>
  </conditionalFormatting>
  <conditionalFormatting sqref="F3">
    <cfRule type="colorScale" priority="6">
      <colorScale>
        <cfvo type="num" val="12.5"/>
        <cfvo type="num" val="15"/>
        <cfvo type="num" val="17.5"/>
        <color rgb="FF008000"/>
        <color rgb="FFFFFF00"/>
        <color rgb="FFFF0000"/>
      </colorScale>
    </cfRule>
  </conditionalFormatting>
  <conditionalFormatting sqref="I3">
    <cfRule type="cellIs" dxfId="7568" priority="5" operator="lessThan">
      <formula>$I$13</formula>
    </cfRule>
  </conditionalFormatting>
  <conditionalFormatting sqref="F7">
    <cfRule type="colorScale" priority="4">
      <colorScale>
        <cfvo type="num" val="0.6"/>
        <cfvo type="num" val="1.2"/>
        <cfvo type="num" val="1.8"/>
        <color rgb="FF008000"/>
        <color rgb="FFFFFF00"/>
        <color rgb="FFFF0000"/>
      </colorScale>
    </cfRule>
  </conditionalFormatting>
  <conditionalFormatting sqref="L3">
    <cfRule type="cellIs" dxfId="7567" priority="1" operator="lessThan">
      <formula>$I$13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工作表1">
    <pageSetUpPr fitToPage="1"/>
  </sheetPr>
  <dimension ref="A1:AC103"/>
  <sheetViews>
    <sheetView tabSelected="1" zoomScaleNormal="100" workbookViewId="0">
      <pane ySplit="1" topLeftCell="A35" activePane="bottomLeft" state="frozen"/>
      <selection pane="bottomLeft" activeCell="B51" sqref="B51"/>
    </sheetView>
  </sheetViews>
  <sheetFormatPr defaultColWidth="6.625" defaultRowHeight="15" x14ac:dyDescent="0.25"/>
  <cols>
    <col min="1" max="1" width="6.25" style="346" bestFit="1" customWidth="1"/>
    <col min="2" max="2" width="7.375" style="347" bestFit="1" customWidth="1"/>
    <col min="3" max="3" width="7.375" style="347" customWidth="1"/>
    <col min="4" max="4" width="8.5" style="348" bestFit="1" customWidth="1"/>
    <col min="5" max="5" width="8" style="349" bestFit="1" customWidth="1"/>
    <col min="6" max="6" width="9.25" style="348" bestFit="1" customWidth="1"/>
    <col min="7" max="7" width="7.25" style="367" bestFit="1" customWidth="1"/>
    <col min="8" max="8" width="9.125" style="350" bestFit="1" customWidth="1"/>
    <col min="9" max="9" width="9.25" style="351" bestFit="1" customWidth="1"/>
    <col min="10" max="10" width="7.375" style="352" bestFit="1" customWidth="1"/>
    <col min="11" max="11" width="6.25" style="353" bestFit="1" customWidth="1"/>
    <col min="12" max="13" width="5.5" style="342" bestFit="1" customWidth="1"/>
    <col min="14" max="14" width="5.75" style="342" bestFit="1" customWidth="1"/>
    <col min="15" max="16" width="10.375" style="353" bestFit="1" customWidth="1"/>
    <col min="17" max="18" width="6.75" style="353" bestFit="1" customWidth="1"/>
    <col min="19" max="19" width="5.5" style="351" bestFit="1" customWidth="1"/>
    <col min="20" max="20" width="5.5" style="350" bestFit="1" customWidth="1"/>
    <col min="21" max="21" width="9.25" style="355" bestFit="1" customWidth="1"/>
    <col min="22" max="22" width="7.375" style="356" bestFit="1" customWidth="1"/>
    <col min="23" max="23" width="10.125" style="357" bestFit="1" customWidth="1"/>
    <col min="24" max="25" width="10.625" style="342" bestFit="1" customWidth="1"/>
    <col min="26" max="26" width="9.25" style="342" bestFit="1" customWidth="1"/>
    <col min="27" max="28" width="9" style="353" bestFit="1" customWidth="1"/>
    <col min="29" max="29" width="20.875" style="342" bestFit="1" customWidth="1"/>
    <col min="30" max="16384" width="6.625" style="342"/>
  </cols>
  <sheetData>
    <row r="1" spans="1:29" s="329" customFormat="1" ht="15.75" x14ac:dyDescent="0.25">
      <c r="A1" s="319" t="s">
        <v>379</v>
      </c>
      <c r="B1" s="320" t="s">
        <v>273</v>
      </c>
      <c r="C1" s="369" t="s">
        <v>392</v>
      </c>
      <c r="D1" s="361" t="s">
        <v>389</v>
      </c>
      <c r="E1" s="321" t="s">
        <v>274</v>
      </c>
      <c r="F1" s="322" t="s">
        <v>275</v>
      </c>
      <c r="G1" s="365" t="s">
        <v>368</v>
      </c>
      <c r="H1" s="323">
        <v>201801</v>
      </c>
      <c r="I1" s="324" t="s">
        <v>276</v>
      </c>
      <c r="J1" s="324" t="s">
        <v>159</v>
      </c>
      <c r="K1" s="325" t="s">
        <v>380</v>
      </c>
      <c r="L1" s="326" t="s">
        <v>277</v>
      </c>
      <c r="M1" s="326" t="s">
        <v>278</v>
      </c>
      <c r="N1" s="326" t="s">
        <v>279</v>
      </c>
      <c r="O1" s="326" t="s">
        <v>367</v>
      </c>
      <c r="P1" s="326" t="s">
        <v>280</v>
      </c>
      <c r="Q1" s="368" t="s">
        <v>387</v>
      </c>
      <c r="R1" s="368" t="s">
        <v>388</v>
      </c>
      <c r="S1" s="324" t="s">
        <v>352</v>
      </c>
      <c r="T1" s="323" t="s">
        <v>362</v>
      </c>
      <c r="U1" s="327" t="s">
        <v>281</v>
      </c>
      <c r="V1" s="325" t="s">
        <v>282</v>
      </c>
      <c r="W1" s="328" t="s">
        <v>283</v>
      </c>
      <c r="X1" s="326" t="s">
        <v>284</v>
      </c>
      <c r="Y1" s="326" t="s">
        <v>285</v>
      </c>
      <c r="Z1" s="326" t="s">
        <v>286</v>
      </c>
      <c r="AA1" s="325" t="s">
        <v>152</v>
      </c>
      <c r="AB1" s="325" t="s">
        <v>153</v>
      </c>
      <c r="AC1" s="326" t="s">
        <v>287</v>
      </c>
    </row>
    <row r="2" spans="1:29" x14ac:dyDescent="0.25">
      <c r="A2" s="330">
        <v>1227</v>
      </c>
      <c r="B2" s="320" t="s">
        <v>322</v>
      </c>
      <c r="C2" s="320"/>
      <c r="D2" s="331">
        <f>VLOOKUP(_xlfn.NUMBERVALUE(A2),[1]工作表1!$A:$D,3,FALSE)</f>
        <v>68.8</v>
      </c>
      <c r="E2" s="332">
        <f>ROUND(VLOOKUP(_xlfn.NUMBERVALUE(A2),[1]工作表1!$A:$D,4,FALSE)/1000,0)</f>
        <v>1416</v>
      </c>
      <c r="F2" s="331"/>
      <c r="G2" s="366">
        <v>0</v>
      </c>
      <c r="H2" s="333" t="str">
        <f ca="1">IF(INDIRECT("'"&amp;$A2&amp;"'!"&amp;"$D$1")=$H$1,"","X")</f>
        <v>X</v>
      </c>
      <c r="I2" s="334" t="str">
        <f>IF(F2="","",(D2-F2)/F2)</f>
        <v/>
      </c>
      <c r="J2" s="335" t="e">
        <f ca="1">INDIRECT("'"&amp;$A2&amp;"'!"&amp;"$I$15")</f>
        <v>#DIV/0!</v>
      </c>
      <c r="K2" s="336">
        <f ca="1">INDIRECT("'"&amp;$A2&amp;"'!"&amp;"$I$9")</f>
        <v>0</v>
      </c>
      <c r="L2" s="336">
        <f ca="1">INDIRECT("'"&amp;$A2&amp;"'!"&amp;"$B$3")</f>
        <v>84.289979774543539</v>
      </c>
      <c r="M2" s="336">
        <f ca="1">INDIRECT("'"&amp;$A2&amp;"'!"&amp;"$B$4")</f>
        <v>90</v>
      </c>
      <c r="N2" s="336">
        <f ca="1">INDIRECT("'"&amp;$A2&amp;"'!"&amp;"$B$5")</f>
        <v>96.644128728414444</v>
      </c>
      <c r="O2" s="337" t="str">
        <f ca="1">INDIRECT("'"&amp;$A2&amp;"'!"&amp;"$I$6")</f>
        <v>連5月成長</v>
      </c>
      <c r="P2" s="337" t="str">
        <f ca="1">INDIRECT("'"&amp;$A2&amp;"'!"&amp;"$K$6")</f>
        <v>單季成長</v>
      </c>
      <c r="Q2" s="338">
        <f ca="1">INDIRECT("'"&amp;$A2&amp;"'!"&amp;"$N$3")</f>
        <v>-0.20592310229466557</v>
      </c>
      <c r="R2" s="338">
        <f ca="1">INDIRECT("'"&amp;$A2&amp;"'!"&amp;"$N$6")/INDIRECT("'"&amp;$A2&amp;"'!"&amp;"$N$5")-1</f>
        <v>6.2797769912910084E-2</v>
      </c>
      <c r="S2" s="324" t="str">
        <f ca="1">IF(D2&gt;INDIRECT("'"&amp;$A2&amp;"'!"&amp;"$I$3"),"",IF(AND(Q2&lt;0,R2&lt;0),"",IF(AND(Q2&lt;0,R2&gt;0),"轉機",IF(AND(Q2&gt;0,R2&lt;0),"",IF(AND(Q2&gt;=5%,R2&gt;=Q2),"OO","O")))))</f>
        <v/>
      </c>
      <c r="T2" s="332">
        <f>ROUND(策略!$I$14/$D2,0)</f>
        <v>7</v>
      </c>
      <c r="U2" s="334">
        <f ca="1">INDIRECT("'"&amp;$A2&amp;"'!"&amp;"$J$16")</f>
        <v>-1</v>
      </c>
      <c r="V2" s="339">
        <f ca="1">IF(ISERROR(INDIRECT("'"&amp;$A2&amp;"'!"&amp;"$D$4")),"",INDIRECT("'"&amp;$A2&amp;"'!"&amp;"$D$4"))</f>
        <v>91.52000000000001</v>
      </c>
      <c r="W2" s="340" t="str">
        <f>IF(F2="","",(D2-F2)*G2*1000)</f>
        <v/>
      </c>
      <c r="X2" s="341" t="str">
        <f>IF(F2="","",D2*G2*1000)</f>
        <v/>
      </c>
      <c r="Y2" s="341" t="str">
        <f>IF(F2="","",F2*G2*1000+MAX(ROUNDDOWN(F2*1000*0.145%*28%,0),20)*G2)</f>
        <v/>
      </c>
      <c r="Z2" s="341" t="str">
        <f>IF(G2&gt;0,MAX(ROUNDDOWN(D2*1000*0.145%*28%,0),20)*G2+ROUNDDOWN(F2*1000*0.3%*28%,0)*G2,"")</f>
        <v/>
      </c>
      <c r="AA2" s="336">
        <f ca="1">INDIRECT("'"&amp;$A2&amp;"'!"&amp;"$B$10")</f>
        <v>22.25</v>
      </c>
      <c r="AB2" s="336">
        <f ca="1">INDIRECT("'"&amp;$A2&amp;"'!"&amp;"$E$10")</f>
        <v>26.55</v>
      </c>
      <c r="AC2" s="337" t="str">
        <f>VLOOKUP(_xlfn.NUMBERVALUE(A2),[2]工作表1!$A:$G,7,FALSE)</f>
        <v>無保留意見</v>
      </c>
    </row>
    <row r="3" spans="1:29" x14ac:dyDescent="0.25">
      <c r="A3" s="330">
        <v>1323</v>
      </c>
      <c r="B3" s="320" t="s">
        <v>325</v>
      </c>
      <c r="C3" s="320"/>
      <c r="D3" s="331">
        <f>VLOOKUP(_xlfn.NUMBERVALUE(A3),[1]工作表1!$A:$D,3,FALSE)</f>
        <v>33.1</v>
      </c>
      <c r="E3" s="332">
        <f>ROUND(VLOOKUP(_xlfn.NUMBERVALUE(A3),[1]工作表1!$A:$D,4,FALSE)/1000,0)</f>
        <v>289</v>
      </c>
      <c r="F3" s="331"/>
      <c r="G3" s="366">
        <v>0</v>
      </c>
      <c r="H3" s="333" t="str">
        <f ca="1">IF(INDIRECT("'"&amp;$A3&amp;"'!"&amp;"$D$1")=$H$1,"","X")</f>
        <v>X</v>
      </c>
      <c r="I3" s="334" t="str">
        <f>IF(F3="","",(D3-F3)/F3)</f>
        <v/>
      </c>
      <c r="J3" s="335" t="e">
        <f ca="1">INDIRECT("'"&amp;$A3&amp;"'!"&amp;"$I$15")</f>
        <v>#DIV/0!</v>
      </c>
      <c r="K3" s="336">
        <f ca="1">INDIRECT("'"&amp;$A3&amp;"'!"&amp;"$I$9")</f>
        <v>0</v>
      </c>
      <c r="L3" s="336">
        <f ca="1">INDIRECT("'"&amp;$A3&amp;"'!"&amp;"$B$3")</f>
        <v>77.210706913595203</v>
      </c>
      <c r="M3" s="336">
        <f ca="1">INDIRECT("'"&amp;$A3&amp;"'!"&amp;"$B$4")</f>
        <v>90</v>
      </c>
      <c r="N3" s="336">
        <f ca="1">INDIRECT("'"&amp;$A3&amp;"'!"&amp;"$B$5")</f>
        <v>97.014282627484874</v>
      </c>
      <c r="O3" s="337" t="str">
        <f ca="1">INDIRECT("'"&amp;$A3&amp;"'!"&amp;"$I$6")</f>
        <v>連3月成長</v>
      </c>
      <c r="P3" s="337" t="str">
        <f ca="1">INDIRECT("'"&amp;$A3&amp;"'!"&amp;"$K$6")</f>
        <v>連3季衰退</v>
      </c>
      <c r="Q3" s="338">
        <f ca="1">INDIRECT("'"&amp;$A3&amp;"'!"&amp;"$N$3")</f>
        <v>-7.8024747351212578E-2</v>
      </c>
      <c r="R3" s="338">
        <f ca="1">INDIRECT("'"&amp;$A3&amp;"'!"&amp;"$N$6")/INDIRECT("'"&amp;$A3&amp;"'!"&amp;"$N$5")-1</f>
        <v>0.21355790418276266</v>
      </c>
      <c r="S3" s="324" t="str">
        <f ca="1">IF(D3&gt;INDIRECT("'"&amp;$A3&amp;"'!"&amp;"$I$3"),"",IF(AND(Q3&lt;0,R3&lt;0),"",IF(AND(Q3&lt;0,R3&gt;0),"轉機",IF(AND(Q3&gt;0,R3&lt;0),"",IF(AND(Q3&gt;=5%,R3&gt;=Q3),"OO","O")))))</f>
        <v/>
      </c>
      <c r="T3" s="332">
        <f>ROUND(策略!$I$14/$D3,0)</f>
        <v>15</v>
      </c>
      <c r="U3" s="334">
        <f ca="1">INDIRECT("'"&amp;$A3&amp;"'!"&amp;"$J$16")</f>
        <v>-1</v>
      </c>
      <c r="V3" s="339">
        <f ca="1">IF(ISERROR(INDIRECT("'"&amp;$A3&amp;"'!"&amp;"$D$4")),"",INDIRECT("'"&amp;$A3&amp;"'!"&amp;"$D$4"))</f>
        <v>9.1300000000000008</v>
      </c>
      <c r="W3" s="340" t="str">
        <f>IF(F3="","",(D3-F3)*G3*1000)</f>
        <v/>
      </c>
      <c r="X3" s="341" t="str">
        <f>IF(F3="","",D3*G3*1000)</f>
        <v/>
      </c>
      <c r="Y3" s="341" t="str">
        <f>IF(F3="","",F3*G3*1000+MAX(ROUNDDOWN(F3*1000*0.145%*28%,0),20)*G3)</f>
        <v/>
      </c>
      <c r="Z3" s="341" t="str">
        <f>IF(G3&gt;0,MAX(ROUNDDOWN(D3*1000*0.145%*28%,0),20)*G3+ROUNDDOWN(F3*1000*0.3%*28%,0)*G3,"")</f>
        <v/>
      </c>
      <c r="AA3" s="336">
        <f ca="1">INDIRECT("'"&amp;$A3&amp;"'!"&amp;"$B$10")</f>
        <v>9.83</v>
      </c>
      <c r="AB3" s="336">
        <f ca="1">INDIRECT("'"&amp;$A3&amp;"'!"&amp;"$E$10")</f>
        <v>11.935</v>
      </c>
      <c r="AC3" s="337" t="str">
        <f>VLOOKUP(_xlfn.NUMBERVALUE(A3),[2]工作表1!$A:$G,7,FALSE)</f>
        <v>無保留意見</v>
      </c>
    </row>
    <row r="4" spans="1:29" x14ac:dyDescent="0.25">
      <c r="A4" s="330">
        <v>1507</v>
      </c>
      <c r="B4" s="369" t="s">
        <v>398</v>
      </c>
      <c r="C4" s="320"/>
      <c r="D4" s="331">
        <f>VLOOKUP(_xlfn.NUMBERVALUE(A4),[1]工作表1!$A:$D,3,FALSE)</f>
        <v>55.2</v>
      </c>
      <c r="E4" s="332">
        <f>ROUND(VLOOKUP(_xlfn.NUMBERVALUE(A4),[1]工作表1!$A:$D,4,FALSE)/1000,0)</f>
        <v>838</v>
      </c>
      <c r="F4" s="331"/>
      <c r="G4" s="366">
        <v>0</v>
      </c>
      <c r="H4" s="333" t="str">
        <f ca="1">IF(INDIRECT("'"&amp;$A4&amp;"'!"&amp;"$D$1")=$H$1,"","X")</f>
        <v>X</v>
      </c>
      <c r="I4" s="334" t="str">
        <f>IF(F4="","",(D4-F4)/F4)</f>
        <v/>
      </c>
      <c r="J4" s="335" t="e">
        <f ca="1">INDIRECT("'"&amp;$A4&amp;"'!"&amp;"$I$15")</f>
        <v>#DIV/0!</v>
      </c>
      <c r="K4" s="336">
        <f ca="1">INDIRECT("'"&amp;$A4&amp;"'!"&amp;"$I$9")</f>
        <v>0</v>
      </c>
      <c r="L4" s="336">
        <f ca="1">INDIRECT("'"&amp;$A4&amp;"'!"&amp;"$B$3")</f>
        <v>72.474971769113864</v>
      </c>
      <c r="M4" s="336">
        <f ca="1">INDIRECT("'"&amp;$A4&amp;"'!"&amp;"$B$4")</f>
        <v>86</v>
      </c>
      <c r="N4" s="336">
        <f ca="1">INDIRECT("'"&amp;$A4&amp;"'!"&amp;"$B$5")</f>
        <v>94.398443935926764</v>
      </c>
      <c r="O4" s="337" t="str">
        <f ca="1">INDIRECT("'"&amp;$A4&amp;"'!"&amp;"$I$6")</f>
        <v>連5月衰退</v>
      </c>
      <c r="P4" s="337" t="str">
        <f ca="1">INDIRECT("'"&amp;$A4&amp;"'!"&amp;"$K$6")</f>
        <v>連3季衰退</v>
      </c>
      <c r="Q4" s="338">
        <f ca="1">INDIRECT("'"&amp;$A4&amp;"'!"&amp;"$N$3")</f>
        <v>-0.20126773774190457</v>
      </c>
      <c r="R4" s="338">
        <f ca="1">INDIRECT("'"&amp;$A4&amp;"'!"&amp;"$N$6")/INDIRECT("'"&amp;$A4&amp;"'!"&amp;"$N$5")-1</f>
        <v>-3.1560630221573072E-2</v>
      </c>
      <c r="S4" s="324" t="str">
        <f ca="1">IF(D4&gt;INDIRECT("'"&amp;$A4&amp;"'!"&amp;"$I$3"),"",IF(AND(Q4&lt;0,R4&lt;0),"",IF(AND(Q4&lt;0,R4&gt;0),"轉機",IF(AND(Q4&gt;0,R4&lt;0),"",IF(AND(Q4&gt;=5%,R4&gt;=Q4),"OO","O")))))</f>
        <v/>
      </c>
      <c r="T4" s="332">
        <f>ROUND(策略!$I$14/$D4,0)</f>
        <v>9</v>
      </c>
      <c r="U4" s="334">
        <f ca="1">INDIRECT("'"&amp;$A4&amp;"'!"&amp;"$J$16")</f>
        <v>-1</v>
      </c>
      <c r="V4" s="339">
        <f ca="1">IF(ISERROR(INDIRECT("'"&amp;$A4&amp;"'!"&amp;"$D$4")),"",INDIRECT("'"&amp;$A4&amp;"'!"&amp;"$D$4"))</f>
        <v>41.1</v>
      </c>
      <c r="W4" s="340" t="str">
        <f>IF(F4="","",(D4-F4)*G4*1000)</f>
        <v/>
      </c>
      <c r="X4" s="341" t="str">
        <f>IF(F4="","",D4*G4*1000)</f>
        <v/>
      </c>
      <c r="Y4" s="341" t="str">
        <f>IF(F4="","",F4*G4*1000+MAX(ROUNDDOWN(F4*1000*0.145%*28%,0),20)*G4)</f>
        <v/>
      </c>
      <c r="Z4" s="341" t="str">
        <f>IF(G4&gt;0,MAX(ROUNDDOWN(D4*1000*0.145%*28%,0),20)*G4+ROUNDDOWN(F4*1000*0.3%*28%,0)*G4,"")</f>
        <v/>
      </c>
      <c r="AA4" s="336">
        <f ca="1">INDIRECT("'"&amp;$A4&amp;"'!"&amp;"$B$10")</f>
        <v>10.77</v>
      </c>
      <c r="AB4" s="336">
        <f ca="1">INDIRECT("'"&amp;$A4&amp;"'!"&amp;"$E$10")</f>
        <v>15.33</v>
      </c>
      <c r="AC4" s="337" t="str">
        <f>VLOOKUP(_xlfn.NUMBERVALUE(A4),[2]工作表1!$A:$G,7,FALSE)</f>
        <v>無保留意見</v>
      </c>
    </row>
    <row r="5" spans="1:29" x14ac:dyDescent="0.25">
      <c r="A5" s="330">
        <v>1521</v>
      </c>
      <c r="B5" s="320" t="s">
        <v>333</v>
      </c>
      <c r="C5" s="320"/>
      <c r="D5" s="331">
        <f>VLOOKUP(_xlfn.NUMBERVALUE(A5),[1]工作表1!$A:$D,3,FALSE)</f>
        <v>76.7</v>
      </c>
      <c r="E5" s="332">
        <f>ROUND(VLOOKUP(_xlfn.NUMBERVALUE(A5),[1]工作表1!$A:$D,4,FALSE)/1000,0)</f>
        <v>134</v>
      </c>
      <c r="F5" s="331">
        <v>82.48</v>
      </c>
      <c r="G5" s="366">
        <v>5</v>
      </c>
      <c r="H5" s="333" t="str">
        <f ca="1">IF(INDIRECT("'"&amp;$A5&amp;"'!"&amp;"$D$1")=$H$1,"","X")</f>
        <v/>
      </c>
      <c r="I5" s="334">
        <f>IF(F5="","",(D5-F5)/F5)</f>
        <v>-7.0077594568380225E-2</v>
      </c>
      <c r="J5" s="335" t="e">
        <f ca="1">INDIRECT("'"&amp;$A5&amp;"'!"&amp;"$I$15")</f>
        <v>#DIV/0!</v>
      </c>
      <c r="K5" s="336">
        <f ca="1">INDIRECT("'"&amp;$A5&amp;"'!"&amp;"$I$9")</f>
        <v>0</v>
      </c>
      <c r="L5" s="336">
        <f ca="1">INDIRECT("'"&amp;$A5&amp;"'!"&amp;"$B$3")</f>
        <v>83.90545015331557</v>
      </c>
      <c r="M5" s="336">
        <f ca="1">INDIRECT("'"&amp;$A5&amp;"'!"&amp;"$B$4")</f>
        <v>88</v>
      </c>
      <c r="N5" s="336">
        <f ca="1">INDIRECT("'"&amp;$A5&amp;"'!"&amp;"$B$5")</f>
        <v>88.318150890346757</v>
      </c>
      <c r="O5" s="337" t="str">
        <f ca="1">INDIRECT("'"&amp;$A5&amp;"'!"&amp;"$I$6")</f>
        <v>上月成長</v>
      </c>
      <c r="P5" s="337" t="str">
        <f ca="1">INDIRECT("'"&amp;$A5&amp;"'!"&amp;"$K$6")</f>
        <v>連2季成長</v>
      </c>
      <c r="Q5" s="338">
        <f ca="1">INDIRECT("'"&amp;$A5&amp;"'!"&amp;"$N$3")</f>
        <v>3.711216348592291E-2</v>
      </c>
      <c r="R5" s="338">
        <f ca="1">INDIRECT("'"&amp;$A5&amp;"'!"&amp;"$N$6")/INDIRECT("'"&amp;$A5&amp;"'!"&amp;"$N$5")-1</f>
        <v>-8.1722583094369416E-2</v>
      </c>
      <c r="S5" s="324" t="str">
        <f ca="1">IF(D5&gt;INDIRECT("'"&amp;$A5&amp;"'!"&amp;"$I$3"),"",IF(AND(Q5&lt;0,R5&lt;0),"",IF(AND(Q5&lt;0,R5&gt;0),"轉機",IF(AND(Q5&gt;0,R5&lt;0),"",IF(AND(Q5&gt;=5%,R5&gt;=Q5),"OO","O")))))</f>
        <v/>
      </c>
      <c r="T5" s="332">
        <f>ROUND(策略!$I$14/$D5,0)</f>
        <v>6</v>
      </c>
      <c r="U5" s="334">
        <f ca="1">INDIRECT("'"&amp;$A5&amp;"'!"&amp;"$J$16")</f>
        <v>-1</v>
      </c>
      <c r="V5" s="339">
        <f ca="1">IF(ISERROR(INDIRECT("'"&amp;$A5&amp;"'!"&amp;"$D$4")),"",INDIRECT("'"&amp;$A5&amp;"'!"&amp;"$D$4"))</f>
        <v>7.62</v>
      </c>
      <c r="W5" s="340">
        <f>IF(F5="","",(D5-F5)*G5*1000)</f>
        <v>-28900.000000000007</v>
      </c>
      <c r="X5" s="341">
        <f>IF(F5="","",D5*G5*1000)</f>
        <v>383500</v>
      </c>
      <c r="Y5" s="341">
        <f>IF(F5="","",F5*G5*1000+MAX(ROUNDDOWN(F5*1000*0.145%*28%,0),20)*G5)</f>
        <v>412565.00000000006</v>
      </c>
      <c r="Z5" s="341">
        <f>IF(G5&gt;0,MAX(ROUNDDOWN(D5*1000*0.145%*28%,0),20)*G5+ROUNDDOWN(F5*1000*0.3%*28%,0)*G5,"")</f>
        <v>500</v>
      </c>
      <c r="AA5" s="336">
        <f ca="1">INDIRECT("'"&amp;$A5&amp;"'!"&amp;"$B$10")</f>
        <v>12.83</v>
      </c>
      <c r="AB5" s="336">
        <f ca="1">INDIRECT("'"&amp;$A5&amp;"'!"&amp;"$E$10")</f>
        <v>14.24</v>
      </c>
      <c r="AC5" s="337" t="str">
        <f>VLOOKUP(_xlfn.NUMBERVALUE(A5),[2]工作表1!$A:$G,7,FALSE)</f>
        <v>無保留意見</v>
      </c>
    </row>
    <row r="6" spans="1:29" x14ac:dyDescent="0.25">
      <c r="A6" s="330">
        <v>1558</v>
      </c>
      <c r="B6" s="320" t="s">
        <v>318</v>
      </c>
      <c r="C6" s="320"/>
      <c r="D6" s="331">
        <f>VLOOKUP(_xlfn.NUMBERVALUE(A6),[1]工作表1!$A:$D,3,FALSE)</f>
        <v>125.5</v>
      </c>
      <c r="E6" s="332">
        <f>ROUND(VLOOKUP(_xlfn.NUMBERVALUE(A6),[1]工作表1!$A:$D,4,FALSE)/1000,0)</f>
        <v>111</v>
      </c>
      <c r="F6" s="331"/>
      <c r="G6" s="366">
        <v>0</v>
      </c>
      <c r="H6" s="333" t="str">
        <f ca="1">IF(INDIRECT("'"&amp;$A6&amp;"'!"&amp;"$D$1")=$H$1,"","X")</f>
        <v>X</v>
      </c>
      <c r="I6" s="334" t="str">
        <f>IF(F6="","",(D6-F6)/F6)</f>
        <v/>
      </c>
      <c r="J6" s="335" t="e">
        <f ca="1">INDIRECT("'"&amp;$A6&amp;"'!"&amp;"$I$15")</f>
        <v>#DIV/0!</v>
      </c>
      <c r="K6" s="336">
        <f ca="1">INDIRECT("'"&amp;$A6&amp;"'!"&amp;"$I$9")</f>
        <v>0</v>
      </c>
      <c r="L6" s="336">
        <f ca="1">INDIRECT("'"&amp;$A6&amp;"'!"&amp;"$B$3")</f>
        <v>85.926120253584543</v>
      </c>
      <c r="M6" s="336">
        <f ca="1">INDIRECT("'"&amp;$A6&amp;"'!"&amp;"$B$4")</f>
        <v>86</v>
      </c>
      <c r="N6" s="336">
        <f ca="1">INDIRECT("'"&amp;$A6&amp;"'!"&amp;"$B$5")</f>
        <v>97.330463168850827</v>
      </c>
      <c r="O6" s="337" t="str">
        <f ca="1">INDIRECT("'"&amp;$A6&amp;"'!"&amp;"$I$6")</f>
        <v>上月成長</v>
      </c>
      <c r="P6" s="337" t="str">
        <f ca="1">INDIRECT("'"&amp;$A6&amp;"'!"&amp;"$K$6")</f>
        <v>連3季衰退</v>
      </c>
      <c r="Q6" s="338">
        <f ca="1">INDIRECT("'"&amp;$A6&amp;"'!"&amp;"$N$3")</f>
        <v>-0.33496660558354924</v>
      </c>
      <c r="R6" s="338">
        <f ca="1">INDIRECT("'"&amp;$A6&amp;"'!"&amp;"$N$6")/INDIRECT("'"&amp;$A6&amp;"'!"&amp;"$N$5")-1</f>
        <v>0.13456485286956599</v>
      </c>
      <c r="S6" s="324" t="str">
        <f ca="1">IF(D6&gt;INDIRECT("'"&amp;$A6&amp;"'!"&amp;"$I$3"),"",IF(AND(Q6&lt;0,R6&lt;0),"",IF(AND(Q6&lt;0,R6&gt;0),"轉機",IF(AND(Q6&gt;0,R6&lt;0),"",IF(AND(Q6&gt;=5%,R6&gt;=Q6),"OO","O")))))</f>
        <v/>
      </c>
      <c r="T6" s="332">
        <f>ROUND(策略!$I$14/$D6,0)</f>
        <v>4</v>
      </c>
      <c r="U6" s="334">
        <f ca="1">INDIRECT("'"&amp;$A6&amp;"'!"&amp;"$J$16")</f>
        <v>-1</v>
      </c>
      <c r="V6" s="339">
        <f ca="1">IF(ISERROR(INDIRECT("'"&amp;$A6&amp;"'!"&amp;"$D$4")),"",INDIRECT("'"&amp;$A6&amp;"'!"&amp;"$D$4"))</f>
        <v>6.06</v>
      </c>
      <c r="W6" s="340" t="str">
        <f>IF(F6="","",(D6-F6)*G6*1000)</f>
        <v/>
      </c>
      <c r="X6" s="341" t="str">
        <f>IF(F6="","",D6*G6*1000)</f>
        <v/>
      </c>
      <c r="Y6" s="341" t="str">
        <f>IF(F6="","",F6*G6*1000+MAX(ROUNDDOWN(F6*1000*0.145%*28%,0),20)*G6)</f>
        <v/>
      </c>
      <c r="Z6" s="341" t="str">
        <f>IF(G6&gt;0,MAX(ROUNDDOWN(D6*1000*0.145%*28%,0),20)*G6+ROUNDDOWN(F6*1000*0.3%*28%,0)*G6,"")</f>
        <v/>
      </c>
      <c r="AA6" s="336">
        <f ca="1">INDIRECT("'"&amp;$A6&amp;"'!"&amp;"$B$10")</f>
        <v>9.4499999999999993</v>
      </c>
      <c r="AB6" s="336">
        <f ca="1">INDIRECT("'"&amp;$A6&amp;"'!"&amp;"$E$10")</f>
        <v>12.24</v>
      </c>
      <c r="AC6" s="337" t="str">
        <f>VLOOKUP(_xlfn.NUMBERVALUE(A6),[2]工作表1!$A:$G,7,FALSE)</f>
        <v>無保留意見</v>
      </c>
    </row>
    <row r="7" spans="1:29" x14ac:dyDescent="0.25">
      <c r="A7" s="330">
        <v>1580</v>
      </c>
      <c r="B7" s="369" t="s">
        <v>401</v>
      </c>
      <c r="C7" s="369" t="s">
        <v>393</v>
      </c>
      <c r="D7" s="331">
        <f>VLOOKUP(_xlfn.NUMBERVALUE(A7),[1]工作表1!$A:$D,3,FALSE)</f>
        <v>160</v>
      </c>
      <c r="E7" s="332">
        <f>ROUND(VLOOKUP(_xlfn.NUMBERVALUE(A7),[1]工作表1!$A:$D,4,FALSE)/1000,0)</f>
        <v>48</v>
      </c>
      <c r="F7" s="331"/>
      <c r="G7" s="366">
        <v>0</v>
      </c>
      <c r="H7" s="333" t="str">
        <f ca="1">IF(INDIRECT("'"&amp;$A7&amp;"'!"&amp;"$D$1")=$H$1,"","X")</f>
        <v>X</v>
      </c>
      <c r="I7" s="334" t="str">
        <f>IF(F7="","",(D7-F7)/F7)</f>
        <v/>
      </c>
      <c r="J7" s="335" t="e">
        <f ca="1">INDIRECT("'"&amp;$A7&amp;"'!"&amp;"$I$15")</f>
        <v>#VALUE!</v>
      </c>
      <c r="K7" s="336" t="e">
        <f ca="1">INDIRECT("'"&amp;$A7&amp;"'!"&amp;"$I$9")</f>
        <v>#VALUE!</v>
      </c>
      <c r="L7" s="336">
        <f ca="1">INDIRECT("'"&amp;$A7&amp;"'!"&amp;"$B$3")</f>
        <v>83.164653178996261</v>
      </c>
      <c r="M7" s="336">
        <f ca="1">INDIRECT("'"&amp;$A7&amp;"'!"&amp;"$B$4")</f>
        <v>90</v>
      </c>
      <c r="N7" s="336">
        <f ca="1">INDIRECT("'"&amp;$A7&amp;"'!"&amp;"$B$5")</f>
        <v>98.32692307692308</v>
      </c>
      <c r="O7" s="337" t="str">
        <f ca="1">INDIRECT("'"&amp;$A7&amp;"'!"&amp;"$I$6")</f>
        <v>連3月成長</v>
      </c>
      <c r="P7" s="337" t="str">
        <f ca="1">INDIRECT("'"&amp;$A7&amp;"'!"&amp;"$K$6")</f>
        <v>單季成長</v>
      </c>
      <c r="Q7" s="338">
        <f ca="1">INDIRECT("'"&amp;$A7&amp;"'!"&amp;"$N$3")</f>
        <v>2.8866533596424923E-3</v>
      </c>
      <c r="R7" s="338">
        <f ca="1">INDIRECT("'"&amp;$A7&amp;"'!"&amp;"$N$6")/INDIRECT("'"&amp;$A7&amp;"'!"&amp;"$N$5")-1</f>
        <v>4.1746074620974793E-2</v>
      </c>
      <c r="S7" s="324" t="str">
        <f ca="1">IF(D7&gt;INDIRECT("'"&amp;$A7&amp;"'!"&amp;"$I$3"),"",IF(AND(Q7&lt;0,R7&lt;0),"",IF(AND(Q7&lt;0,R7&gt;0),"轉機",IF(AND(Q7&gt;0,R7&lt;0),"",IF(AND(Q7&gt;=5%,R7&gt;=Q7),"OO","O")))))</f>
        <v/>
      </c>
      <c r="T7" s="332">
        <f>ROUND(策略!$I$14/$D7,0)</f>
        <v>3</v>
      </c>
      <c r="U7" s="334" t="e">
        <f ca="1">INDIRECT("'"&amp;$A7&amp;"'!"&amp;"$J$16")</f>
        <v>#VALUE!</v>
      </c>
      <c r="V7" s="339">
        <f ca="1">IF(ISERROR(INDIRECT("'"&amp;$A7&amp;"'!"&amp;"$D$4")),"",INDIRECT("'"&amp;$A7&amp;"'!"&amp;"$D$4"))</f>
        <v>4.8499999999999996</v>
      </c>
      <c r="W7" s="340" t="str">
        <f>IF(F7="","",(D7-F7)*G7*1000)</f>
        <v/>
      </c>
      <c r="X7" s="341" t="str">
        <f>IF(F7="","",D7*G7*1000)</f>
        <v/>
      </c>
      <c r="Y7" s="341" t="str">
        <f>IF(F7="","",F7*G7*1000+MAX(ROUNDDOWN(F7*1000*0.145%*28%,0),20)*G7)</f>
        <v/>
      </c>
      <c r="Z7" s="341" t="str">
        <f>IF(G7&gt;0,MAX(ROUNDDOWN(D7*1000*0.145%*28%,0),20)*G7+ROUNDDOWN(F7*1000*0.3%*28%,0)*G7,"")</f>
        <v/>
      </c>
      <c r="AA7" s="336">
        <f ca="1">INDIRECT("'"&amp;$A7&amp;"'!"&amp;"$B$10")</f>
        <v>11.79</v>
      </c>
      <c r="AB7" s="336">
        <f ca="1">INDIRECT("'"&amp;$A7&amp;"'!"&amp;"$E$10")</f>
        <v>14.245000000000001</v>
      </c>
      <c r="AC7" s="337" t="str">
        <f>VLOOKUP(_xlfn.NUMBERVALUE(A7),[2]工作表1!$A:$G,7,FALSE)</f>
        <v>無保留意見</v>
      </c>
    </row>
    <row r="8" spans="1:29" x14ac:dyDescent="0.25">
      <c r="A8" s="330">
        <v>1582</v>
      </c>
      <c r="B8" s="320" t="s">
        <v>349</v>
      </c>
      <c r="C8" s="320"/>
      <c r="D8" s="331">
        <f>VLOOKUP(_xlfn.NUMBERVALUE(A8),[1]工作表1!$A:$D,3,FALSE)</f>
        <v>62.3</v>
      </c>
      <c r="E8" s="332">
        <f>ROUND(VLOOKUP(_xlfn.NUMBERVALUE(A8),[1]工作表1!$A:$D,4,FALSE)/1000,0)</f>
        <v>683</v>
      </c>
      <c r="F8" s="331"/>
      <c r="G8" s="366">
        <v>0</v>
      </c>
      <c r="H8" s="333" t="str">
        <f ca="1">IF(INDIRECT("'"&amp;$A8&amp;"'!"&amp;"$D$1")=$H$1,"","X")</f>
        <v>X</v>
      </c>
      <c r="I8" s="334" t="str">
        <f>IF(F8="","",(D8-F8)/F8)</f>
        <v/>
      </c>
      <c r="J8" s="335" t="e">
        <f ca="1">INDIRECT("'"&amp;$A8&amp;"'!"&amp;"$I$15")</f>
        <v>#DIV/0!</v>
      </c>
      <c r="K8" s="336">
        <f ca="1">INDIRECT("'"&amp;$A8&amp;"'!"&amp;"$I$9")</f>
        <v>0</v>
      </c>
      <c r="L8" s="336">
        <f ca="1">INDIRECT("'"&amp;$A8&amp;"'!"&amp;"$B$3")</f>
        <v>88.992276121951321</v>
      </c>
      <c r="M8" s="336">
        <f ca="1">INDIRECT("'"&amp;$A8&amp;"'!"&amp;"$B$4")</f>
        <v>88</v>
      </c>
      <c r="N8" s="336">
        <f ca="1">INDIRECT("'"&amp;$A8&amp;"'!"&amp;"$B$5")</f>
        <v>94.30403910614524</v>
      </c>
      <c r="O8" s="337" t="str">
        <f ca="1">INDIRECT("'"&amp;$A8&amp;"'!"&amp;"$I$6")</f>
        <v>上月成長</v>
      </c>
      <c r="P8" s="337" t="str">
        <f ca="1">INDIRECT("'"&amp;$A8&amp;"'!"&amp;"$K$6")</f>
        <v>單季衰退</v>
      </c>
      <c r="Q8" s="338">
        <f ca="1">INDIRECT("'"&amp;$A8&amp;"'!"&amp;"$N$3")</f>
        <v>-4.5758520727909785E-2</v>
      </c>
      <c r="R8" s="338">
        <f ca="1">INDIRECT("'"&amp;$A8&amp;"'!"&amp;"$N$6")/INDIRECT("'"&amp;$A8&amp;"'!"&amp;"$N$5")-1</f>
        <v>-7.9919667818525331E-2</v>
      </c>
      <c r="S8" s="324" t="str">
        <f ca="1">IF(D8&gt;INDIRECT("'"&amp;$A8&amp;"'!"&amp;"$I$3"),"",IF(AND(Q8&lt;0,R8&lt;0),"",IF(AND(Q8&lt;0,R8&gt;0),"轉機",IF(AND(Q8&gt;0,R8&lt;0),"",IF(AND(Q8&gt;=5%,R8&gt;=Q8),"OO","O")))))</f>
        <v/>
      </c>
      <c r="T8" s="332">
        <f>ROUND(策略!$I$14/$D8,0)</f>
        <v>8</v>
      </c>
      <c r="U8" s="334">
        <f ca="1">INDIRECT("'"&amp;$A8&amp;"'!"&amp;"$J$16")</f>
        <v>-1</v>
      </c>
      <c r="V8" s="339">
        <f ca="1">IF(ISERROR(INDIRECT("'"&amp;$A8&amp;"'!"&amp;"$D$4")),"",INDIRECT("'"&amp;$A8&amp;"'!"&amp;"$D$4"))</f>
        <v>15</v>
      </c>
      <c r="W8" s="340" t="str">
        <f>IF(F8="","",(D8-F8)*G8*1000)</f>
        <v/>
      </c>
      <c r="X8" s="341" t="str">
        <f>IF(F8="","",D8*G8*1000)</f>
        <v/>
      </c>
      <c r="Y8" s="341" t="str">
        <f>IF(F8="","",F8*G8*1000+MAX(ROUNDDOWN(F8*1000*0.145%*28%,0),20)*G8)</f>
        <v/>
      </c>
      <c r="Z8" s="341" t="str">
        <f>IF(G8&gt;0,MAX(ROUNDDOWN(D8*1000*0.145%*28%,0),20)*G8+ROUNDDOWN(F8*1000*0.3%*28%,0)*G8,"")</f>
        <v/>
      </c>
      <c r="AA8" s="336">
        <f ca="1">INDIRECT("'"&amp;$A8&amp;"'!"&amp;"$B$10")</f>
        <v>9.81</v>
      </c>
      <c r="AB8" s="336">
        <f ca="1">INDIRECT("'"&amp;$A8&amp;"'!"&amp;"$E$10")</f>
        <v>11.3</v>
      </c>
      <c r="AC8" s="337" t="str">
        <f>VLOOKUP(_xlfn.NUMBERVALUE(A8),[2]工作表1!$A:$G,7,FALSE)</f>
        <v>無保留意見</v>
      </c>
    </row>
    <row r="9" spans="1:29" x14ac:dyDescent="0.25">
      <c r="A9" s="330">
        <v>1702</v>
      </c>
      <c r="B9" s="369" t="s">
        <v>395</v>
      </c>
      <c r="C9" s="369"/>
      <c r="D9" s="331">
        <f>VLOOKUP(_xlfn.NUMBERVALUE(A9),[1]工作表1!$A:$D,3,FALSE)</f>
        <v>59.9</v>
      </c>
      <c r="E9" s="332">
        <f>ROUND(VLOOKUP(_xlfn.NUMBERVALUE(A9),[1]工作表1!$A:$D,4,FALSE)/1000,0)</f>
        <v>302</v>
      </c>
      <c r="F9" s="331"/>
      <c r="G9" s="366">
        <v>0</v>
      </c>
      <c r="H9" s="333" t="str">
        <f ca="1">IF(INDIRECT("'"&amp;$A9&amp;"'!"&amp;"$D$1")=$H$1,"","X")</f>
        <v>X</v>
      </c>
      <c r="I9" s="334" t="str">
        <f>IF(F9="","",(D9-F9)/F9)</f>
        <v/>
      </c>
      <c r="J9" s="335" t="e">
        <f ca="1">INDIRECT("'"&amp;$A9&amp;"'!"&amp;"$I$15")</f>
        <v>#DIV/0!</v>
      </c>
      <c r="K9" s="336">
        <f ca="1">INDIRECT("'"&amp;$A9&amp;"'!"&amp;"$I$9")</f>
        <v>0</v>
      </c>
      <c r="L9" s="336">
        <f ca="1">INDIRECT("'"&amp;$A9&amp;"'!"&amp;"$B$3")</f>
        <v>68.041894659239304</v>
      </c>
      <c r="M9" s="336">
        <f ca="1">INDIRECT("'"&amp;$A9&amp;"'!"&amp;"$B$4")</f>
        <v>90</v>
      </c>
      <c r="N9" s="336">
        <f ca="1">INDIRECT("'"&amp;$A9&amp;"'!"&amp;"$B$5")</f>
        <v>91.529602888086629</v>
      </c>
      <c r="O9" s="337" t="str">
        <f ca="1">INDIRECT("'"&amp;$A9&amp;"'!"&amp;"$I$6")</f>
        <v>連2月成長</v>
      </c>
      <c r="P9" s="337" t="str">
        <f ca="1">INDIRECT("'"&amp;$A9&amp;"'!"&amp;"$K$6")</f>
        <v>連3季衰退</v>
      </c>
      <c r="Q9" s="338">
        <f ca="1">INDIRECT("'"&amp;$A9&amp;"'!"&amp;"$N$3")</f>
        <v>-0.10288171190744029</v>
      </c>
      <c r="R9" s="338">
        <f ca="1">INDIRECT("'"&amp;$A9&amp;"'!"&amp;"$N$6")/INDIRECT("'"&amp;$A9&amp;"'!"&amp;"$N$5")-1</f>
        <v>8.3466886002398599E-2</v>
      </c>
      <c r="S9" s="324" t="str">
        <f ca="1">IF(D9&gt;INDIRECT("'"&amp;$A9&amp;"'!"&amp;"$I$3"),"",IF(AND(Q9&lt;0,R9&lt;0),"",IF(AND(Q9&lt;0,R9&gt;0),"轉機",IF(AND(Q9&gt;0,R9&lt;0),"",IF(AND(Q9&gt;=5%,R9&gt;=Q9),"OO","O")))))</f>
        <v>轉機</v>
      </c>
      <c r="T9" s="332">
        <f>ROUND(策略!$I$14/$D9,0)</f>
        <v>8</v>
      </c>
      <c r="U9" s="334">
        <f ca="1">INDIRECT("'"&amp;$A9&amp;"'!"&amp;"$J$16")</f>
        <v>-1</v>
      </c>
      <c r="V9" s="339">
        <f ca="1">IF(ISERROR(INDIRECT("'"&amp;$A9&amp;"'!"&amp;"$D$4")),"",INDIRECT("'"&amp;$A9&amp;"'!"&amp;"$D$4"))</f>
        <v>29.4</v>
      </c>
      <c r="W9" s="340" t="str">
        <f>IF(F9="","",(D9-F9)*G9*1000)</f>
        <v/>
      </c>
      <c r="X9" s="341" t="str">
        <f>IF(F9="","",D9*G9*1000)</f>
        <v/>
      </c>
      <c r="Y9" s="341" t="str">
        <f>IF(F9="","",F9*G9*1000+MAX(ROUNDDOWN(F9*1000*0.145%*28%,0),20)*G9)</f>
        <v/>
      </c>
      <c r="Z9" s="341" t="str">
        <f>IF(G9&gt;0,MAX(ROUNDDOWN(D9*1000*0.145%*28%,0),20)*G9+ROUNDDOWN(F9*1000*0.3%*28%,0)*G9,"")</f>
        <v/>
      </c>
      <c r="AA9" s="336">
        <f ca="1">INDIRECT("'"&amp;$A9&amp;"'!"&amp;"$B$10")</f>
        <v>14.17</v>
      </c>
      <c r="AB9" s="336">
        <f ca="1">INDIRECT("'"&amp;$A9&amp;"'!"&amp;"$E$10")</f>
        <v>16.309999999999999</v>
      </c>
      <c r="AC9" s="337" t="str">
        <f>VLOOKUP(_xlfn.NUMBERVALUE(A9),[2]工作表1!$A:$G,7,FALSE)</f>
        <v>無保留意見</v>
      </c>
    </row>
    <row r="10" spans="1:29" x14ac:dyDescent="0.25">
      <c r="A10" s="343">
        <v>1717</v>
      </c>
      <c r="B10" s="374" t="s">
        <v>396</v>
      </c>
      <c r="C10" s="345"/>
      <c r="D10" s="331">
        <f>VLOOKUP(_xlfn.NUMBERVALUE(A10),[1]工作表1!$A:$D,3,FALSE)</f>
        <v>29.75</v>
      </c>
      <c r="E10" s="332">
        <f>ROUND(VLOOKUP(_xlfn.NUMBERVALUE(A10),[1]工作表1!$A:$D,4,FALSE)/1000,0)</f>
        <v>532</v>
      </c>
      <c r="F10" s="331"/>
      <c r="G10" s="366">
        <v>0</v>
      </c>
      <c r="H10" s="333" t="str">
        <f ca="1">IF(INDIRECT("'"&amp;$A10&amp;"'!"&amp;"$D$1")=$H$1,"","X")</f>
        <v>X</v>
      </c>
      <c r="I10" s="334" t="str">
        <f>IF(F10="","",(D10-F10)/F10)</f>
        <v/>
      </c>
      <c r="J10" s="335" t="e">
        <f ca="1">INDIRECT("'"&amp;$A10&amp;"'!"&amp;"$I$15")</f>
        <v>#DIV/0!</v>
      </c>
      <c r="K10" s="336">
        <f ca="1">INDIRECT("'"&amp;$A10&amp;"'!"&amp;"$I$9")</f>
        <v>0</v>
      </c>
      <c r="L10" s="336">
        <f ca="1">INDIRECT("'"&amp;$A10&amp;"'!"&amp;"$B$3")</f>
        <v>71.919573986048974</v>
      </c>
      <c r="M10" s="336">
        <f ca="1">INDIRECT("'"&amp;$A10&amp;"'!"&amp;"$B$4")</f>
        <v>86</v>
      </c>
      <c r="N10" s="336">
        <f ca="1">INDIRECT("'"&amp;$A10&amp;"'!"&amp;"$B$5")</f>
        <v>82.148860964449128</v>
      </c>
      <c r="O10" s="337" t="str">
        <f ca="1">INDIRECT("'"&amp;$A10&amp;"'!"&amp;"$I$6")</f>
        <v>連5月成長</v>
      </c>
      <c r="P10" s="337" t="str">
        <f ca="1">INDIRECT("'"&amp;$A10&amp;"'!"&amp;"$K$6")</f>
        <v>連3季衰退</v>
      </c>
      <c r="Q10" s="338">
        <f ca="1">INDIRECT("'"&amp;$A10&amp;"'!"&amp;"$N$3")</f>
        <v>-0.3544880141523048</v>
      </c>
      <c r="R10" s="338">
        <f ca="1">INDIRECT("'"&amp;$A10&amp;"'!"&amp;"$N$6")/INDIRECT("'"&amp;$A10&amp;"'!"&amp;"$N$5")-1</f>
        <v>0.1278653856982459</v>
      </c>
      <c r="S10" s="324" t="str">
        <f ca="1">IF(D10&gt;INDIRECT("'"&amp;$A10&amp;"'!"&amp;"$I$3"),"",IF(AND(Q10&lt;0,R10&lt;0),"",IF(AND(Q10&lt;0,R10&gt;0),"轉機",IF(AND(Q10&gt;0,R10&lt;0),"",IF(AND(Q10&gt;=5%,R10&gt;=Q10),"OO","O")))))</f>
        <v/>
      </c>
      <c r="T10" s="332">
        <f>ROUND(策略!$I$14/$D10,0)</f>
        <v>16</v>
      </c>
      <c r="U10" s="334">
        <f ca="1">INDIRECT("'"&amp;$A10&amp;"'!"&amp;"$J$16")</f>
        <v>-1</v>
      </c>
      <c r="V10" s="339">
        <f ca="1">IF(ISERROR(INDIRECT("'"&amp;$A10&amp;"'!"&amp;"$D$4")),"",INDIRECT("'"&amp;$A10&amp;"'!"&amp;"$D$4"))</f>
        <v>115.5</v>
      </c>
      <c r="W10" s="340" t="str">
        <f>IF(F10="","",(D10-F10)*G10*1000)</f>
        <v/>
      </c>
      <c r="X10" s="341" t="str">
        <f>IF(F10="","",D10*G10*1000)</f>
        <v/>
      </c>
      <c r="Y10" s="341" t="str">
        <f>IF(F10="","",F10*G10*1000+MAX(ROUNDDOWN(F10*1000*0.145%*28%,0),20)*G10)</f>
        <v/>
      </c>
      <c r="Z10" s="341" t="str">
        <f>IF(G10&gt;0,MAX(ROUNDDOWN(D10*1000*0.145%*28%,0),20)*G10+ROUNDDOWN(F10*1000*0.3%*28%,0)*G10,"")</f>
        <v/>
      </c>
      <c r="AA10" s="336">
        <f ca="1">INDIRECT("'"&amp;$A10&amp;"'!"&amp;"$B$10")</f>
        <v>12.23</v>
      </c>
      <c r="AB10" s="336">
        <f ca="1">INDIRECT("'"&amp;$A10&amp;"'!"&amp;"$E$10")</f>
        <v>17.689999999999998</v>
      </c>
      <c r="AC10" s="337" t="str">
        <f>VLOOKUP(_xlfn.NUMBERVALUE(A10),[2]工作表1!$A:$G,7,FALSE)</f>
        <v>無保留意見</v>
      </c>
    </row>
    <row r="11" spans="1:29" x14ac:dyDescent="0.25">
      <c r="A11" s="343">
        <v>1726</v>
      </c>
      <c r="B11" s="374" t="s">
        <v>397</v>
      </c>
      <c r="C11" s="345"/>
      <c r="D11" s="331">
        <f>VLOOKUP(_xlfn.NUMBERVALUE(A11),[1]工作表1!$A:$D,3,FALSE)</f>
        <v>80.400000000000006</v>
      </c>
      <c r="E11" s="332">
        <f>ROUND(VLOOKUP(_xlfn.NUMBERVALUE(A11),[1]工作表1!$A:$D,4,FALSE)/1000,0)</f>
        <v>119</v>
      </c>
      <c r="F11" s="331"/>
      <c r="G11" s="366">
        <v>0</v>
      </c>
      <c r="H11" s="333" t="str">
        <f ca="1">IF(INDIRECT("'"&amp;$A11&amp;"'!"&amp;"$D$1")=$H$1,"","X")</f>
        <v>X</v>
      </c>
      <c r="I11" s="334" t="str">
        <f>IF(F11="","",(D11-F11)/F11)</f>
        <v/>
      </c>
      <c r="J11" s="335" t="e">
        <f ca="1">INDIRECT("'"&amp;$A11&amp;"'!"&amp;"$I$15")</f>
        <v>#DIV/0!</v>
      </c>
      <c r="K11" s="336">
        <f ca="1">INDIRECT("'"&amp;$A11&amp;"'!"&amp;"$I$9")</f>
        <v>0</v>
      </c>
      <c r="L11" s="336">
        <f ca="1">INDIRECT("'"&amp;$A11&amp;"'!"&amp;"$B$3")</f>
        <v>90.11293279193282</v>
      </c>
      <c r="M11" s="336">
        <f ca="1">INDIRECT("'"&amp;$A11&amp;"'!"&amp;"$B$4")</f>
        <v>84</v>
      </c>
      <c r="N11" s="336">
        <f ca="1">INDIRECT("'"&amp;$A11&amp;"'!"&amp;"$B$5")</f>
        <v>95.511097804391213</v>
      </c>
      <c r="O11" s="337" t="str">
        <f ca="1">INDIRECT("'"&amp;$A11&amp;"'!"&amp;"$I$6")</f>
        <v>連5月成長</v>
      </c>
      <c r="P11" s="337" t="str">
        <f ca="1">INDIRECT("'"&amp;$A11&amp;"'!"&amp;"$K$6")</f>
        <v>連3季衰退</v>
      </c>
      <c r="Q11" s="338">
        <f ca="1">INDIRECT("'"&amp;$A11&amp;"'!"&amp;"$N$3")</f>
        <v>-0.20942345458543507</v>
      </c>
      <c r="R11" s="338">
        <f ca="1">INDIRECT("'"&amp;$A11&amp;"'!"&amp;"$N$6")/INDIRECT("'"&amp;$A11&amp;"'!"&amp;"$N$5")-1</f>
        <v>5.2340501012097196E-2</v>
      </c>
      <c r="S11" s="324" t="str">
        <f ca="1">IF(D11&gt;INDIRECT("'"&amp;$A11&amp;"'!"&amp;"$I$3"),"",IF(AND(Q11&lt;0,R11&lt;0),"",IF(AND(Q11&lt;0,R11&gt;0),"轉機",IF(AND(Q11&gt;0,R11&lt;0),"",IF(AND(Q11&gt;=5%,R11&gt;=Q11),"OO","O")))))</f>
        <v/>
      </c>
      <c r="T11" s="332">
        <f>ROUND(策略!$I$14/$D11,0)</f>
        <v>6</v>
      </c>
      <c r="U11" s="334">
        <f ca="1">INDIRECT("'"&amp;$A11&amp;"'!"&amp;"$J$16")</f>
        <v>-1</v>
      </c>
      <c r="V11" s="339">
        <f ca="1">IF(ISERROR(INDIRECT("'"&amp;$A11&amp;"'!"&amp;"$D$4")),"",INDIRECT("'"&amp;$A11&amp;"'!"&amp;"$D$4"))</f>
        <v>16.2</v>
      </c>
      <c r="W11" s="340" t="str">
        <f>IF(F11="","",(D11-F11)*G11*1000)</f>
        <v/>
      </c>
      <c r="X11" s="341" t="str">
        <f>IF(F11="","",D11*G11*1000)</f>
        <v/>
      </c>
      <c r="Y11" s="341" t="str">
        <f>IF(F11="","",F11*G11*1000+MAX(ROUNDDOWN(F11*1000*0.145%*28%,0),20)*G11)</f>
        <v/>
      </c>
      <c r="Z11" s="341" t="str">
        <f>IF(G11&gt;0,MAX(ROUNDDOWN(D11*1000*0.145%*28%,0),20)*G11+ROUNDDOWN(F11*1000*0.3%*28%,0)*G11,"")</f>
        <v/>
      </c>
      <c r="AA11" s="336">
        <f ca="1">INDIRECT("'"&amp;$A11&amp;"'!"&amp;"$B$10")</f>
        <v>11.42</v>
      </c>
      <c r="AB11" s="336">
        <f ca="1">INDIRECT("'"&amp;$A11&amp;"'!"&amp;"$E$10")</f>
        <v>13.16</v>
      </c>
      <c r="AC11" s="337" t="str">
        <f>VLOOKUP(_xlfn.NUMBERVALUE(A11),[2]工作表1!$A:$G,7,FALSE)</f>
        <v>無保留意見</v>
      </c>
    </row>
    <row r="12" spans="1:29" x14ac:dyDescent="0.25">
      <c r="A12" s="330">
        <v>1773</v>
      </c>
      <c r="B12" s="369" t="s">
        <v>399</v>
      </c>
      <c r="C12" s="320"/>
      <c r="D12" s="331">
        <f>VLOOKUP(_xlfn.NUMBERVALUE(A12),[1]工作表1!$A:$D,3,FALSE)</f>
        <v>83.5</v>
      </c>
      <c r="E12" s="332">
        <f>ROUND(VLOOKUP(_xlfn.NUMBERVALUE(A12),[1]工作表1!$A:$D,4,FALSE)/1000,0)</f>
        <v>368</v>
      </c>
      <c r="F12" s="331"/>
      <c r="G12" s="366">
        <v>0</v>
      </c>
      <c r="H12" s="333" t="str">
        <f ca="1">IF(INDIRECT("'"&amp;$A12&amp;"'!"&amp;"$D$1")=$H$1,"","X")</f>
        <v>X</v>
      </c>
      <c r="I12" s="334" t="str">
        <f>IF(F12="","",(D12-F12)/F12)</f>
        <v/>
      </c>
      <c r="J12" s="335" t="e">
        <f ca="1">INDIRECT("'"&amp;$A12&amp;"'!"&amp;"$I$15")</f>
        <v>#DIV/0!</v>
      </c>
      <c r="K12" s="336">
        <f ca="1">INDIRECT("'"&amp;$A12&amp;"'!"&amp;"$I$9")</f>
        <v>0</v>
      </c>
      <c r="L12" s="336">
        <f ca="1">INDIRECT("'"&amp;$A12&amp;"'!"&amp;"$B$3")</f>
        <v>91.79940612033144</v>
      </c>
      <c r="M12" s="336">
        <f ca="1">INDIRECT("'"&amp;$A12&amp;"'!"&amp;"$B$4")</f>
        <v>72</v>
      </c>
      <c r="N12" s="336">
        <f ca="1">INDIRECT("'"&amp;$A12&amp;"'!"&amp;"$B$5")</f>
        <v>92.781618654073199</v>
      </c>
      <c r="O12" s="337" t="str">
        <f ca="1">INDIRECT("'"&amp;$A12&amp;"'!"&amp;"$I$6")</f>
        <v>連5月成長</v>
      </c>
      <c r="P12" s="337" t="str">
        <f ca="1">INDIRECT("'"&amp;$A12&amp;"'!"&amp;"$K$6")</f>
        <v>連3季成長</v>
      </c>
      <c r="Q12" s="338">
        <f ca="1">INDIRECT("'"&amp;$A12&amp;"'!"&amp;"$N$3")</f>
        <v>0.11286043475790357</v>
      </c>
      <c r="R12" s="338">
        <f ca="1">INDIRECT("'"&amp;$A12&amp;"'!"&amp;"$N$6")/INDIRECT("'"&amp;$A12&amp;"'!"&amp;"$N$5")-1</f>
        <v>0.11796138677292456</v>
      </c>
      <c r="S12" s="324" t="str">
        <f ca="1">IF(D12&gt;INDIRECT("'"&amp;$A12&amp;"'!"&amp;"$I$3"),"",IF(AND(Q12&lt;0,R12&lt;0),"",IF(AND(Q12&lt;0,R12&gt;0),"轉機",IF(AND(Q12&gt;0,R12&lt;0),"",IF(AND(Q12&gt;=5%,R12&gt;=Q12),"OO","O")))))</f>
        <v/>
      </c>
      <c r="T12" s="332">
        <f>ROUND(策略!$I$14/$D12,0)</f>
        <v>6</v>
      </c>
      <c r="U12" s="334">
        <f ca="1">INDIRECT("'"&amp;$A12&amp;"'!"&amp;"$J$16")</f>
        <v>-1</v>
      </c>
      <c r="V12" s="339">
        <f ca="1">IF(ISERROR(INDIRECT("'"&amp;$A12&amp;"'!"&amp;"$D$4")),"",INDIRECT("'"&amp;$A12&amp;"'!"&amp;"$D$4"))</f>
        <v>15</v>
      </c>
      <c r="W12" s="340" t="str">
        <f>IF(F12="","",(D12-F12)*G12*1000)</f>
        <v/>
      </c>
      <c r="X12" s="341" t="str">
        <f>IF(F12="","",D12*G12*1000)</f>
        <v/>
      </c>
      <c r="Y12" s="341" t="str">
        <f>IF(F12="","",F12*G12*1000+MAX(ROUNDDOWN(F12*1000*0.145%*28%,0),20)*G12)</f>
        <v/>
      </c>
      <c r="Z12" s="341" t="str">
        <f>IF(G12&gt;0,MAX(ROUNDDOWN(D12*1000*0.145%*28%,0),20)*G12+ROUNDDOWN(F12*1000*0.3%*28%,0)*G12,"")</f>
        <v/>
      </c>
      <c r="AA12" s="336">
        <f ca="1">INDIRECT("'"&amp;$A12&amp;"'!"&amp;"$B$10")</f>
        <v>10.43</v>
      </c>
      <c r="AB12" s="336">
        <f ca="1">INDIRECT("'"&amp;$A12&amp;"'!"&amp;"$E$10")</f>
        <v>11.965</v>
      </c>
      <c r="AC12" s="337" t="str">
        <f>VLOOKUP(_xlfn.NUMBERVALUE(A12),[2]工作表1!$A:$G,7,FALSE)</f>
        <v>無保留意見</v>
      </c>
    </row>
    <row r="13" spans="1:29" x14ac:dyDescent="0.25">
      <c r="A13" s="330">
        <v>1817</v>
      </c>
      <c r="B13" s="320" t="s">
        <v>291</v>
      </c>
      <c r="C13" s="320"/>
      <c r="D13" s="331">
        <f>VLOOKUP(_xlfn.NUMBERVALUE(A13),[1]工作表1!$A:$D,3,FALSE)</f>
        <v>41.5</v>
      </c>
      <c r="E13" s="332">
        <f>ROUND(VLOOKUP(_xlfn.NUMBERVALUE(A13),[1]工作表1!$A:$D,4,FALSE)/1000,0)</f>
        <v>120</v>
      </c>
      <c r="F13" s="331">
        <v>37.950000000000003</v>
      </c>
      <c r="G13" s="366">
        <v>4</v>
      </c>
      <c r="H13" s="333" t="str">
        <f ca="1">IF(INDIRECT("'"&amp;$A13&amp;"'!"&amp;"$D$1")=$H$1,"","X")</f>
        <v/>
      </c>
      <c r="I13" s="334">
        <f>IF(F13="","",(D13-F13)/F13)</f>
        <v>9.3544137022397805E-2</v>
      </c>
      <c r="J13" s="335" t="e">
        <f ca="1">INDIRECT("'"&amp;$A13&amp;"'!"&amp;"$I$15")</f>
        <v>#DIV/0!</v>
      </c>
      <c r="K13" s="336">
        <f ca="1">INDIRECT("'"&amp;$A13&amp;"'!"&amp;"$I$9")</f>
        <v>0</v>
      </c>
      <c r="L13" s="336">
        <f ca="1">INDIRECT("'"&amp;$A13&amp;"'!"&amp;"$B$3")</f>
        <v>83.602833320497766</v>
      </c>
      <c r="M13" s="336">
        <f ca="1">INDIRECT("'"&amp;$A13&amp;"'!"&amp;"$B$4")</f>
        <v>86</v>
      </c>
      <c r="N13" s="336">
        <f ca="1">INDIRECT("'"&amp;$A13&amp;"'!"&amp;"$B$5")</f>
        <v>97.884109589041103</v>
      </c>
      <c r="O13" s="337" t="str">
        <f ca="1">INDIRECT("'"&amp;$A13&amp;"'!"&amp;"$I$6")</f>
        <v>上月成長</v>
      </c>
      <c r="P13" s="337" t="str">
        <f ca="1">INDIRECT("'"&amp;$A13&amp;"'!"&amp;"$K$6")</f>
        <v>連3季成長</v>
      </c>
      <c r="Q13" s="338">
        <f ca="1">INDIRECT("'"&amp;$A13&amp;"'!"&amp;"$N$3")</f>
        <v>8.6849049140209494E-2</v>
      </c>
      <c r="R13" s="338">
        <f ca="1">INDIRECT("'"&amp;$A13&amp;"'!"&amp;"$N$6")/INDIRECT("'"&amp;$A13&amp;"'!"&amp;"$N$5")-1</f>
        <v>6.3614514085613916E-2</v>
      </c>
      <c r="S13" s="324" t="str">
        <f ca="1">IF(D13&gt;INDIRECT("'"&amp;$A13&amp;"'!"&amp;"$I$3"),"",IF(AND(Q13&lt;0,R13&lt;0),"",IF(AND(Q13&lt;0,R13&gt;0),"轉機",IF(AND(Q13&gt;0,R13&lt;0),"",IF(AND(Q13&gt;=5%,R13&gt;=Q13),"OO","O")))))</f>
        <v>O</v>
      </c>
      <c r="T13" s="332">
        <f>ROUND(策略!$I$14/$D13,0)</f>
        <v>12</v>
      </c>
      <c r="U13" s="334">
        <f ca="1">INDIRECT("'"&amp;$A13&amp;"'!"&amp;"$J$16")</f>
        <v>-1</v>
      </c>
      <c r="V13" s="339">
        <f ca="1">IF(ISERROR(INDIRECT("'"&amp;$A13&amp;"'!"&amp;"$D$4")),"",INDIRECT("'"&amp;$A13&amp;"'!"&amp;"$D$4"))</f>
        <v>7.26</v>
      </c>
      <c r="W13" s="340">
        <f>IF(F13="","",(D13-F13)*G13*1000)</f>
        <v>14199.999999999989</v>
      </c>
      <c r="X13" s="341">
        <f>IF(F13="","",D13*G13*1000)</f>
        <v>166000</v>
      </c>
      <c r="Y13" s="341">
        <f>IF(F13="","",F13*G13*1000+MAX(ROUNDDOWN(F13*1000*0.145%*28%,0),20)*G13)</f>
        <v>151880</v>
      </c>
      <c r="Z13" s="341">
        <f>IF(G13&gt;0,MAX(ROUNDDOWN(D13*1000*0.145%*28%,0),20)*G13+ROUNDDOWN(F13*1000*0.3%*28%,0)*G13,"")</f>
        <v>204</v>
      </c>
      <c r="AA13" s="336">
        <f ca="1">INDIRECT("'"&amp;$A13&amp;"'!"&amp;"$B$10")</f>
        <v>11.29</v>
      </c>
      <c r="AB13" s="336">
        <f ca="1">INDIRECT("'"&amp;$A13&amp;"'!"&amp;"$E$10")</f>
        <v>13.416</v>
      </c>
      <c r="AC13" s="337" t="str">
        <f>VLOOKUP(_xlfn.NUMBERVALUE(A13),[2]工作表1!$A:$G,7,FALSE)</f>
        <v>無保留意見</v>
      </c>
    </row>
    <row r="14" spans="1:29" x14ac:dyDescent="0.25">
      <c r="A14" s="330">
        <v>2105</v>
      </c>
      <c r="B14" s="320" t="s">
        <v>292</v>
      </c>
      <c r="C14" s="320"/>
      <c r="D14" s="331">
        <f>VLOOKUP(_xlfn.NUMBERVALUE(A14),[1]工作表1!$A:$D,3,FALSE)</f>
        <v>47.4</v>
      </c>
      <c r="E14" s="332">
        <f>ROUND(VLOOKUP(_xlfn.NUMBERVALUE(A14),[1]工作表1!$A:$D,4,FALSE)/1000,0)</f>
        <v>11465</v>
      </c>
      <c r="F14" s="331"/>
      <c r="G14" s="366">
        <v>0</v>
      </c>
      <c r="H14" s="333" t="str">
        <f ca="1">IF(INDIRECT("'"&amp;$A14&amp;"'!"&amp;"$D$1")=$H$1,"","X")</f>
        <v>X</v>
      </c>
      <c r="I14" s="334" t="str">
        <f>IF(F14="","",(D14-F14)/F14)</f>
        <v/>
      </c>
      <c r="J14" s="335" t="e">
        <f ca="1">INDIRECT("'"&amp;$A14&amp;"'!"&amp;"$I$15")</f>
        <v>#DIV/0!</v>
      </c>
      <c r="K14" s="336">
        <f ca="1">INDIRECT("'"&amp;$A14&amp;"'!"&amp;"$I$9")</f>
        <v>0</v>
      </c>
      <c r="L14" s="336">
        <f ca="1">INDIRECT("'"&amp;$A14&amp;"'!"&amp;"$B$3")</f>
        <v>76.209481310567782</v>
      </c>
      <c r="M14" s="336">
        <f ca="1">INDIRECT("'"&amp;$A14&amp;"'!"&amp;"$B$4")</f>
        <v>74</v>
      </c>
      <c r="N14" s="336">
        <f ca="1">INDIRECT("'"&amp;$A14&amp;"'!"&amp;"$B$5")</f>
        <v>97.813559322033896</v>
      </c>
      <c r="O14" s="337" t="str">
        <f ca="1">INDIRECT("'"&amp;$A14&amp;"'!"&amp;"$I$6")</f>
        <v>連2月衰退</v>
      </c>
      <c r="P14" s="337" t="str">
        <f ca="1">INDIRECT("'"&amp;$A14&amp;"'!"&amp;"$K$6")</f>
        <v>連3季衰退</v>
      </c>
      <c r="Q14" s="338">
        <f ca="1">INDIRECT("'"&amp;$A14&amp;"'!"&amp;"$N$3")</f>
        <v>-0.50527563875719839</v>
      </c>
      <c r="R14" s="338">
        <f ca="1">INDIRECT("'"&amp;$A14&amp;"'!"&amp;"$N$6")/INDIRECT("'"&amp;$A14&amp;"'!"&amp;"$N$5")-1</f>
        <v>-9.5517690404438915E-2</v>
      </c>
      <c r="S14" s="324" t="str">
        <f ca="1">IF(D14&gt;INDIRECT("'"&amp;$A14&amp;"'!"&amp;"$I$3"),"",IF(AND(Q14&lt;0,R14&lt;0),"",IF(AND(Q14&lt;0,R14&gt;0),"轉機",IF(AND(Q14&gt;0,R14&lt;0),"",IF(AND(Q14&gt;=5%,R14&gt;=Q14),"OO","O")))))</f>
        <v/>
      </c>
      <c r="T14" s="332">
        <f>ROUND(策略!$I$14/$D14,0)</f>
        <v>10</v>
      </c>
      <c r="U14" s="334">
        <f ca="1">INDIRECT("'"&amp;$A14&amp;"'!"&amp;"$J$16")</f>
        <v>-1</v>
      </c>
      <c r="V14" s="339">
        <f ca="1">IF(ISERROR(INDIRECT("'"&amp;$A14&amp;"'!"&amp;"$D$4")),"",INDIRECT("'"&amp;$A14&amp;"'!"&amp;"$D$4"))</f>
        <v>324</v>
      </c>
      <c r="W14" s="340" t="str">
        <f>IF(F14="","",(D14-F14)*G14*1000)</f>
        <v/>
      </c>
      <c r="X14" s="341" t="str">
        <f>IF(F14="","",D14*G14*1000)</f>
        <v/>
      </c>
      <c r="Y14" s="341" t="str">
        <f>IF(F14="","",F14*G14*1000+MAX(ROUNDDOWN(F14*1000*0.145%*28%,0),20)*G14)</f>
        <v/>
      </c>
      <c r="Z14" s="341" t="str">
        <f>IF(G14&gt;0,MAX(ROUNDDOWN(D14*1000*0.145%*28%,0),20)*G14+ROUNDDOWN(F14*1000*0.3%*28%,0)*G14,"")</f>
        <v/>
      </c>
      <c r="AA14" s="336">
        <f ca="1">INDIRECT("'"&amp;$A14&amp;"'!"&amp;"$B$10")</f>
        <v>13.68</v>
      </c>
      <c r="AB14" s="336">
        <f ca="1">INDIRECT("'"&amp;$A14&amp;"'!"&amp;"$E$10")</f>
        <v>16.045000000000002</v>
      </c>
      <c r="AC14" s="337" t="str">
        <f>VLOOKUP(_xlfn.NUMBERVALUE(A14),[2]工作表1!$A:$G,7,FALSE)</f>
        <v>無保留意見</v>
      </c>
    </row>
    <row r="15" spans="1:29" x14ac:dyDescent="0.25">
      <c r="A15" s="330">
        <v>2106</v>
      </c>
      <c r="B15" s="320" t="s">
        <v>303</v>
      </c>
      <c r="C15" s="320"/>
      <c r="D15" s="331">
        <f>VLOOKUP(_xlfn.NUMBERVALUE(A15),[1]工作表1!$A:$D,3,FALSE)</f>
        <v>33.85</v>
      </c>
      <c r="E15" s="332">
        <f>ROUND(VLOOKUP(_xlfn.NUMBERVALUE(A15),[1]工作表1!$A:$D,4,FALSE)/1000,0)</f>
        <v>867</v>
      </c>
      <c r="F15" s="331"/>
      <c r="G15" s="366">
        <v>0</v>
      </c>
      <c r="H15" s="333" t="str">
        <f ca="1">IF(INDIRECT("'"&amp;$A15&amp;"'!"&amp;"$D$1")=$H$1,"","X")</f>
        <v>X</v>
      </c>
      <c r="I15" s="334" t="str">
        <f>IF(F15="","",(D15-F15)/F15)</f>
        <v/>
      </c>
      <c r="J15" s="335" t="e">
        <f ca="1">INDIRECT("'"&amp;$A15&amp;"'!"&amp;"$I$15")</f>
        <v>#DIV/0!</v>
      </c>
      <c r="K15" s="336">
        <f ca="1">INDIRECT("'"&amp;$A15&amp;"'!"&amp;"$I$9")</f>
        <v>0</v>
      </c>
      <c r="L15" s="336">
        <f ca="1">INDIRECT("'"&amp;$A15&amp;"'!"&amp;"$B$3")</f>
        <v>80.091531809926806</v>
      </c>
      <c r="M15" s="336">
        <f ca="1">INDIRECT("'"&amp;$A15&amp;"'!"&amp;"$B$4")</f>
        <v>74</v>
      </c>
      <c r="N15" s="336">
        <f ca="1">INDIRECT("'"&amp;$A15&amp;"'!"&amp;"$B$5")</f>
        <v>96.969406118776249</v>
      </c>
      <c r="O15" s="337" t="str">
        <f ca="1">INDIRECT("'"&amp;$A15&amp;"'!"&amp;"$I$6")</f>
        <v>連5月成長</v>
      </c>
      <c r="P15" s="337" t="str">
        <f ca="1">INDIRECT("'"&amp;$A15&amp;"'!"&amp;"$K$6")</f>
        <v>連3季衰退</v>
      </c>
      <c r="Q15" s="338">
        <f ca="1">INDIRECT("'"&amp;$A15&amp;"'!"&amp;"$N$3")</f>
        <v>-0.73217044556907696</v>
      </c>
      <c r="R15" s="338">
        <f ca="1">INDIRECT("'"&amp;$A15&amp;"'!"&amp;"$N$6")/INDIRECT("'"&amp;$A15&amp;"'!"&amp;"$N$5")-1</f>
        <v>-0.14184642354152188</v>
      </c>
      <c r="S15" s="324" t="str">
        <f ca="1">IF(D15&gt;INDIRECT("'"&amp;$A15&amp;"'!"&amp;"$I$3"),"",IF(AND(Q15&lt;0,R15&lt;0),"",IF(AND(Q15&lt;0,R15&gt;0),"轉機",IF(AND(Q15&gt;0,R15&lt;0),"",IF(AND(Q15&gt;=5%,R15&gt;=Q15),"OO","O")))))</f>
        <v/>
      </c>
      <c r="T15" s="332">
        <f>ROUND(策略!$I$14/$D15,0)</f>
        <v>14</v>
      </c>
      <c r="U15" s="334">
        <f ca="1">INDIRECT("'"&amp;$A15&amp;"'!"&amp;"$J$16")</f>
        <v>-1</v>
      </c>
      <c r="V15" s="339">
        <f ca="1">IF(ISERROR(INDIRECT("'"&amp;$A15&amp;"'!"&amp;"$D$4")),"",INDIRECT("'"&amp;$A15&amp;"'!"&amp;"$D$4"))</f>
        <v>87.4</v>
      </c>
      <c r="W15" s="340" t="str">
        <f>IF(F15="","",(D15-F15)*G15*1000)</f>
        <v/>
      </c>
      <c r="X15" s="341" t="str">
        <f>IF(F15="","",D15*G15*1000)</f>
        <v/>
      </c>
      <c r="Y15" s="341" t="str">
        <f>IF(F15="","",F15*G15*1000+MAX(ROUNDDOWN(F15*1000*0.145%*28%,0),20)*G15)</f>
        <v/>
      </c>
      <c r="Z15" s="341" t="str">
        <f>IF(G15&gt;0,MAX(ROUNDDOWN(D15*1000*0.145%*28%,0),20)*G15+ROUNDDOWN(F15*1000*0.3%*28%,0)*G15,"")</f>
        <v/>
      </c>
      <c r="AA15" s="336">
        <f ca="1">INDIRECT("'"&amp;$A15&amp;"'!"&amp;"$B$10")</f>
        <v>12.27</v>
      </c>
      <c r="AB15" s="336">
        <f ca="1">INDIRECT("'"&amp;$A15&amp;"'!"&amp;"$E$10")</f>
        <v>14.984999999999999</v>
      </c>
      <c r="AC15" s="337" t="str">
        <f>VLOOKUP(_xlfn.NUMBERVALUE(A15),[2]工作表1!$A:$G,7,FALSE)</f>
        <v>無保留意見</v>
      </c>
    </row>
    <row r="16" spans="1:29" x14ac:dyDescent="0.25">
      <c r="A16" s="330">
        <v>2114</v>
      </c>
      <c r="B16" s="320" t="s">
        <v>319</v>
      </c>
      <c r="C16" s="320"/>
      <c r="D16" s="331">
        <f>VLOOKUP(_xlfn.NUMBERVALUE(A16),[1]工作表1!$A:$D,3,FALSE)</f>
        <v>85.3</v>
      </c>
      <c r="E16" s="332">
        <f>ROUND(VLOOKUP(_xlfn.NUMBERVALUE(A16),[1]工作表1!$A:$D,4,FALSE)/1000,0)</f>
        <v>39</v>
      </c>
      <c r="F16" s="331"/>
      <c r="G16" s="366">
        <v>0</v>
      </c>
      <c r="H16" s="333" t="str">
        <f ca="1">IF(INDIRECT("'"&amp;$A16&amp;"'!"&amp;"$D$1")=$H$1,"","X")</f>
        <v>X</v>
      </c>
      <c r="I16" s="334" t="str">
        <f>IF(F16="","",(D16-F16)/F16)</f>
        <v/>
      </c>
      <c r="J16" s="335" t="e">
        <f ca="1">INDIRECT("'"&amp;$A16&amp;"'!"&amp;"$I$15")</f>
        <v>#DIV/0!</v>
      </c>
      <c r="K16" s="336">
        <f ca="1">INDIRECT("'"&amp;$A16&amp;"'!"&amp;"$I$9")</f>
        <v>0</v>
      </c>
      <c r="L16" s="336">
        <f ca="1">INDIRECT("'"&amp;$A16&amp;"'!"&amp;"$B$3")</f>
        <v>85.392923649906891</v>
      </c>
      <c r="M16" s="336">
        <f ca="1">INDIRECT("'"&amp;$A16&amp;"'!"&amp;"$B$4")</f>
        <v>76</v>
      </c>
      <c r="N16" s="336">
        <f ca="1">INDIRECT("'"&amp;$A16&amp;"'!"&amp;"$B$5")</f>
        <v>98.581901489117982</v>
      </c>
      <c r="O16" s="337" t="str">
        <f ca="1">INDIRECT("'"&amp;$A16&amp;"'!"&amp;"$I$6")</f>
        <v>連4月成長</v>
      </c>
      <c r="P16" s="337" t="str">
        <f ca="1">INDIRECT("'"&amp;$A16&amp;"'!"&amp;"$K$6")</f>
        <v>單季成長</v>
      </c>
      <c r="Q16" s="338">
        <f ca="1">INDIRECT("'"&amp;$A16&amp;"'!"&amp;"$N$3")</f>
        <v>-0.13823637097652078</v>
      </c>
      <c r="R16" s="338">
        <f ca="1">INDIRECT("'"&amp;$A16&amp;"'!"&amp;"$N$6")/INDIRECT("'"&amp;$A16&amp;"'!"&amp;"$N$5")-1</f>
        <v>0.10423642322423965</v>
      </c>
      <c r="S16" s="324" t="str">
        <f ca="1">IF(D16&gt;INDIRECT("'"&amp;$A16&amp;"'!"&amp;"$I$3"),"",IF(AND(Q16&lt;0,R16&lt;0),"",IF(AND(Q16&lt;0,R16&gt;0),"轉機",IF(AND(Q16&gt;0,R16&lt;0),"",IF(AND(Q16&gt;=5%,R16&gt;=Q16),"OO","O")))))</f>
        <v/>
      </c>
      <c r="T16" s="332">
        <f>ROUND(策略!$I$14/$D16,0)</f>
        <v>6</v>
      </c>
      <c r="U16" s="334">
        <f ca="1">INDIRECT("'"&amp;$A16&amp;"'!"&amp;"$J$16")</f>
        <v>-1</v>
      </c>
      <c r="V16" s="339">
        <f ca="1">IF(ISERROR(INDIRECT("'"&amp;$A16&amp;"'!"&amp;"$D$4")),"",INDIRECT("'"&amp;$A16&amp;"'!"&amp;"$D$4"))</f>
        <v>6.75</v>
      </c>
      <c r="W16" s="340" t="str">
        <f>IF(F16="","",(D16-F16)*G16*1000)</f>
        <v/>
      </c>
      <c r="X16" s="341" t="str">
        <f>IF(F16="","",D16*G16*1000)</f>
        <v/>
      </c>
      <c r="Y16" s="341" t="str">
        <f>IF(F16="","",F16*G16*1000+MAX(ROUNDDOWN(F16*1000*0.145%*28%,0),20)*G16)</f>
        <v/>
      </c>
      <c r="Z16" s="341" t="str">
        <f>IF(G16&gt;0,MAX(ROUNDDOWN(D16*1000*0.145%*28%,0),20)*G16+ROUNDDOWN(F16*1000*0.3%*28%,0)*G16,"")</f>
        <v/>
      </c>
      <c r="AA16" s="336">
        <f ca="1">INDIRECT("'"&amp;$A16&amp;"'!"&amp;"$B$10")</f>
        <v>10.78</v>
      </c>
      <c r="AB16" s="336">
        <f ca="1">INDIRECT("'"&amp;$A16&amp;"'!"&amp;"$E$10")</f>
        <v>14.395</v>
      </c>
      <c r="AC16" s="337" t="str">
        <f>VLOOKUP(_xlfn.NUMBERVALUE(A16),[2]工作表1!$A:$G,7,FALSE)</f>
        <v>無保留意見</v>
      </c>
    </row>
    <row r="17" spans="1:29" x14ac:dyDescent="0.25">
      <c r="A17" s="330">
        <v>2228</v>
      </c>
      <c r="B17" s="320" t="s">
        <v>321</v>
      </c>
      <c r="C17" s="320"/>
      <c r="D17" s="331">
        <f>VLOOKUP(_xlfn.NUMBERVALUE(A17),[1]工作表1!$A:$D,3,FALSE)</f>
        <v>95.8</v>
      </c>
      <c r="E17" s="332">
        <f>ROUND(VLOOKUP(_xlfn.NUMBERVALUE(A17),[1]工作表1!$A:$D,4,FALSE)/1000,0)</f>
        <v>269</v>
      </c>
      <c r="F17" s="331"/>
      <c r="G17" s="366">
        <v>0</v>
      </c>
      <c r="H17" s="333" t="str">
        <f ca="1">IF(INDIRECT("'"&amp;$A17&amp;"'!"&amp;"$D$1")=$H$1,"","X")</f>
        <v>X</v>
      </c>
      <c r="I17" s="334" t="str">
        <f>IF(F17="","",(D17-F17)/F17)</f>
        <v/>
      </c>
      <c r="J17" s="335" t="e">
        <f ca="1">INDIRECT("'"&amp;$A17&amp;"'!"&amp;"$I$15")</f>
        <v>#DIV/0!</v>
      </c>
      <c r="K17" s="336">
        <f ca="1">INDIRECT("'"&amp;$A17&amp;"'!"&amp;"$I$9")</f>
        <v>0</v>
      </c>
      <c r="L17" s="336">
        <f ca="1">INDIRECT("'"&amp;$A17&amp;"'!"&amp;"$B$3")</f>
        <v>86.157572073810826</v>
      </c>
      <c r="M17" s="336">
        <f ca="1">INDIRECT("'"&amp;$A17&amp;"'!"&amp;"$B$4")</f>
        <v>86</v>
      </c>
      <c r="N17" s="336">
        <f ca="1">INDIRECT("'"&amp;$A17&amp;"'!"&amp;"$B$5")</f>
        <v>97.287837837837841</v>
      </c>
      <c r="O17" s="337" t="str">
        <f ca="1">INDIRECT("'"&amp;$A17&amp;"'!"&amp;"$I$6")</f>
        <v>上月衰退</v>
      </c>
      <c r="P17" s="337" t="str">
        <f ca="1">INDIRECT("'"&amp;$A17&amp;"'!"&amp;"$K$6")</f>
        <v>連3季衰退</v>
      </c>
      <c r="Q17" s="338">
        <f ca="1">INDIRECT("'"&amp;$A17&amp;"'!"&amp;"$N$3")</f>
        <v>-0.25261178941385132</v>
      </c>
      <c r="R17" s="338">
        <f ca="1">INDIRECT("'"&amp;$A17&amp;"'!"&amp;"$N$6")/INDIRECT("'"&amp;$A17&amp;"'!"&amp;"$N$5")-1</f>
        <v>4.0808815211072602E-2</v>
      </c>
      <c r="S17" s="324" t="str">
        <f ca="1">IF(D17&gt;INDIRECT("'"&amp;$A17&amp;"'!"&amp;"$I$3"),"",IF(AND(Q17&lt;0,R17&lt;0),"",IF(AND(Q17&lt;0,R17&gt;0),"轉機",IF(AND(Q17&gt;0,R17&lt;0),"",IF(AND(Q17&gt;=5%,R17&gt;=Q17),"OO","O")))))</f>
        <v>轉機</v>
      </c>
      <c r="T17" s="332">
        <f>ROUND(策略!$I$14/$D17,0)</f>
        <v>5</v>
      </c>
      <c r="U17" s="334">
        <f ca="1">INDIRECT("'"&amp;$A17&amp;"'!"&amp;"$J$16")</f>
        <v>-1</v>
      </c>
      <c r="V17" s="339">
        <f ca="1">IF(ISERROR(INDIRECT("'"&amp;$A17&amp;"'!"&amp;"$D$4")),"",INDIRECT("'"&amp;$A17&amp;"'!"&amp;"$D$4"))</f>
        <v>7.58</v>
      </c>
      <c r="W17" s="340" t="str">
        <f>IF(F17="","",(D17-F17)*G17*1000)</f>
        <v/>
      </c>
      <c r="X17" s="341" t="str">
        <f>IF(F17="","",D17*G17*1000)</f>
        <v/>
      </c>
      <c r="Y17" s="341" t="str">
        <f>IF(F17="","",F17*G17*1000+MAX(ROUNDDOWN(F17*1000*0.145%*28%,0),20)*G17)</f>
        <v/>
      </c>
      <c r="Z17" s="341" t="str">
        <f>IF(G17&gt;0,MAX(ROUNDDOWN(D17*1000*0.145%*28%,0),20)*G17+ROUNDDOWN(F17*1000*0.3%*28%,0)*G17,"")</f>
        <v/>
      </c>
      <c r="AA17" s="336">
        <f ca="1">INDIRECT("'"&amp;$A17&amp;"'!"&amp;"$B$10")</f>
        <v>18.518000000000001</v>
      </c>
      <c r="AB17" s="336">
        <f ca="1">INDIRECT("'"&amp;$A17&amp;"'!"&amp;"$E$10")</f>
        <v>21.2255</v>
      </c>
      <c r="AC17" s="337" t="str">
        <f>VLOOKUP(_xlfn.NUMBERVALUE(A17),[2]工作表1!$A:$G,7,FALSE)</f>
        <v>無保留意見</v>
      </c>
    </row>
    <row r="18" spans="1:29" x14ac:dyDescent="0.25">
      <c r="A18" s="330">
        <v>2231</v>
      </c>
      <c r="B18" s="320" t="s">
        <v>306</v>
      </c>
      <c r="C18" s="320"/>
      <c r="D18" s="331">
        <f>VLOOKUP(_xlfn.NUMBERVALUE(A18),[1]工作表1!$A:$D,3,FALSE)</f>
        <v>334</v>
      </c>
      <c r="E18" s="332">
        <f>ROUND(VLOOKUP(_xlfn.NUMBERVALUE(A18),[1]工作表1!$A:$D,4,FALSE)/1000,0)</f>
        <v>972</v>
      </c>
      <c r="F18" s="331"/>
      <c r="G18" s="366">
        <v>0</v>
      </c>
      <c r="H18" s="333" t="str">
        <f ca="1">IF(INDIRECT("'"&amp;$A18&amp;"'!"&amp;"$D$1")=$H$1,"","X")</f>
        <v>X</v>
      </c>
      <c r="I18" s="334" t="str">
        <f>IF(F18="","",(D18-F18)/F18)</f>
        <v/>
      </c>
      <c r="J18" s="335" t="e">
        <f ca="1">INDIRECT("'"&amp;$A18&amp;"'!"&amp;"$I$15")</f>
        <v>#DIV/0!</v>
      </c>
      <c r="K18" s="336">
        <f ca="1">INDIRECT("'"&amp;$A18&amp;"'!"&amp;"$I$9")</f>
        <v>0</v>
      </c>
      <c r="L18" s="336">
        <f ca="1">INDIRECT("'"&amp;$A18&amp;"'!"&amp;"$B$3")</f>
        <v>71.778038255076595</v>
      </c>
      <c r="M18" s="336">
        <f ca="1">INDIRECT("'"&amp;$A18&amp;"'!"&amp;"$B$4")</f>
        <v>68</v>
      </c>
      <c r="N18" s="336">
        <f ca="1">INDIRECT("'"&amp;$A18&amp;"'!"&amp;"$B$5")</f>
        <v>98.192546583850927</v>
      </c>
      <c r="O18" s="337" t="str">
        <f ca="1">INDIRECT("'"&amp;$A18&amp;"'!"&amp;"$I$6")</f>
        <v>連5月成長</v>
      </c>
      <c r="P18" s="337" t="str">
        <f ca="1">INDIRECT("'"&amp;$A18&amp;"'!"&amp;"$K$6")</f>
        <v>連3季衰退</v>
      </c>
      <c r="Q18" s="338">
        <f ca="1">INDIRECT("'"&amp;$A18&amp;"'!"&amp;"$N$3")</f>
        <v>-0.17626293608622434</v>
      </c>
      <c r="R18" s="338">
        <f ca="1">INDIRECT("'"&amp;$A18&amp;"'!"&amp;"$N$6")/INDIRECT("'"&amp;$A18&amp;"'!"&amp;"$N$5")-1</f>
        <v>6.4327860009748994E-2</v>
      </c>
      <c r="S18" s="324" t="str">
        <f ca="1">IF(D18&gt;INDIRECT("'"&amp;$A18&amp;"'!"&amp;"$I$3"),"",IF(AND(Q18&lt;0,R18&lt;0),"",IF(AND(Q18&lt;0,R18&gt;0),"轉機",IF(AND(Q18&gt;0,R18&lt;0),"",IF(AND(Q18&gt;=5%,R18&gt;=Q18),"OO","O")))))</f>
        <v/>
      </c>
      <c r="T18" s="332">
        <f>ROUND(策略!$I$14/$D18,0)</f>
        <v>1</v>
      </c>
      <c r="U18" s="334">
        <f ca="1">INDIRECT("'"&amp;$A18&amp;"'!"&amp;"$J$16")</f>
        <v>-1</v>
      </c>
      <c r="V18" s="339">
        <f ca="1">IF(ISERROR(INDIRECT("'"&amp;$A18&amp;"'!"&amp;"$D$4")),"",INDIRECT("'"&amp;$A18&amp;"'!"&amp;"$D$4"))</f>
        <v>10.119999999999999</v>
      </c>
      <c r="W18" s="340" t="str">
        <f>IF(F18="","",(D18-F18)*G18*1000)</f>
        <v/>
      </c>
      <c r="X18" s="341" t="str">
        <f>IF(F18="","",D18*G18*1000)</f>
        <v/>
      </c>
      <c r="Y18" s="341" t="str">
        <f>IF(F18="","",F18*G18*1000+MAX(ROUNDDOWN(F18*1000*0.145%*28%,0),20)*G18)</f>
        <v/>
      </c>
      <c r="Z18" s="341" t="str">
        <f>IF(G18&gt;0,MAX(ROUNDDOWN(D18*1000*0.145%*28%,0),20)*G18+ROUNDDOWN(F18*1000*0.3%*28%,0)*G18,"")</f>
        <v/>
      </c>
      <c r="AA18" s="336">
        <f ca="1">INDIRECT("'"&amp;$A18&amp;"'!"&amp;"$B$10")</f>
        <v>19.670000000000002</v>
      </c>
      <c r="AB18" s="336">
        <f ca="1">INDIRECT("'"&amp;$A18&amp;"'!"&amp;"$E$10")</f>
        <v>29.655000000000001</v>
      </c>
      <c r="AC18" s="337" t="str">
        <f>VLOOKUP(_xlfn.NUMBERVALUE(A18),[2]工作表1!$A:$G,7,FALSE)</f>
        <v>無保留意見</v>
      </c>
    </row>
    <row r="19" spans="1:29" x14ac:dyDescent="0.25">
      <c r="A19" s="330">
        <v>2308</v>
      </c>
      <c r="B19" s="320" t="s">
        <v>332</v>
      </c>
      <c r="C19" s="320"/>
      <c r="D19" s="331">
        <f>VLOOKUP(_xlfn.NUMBERVALUE(A19),[1]工作表1!$A:$D,3,FALSE)</f>
        <v>134.5</v>
      </c>
      <c r="E19" s="332">
        <f>ROUND(VLOOKUP(_xlfn.NUMBERVALUE(A19),[1]工作表1!$A:$D,4,FALSE)/1000,0)</f>
        <v>5514</v>
      </c>
      <c r="F19" s="331"/>
      <c r="G19" s="366">
        <v>0</v>
      </c>
      <c r="H19" s="333" t="str">
        <f ca="1">IF(INDIRECT("'"&amp;$A19&amp;"'!"&amp;"$D$1")=$H$1,"","X")</f>
        <v>X</v>
      </c>
      <c r="I19" s="334" t="str">
        <f>IF(F19="","",(D19-F19)/F19)</f>
        <v/>
      </c>
      <c r="J19" s="335" t="e">
        <f ca="1">INDIRECT("'"&amp;$A19&amp;"'!"&amp;"$I$15")</f>
        <v>#DIV/0!</v>
      </c>
      <c r="K19" s="336">
        <f ca="1">INDIRECT("'"&amp;$A19&amp;"'!"&amp;"$I$9")</f>
        <v>0</v>
      </c>
      <c r="L19" s="336">
        <f ca="1">INDIRECT("'"&amp;$A19&amp;"'!"&amp;"$B$3")</f>
        <v>83.362867472057218</v>
      </c>
      <c r="M19" s="336">
        <f ca="1">INDIRECT("'"&amp;$A19&amp;"'!"&amp;"$B$4")</f>
        <v>88</v>
      </c>
      <c r="N19" s="336">
        <f ca="1">INDIRECT("'"&amp;$A19&amp;"'!"&amp;"$B$5")</f>
        <v>98.393101204035148</v>
      </c>
      <c r="O19" s="337" t="str">
        <f ca="1">INDIRECT("'"&amp;$A19&amp;"'!"&amp;"$I$6")</f>
        <v>連5月成長</v>
      </c>
      <c r="P19" s="337" t="str">
        <f ca="1">INDIRECT("'"&amp;$A19&amp;"'!"&amp;"$K$6")</f>
        <v>連2季衰退</v>
      </c>
      <c r="Q19" s="338">
        <f ca="1">INDIRECT("'"&amp;$A19&amp;"'!"&amp;"$N$3")</f>
        <v>-1.9097849336599971E-3</v>
      </c>
      <c r="R19" s="338">
        <f ca="1">INDIRECT("'"&amp;$A19&amp;"'!"&amp;"$N$6")/INDIRECT("'"&amp;$A19&amp;"'!"&amp;"$N$5")-1</f>
        <v>4.4698169674806332E-2</v>
      </c>
      <c r="S19" s="324" t="str">
        <f ca="1">IF(D19&gt;INDIRECT("'"&amp;$A19&amp;"'!"&amp;"$I$3"),"",IF(AND(Q19&lt;0,R19&lt;0),"",IF(AND(Q19&lt;0,R19&gt;0),"轉機",IF(AND(Q19&gt;0,R19&lt;0),"",IF(AND(Q19&gt;=5%,R19&gt;=Q19),"OO","O")))))</f>
        <v>轉機</v>
      </c>
      <c r="T19" s="332">
        <f>ROUND(策略!$I$14/$D19,0)</f>
        <v>4</v>
      </c>
      <c r="U19" s="334">
        <f ca="1">INDIRECT("'"&amp;$A19&amp;"'!"&amp;"$J$16")</f>
        <v>-1</v>
      </c>
      <c r="V19" s="339">
        <f ca="1">IF(ISERROR(INDIRECT("'"&amp;$A19&amp;"'!"&amp;"$D$4")),"",INDIRECT("'"&amp;$A19&amp;"'!"&amp;"$D$4"))</f>
        <v>260</v>
      </c>
      <c r="W19" s="340" t="str">
        <f>IF(F19="","",(D19-F19)*G19*1000)</f>
        <v/>
      </c>
      <c r="X19" s="341" t="str">
        <f>IF(F19="","",D19*G19*1000)</f>
        <v/>
      </c>
      <c r="Y19" s="341" t="str">
        <f>IF(F19="","",F19*G19*1000+MAX(ROUNDDOWN(F19*1000*0.145%*28%,0),20)*G19)</f>
        <v/>
      </c>
      <c r="Z19" s="341" t="str">
        <f>IF(G19&gt;0,MAX(ROUNDDOWN(D19*1000*0.145%*28%,0),20)*G19+ROUNDDOWN(F19*1000*0.3%*28%,0)*G19,"")</f>
        <v/>
      </c>
      <c r="AA19" s="336">
        <f ca="1">INDIRECT("'"&amp;$A19&amp;"'!"&amp;"$B$10")</f>
        <v>18.940000000000001</v>
      </c>
      <c r="AB19" s="336">
        <f ca="1">INDIRECT("'"&amp;$A19&amp;"'!"&amp;"$E$10")</f>
        <v>22.39</v>
      </c>
      <c r="AC19" s="337" t="str">
        <f>VLOOKUP(_xlfn.NUMBERVALUE(A19),[2]工作表1!$A:$G,7,FALSE)</f>
        <v>無保留意見</v>
      </c>
    </row>
    <row r="20" spans="1:29" x14ac:dyDescent="0.25">
      <c r="A20" s="330">
        <v>2317</v>
      </c>
      <c r="B20" s="320" t="s">
        <v>326</v>
      </c>
      <c r="C20" s="320"/>
      <c r="D20" s="331">
        <f>VLOOKUP(_xlfn.NUMBERVALUE(A20),[1]工作表1!$A:$D,3,FALSE)</f>
        <v>87.5</v>
      </c>
      <c r="E20" s="332">
        <f>ROUND(VLOOKUP(_xlfn.NUMBERVALUE(A20),[1]工作表1!$A:$D,4,FALSE)/1000,0)</f>
        <v>67540</v>
      </c>
      <c r="F20" s="331"/>
      <c r="G20" s="366">
        <v>0</v>
      </c>
      <c r="H20" s="333" t="str">
        <f ca="1">IF(INDIRECT("'"&amp;$A20&amp;"'!"&amp;"$D$1")=$H$1,"","X")</f>
        <v>X</v>
      </c>
      <c r="I20" s="334" t="str">
        <f>IF(F20="","",(D20-F20)/F20)</f>
        <v/>
      </c>
      <c r="J20" s="335" t="e">
        <f ca="1">INDIRECT("'"&amp;$A20&amp;"'!"&amp;"$I$15")</f>
        <v>#DIV/0!</v>
      </c>
      <c r="K20" s="336">
        <f ca="1">INDIRECT("'"&amp;$A20&amp;"'!"&amp;"$I$9")</f>
        <v>0</v>
      </c>
      <c r="L20" s="336">
        <f ca="1">INDIRECT("'"&amp;$A20&amp;"'!"&amp;"$B$3")</f>
        <v>86.617329795831779</v>
      </c>
      <c r="M20" s="336">
        <f ca="1">INDIRECT("'"&amp;$A20&amp;"'!"&amp;"$B$4")</f>
        <v>88</v>
      </c>
      <c r="N20" s="336">
        <f ca="1">INDIRECT("'"&amp;$A20&amp;"'!"&amp;"$B$5")</f>
        <v>67.538408771436593</v>
      </c>
      <c r="O20" s="337" t="str">
        <f ca="1">INDIRECT("'"&amp;$A20&amp;"'!"&amp;"$I$6")</f>
        <v>上月成長</v>
      </c>
      <c r="P20" s="337" t="str">
        <f ca="1">INDIRECT("'"&amp;$A20&amp;"'!"&amp;"$K$6")</f>
        <v>單季衰退</v>
      </c>
      <c r="Q20" s="338">
        <f ca="1">INDIRECT("'"&amp;$A20&amp;"'!"&amp;"$N$3")</f>
        <v>-0.19588143891095885</v>
      </c>
      <c r="R20" s="338">
        <f ca="1">INDIRECT("'"&amp;$A20&amp;"'!"&amp;"$N$6")/INDIRECT("'"&amp;$A20&amp;"'!"&amp;"$N$5")-1</f>
        <v>-4.7801539393883874E-2</v>
      </c>
      <c r="S20" s="324" t="str">
        <f ca="1">IF(D20&gt;INDIRECT("'"&amp;$A20&amp;"'!"&amp;"$I$3"),"",IF(AND(Q20&lt;0,R20&lt;0),"",IF(AND(Q20&lt;0,R20&gt;0),"轉機",IF(AND(Q20&gt;0,R20&lt;0),"",IF(AND(Q20&gt;=5%,R20&gt;=Q20),"OO","O")))))</f>
        <v/>
      </c>
      <c r="T20" s="332">
        <f>ROUND(策略!$I$14/$D20,0)</f>
        <v>6</v>
      </c>
      <c r="U20" s="334">
        <f ca="1">INDIRECT("'"&amp;$A20&amp;"'!"&amp;"$J$16")</f>
        <v>-1</v>
      </c>
      <c r="V20" s="339">
        <f ca="1">IF(ISERROR(INDIRECT("'"&amp;$A20&amp;"'!"&amp;"$D$4")),"",INDIRECT("'"&amp;$A20&amp;"'!"&amp;"$D$4"))</f>
        <v>1733</v>
      </c>
      <c r="W20" s="340" t="str">
        <f>IF(F20="","",(D20-F20)*G20*1000)</f>
        <v/>
      </c>
      <c r="X20" s="341" t="str">
        <f>IF(F20="","",D20*G20*1000)</f>
        <v/>
      </c>
      <c r="Y20" s="341" t="str">
        <f>IF(F20="","",F20*G20*1000+MAX(ROUNDDOWN(F20*1000*0.145%*28%,0),20)*G20)</f>
        <v/>
      </c>
      <c r="Z20" s="341" t="str">
        <f>IF(G20&gt;0,MAX(ROUNDDOWN(D20*1000*0.145%*28%,0),20)*G20+ROUNDDOWN(F20*1000*0.3%*28%,0)*G20,"")</f>
        <v/>
      </c>
      <c r="AA20" s="336">
        <f ca="1">INDIRECT("'"&amp;$A20&amp;"'!"&amp;"$B$10")</f>
        <v>9.6199999999999992</v>
      </c>
      <c r="AB20" s="336">
        <f ca="1">INDIRECT("'"&amp;$A20&amp;"'!"&amp;"$E$10")</f>
        <v>11.32</v>
      </c>
      <c r="AC20" s="337" t="str">
        <f>VLOOKUP(_xlfn.NUMBERVALUE(A20),[2]工作表1!$A:$G,7,FALSE)</f>
        <v>無保留意見</v>
      </c>
    </row>
    <row r="21" spans="1:29" x14ac:dyDescent="0.25">
      <c r="A21" s="330">
        <v>2330</v>
      </c>
      <c r="B21" s="320" t="s">
        <v>335</v>
      </c>
      <c r="C21" s="320"/>
      <c r="D21" s="331">
        <f>VLOOKUP(_xlfn.NUMBERVALUE(A21),[1]工作表1!$A:$D,3,FALSE)</f>
        <v>232.5</v>
      </c>
      <c r="E21" s="332">
        <f>ROUND(VLOOKUP(_xlfn.NUMBERVALUE(A21),[1]工作表1!$A:$D,4,FALSE)/1000,0)</f>
        <v>65939</v>
      </c>
      <c r="F21" s="331"/>
      <c r="G21" s="366">
        <v>0</v>
      </c>
      <c r="H21" s="333" t="str">
        <f ca="1">IF(INDIRECT("'"&amp;$A21&amp;"'!"&amp;"$D$1")=$H$1,"","X")</f>
        <v>X</v>
      </c>
      <c r="I21" s="334" t="str">
        <f>IF(F21="","",(D21-F21)/F21)</f>
        <v/>
      </c>
      <c r="J21" s="335" t="e">
        <f ca="1">INDIRECT("'"&amp;$A21&amp;"'!"&amp;"$I$15")</f>
        <v>#DIV/0!</v>
      </c>
      <c r="K21" s="336">
        <f ca="1">INDIRECT("'"&amp;$A21&amp;"'!"&amp;"$I$9")</f>
        <v>0</v>
      </c>
      <c r="L21" s="336">
        <f ca="1">INDIRECT("'"&amp;$A21&amp;"'!"&amp;"$B$3")</f>
        <v>87.950198454446081</v>
      </c>
      <c r="M21" s="336">
        <f ca="1">INDIRECT("'"&amp;$A21&amp;"'!"&amp;"$B$4")</f>
        <v>84</v>
      </c>
      <c r="N21" s="336">
        <f ca="1">INDIRECT("'"&amp;$A21&amp;"'!"&amp;"$B$5")</f>
        <v>96.918149466192176</v>
      </c>
      <c r="O21" s="337" t="str">
        <f ca="1">INDIRECT("'"&amp;$A21&amp;"'!"&amp;"$I$6")</f>
        <v>上月成長</v>
      </c>
      <c r="P21" s="337" t="str">
        <f ca="1">INDIRECT("'"&amp;$A21&amp;"'!"&amp;"$K$6")</f>
        <v>連2季衰退</v>
      </c>
      <c r="Q21" s="338">
        <f ca="1">INDIRECT("'"&amp;$A21&amp;"'!"&amp;"$N$3")</f>
        <v>2.2561346864488116E-2</v>
      </c>
      <c r="R21" s="338">
        <f ca="1">INDIRECT("'"&amp;$A21&amp;"'!"&amp;"$N$6")/INDIRECT("'"&amp;$A21&amp;"'!"&amp;"$N$5")-1</f>
        <v>-1.2225757010376981E-2</v>
      </c>
      <c r="S21" s="324" t="str">
        <f ca="1">IF(D21&gt;INDIRECT("'"&amp;$A21&amp;"'!"&amp;"$I$3"),"",IF(AND(Q21&lt;0,R21&lt;0),"",IF(AND(Q21&lt;0,R21&gt;0),"轉機",IF(AND(Q21&gt;0,R21&lt;0),"",IF(AND(Q21&gt;=5%,R21&gt;=Q21),"OO","O")))))</f>
        <v/>
      </c>
      <c r="T21" s="332">
        <f>ROUND(策略!$I$14/$D21,0)</f>
        <v>2</v>
      </c>
      <c r="U21" s="334">
        <f ca="1">INDIRECT("'"&amp;$A21&amp;"'!"&amp;"$J$16")</f>
        <v>-1</v>
      </c>
      <c r="V21" s="339">
        <f ca="1">IF(ISERROR(INDIRECT("'"&amp;$A21&amp;"'!"&amp;"$D$4")),"",INDIRECT("'"&amp;$A21&amp;"'!"&amp;"$D$4"))</f>
        <v>2593</v>
      </c>
      <c r="W21" s="340" t="str">
        <f>IF(F21="","",(D21-F21)*G21*1000)</f>
        <v/>
      </c>
      <c r="X21" s="341" t="str">
        <f>IF(F21="","",D21*G21*1000)</f>
        <v/>
      </c>
      <c r="Y21" s="341" t="str">
        <f>IF(F21="","",F21*G21*1000+MAX(ROUNDDOWN(F21*1000*0.145%*28%,0),20)*G21)</f>
        <v/>
      </c>
      <c r="Z21" s="341" t="str">
        <f>IF(G21&gt;0,MAX(ROUNDDOWN(D21*1000*0.145%*28%,0),20)*G21+ROUNDDOWN(F21*1000*0.3%*28%,0)*G21,"")</f>
        <v/>
      </c>
      <c r="AA21" s="336">
        <f ca="1">INDIRECT("'"&amp;$A21&amp;"'!"&amp;"$B$10")</f>
        <v>13.85</v>
      </c>
      <c r="AB21" s="336">
        <f ca="1">INDIRECT("'"&amp;$A21&amp;"'!"&amp;"$E$10")</f>
        <v>15.8</v>
      </c>
      <c r="AC21" s="337" t="str">
        <f>VLOOKUP(_xlfn.NUMBERVALUE(A21),[2]工作表1!$A:$G,7,FALSE)</f>
        <v>無保留意見</v>
      </c>
    </row>
    <row r="22" spans="1:29" x14ac:dyDescent="0.25">
      <c r="A22" s="330">
        <v>2383</v>
      </c>
      <c r="B22" s="369" t="s">
        <v>400</v>
      </c>
      <c r="C22" s="320"/>
      <c r="D22" s="331">
        <f>VLOOKUP(_xlfn.NUMBERVALUE(A22),[1]工作表1!$A:$D,3,FALSE)</f>
        <v>101</v>
      </c>
      <c r="E22" s="332">
        <f>ROUND(VLOOKUP(_xlfn.NUMBERVALUE(A22),[1]工作表1!$A:$D,4,FALSE)/1000,0)</f>
        <v>2439</v>
      </c>
      <c r="F22" s="331"/>
      <c r="G22" s="366">
        <v>0</v>
      </c>
      <c r="H22" s="333" t="str">
        <f ca="1">IF(INDIRECT("'"&amp;$A22&amp;"'!"&amp;"$D$1")=$H$1,"","X")</f>
        <v>X</v>
      </c>
      <c r="I22" s="334" t="str">
        <f>IF(F22="","",(D22-F22)/F22)</f>
        <v/>
      </c>
      <c r="J22" s="335" t="e">
        <f ca="1">INDIRECT("'"&amp;$A22&amp;"'!"&amp;"$I$15")</f>
        <v>#DIV/0!</v>
      </c>
      <c r="K22" s="336">
        <f ca="1">INDIRECT("'"&amp;$A22&amp;"'!"&amp;"$I$9")</f>
        <v>0</v>
      </c>
      <c r="L22" s="336">
        <f ca="1">INDIRECT("'"&amp;$A22&amp;"'!"&amp;"$B$3")</f>
        <v>88.024721976490881</v>
      </c>
      <c r="M22" s="336">
        <f ca="1">INDIRECT("'"&amp;$A22&amp;"'!"&amp;"$B$4")</f>
        <v>72</v>
      </c>
      <c r="N22" s="336">
        <f ca="1">INDIRECT("'"&amp;$A22&amp;"'!"&amp;"$B$5")</f>
        <v>92.65110850439882</v>
      </c>
      <c r="O22" s="337" t="str">
        <f ca="1">INDIRECT("'"&amp;$A22&amp;"'!"&amp;"$I$6")</f>
        <v>連3月衰退</v>
      </c>
      <c r="P22" s="337" t="str">
        <f ca="1">INDIRECT("'"&amp;$A22&amp;"'!"&amp;"$K$6")</f>
        <v>單季衰退</v>
      </c>
      <c r="Q22" s="338">
        <f ca="1">INDIRECT("'"&amp;$A22&amp;"'!"&amp;"$N$3")</f>
        <v>8.3750723877670061E-2</v>
      </c>
      <c r="R22" s="338">
        <f ca="1">INDIRECT("'"&amp;$A22&amp;"'!"&amp;"$N$6")/INDIRECT("'"&amp;$A22&amp;"'!"&amp;"$N$5")-1</f>
        <v>2.2692790573600297E-2</v>
      </c>
      <c r="S22" s="324" t="str">
        <f ca="1">IF(D22&gt;INDIRECT("'"&amp;$A22&amp;"'!"&amp;"$I$3"),"",IF(AND(Q22&lt;0,R22&lt;0),"",IF(AND(Q22&lt;0,R22&gt;0),"轉機",IF(AND(Q22&gt;0,R22&lt;0),"",IF(AND(Q22&gt;=5%,R22&gt;=Q22),"OO","O")))))</f>
        <v/>
      </c>
      <c r="T22" s="332">
        <f>ROUND(策略!$I$14/$D22,0)</f>
        <v>5</v>
      </c>
      <c r="U22" s="334">
        <f ca="1">INDIRECT("'"&amp;$A22&amp;"'!"&amp;"$J$16")</f>
        <v>-1</v>
      </c>
      <c r="V22" s="339">
        <f ca="1">IF(ISERROR(INDIRECT("'"&amp;$A22&amp;"'!"&amp;"$D$4")),"",INDIRECT("'"&amp;$A22&amp;"'!"&amp;"$D$4"))</f>
        <v>31.9</v>
      </c>
      <c r="W22" s="340" t="str">
        <f>IF(F22="","",(D22-F22)*G22*1000)</f>
        <v/>
      </c>
      <c r="X22" s="341" t="str">
        <f>IF(F22="","",D22*G22*1000)</f>
        <v/>
      </c>
      <c r="Y22" s="341" t="str">
        <f>IF(F22="","",F22*G22*1000+MAX(ROUNDDOWN(F22*1000*0.145%*28%,0),20)*G22)</f>
        <v/>
      </c>
      <c r="Z22" s="341" t="str">
        <f>IF(G22&gt;0,MAX(ROUNDDOWN(D22*1000*0.145%*28%,0),20)*G22+ROUNDDOWN(F22*1000*0.3%*28%,0)*G22,"")</f>
        <v/>
      </c>
      <c r="AA22" s="336">
        <f ca="1">INDIRECT("'"&amp;$A22&amp;"'!"&amp;"$B$10")</f>
        <v>8.24</v>
      </c>
      <c r="AB22" s="336">
        <f ca="1">INDIRECT("'"&amp;$A22&amp;"'!"&amp;"$E$10")</f>
        <v>10.504999999999999</v>
      </c>
      <c r="AC22" s="337" t="str">
        <f>VLOOKUP(_xlfn.NUMBERVALUE(A22),[2]工作表1!$A:$G,7,FALSE)</f>
        <v>無保留意見</v>
      </c>
    </row>
    <row r="23" spans="1:29" x14ac:dyDescent="0.25">
      <c r="A23" s="330">
        <v>2385</v>
      </c>
      <c r="B23" s="320" t="s">
        <v>304</v>
      </c>
      <c r="C23" s="320"/>
      <c r="D23" s="331">
        <f>VLOOKUP(_xlfn.NUMBERVALUE(A23),[1]工作表1!$A:$D,3,FALSE)</f>
        <v>72</v>
      </c>
      <c r="E23" s="332">
        <f>ROUND(VLOOKUP(_xlfn.NUMBERVALUE(A23),[1]工作表1!$A:$D,4,FALSE)/1000,0)</f>
        <v>1038</v>
      </c>
      <c r="F23" s="331"/>
      <c r="G23" s="366">
        <v>0</v>
      </c>
      <c r="H23" s="333" t="str">
        <f ca="1">IF(INDIRECT("'"&amp;$A23&amp;"'!"&amp;"$D$1")=$H$1,"","X")</f>
        <v>X</v>
      </c>
      <c r="I23" s="334" t="str">
        <f>IF(F23="","",(D23-F23)/F23)</f>
        <v/>
      </c>
      <c r="J23" s="335" t="e">
        <f ca="1">INDIRECT("'"&amp;$A23&amp;"'!"&amp;"$I$15")</f>
        <v>#DIV/0!</v>
      </c>
      <c r="K23" s="336">
        <f ca="1">INDIRECT("'"&amp;$A23&amp;"'!"&amp;"$I$9")</f>
        <v>0</v>
      </c>
      <c r="L23" s="336">
        <f ca="1">INDIRECT("'"&amp;$A23&amp;"'!"&amp;"$B$3")</f>
        <v>75.480135437728066</v>
      </c>
      <c r="M23" s="336">
        <f ca="1">INDIRECT("'"&amp;$A23&amp;"'!"&amp;"$B$4")</f>
        <v>84</v>
      </c>
      <c r="N23" s="336">
        <f ca="1">INDIRECT("'"&amp;$A23&amp;"'!"&amp;"$B$5")</f>
        <v>82.614377162629751</v>
      </c>
      <c r="O23" s="337" t="str">
        <f ca="1">INDIRECT("'"&amp;$A23&amp;"'!"&amp;"$I$6")</f>
        <v>連3月成長</v>
      </c>
      <c r="P23" s="337" t="str">
        <f ca="1">INDIRECT("'"&amp;$A23&amp;"'!"&amp;"$K$6")</f>
        <v>連3季成長</v>
      </c>
      <c r="Q23" s="338">
        <f ca="1">INDIRECT("'"&amp;$A23&amp;"'!"&amp;"$N$3")</f>
        <v>-2.2116447022514627E-3</v>
      </c>
      <c r="R23" s="338">
        <f ca="1">INDIRECT("'"&amp;$A23&amp;"'!"&amp;"$N$6")/INDIRECT("'"&amp;$A23&amp;"'!"&amp;"$N$5")-1</f>
        <v>-0.11566118825903648</v>
      </c>
      <c r="S23" s="324" t="str">
        <f ca="1">IF(D23&gt;INDIRECT("'"&amp;$A23&amp;"'!"&amp;"$I$3"),"",IF(AND(Q23&lt;0,R23&lt;0),"",IF(AND(Q23&lt;0,R23&gt;0),"轉機",IF(AND(Q23&gt;0,R23&lt;0),"",IF(AND(Q23&gt;=5%,R23&gt;=Q23),"OO","O")))))</f>
        <v/>
      </c>
      <c r="T23" s="332">
        <f>ROUND(策略!$I$14/$D23,0)</f>
        <v>7</v>
      </c>
      <c r="U23" s="334">
        <f ca="1">INDIRECT("'"&amp;$A23&amp;"'!"&amp;"$J$16")</f>
        <v>-1</v>
      </c>
      <c r="V23" s="339">
        <f ca="1">IF(ISERROR(INDIRECT("'"&amp;$A23&amp;"'!"&amp;"$D$4")),"",INDIRECT("'"&amp;$A23&amp;"'!"&amp;"$D$4"))</f>
        <v>71.555999999999997</v>
      </c>
      <c r="W23" s="340" t="str">
        <f>IF(F23="","",(D23-F23)*G23*1000)</f>
        <v/>
      </c>
      <c r="X23" s="341" t="str">
        <f>IF(F23="","",D23*G23*1000)</f>
        <v/>
      </c>
      <c r="Y23" s="341" t="str">
        <f>IF(F23="","",F23*G23*1000+MAX(ROUNDDOWN(F23*1000*0.145%*28%,0),20)*G23)</f>
        <v/>
      </c>
      <c r="Z23" s="341" t="str">
        <f>IF(G23&gt;0,MAX(ROUNDDOWN(D23*1000*0.145%*28%,0),20)*G23+ROUNDDOWN(F23*1000*0.3%*28%,0)*G23,"")</f>
        <v/>
      </c>
      <c r="AA23" s="336">
        <f ca="1">INDIRECT("'"&amp;$A23&amp;"'!"&amp;"$B$10")</f>
        <v>11.97</v>
      </c>
      <c r="AB23" s="336">
        <f ca="1">INDIRECT("'"&amp;$A23&amp;"'!"&amp;"$E$10")</f>
        <v>14.129999999999999</v>
      </c>
      <c r="AC23" s="337" t="str">
        <f>VLOOKUP(_xlfn.NUMBERVALUE(A23),[2]工作表1!$A:$G,7,FALSE)</f>
        <v>無保留意見</v>
      </c>
    </row>
    <row r="24" spans="1:29" x14ac:dyDescent="0.25">
      <c r="A24" s="344">
        <v>2412</v>
      </c>
      <c r="B24" s="320" t="s">
        <v>343</v>
      </c>
      <c r="C24" s="320"/>
      <c r="D24" s="331">
        <f>VLOOKUP(_xlfn.NUMBERVALUE(A24),[1]工作表1!$A:$D,3,FALSE)</f>
        <v>107.5</v>
      </c>
      <c r="E24" s="332">
        <f>ROUND(VLOOKUP(_xlfn.NUMBERVALUE(A24),[1]工作表1!$A:$D,4,FALSE)/1000,0)</f>
        <v>12729</v>
      </c>
      <c r="F24" s="331"/>
      <c r="G24" s="366">
        <v>0</v>
      </c>
      <c r="H24" s="333" t="str">
        <f ca="1">IF(INDIRECT("'"&amp;$A24&amp;"'!"&amp;"$D$1")=$H$1,"","X")</f>
        <v/>
      </c>
      <c r="I24" s="334" t="str">
        <f>IF(F24="","",(D24-F24)/F24)</f>
        <v/>
      </c>
      <c r="J24" s="335" t="e">
        <f ca="1">INDIRECT("'"&amp;$A24&amp;"'!"&amp;"$I$15")</f>
        <v>#DIV/0!</v>
      </c>
      <c r="K24" s="336">
        <f ca="1">INDIRECT("'"&amp;$A24&amp;"'!"&amp;"$I$9")</f>
        <v>0</v>
      </c>
      <c r="L24" s="336">
        <f ca="1">INDIRECT("'"&amp;$A24&amp;"'!"&amp;"$B$3")</f>
        <v>85.32295586899987</v>
      </c>
      <c r="M24" s="336">
        <f ca="1">INDIRECT("'"&amp;$A24&amp;"'!"&amp;"$B$4")</f>
        <v>80</v>
      </c>
      <c r="N24" s="336">
        <f ca="1">INDIRECT("'"&amp;$A24&amp;"'!"&amp;"$B$5")</f>
        <v>94.58889905312148</v>
      </c>
      <c r="O24" s="337" t="str">
        <f ca="1">INDIRECT("'"&amp;$A24&amp;"'!"&amp;"$I$6")</f>
        <v>上月衰退</v>
      </c>
      <c r="P24" s="337" t="str">
        <f ca="1">INDIRECT("'"&amp;$A24&amp;"'!"&amp;"$K$6")</f>
        <v>單季成長</v>
      </c>
      <c r="Q24" s="338">
        <f ca="1">INDIRECT("'"&amp;$A24&amp;"'!"&amp;"$N$3")</f>
        <v>-1.5137455176589393E-2</v>
      </c>
      <c r="R24" s="338">
        <f ca="1">INDIRECT("'"&amp;$A24&amp;"'!"&amp;"$N$6")/INDIRECT("'"&amp;$A24&amp;"'!"&amp;"$N$5")-1</f>
        <v>4.8397869342936772E-2</v>
      </c>
      <c r="S24" s="324" t="str">
        <f ca="1">IF(D24&gt;INDIRECT("'"&amp;$A24&amp;"'!"&amp;"$I$3"),"",IF(AND(Q24&lt;0,R24&lt;0),"",IF(AND(Q24&lt;0,R24&gt;0),"轉機",IF(AND(Q24&gt;0,R24&lt;0),"",IF(AND(Q24&gt;=5%,R24&gt;=Q24),"OO","O")))))</f>
        <v/>
      </c>
      <c r="T24" s="332">
        <f>ROUND(策略!$I$14/$D24,0)</f>
        <v>5</v>
      </c>
      <c r="U24" s="334">
        <f ca="1">INDIRECT("'"&amp;$A24&amp;"'!"&amp;"$J$16")</f>
        <v>-1</v>
      </c>
      <c r="V24" s="339">
        <f ca="1">IF(ISERROR(INDIRECT("'"&amp;$A24&amp;"'!"&amp;"$D$4")),"",INDIRECT("'"&amp;$A24&amp;"'!"&amp;"$D$4"))</f>
        <v>776</v>
      </c>
      <c r="W24" s="340" t="str">
        <f>IF(F24="","",(D24-F24)*G24*1000)</f>
        <v/>
      </c>
      <c r="X24" s="341" t="str">
        <f>IF(F24="","",D24*G24*1000)</f>
        <v/>
      </c>
      <c r="Y24" s="341" t="str">
        <f>IF(F24="","",F24*G24*1000+MAX(ROUNDDOWN(F24*1000*0.145%*28%,0),20)*G24)</f>
        <v/>
      </c>
      <c r="Z24" s="341" t="str">
        <f>IF(G24&gt;0,MAX(ROUNDDOWN(D24*1000*0.145%*28%,0),20)*G24+ROUNDDOWN(F24*1000*0.3%*28%,0)*G24,"")</f>
        <v/>
      </c>
      <c r="AA24" s="336">
        <f ca="1">INDIRECT("'"&amp;$A24&amp;"'!"&amp;"$B$10")</f>
        <v>17.670000000000002</v>
      </c>
      <c r="AB24" s="336">
        <f ca="1">INDIRECT("'"&amp;$A24&amp;"'!"&amp;"$E$10")</f>
        <v>19.34</v>
      </c>
      <c r="AC24" s="337" t="str">
        <f>VLOOKUP(_xlfn.NUMBERVALUE(A24),[2]工作表1!$A:$G,7,FALSE)</f>
        <v>無保留意見</v>
      </c>
    </row>
    <row r="25" spans="1:29" x14ac:dyDescent="0.25">
      <c r="A25" s="343">
        <v>2421</v>
      </c>
      <c r="B25" s="320" t="s">
        <v>402</v>
      </c>
      <c r="C25" s="345"/>
      <c r="D25" s="331">
        <f>VLOOKUP(_xlfn.NUMBERVALUE(A25),[1]工作表1!$A:$D,3,FALSE)</f>
        <v>50.7</v>
      </c>
      <c r="E25" s="332">
        <f>ROUND(VLOOKUP(_xlfn.NUMBERVALUE(A25),[1]工作表1!$A:$D,4,FALSE)/1000,0)</f>
        <v>3265</v>
      </c>
      <c r="F25" s="331"/>
      <c r="G25" s="366">
        <v>0</v>
      </c>
      <c r="H25" s="333" t="str">
        <f ca="1">IF(INDIRECT("'"&amp;$A25&amp;"'!"&amp;"$D$1")=$H$1,"","X")</f>
        <v>X</v>
      </c>
      <c r="I25" s="334" t="str">
        <f>IF(F25="","",(D25-F25)/F25)</f>
        <v/>
      </c>
      <c r="J25" s="335" t="e">
        <f ca="1">INDIRECT("'"&amp;$A25&amp;"'!"&amp;"$I$15")</f>
        <v>#DIV/0!</v>
      </c>
      <c r="K25" s="336">
        <f ca="1">INDIRECT("'"&amp;$A25&amp;"'!"&amp;"$I$9")</f>
        <v>0</v>
      </c>
      <c r="L25" s="336">
        <f ca="1">INDIRECT("'"&amp;$A25&amp;"'!"&amp;"$B$3")</f>
        <v>83.198918973981847</v>
      </c>
      <c r="M25" s="336">
        <f ca="1">INDIRECT("'"&amp;$A25&amp;"'!"&amp;"$B$4")</f>
        <v>80</v>
      </c>
      <c r="N25" s="336">
        <f ca="1">INDIRECT("'"&amp;$A25&amp;"'!"&amp;"$B$5")</f>
        <v>78.277713163359238</v>
      </c>
      <c r="O25" s="337" t="str">
        <f ca="1">INDIRECT("'"&amp;$A25&amp;"'!"&amp;"$I$6")</f>
        <v>上月衰退</v>
      </c>
      <c r="P25" s="337" t="str">
        <f ca="1">INDIRECT("'"&amp;$A25&amp;"'!"&amp;"$K$6")</f>
        <v>連3季成長</v>
      </c>
      <c r="Q25" s="338">
        <f ca="1">INDIRECT("'"&amp;$A25&amp;"'!"&amp;"$N$3")</f>
        <v>0.18740823906291576</v>
      </c>
      <c r="R25" s="338">
        <f ca="1">INDIRECT("'"&amp;$A25&amp;"'!"&amp;"$N$6")/INDIRECT("'"&amp;$A25&amp;"'!"&amp;"$N$5")-1</f>
        <v>-6.0464859131023729E-2</v>
      </c>
      <c r="S25" s="324" t="str">
        <f ca="1">IF(D25&gt;INDIRECT("'"&amp;$A25&amp;"'!"&amp;"$I$3"),"",IF(AND(Q25&lt;0,R25&lt;0),"",IF(AND(Q25&lt;0,R25&gt;0),"轉機",IF(AND(Q25&gt;0,R25&lt;0),"",IF(AND(Q25&gt;=5%,R25&gt;=Q25),"OO","O")))))</f>
        <v/>
      </c>
      <c r="T25" s="332">
        <f>ROUND(策略!$I$14/$D25,0)</f>
        <v>10</v>
      </c>
      <c r="U25" s="334">
        <f ca="1">INDIRECT("'"&amp;$A25&amp;"'!"&amp;"$J$16")</f>
        <v>-1</v>
      </c>
      <c r="V25" s="339">
        <f ca="1">IF(ISERROR(INDIRECT("'"&amp;$A25&amp;"'!"&amp;"$D$4")),"",INDIRECT("'"&amp;$A25&amp;"'!"&amp;"$D$4"))</f>
        <v>25.1</v>
      </c>
      <c r="W25" s="340" t="str">
        <f>IF(F25="","",(D25-F25)*G25*1000)</f>
        <v/>
      </c>
      <c r="X25" s="341" t="str">
        <f>IF(F25="","",D25*G25*1000)</f>
        <v/>
      </c>
      <c r="Y25" s="341" t="str">
        <f>IF(F25="","",F25*G25*1000+MAX(ROUNDDOWN(F25*1000*0.145%*28%,0),20)*G25)</f>
        <v/>
      </c>
      <c r="Z25" s="341" t="str">
        <f>IF(G25&gt;0,MAX(ROUNDDOWN(D25*1000*0.145%*28%,0),20)*G25+ROUNDDOWN(F25*1000*0.3%*28%,0)*G25,"")</f>
        <v/>
      </c>
      <c r="AA25" s="336">
        <f ca="1">INDIRECT("'"&amp;$A25&amp;"'!"&amp;"$B$10")</f>
        <v>8.636000000000001</v>
      </c>
      <c r="AB25" s="336">
        <f ca="1">INDIRECT("'"&amp;$A25&amp;"'!"&amp;"$E$10")</f>
        <v>9.3740000000000006</v>
      </c>
      <c r="AC25" s="337" t="str">
        <f>VLOOKUP(_xlfn.NUMBERVALUE(A25),[2]工作表1!$A:$G,7,FALSE)</f>
        <v>無保留意見</v>
      </c>
    </row>
    <row r="26" spans="1:29" x14ac:dyDescent="0.25">
      <c r="A26" s="330">
        <v>2428</v>
      </c>
      <c r="B26" s="320" t="s">
        <v>403</v>
      </c>
      <c r="C26" s="320"/>
      <c r="D26" s="331">
        <f>VLOOKUP(_xlfn.NUMBERVALUE(A26),[1]工作表1!$A:$D,3,FALSE)</f>
        <v>79.400000000000006</v>
      </c>
      <c r="E26" s="332">
        <f>ROUND(VLOOKUP(_xlfn.NUMBERVALUE(A26),[1]工作表1!$A:$D,4,FALSE)/1000,0)</f>
        <v>279</v>
      </c>
      <c r="F26" s="331"/>
      <c r="G26" s="366">
        <v>0</v>
      </c>
      <c r="H26" s="333" t="str">
        <f ca="1">IF(INDIRECT("'"&amp;$A26&amp;"'!"&amp;"$D$1")=$H$1,"","X")</f>
        <v>X</v>
      </c>
      <c r="I26" s="334" t="str">
        <f>IF(F26="","",(D26-F26)/F26)</f>
        <v/>
      </c>
      <c r="J26" s="335" t="e">
        <f ca="1">INDIRECT("'"&amp;$A26&amp;"'!"&amp;"$I$15")</f>
        <v>#DIV/0!</v>
      </c>
      <c r="K26" s="336">
        <f ca="1">INDIRECT("'"&amp;$A26&amp;"'!"&amp;"$I$9")</f>
        <v>0</v>
      </c>
      <c r="L26" s="336">
        <f ca="1">INDIRECT("'"&amp;$A26&amp;"'!"&amp;"$B$3")</f>
        <v>87.08002804747602</v>
      </c>
      <c r="M26" s="336">
        <f ca="1">INDIRECT("'"&amp;$A26&amp;"'!"&amp;"$B$4")</f>
        <v>94</v>
      </c>
      <c r="N26" s="336">
        <f ca="1">INDIRECT("'"&amp;$A26&amp;"'!"&amp;"$B$5")</f>
        <v>96.786116322701687</v>
      </c>
      <c r="O26" s="337" t="str">
        <f ca="1">INDIRECT("'"&amp;$A26&amp;"'!"&amp;"$I$6")</f>
        <v>連5月成長</v>
      </c>
      <c r="P26" s="337" t="str">
        <f ca="1">INDIRECT("'"&amp;$A26&amp;"'!"&amp;"$K$6")</f>
        <v>單季衰退</v>
      </c>
      <c r="Q26" s="338">
        <f ca="1">INDIRECT("'"&amp;$A26&amp;"'!"&amp;"$N$3")</f>
        <v>0.16337651255032759</v>
      </c>
      <c r="R26" s="338">
        <f ca="1">INDIRECT("'"&amp;$A26&amp;"'!"&amp;"$N$6")/INDIRECT("'"&amp;$A26&amp;"'!"&amp;"$N$5")-1</f>
        <v>-0.11745271047234618</v>
      </c>
      <c r="S26" s="324" t="str">
        <f ca="1">IF(D26&gt;INDIRECT("'"&amp;$A26&amp;"'!"&amp;"$I$3"),"",IF(AND(Q26&lt;0,R26&lt;0),"",IF(AND(Q26&lt;0,R26&gt;0),"轉機",IF(AND(Q26&gt;0,R26&lt;0),"",IF(AND(Q26&gt;=5%,R26&gt;=Q26),"OO","O")))))</f>
        <v/>
      </c>
      <c r="T26" s="332">
        <f>ROUND(策略!$I$14/$D26,0)</f>
        <v>6</v>
      </c>
      <c r="U26" s="334">
        <f ca="1">INDIRECT("'"&amp;$A26&amp;"'!"&amp;"$J$16")</f>
        <v>-1</v>
      </c>
      <c r="V26" s="339">
        <f ca="1">IF(ISERROR(INDIRECT("'"&amp;$A26&amp;"'!"&amp;"$D$4")),"",INDIRECT("'"&amp;$A26&amp;"'!"&amp;"$D$4"))</f>
        <v>12.8</v>
      </c>
      <c r="W26" s="340" t="str">
        <f>IF(F26="","",(D26-F26)*G26*1000)</f>
        <v/>
      </c>
      <c r="X26" s="341" t="str">
        <f>IF(F26="","",D26*G26*1000)</f>
        <v/>
      </c>
      <c r="Y26" s="341" t="str">
        <f>IF(F26="","",F26*G26*1000+MAX(ROUNDDOWN(F26*1000*0.145%*28%,0),20)*G26)</f>
        <v/>
      </c>
      <c r="Z26" s="341" t="str">
        <f>IF(G26&gt;0,MAX(ROUNDDOWN(D26*1000*0.145%*28%,0),20)*G26+ROUNDDOWN(F26*1000*0.3%*28%,0)*G26,"")</f>
        <v/>
      </c>
      <c r="AA26" s="336">
        <f ca="1">INDIRECT("'"&amp;$A26&amp;"'!"&amp;"$B$10")</f>
        <v>8.94</v>
      </c>
      <c r="AB26" s="336">
        <f ca="1">INDIRECT("'"&amp;$A26&amp;"'!"&amp;"$E$10")</f>
        <v>9.99</v>
      </c>
      <c r="AC26" s="337" t="str">
        <f>VLOOKUP(_xlfn.NUMBERVALUE(A26),[2]工作表1!$A:$G,7,FALSE)</f>
        <v>無保留意見</v>
      </c>
    </row>
    <row r="27" spans="1:29" ht="16.5" x14ac:dyDescent="0.25">
      <c r="A27" s="330">
        <v>2451</v>
      </c>
      <c r="B27" s="375" t="s">
        <v>404</v>
      </c>
      <c r="C27" s="320"/>
      <c r="D27" s="331">
        <f>VLOOKUP(_xlfn.NUMBERVALUE(A27),[1]工作表1!$A:$D,3,FALSE)</f>
        <v>81.2</v>
      </c>
      <c r="E27" s="332">
        <f>ROUND(VLOOKUP(_xlfn.NUMBERVALUE(A27),[1]工作表1!$A:$D,4,FALSE)/1000,0)</f>
        <v>731</v>
      </c>
      <c r="F27" s="331"/>
      <c r="G27" s="366">
        <v>0</v>
      </c>
      <c r="H27" s="333" t="str">
        <f ca="1">IF(INDIRECT("'"&amp;$A27&amp;"'!"&amp;"$D$1")=$H$1,"","X")</f>
        <v>X</v>
      </c>
      <c r="I27" s="334" t="str">
        <f>IF(F27="","",(D27-F27)/F27)</f>
        <v/>
      </c>
      <c r="J27" s="335" t="e">
        <f ca="1">INDIRECT("'"&amp;$A27&amp;"'!"&amp;"$I$15")</f>
        <v>#DIV/0!</v>
      </c>
      <c r="K27" s="336">
        <f ca="1">INDIRECT("'"&amp;$A27&amp;"'!"&amp;"$I$9")</f>
        <v>0</v>
      </c>
      <c r="L27" s="336">
        <f ca="1">INDIRECT("'"&amp;$A27&amp;"'!"&amp;"$B$3")</f>
        <v>88.735648975820141</v>
      </c>
      <c r="M27" s="336">
        <f ca="1">INDIRECT("'"&amp;$A27&amp;"'!"&amp;"$B$4")</f>
        <v>84</v>
      </c>
      <c r="N27" s="336">
        <f ca="1">INDIRECT("'"&amp;$A27&amp;"'!"&amp;"$B$5")</f>
        <v>95.505298315163515</v>
      </c>
      <c r="O27" s="337" t="str">
        <f ca="1">INDIRECT("'"&amp;$A27&amp;"'!"&amp;"$I$6")</f>
        <v>上月衰退</v>
      </c>
      <c r="P27" s="337" t="str">
        <f ca="1">INDIRECT("'"&amp;$A27&amp;"'!"&amp;"$K$6")</f>
        <v>連2季成長</v>
      </c>
      <c r="Q27" s="338">
        <f ca="1">INDIRECT("'"&amp;$A27&amp;"'!"&amp;"$N$3")</f>
        <v>8.5428501098868265E-3</v>
      </c>
      <c r="R27" s="338">
        <f ca="1">INDIRECT("'"&amp;$A27&amp;"'!"&amp;"$N$6")/INDIRECT("'"&amp;$A27&amp;"'!"&amp;"$N$5")-1</f>
        <v>9.1262235850464446E-3</v>
      </c>
      <c r="S27" s="324" t="str">
        <f ca="1">IF(D27&gt;INDIRECT("'"&amp;$A27&amp;"'!"&amp;"$I$3"),"",IF(AND(Q27&lt;0,R27&lt;0),"",IF(AND(Q27&lt;0,R27&gt;0),"轉機",IF(AND(Q27&gt;0,R27&lt;0),"",IF(AND(Q27&gt;=5%,R27&gt;=Q27),"OO","O")))))</f>
        <v>O</v>
      </c>
      <c r="T27" s="332">
        <f>ROUND(策略!$I$14/$D27,0)</f>
        <v>6</v>
      </c>
      <c r="U27" s="334">
        <f ca="1">INDIRECT("'"&amp;$A27&amp;"'!"&amp;"$J$16")</f>
        <v>-1</v>
      </c>
      <c r="V27" s="339">
        <f ca="1">IF(ISERROR(INDIRECT("'"&amp;$A27&amp;"'!"&amp;"$D$4")),"",INDIRECT("'"&amp;$A27&amp;"'!"&amp;"$D$4"))</f>
        <v>43.1</v>
      </c>
      <c r="W27" s="340" t="str">
        <f>IF(F27="","",(D27-F27)*G27*1000)</f>
        <v/>
      </c>
      <c r="X27" s="341" t="str">
        <f>IF(F27="","",D27*G27*1000)</f>
        <v/>
      </c>
      <c r="Y27" s="341" t="str">
        <f>IF(F27="","",F27*G27*1000+MAX(ROUNDDOWN(F27*1000*0.145%*28%,0),20)*G27)</f>
        <v/>
      </c>
      <c r="Z27" s="341" t="str">
        <f>IF(G27&gt;0,MAX(ROUNDDOWN(D27*1000*0.145%*28%,0),20)*G27+ROUNDDOWN(F27*1000*0.3%*28%,0)*G27,"")</f>
        <v/>
      </c>
      <c r="AA27" s="336">
        <f ca="1">INDIRECT("'"&amp;$A27&amp;"'!"&amp;"$B$10")</f>
        <v>11.85</v>
      </c>
      <c r="AB27" s="336">
        <f ca="1">INDIRECT("'"&amp;$A27&amp;"'!"&amp;"$E$10")</f>
        <v>13.57</v>
      </c>
      <c r="AC27" s="337" t="str">
        <f>VLOOKUP(_xlfn.NUMBERVALUE(A27),[2]工作表1!$A:$G,7,FALSE)</f>
        <v>無保留意見</v>
      </c>
    </row>
    <row r="28" spans="1:29" x14ac:dyDescent="0.25">
      <c r="A28" s="330">
        <v>2454</v>
      </c>
      <c r="B28" s="320" t="s">
        <v>296</v>
      </c>
      <c r="C28" s="320"/>
      <c r="D28" s="331">
        <f>VLOOKUP(_xlfn.NUMBERVALUE(A28),[1]工作表1!$A:$D,3,FALSE)</f>
        <v>283</v>
      </c>
      <c r="E28" s="332">
        <f>ROUND(VLOOKUP(_xlfn.NUMBERVALUE(A28),[1]工作表1!$A:$D,4,FALSE)/1000,0)</f>
        <v>8477</v>
      </c>
      <c r="F28" s="331"/>
      <c r="G28" s="366">
        <v>0</v>
      </c>
      <c r="H28" s="333" t="str">
        <f ca="1">IF(INDIRECT("'"&amp;$A28&amp;"'!"&amp;"$D$1")=$H$1,"","X")</f>
        <v>X</v>
      </c>
      <c r="I28" s="334" t="str">
        <f>IF(F28="","",(D28-F28)/F28)</f>
        <v/>
      </c>
      <c r="J28" s="335" t="e">
        <f ca="1">INDIRECT("'"&amp;$A28&amp;"'!"&amp;"$I$15")</f>
        <v>#DIV/0!</v>
      </c>
      <c r="K28" s="336">
        <f ca="1">INDIRECT("'"&amp;$A28&amp;"'!"&amp;"$I$9")</f>
        <v>0</v>
      </c>
      <c r="L28" s="336">
        <f ca="1">INDIRECT("'"&amp;$A28&amp;"'!"&amp;"$B$3")</f>
        <v>82.78420793188117</v>
      </c>
      <c r="M28" s="336">
        <f ca="1">INDIRECT("'"&amp;$A28&amp;"'!"&amp;"$B$4")</f>
        <v>56</v>
      </c>
      <c r="N28" s="336">
        <f ca="1">INDIRECT("'"&amp;$A28&amp;"'!"&amp;"$B$5")</f>
        <v>96.825593330095529</v>
      </c>
      <c r="O28" s="337" t="str">
        <f ca="1">INDIRECT("'"&amp;$A28&amp;"'!"&amp;"$I$6")</f>
        <v>連5月衰退</v>
      </c>
      <c r="P28" s="337" t="str">
        <f ca="1">INDIRECT("'"&amp;$A28&amp;"'!"&amp;"$K$6")</f>
        <v>連2季衰退</v>
      </c>
      <c r="Q28" s="338">
        <f ca="1">INDIRECT("'"&amp;$A28&amp;"'!"&amp;"$N$3")</f>
        <v>-0.22358226788605684</v>
      </c>
      <c r="R28" s="338">
        <f ca="1">INDIRECT("'"&amp;$A28&amp;"'!"&amp;"$N$6")/INDIRECT("'"&amp;$A28&amp;"'!"&amp;"$N$5")-1</f>
        <v>-0.28722173265999362</v>
      </c>
      <c r="S28" s="324" t="str">
        <f ca="1">IF(D28&gt;INDIRECT("'"&amp;$A28&amp;"'!"&amp;"$I$3"),"",IF(AND(Q28&lt;0,R28&lt;0),"",IF(AND(Q28&lt;0,R28&gt;0),"轉機",IF(AND(Q28&gt;0,R28&lt;0),"",IF(AND(Q28&gt;=5%,R28&gt;=Q28),"OO","O")))))</f>
        <v/>
      </c>
      <c r="T28" s="332">
        <f>ROUND(策略!$I$14/$D28,0)</f>
        <v>2</v>
      </c>
      <c r="U28" s="334">
        <f ca="1">INDIRECT("'"&amp;$A28&amp;"'!"&amp;"$J$16")</f>
        <v>-1</v>
      </c>
      <c r="V28" s="339">
        <f ca="1">IF(ISERROR(INDIRECT("'"&amp;$A28&amp;"'!"&amp;"$D$4")),"",INDIRECT("'"&amp;$A28&amp;"'!"&amp;"$D$4"))</f>
        <v>158</v>
      </c>
      <c r="W28" s="340" t="str">
        <f>IF(F28="","",(D28-F28)*G28*1000)</f>
        <v/>
      </c>
      <c r="X28" s="341" t="str">
        <f>IF(F28="","",D28*G28*1000)</f>
        <v/>
      </c>
      <c r="Y28" s="341" t="str">
        <f>IF(F28="","",F28*G28*1000+MAX(ROUNDDOWN(F28*1000*0.145%*28%,0),20)*G28)</f>
        <v/>
      </c>
      <c r="Z28" s="341" t="str">
        <f>IF(G28&gt;0,MAX(ROUNDDOWN(D28*1000*0.145%*28%,0),20)*G28+ROUNDDOWN(F28*1000*0.3%*28%,0)*G28,"")</f>
        <v/>
      </c>
      <c r="AA28" s="336">
        <f ca="1">INDIRECT("'"&amp;$A28&amp;"'!"&amp;"$B$10")</f>
        <v>14.57</v>
      </c>
      <c r="AB28" s="336">
        <f ca="1">INDIRECT("'"&amp;$A28&amp;"'!"&amp;"$E$10")</f>
        <v>22.645</v>
      </c>
      <c r="AC28" s="337" t="str">
        <f>VLOOKUP(_xlfn.NUMBERVALUE(A28),[2]工作表1!$A:$G,7,FALSE)</f>
        <v>無保留意見</v>
      </c>
    </row>
    <row r="29" spans="1:29" x14ac:dyDescent="0.25">
      <c r="A29" s="330">
        <v>2455</v>
      </c>
      <c r="B29" s="320" t="s">
        <v>347</v>
      </c>
      <c r="C29" s="320"/>
      <c r="D29" s="331">
        <f>VLOOKUP(_xlfn.NUMBERVALUE(A29),[1]工作表1!$A:$D,3,FALSE)</f>
        <v>98.6</v>
      </c>
      <c r="E29" s="332">
        <f>ROUND(VLOOKUP(_xlfn.NUMBERVALUE(A29),[1]工作表1!$A:$D,4,FALSE)/1000,0)</f>
        <v>13120</v>
      </c>
      <c r="F29" s="331"/>
      <c r="G29" s="366">
        <v>0</v>
      </c>
      <c r="H29" s="333" t="str">
        <f ca="1">IF(INDIRECT("'"&amp;$A29&amp;"'!"&amp;"$D$1")=$H$1,"","X")</f>
        <v>X</v>
      </c>
      <c r="I29" s="334" t="str">
        <f>IF(F29="","",(D29-F29)/F29)</f>
        <v/>
      </c>
      <c r="J29" s="335" t="e">
        <f ca="1">INDIRECT("'"&amp;$A29&amp;"'!"&amp;"$I$15")</f>
        <v>#DIV/0!</v>
      </c>
      <c r="K29" s="336">
        <f ca="1">INDIRECT("'"&amp;$A29&amp;"'!"&amp;"$I$9")</f>
        <v>0</v>
      </c>
      <c r="L29" s="336">
        <f ca="1">INDIRECT("'"&amp;$A29&amp;"'!"&amp;"$B$3")</f>
        <v>85.443917851500785</v>
      </c>
      <c r="M29" s="336">
        <f ca="1">INDIRECT("'"&amp;$A29&amp;"'!"&amp;"$B$4")</f>
        <v>88</v>
      </c>
      <c r="N29" s="336">
        <f ca="1">INDIRECT("'"&amp;$A29&amp;"'!"&amp;"$B$5")</f>
        <v>99.567745098039211</v>
      </c>
      <c r="O29" s="337" t="str">
        <f ca="1">INDIRECT("'"&amp;$A29&amp;"'!"&amp;"$I$6")</f>
        <v>連3月成長</v>
      </c>
      <c r="P29" s="337" t="str">
        <f ca="1">INDIRECT("'"&amp;$A29&amp;"'!"&amp;"$K$6")</f>
        <v>單季成長</v>
      </c>
      <c r="Q29" s="338">
        <f ca="1">INDIRECT("'"&amp;$A29&amp;"'!"&amp;"$N$3")</f>
        <v>-9.7209574145968453E-3</v>
      </c>
      <c r="R29" s="338">
        <f ca="1">INDIRECT("'"&amp;$A29&amp;"'!"&amp;"$N$6")/INDIRECT("'"&amp;$A29&amp;"'!"&amp;"$N$5")-1</f>
        <v>0.24815466074193426</v>
      </c>
      <c r="S29" s="324" t="str">
        <f ca="1">IF(D29&gt;INDIRECT("'"&amp;$A29&amp;"'!"&amp;"$I$3"),"",IF(AND(Q29&lt;0,R29&lt;0),"",IF(AND(Q29&lt;0,R29&gt;0),"轉機",IF(AND(Q29&gt;0,R29&lt;0),"",IF(AND(Q29&gt;=5%,R29&gt;=Q29),"OO","O")))))</f>
        <v/>
      </c>
      <c r="T29" s="332">
        <f>ROUND(策略!$I$14/$D29,0)</f>
        <v>5</v>
      </c>
      <c r="U29" s="334">
        <f ca="1">INDIRECT("'"&amp;$A29&amp;"'!"&amp;"$J$16")</f>
        <v>-1</v>
      </c>
      <c r="V29" s="339">
        <f ca="1">IF(ISERROR(INDIRECT("'"&amp;$A29&amp;"'!"&amp;"$D$4")),"",INDIRECT("'"&amp;$A29&amp;"'!"&amp;"$D$4"))</f>
        <v>18.5</v>
      </c>
      <c r="W29" s="340" t="str">
        <f>IF(F29="","",(D29-F29)*G29*1000)</f>
        <v/>
      </c>
      <c r="X29" s="341" t="str">
        <f>IF(F29="","",D29*G29*1000)</f>
        <v/>
      </c>
      <c r="Y29" s="341" t="str">
        <f>IF(F29="","",F29*G29*1000+MAX(ROUNDDOWN(F29*1000*0.145%*28%,0),20)*G29)</f>
        <v/>
      </c>
      <c r="Z29" s="341" t="str">
        <f>IF(G29&gt;0,MAX(ROUNDDOWN(D29*1000*0.145%*28%,0),20)*G29+ROUNDDOWN(F29*1000*0.3%*28%,0)*G29,"")</f>
        <v/>
      </c>
      <c r="AA29" s="336">
        <f ca="1">INDIRECT("'"&amp;$A29&amp;"'!"&amp;"$B$10")</f>
        <v>16.510000000000002</v>
      </c>
      <c r="AB29" s="336">
        <f ca="1">INDIRECT("'"&amp;$A29&amp;"'!"&amp;"$E$10")</f>
        <v>20.645</v>
      </c>
      <c r="AC29" s="337" t="str">
        <f>VLOOKUP(_xlfn.NUMBERVALUE(A29),[2]工作表1!$A:$G,7,FALSE)</f>
        <v>無保留意見</v>
      </c>
    </row>
    <row r="30" spans="1:29" ht="16.5" x14ac:dyDescent="0.25">
      <c r="A30" s="330">
        <v>2474</v>
      </c>
      <c r="B30" s="375" t="s">
        <v>405</v>
      </c>
      <c r="C30" s="320"/>
      <c r="D30" s="331">
        <f>VLOOKUP(_xlfn.NUMBERVALUE(A30),[1]工作表1!$A:$D,3,FALSE)</f>
        <v>333.5</v>
      </c>
      <c r="E30" s="332">
        <f>ROUND(VLOOKUP(_xlfn.NUMBERVALUE(A30),[1]工作表1!$A:$D,4,FALSE)/1000,0)</f>
        <v>6862</v>
      </c>
      <c r="F30" s="331"/>
      <c r="G30" s="366">
        <v>0</v>
      </c>
      <c r="H30" s="333" t="str">
        <f ca="1">IF(INDIRECT("'"&amp;$A30&amp;"'!"&amp;"$D$1")=$H$1,"","X")</f>
        <v>X</v>
      </c>
      <c r="I30" s="334" t="str">
        <f>IF(F30="","",(D30-F30)/F30)</f>
        <v/>
      </c>
      <c r="J30" s="335" t="e">
        <f ca="1">INDIRECT("'"&amp;$A30&amp;"'!"&amp;"$I$15")</f>
        <v>#DIV/0!</v>
      </c>
      <c r="K30" s="336">
        <f ca="1">INDIRECT("'"&amp;$A30&amp;"'!"&amp;"$I$9")</f>
        <v>0</v>
      </c>
      <c r="L30" s="336">
        <f ca="1">INDIRECT("'"&amp;$A30&amp;"'!"&amp;"$B$3")</f>
        <v>71.347298589367369</v>
      </c>
      <c r="M30" s="336">
        <f ca="1">INDIRECT("'"&amp;$A30&amp;"'!"&amp;"$B$4")</f>
        <v>78</v>
      </c>
      <c r="N30" s="336">
        <f ca="1">INDIRECT("'"&amp;$A30&amp;"'!"&amp;"$B$5")</f>
        <v>95.802500242271535</v>
      </c>
      <c r="O30" s="337" t="str">
        <f ca="1">INDIRECT("'"&amp;$A30&amp;"'!"&amp;"$I$6")</f>
        <v>連5月成長</v>
      </c>
      <c r="P30" s="337" t="str">
        <f ca="1">INDIRECT("'"&amp;$A30&amp;"'!"&amp;"$K$6")</f>
        <v>連2季成長</v>
      </c>
      <c r="Q30" s="338">
        <f ca="1">INDIRECT("'"&amp;$A30&amp;"'!"&amp;"$N$3")</f>
        <v>4.1000854258477194E-2</v>
      </c>
      <c r="R30" s="338">
        <f ca="1">INDIRECT("'"&amp;$A30&amp;"'!"&amp;"$N$6")/INDIRECT("'"&amp;$A30&amp;"'!"&amp;"$N$5")-1</f>
        <v>0.23224021351234869</v>
      </c>
      <c r="S30" s="324" t="str">
        <f ca="1">IF(D30&gt;INDIRECT("'"&amp;$A30&amp;"'!"&amp;"$I$3"),"",IF(AND(Q30&lt;0,R30&lt;0),"",IF(AND(Q30&lt;0,R30&gt;0),"轉機",IF(AND(Q30&gt;0,R30&lt;0),"",IF(AND(Q30&gt;=5%,R30&gt;=Q30),"OO","O")))))</f>
        <v/>
      </c>
      <c r="T30" s="332">
        <f>ROUND(策略!$I$14/$D30,0)</f>
        <v>1</v>
      </c>
      <c r="U30" s="334">
        <f ca="1">INDIRECT("'"&amp;$A30&amp;"'!"&amp;"$J$16")</f>
        <v>-1</v>
      </c>
      <c r="V30" s="339">
        <f ca="1">IF(ISERROR(INDIRECT("'"&amp;$A30&amp;"'!"&amp;"$D$4")),"",INDIRECT("'"&amp;$A30&amp;"'!"&amp;"$D$4"))</f>
        <v>77</v>
      </c>
      <c r="W30" s="340" t="str">
        <f>IF(F30="","",(D30-F30)*G30*1000)</f>
        <v/>
      </c>
      <c r="X30" s="341" t="str">
        <f>IF(F30="","",D30*G30*1000)</f>
        <v/>
      </c>
      <c r="Y30" s="341" t="str">
        <f>IF(F30="","",F30*G30*1000+MAX(ROUNDDOWN(F30*1000*0.145%*28%,0),20)*G30)</f>
        <v/>
      </c>
      <c r="Z30" s="341" t="str">
        <f>IF(G30&gt;0,MAX(ROUNDDOWN(D30*1000*0.145%*28%,0),20)*G30+ROUNDDOWN(F30*1000*0.3%*28%,0)*G30,"")</f>
        <v/>
      </c>
      <c r="AA30" s="336">
        <f ca="1">INDIRECT("'"&amp;$A30&amp;"'!"&amp;"$B$10")</f>
        <v>8.93</v>
      </c>
      <c r="AB30" s="336">
        <f ca="1">INDIRECT("'"&amp;$A30&amp;"'!"&amp;"$E$10")</f>
        <v>12.385</v>
      </c>
      <c r="AC30" s="337" t="str">
        <f>VLOOKUP(_xlfn.NUMBERVALUE(A30),[2]工作表1!$A:$G,7,FALSE)</f>
        <v>無保留意見</v>
      </c>
    </row>
    <row r="31" spans="1:29" ht="16.5" x14ac:dyDescent="0.25">
      <c r="A31" s="330">
        <v>2608</v>
      </c>
      <c r="B31" s="375" t="s">
        <v>406</v>
      </c>
      <c r="C31" s="320"/>
      <c r="D31" s="331">
        <f>VLOOKUP(_xlfn.NUMBERVALUE(A31),[1]工作表1!$A:$D,3,FALSE)</f>
        <v>37.299999999999997</v>
      </c>
      <c r="E31" s="332">
        <f>ROUND(VLOOKUP(_xlfn.NUMBERVALUE(A31),[1]工作表1!$A:$D,4,FALSE)/1000,0)</f>
        <v>214</v>
      </c>
      <c r="F31" s="331"/>
      <c r="G31" s="366">
        <v>0</v>
      </c>
      <c r="H31" s="333" t="str">
        <f ca="1">IF(INDIRECT("'"&amp;$A31&amp;"'!"&amp;"$D$1")=$H$1,"","X")</f>
        <v>X</v>
      </c>
      <c r="I31" s="334" t="str">
        <f>IF(F31="","",(D31-F31)/F31)</f>
        <v/>
      </c>
      <c r="J31" s="335" t="e">
        <f ca="1">INDIRECT("'"&amp;$A31&amp;"'!"&amp;"$I$15")</f>
        <v>#DIV/0!</v>
      </c>
      <c r="K31" s="336">
        <f ca="1">INDIRECT("'"&amp;$A31&amp;"'!"&amp;"$I$9")</f>
        <v>0</v>
      </c>
      <c r="L31" s="336">
        <f ca="1">INDIRECT("'"&amp;$A31&amp;"'!"&amp;"$B$3")</f>
        <v>72.121580291885763</v>
      </c>
      <c r="M31" s="336">
        <f ca="1">INDIRECT("'"&amp;$A31&amp;"'!"&amp;"$B$4")</f>
        <v>82</v>
      </c>
      <c r="N31" s="336">
        <f ca="1">INDIRECT("'"&amp;$A31&amp;"'!"&amp;"$B$5")</f>
        <v>93.639053763440856</v>
      </c>
      <c r="O31" s="337" t="str">
        <f ca="1">INDIRECT("'"&amp;$A31&amp;"'!"&amp;"$I$6")</f>
        <v>連5月成長</v>
      </c>
      <c r="P31" s="337" t="str">
        <f ca="1">INDIRECT("'"&amp;$A31&amp;"'!"&amp;"$K$6")</f>
        <v>單季成長</v>
      </c>
      <c r="Q31" s="338">
        <f ca="1">INDIRECT("'"&amp;$A31&amp;"'!"&amp;"$N$3")</f>
        <v>-7.6407086733850701E-2</v>
      </c>
      <c r="R31" s="338">
        <f ca="1">INDIRECT("'"&amp;$A31&amp;"'!"&amp;"$N$6")/INDIRECT("'"&amp;$A31&amp;"'!"&amp;"$N$5")-1</f>
        <v>3.6675895583329954E-2</v>
      </c>
      <c r="S31" s="324" t="str">
        <f ca="1">IF(D31&gt;INDIRECT("'"&amp;$A31&amp;"'!"&amp;"$I$3"),"",IF(AND(Q31&lt;0,R31&lt;0),"",IF(AND(Q31&lt;0,R31&gt;0),"轉機",IF(AND(Q31&gt;0,R31&lt;0),"",IF(AND(Q31&gt;=5%,R31&gt;=Q31),"OO","O")))))</f>
        <v>轉機</v>
      </c>
      <c r="T31" s="332">
        <f>ROUND(策略!$I$14/$D31,0)</f>
        <v>13</v>
      </c>
      <c r="U31" s="334">
        <f ca="1">INDIRECT("'"&amp;$A31&amp;"'!"&amp;"$J$16")</f>
        <v>-1</v>
      </c>
      <c r="V31" s="339">
        <f ca="1">IF(ISERROR(INDIRECT("'"&amp;$A31&amp;"'!"&amp;"$D$4")),"",INDIRECT("'"&amp;$A31&amp;"'!"&amp;"$D$4"))</f>
        <v>48.4</v>
      </c>
      <c r="W31" s="340" t="str">
        <f>IF(F31="","",(D31-F31)*G31*1000)</f>
        <v/>
      </c>
      <c r="X31" s="341" t="str">
        <f>IF(F31="","",D31*G31*1000)</f>
        <v/>
      </c>
      <c r="Y31" s="341" t="str">
        <f>IF(F31="","",F31*G31*1000+MAX(ROUNDDOWN(F31*1000*0.145%*28%,0),20)*G31)</f>
        <v/>
      </c>
      <c r="Z31" s="341" t="str">
        <f>IF(G31&gt;0,MAX(ROUNDDOWN(D31*1000*0.145%*28%,0),20)*G31+ROUNDDOWN(F31*1000*0.3%*28%,0)*G31,"")</f>
        <v/>
      </c>
      <c r="AA31" s="336">
        <f ca="1">INDIRECT("'"&amp;$A31&amp;"'!"&amp;"$B$10")</f>
        <v>15.05</v>
      </c>
      <c r="AB31" s="336">
        <f ca="1">INDIRECT("'"&amp;$A31&amp;"'!"&amp;"$E$10")</f>
        <v>21.39</v>
      </c>
      <c r="AC31" s="337" t="str">
        <f>VLOOKUP(_xlfn.NUMBERVALUE(A31),[2]工作表1!$A:$G,7,FALSE)</f>
        <v>無保留意見</v>
      </c>
    </row>
    <row r="32" spans="1:29" x14ac:dyDescent="0.25">
      <c r="A32" s="343">
        <v>2886</v>
      </c>
      <c r="B32" s="320" t="s">
        <v>143</v>
      </c>
      <c r="C32" s="369"/>
      <c r="D32" s="331">
        <f>VLOOKUP(_xlfn.NUMBERVALUE(A32),[1]工作表1!$A:$D,3,FALSE)</f>
        <v>23.95</v>
      </c>
      <c r="E32" s="332">
        <f>ROUND(VLOOKUP(_xlfn.NUMBERVALUE(A32),[1]工作表1!$A:$D,4,FALSE)/1000,0)</f>
        <v>18459</v>
      </c>
      <c r="F32" s="331"/>
      <c r="G32" s="366">
        <v>0</v>
      </c>
      <c r="H32" s="333" t="str">
        <f ca="1">IF(INDIRECT("'"&amp;$A32&amp;"'!"&amp;"$D$1")=$H$1,"","X")</f>
        <v/>
      </c>
      <c r="I32" s="334" t="str">
        <f>IF(F32="","",(D32-F32)/F32)</f>
        <v/>
      </c>
      <c r="J32" s="335" t="e">
        <f ca="1">INDIRECT("'"&amp;$A32&amp;"'!"&amp;"$I$15")</f>
        <v>#DIV/0!</v>
      </c>
      <c r="K32" s="336">
        <f ca="1">INDIRECT("'"&amp;$A32&amp;"'!"&amp;"$I$9")</f>
        <v>0</v>
      </c>
      <c r="L32" s="336">
        <f ca="1">INDIRECT("'"&amp;$A32&amp;"'!"&amp;"$B$3")</f>
        <v>92.490049751243788</v>
      </c>
      <c r="M32" s="336">
        <f ca="1">INDIRECT("'"&amp;$A32&amp;"'!"&amp;"$B$4")</f>
        <v>72</v>
      </c>
      <c r="N32" s="336">
        <f ca="1">INDIRECT("'"&amp;$A32&amp;"'!"&amp;"$B$5")</f>
        <v>91.250626238604838</v>
      </c>
      <c r="O32" s="337" t="str">
        <f ca="1">INDIRECT("'"&amp;$A32&amp;"'!"&amp;"$I$6")</f>
        <v>連5月成長</v>
      </c>
      <c r="P32" s="337" t="str">
        <f ca="1">INDIRECT("'"&amp;$A32&amp;"'!"&amp;"$K$6")</f>
        <v>連2季衰退</v>
      </c>
      <c r="Q32" s="338">
        <f ca="1">INDIRECT("'"&amp;$A32&amp;"'!"&amp;"$N$3")</f>
        <v>-3.1640383117618694E-2</v>
      </c>
      <c r="R32" s="338">
        <f ca="1">INDIRECT("'"&amp;$A32&amp;"'!"&amp;"$N$6")/INDIRECT("'"&amp;$A32&amp;"'!"&amp;"$N$5")-1</f>
        <v>-1.9758670027037351E-2</v>
      </c>
      <c r="S32" s="324" t="str">
        <f ca="1">IF(D32&gt;INDIRECT("'"&amp;$A32&amp;"'!"&amp;"$I$3"),"",IF(AND(Q32&lt;0,R32&lt;0),"",IF(AND(Q32&lt;0,R32&gt;0),"轉機",IF(AND(Q32&gt;0,R32&lt;0),"",IF(AND(Q32&gt;=5%,R32&gt;=Q32),"OO","O")))))</f>
        <v/>
      </c>
      <c r="T32" s="332">
        <f>ROUND(策略!$I$14/$D32,0)</f>
        <v>20</v>
      </c>
      <c r="U32" s="334">
        <f ca="1">INDIRECT("'"&amp;$A32&amp;"'!"&amp;"$J$16")</f>
        <v>-1</v>
      </c>
      <c r="V32" s="339">
        <f ca="1">IF(ISERROR(INDIRECT("'"&amp;$A32&amp;"'!"&amp;"$D$4")),"",INDIRECT("'"&amp;$A32&amp;"'!"&amp;"$D$4"))</f>
        <v>1360</v>
      </c>
      <c r="W32" s="340" t="str">
        <f>IF(F32="","",(D32-F32)*G32*1000)</f>
        <v/>
      </c>
      <c r="X32" s="341" t="str">
        <f>IF(F32="","",D32*G32*1000)</f>
        <v/>
      </c>
      <c r="Y32" s="341" t="str">
        <f>IF(F32="","",F32*G32*1000+MAX(ROUNDDOWN(F32*1000*0.145%*28%,0),20)*G32)</f>
        <v/>
      </c>
      <c r="Z32" s="341" t="str">
        <f>IF(G32&gt;0,MAX(ROUNDDOWN(D32*1000*0.145%*28%,0),20)*G32+ROUNDDOWN(F32*1000*0.3%*28%,0)*G32,"")</f>
        <v/>
      </c>
      <c r="AA32" s="336">
        <f ca="1">INDIRECT("'"&amp;$A32&amp;"'!"&amp;"$B$10")</f>
        <v>11.034000000000001</v>
      </c>
      <c r="AB32" s="336">
        <f ca="1">INDIRECT("'"&amp;$A32&amp;"'!"&amp;"$E$10")</f>
        <v>12.785</v>
      </c>
      <c r="AC32" s="337" t="str">
        <f>VLOOKUP(_xlfn.NUMBERVALUE(A32),[2]工作表1!$A:$G,7,FALSE)</f>
        <v>無保留意見</v>
      </c>
    </row>
    <row r="33" spans="1:29" ht="16.5" x14ac:dyDescent="0.25">
      <c r="A33" s="330">
        <v>2892</v>
      </c>
      <c r="B33" s="375" t="s">
        <v>407</v>
      </c>
      <c r="C33" s="369"/>
      <c r="D33" s="331">
        <f>VLOOKUP(_xlfn.NUMBERVALUE(A33),[1]工作表1!$A:$D,3,FALSE)</f>
        <v>19.45</v>
      </c>
      <c r="E33" s="332">
        <f>ROUND(VLOOKUP(_xlfn.NUMBERVALUE(A33),[1]工作表1!$A:$D,4,FALSE)/1000,0)</f>
        <v>30971</v>
      </c>
      <c r="F33" s="331"/>
      <c r="G33" s="366">
        <v>0</v>
      </c>
      <c r="H33" s="333" t="str">
        <f ca="1">IF(INDIRECT("'"&amp;$A33&amp;"'!"&amp;"$D$1")=$H$1,"","X")</f>
        <v/>
      </c>
      <c r="I33" s="334" t="str">
        <f>IF(F33="","",(D33-F33)/F33)</f>
        <v/>
      </c>
      <c r="J33" s="335" t="e">
        <f ca="1">INDIRECT("'"&amp;$A33&amp;"'!"&amp;"$I$15")</f>
        <v>#DIV/0!</v>
      </c>
      <c r="K33" s="336">
        <f ca="1">INDIRECT("'"&amp;$A33&amp;"'!"&amp;"$I$9")</f>
        <v>0</v>
      </c>
      <c r="L33" s="336">
        <f ca="1">INDIRECT("'"&amp;$A33&amp;"'!"&amp;"$B$3")</f>
        <v>93.715086646279303</v>
      </c>
      <c r="M33" s="336">
        <f ca="1">INDIRECT("'"&amp;$A33&amp;"'!"&amp;"$B$4")</f>
        <v>84</v>
      </c>
      <c r="N33" s="336">
        <f ca="1">INDIRECT("'"&amp;$A33&amp;"'!"&amp;"$B$5")</f>
        <v>88.30193693693694</v>
      </c>
      <c r="O33" s="337" t="str">
        <f ca="1">INDIRECT("'"&amp;$A33&amp;"'!"&amp;"$I$6")</f>
        <v>上月成長</v>
      </c>
      <c r="P33" s="337" t="str">
        <f ca="1">INDIRECT("'"&amp;$A33&amp;"'!"&amp;"$K$6")</f>
        <v>連2季衰退</v>
      </c>
      <c r="Q33" s="338">
        <f ca="1">INDIRECT("'"&amp;$A33&amp;"'!"&amp;"$N$3")</f>
        <v>0.12680988356690698</v>
      </c>
      <c r="R33" s="338">
        <f ca="1">INDIRECT("'"&amp;$A33&amp;"'!"&amp;"$N$6")/INDIRECT("'"&amp;$A33&amp;"'!"&amp;"$N$5")-1</f>
        <v>0.16829079126404212</v>
      </c>
      <c r="S33" s="324" t="str">
        <f ca="1">IF(D33&gt;INDIRECT("'"&amp;$A33&amp;"'!"&amp;"$I$3"),"",IF(AND(Q33&lt;0,R33&lt;0),"",IF(AND(Q33&lt;0,R33&gt;0),"轉機",IF(AND(Q33&gt;0,R33&lt;0),"",IF(AND(Q33&gt;=5%,R33&gt;=Q33),"OO","O")))))</f>
        <v/>
      </c>
      <c r="T33" s="332">
        <f>ROUND(策略!$I$14/$D33,0)</f>
        <v>25</v>
      </c>
      <c r="U33" s="334">
        <f ca="1">INDIRECT("'"&amp;$A33&amp;"'!"&amp;"$J$16")</f>
        <v>-1</v>
      </c>
      <c r="V33" s="339">
        <f ca="1">IF(ISERROR(INDIRECT("'"&amp;$A33&amp;"'!"&amp;"$D$4")),"",INDIRECT("'"&amp;$A33&amp;"'!"&amp;"$D$4"))</f>
        <v>1221.96</v>
      </c>
      <c r="W33" s="340" t="str">
        <f>IF(F33="","",(D33-F33)*G33*1000)</f>
        <v/>
      </c>
      <c r="X33" s="341" t="str">
        <f>IF(F33="","",D33*G33*1000)</f>
        <v/>
      </c>
      <c r="Y33" s="341" t="str">
        <f>IF(F33="","",F33*G33*1000+MAX(ROUNDDOWN(F33*1000*0.145%*28%,0),20)*G33)</f>
        <v/>
      </c>
      <c r="Z33" s="341" t="str">
        <f>IF(G33&gt;0,MAX(ROUNDDOWN(D33*1000*0.145%*28%,0),20)*G33+ROUNDDOWN(F33*1000*0.3%*28%,0)*G33,"")</f>
        <v/>
      </c>
      <c r="AA33" s="336">
        <f ca="1">INDIRECT("'"&amp;$A33&amp;"'!"&amp;"$B$10")</f>
        <v>11.628</v>
      </c>
      <c r="AB33" s="336">
        <f ca="1">INDIRECT("'"&amp;$A33&amp;"'!"&amp;"$E$10")</f>
        <v>14.102</v>
      </c>
      <c r="AC33" s="337" t="str">
        <f>VLOOKUP(_xlfn.NUMBERVALUE(A33),[2]工作表1!$A:$G,7,FALSE)</f>
        <v>無保留意見</v>
      </c>
    </row>
    <row r="34" spans="1:29" x14ac:dyDescent="0.25">
      <c r="A34" s="330">
        <v>2912</v>
      </c>
      <c r="B34" s="320" t="s">
        <v>336</v>
      </c>
      <c r="C34" s="320"/>
      <c r="D34" s="331">
        <f>VLOOKUP(_xlfn.NUMBERVALUE(A34),[1]工作表1!$A:$D,3,FALSE)</f>
        <v>273</v>
      </c>
      <c r="E34" s="332">
        <f>ROUND(VLOOKUP(_xlfn.NUMBERVALUE(A34),[1]工作表1!$A:$D,4,FALSE)/1000,0)</f>
        <v>1924</v>
      </c>
      <c r="F34" s="331"/>
      <c r="G34" s="366">
        <v>0</v>
      </c>
      <c r="H34" s="333" t="str">
        <f ca="1">IF(INDIRECT("'"&amp;$A34&amp;"'!"&amp;"$D$1")=$H$1,"","X")</f>
        <v>X</v>
      </c>
      <c r="I34" s="334" t="str">
        <f>IF(F34="","",(D34-F34)/F34)</f>
        <v/>
      </c>
      <c r="J34" s="335" t="e">
        <f ca="1">INDIRECT("'"&amp;$A34&amp;"'!"&amp;"$I$15")</f>
        <v>#DIV/0!</v>
      </c>
      <c r="K34" s="336">
        <f ca="1">INDIRECT("'"&amp;$A34&amp;"'!"&amp;"$I$9")</f>
        <v>0</v>
      </c>
      <c r="L34" s="336">
        <f ca="1">INDIRECT("'"&amp;$A34&amp;"'!"&amp;"$B$3")</f>
        <v>84.086901070517456</v>
      </c>
      <c r="M34" s="336">
        <f ca="1">INDIRECT("'"&amp;$A34&amp;"'!"&amp;"$B$4")</f>
        <v>92</v>
      </c>
      <c r="N34" s="336">
        <f ca="1">INDIRECT("'"&amp;$A34&amp;"'!"&amp;"$B$5")</f>
        <v>88.645571302037212</v>
      </c>
      <c r="O34" s="337" t="str">
        <f ca="1">INDIRECT("'"&amp;$A34&amp;"'!"&amp;"$I$6")</f>
        <v>連3月成長</v>
      </c>
      <c r="P34" s="337" t="str">
        <f ca="1">INDIRECT("'"&amp;$A34&amp;"'!"&amp;"$K$6")</f>
        <v>連3季成長</v>
      </c>
      <c r="Q34" s="338">
        <f ca="1">INDIRECT("'"&amp;$A34&amp;"'!"&amp;"$N$3")</f>
        <v>8.9349926914472827E-2</v>
      </c>
      <c r="R34" s="338">
        <f ca="1">INDIRECT("'"&amp;$A34&amp;"'!"&amp;"$N$6")/INDIRECT("'"&amp;$A34&amp;"'!"&amp;"$N$5")-1</f>
        <v>-2.2076953588075376E-2</v>
      </c>
      <c r="S34" s="324" t="str">
        <f ca="1">IF(D34&gt;INDIRECT("'"&amp;$A34&amp;"'!"&amp;"$I$3"),"",IF(AND(Q34&lt;0,R34&lt;0),"",IF(AND(Q34&lt;0,R34&gt;0),"轉機",IF(AND(Q34&gt;0,R34&lt;0),"",IF(AND(Q34&gt;=5%,R34&gt;=Q34),"OO","O")))))</f>
        <v/>
      </c>
      <c r="T34" s="332">
        <f>ROUND(策略!$I$14/$D34,0)</f>
        <v>2</v>
      </c>
      <c r="U34" s="334">
        <f ca="1">INDIRECT("'"&amp;$A34&amp;"'!"&amp;"$J$16")</f>
        <v>-1</v>
      </c>
      <c r="V34" s="339">
        <f ca="1">IF(ISERROR(INDIRECT("'"&amp;$A34&amp;"'!"&amp;"$D$4")),"",INDIRECT("'"&amp;$A34&amp;"'!"&amp;"$D$4"))</f>
        <v>104</v>
      </c>
      <c r="W34" s="340" t="str">
        <f>IF(F34="","",(D34-F34)*G34*1000)</f>
        <v/>
      </c>
      <c r="X34" s="341" t="str">
        <f>IF(F34="","",D34*G34*1000)</f>
        <v/>
      </c>
      <c r="Y34" s="341" t="str">
        <f>IF(F34="","",F34*G34*1000+MAX(ROUNDDOWN(F34*1000*0.145%*28%,0),20)*G34)</f>
        <v/>
      </c>
      <c r="Z34" s="341" t="str">
        <f>IF(G34&gt;0,MAX(ROUNDDOWN(D34*1000*0.145%*28%,0),20)*G34+ROUNDDOWN(F34*1000*0.3%*28%,0)*G34,"")</f>
        <v/>
      </c>
      <c r="AA34" s="336">
        <f ca="1">INDIRECT("'"&amp;$A34&amp;"'!"&amp;"$B$10")</f>
        <v>25.92</v>
      </c>
      <c r="AB34" s="336">
        <f ca="1">INDIRECT("'"&amp;$A34&amp;"'!"&amp;"$E$10")</f>
        <v>27.64</v>
      </c>
      <c r="AC34" s="337" t="str">
        <f>VLOOKUP(_xlfn.NUMBERVALUE(A34),[2]工作表1!$A:$G,7,FALSE)</f>
        <v>無保留意見</v>
      </c>
    </row>
    <row r="35" spans="1:29" x14ac:dyDescent="0.25">
      <c r="A35" s="344">
        <v>3014</v>
      </c>
      <c r="B35" s="320" t="s">
        <v>293</v>
      </c>
      <c r="C35" s="320"/>
      <c r="D35" s="331">
        <f>VLOOKUP(_xlfn.NUMBERVALUE(A35),[1]工作表1!$A:$D,3,FALSE)</f>
        <v>34</v>
      </c>
      <c r="E35" s="332">
        <f>ROUND(VLOOKUP(_xlfn.NUMBERVALUE(A35),[1]工作表1!$A:$D,4,FALSE)/1000,0)</f>
        <v>1112</v>
      </c>
      <c r="F35" s="331"/>
      <c r="G35" s="366">
        <v>0</v>
      </c>
      <c r="H35" s="333" t="str">
        <f ca="1">IF(INDIRECT("'"&amp;$A35&amp;"'!"&amp;"$D$1")=$H$1,"","X")</f>
        <v>X</v>
      </c>
      <c r="I35" s="334" t="str">
        <f>IF(F35="","",(D35-F35)/F35)</f>
        <v/>
      </c>
      <c r="J35" s="335" t="e">
        <f ca="1">INDIRECT("'"&amp;$A35&amp;"'!"&amp;"$I$15")</f>
        <v>#DIV/0!</v>
      </c>
      <c r="K35" s="336">
        <f ca="1">INDIRECT("'"&amp;$A35&amp;"'!"&amp;"$I$9")</f>
        <v>0</v>
      </c>
      <c r="L35" s="336">
        <f ca="1">INDIRECT("'"&amp;$A35&amp;"'!"&amp;"$B$3")</f>
        <v>86.04094032949277</v>
      </c>
      <c r="M35" s="336">
        <f ca="1">INDIRECT("'"&amp;$A35&amp;"'!"&amp;"$B$4")</f>
        <v>74</v>
      </c>
      <c r="N35" s="336">
        <f ca="1">INDIRECT("'"&amp;$A35&amp;"'!"&amp;"$B$5")</f>
        <v>91.449669926650373</v>
      </c>
      <c r="O35" s="337" t="str">
        <f ca="1">INDIRECT("'"&amp;$A35&amp;"'!"&amp;"$I$6")</f>
        <v>連2月成長</v>
      </c>
      <c r="P35" s="337" t="str">
        <f ca="1">INDIRECT("'"&amp;$A35&amp;"'!"&amp;"$K$6")</f>
        <v>單季衰退</v>
      </c>
      <c r="Q35" s="338">
        <f ca="1">INDIRECT("'"&amp;$A35&amp;"'!"&amp;"$N$3")</f>
        <v>2.5936912360829345E-2</v>
      </c>
      <c r="R35" s="338">
        <f ca="1">INDIRECT("'"&amp;$A35&amp;"'!"&amp;"$N$6")/INDIRECT("'"&amp;$A35&amp;"'!"&amp;"$N$5")-1</f>
        <v>7.4971014582796647E-2</v>
      </c>
      <c r="S35" s="324" t="str">
        <f ca="1">IF(D35&gt;INDIRECT("'"&amp;$A35&amp;"'!"&amp;"$I$3"),"",IF(AND(Q35&lt;0,R35&lt;0),"",IF(AND(Q35&lt;0,R35&gt;0),"轉機",IF(AND(Q35&gt;0,R35&lt;0),"",IF(AND(Q35&gt;=5%,R35&gt;=Q35),"OO","O")))))</f>
        <v>O</v>
      </c>
      <c r="T35" s="332">
        <f>ROUND(策略!$I$14/$D35,0)</f>
        <v>14</v>
      </c>
      <c r="U35" s="334">
        <f ca="1">INDIRECT("'"&amp;$A35&amp;"'!"&amp;"$J$16")</f>
        <v>-1</v>
      </c>
      <c r="V35" s="339">
        <f ca="1">IF(ISERROR(INDIRECT("'"&amp;$A35&amp;"'!"&amp;"$D$4")),"",INDIRECT("'"&amp;$A35&amp;"'!"&amp;"$D$4"))</f>
        <v>15.8</v>
      </c>
      <c r="W35" s="340" t="str">
        <f>IF(F35="","",(D35-F35)*G35*1000)</f>
        <v/>
      </c>
      <c r="X35" s="341" t="str">
        <f>IF(F35="","",D35*G35*1000)</f>
        <v/>
      </c>
      <c r="Y35" s="341" t="str">
        <f>IF(F35="","",F35*G35*1000+MAX(ROUNDDOWN(F35*1000*0.145%*28%,0),20)*G35)</f>
        <v/>
      </c>
      <c r="Z35" s="341" t="str">
        <f>IF(G35&gt;0,MAX(ROUNDDOWN(D35*1000*0.145%*28%,0),20)*G35+ROUNDDOWN(F35*1000*0.3%*28%,0)*G35,"")</f>
        <v/>
      </c>
      <c r="AA35" s="336">
        <f ca="1">INDIRECT("'"&amp;$A35&amp;"'!"&amp;"$B$10")</f>
        <v>13.334000000000001</v>
      </c>
      <c r="AB35" s="336">
        <f ca="1">INDIRECT("'"&amp;$A35&amp;"'!"&amp;"$E$10")</f>
        <v>16.262</v>
      </c>
      <c r="AC35" s="337" t="str">
        <f>VLOOKUP(_xlfn.NUMBERVALUE(A35),[2]工作表1!$A:$G,7,FALSE)</f>
        <v>無保留意見</v>
      </c>
    </row>
    <row r="36" spans="1:29" ht="16.5" x14ac:dyDescent="0.25">
      <c r="A36" s="330">
        <v>3023</v>
      </c>
      <c r="B36" s="375" t="s">
        <v>408</v>
      </c>
      <c r="C36" s="320"/>
      <c r="D36" s="331">
        <f>VLOOKUP(_xlfn.NUMBERVALUE(A36),[1]工作表1!$A:$D,3,FALSE)</f>
        <v>77.2</v>
      </c>
      <c r="E36" s="332">
        <f>ROUND(VLOOKUP(_xlfn.NUMBERVALUE(A36),[1]工作表1!$A:$D,4,FALSE)/1000,0)</f>
        <v>760</v>
      </c>
      <c r="F36" s="331"/>
      <c r="G36" s="366">
        <v>0</v>
      </c>
      <c r="H36" s="333" t="str">
        <f ca="1">IF(INDIRECT("'"&amp;$A36&amp;"'!"&amp;"$D$1")=$H$1,"","X")</f>
        <v>X</v>
      </c>
      <c r="I36" s="334" t="str">
        <f>IF(F36="","",(D36-F36)/F36)</f>
        <v/>
      </c>
      <c r="J36" s="335" t="e">
        <f ca="1">INDIRECT("'"&amp;$A36&amp;"'!"&amp;"$I$15")</f>
        <v>#DIV/0!</v>
      </c>
      <c r="K36" s="336">
        <f ca="1">INDIRECT("'"&amp;$A36&amp;"'!"&amp;"$I$9")</f>
        <v>0</v>
      </c>
      <c r="L36" s="336">
        <f ca="1">INDIRECT("'"&amp;$A36&amp;"'!"&amp;"$B$3")</f>
        <v>91.231209320031667</v>
      </c>
      <c r="M36" s="336">
        <f ca="1">INDIRECT("'"&amp;$A36&amp;"'!"&amp;"$B$4")</f>
        <v>88</v>
      </c>
      <c r="N36" s="336">
        <f ca="1">INDIRECT("'"&amp;$A36&amp;"'!"&amp;"$B$5")</f>
        <v>91.059605341246296</v>
      </c>
      <c r="O36" s="337" t="str">
        <f ca="1">INDIRECT("'"&amp;$A36&amp;"'!"&amp;"$I$6")</f>
        <v>連5月成長</v>
      </c>
      <c r="P36" s="337" t="str">
        <f ca="1">INDIRECT("'"&amp;$A36&amp;"'!"&amp;"$K$6")</f>
        <v>連2季成長</v>
      </c>
      <c r="Q36" s="338">
        <f ca="1">INDIRECT("'"&amp;$A36&amp;"'!"&amp;"$N$3")</f>
        <v>1.0545060393530606E-2</v>
      </c>
      <c r="R36" s="338">
        <f ca="1">INDIRECT("'"&amp;$A36&amp;"'!"&amp;"$N$6")/INDIRECT("'"&amp;$A36&amp;"'!"&amp;"$N$5")-1</f>
        <v>2.7867147750233467E-2</v>
      </c>
      <c r="S36" s="324" t="str">
        <f ca="1">IF(D36&gt;INDIRECT("'"&amp;$A36&amp;"'!"&amp;"$I$3"),"",IF(AND(Q36&lt;0,R36&lt;0),"",IF(AND(Q36&lt;0,R36&gt;0),"轉機",IF(AND(Q36&gt;0,R36&lt;0),"",IF(AND(Q36&gt;=5%,R36&gt;=Q36),"OO","O")))))</f>
        <v/>
      </c>
      <c r="T36" s="332">
        <f>ROUND(策略!$I$14/$D36,0)</f>
        <v>6</v>
      </c>
      <c r="U36" s="334">
        <f ca="1">INDIRECT("'"&amp;$A36&amp;"'!"&amp;"$J$16")</f>
        <v>-1</v>
      </c>
      <c r="V36" s="339">
        <f ca="1">IF(ISERROR(INDIRECT("'"&amp;$A36&amp;"'!"&amp;"$D$4")),"",INDIRECT("'"&amp;$A36&amp;"'!"&amp;"$D$4"))</f>
        <v>22.5</v>
      </c>
      <c r="W36" s="340" t="str">
        <f>IF(F36="","",(D36-F36)*G36*1000)</f>
        <v/>
      </c>
      <c r="X36" s="341" t="str">
        <f>IF(F36="","",D36*G36*1000)</f>
        <v/>
      </c>
      <c r="Y36" s="341" t="str">
        <f>IF(F36="","",F36*G36*1000+MAX(ROUNDDOWN(F36*1000*0.145%*28%,0),20)*G36)</f>
        <v/>
      </c>
      <c r="Z36" s="341" t="str">
        <f>IF(G36&gt;0,MAX(ROUNDDOWN(D36*1000*0.145%*28%,0),20)*G36+ROUNDDOWN(F36*1000*0.3%*28%,0)*G36,"")</f>
        <v/>
      </c>
      <c r="AA36" s="336">
        <f ca="1">INDIRECT("'"&amp;$A36&amp;"'!"&amp;"$B$10")</f>
        <v>10.199999999999999</v>
      </c>
      <c r="AB36" s="336">
        <f ca="1">INDIRECT("'"&amp;$A36&amp;"'!"&amp;"$E$10")</f>
        <v>13.875</v>
      </c>
      <c r="AC36" s="337" t="str">
        <f>VLOOKUP(_xlfn.NUMBERVALUE(A36),[2]工作表1!$A:$G,7,FALSE)</f>
        <v>無保留意見</v>
      </c>
    </row>
    <row r="37" spans="1:29" x14ac:dyDescent="0.25">
      <c r="A37" s="330">
        <v>3034</v>
      </c>
      <c r="B37" s="320" t="s">
        <v>297</v>
      </c>
      <c r="C37" s="320"/>
      <c r="D37" s="331">
        <f>VLOOKUP(_xlfn.NUMBERVALUE(A37),[1]工作表1!$A:$D,3,FALSE)</f>
        <v>121</v>
      </c>
      <c r="E37" s="332">
        <f>ROUND(VLOOKUP(_xlfn.NUMBERVALUE(A37),[1]工作表1!$A:$D,4,FALSE)/1000,0)</f>
        <v>4229</v>
      </c>
      <c r="F37" s="331"/>
      <c r="G37" s="366">
        <v>0</v>
      </c>
      <c r="H37" s="333" t="str">
        <f ca="1">IF(INDIRECT("'"&amp;$A37&amp;"'!"&amp;"$D$1")=$H$1,"","X")</f>
        <v>X</v>
      </c>
      <c r="I37" s="334" t="str">
        <f>IF(F37="","",(D37-F37)/F37)</f>
        <v/>
      </c>
      <c r="J37" s="335" t="e">
        <f ca="1">INDIRECT("'"&amp;$A37&amp;"'!"&amp;"$I$15")</f>
        <v>#DIV/0!</v>
      </c>
      <c r="K37" s="336">
        <f ca="1">INDIRECT("'"&amp;$A37&amp;"'!"&amp;"$I$9")</f>
        <v>0</v>
      </c>
      <c r="L37" s="336">
        <f ca="1">INDIRECT("'"&amp;$A37&amp;"'!"&amp;"$B$3")</f>
        <v>92.399990835591638</v>
      </c>
      <c r="M37" s="336">
        <f ca="1">INDIRECT("'"&amp;$A37&amp;"'!"&amp;"$B$4")</f>
        <v>72</v>
      </c>
      <c r="N37" s="336">
        <f ca="1">INDIRECT("'"&amp;$A37&amp;"'!"&amp;"$B$5")</f>
        <v>99</v>
      </c>
      <c r="O37" s="337" t="str">
        <f ca="1">INDIRECT("'"&amp;$A37&amp;"'!"&amp;"$I$6")</f>
        <v>連5月成長</v>
      </c>
      <c r="P37" s="337" t="str">
        <f ca="1">INDIRECT("'"&amp;$A37&amp;"'!"&amp;"$K$6")</f>
        <v>單季成長</v>
      </c>
      <c r="Q37" s="338">
        <f ca="1">INDIRECT("'"&amp;$A37&amp;"'!"&amp;"$N$3")</f>
        <v>-6.3107995215862002E-3</v>
      </c>
      <c r="R37" s="338">
        <f ca="1">INDIRECT("'"&amp;$A37&amp;"'!"&amp;"$N$6")/INDIRECT("'"&amp;$A37&amp;"'!"&amp;"$N$5")-1</f>
        <v>5.3605793213831854E-2</v>
      </c>
      <c r="S37" s="324" t="str">
        <f ca="1">IF(D37&gt;INDIRECT("'"&amp;$A37&amp;"'!"&amp;"$I$3"),"",IF(AND(Q37&lt;0,R37&lt;0),"",IF(AND(Q37&lt;0,R37&gt;0),"轉機",IF(AND(Q37&gt;0,R37&lt;0),"",IF(AND(Q37&gt;=5%,R37&gt;=Q37),"OO","O")))))</f>
        <v/>
      </c>
      <c r="T37" s="332">
        <f>ROUND(策略!$I$14/$D37,0)</f>
        <v>4</v>
      </c>
      <c r="U37" s="334">
        <f ca="1">INDIRECT("'"&amp;$A37&amp;"'!"&amp;"$J$16")</f>
        <v>-1</v>
      </c>
      <c r="V37" s="339">
        <f ca="1">IF(ISERROR(INDIRECT("'"&amp;$A37&amp;"'!"&amp;"$D$4")),"",INDIRECT("'"&amp;$A37&amp;"'!"&amp;"$D$4"))</f>
        <v>60.9</v>
      </c>
      <c r="W37" s="340" t="str">
        <f>IF(F37="","",(D37-F37)*G37*1000)</f>
        <v/>
      </c>
      <c r="X37" s="341" t="str">
        <f>IF(F37="","",D37*G37*1000)</f>
        <v/>
      </c>
      <c r="Y37" s="341" t="str">
        <f>IF(F37="","",F37*G37*1000+MAX(ROUNDDOWN(F37*1000*0.145%*28%,0),20)*G37)</f>
        <v/>
      </c>
      <c r="Z37" s="341" t="str">
        <f>IF(G37&gt;0,MAX(ROUNDDOWN(D37*1000*0.145%*28%,0),20)*G37+ROUNDDOWN(F37*1000*0.3%*28%,0)*G37,"")</f>
        <v/>
      </c>
      <c r="AA37" s="336">
        <f ca="1">INDIRECT("'"&amp;$A37&amp;"'!"&amp;"$B$10")</f>
        <v>12.25</v>
      </c>
      <c r="AB37" s="336">
        <f ca="1">INDIRECT("'"&amp;$A37&amp;"'!"&amp;"$E$10")</f>
        <v>15.725000000000001</v>
      </c>
      <c r="AC37" s="337" t="str">
        <f>VLOOKUP(_xlfn.NUMBERVALUE(A37),[2]工作表1!$A:$G,7,FALSE)</f>
        <v>無保留意見</v>
      </c>
    </row>
    <row r="38" spans="1:29" ht="16.5" x14ac:dyDescent="0.25">
      <c r="A38" s="330">
        <v>3152</v>
      </c>
      <c r="B38" s="375" t="s">
        <v>409</v>
      </c>
      <c r="C38" s="369" t="s">
        <v>393</v>
      </c>
      <c r="D38" s="331">
        <f>VLOOKUP(_xlfn.NUMBERVALUE(A38),[1]工作表1!$A:$D,3,FALSE)</f>
        <v>338.5</v>
      </c>
      <c r="E38" s="332">
        <f>ROUND(VLOOKUP(_xlfn.NUMBERVALUE(A38),[1]工作表1!$A:$D,4,FALSE)/1000,0)</f>
        <v>102</v>
      </c>
      <c r="F38" s="331"/>
      <c r="G38" s="366">
        <v>0</v>
      </c>
      <c r="H38" s="333" t="str">
        <f ca="1">IF(INDIRECT("'"&amp;$A38&amp;"'!"&amp;"$D$1")=$H$1,"","X")</f>
        <v>X</v>
      </c>
      <c r="I38" s="334" t="str">
        <f>IF(F38="","",(D38-F38)/F38)</f>
        <v/>
      </c>
      <c r="J38" s="335" t="e">
        <f ca="1">INDIRECT("'"&amp;$A38&amp;"'!"&amp;"$I$15")</f>
        <v>#VALUE!</v>
      </c>
      <c r="K38" s="336" t="e">
        <f ca="1">INDIRECT("'"&amp;$A38&amp;"'!"&amp;"$I$9")</f>
        <v>#VALUE!</v>
      </c>
      <c r="L38" s="336">
        <f ca="1">INDIRECT("'"&amp;$A38&amp;"'!"&amp;"$B$3")</f>
        <v>91.657857491341872</v>
      </c>
      <c r="M38" s="336">
        <f ca="1">INDIRECT("'"&amp;$A38&amp;"'!"&amp;"$B$4")</f>
        <v>80</v>
      </c>
      <c r="N38" s="336">
        <f ca="1">INDIRECT("'"&amp;$A38&amp;"'!"&amp;"$B$5")</f>
        <v>99.47697368421052</v>
      </c>
      <c r="O38" s="337" t="str">
        <f ca="1">INDIRECT("'"&amp;$A38&amp;"'!"&amp;"$I$6")</f>
        <v>連3月衰退</v>
      </c>
      <c r="P38" s="337" t="str">
        <f ca="1">INDIRECT("'"&amp;$A38&amp;"'!"&amp;"$K$6")</f>
        <v>連3季成長</v>
      </c>
      <c r="Q38" s="338">
        <f ca="1">INDIRECT("'"&amp;$A38&amp;"'!"&amp;"$N$3")</f>
        <v>9.2063736327317083E-2</v>
      </c>
      <c r="R38" s="338">
        <f ca="1">INDIRECT("'"&amp;$A38&amp;"'!"&amp;"$N$6")/INDIRECT("'"&amp;$A38&amp;"'!"&amp;"$N$5")-1</f>
        <v>2.5196905069750253E-2</v>
      </c>
      <c r="S38" s="324" t="str">
        <f ca="1">IF(D38&gt;INDIRECT("'"&amp;$A38&amp;"'!"&amp;"$I$3"),"",IF(AND(Q38&lt;0,R38&lt;0),"",IF(AND(Q38&lt;0,R38&gt;0),"轉機",IF(AND(Q38&gt;0,R38&lt;0),"",IF(AND(Q38&gt;=5%,R38&gt;=Q38),"OO","O")))))</f>
        <v/>
      </c>
      <c r="T38" s="332">
        <f>ROUND(策略!$I$14/$D38,0)</f>
        <v>1</v>
      </c>
      <c r="U38" s="334" t="e">
        <f ca="1">INDIRECT("'"&amp;$A38&amp;"'!"&amp;"$J$16")</f>
        <v>#VALUE!</v>
      </c>
      <c r="V38" s="339">
        <f ca="1">IF(ISERROR(INDIRECT("'"&amp;$A38&amp;"'!"&amp;"$D$4")),"",INDIRECT("'"&amp;$A38&amp;"'!"&amp;"$D$4"))</f>
        <v>6.9</v>
      </c>
      <c r="W38" s="340" t="str">
        <f>IF(F38="","",(D38-F38)*G38*1000)</f>
        <v/>
      </c>
      <c r="X38" s="341" t="str">
        <f>IF(F38="","",D38*G38*1000)</f>
        <v/>
      </c>
      <c r="Y38" s="341" t="str">
        <f>IF(F38="","",F38*G38*1000+MAX(ROUNDDOWN(F38*1000*0.145%*28%,0),20)*G38)</f>
        <v/>
      </c>
      <c r="Z38" s="341" t="str">
        <f>IF(G38&gt;0,MAX(ROUNDDOWN(D38*1000*0.145%*28%,0),20)*G38+ROUNDDOWN(F38*1000*0.3%*28%,0)*G38,"")</f>
        <v/>
      </c>
      <c r="AA38" s="336">
        <f ca="1">INDIRECT("'"&amp;$A38&amp;"'!"&amp;"$B$10")</f>
        <v>17.53</v>
      </c>
      <c r="AB38" s="336">
        <f ca="1">INDIRECT("'"&amp;$A38&amp;"'!"&amp;"$E$10")</f>
        <v>22.32</v>
      </c>
      <c r="AC38" s="337" t="str">
        <f>VLOOKUP(_xlfn.NUMBERVALUE(A38),[2]工作表1!$A:$G,7,FALSE)</f>
        <v>無保留意見</v>
      </c>
    </row>
    <row r="39" spans="1:29" ht="16.5" x14ac:dyDescent="0.25">
      <c r="A39" s="330">
        <v>3264</v>
      </c>
      <c r="B39" s="375" t="s">
        <v>410</v>
      </c>
      <c r="C39" s="369" t="s">
        <v>393</v>
      </c>
      <c r="D39" s="331">
        <f>VLOOKUP(_xlfn.NUMBERVALUE(A39),[1]工作表1!$A:$D,3,FALSE)</f>
        <v>31.05</v>
      </c>
      <c r="E39" s="332">
        <f>ROUND(VLOOKUP(_xlfn.NUMBERVALUE(A39),[1]工作表1!$A:$D,4,FALSE)/1000,0)</f>
        <v>14425</v>
      </c>
      <c r="F39" s="331"/>
      <c r="G39" s="366">
        <v>0</v>
      </c>
      <c r="H39" s="333" t="str">
        <f ca="1">IF(INDIRECT("'"&amp;$A39&amp;"'!"&amp;"$D$1")=$H$1,"","X")</f>
        <v>X</v>
      </c>
      <c r="I39" s="334" t="str">
        <f>IF(F39="","",(D39-F39)/F39)</f>
        <v/>
      </c>
      <c r="J39" s="335" t="e">
        <f ca="1">INDIRECT("'"&amp;$A39&amp;"'!"&amp;"$I$15")</f>
        <v>#VALUE!</v>
      </c>
      <c r="K39" s="336" t="e">
        <f ca="1">INDIRECT("'"&amp;$A39&amp;"'!"&amp;"$I$9")</f>
        <v>#VALUE!</v>
      </c>
      <c r="L39" s="336">
        <f ca="1">INDIRECT("'"&amp;$A39&amp;"'!"&amp;"$B$3")</f>
        <v>69.397505753670714</v>
      </c>
      <c r="M39" s="336">
        <f ca="1">INDIRECT("'"&amp;$A39&amp;"'!"&amp;"$B$4")</f>
        <v>76</v>
      </c>
      <c r="N39" s="336">
        <f ca="1">INDIRECT("'"&amp;$A39&amp;"'!"&amp;"$B$5")</f>
        <v>92.096124031007747</v>
      </c>
      <c r="O39" s="337" t="str">
        <f ca="1">INDIRECT("'"&amp;$A39&amp;"'!"&amp;"$I$6")</f>
        <v>連5月成長</v>
      </c>
      <c r="P39" s="337" t="str">
        <f ca="1">INDIRECT("'"&amp;$A39&amp;"'!"&amp;"$K$6")</f>
        <v>連3季成長</v>
      </c>
      <c r="Q39" s="338">
        <f ca="1">INDIRECT("'"&amp;$A39&amp;"'!"&amp;"$N$3")</f>
        <v>0.35848523272464311</v>
      </c>
      <c r="R39" s="338">
        <f ca="1">INDIRECT("'"&amp;$A39&amp;"'!"&amp;"$N$6")/INDIRECT("'"&amp;$A39&amp;"'!"&amp;"$N$5")-1</f>
        <v>0.18717134014289472</v>
      </c>
      <c r="S39" s="324" t="str">
        <f ca="1">IF(D39&gt;INDIRECT("'"&amp;$A39&amp;"'!"&amp;"$I$3"),"",IF(AND(Q39&lt;0,R39&lt;0),"",IF(AND(Q39&lt;0,R39&gt;0),"轉機",IF(AND(Q39&gt;0,R39&lt;0),"",IF(AND(Q39&gt;=5%,R39&gt;=Q39),"OO","O")))))</f>
        <v/>
      </c>
      <c r="T39" s="332">
        <f>ROUND(策略!$I$14/$D39,0)</f>
        <v>16</v>
      </c>
      <c r="U39" s="334" t="e">
        <f ca="1">INDIRECT("'"&amp;$A39&amp;"'!"&amp;"$J$16")</f>
        <v>#VALUE!</v>
      </c>
      <c r="V39" s="339">
        <f ca="1">IF(ISERROR(INDIRECT("'"&amp;$A39&amp;"'!"&amp;"$D$4")),"",INDIRECT("'"&amp;$A39&amp;"'!"&amp;"$D$4"))</f>
        <v>48.6</v>
      </c>
      <c r="W39" s="340" t="str">
        <f>IF(F39="","",(D39-F39)*G39*1000)</f>
        <v/>
      </c>
      <c r="X39" s="341" t="str">
        <f>IF(F39="","",D39*G39*1000)</f>
        <v/>
      </c>
      <c r="Y39" s="341" t="str">
        <f>IF(F39="","",F39*G39*1000+MAX(ROUNDDOWN(F39*1000*0.145%*28%,0),20)*G39)</f>
        <v/>
      </c>
      <c r="Z39" s="341" t="str">
        <f>IF(G39&gt;0,MAX(ROUNDDOWN(D39*1000*0.145%*28%,0),20)*G39+ROUNDDOWN(F39*1000*0.3%*28%,0)*G39,"")</f>
        <v/>
      </c>
      <c r="AA39" s="336">
        <f ca="1">INDIRECT("'"&amp;$A39&amp;"'!"&amp;"$B$10")</f>
        <v>10.24</v>
      </c>
      <c r="AB39" s="336">
        <f ca="1">INDIRECT("'"&amp;$A39&amp;"'!"&amp;"$E$10")</f>
        <v>12.225000000000001</v>
      </c>
      <c r="AC39" s="337" t="str">
        <f>VLOOKUP(_xlfn.NUMBERVALUE(A39),[2]工作表1!$A:$G,7,FALSE)</f>
        <v>無保留意見</v>
      </c>
    </row>
    <row r="40" spans="1:29" ht="16.5" x14ac:dyDescent="0.25">
      <c r="A40" s="330">
        <v>3416</v>
      </c>
      <c r="B40" s="375" t="s">
        <v>411</v>
      </c>
      <c r="C40" s="320"/>
      <c r="D40" s="331">
        <f>VLOOKUP(_xlfn.NUMBERVALUE(A40),[1]工作表1!$A:$D,3,FALSE)</f>
        <v>47.9</v>
      </c>
      <c r="E40" s="332">
        <f>ROUND(VLOOKUP(_xlfn.NUMBERVALUE(A40),[1]工作表1!$A:$D,4,FALSE)/1000,0)</f>
        <v>120</v>
      </c>
      <c r="F40" s="331"/>
      <c r="G40" s="366">
        <v>0</v>
      </c>
      <c r="H40" s="333" t="str">
        <f ca="1">IF(INDIRECT("'"&amp;$A40&amp;"'!"&amp;"$D$1")=$H$1,"","X")</f>
        <v>X</v>
      </c>
      <c r="I40" s="334" t="str">
        <f>IF(F40="","",(D40-F40)/F40)</f>
        <v/>
      </c>
      <c r="J40" s="335" t="e">
        <f ca="1">INDIRECT("'"&amp;$A40&amp;"'!"&amp;"$I$15")</f>
        <v>#DIV/0!</v>
      </c>
      <c r="K40" s="336">
        <f ca="1">INDIRECT("'"&amp;$A40&amp;"'!"&amp;"$I$9")</f>
        <v>0</v>
      </c>
      <c r="L40" s="336">
        <f ca="1">INDIRECT("'"&amp;$A40&amp;"'!"&amp;"$B$3")</f>
        <v>84.973890304995066</v>
      </c>
      <c r="M40" s="336">
        <f ca="1">INDIRECT("'"&amp;$A40&amp;"'!"&amp;"$B$4")</f>
        <v>74</v>
      </c>
      <c r="N40" s="336">
        <f ca="1">INDIRECT("'"&amp;$A40&amp;"'!"&amp;"$B$5")</f>
        <v>98.462437137330753</v>
      </c>
      <c r="O40" s="337" t="str">
        <f ca="1">INDIRECT("'"&amp;$A40&amp;"'!"&amp;"$I$6")</f>
        <v>上月衰退</v>
      </c>
      <c r="P40" s="337" t="str">
        <f ca="1">INDIRECT("'"&amp;$A40&amp;"'!"&amp;"$K$6")</f>
        <v>連3季衰退</v>
      </c>
      <c r="Q40" s="338">
        <f ca="1">INDIRECT("'"&amp;$A40&amp;"'!"&amp;"$N$3")</f>
        <v>-0.28523490651188166</v>
      </c>
      <c r="R40" s="338">
        <f ca="1">INDIRECT("'"&amp;$A40&amp;"'!"&amp;"$N$6")/INDIRECT("'"&amp;$A40&amp;"'!"&amp;"$N$5")-1</f>
        <v>0.18043125960015716</v>
      </c>
      <c r="S40" s="324" t="str">
        <f ca="1">IF(D40&gt;INDIRECT("'"&amp;$A40&amp;"'!"&amp;"$I$3"),"",IF(AND(Q40&lt;0,R40&lt;0),"",IF(AND(Q40&lt;0,R40&gt;0),"轉機",IF(AND(Q40&gt;0,R40&lt;0),"",IF(AND(Q40&gt;=5%,R40&gt;=Q40),"OO","O")))))</f>
        <v/>
      </c>
      <c r="T40" s="332">
        <f>ROUND(策略!$I$14/$D40,0)</f>
        <v>10</v>
      </c>
      <c r="U40" s="334">
        <f ca="1">INDIRECT("'"&amp;$A40&amp;"'!"&amp;"$J$16")</f>
        <v>-1</v>
      </c>
      <c r="V40" s="339">
        <f ca="1">IF(ISERROR(INDIRECT("'"&amp;$A40&amp;"'!"&amp;"$D$4")),"",INDIRECT("'"&amp;$A40&amp;"'!"&amp;"$D$4"))</f>
        <v>6.02</v>
      </c>
      <c r="W40" s="340" t="str">
        <f>IF(F40="","",(D40-F40)*G40*1000)</f>
        <v/>
      </c>
      <c r="X40" s="341" t="str">
        <f>IF(F40="","",D40*G40*1000)</f>
        <v/>
      </c>
      <c r="Y40" s="341" t="str">
        <f>IF(F40="","",F40*G40*1000+MAX(ROUNDDOWN(F40*1000*0.145%*28%,0),20)*G40)</f>
        <v/>
      </c>
      <c r="Z40" s="341" t="str">
        <f>IF(G40&gt;0,MAX(ROUNDDOWN(D40*1000*0.145%*28%,0),20)*G40+ROUNDDOWN(F40*1000*0.3%*28%,0)*G40,"")</f>
        <v/>
      </c>
      <c r="AA40" s="336">
        <f ca="1">INDIRECT("'"&amp;$A40&amp;"'!"&amp;"$B$10")</f>
        <v>12.76</v>
      </c>
      <c r="AB40" s="336">
        <f ca="1">INDIRECT("'"&amp;$A40&amp;"'!"&amp;"$E$10")</f>
        <v>14.965</v>
      </c>
      <c r="AC40" s="337" t="str">
        <f>VLOOKUP(_xlfn.NUMBERVALUE(A40),[2]工作表1!$A:$G,7,FALSE)</f>
        <v>無保留意見</v>
      </c>
    </row>
    <row r="41" spans="1:29" ht="16.5" x14ac:dyDescent="0.25">
      <c r="A41" s="330">
        <v>3443</v>
      </c>
      <c r="B41" s="375" t="s">
        <v>412</v>
      </c>
      <c r="C41" s="320"/>
      <c r="D41" s="331">
        <f>VLOOKUP(_xlfn.NUMBERVALUE(A41),[1]工作表1!$A:$D,3,FALSE)</f>
        <v>282</v>
      </c>
      <c r="E41" s="332">
        <f>ROUND(VLOOKUP(_xlfn.NUMBERVALUE(A41),[1]工作表1!$A:$D,4,FALSE)/1000,0)</f>
        <v>10155</v>
      </c>
      <c r="F41" s="331"/>
      <c r="G41" s="366">
        <v>0</v>
      </c>
      <c r="H41" s="333" t="str">
        <f ca="1">IF(INDIRECT("'"&amp;$A41&amp;"'!"&amp;"$D$1")=$H$1,"","X")</f>
        <v>X</v>
      </c>
      <c r="I41" s="334" t="str">
        <f>IF(F41="","",(D41-F41)/F41)</f>
        <v/>
      </c>
      <c r="J41" s="335" t="e">
        <f ca="1">INDIRECT("'"&amp;$A41&amp;"'!"&amp;"$I$15")</f>
        <v>#DIV/0!</v>
      </c>
      <c r="K41" s="336">
        <f ca="1">INDIRECT("'"&amp;$A41&amp;"'!"&amp;"$I$9")</f>
        <v>0</v>
      </c>
      <c r="L41" s="336">
        <f ca="1">INDIRECT("'"&amp;$A41&amp;"'!"&amp;"$B$3")</f>
        <v>91.743279628470859</v>
      </c>
      <c r="M41" s="336">
        <f ca="1">INDIRECT("'"&amp;$A41&amp;"'!"&amp;"$B$4")</f>
        <v>84</v>
      </c>
      <c r="N41" s="336">
        <f ca="1">INDIRECT("'"&amp;$A41&amp;"'!"&amp;"$B$5")</f>
        <v>88.227267573696153</v>
      </c>
      <c r="O41" s="337" t="str">
        <f ca="1">INDIRECT("'"&amp;$A41&amp;"'!"&amp;"$I$6")</f>
        <v>連5月成長</v>
      </c>
      <c r="P41" s="337" t="str">
        <f ca="1">INDIRECT("'"&amp;$A41&amp;"'!"&amp;"$K$6")</f>
        <v>連2季成長</v>
      </c>
      <c r="Q41" s="338">
        <f ca="1">INDIRECT("'"&amp;$A41&amp;"'!"&amp;"$N$3")</f>
        <v>0.23205562984704867</v>
      </c>
      <c r="R41" s="338">
        <f ca="1">INDIRECT("'"&amp;$A41&amp;"'!"&amp;"$N$6")/INDIRECT("'"&amp;$A41&amp;"'!"&amp;"$N$5")-1</f>
        <v>0.34609863867858692</v>
      </c>
      <c r="S41" s="324" t="str">
        <f ca="1">IF(D41&gt;INDIRECT("'"&amp;$A41&amp;"'!"&amp;"$I$3"),"",IF(AND(Q41&lt;0,R41&lt;0),"",IF(AND(Q41&lt;0,R41&gt;0),"轉機",IF(AND(Q41&gt;0,R41&lt;0),"",IF(AND(Q41&gt;=5%,R41&gt;=Q41),"OO","O")))))</f>
        <v/>
      </c>
      <c r="T41" s="332">
        <f>ROUND(策略!$I$14/$D41,0)</f>
        <v>2</v>
      </c>
      <c r="U41" s="334">
        <f ca="1">INDIRECT("'"&amp;$A41&amp;"'!"&amp;"$J$16")</f>
        <v>-1</v>
      </c>
      <c r="V41" s="339">
        <f ca="1">IF(ISERROR(INDIRECT("'"&amp;$A41&amp;"'!"&amp;"$D$4")),"",INDIRECT("'"&amp;$A41&amp;"'!"&amp;"$D$4"))</f>
        <v>13.4</v>
      </c>
      <c r="W41" s="340" t="str">
        <f>IF(F41="","",(D41-F41)*G41*1000)</f>
        <v/>
      </c>
      <c r="X41" s="341" t="str">
        <f>IF(F41="","",D41*G41*1000)</f>
        <v/>
      </c>
      <c r="Y41" s="341" t="str">
        <f>IF(F41="","",F41*G41*1000+MAX(ROUNDDOWN(F41*1000*0.145%*28%,0),20)*G41)</f>
        <v/>
      </c>
      <c r="Z41" s="341" t="str">
        <f>IF(G41&gt;0,MAX(ROUNDDOWN(D41*1000*0.145%*28%,0),20)*G41+ROUNDDOWN(F41*1000*0.3%*28%,0)*G41,"")</f>
        <v/>
      </c>
      <c r="AA41" s="336">
        <f ca="1">INDIRECT("'"&amp;$A41&amp;"'!"&amp;"$B$10")</f>
        <v>21.24</v>
      </c>
      <c r="AB41" s="336">
        <f ca="1">INDIRECT("'"&amp;$A41&amp;"'!"&amp;"$E$10")</f>
        <v>26.47</v>
      </c>
      <c r="AC41" s="337" t="str">
        <f>VLOOKUP(_xlfn.NUMBERVALUE(A41),[2]工作表1!$A:$G,7,FALSE)</f>
        <v>無保留意見</v>
      </c>
    </row>
    <row r="42" spans="1:29" x14ac:dyDescent="0.25">
      <c r="A42" s="330">
        <v>3450</v>
      </c>
      <c r="B42" s="320" t="s">
        <v>171</v>
      </c>
      <c r="C42" s="320"/>
      <c r="D42" s="331">
        <f>VLOOKUP(_xlfn.NUMBERVALUE(A42),[1]工作表1!$A:$D,3,FALSE)</f>
        <v>117</v>
      </c>
      <c r="E42" s="332">
        <f>ROUND(VLOOKUP(_xlfn.NUMBERVALUE(A42),[1]工作表1!$A:$D,4,FALSE)/1000,0)</f>
        <v>1707</v>
      </c>
      <c r="F42" s="331"/>
      <c r="G42" s="366">
        <v>0</v>
      </c>
      <c r="H42" s="333" t="str">
        <f ca="1">IF(INDIRECT("'"&amp;$A42&amp;"'!"&amp;"$D$1")=$H$1,"","X")</f>
        <v>X</v>
      </c>
      <c r="I42" s="334" t="str">
        <f>IF(F42="","",(D42-F42)/F42)</f>
        <v/>
      </c>
      <c r="J42" s="335" t="e">
        <f ca="1">INDIRECT("'"&amp;$A42&amp;"'!"&amp;"$I$15")</f>
        <v>#DIV/0!</v>
      </c>
      <c r="K42" s="336">
        <f ca="1">INDIRECT("'"&amp;$A42&amp;"'!"&amp;"$I$9")</f>
        <v>0</v>
      </c>
      <c r="L42" s="336">
        <f ca="1">INDIRECT("'"&amp;$A42&amp;"'!"&amp;"$B$3")</f>
        <v>86.306769749497363</v>
      </c>
      <c r="M42" s="336">
        <f ca="1">INDIRECT("'"&amp;$A42&amp;"'!"&amp;"$B$4")</f>
        <v>72</v>
      </c>
      <c r="N42" s="336">
        <f ca="1">INDIRECT("'"&amp;$A42&amp;"'!"&amp;"$B$5")</f>
        <v>97.291770573566083</v>
      </c>
      <c r="O42" s="337" t="str">
        <f ca="1">INDIRECT("'"&amp;$A42&amp;"'!"&amp;"$I$6")</f>
        <v>連5月衰退</v>
      </c>
      <c r="P42" s="337" t="str">
        <f ca="1">INDIRECT("'"&amp;$A42&amp;"'!"&amp;"$K$6")</f>
        <v>連3季衰退</v>
      </c>
      <c r="Q42" s="338">
        <f ca="1">INDIRECT("'"&amp;$A42&amp;"'!"&amp;"$N$3")</f>
        <v>-0.44344604146700473</v>
      </c>
      <c r="R42" s="338">
        <f ca="1">INDIRECT("'"&amp;$A42&amp;"'!"&amp;"$N$6")/INDIRECT("'"&amp;$A42&amp;"'!"&amp;"$N$5")-1</f>
        <v>-1.1510465247246193E-2</v>
      </c>
      <c r="S42" s="324" t="str">
        <f ca="1">IF(D42&gt;INDIRECT("'"&amp;$A42&amp;"'!"&amp;"$I$3"),"",IF(AND(Q42&lt;0,R42&lt;0),"",IF(AND(Q42&lt;0,R42&gt;0),"轉機",IF(AND(Q42&gt;0,R42&lt;0),"",IF(AND(Q42&gt;=5%,R42&gt;=Q42),"OO","O")))))</f>
        <v/>
      </c>
      <c r="T42" s="332">
        <f>ROUND(策略!$I$14/$D42,0)</f>
        <v>4</v>
      </c>
      <c r="U42" s="334">
        <f ca="1">INDIRECT("'"&amp;$A42&amp;"'!"&amp;"$J$16")</f>
        <v>-1</v>
      </c>
      <c r="V42" s="339">
        <f ca="1">IF(ISERROR(INDIRECT("'"&amp;$A42&amp;"'!"&amp;"$D$4")),"",INDIRECT("'"&amp;$A42&amp;"'!"&amp;"$D$4"))</f>
        <v>13.2</v>
      </c>
      <c r="W42" s="340" t="str">
        <f>IF(F42="","",(D42-F42)*G42*1000)</f>
        <v/>
      </c>
      <c r="X42" s="341" t="str">
        <f>IF(F42="","",D42*G42*1000)</f>
        <v/>
      </c>
      <c r="Y42" s="341" t="str">
        <f>IF(F42="","",F42*G42*1000+MAX(ROUNDDOWN(F42*1000*0.145%*28%,0),20)*G42)</f>
        <v/>
      </c>
      <c r="Z42" s="341" t="str">
        <f>IF(G42&gt;0,MAX(ROUNDDOWN(D42*1000*0.145%*28%,0),20)*G42+ROUNDDOWN(F42*1000*0.3%*28%,0)*G42,"")</f>
        <v/>
      </c>
      <c r="AA42" s="336">
        <f ca="1">INDIRECT("'"&amp;$A42&amp;"'!"&amp;"$B$10")</f>
        <v>11.07</v>
      </c>
      <c r="AB42" s="336">
        <f ca="1">INDIRECT("'"&amp;$A42&amp;"'!"&amp;"$E$10")</f>
        <v>14.71</v>
      </c>
      <c r="AC42" s="337" t="str">
        <f>VLOOKUP(_xlfn.NUMBERVALUE(A42),[2]工作表1!$A:$G,7,FALSE)</f>
        <v>無保留意見</v>
      </c>
    </row>
    <row r="43" spans="1:29" x14ac:dyDescent="0.25">
      <c r="A43" s="330">
        <v>3454</v>
      </c>
      <c r="B43" s="320" t="s">
        <v>381</v>
      </c>
      <c r="C43" s="320"/>
      <c r="D43" s="331">
        <f>VLOOKUP(_xlfn.NUMBERVALUE(A43),[1]工作表1!$A:$D,3,FALSE)</f>
        <v>85.2</v>
      </c>
      <c r="E43" s="332">
        <f>ROUND(VLOOKUP(_xlfn.NUMBERVALUE(A43),[1]工作表1!$A:$D,4,FALSE)/1000,0)</f>
        <v>185</v>
      </c>
      <c r="F43" s="331"/>
      <c r="G43" s="366">
        <v>0</v>
      </c>
      <c r="H43" s="333" t="str">
        <f ca="1">IF(INDIRECT("'"&amp;$A43&amp;"'!"&amp;"$D$1")=$H$1,"","X")</f>
        <v>X</v>
      </c>
      <c r="I43" s="334" t="str">
        <f>IF(F43="","",(D43-F43)/F43)</f>
        <v/>
      </c>
      <c r="J43" s="335" t="e">
        <f ca="1">INDIRECT("'"&amp;$A43&amp;"'!"&amp;"$I$15")</f>
        <v>#DIV/0!</v>
      </c>
      <c r="K43" s="336">
        <f ca="1">INDIRECT("'"&amp;$A43&amp;"'!"&amp;"$I$9")</f>
        <v>0</v>
      </c>
      <c r="L43" s="336">
        <f ca="1">INDIRECT("'"&amp;$A43&amp;"'!"&amp;"$B$3")</f>
        <v>78.524054982175102</v>
      </c>
      <c r="M43" s="336">
        <f ca="1">INDIRECT("'"&amp;$A43&amp;"'!"&amp;"$B$4")</f>
        <v>62</v>
      </c>
      <c r="N43" s="336">
        <f ca="1">INDIRECT("'"&amp;$A43&amp;"'!"&amp;"$B$5")</f>
        <v>98.296322489391798</v>
      </c>
      <c r="O43" s="337" t="str">
        <f ca="1">INDIRECT("'"&amp;$A43&amp;"'!"&amp;"$I$6")</f>
        <v>連5月成長</v>
      </c>
      <c r="P43" s="337" t="str">
        <f ca="1">INDIRECT("'"&amp;$A43&amp;"'!"&amp;"$K$6")</f>
        <v>單季成長</v>
      </c>
      <c r="Q43" s="338">
        <f ca="1">INDIRECT("'"&amp;$A43&amp;"'!"&amp;"$N$3")</f>
        <v>-0.17762560684476342</v>
      </c>
      <c r="R43" s="338">
        <f ca="1">INDIRECT("'"&amp;$A43&amp;"'!"&amp;"$N$6")/INDIRECT("'"&amp;$A43&amp;"'!"&amp;"$N$5")-1</f>
        <v>0.35421091345707678</v>
      </c>
      <c r="S43" s="324" t="str">
        <f ca="1">IF(D43&gt;INDIRECT("'"&amp;$A43&amp;"'!"&amp;"$I$3"),"",IF(AND(Q43&lt;0,R43&lt;0),"",IF(AND(Q43&lt;0,R43&gt;0),"轉機",IF(AND(Q43&gt;0,R43&lt;0),"",IF(AND(Q43&gt;=5%,R43&gt;=Q43),"OO","O")))))</f>
        <v/>
      </c>
      <c r="T43" s="332">
        <f>ROUND(策略!$I$14/$D43,0)</f>
        <v>6</v>
      </c>
      <c r="U43" s="334">
        <f ca="1">INDIRECT("'"&amp;$A43&amp;"'!"&amp;"$J$16")</f>
        <v>-1</v>
      </c>
      <c r="V43" s="339">
        <f ca="1">IF(ISERROR(INDIRECT("'"&amp;$A43&amp;"'!"&amp;"$D$4")),"",INDIRECT("'"&amp;$A43&amp;"'!"&amp;"$D$4"))</f>
        <v>8.1897500000000001</v>
      </c>
      <c r="W43" s="340" t="str">
        <f>IF(F43="","",(D43-F43)*G43*1000)</f>
        <v/>
      </c>
      <c r="X43" s="341" t="str">
        <f>IF(F43="","",D43*G43*1000)</f>
        <v/>
      </c>
      <c r="Y43" s="341" t="str">
        <f>IF(F43="","",F43*G43*1000+MAX(ROUNDDOWN(F43*1000*0.145%*28%,0),20)*G43)</f>
        <v/>
      </c>
      <c r="Z43" s="341" t="str">
        <f>IF(G43&gt;0,MAX(ROUNDDOWN(D43*1000*0.145%*28%,0),20)*G43+ROUNDDOWN(F43*1000*0.3%*28%,0)*G43,"")</f>
        <v/>
      </c>
      <c r="AA43" s="336">
        <f ca="1">INDIRECT("'"&amp;$A43&amp;"'!"&amp;"$B$10")</f>
        <v>13.04</v>
      </c>
      <c r="AB43" s="336">
        <f ca="1">INDIRECT("'"&amp;$A43&amp;"'!"&amp;"$E$10")</f>
        <v>15.08</v>
      </c>
      <c r="AC43" s="337" t="str">
        <f>VLOOKUP(_xlfn.NUMBERVALUE(A43),[2]工作表1!$A:$G,7,FALSE)</f>
        <v>無保留意見</v>
      </c>
    </row>
    <row r="44" spans="1:29" x14ac:dyDescent="0.25">
      <c r="A44" s="330">
        <v>3556</v>
      </c>
      <c r="B44" s="320" t="s">
        <v>298</v>
      </c>
      <c r="C44" s="369" t="s">
        <v>393</v>
      </c>
      <c r="D44" s="331">
        <f>VLOOKUP(_xlfn.NUMBERVALUE(A44),[1]工作表1!$A:$D,3,FALSE)</f>
        <v>50.5</v>
      </c>
      <c r="E44" s="332">
        <f>ROUND(VLOOKUP(_xlfn.NUMBERVALUE(A44),[1]工作表1!$A:$D,4,FALSE)/1000,0)</f>
        <v>254</v>
      </c>
      <c r="F44" s="331"/>
      <c r="G44" s="366">
        <v>0</v>
      </c>
      <c r="H44" s="333" t="str">
        <f ca="1">IF(INDIRECT("'"&amp;$A44&amp;"'!"&amp;"$D$1")=$H$1,"","X")</f>
        <v>X</v>
      </c>
      <c r="I44" s="334" t="str">
        <f>IF(F44="","",(D44-F44)/F44)</f>
        <v/>
      </c>
      <c r="J44" s="335" t="e">
        <f ca="1">INDIRECT("'"&amp;$A44&amp;"'!"&amp;"$I$15")</f>
        <v>#VALUE!</v>
      </c>
      <c r="K44" s="336" t="e">
        <f ca="1">INDIRECT("'"&amp;$A44&amp;"'!"&amp;"$I$9")</f>
        <v>#VALUE!</v>
      </c>
      <c r="L44" s="336">
        <f ca="1">INDIRECT("'"&amp;$A44&amp;"'!"&amp;"$B$3")</f>
        <v>85.392134292367544</v>
      </c>
      <c r="M44" s="336">
        <f ca="1">INDIRECT("'"&amp;$A44&amp;"'!"&amp;"$B$4")</f>
        <v>50</v>
      </c>
      <c r="N44" s="336">
        <f ca="1">INDIRECT("'"&amp;$A44&amp;"'!"&amp;"$B$5")</f>
        <v>99.29245283018868</v>
      </c>
      <c r="O44" s="337" t="str">
        <f ca="1">INDIRECT("'"&amp;$A44&amp;"'!"&amp;"$I$6")</f>
        <v>上月成長</v>
      </c>
      <c r="P44" s="337" t="str">
        <f ca="1">INDIRECT("'"&amp;$A44&amp;"'!"&amp;"$K$6")</f>
        <v>連2季成長</v>
      </c>
      <c r="Q44" s="338">
        <f ca="1">INDIRECT("'"&amp;$A44&amp;"'!"&amp;"$N$3")</f>
        <v>8.2042730901646016E-2</v>
      </c>
      <c r="R44" s="338">
        <f ca="1">INDIRECT("'"&amp;$A44&amp;"'!"&amp;"$N$6")/INDIRECT("'"&amp;$A44&amp;"'!"&amp;"$N$5")-1</f>
        <v>1.539397474748494E-2</v>
      </c>
      <c r="S44" s="324" t="str">
        <f ca="1">IF(D44&gt;INDIRECT("'"&amp;$A44&amp;"'!"&amp;"$I$3"),"",IF(AND(Q44&lt;0,R44&lt;0),"",IF(AND(Q44&lt;0,R44&gt;0),"轉機",IF(AND(Q44&gt;0,R44&lt;0),"",IF(AND(Q44&gt;=5%,R44&gt;=Q44),"OO","O")))))</f>
        <v/>
      </c>
      <c r="T44" s="332">
        <f>ROUND(策略!$I$14/$D44,0)</f>
        <v>10</v>
      </c>
      <c r="U44" s="334" t="e">
        <f ca="1">INDIRECT("'"&amp;$A44&amp;"'!"&amp;"$J$16")</f>
        <v>#VALUE!</v>
      </c>
      <c r="V44" s="339">
        <f ca="1">IF(ISERROR(INDIRECT("'"&amp;$A44&amp;"'!"&amp;"$D$4")),"",INDIRECT("'"&amp;$A44&amp;"'!"&amp;"$D$4"))</f>
        <v>5.9488000000000003</v>
      </c>
      <c r="W44" s="340" t="str">
        <f>IF(F44="","",(D44-F44)*G44*1000)</f>
        <v/>
      </c>
      <c r="X44" s="341" t="str">
        <f>IF(F44="","",D44*G44*1000)</f>
        <v/>
      </c>
      <c r="Y44" s="341" t="str">
        <f>IF(F44="","",F44*G44*1000+MAX(ROUNDDOWN(F44*1000*0.145%*28%,0),20)*G44)</f>
        <v/>
      </c>
      <c r="Z44" s="341" t="str">
        <f>IF(G44&gt;0,MAX(ROUNDDOWN(D44*1000*0.145%*28%,0),20)*G44+ROUNDDOWN(F44*1000*0.3%*28%,0)*G44,"")</f>
        <v/>
      </c>
      <c r="AA44" s="336">
        <f ca="1">INDIRECT("'"&amp;$A44&amp;"'!"&amp;"$B$10")</f>
        <v>11.94</v>
      </c>
      <c r="AB44" s="336">
        <f ca="1">INDIRECT("'"&amp;$A44&amp;"'!"&amp;"$E$10")</f>
        <v>14.620000000000001</v>
      </c>
      <c r="AC44" s="337" t="str">
        <f>VLOOKUP(_xlfn.NUMBERVALUE(A44),[2]工作表1!$A:$G,7,FALSE)</f>
        <v>無保留意見</v>
      </c>
    </row>
    <row r="45" spans="1:29" x14ac:dyDescent="0.25">
      <c r="A45" s="330">
        <v>3558</v>
      </c>
      <c r="B45" s="320" t="s">
        <v>294</v>
      </c>
      <c r="C45" s="369" t="s">
        <v>393</v>
      </c>
      <c r="D45" s="331">
        <f>VLOOKUP(_xlfn.NUMBERVALUE(A45),[1]工作表1!$A:$D,3,FALSE)</f>
        <v>115.5</v>
      </c>
      <c r="E45" s="332">
        <f>ROUND(VLOOKUP(_xlfn.NUMBERVALUE(A45),[1]工作表1!$A:$D,4,FALSE)/1000,0)</f>
        <v>141</v>
      </c>
      <c r="F45" s="331"/>
      <c r="G45" s="366">
        <v>0</v>
      </c>
      <c r="H45" s="333" t="str">
        <f ca="1">IF(INDIRECT("'"&amp;$A45&amp;"'!"&amp;"$D$1")=$H$1,"","X")</f>
        <v>X</v>
      </c>
      <c r="I45" s="334" t="str">
        <f>IF(F45="","",(D45-F45)/F45)</f>
        <v/>
      </c>
      <c r="J45" s="335" t="e">
        <f ca="1">INDIRECT("'"&amp;$A45&amp;"'!"&amp;"$I$15")</f>
        <v>#VALUE!</v>
      </c>
      <c r="K45" s="336" t="e">
        <f ca="1">INDIRECT("'"&amp;$A45&amp;"'!"&amp;"$I$9")</f>
        <v>#VALUE!</v>
      </c>
      <c r="L45" s="336">
        <f ca="1">INDIRECT("'"&amp;$A45&amp;"'!"&amp;"$B$3")</f>
        <v>94.493369055669604</v>
      </c>
      <c r="M45" s="336">
        <f ca="1">INDIRECT("'"&amp;$A45&amp;"'!"&amp;"$B$4")</f>
        <v>72</v>
      </c>
      <c r="N45" s="336">
        <f ca="1">INDIRECT("'"&amp;$A45&amp;"'!"&amp;"$B$5")</f>
        <v>97.193297122724601</v>
      </c>
      <c r="O45" s="337" t="str">
        <f ca="1">INDIRECT("'"&amp;$A45&amp;"'!"&amp;"$I$6")</f>
        <v>連5月成長</v>
      </c>
      <c r="P45" s="337" t="str">
        <f ca="1">INDIRECT("'"&amp;$A45&amp;"'!"&amp;"$K$6")</f>
        <v>單季成長</v>
      </c>
      <c r="Q45" s="338">
        <f ca="1">INDIRECT("'"&amp;$A45&amp;"'!"&amp;"$N$3")</f>
        <v>-0.17969019718368609</v>
      </c>
      <c r="R45" s="338">
        <f ca="1">INDIRECT("'"&amp;$A45&amp;"'!"&amp;"$N$6")/INDIRECT("'"&amp;$A45&amp;"'!"&amp;"$N$5")-1</f>
        <v>0.32157644152207809</v>
      </c>
      <c r="S45" s="324" t="str">
        <f ca="1">IF(D45&gt;INDIRECT("'"&amp;$A45&amp;"'!"&amp;"$I$3"),"",IF(AND(Q45&lt;0,R45&lt;0),"",IF(AND(Q45&lt;0,R45&gt;0),"轉機",IF(AND(Q45&gt;0,R45&lt;0),"",IF(AND(Q45&gt;=5%,R45&gt;=Q45),"OO","O")))))</f>
        <v>轉機</v>
      </c>
      <c r="T45" s="332">
        <f>ROUND(策略!$I$14/$D45,0)</f>
        <v>4</v>
      </c>
      <c r="U45" s="334" t="e">
        <f ca="1">INDIRECT("'"&amp;$A45&amp;"'!"&amp;"$J$16")</f>
        <v>#VALUE!</v>
      </c>
      <c r="V45" s="339">
        <f ca="1">IF(ISERROR(INDIRECT("'"&amp;$A45&amp;"'!"&amp;"$D$4")),"",INDIRECT("'"&amp;$A45&amp;"'!"&amp;"$D$4"))</f>
        <v>4.91</v>
      </c>
      <c r="W45" s="340" t="str">
        <f>IF(F45="","",(D45-F45)*G45*1000)</f>
        <v/>
      </c>
      <c r="X45" s="341" t="str">
        <f>IF(F45="","",D45*G45*1000)</f>
        <v/>
      </c>
      <c r="Y45" s="341" t="str">
        <f>IF(F45="","",F45*G45*1000+MAX(ROUNDDOWN(F45*1000*0.145%*28%,0),20)*G45)</f>
        <v/>
      </c>
      <c r="Z45" s="341" t="str">
        <f>IF(G45&gt;0,MAX(ROUNDDOWN(D45*1000*0.145%*28%,0),20)*G45+ROUNDDOWN(F45*1000*0.3%*28%,0)*G45,"")</f>
        <v/>
      </c>
      <c r="AA45" s="336">
        <f ca="1">INDIRECT("'"&amp;$A45&amp;"'!"&amp;"$B$10")</f>
        <v>12.102</v>
      </c>
      <c r="AB45" s="336">
        <f ca="1">INDIRECT("'"&amp;$A45&amp;"'!"&amp;"$E$10")</f>
        <v>15.692</v>
      </c>
      <c r="AC45" s="337" t="str">
        <f>VLOOKUP(_xlfn.NUMBERVALUE(A45),[2]工作表1!$A:$G,7,FALSE)</f>
        <v>無保留意見</v>
      </c>
    </row>
    <row r="46" spans="1:29" x14ac:dyDescent="0.25">
      <c r="A46" s="330">
        <v>3563</v>
      </c>
      <c r="B46" s="320" t="s">
        <v>369</v>
      </c>
      <c r="C46" s="369" t="s">
        <v>394</v>
      </c>
      <c r="D46" s="331">
        <f>VLOOKUP(_xlfn.NUMBERVALUE(A46),[1]工作表1!$A:$D,3,FALSE)</f>
        <v>257.5</v>
      </c>
      <c r="E46" s="332">
        <f>ROUND(VLOOKUP(_xlfn.NUMBERVALUE(A46),[1]工作表1!$A:$D,4,FALSE)/1000,0)</f>
        <v>2569</v>
      </c>
      <c r="F46" s="331"/>
      <c r="G46" s="366">
        <v>0</v>
      </c>
      <c r="H46" s="333" t="str">
        <f ca="1">IF(INDIRECT("'"&amp;$A46&amp;"'!"&amp;"$D$1")=$H$1,"","X")</f>
        <v>X</v>
      </c>
      <c r="I46" s="334" t="str">
        <f>IF(F46="","",(D46-F46)/F46)</f>
        <v/>
      </c>
      <c r="J46" s="335" t="e">
        <f ca="1">INDIRECT("'"&amp;$A46&amp;"'!"&amp;"$I$15")</f>
        <v>#VALUE!</v>
      </c>
      <c r="K46" s="336" t="e">
        <f ca="1">INDIRECT("'"&amp;$A46&amp;"'!"&amp;"$I$9")</f>
        <v>#VALUE!</v>
      </c>
      <c r="L46" s="336">
        <f ca="1">INDIRECT("'"&amp;$A46&amp;"'!"&amp;"$B$3")</f>
        <v>72.259736371914016</v>
      </c>
      <c r="M46" s="336">
        <f ca="1">INDIRECT("'"&amp;$A46&amp;"'!"&amp;"$B$4")</f>
        <v>76</v>
      </c>
      <c r="N46" s="336">
        <f ca="1">INDIRECT("'"&amp;$A46&amp;"'!"&amp;"$B$5")</f>
        <v>99.189817376867737</v>
      </c>
      <c r="O46" s="337" t="str">
        <f ca="1">INDIRECT("'"&amp;$A46&amp;"'!"&amp;"$I$6")</f>
        <v>連5月成長</v>
      </c>
      <c r="P46" s="337" t="str">
        <f ca="1">INDIRECT("'"&amp;$A46&amp;"'!"&amp;"$K$6")</f>
        <v>連3季成長</v>
      </c>
      <c r="Q46" s="338">
        <f ca="1">INDIRECT("'"&amp;$A46&amp;"'!"&amp;"$N$3")</f>
        <v>0.70743697075618661</v>
      </c>
      <c r="R46" s="338">
        <f ca="1">INDIRECT("'"&amp;$A46&amp;"'!"&amp;"$N$6")/INDIRECT("'"&amp;$A46&amp;"'!"&amp;"$N$5")-1</f>
        <v>0.4673718974402683</v>
      </c>
      <c r="S46" s="324" t="str">
        <f ca="1">IF(D46&gt;INDIRECT("'"&amp;$A46&amp;"'!"&amp;"$I$3"),"",IF(AND(Q46&lt;0,R46&lt;0),"",IF(AND(Q46&lt;0,R46&gt;0),"轉機",IF(AND(Q46&gt;0,R46&lt;0),"",IF(AND(Q46&gt;=5%,R46&gt;=Q46),"OO","O")))))</f>
        <v/>
      </c>
      <c r="T46" s="332">
        <f>ROUND(策略!$I$14/$D46,0)</f>
        <v>2</v>
      </c>
      <c r="U46" s="334" t="e">
        <f ca="1">INDIRECT("'"&amp;$A46&amp;"'!"&amp;"$J$16")</f>
        <v>#VALUE!</v>
      </c>
      <c r="V46" s="339">
        <f ca="1">IF(ISERROR(INDIRECT("'"&amp;$A46&amp;"'!"&amp;"$D$4")),"",INDIRECT("'"&amp;$A46&amp;"'!"&amp;"$D$4"))</f>
        <v>4.26</v>
      </c>
      <c r="W46" s="340" t="str">
        <f>IF(F46="","",(D46-F46)*G46*1000)</f>
        <v/>
      </c>
      <c r="X46" s="341" t="str">
        <f>IF(F46="","",D46*G46*1000)</f>
        <v/>
      </c>
      <c r="Y46" s="341" t="str">
        <f>IF(F46="","",F46*G46*1000+MAX(ROUNDDOWN(F46*1000*0.145%*28%,0),20)*G46)</f>
        <v/>
      </c>
      <c r="Z46" s="341" t="str">
        <f>IF(G46&gt;0,MAX(ROUNDDOWN(D46*1000*0.145%*28%,0),20)*G46+ROUNDDOWN(F46*1000*0.3%*28%,0)*G46,"")</f>
        <v/>
      </c>
      <c r="AA46" s="336">
        <f ca="1">INDIRECT("'"&amp;$A46&amp;"'!"&amp;"$B$10")</f>
        <v>10.74</v>
      </c>
      <c r="AB46" s="336">
        <f ca="1">INDIRECT("'"&amp;$A46&amp;"'!"&amp;"$E$10")</f>
        <v>14.375</v>
      </c>
      <c r="AC46" s="337" t="str">
        <f>VLOOKUP(_xlfn.NUMBERVALUE(A46),[2]工作表1!$A:$G,7,FALSE)</f>
        <v>無保留意見</v>
      </c>
    </row>
    <row r="47" spans="1:29" ht="16.5" x14ac:dyDescent="0.25">
      <c r="A47" s="330">
        <v>4103</v>
      </c>
      <c r="B47" s="375" t="s">
        <v>413</v>
      </c>
      <c r="C47" s="369" t="s">
        <v>393</v>
      </c>
      <c r="D47" s="331">
        <f>VLOOKUP(_xlfn.NUMBERVALUE(A47),[1]工作表1!$A:$D,3,FALSE)</f>
        <v>69.099999999999994</v>
      </c>
      <c r="E47" s="332">
        <f>ROUND(VLOOKUP(_xlfn.NUMBERVALUE(A47),[1]工作表1!$A:$D,4,FALSE)/1000,0)</f>
        <v>113</v>
      </c>
      <c r="F47" s="331"/>
      <c r="G47" s="366">
        <v>0</v>
      </c>
      <c r="H47" s="333" t="str">
        <f ca="1">IF(INDIRECT("'"&amp;$A47&amp;"'!"&amp;"$D$1")=$H$1,"","X")</f>
        <v>X</v>
      </c>
      <c r="I47" s="334" t="str">
        <f>IF(F47="","",(D47-F47)/F47)</f>
        <v/>
      </c>
      <c r="J47" s="335" t="e">
        <f ca="1">INDIRECT("'"&amp;$A47&amp;"'!"&amp;"$I$15")</f>
        <v>#VALUE!</v>
      </c>
      <c r="K47" s="336" t="e">
        <f ca="1">INDIRECT("'"&amp;$A47&amp;"'!"&amp;"$I$9")</f>
        <v>#VALUE!</v>
      </c>
      <c r="L47" s="336">
        <f ca="1">INDIRECT("'"&amp;$A47&amp;"'!"&amp;"$B$3")</f>
        <v>85.105684876781567</v>
      </c>
      <c r="M47" s="336">
        <f ca="1">INDIRECT("'"&amp;$A47&amp;"'!"&amp;"$B$4")</f>
        <v>80</v>
      </c>
      <c r="N47" s="336">
        <f ca="1">INDIRECT("'"&amp;$A47&amp;"'!"&amp;"$B$5")</f>
        <v>98.257555847568995</v>
      </c>
      <c r="O47" s="337" t="str">
        <f ca="1">INDIRECT("'"&amp;$A47&amp;"'!"&amp;"$I$6")</f>
        <v>上月成長</v>
      </c>
      <c r="P47" s="337" t="str">
        <f ca="1">INDIRECT("'"&amp;$A47&amp;"'!"&amp;"$K$6")</f>
        <v>單季衰退</v>
      </c>
      <c r="Q47" s="338">
        <f ca="1">INDIRECT("'"&amp;$A47&amp;"'!"&amp;"$N$3")</f>
        <v>-7.4091529012730528E-2</v>
      </c>
      <c r="R47" s="338">
        <f ca="1">INDIRECT("'"&amp;$A47&amp;"'!"&amp;"$N$6")/INDIRECT("'"&amp;$A47&amp;"'!"&amp;"$N$5")-1</f>
        <v>4.9223965394619595E-2</v>
      </c>
      <c r="S47" s="324" t="str">
        <f ca="1">IF(D47&gt;INDIRECT("'"&amp;$A47&amp;"'!"&amp;"$I$3"),"",IF(AND(Q47&lt;0,R47&lt;0),"",IF(AND(Q47&lt;0,R47&gt;0),"轉機",IF(AND(Q47&gt;0,R47&lt;0),"",IF(AND(Q47&gt;=5%,R47&gt;=Q47),"OO","O")))))</f>
        <v>轉機</v>
      </c>
      <c r="T47" s="332">
        <f>ROUND(策略!$I$14/$D47,0)</f>
        <v>7</v>
      </c>
      <c r="U47" s="334" t="e">
        <f ca="1">INDIRECT("'"&amp;$A47&amp;"'!"&amp;"$J$16")</f>
        <v>#VALUE!</v>
      </c>
      <c r="V47" s="339">
        <f ca="1">IF(ISERROR(INDIRECT("'"&amp;$A47&amp;"'!"&amp;"$D$4")),"",INDIRECT("'"&amp;$A47&amp;"'!"&amp;"$D$4"))</f>
        <v>11</v>
      </c>
      <c r="W47" s="340" t="str">
        <f>IF(F47="","",(D47-F47)*G47*1000)</f>
        <v/>
      </c>
      <c r="X47" s="341" t="str">
        <f>IF(F47="","",D47*G47*1000)</f>
        <v/>
      </c>
      <c r="Y47" s="341" t="str">
        <f>IF(F47="","",F47*G47*1000+MAX(ROUNDDOWN(F47*1000*0.145%*28%,0),20)*G47)</f>
        <v/>
      </c>
      <c r="Z47" s="341" t="str">
        <f>IF(G47&gt;0,MAX(ROUNDDOWN(D47*1000*0.145%*28%,0),20)*G47+ROUNDDOWN(F47*1000*0.3%*28%,0)*G47,"")</f>
        <v/>
      </c>
      <c r="AA47" s="336">
        <f ca="1">INDIRECT("'"&amp;$A47&amp;"'!"&amp;"$B$10")</f>
        <v>12.65</v>
      </c>
      <c r="AB47" s="336">
        <f ca="1">INDIRECT("'"&amp;$A47&amp;"'!"&amp;"$E$10")</f>
        <v>14.219999999999999</v>
      </c>
      <c r="AC47" s="337" t="str">
        <f>VLOOKUP(_xlfn.NUMBERVALUE(A47),[2]工作表1!$A:$G,7,FALSE)</f>
        <v>無保留意見</v>
      </c>
    </row>
    <row r="48" spans="1:29" x14ac:dyDescent="0.25">
      <c r="A48" s="330">
        <v>4126</v>
      </c>
      <c r="B48" s="320" t="s">
        <v>371</v>
      </c>
      <c r="C48" s="369" t="s">
        <v>393</v>
      </c>
      <c r="D48" s="331">
        <f>VLOOKUP(_xlfn.NUMBERVALUE(A48),[1]工作表1!$A:$D,3,FALSE)</f>
        <v>78</v>
      </c>
      <c r="E48" s="332">
        <f>ROUND(VLOOKUP(_xlfn.NUMBERVALUE(A48),[1]工作表1!$A:$D,4,FALSE)/1000,0)</f>
        <v>86</v>
      </c>
      <c r="F48" s="331"/>
      <c r="G48" s="366">
        <v>0</v>
      </c>
      <c r="H48" s="333" t="str">
        <f ca="1">IF(INDIRECT("'"&amp;$A48&amp;"'!"&amp;"$D$1")=$H$1,"","X")</f>
        <v>X</v>
      </c>
      <c r="I48" s="334" t="str">
        <f>IF(F48="","",(D48-F48)/F48)</f>
        <v/>
      </c>
      <c r="J48" s="335" t="e">
        <f ca="1">INDIRECT("'"&amp;$A48&amp;"'!"&amp;"$I$15")</f>
        <v>#VALUE!</v>
      </c>
      <c r="K48" s="336" t="e">
        <f ca="1">INDIRECT("'"&amp;$A48&amp;"'!"&amp;"$I$9")</f>
        <v>#VALUE!</v>
      </c>
      <c r="L48" s="336">
        <f ca="1">INDIRECT("'"&amp;$A48&amp;"'!"&amp;"$B$3")</f>
        <v>65.383079660636128</v>
      </c>
      <c r="M48" s="336">
        <f ca="1">INDIRECT("'"&amp;$A48&amp;"'!"&amp;"$B$4")</f>
        <v>84</v>
      </c>
      <c r="N48" s="336">
        <f ca="1">INDIRECT("'"&amp;$A48&amp;"'!"&amp;"$B$5")</f>
        <v>96.976190476190482</v>
      </c>
      <c r="O48" s="337" t="str">
        <f ca="1">INDIRECT("'"&amp;$A48&amp;"'!"&amp;"$I$6")</f>
        <v>連5月成長</v>
      </c>
      <c r="P48" s="337" t="str">
        <f ca="1">INDIRECT("'"&amp;$A48&amp;"'!"&amp;"$K$6")</f>
        <v>單季成長</v>
      </c>
      <c r="Q48" s="338">
        <f ca="1">INDIRECT("'"&amp;$A48&amp;"'!"&amp;"$N$3")</f>
        <v>-0.20059013547276425</v>
      </c>
      <c r="R48" s="338">
        <f ca="1">INDIRECT("'"&amp;$A48&amp;"'!"&amp;"$N$6")/INDIRECT("'"&amp;$A48&amp;"'!"&amp;"$N$5")-1</f>
        <v>0.19667532885241279</v>
      </c>
      <c r="S48" s="324" t="str">
        <f ca="1">IF(D48&gt;INDIRECT("'"&amp;$A48&amp;"'!"&amp;"$I$3"),"",IF(AND(Q48&lt;0,R48&lt;0),"",IF(AND(Q48&lt;0,R48&gt;0),"轉機",IF(AND(Q48&gt;0,R48&lt;0),"",IF(AND(Q48&gt;=5%,R48&gt;=Q48),"OO","O")))))</f>
        <v/>
      </c>
      <c r="T48" s="332">
        <f>ROUND(策略!$I$14/$D48,0)</f>
        <v>6</v>
      </c>
      <c r="U48" s="334" t="e">
        <f ca="1">INDIRECT("'"&amp;$A48&amp;"'!"&amp;"$J$16")</f>
        <v>#VALUE!</v>
      </c>
      <c r="V48" s="339">
        <f ca="1">IF(ISERROR(INDIRECT("'"&amp;$A48&amp;"'!"&amp;"$D$4")),"",INDIRECT("'"&amp;$A48&amp;"'!"&amp;"$D$4"))</f>
        <v>6.6</v>
      </c>
      <c r="W48" s="340" t="str">
        <f>IF(F48="","",(D48-F48)*G48*1000)</f>
        <v/>
      </c>
      <c r="X48" s="341" t="str">
        <f>IF(F48="","",D48*G48*1000)</f>
        <v/>
      </c>
      <c r="Y48" s="341" t="str">
        <f>IF(F48="","",F48*G48*1000+MAX(ROUNDDOWN(F48*1000*0.145%*28%,0),20)*G48)</f>
        <v/>
      </c>
      <c r="Z48" s="341" t="str">
        <f>IF(G48&gt;0,MAX(ROUNDDOWN(D48*1000*0.145%*28%,0),20)*G48+ROUNDDOWN(F48*1000*0.3%*28%,0)*G48,"")</f>
        <v/>
      </c>
      <c r="AA48" s="336">
        <f ca="1">INDIRECT("'"&amp;$A48&amp;"'!"&amp;"$B$10")</f>
        <v>14.51</v>
      </c>
      <c r="AB48" s="336">
        <f ca="1">INDIRECT("'"&amp;$A48&amp;"'!"&amp;"$E$10")</f>
        <v>18.100000000000001</v>
      </c>
      <c r="AC48" s="337" t="str">
        <f>VLOOKUP(_xlfn.NUMBERVALUE(A48),[2]工作表1!$A:$G,7,FALSE)</f>
        <v>無保留意見</v>
      </c>
    </row>
    <row r="49" spans="1:29" ht="16.5" x14ac:dyDescent="0.25">
      <c r="A49" s="330">
        <v>4163</v>
      </c>
      <c r="B49" s="375" t="s">
        <v>414</v>
      </c>
      <c r="C49" s="369" t="s">
        <v>393</v>
      </c>
      <c r="D49" s="331">
        <f>VLOOKUP(_xlfn.NUMBERVALUE(A49),[1]工作表1!$A:$D,3,FALSE)</f>
        <v>88</v>
      </c>
      <c r="E49" s="332">
        <f>ROUND(VLOOKUP(_xlfn.NUMBERVALUE(A49),[1]工作表1!$A:$D,4,FALSE)/1000,0)</f>
        <v>212</v>
      </c>
      <c r="F49" s="331"/>
      <c r="G49" s="366">
        <v>0</v>
      </c>
      <c r="H49" s="333" t="str">
        <f ca="1">IF(INDIRECT("'"&amp;$A49&amp;"'!"&amp;"$D$1")=$H$1,"","X")</f>
        <v>X</v>
      </c>
      <c r="I49" s="334" t="str">
        <f>IF(F49="","",(D49-F49)/F49)</f>
        <v/>
      </c>
      <c r="J49" s="335" t="e">
        <f ca="1">INDIRECT("'"&amp;$A49&amp;"'!"&amp;"$I$15")</f>
        <v>#VALUE!</v>
      </c>
      <c r="K49" s="336" t="e">
        <f ca="1">INDIRECT("'"&amp;$A49&amp;"'!"&amp;"$I$9")</f>
        <v>#VALUE!</v>
      </c>
      <c r="L49" s="336">
        <f ca="1">INDIRECT("'"&amp;$A49&amp;"'!"&amp;"$B$3")</f>
        <v>79.592054205404139</v>
      </c>
      <c r="M49" s="336">
        <f ca="1">INDIRECT("'"&amp;$A49&amp;"'!"&amp;"$B$4")</f>
        <v>90</v>
      </c>
      <c r="N49" s="336">
        <f ca="1">INDIRECT("'"&amp;$A49&amp;"'!"&amp;"$B$5")</f>
        <v>98.104104104104096</v>
      </c>
      <c r="O49" s="337" t="str">
        <f ca="1">INDIRECT("'"&amp;$A49&amp;"'!"&amp;"$I$6")</f>
        <v>上月衰退</v>
      </c>
      <c r="P49" s="337" t="str">
        <f ca="1">INDIRECT("'"&amp;$A49&amp;"'!"&amp;"$K$6")</f>
        <v>連3季衰退</v>
      </c>
      <c r="Q49" s="338">
        <f ca="1">INDIRECT("'"&amp;$A49&amp;"'!"&amp;"$N$3")</f>
        <v>-0.52141661632735303</v>
      </c>
      <c r="R49" s="338">
        <f ca="1">INDIRECT("'"&amp;$A49&amp;"'!"&amp;"$N$6")/INDIRECT("'"&amp;$A49&amp;"'!"&amp;"$N$5")-1</f>
        <v>7.5872340053492193E-2</v>
      </c>
      <c r="S49" s="324" t="str">
        <f ca="1">IF(D49&gt;INDIRECT("'"&amp;$A49&amp;"'!"&amp;"$I$3"),"",IF(AND(Q49&lt;0,R49&lt;0),"",IF(AND(Q49&lt;0,R49&gt;0),"轉機",IF(AND(Q49&gt;0,R49&lt;0),"",IF(AND(Q49&gt;=5%,R49&gt;=Q49),"OO","O")))))</f>
        <v/>
      </c>
      <c r="T49" s="332">
        <f>ROUND(策略!$I$14/$D49,0)</f>
        <v>6</v>
      </c>
      <c r="U49" s="334" t="e">
        <f ca="1">INDIRECT("'"&amp;$A49&amp;"'!"&amp;"$J$16")</f>
        <v>#VALUE!</v>
      </c>
      <c r="V49" s="339">
        <f ca="1">IF(ISERROR(INDIRECT("'"&amp;$A49&amp;"'!"&amp;"$D$4")),"",INDIRECT("'"&amp;$A49&amp;"'!"&amp;"$D$4"))</f>
        <v>4.0199999999999996</v>
      </c>
      <c r="W49" s="340" t="str">
        <f>IF(F49="","",(D49-F49)*G49*1000)</f>
        <v/>
      </c>
      <c r="X49" s="341" t="str">
        <f>IF(F49="","",D49*G49*1000)</f>
        <v/>
      </c>
      <c r="Y49" s="341" t="str">
        <f>IF(F49="","",F49*G49*1000+MAX(ROUNDDOWN(F49*1000*0.145%*28%,0),20)*G49)</f>
        <v/>
      </c>
      <c r="Z49" s="341" t="str">
        <f>IF(G49&gt;0,MAX(ROUNDDOWN(D49*1000*0.145%*28%,0),20)*G49+ROUNDDOWN(F49*1000*0.3%*28%,0)*G49,"")</f>
        <v/>
      </c>
      <c r="AA49" s="336">
        <f ca="1">INDIRECT("'"&amp;$A49&amp;"'!"&amp;"$B$10")</f>
        <v>16.739999999999998</v>
      </c>
      <c r="AB49" s="336">
        <f ca="1">INDIRECT("'"&amp;$A49&amp;"'!"&amp;"$E$10")</f>
        <v>22.251999999999999</v>
      </c>
      <c r="AC49" s="337" t="str">
        <f>VLOOKUP(_xlfn.NUMBERVALUE(A49),[2]工作表1!$A:$G,7,FALSE)</f>
        <v>無保留意見</v>
      </c>
    </row>
    <row r="50" spans="1:29" ht="16.5" x14ac:dyDescent="0.25">
      <c r="A50" s="330">
        <v>4205</v>
      </c>
      <c r="B50" s="375" t="s">
        <v>415</v>
      </c>
      <c r="C50" s="369" t="s">
        <v>393</v>
      </c>
      <c r="D50" s="331">
        <f>VLOOKUP(_xlfn.NUMBERVALUE(A50),[1]工作表1!$A:$D,3,FALSE)</f>
        <v>61.5</v>
      </c>
      <c r="E50" s="332">
        <f>ROUND(VLOOKUP(_xlfn.NUMBERVALUE(A50),[1]工作表1!$A:$D,4,FALSE)/1000,0)</f>
        <v>21</v>
      </c>
      <c r="F50" s="331"/>
      <c r="G50" s="366">
        <v>0</v>
      </c>
      <c r="H50" s="333" t="str">
        <f ca="1">IF(INDIRECT("'"&amp;$A50&amp;"'!"&amp;"$D$1")=$H$1,"","X")</f>
        <v/>
      </c>
      <c r="I50" s="334" t="str">
        <f>IF(F50="","",(D50-F50)/F50)</f>
        <v/>
      </c>
      <c r="J50" s="335" t="e">
        <f ca="1">INDIRECT("'"&amp;$A50&amp;"'!"&amp;"$I$15")</f>
        <v>#VALUE!</v>
      </c>
      <c r="K50" s="336" t="e">
        <f ca="1">INDIRECT("'"&amp;$A50&amp;"'!"&amp;"$I$9")</f>
        <v>#VALUE!</v>
      </c>
      <c r="L50" s="336">
        <f ca="1">INDIRECT("'"&amp;$A50&amp;"'!"&amp;"$B$3")</f>
        <v>91.110986362627614</v>
      </c>
      <c r="M50" s="336">
        <f ca="1">INDIRECT("'"&amp;$A50&amp;"'!"&amp;"$B$4")</f>
        <v>82</v>
      </c>
      <c r="N50" s="336">
        <f ca="1">INDIRECT("'"&amp;$A50&amp;"'!"&amp;"$B$5")</f>
        <v>97.31505807814149</v>
      </c>
      <c r="O50" s="337" t="str">
        <f ca="1">INDIRECT("'"&amp;$A50&amp;"'!"&amp;"$I$6")</f>
        <v>連2月成長</v>
      </c>
      <c r="P50" s="337" t="str">
        <f ca="1">INDIRECT("'"&amp;$A50&amp;"'!"&amp;"$K$6")</f>
        <v>單季衰退</v>
      </c>
      <c r="Q50" s="338">
        <f ca="1">INDIRECT("'"&amp;$A50&amp;"'!"&amp;"$N$3")</f>
        <v>4.0329752454224752E-2</v>
      </c>
      <c r="R50" s="338">
        <f ca="1">INDIRECT("'"&amp;$A50&amp;"'!"&amp;"$N$6")/INDIRECT("'"&amp;$A50&amp;"'!"&amp;"$N$5")-1</f>
        <v>7.4057498736192384E-2</v>
      </c>
      <c r="S50" s="324" t="str">
        <f ca="1">IF(D50&gt;INDIRECT("'"&amp;$A50&amp;"'!"&amp;"$I$3"),"",IF(AND(Q50&lt;0,R50&lt;0),"",IF(AND(Q50&lt;0,R50&gt;0),"轉機",IF(AND(Q50&gt;0,R50&lt;0),"",IF(AND(Q50&gt;=5%,R50&gt;=Q50),"OO","O")))))</f>
        <v/>
      </c>
      <c r="T50" s="332">
        <f>ROUND(策略!$I$14/$D50,0)</f>
        <v>8</v>
      </c>
      <c r="U50" s="334" t="e">
        <f ca="1">INDIRECT("'"&amp;$A50&amp;"'!"&amp;"$J$16")</f>
        <v>#VALUE!</v>
      </c>
      <c r="V50" s="339">
        <f ca="1">IF(ISERROR(INDIRECT("'"&amp;$A50&amp;"'!"&amp;"$D$4")),"",INDIRECT("'"&amp;$A50&amp;"'!"&amp;"$D$4"))</f>
        <v>8.069700000000001</v>
      </c>
      <c r="W50" s="340" t="str">
        <f>IF(F50="","",(D50-F50)*G50*1000)</f>
        <v/>
      </c>
      <c r="X50" s="341" t="str">
        <f>IF(F50="","",D50*G50*1000)</f>
        <v/>
      </c>
      <c r="Y50" s="341" t="str">
        <f>IF(F50="","",F50*G50*1000+MAX(ROUNDDOWN(F50*1000*0.145%*28%,0),20)*G50)</f>
        <v/>
      </c>
      <c r="Z50" s="341" t="str">
        <f>IF(G50&gt;0,MAX(ROUNDDOWN(D50*1000*0.145%*28%,0),20)*G50+ROUNDDOWN(F50*1000*0.3%*28%,0)*G50,"")</f>
        <v/>
      </c>
      <c r="AA50" s="336">
        <f ca="1">INDIRECT("'"&amp;$A50&amp;"'!"&amp;"$B$10")</f>
        <v>16.3</v>
      </c>
      <c r="AB50" s="336">
        <f ca="1">INDIRECT("'"&amp;$A50&amp;"'!"&amp;"$E$10")</f>
        <v>19.945</v>
      </c>
      <c r="AC50" s="337" t="str">
        <f>VLOOKUP(_xlfn.NUMBERVALUE(A50),[2]工作表1!$A:$G,7,FALSE)</f>
        <v>無保留意見</v>
      </c>
    </row>
    <row r="51" spans="1:29" ht="16.5" x14ac:dyDescent="0.25">
      <c r="A51" s="330">
        <v>4401</v>
      </c>
      <c r="B51" s="375" t="s">
        <v>416</v>
      </c>
      <c r="C51" s="369" t="s">
        <v>393</v>
      </c>
      <c r="D51" s="331">
        <f>VLOOKUP(_xlfn.NUMBERVALUE(A51),[1]工作表1!$A:$D,3,FALSE)</f>
        <v>70.3</v>
      </c>
      <c r="E51" s="332">
        <f>ROUND(VLOOKUP(_xlfn.NUMBERVALUE(A51),[1]工作表1!$A:$D,4,FALSE)/1000,0)</f>
        <v>30</v>
      </c>
      <c r="F51" s="331"/>
      <c r="G51" s="366">
        <v>0</v>
      </c>
      <c r="H51" s="333" t="str">
        <f ca="1">IF(INDIRECT("'"&amp;$A51&amp;"'!"&amp;"$D$1")=$H$1,"","X")</f>
        <v>X</v>
      </c>
      <c r="I51" s="334" t="str">
        <f>IF(F51="","",(D51-F51)/F51)</f>
        <v/>
      </c>
      <c r="J51" s="335" t="e">
        <f ca="1">INDIRECT("'"&amp;$A51&amp;"'!"&amp;"$I$15")</f>
        <v>#VALUE!</v>
      </c>
      <c r="K51" s="336" t="e">
        <f ca="1">INDIRECT("'"&amp;$A51&amp;"'!"&amp;"$I$9")</f>
        <v>#VALUE!</v>
      </c>
      <c r="L51" s="336">
        <f ca="1">INDIRECT("'"&amp;$A51&amp;"'!"&amp;"$B$3")</f>
        <v>70.421611294228427</v>
      </c>
      <c r="M51" s="336">
        <f ca="1">INDIRECT("'"&amp;$A51&amp;"'!"&amp;"$B$4")</f>
        <v>72</v>
      </c>
      <c r="N51" s="336">
        <f ca="1">INDIRECT("'"&amp;$A51&amp;"'!"&amp;"$B$5")</f>
        <v>94.488815642458107</v>
      </c>
      <c r="O51" s="337" t="str">
        <f ca="1">INDIRECT("'"&amp;$A51&amp;"'!"&amp;"$I$6")</f>
        <v>上月成長</v>
      </c>
      <c r="P51" s="337" t="str">
        <f ca="1">INDIRECT("'"&amp;$A51&amp;"'!"&amp;"$K$6")</f>
        <v>單季衰退</v>
      </c>
      <c r="Q51" s="338">
        <f ca="1">INDIRECT("'"&amp;$A51&amp;"'!"&amp;"$N$3")</f>
        <v>6.4622417066293167E-2</v>
      </c>
      <c r="R51" s="338">
        <f ca="1">INDIRECT("'"&amp;$A51&amp;"'!"&amp;"$N$6")/INDIRECT("'"&amp;$A51&amp;"'!"&amp;"$N$5")-1</f>
        <v>6.5272116951474501E-2</v>
      </c>
      <c r="S51" s="324" t="str">
        <f ca="1">IF(D51&gt;INDIRECT("'"&amp;$A51&amp;"'!"&amp;"$I$3"),"",IF(AND(Q51&lt;0,R51&lt;0),"",IF(AND(Q51&lt;0,R51&gt;0),"轉機",IF(AND(Q51&gt;0,R51&lt;0),"",IF(AND(Q51&gt;=5%,R51&gt;=Q51),"OO","O")))))</f>
        <v>OO</v>
      </c>
      <c r="T51" s="332">
        <f>ROUND(策略!$I$14/$D51,0)</f>
        <v>7</v>
      </c>
      <c r="U51" s="334" t="e">
        <f ca="1">INDIRECT("'"&amp;$A51&amp;"'!"&amp;"$J$16")</f>
        <v>#VALUE!</v>
      </c>
      <c r="V51" s="339">
        <f ca="1">IF(ISERROR(INDIRECT("'"&amp;$A51&amp;"'!"&amp;"$D$4")),"",INDIRECT("'"&amp;$A51&amp;"'!"&amp;"$D$4"))</f>
        <v>12</v>
      </c>
      <c r="W51" s="340" t="str">
        <f>IF(F51="","",(D51-F51)*G51*1000)</f>
        <v/>
      </c>
      <c r="X51" s="341" t="str">
        <f>IF(F51="","",D51*G51*1000)</f>
        <v/>
      </c>
      <c r="Y51" s="341" t="str">
        <f>IF(F51="","",F51*G51*1000+MAX(ROUNDDOWN(F51*1000*0.145%*28%,0),20)*G51)</f>
        <v/>
      </c>
      <c r="Z51" s="341" t="str">
        <f>IF(G51&gt;0,MAX(ROUNDDOWN(D51*1000*0.145%*28%,0),20)*G51+ROUNDDOWN(F51*1000*0.3%*28%,0)*G51,"")</f>
        <v/>
      </c>
      <c r="AA51" s="336">
        <f ca="1">INDIRECT("'"&amp;$A51&amp;"'!"&amp;"$B$10")</f>
        <v>15.19</v>
      </c>
      <c r="AB51" s="336">
        <f ca="1">INDIRECT("'"&amp;$A51&amp;"'!"&amp;"$E$10")</f>
        <v>20.71</v>
      </c>
      <c r="AC51" s="337" t="str">
        <f>VLOOKUP(_xlfn.NUMBERVALUE(A51),[2]工作表1!$A:$G,7,FALSE)</f>
        <v>無保留意見</v>
      </c>
    </row>
    <row r="52" spans="1:29" x14ac:dyDescent="0.25">
      <c r="A52" s="343">
        <v>4706</v>
      </c>
      <c r="B52" s="345" t="s">
        <v>350</v>
      </c>
      <c r="C52" s="369" t="s">
        <v>393</v>
      </c>
      <c r="D52" s="331">
        <f>VLOOKUP(_xlfn.NUMBERVALUE(A52),[1]工作表1!$A:$D,3,FALSE)</f>
        <v>20.95</v>
      </c>
      <c r="E52" s="332">
        <f>ROUND(VLOOKUP(_xlfn.NUMBERVALUE(A52),[1]工作表1!$A:$D,4,FALSE)/1000,0)</f>
        <v>30</v>
      </c>
      <c r="F52" s="331"/>
      <c r="G52" s="366">
        <v>0</v>
      </c>
      <c r="H52" s="333" t="str">
        <f ca="1">IF(INDIRECT("'"&amp;$A52&amp;"'!"&amp;"$D$1")=$H$1,"","X")</f>
        <v>X</v>
      </c>
      <c r="I52" s="334" t="str">
        <f>IF(F52="","",(D52-F52)/F52)</f>
        <v/>
      </c>
      <c r="J52" s="335" t="e">
        <f ca="1">INDIRECT("'"&amp;$A52&amp;"'!"&amp;"$I$15")</f>
        <v>#VALUE!</v>
      </c>
      <c r="K52" s="336" t="e">
        <f ca="1">INDIRECT("'"&amp;$A52&amp;"'!"&amp;"$I$9")</f>
        <v>#VALUE!</v>
      </c>
      <c r="L52" s="336">
        <f ca="1">INDIRECT("'"&amp;$A52&amp;"'!"&amp;"$B$3")</f>
        <v>88.797745530067047</v>
      </c>
      <c r="M52" s="336">
        <f ca="1">INDIRECT("'"&amp;$A52&amp;"'!"&amp;"$B$4")</f>
        <v>60</v>
      </c>
      <c r="N52" s="336">
        <f ca="1">INDIRECT("'"&amp;$A52&amp;"'!"&amp;"$B$5")</f>
        <v>78.624052631578934</v>
      </c>
      <c r="O52" s="337" t="str">
        <f ca="1">INDIRECT("'"&amp;$A52&amp;"'!"&amp;"$I$6")</f>
        <v>上月衰退</v>
      </c>
      <c r="P52" s="337" t="str">
        <f ca="1">INDIRECT("'"&amp;$A52&amp;"'!"&amp;"$K$6")</f>
        <v>單季成長</v>
      </c>
      <c r="Q52" s="338">
        <f ca="1">INDIRECT("'"&amp;$A52&amp;"'!"&amp;"$N$3")</f>
        <v>-0.11195121737082037</v>
      </c>
      <c r="R52" s="338">
        <f ca="1">INDIRECT("'"&amp;$A52&amp;"'!"&amp;"$N$6")/INDIRECT("'"&amp;$A52&amp;"'!"&amp;"$N$5")-1</f>
        <v>5.8765942982298869E-2</v>
      </c>
      <c r="S52" s="324" t="str">
        <f ca="1">IF(D52&gt;INDIRECT("'"&amp;$A52&amp;"'!"&amp;"$I$3"),"",IF(AND(Q52&lt;0,R52&lt;0),"",IF(AND(Q52&lt;0,R52&gt;0),"轉機",IF(AND(Q52&gt;0,R52&lt;0),"",IF(AND(Q52&gt;=5%,R52&gt;=Q52),"OO","O")))))</f>
        <v>轉機</v>
      </c>
      <c r="T52" s="332">
        <f>ROUND(策略!$I$14/$D52,0)</f>
        <v>23</v>
      </c>
      <c r="U52" s="334" t="e">
        <f ca="1">INDIRECT("'"&amp;$A52&amp;"'!"&amp;"$J$16")</f>
        <v>#VALUE!</v>
      </c>
      <c r="V52" s="339">
        <f ca="1">IF(ISERROR(INDIRECT("'"&amp;$A52&amp;"'!"&amp;"$D$4")),"",INDIRECT("'"&amp;$A52&amp;"'!"&amp;"$D$4"))</f>
        <v>7.9</v>
      </c>
      <c r="W52" s="340" t="str">
        <f>IF(F52="","",(D52-F52)*G52*1000)</f>
        <v/>
      </c>
      <c r="X52" s="341" t="str">
        <f>IF(F52="","",D52*G52*1000)</f>
        <v/>
      </c>
      <c r="Y52" s="341" t="str">
        <f>IF(F52="","",F52*G52*1000+MAX(ROUNDDOWN(F52*1000*0.145%*28%,0),20)*G52)</f>
        <v/>
      </c>
      <c r="Z52" s="341" t="str">
        <f>IF(G52&gt;0,MAX(ROUNDDOWN(D52*1000*0.145%*28%,0),20)*G52+ROUNDDOWN(F52*1000*0.3%*28%,0)*G52,"")</f>
        <v/>
      </c>
      <c r="AA52" s="336">
        <f ca="1">INDIRECT("'"&amp;$A52&amp;"'!"&amp;"$B$10")</f>
        <v>11.15</v>
      </c>
      <c r="AB52" s="336">
        <f ca="1">INDIRECT("'"&amp;$A52&amp;"'!"&amp;"$E$10")</f>
        <v>14.305</v>
      </c>
      <c r="AC52" s="337" t="str">
        <f>VLOOKUP(_xlfn.NUMBERVALUE(A52),[2]工作表1!$A:$G,7,FALSE)</f>
        <v>無保留意見</v>
      </c>
    </row>
    <row r="53" spans="1:29" x14ac:dyDescent="0.25">
      <c r="A53" s="330">
        <v>4915</v>
      </c>
      <c r="B53" s="320" t="s">
        <v>337</v>
      </c>
      <c r="C53" s="320"/>
      <c r="D53" s="331">
        <f>VLOOKUP(_xlfn.NUMBERVALUE(A53),[1]工作表1!$A:$D,3,FALSE)</f>
        <v>74.599999999999994</v>
      </c>
      <c r="E53" s="332">
        <f>ROUND(VLOOKUP(_xlfn.NUMBERVALUE(A53),[1]工作表1!$A:$D,4,FALSE)/1000,0)</f>
        <v>3209</v>
      </c>
      <c r="F53" s="331"/>
      <c r="G53" s="366">
        <v>0</v>
      </c>
      <c r="H53" s="333" t="str">
        <f ca="1">IF(INDIRECT("'"&amp;$A53&amp;"'!"&amp;"$D$1")=$H$1,"","X")</f>
        <v>X</v>
      </c>
      <c r="I53" s="334" t="str">
        <f>IF(F53="","",(D53-F53)/F53)</f>
        <v/>
      </c>
      <c r="J53" s="335" t="e">
        <f ca="1">INDIRECT("'"&amp;$A53&amp;"'!"&amp;"$I$15")</f>
        <v>#DIV/0!</v>
      </c>
      <c r="K53" s="336">
        <f ca="1">INDIRECT("'"&amp;$A53&amp;"'!"&amp;"$I$9")</f>
        <v>0</v>
      </c>
      <c r="L53" s="336">
        <f ca="1">INDIRECT("'"&amp;$A53&amp;"'!"&amp;"$B$3")</f>
        <v>77.509408914121224</v>
      </c>
      <c r="M53" s="336">
        <f ca="1">INDIRECT("'"&amp;$A53&amp;"'!"&amp;"$B$4")</f>
        <v>68</v>
      </c>
      <c r="N53" s="336">
        <f ca="1">INDIRECT("'"&amp;$A53&amp;"'!"&amp;"$B$5")</f>
        <v>70.221151747655583</v>
      </c>
      <c r="O53" s="337" t="str">
        <f ca="1">INDIRECT("'"&amp;$A53&amp;"'!"&amp;"$I$6")</f>
        <v>上月成長</v>
      </c>
      <c r="P53" s="337" t="str">
        <f ca="1">INDIRECT("'"&amp;$A53&amp;"'!"&amp;"$K$6")</f>
        <v>連3季成長</v>
      </c>
      <c r="Q53" s="338">
        <f ca="1">INDIRECT("'"&amp;$A53&amp;"'!"&amp;"$N$3")</f>
        <v>3.7001406637075462E-2</v>
      </c>
      <c r="R53" s="338">
        <f ca="1">INDIRECT("'"&amp;$A53&amp;"'!"&amp;"$N$6")/INDIRECT("'"&amp;$A53&amp;"'!"&amp;"$N$5")-1</f>
        <v>-4.1054088749189033E-2</v>
      </c>
      <c r="S53" s="324" t="str">
        <f ca="1">IF(D53&gt;INDIRECT("'"&amp;$A53&amp;"'!"&amp;"$I$3"),"",IF(AND(Q53&lt;0,R53&lt;0),"",IF(AND(Q53&lt;0,R53&gt;0),"轉機",IF(AND(Q53&gt;0,R53&lt;0),"",IF(AND(Q53&gt;=5%,R53&gt;=Q53),"OO","O")))))</f>
        <v/>
      </c>
      <c r="T53" s="332">
        <f>ROUND(策略!$I$14/$D53,0)</f>
        <v>7</v>
      </c>
      <c r="U53" s="334">
        <f ca="1">INDIRECT("'"&amp;$A53&amp;"'!"&amp;"$J$16")</f>
        <v>-1</v>
      </c>
      <c r="V53" s="339">
        <f ca="1">IF(ISERROR(INDIRECT("'"&amp;$A53&amp;"'!"&amp;"$D$4")),"",INDIRECT("'"&amp;$A53&amp;"'!"&amp;"$D$4"))</f>
        <v>44.2</v>
      </c>
      <c r="W53" s="340" t="str">
        <f>IF(F53="","",(D53-F53)*G53*1000)</f>
        <v/>
      </c>
      <c r="X53" s="341" t="str">
        <f>IF(F53="","",D53*G53*1000)</f>
        <v/>
      </c>
      <c r="Y53" s="341" t="str">
        <f>IF(F53="","",F53*G53*1000+MAX(ROUNDDOWN(F53*1000*0.145%*28%,0),20)*G53)</f>
        <v/>
      </c>
      <c r="Z53" s="341" t="str">
        <f>IF(G53&gt;0,MAX(ROUNDDOWN(D53*1000*0.145%*28%,0),20)*G53+ROUNDDOWN(F53*1000*0.3%*28%,0)*G53,"")</f>
        <v/>
      </c>
      <c r="AA53" s="336">
        <f ca="1">INDIRECT("'"&amp;$A53&amp;"'!"&amp;"$B$10")</f>
        <v>9.8179999999999996</v>
      </c>
      <c r="AB53" s="336">
        <f ca="1">INDIRECT("'"&amp;$A53&amp;"'!"&amp;"$E$10")</f>
        <v>12.302</v>
      </c>
      <c r="AC53" s="337" t="str">
        <f>VLOOKUP(_xlfn.NUMBERVALUE(A53),[2]工作表1!$A:$G,7,FALSE)</f>
        <v>無保留意見</v>
      </c>
    </row>
    <row r="54" spans="1:29" x14ac:dyDescent="0.25">
      <c r="A54" s="330">
        <v>4919</v>
      </c>
      <c r="B54" s="320" t="s">
        <v>342</v>
      </c>
      <c r="C54" s="320"/>
      <c r="D54" s="331">
        <f>VLOOKUP(_xlfn.NUMBERVALUE(A54),[1]工作表1!$A:$D,3,FALSE)</f>
        <v>70.2</v>
      </c>
      <c r="E54" s="332">
        <f>ROUND(VLOOKUP(_xlfn.NUMBERVALUE(A54),[1]工作表1!$A:$D,4,FALSE)/1000,0)</f>
        <v>4160</v>
      </c>
      <c r="F54" s="331"/>
      <c r="G54" s="366">
        <v>0</v>
      </c>
      <c r="H54" s="333" t="str">
        <f ca="1">IF(INDIRECT("'"&amp;$A54&amp;"'!"&amp;"$D$1")=$H$1,"","X")</f>
        <v>X</v>
      </c>
      <c r="I54" s="334" t="str">
        <f>IF(F54="","",(D54-F54)/F54)</f>
        <v/>
      </c>
      <c r="J54" s="335" t="e">
        <f ca="1">INDIRECT("'"&amp;$A54&amp;"'!"&amp;"$I$15")</f>
        <v>#DIV/0!</v>
      </c>
      <c r="K54" s="336">
        <f ca="1">INDIRECT("'"&amp;$A54&amp;"'!"&amp;"$I$9")</f>
        <v>0</v>
      </c>
      <c r="L54" s="336">
        <f ca="1">INDIRECT("'"&amp;$A54&amp;"'!"&amp;"$B$3")</f>
        <v>89.439124586792786</v>
      </c>
      <c r="M54" s="336">
        <f ca="1">INDIRECT("'"&amp;$A54&amp;"'!"&amp;"$B$4")</f>
        <v>74</v>
      </c>
      <c r="N54" s="336">
        <f ca="1">INDIRECT("'"&amp;$A54&amp;"'!"&amp;"$B$5")</f>
        <v>88.61722222222221</v>
      </c>
      <c r="O54" s="337" t="str">
        <f ca="1">INDIRECT("'"&amp;$A54&amp;"'!"&amp;"$I$6")</f>
        <v>連5月成長</v>
      </c>
      <c r="P54" s="337" t="str">
        <f ca="1">INDIRECT("'"&amp;$A54&amp;"'!"&amp;"$K$6")</f>
        <v>單季成長</v>
      </c>
      <c r="Q54" s="338">
        <f ca="1">INDIRECT("'"&amp;$A54&amp;"'!"&amp;"$N$3")</f>
        <v>0.15620262002937005</v>
      </c>
      <c r="R54" s="338">
        <f ca="1">INDIRECT("'"&amp;$A54&amp;"'!"&amp;"$N$6")/INDIRECT("'"&amp;$A54&amp;"'!"&amp;"$N$5")-1</f>
        <v>8.5233815500259436E-2</v>
      </c>
      <c r="S54" s="324" t="str">
        <f ca="1">IF(D54&gt;INDIRECT("'"&amp;$A54&amp;"'!"&amp;"$I$3"),"",IF(AND(Q54&lt;0,R54&lt;0),"",IF(AND(Q54&lt;0,R54&gt;0),"轉機",IF(AND(Q54&gt;0,R54&lt;0),"",IF(AND(Q54&gt;=5%,R54&gt;=Q54),"OO","O")))))</f>
        <v/>
      </c>
      <c r="T54" s="332">
        <f>ROUND(策略!$I$14/$D54,0)</f>
        <v>7</v>
      </c>
      <c r="U54" s="334">
        <f ca="1">INDIRECT("'"&amp;$A54&amp;"'!"&amp;"$J$16")</f>
        <v>-1</v>
      </c>
      <c r="V54" s="339">
        <f ca="1">IF(ISERROR(INDIRECT("'"&amp;$A54&amp;"'!"&amp;"$D$4")),"",INDIRECT("'"&amp;$A54&amp;"'!"&amp;"$D$4"))</f>
        <v>20.8</v>
      </c>
      <c r="W54" s="340" t="str">
        <f>IF(F54="","",(D54-F54)*G54*1000)</f>
        <v/>
      </c>
      <c r="X54" s="341" t="str">
        <f>IF(F54="","",D54*G54*1000)</f>
        <v/>
      </c>
      <c r="Y54" s="341" t="str">
        <f>IF(F54="","",F54*G54*1000+MAX(ROUNDDOWN(F54*1000*0.145%*28%,0),20)*G54)</f>
        <v/>
      </c>
      <c r="Z54" s="341" t="str">
        <f>IF(G54&gt;0,MAX(ROUNDDOWN(D54*1000*0.145%*28%,0),20)*G54+ROUNDDOWN(F54*1000*0.3%*28%,0)*G54,"")</f>
        <v/>
      </c>
      <c r="AA54" s="336">
        <f ca="1">INDIRECT("'"&amp;$A54&amp;"'!"&amp;"$B$10")</f>
        <v>13.01</v>
      </c>
      <c r="AB54" s="336">
        <f ca="1">INDIRECT("'"&amp;$A54&amp;"'!"&amp;"$E$10")</f>
        <v>15.555</v>
      </c>
      <c r="AC54" s="337" t="str">
        <f>VLOOKUP(_xlfn.NUMBERVALUE(A54),[2]工作表1!$A:$G,7,FALSE)</f>
        <v>無保留意見</v>
      </c>
    </row>
    <row r="55" spans="1:29" x14ac:dyDescent="0.25">
      <c r="A55" s="330">
        <v>4952</v>
      </c>
      <c r="B55" s="320" t="s">
        <v>372</v>
      </c>
      <c r="C55" s="320"/>
      <c r="D55" s="331">
        <f>VLOOKUP(_xlfn.NUMBERVALUE(A55),[1]工作表1!$A:$D,3,FALSE)</f>
        <v>45</v>
      </c>
      <c r="E55" s="332">
        <f>ROUND(VLOOKUP(_xlfn.NUMBERVALUE(A55),[1]工作表1!$A:$D,4,FALSE)/1000,0)</f>
        <v>883</v>
      </c>
      <c r="F55" s="331"/>
      <c r="G55" s="366">
        <v>0</v>
      </c>
      <c r="H55" s="333" t="str">
        <f ca="1">IF(INDIRECT("'"&amp;$A55&amp;"'!"&amp;"$D$1")=$H$1,"","X")</f>
        <v>X</v>
      </c>
      <c r="I55" s="334" t="str">
        <f>IF(F55="","",(D55-F55)/F55)</f>
        <v/>
      </c>
      <c r="J55" s="335" t="e">
        <f ca="1">INDIRECT("'"&amp;$A55&amp;"'!"&amp;"$I$15")</f>
        <v>#DIV/0!</v>
      </c>
      <c r="K55" s="336">
        <f ca="1">INDIRECT("'"&amp;$A55&amp;"'!"&amp;"$I$9")</f>
        <v>0</v>
      </c>
      <c r="L55" s="336">
        <f ca="1">INDIRECT("'"&amp;$A55&amp;"'!"&amp;"$B$3")</f>
        <v>86.061917427935271</v>
      </c>
      <c r="M55" s="336">
        <f ca="1">INDIRECT("'"&amp;$A55&amp;"'!"&amp;"$B$4")</f>
        <v>88</v>
      </c>
      <c r="N55" s="336">
        <f ca="1">INDIRECT("'"&amp;$A55&amp;"'!"&amp;"$B$5")</f>
        <v>98.130168044811938</v>
      </c>
      <c r="O55" s="337" t="str">
        <f ca="1">INDIRECT("'"&amp;$A55&amp;"'!"&amp;"$I$6")</f>
        <v>上月成長</v>
      </c>
      <c r="P55" s="337" t="str">
        <f ca="1">INDIRECT("'"&amp;$A55&amp;"'!"&amp;"$K$6")</f>
        <v>連3季衰退</v>
      </c>
      <c r="Q55" s="338">
        <f ca="1">INDIRECT("'"&amp;$A55&amp;"'!"&amp;"$N$3")</f>
        <v>-0.16823104277123035</v>
      </c>
      <c r="R55" s="338">
        <f ca="1">INDIRECT("'"&amp;$A55&amp;"'!"&amp;"$N$6")/INDIRECT("'"&amp;$A55&amp;"'!"&amp;"$N$5")-1</f>
        <v>8.1848372567590255E-2</v>
      </c>
      <c r="S55" s="324" t="str">
        <f ca="1">IF(D55&gt;INDIRECT("'"&amp;$A55&amp;"'!"&amp;"$I$3"),"",IF(AND(Q55&lt;0,R55&lt;0),"",IF(AND(Q55&lt;0,R55&gt;0),"轉機",IF(AND(Q55&gt;0,R55&lt;0),"",IF(AND(Q55&gt;=5%,R55&gt;=Q55),"OO","O")))))</f>
        <v/>
      </c>
      <c r="T55" s="332">
        <f>ROUND(策略!$I$14/$D55,0)</f>
        <v>11</v>
      </c>
      <c r="U55" s="334">
        <f ca="1">INDIRECT("'"&amp;$A55&amp;"'!"&amp;"$J$16")</f>
        <v>-1</v>
      </c>
      <c r="V55" s="339">
        <f ca="1">IF(ISERROR(INDIRECT("'"&amp;$A55&amp;"'!"&amp;"$D$4")),"",INDIRECT("'"&amp;$A55&amp;"'!"&amp;"$D$4"))</f>
        <v>10.9</v>
      </c>
      <c r="W55" s="340" t="str">
        <f>IF(F55="","",(D55-F55)*G55*1000)</f>
        <v/>
      </c>
      <c r="X55" s="341" t="str">
        <f>IF(F55="","",D55*G55*1000)</f>
        <v/>
      </c>
      <c r="Y55" s="341" t="str">
        <f>IF(F55="","",F55*G55*1000+MAX(ROUNDDOWN(F55*1000*0.145%*28%,0),20)*G55)</f>
        <v/>
      </c>
      <c r="Z55" s="341" t="str">
        <f>IF(G55&gt;0,MAX(ROUNDDOWN(D55*1000*0.145%*28%,0),20)*G55+ROUNDDOWN(F55*1000*0.3%*28%,0)*G55,"")</f>
        <v/>
      </c>
      <c r="AA55" s="336">
        <f ca="1">INDIRECT("'"&amp;$A55&amp;"'!"&amp;"$B$10")</f>
        <v>10.71</v>
      </c>
      <c r="AB55" s="336">
        <f ca="1">INDIRECT("'"&amp;$A55&amp;"'!"&amp;"$E$10")</f>
        <v>15.67</v>
      </c>
      <c r="AC55" s="337" t="str">
        <f>VLOOKUP(_xlfn.NUMBERVALUE(A55),[2]工作表1!$A:$G,7,FALSE)</f>
        <v>無保留意見</v>
      </c>
    </row>
    <row r="56" spans="1:29" x14ac:dyDescent="0.25">
      <c r="A56" s="330">
        <v>4974</v>
      </c>
      <c r="B56" s="320" t="s">
        <v>324</v>
      </c>
      <c r="C56" s="369" t="s">
        <v>393</v>
      </c>
      <c r="D56" s="331">
        <f>VLOOKUP(_xlfn.NUMBERVALUE(A56),[1]工作表1!$A:$D,3,FALSE)</f>
        <v>47.9</v>
      </c>
      <c r="E56" s="332">
        <f>ROUND(VLOOKUP(_xlfn.NUMBERVALUE(A56),[1]工作表1!$A:$D,4,FALSE)/1000,0)</f>
        <v>781</v>
      </c>
      <c r="F56" s="331"/>
      <c r="G56" s="366">
        <v>0</v>
      </c>
      <c r="H56" s="333" t="str">
        <f ca="1">IF(INDIRECT("'"&amp;$A56&amp;"'!"&amp;"$D$1")=$H$1,"","X")</f>
        <v>X</v>
      </c>
      <c r="I56" s="334" t="str">
        <f>IF(F56="","",(D56-F56)/F56)</f>
        <v/>
      </c>
      <c r="J56" s="335" t="e">
        <f ca="1">INDIRECT("'"&amp;$A56&amp;"'!"&amp;"$I$15")</f>
        <v>#VALUE!</v>
      </c>
      <c r="K56" s="336" t="e">
        <f ca="1">INDIRECT("'"&amp;$A56&amp;"'!"&amp;"$I$9")</f>
        <v>#VALUE!</v>
      </c>
      <c r="L56" s="336">
        <f ca="1">INDIRECT("'"&amp;$A56&amp;"'!"&amp;"$B$3")</f>
        <v>94.306402078217772</v>
      </c>
      <c r="M56" s="336">
        <f ca="1">INDIRECT("'"&amp;$A56&amp;"'!"&amp;"$B$4")</f>
        <v>86</v>
      </c>
      <c r="N56" s="336">
        <f ca="1">INDIRECT("'"&amp;$A56&amp;"'!"&amp;"$B$5")</f>
        <v>83.357585365853652</v>
      </c>
      <c r="O56" s="337" t="str">
        <f ca="1">INDIRECT("'"&amp;$A56&amp;"'!"&amp;"$I$6")</f>
        <v>上月成長</v>
      </c>
      <c r="P56" s="337" t="str">
        <f ca="1">INDIRECT("'"&amp;$A56&amp;"'!"&amp;"$K$6")</f>
        <v>單季衰退</v>
      </c>
      <c r="Q56" s="338">
        <f ca="1">INDIRECT("'"&amp;$A56&amp;"'!"&amp;"$N$3")</f>
        <v>-6.7486120759942911E-2</v>
      </c>
      <c r="R56" s="338">
        <f ca="1">INDIRECT("'"&amp;$A56&amp;"'!"&amp;"$N$6")/INDIRECT("'"&amp;$A56&amp;"'!"&amp;"$N$5")-1</f>
        <v>-4.9076467568914151E-2</v>
      </c>
      <c r="S56" s="324" t="str">
        <f ca="1">IF(D56&gt;INDIRECT("'"&amp;$A56&amp;"'!"&amp;"$I$3"),"",IF(AND(Q56&lt;0,R56&lt;0),"",IF(AND(Q56&lt;0,R56&gt;0),"轉機",IF(AND(Q56&gt;0,R56&lt;0),"",IF(AND(Q56&gt;=5%,R56&gt;=Q56),"OO","O")))))</f>
        <v/>
      </c>
      <c r="T56" s="332">
        <f>ROUND(策略!$I$14/$D56,0)</f>
        <v>10</v>
      </c>
      <c r="U56" s="334" t="e">
        <f ca="1">INDIRECT("'"&amp;$A56&amp;"'!"&amp;"$J$16")</f>
        <v>#VALUE!</v>
      </c>
      <c r="V56" s="339">
        <f ca="1">IF(ISERROR(INDIRECT("'"&amp;$A56&amp;"'!"&amp;"$D$4")),"",INDIRECT("'"&amp;$A56&amp;"'!"&amp;"$D$4"))</f>
        <v>6.2</v>
      </c>
      <c r="W56" s="340" t="str">
        <f>IF(F56="","",(D56-F56)*G56*1000)</f>
        <v/>
      </c>
      <c r="X56" s="341" t="str">
        <f>IF(F56="","",D56*G56*1000)</f>
        <v/>
      </c>
      <c r="Y56" s="341" t="str">
        <f>IF(F56="","",F56*G56*1000+MAX(ROUNDDOWN(F56*1000*0.145%*28%,0),20)*G56)</f>
        <v/>
      </c>
      <c r="Z56" s="341" t="str">
        <f>IF(G56&gt;0,MAX(ROUNDDOWN(D56*1000*0.145%*28%,0),20)*G56+ROUNDDOWN(F56*1000*0.3%*28%,0)*G56,"")</f>
        <v/>
      </c>
      <c r="AA56" s="336">
        <f ca="1">INDIRECT("'"&amp;$A56&amp;"'!"&amp;"$B$10")</f>
        <v>8.9</v>
      </c>
      <c r="AB56" s="336">
        <f ca="1">INDIRECT("'"&amp;$A56&amp;"'!"&amp;"$E$10")</f>
        <v>10.43</v>
      </c>
      <c r="AC56" s="337" t="str">
        <f>VLOOKUP(_xlfn.NUMBERVALUE(A56),[2]工作表1!$A:$G,7,FALSE)</f>
        <v>無保留意見</v>
      </c>
    </row>
    <row r="57" spans="1:29" x14ac:dyDescent="0.25">
      <c r="A57" s="330">
        <v>4999</v>
      </c>
      <c r="B57" s="320" t="s">
        <v>307</v>
      </c>
      <c r="C57" s="320"/>
      <c r="D57" s="331">
        <f>VLOOKUP(_xlfn.NUMBERVALUE(A57),[1]工作表1!$A:$D,3,FALSE)</f>
        <v>47.25</v>
      </c>
      <c r="E57" s="332">
        <f>ROUND(VLOOKUP(_xlfn.NUMBERVALUE(A57),[1]工作表1!$A:$D,4,FALSE)/1000,0)</f>
        <v>158</v>
      </c>
      <c r="F57" s="331"/>
      <c r="G57" s="366">
        <v>0</v>
      </c>
      <c r="H57" s="333" t="str">
        <f ca="1">IF(INDIRECT("'"&amp;$A57&amp;"'!"&amp;"$D$1")=$H$1,"","X")</f>
        <v>X</v>
      </c>
      <c r="I57" s="334" t="str">
        <f>IF(F57="","",(D57-F57)/F57)</f>
        <v/>
      </c>
      <c r="J57" s="335" t="e">
        <f ca="1">INDIRECT("'"&amp;$A57&amp;"'!"&amp;"$I$15")</f>
        <v>#DIV/0!</v>
      </c>
      <c r="K57" s="336">
        <f ca="1">INDIRECT("'"&amp;$A57&amp;"'!"&amp;"$I$9")</f>
        <v>0</v>
      </c>
      <c r="L57" s="336">
        <f ca="1">INDIRECT("'"&amp;$A57&amp;"'!"&amp;"$B$3")</f>
        <v>73.355998295635189</v>
      </c>
      <c r="M57" s="336">
        <f ca="1">INDIRECT("'"&amp;$A57&amp;"'!"&amp;"$B$4")</f>
        <v>86</v>
      </c>
      <c r="N57" s="336">
        <f ca="1">INDIRECT("'"&amp;$A57&amp;"'!"&amp;"$B$5")</f>
        <v>97.200325732899017</v>
      </c>
      <c r="O57" s="337" t="str">
        <f ca="1">INDIRECT("'"&amp;$A57&amp;"'!"&amp;"$I$6")</f>
        <v>連3月衰退</v>
      </c>
      <c r="P57" s="337" t="str">
        <f ca="1">INDIRECT("'"&amp;$A57&amp;"'!"&amp;"$K$6")</f>
        <v>單季衰退</v>
      </c>
      <c r="Q57" s="338">
        <f ca="1">INDIRECT("'"&amp;$A57&amp;"'!"&amp;"$N$3")</f>
        <v>-0.20942461863259149</v>
      </c>
      <c r="R57" s="338">
        <f ca="1">INDIRECT("'"&amp;$A57&amp;"'!"&amp;"$N$6")/INDIRECT("'"&amp;$A57&amp;"'!"&amp;"$N$5")-1</f>
        <v>-9.1945327595467141E-2</v>
      </c>
      <c r="S57" s="324" t="str">
        <f ca="1">IF(D57&gt;INDIRECT("'"&amp;$A57&amp;"'!"&amp;"$I$3"),"",IF(AND(Q57&lt;0,R57&lt;0),"",IF(AND(Q57&lt;0,R57&gt;0),"轉機",IF(AND(Q57&gt;0,R57&lt;0),"",IF(AND(Q57&gt;=5%,R57&gt;=Q57),"OO","O")))))</f>
        <v/>
      </c>
      <c r="T57" s="332">
        <f>ROUND(策略!$I$14/$D57,0)</f>
        <v>10</v>
      </c>
      <c r="U57" s="334">
        <f ca="1">INDIRECT("'"&amp;$A57&amp;"'!"&amp;"$J$16")</f>
        <v>-1</v>
      </c>
      <c r="V57" s="339">
        <f ca="1">IF(ISERROR(INDIRECT("'"&amp;$A57&amp;"'!"&amp;"$D$4")),"",INDIRECT("'"&amp;$A57&amp;"'!"&amp;"$D$4"))</f>
        <v>7.44</v>
      </c>
      <c r="W57" s="340" t="str">
        <f>IF(F57="","",(D57-F57)*G57*1000)</f>
        <v/>
      </c>
      <c r="X57" s="341" t="str">
        <f>IF(F57="","",D57*G57*1000)</f>
        <v/>
      </c>
      <c r="Y57" s="341" t="str">
        <f>IF(F57="","",F57*G57*1000+MAX(ROUNDDOWN(F57*1000*0.145%*28%,0),20)*G57)</f>
        <v/>
      </c>
      <c r="Z57" s="341" t="str">
        <f>IF(G57&gt;0,MAX(ROUNDDOWN(D57*1000*0.145%*28%,0),20)*G57+ROUNDDOWN(F57*1000*0.3%*28%,0)*G57,"")</f>
        <v/>
      </c>
      <c r="AA57" s="336">
        <f ca="1">INDIRECT("'"&amp;$A57&amp;"'!"&amp;"$B$10")</f>
        <v>8</v>
      </c>
      <c r="AB57" s="336">
        <f ca="1">INDIRECT("'"&amp;$A57&amp;"'!"&amp;"$E$10")</f>
        <v>9.5500000000000007</v>
      </c>
      <c r="AC57" s="337" t="str">
        <f>VLOOKUP(_xlfn.NUMBERVALUE(A57),[2]工作表1!$A:$G,7,FALSE)</f>
        <v>無保留意見</v>
      </c>
    </row>
    <row r="58" spans="1:29" x14ac:dyDescent="0.25">
      <c r="A58" s="330">
        <v>5007</v>
      </c>
      <c r="B58" s="320" t="s">
        <v>288</v>
      </c>
      <c r="C58" s="320"/>
      <c r="D58" s="331">
        <f>VLOOKUP(_xlfn.NUMBERVALUE(A58),[1]工作表1!$A:$D,3,FALSE)</f>
        <v>59.2</v>
      </c>
      <c r="E58" s="332">
        <f>ROUND(VLOOKUP(_xlfn.NUMBERVALUE(A58),[1]工作表1!$A:$D,4,FALSE)/1000,0)</f>
        <v>611</v>
      </c>
      <c r="F58" s="331">
        <v>55.2</v>
      </c>
      <c r="G58" s="366">
        <v>4</v>
      </c>
      <c r="H58" s="333" t="str">
        <f ca="1">IF(INDIRECT("'"&amp;$A58&amp;"'!"&amp;"$D$1")=$H$1,"","X")</f>
        <v/>
      </c>
      <c r="I58" s="334">
        <f>IF(F58="","",(D58-F58)/F58)</f>
        <v>7.2463768115942032E-2</v>
      </c>
      <c r="J58" s="335" t="e">
        <f ca="1">INDIRECT("'"&amp;$A58&amp;"'!"&amp;"$I$15")</f>
        <v>#DIV/0!</v>
      </c>
      <c r="K58" s="336">
        <f ca="1">INDIRECT("'"&amp;$A58&amp;"'!"&amp;"$I$9")</f>
        <v>0</v>
      </c>
      <c r="L58" s="336">
        <f ca="1">INDIRECT("'"&amp;$A58&amp;"'!"&amp;"$B$3")</f>
        <v>92.05146104598029</v>
      </c>
      <c r="M58" s="336">
        <f ca="1">INDIRECT("'"&amp;$A58&amp;"'!"&amp;"$B$4")</f>
        <v>86</v>
      </c>
      <c r="N58" s="336">
        <f ca="1">INDIRECT("'"&amp;$A58&amp;"'!"&amp;"$B$5")</f>
        <v>96.519214428857723</v>
      </c>
      <c r="O58" s="337" t="str">
        <f ca="1">INDIRECT("'"&amp;$A58&amp;"'!"&amp;"$I$6")</f>
        <v>連5月成長</v>
      </c>
      <c r="P58" s="337" t="str">
        <f ca="1">INDIRECT("'"&amp;$A58&amp;"'!"&amp;"$K$6")</f>
        <v>單季成長</v>
      </c>
      <c r="Q58" s="338">
        <f ca="1">INDIRECT("'"&amp;$A58&amp;"'!"&amp;"$N$3")</f>
        <v>5.8975849470625168E-2</v>
      </c>
      <c r="R58" s="338">
        <f ca="1">INDIRECT("'"&amp;$A58&amp;"'!"&amp;"$N$6")/INDIRECT("'"&amp;$A58&amp;"'!"&amp;"$N$5")-1</f>
        <v>0.16238089961236568</v>
      </c>
      <c r="S58" s="324" t="str">
        <f ca="1">IF(D58&gt;INDIRECT("'"&amp;$A58&amp;"'!"&amp;"$I$3"),"",IF(AND(Q58&lt;0,R58&lt;0),"",IF(AND(Q58&lt;0,R58&gt;0),"轉機",IF(AND(Q58&gt;0,R58&lt;0),"",IF(AND(Q58&gt;=5%,R58&gt;=Q58),"OO","O")))))</f>
        <v>OO</v>
      </c>
      <c r="T58" s="332">
        <f>ROUND(策略!$I$14/$D58,0)</f>
        <v>8</v>
      </c>
      <c r="U58" s="334">
        <f ca="1">INDIRECT("'"&amp;$A58&amp;"'!"&amp;"$J$16")</f>
        <v>-1</v>
      </c>
      <c r="V58" s="339">
        <f ca="1">IF(ISERROR(INDIRECT("'"&amp;$A58&amp;"'!"&amp;"$D$4")),"",INDIRECT("'"&amp;$A58&amp;"'!"&amp;"$D$4"))</f>
        <v>29.5</v>
      </c>
      <c r="W58" s="340">
        <f>IF(F58="","",(D58-F58)*G58*1000)</f>
        <v>16000</v>
      </c>
      <c r="X58" s="341">
        <f>IF(F58="","",D58*G58*1000)</f>
        <v>236800</v>
      </c>
      <c r="Y58" s="341">
        <f>IF(F58="","",F58*G58*1000+MAX(ROUNDDOWN(F58*1000*0.145%*28%,0),20)*G58)</f>
        <v>220888</v>
      </c>
      <c r="Z58" s="341">
        <f>IF(G58&gt;0,MAX(ROUNDDOWN(D58*1000*0.145%*28%,0),20)*G58+ROUNDDOWN(F58*1000*0.3%*28%,0)*G58,"")</f>
        <v>280</v>
      </c>
      <c r="AA58" s="336">
        <f ca="1">INDIRECT("'"&amp;$A58&amp;"'!"&amp;"$B$10")</f>
        <v>14.46</v>
      </c>
      <c r="AB58" s="336">
        <f ca="1">INDIRECT("'"&amp;$A58&amp;"'!"&amp;"$E$10")</f>
        <v>19.914999999999999</v>
      </c>
      <c r="AC58" s="337" t="str">
        <f>VLOOKUP(_xlfn.NUMBERVALUE(A58),[2]工作表1!$A:$G,7,FALSE)</f>
        <v>無保留意見</v>
      </c>
    </row>
    <row r="59" spans="1:29" x14ac:dyDescent="0.25">
      <c r="A59" s="330">
        <v>5289</v>
      </c>
      <c r="B59" s="320" t="s">
        <v>302</v>
      </c>
      <c r="C59" s="369" t="s">
        <v>393</v>
      </c>
      <c r="D59" s="331">
        <f>VLOOKUP(_xlfn.NUMBERVALUE(A59),[1]工作表1!$A:$D,3,FALSE)</f>
        <v>115.5</v>
      </c>
      <c r="E59" s="332">
        <f>ROUND(VLOOKUP(_xlfn.NUMBERVALUE(A59),[1]工作表1!$A:$D,4,FALSE)/1000,0)</f>
        <v>1017</v>
      </c>
      <c r="F59" s="331"/>
      <c r="G59" s="366">
        <v>0</v>
      </c>
      <c r="H59" s="333" t="str">
        <f ca="1">IF(INDIRECT("'"&amp;$A59&amp;"'!"&amp;"$D$1")=$H$1,"","X")</f>
        <v>X</v>
      </c>
      <c r="I59" s="334" t="str">
        <f>IF(F59="","",(D59-F59)/F59)</f>
        <v/>
      </c>
      <c r="J59" s="335" t="e">
        <f ca="1">INDIRECT("'"&amp;$A59&amp;"'!"&amp;"$I$15")</f>
        <v>#VALUE!</v>
      </c>
      <c r="K59" s="336" t="e">
        <f ca="1">INDIRECT("'"&amp;$A59&amp;"'!"&amp;"$I$9")</f>
        <v>#VALUE!</v>
      </c>
      <c r="L59" s="336">
        <f ca="1">INDIRECT("'"&amp;$A59&amp;"'!"&amp;"$B$3")</f>
        <v>78.095727656561621</v>
      </c>
      <c r="M59" s="336">
        <f ca="1">INDIRECT("'"&amp;$A59&amp;"'!"&amp;"$B$4")</f>
        <v>76</v>
      </c>
      <c r="N59" s="336">
        <f ca="1">INDIRECT("'"&amp;$A59&amp;"'!"&amp;"$B$5")</f>
        <v>97.119383825417202</v>
      </c>
      <c r="O59" s="337" t="str">
        <f ca="1">INDIRECT("'"&amp;$A59&amp;"'!"&amp;"$I$6")</f>
        <v>連5月成長</v>
      </c>
      <c r="P59" s="337" t="str">
        <f ca="1">INDIRECT("'"&amp;$A59&amp;"'!"&amp;"$K$6")</f>
        <v>連2季成長</v>
      </c>
      <c r="Q59" s="338">
        <f ca="1">INDIRECT("'"&amp;$A59&amp;"'!"&amp;"$N$3")</f>
        <v>0.45169700989356326</v>
      </c>
      <c r="R59" s="338">
        <f ca="1">INDIRECT("'"&amp;$A59&amp;"'!"&amp;"$N$6")/INDIRECT("'"&amp;$A59&amp;"'!"&amp;"$N$5")-1</f>
        <v>0.39817597953599959</v>
      </c>
      <c r="S59" s="324" t="str">
        <f ca="1">IF(D59&gt;INDIRECT("'"&amp;$A59&amp;"'!"&amp;"$I$3"),"",IF(AND(Q59&lt;0,R59&lt;0),"",IF(AND(Q59&lt;0,R59&gt;0),"轉機",IF(AND(Q59&gt;0,R59&lt;0),"",IF(AND(Q59&gt;=5%,R59&gt;=Q59),"OO","O")))))</f>
        <v>O</v>
      </c>
      <c r="T59" s="332">
        <f>ROUND(策略!$I$14/$D59,0)</f>
        <v>4</v>
      </c>
      <c r="U59" s="334" t="e">
        <f ca="1">INDIRECT("'"&amp;$A59&amp;"'!"&amp;"$J$16")</f>
        <v>#VALUE!</v>
      </c>
      <c r="V59" s="339">
        <f ca="1">IF(ISERROR(INDIRECT("'"&amp;$A59&amp;"'!"&amp;"$D$4")),"",INDIRECT("'"&amp;$A59&amp;"'!"&amp;"$D$4"))</f>
        <v>6.9195000000000002</v>
      </c>
      <c r="W59" s="340" t="str">
        <f>IF(F59="","",(D59-F59)*G59*1000)</f>
        <v/>
      </c>
      <c r="X59" s="341" t="str">
        <f>IF(F59="","",D59*G59*1000)</f>
        <v/>
      </c>
      <c r="Y59" s="341" t="str">
        <f>IF(F59="","",F59*G59*1000+MAX(ROUNDDOWN(F59*1000*0.145%*28%,0),20)*G59)</f>
        <v/>
      </c>
      <c r="Z59" s="341" t="str">
        <f>IF(G59&gt;0,MAX(ROUNDDOWN(D59*1000*0.145%*28%,0),20)*G59+ROUNDDOWN(F59*1000*0.3%*28%,0)*G59,"")</f>
        <v/>
      </c>
      <c r="AA59" s="336">
        <f ca="1">INDIRECT("'"&amp;$A59&amp;"'!"&amp;"$B$10")</f>
        <v>11.022</v>
      </c>
      <c r="AB59" s="336">
        <f ca="1">INDIRECT("'"&amp;$A59&amp;"'!"&amp;"$E$10")</f>
        <v>13.215999999999999</v>
      </c>
      <c r="AC59" s="337" t="str">
        <f>VLOOKUP(_xlfn.NUMBERVALUE(A59),[2]工作表1!$A:$G,7,FALSE)</f>
        <v>無保留意見</v>
      </c>
    </row>
    <row r="60" spans="1:29" x14ac:dyDescent="0.25">
      <c r="A60" s="330">
        <v>5347</v>
      </c>
      <c r="B60" s="320" t="s">
        <v>346</v>
      </c>
      <c r="C60" s="369" t="s">
        <v>393</v>
      </c>
      <c r="D60" s="331">
        <f>VLOOKUP(_xlfn.NUMBERVALUE(A60),[1]工作表1!$A:$D,3,FALSE)</f>
        <v>64.099999999999994</v>
      </c>
      <c r="E60" s="332">
        <f>ROUND(VLOOKUP(_xlfn.NUMBERVALUE(A60),[1]工作表1!$A:$D,4,FALSE)/1000,0)</f>
        <v>6853</v>
      </c>
      <c r="F60" s="331"/>
      <c r="G60" s="366">
        <v>0</v>
      </c>
      <c r="H60" s="333" t="str">
        <f ca="1">IF(INDIRECT("'"&amp;$A60&amp;"'!"&amp;"$D$1")=$H$1,"","X")</f>
        <v>X</v>
      </c>
      <c r="I60" s="334" t="str">
        <f>IF(F60="","",(D60-F60)/F60)</f>
        <v/>
      </c>
      <c r="J60" s="335" t="e">
        <f ca="1">INDIRECT("'"&amp;$A60&amp;"'!"&amp;"$I$15")</f>
        <v>#VALUE!</v>
      </c>
      <c r="K60" s="336" t="e">
        <f ca="1">INDIRECT("'"&amp;$A60&amp;"'!"&amp;"$I$9")</f>
        <v>#VALUE!</v>
      </c>
      <c r="L60" s="336">
        <f ca="1">INDIRECT("'"&amp;$A60&amp;"'!"&amp;"$B$3")</f>
        <v>92.215231911666365</v>
      </c>
      <c r="M60" s="336">
        <f ca="1">INDIRECT("'"&amp;$A60&amp;"'!"&amp;"$B$4")</f>
        <v>90</v>
      </c>
      <c r="N60" s="336">
        <f ca="1">INDIRECT("'"&amp;$A60&amp;"'!"&amp;"$B$5")</f>
        <v>98.983388704318941</v>
      </c>
      <c r="O60" s="337" t="str">
        <f ca="1">INDIRECT("'"&amp;$A60&amp;"'!"&amp;"$I$6")</f>
        <v>上月衰退</v>
      </c>
      <c r="P60" s="337" t="str">
        <f ca="1">INDIRECT("'"&amp;$A60&amp;"'!"&amp;"$K$6")</f>
        <v>連3季衰退</v>
      </c>
      <c r="Q60" s="338">
        <f ca="1">INDIRECT("'"&amp;$A60&amp;"'!"&amp;"$N$3")</f>
        <v>-0.1997549127112071</v>
      </c>
      <c r="R60" s="338">
        <f ca="1">INDIRECT("'"&amp;$A60&amp;"'!"&amp;"$N$6")/INDIRECT("'"&amp;$A60&amp;"'!"&amp;"$N$5")-1</f>
        <v>-3.8237877758594552E-2</v>
      </c>
      <c r="S60" s="324" t="str">
        <f ca="1">IF(D60&gt;INDIRECT("'"&amp;$A60&amp;"'!"&amp;"$I$3"),"",IF(AND(Q60&lt;0,R60&lt;0),"",IF(AND(Q60&lt;0,R60&gt;0),"轉機",IF(AND(Q60&gt;0,R60&lt;0),"",IF(AND(Q60&gt;=5%,R60&gt;=Q60),"OO","O")))))</f>
        <v/>
      </c>
      <c r="T60" s="332">
        <f>ROUND(策略!$I$14/$D60,0)</f>
        <v>8</v>
      </c>
      <c r="U60" s="334" t="e">
        <f ca="1">INDIRECT("'"&amp;$A60&amp;"'!"&amp;"$J$16")</f>
        <v>#VALUE!</v>
      </c>
      <c r="V60" s="339">
        <f ca="1">IF(ISERROR(INDIRECT("'"&amp;$A60&amp;"'!"&amp;"$D$4")),"",INDIRECT("'"&amp;$A60&amp;"'!"&amp;"$D$4"))</f>
        <v>164</v>
      </c>
      <c r="W60" s="340" t="str">
        <f>IF(F60="","",(D60-F60)*G60*1000)</f>
        <v/>
      </c>
      <c r="X60" s="341" t="str">
        <f>IF(F60="","",D60*G60*1000)</f>
        <v/>
      </c>
      <c r="Y60" s="341" t="str">
        <f>IF(F60="","",F60*G60*1000+MAX(ROUNDDOWN(F60*1000*0.145%*28%,0),20)*G60)</f>
        <v/>
      </c>
      <c r="Z60" s="341" t="str">
        <f>IF(G60&gt;0,MAX(ROUNDDOWN(D60*1000*0.145%*28%,0),20)*G60+ROUNDDOWN(F60*1000*0.3%*28%,0)*G60,"")</f>
        <v/>
      </c>
      <c r="AA60" s="336">
        <f ca="1">INDIRECT("'"&amp;$A60&amp;"'!"&amp;"$B$10")</f>
        <v>14.39</v>
      </c>
      <c r="AB60" s="336">
        <f ca="1">INDIRECT("'"&amp;$A60&amp;"'!"&amp;"$E$10")</f>
        <v>18.579999999999998</v>
      </c>
      <c r="AC60" s="337" t="str">
        <f>VLOOKUP(_xlfn.NUMBERVALUE(A60),[2]工作表1!$A:$G,7,FALSE)</f>
        <v>無保留意見</v>
      </c>
    </row>
    <row r="61" spans="1:29" x14ac:dyDescent="0.25">
      <c r="A61" s="330">
        <v>5388</v>
      </c>
      <c r="B61" s="320" t="s">
        <v>334</v>
      </c>
      <c r="C61" s="320"/>
      <c r="D61" s="331">
        <f>VLOOKUP(_xlfn.NUMBERVALUE(A61),[1]工作表1!$A:$D,3,FALSE)</f>
        <v>82.5</v>
      </c>
      <c r="E61" s="332">
        <f>ROUND(VLOOKUP(_xlfn.NUMBERVALUE(A61),[1]工作表1!$A:$D,4,FALSE)/1000,0)</f>
        <v>989</v>
      </c>
      <c r="F61" s="331"/>
      <c r="G61" s="366">
        <v>0</v>
      </c>
      <c r="H61" s="333" t="str">
        <f ca="1">IF(INDIRECT("'"&amp;$A61&amp;"'!"&amp;"$D$1")=$H$1,"","X")</f>
        <v>X</v>
      </c>
      <c r="I61" s="334" t="str">
        <f>IF(F61="","",(D61-F61)/F61)</f>
        <v/>
      </c>
      <c r="J61" s="335" t="e">
        <f ca="1">INDIRECT("'"&amp;$A61&amp;"'!"&amp;"$I$15")</f>
        <v>#DIV/0!</v>
      </c>
      <c r="K61" s="336">
        <f ca="1">INDIRECT("'"&amp;$A61&amp;"'!"&amp;"$I$9")</f>
        <v>0</v>
      </c>
      <c r="L61" s="336">
        <f ca="1">INDIRECT("'"&amp;$A61&amp;"'!"&amp;"$B$3")</f>
        <v>77.454436927974541</v>
      </c>
      <c r="M61" s="336">
        <f ca="1">INDIRECT("'"&amp;$A61&amp;"'!"&amp;"$B$4")</f>
        <v>80</v>
      </c>
      <c r="N61" s="336">
        <f ca="1">INDIRECT("'"&amp;$A61&amp;"'!"&amp;"$B$5")</f>
        <v>78.46938728897716</v>
      </c>
      <c r="O61" s="337" t="str">
        <f ca="1">INDIRECT("'"&amp;$A61&amp;"'!"&amp;"$I$6")</f>
        <v>連5月成長</v>
      </c>
      <c r="P61" s="337" t="str">
        <f ca="1">INDIRECT("'"&amp;$A61&amp;"'!"&amp;"$K$6")</f>
        <v>連3季衰退</v>
      </c>
      <c r="Q61" s="338">
        <f ca="1">INDIRECT("'"&amp;$A61&amp;"'!"&amp;"$N$3")</f>
        <v>-9.3419560526230266E-2</v>
      </c>
      <c r="R61" s="338">
        <f ca="1">INDIRECT("'"&amp;$A61&amp;"'!"&amp;"$N$6")/INDIRECT("'"&amp;$A61&amp;"'!"&amp;"$N$5")-1</f>
        <v>4.6139042169202504E-2</v>
      </c>
      <c r="S61" s="324" t="str">
        <f ca="1">IF(D61&gt;INDIRECT("'"&amp;$A61&amp;"'!"&amp;"$I$3"),"",IF(AND(Q61&lt;0,R61&lt;0),"",IF(AND(Q61&lt;0,R61&gt;0),"轉機",IF(AND(Q61&gt;0,R61&lt;0),"",IF(AND(Q61&gt;=5%,R61&gt;=Q61),"OO","O")))))</f>
        <v/>
      </c>
      <c r="T61" s="332">
        <f>ROUND(策略!$I$14/$D61,0)</f>
        <v>6</v>
      </c>
      <c r="U61" s="334">
        <f ca="1">INDIRECT("'"&amp;$A61&amp;"'!"&amp;"$J$16")</f>
        <v>-1</v>
      </c>
      <c r="V61" s="339">
        <f ca="1">IF(ISERROR(INDIRECT("'"&amp;$A61&amp;"'!"&amp;"$D$4")),"",INDIRECT("'"&amp;$A61&amp;"'!"&amp;"$D$4"))</f>
        <v>24.3</v>
      </c>
      <c r="W61" s="340" t="str">
        <f>IF(F61="","",(D61-F61)*G61*1000)</f>
        <v/>
      </c>
      <c r="X61" s="341" t="str">
        <f>IF(F61="","",D61*G61*1000)</f>
        <v/>
      </c>
      <c r="Y61" s="341" t="str">
        <f>IF(F61="","",F61*G61*1000+MAX(ROUNDDOWN(F61*1000*0.145%*28%,0),20)*G61)</f>
        <v/>
      </c>
      <c r="Z61" s="341" t="str">
        <f>IF(G61&gt;0,MAX(ROUNDDOWN(D61*1000*0.145%*28%,0),20)*G61+ROUNDDOWN(F61*1000*0.3%*28%,0)*G61,"")</f>
        <v/>
      </c>
      <c r="AA61" s="336">
        <f ca="1">INDIRECT("'"&amp;$A61&amp;"'!"&amp;"$B$10")</f>
        <v>11.68</v>
      </c>
      <c r="AB61" s="336">
        <f ca="1">INDIRECT("'"&amp;$A61&amp;"'!"&amp;"$E$10")</f>
        <v>15.010000000000002</v>
      </c>
      <c r="AC61" s="337" t="str">
        <f>VLOOKUP(_xlfn.NUMBERVALUE(A61),[2]工作表1!$A:$G,7,FALSE)</f>
        <v>無保留意見</v>
      </c>
    </row>
    <row r="62" spans="1:29" x14ac:dyDescent="0.25">
      <c r="A62" s="330">
        <v>5434</v>
      </c>
      <c r="B62" s="320" t="s">
        <v>348</v>
      </c>
      <c r="C62" s="320"/>
      <c r="D62" s="331">
        <f>VLOOKUP(_xlfn.NUMBERVALUE(A62),[1]工作表1!$A:$D,3,FALSE)</f>
        <v>82.4</v>
      </c>
      <c r="E62" s="332">
        <f>ROUND(VLOOKUP(_xlfn.NUMBERVALUE(A62),[1]工作表1!$A:$D,4,FALSE)/1000,0)</f>
        <v>1073</v>
      </c>
      <c r="F62" s="331"/>
      <c r="G62" s="366">
        <v>0</v>
      </c>
      <c r="H62" s="333" t="str">
        <f ca="1">IF(INDIRECT("'"&amp;$A62&amp;"'!"&amp;"$D$1")=$H$1,"","X")</f>
        <v>X</v>
      </c>
      <c r="I62" s="334" t="str">
        <f>IF(F62="","",(D62-F62)/F62)</f>
        <v/>
      </c>
      <c r="J62" s="335" t="e">
        <f ca="1">INDIRECT("'"&amp;$A62&amp;"'!"&amp;"$I$15")</f>
        <v>#DIV/0!</v>
      </c>
      <c r="K62" s="336">
        <f ca="1">INDIRECT("'"&amp;$A62&amp;"'!"&amp;"$I$9")</f>
        <v>0</v>
      </c>
      <c r="L62" s="336">
        <f ca="1">INDIRECT("'"&amp;$A62&amp;"'!"&amp;"$B$3")</f>
        <v>77.509156861013366</v>
      </c>
      <c r="M62" s="336">
        <f ca="1">INDIRECT("'"&amp;$A62&amp;"'!"&amp;"$B$4")</f>
        <v>88</v>
      </c>
      <c r="N62" s="336">
        <f ca="1">INDIRECT("'"&amp;$A62&amp;"'!"&amp;"$B$5")</f>
        <v>78.223943820224719</v>
      </c>
      <c r="O62" s="337" t="str">
        <f ca="1">INDIRECT("'"&amp;$A62&amp;"'!"&amp;"$I$6")</f>
        <v>連5月成長</v>
      </c>
      <c r="P62" s="337" t="str">
        <f ca="1">INDIRECT("'"&amp;$A62&amp;"'!"&amp;"$K$6")</f>
        <v>單季成長</v>
      </c>
      <c r="Q62" s="338">
        <f ca="1">INDIRECT("'"&amp;$A62&amp;"'!"&amp;"$N$3")</f>
        <v>-6.9511416011934848E-2</v>
      </c>
      <c r="R62" s="338">
        <f ca="1">INDIRECT("'"&amp;$A62&amp;"'!"&amp;"$N$6")/INDIRECT("'"&amp;$A62&amp;"'!"&amp;"$N$5")-1</f>
        <v>6.751707755575187E-2</v>
      </c>
      <c r="S62" s="324" t="str">
        <f ca="1">IF(D62&gt;INDIRECT("'"&amp;$A62&amp;"'!"&amp;"$I$3"),"",IF(AND(Q62&lt;0,R62&lt;0),"",IF(AND(Q62&lt;0,R62&gt;0),"轉機",IF(AND(Q62&gt;0,R62&lt;0),"",IF(AND(Q62&gt;=5%,R62&gt;=Q62),"OO","O")))))</f>
        <v/>
      </c>
      <c r="T62" s="332">
        <f>ROUND(策略!$I$14/$D62,0)</f>
        <v>6</v>
      </c>
      <c r="U62" s="334">
        <f ca="1">INDIRECT("'"&amp;$A62&amp;"'!"&amp;"$J$16")</f>
        <v>-1</v>
      </c>
      <c r="V62" s="339">
        <f ca="1">IF(ISERROR(INDIRECT("'"&amp;$A62&amp;"'!"&amp;"$D$4")),"",INDIRECT("'"&amp;$A62&amp;"'!"&amp;"$D$4"))</f>
        <v>16.600000000000001</v>
      </c>
      <c r="W62" s="340" t="str">
        <f>IF(F62="","",(D62-F62)*G62*1000)</f>
        <v/>
      </c>
      <c r="X62" s="341" t="str">
        <f>IF(F62="","",D62*G62*1000)</f>
        <v/>
      </c>
      <c r="Y62" s="341" t="str">
        <f>IF(F62="","",F62*G62*1000+MAX(ROUNDDOWN(F62*1000*0.145%*28%,0),20)*G62)</f>
        <v/>
      </c>
      <c r="Z62" s="341" t="str">
        <f>IF(G62&gt;0,MAX(ROUNDDOWN(D62*1000*0.145%*28%,0),20)*G62+ROUNDDOWN(F62*1000*0.3%*28%,0)*G62,"")</f>
        <v/>
      </c>
      <c r="AA62" s="336">
        <f ca="1">INDIRECT("'"&amp;$A62&amp;"'!"&amp;"$B$10")</f>
        <v>8.69</v>
      </c>
      <c r="AB62" s="336">
        <f ca="1">INDIRECT("'"&amp;$A62&amp;"'!"&amp;"$E$10")</f>
        <v>11.36</v>
      </c>
      <c r="AC62" s="337" t="str">
        <f>VLOOKUP(_xlfn.NUMBERVALUE(A62),[2]工作表1!$A:$G,7,FALSE)</f>
        <v>無保留意見</v>
      </c>
    </row>
    <row r="63" spans="1:29" x14ac:dyDescent="0.25">
      <c r="A63" s="330">
        <v>5490</v>
      </c>
      <c r="B63" s="320" t="s">
        <v>308</v>
      </c>
      <c r="C63" s="369" t="s">
        <v>393</v>
      </c>
      <c r="D63" s="331">
        <f>VLOOKUP(_xlfn.NUMBERVALUE(A63),[1]工作表1!$A:$D,3,FALSE)</f>
        <v>39.5</v>
      </c>
      <c r="E63" s="332">
        <f>ROUND(VLOOKUP(_xlfn.NUMBERVALUE(A63),[1]工作表1!$A:$D,4,FALSE)/1000,0)</f>
        <v>477</v>
      </c>
      <c r="F63" s="331"/>
      <c r="G63" s="366">
        <v>0</v>
      </c>
      <c r="H63" s="333" t="str">
        <f ca="1">IF(INDIRECT("'"&amp;$A63&amp;"'!"&amp;"$D$1")=$H$1,"","X")</f>
        <v>X</v>
      </c>
      <c r="I63" s="334" t="str">
        <f>IF(F63="","",(D63-F63)/F63)</f>
        <v/>
      </c>
      <c r="J63" s="335" t="e">
        <f ca="1">INDIRECT("'"&amp;$A63&amp;"'!"&amp;"$I$15")</f>
        <v>#VALUE!</v>
      </c>
      <c r="K63" s="336" t="e">
        <f ca="1">INDIRECT("'"&amp;$A63&amp;"'!"&amp;"$I$9")</f>
        <v>#VALUE!</v>
      </c>
      <c r="L63" s="336">
        <f ca="1">INDIRECT("'"&amp;$A63&amp;"'!"&amp;"$B$3")</f>
        <v>82.555661911575953</v>
      </c>
      <c r="M63" s="336">
        <f ca="1">INDIRECT("'"&amp;$A63&amp;"'!"&amp;"$B$4")</f>
        <v>60</v>
      </c>
      <c r="N63" s="336">
        <f ca="1">INDIRECT("'"&amp;$A63&amp;"'!"&amp;"$B$5")</f>
        <v>98.247062470061138</v>
      </c>
      <c r="O63" s="337" t="str">
        <f ca="1">INDIRECT("'"&amp;$A63&amp;"'!"&amp;"$I$6")</f>
        <v>連5月衰退</v>
      </c>
      <c r="P63" s="337" t="str">
        <f ca="1">INDIRECT("'"&amp;$A63&amp;"'!"&amp;"$K$6")</f>
        <v>單季衰退</v>
      </c>
      <c r="Q63" s="338">
        <f ca="1">INDIRECT("'"&amp;$A63&amp;"'!"&amp;"$N$3")</f>
        <v>-0.53285827552942722</v>
      </c>
      <c r="R63" s="338">
        <f ca="1">INDIRECT("'"&amp;$A63&amp;"'!"&amp;"$N$6")/INDIRECT("'"&amp;$A63&amp;"'!"&amp;"$N$5")-1</f>
        <v>-0.51083886215231544</v>
      </c>
      <c r="S63" s="324" t="str">
        <f ca="1">IF(D63&gt;INDIRECT("'"&amp;$A63&amp;"'!"&amp;"$I$3"),"",IF(AND(Q63&lt;0,R63&lt;0),"",IF(AND(Q63&lt;0,R63&gt;0),"轉機",IF(AND(Q63&gt;0,R63&lt;0),"",IF(AND(Q63&gt;=5%,R63&gt;=Q63),"OO","O")))))</f>
        <v/>
      </c>
      <c r="T63" s="332">
        <f>ROUND(策略!$I$14/$D63,0)</f>
        <v>12</v>
      </c>
      <c r="U63" s="334" t="e">
        <f ca="1">INDIRECT("'"&amp;$A63&amp;"'!"&amp;"$J$16")</f>
        <v>#VALUE!</v>
      </c>
      <c r="V63" s="339">
        <f ca="1">IF(ISERROR(INDIRECT("'"&amp;$A63&amp;"'!"&amp;"$D$4")),"",INDIRECT("'"&amp;$A63&amp;"'!"&amp;"$D$4"))</f>
        <v>9.44</v>
      </c>
      <c r="W63" s="340" t="str">
        <f>IF(F63="","",(D63-F63)*G63*1000)</f>
        <v/>
      </c>
      <c r="X63" s="341" t="str">
        <f>IF(F63="","",D63*G63*1000)</f>
        <v/>
      </c>
      <c r="Y63" s="341" t="str">
        <f>IF(F63="","",F63*G63*1000+MAX(ROUNDDOWN(F63*1000*0.145%*28%,0),20)*G63)</f>
        <v/>
      </c>
      <c r="Z63" s="341" t="str">
        <f>IF(G63&gt;0,MAX(ROUNDDOWN(D63*1000*0.145%*28%,0),20)*G63+ROUNDDOWN(F63*1000*0.3%*28%,0)*G63,"")</f>
        <v/>
      </c>
      <c r="AA63" s="336">
        <f ca="1">INDIRECT("'"&amp;$A63&amp;"'!"&amp;"$B$10")</f>
        <v>12.07</v>
      </c>
      <c r="AB63" s="336">
        <f ca="1">INDIRECT("'"&amp;$A63&amp;"'!"&amp;"$E$10")</f>
        <v>15.46</v>
      </c>
      <c r="AC63" s="337" t="str">
        <f>VLOOKUP(_xlfn.NUMBERVALUE(A63),[2]工作表1!$A:$G,7,FALSE)</f>
        <v>無保留意見</v>
      </c>
    </row>
    <row r="64" spans="1:29" x14ac:dyDescent="0.25">
      <c r="A64" s="343">
        <v>6115</v>
      </c>
      <c r="B64" s="345" t="s">
        <v>312</v>
      </c>
      <c r="C64" s="345"/>
      <c r="D64" s="331">
        <f>VLOOKUP(_xlfn.NUMBERVALUE(A64),[1]工作表1!$A:$D,3,FALSE)</f>
        <v>44</v>
      </c>
      <c r="E64" s="332">
        <f>ROUND(VLOOKUP(_xlfn.NUMBERVALUE(A64),[1]工作表1!$A:$D,4,FALSE)/1000,0)</f>
        <v>173</v>
      </c>
      <c r="F64" s="331"/>
      <c r="G64" s="366">
        <v>0</v>
      </c>
      <c r="H64" s="333" t="str">
        <f ca="1">IF(INDIRECT("'"&amp;$A64&amp;"'!"&amp;"$D$1")=$H$1,"","X")</f>
        <v>X</v>
      </c>
      <c r="I64" s="334" t="str">
        <f>IF(F64="","",(D64-F64)/F64)</f>
        <v/>
      </c>
      <c r="J64" s="335" t="e">
        <f ca="1">INDIRECT("'"&amp;$A64&amp;"'!"&amp;"$I$15")</f>
        <v>#DIV/0!</v>
      </c>
      <c r="K64" s="336">
        <f ca="1">INDIRECT("'"&amp;$A64&amp;"'!"&amp;"$I$9")</f>
        <v>0</v>
      </c>
      <c r="L64" s="336">
        <f ca="1">INDIRECT("'"&amp;$A64&amp;"'!"&amp;"$B$3")</f>
        <v>89.327193355469376</v>
      </c>
      <c r="M64" s="336">
        <f ca="1">INDIRECT("'"&amp;$A64&amp;"'!"&amp;"$B$4")</f>
        <v>68</v>
      </c>
      <c r="N64" s="336">
        <f ca="1">INDIRECT("'"&amp;$A64&amp;"'!"&amp;"$B$5")</f>
        <v>88.924259507829987</v>
      </c>
      <c r="O64" s="337" t="str">
        <f ca="1">INDIRECT("'"&amp;$A64&amp;"'!"&amp;"$I$6")</f>
        <v>上月成長</v>
      </c>
      <c r="P64" s="337" t="str">
        <f ca="1">INDIRECT("'"&amp;$A64&amp;"'!"&amp;"$K$6")</f>
        <v>連3季衰退</v>
      </c>
      <c r="Q64" s="338">
        <f ca="1">INDIRECT("'"&amp;$A64&amp;"'!"&amp;"$N$3")</f>
        <v>-0.26289054667441214</v>
      </c>
      <c r="R64" s="338">
        <f ca="1">INDIRECT("'"&amp;$A64&amp;"'!"&amp;"$N$6")/INDIRECT("'"&amp;$A64&amp;"'!"&amp;"$N$5")-1</f>
        <v>0.13427485828279884</v>
      </c>
      <c r="S64" s="324" t="str">
        <f ca="1">IF(D64&gt;INDIRECT("'"&amp;$A64&amp;"'!"&amp;"$I$3"),"",IF(AND(Q64&lt;0,R64&lt;0),"",IF(AND(Q64&lt;0,R64&gt;0),"轉機",IF(AND(Q64&gt;0,R64&lt;0),"",IF(AND(Q64&gt;=5%,R64&gt;=Q64),"OO","O")))))</f>
        <v/>
      </c>
      <c r="T64" s="332">
        <f>ROUND(策略!$I$14/$D64,0)</f>
        <v>11</v>
      </c>
      <c r="U64" s="334">
        <f ca="1">INDIRECT("'"&amp;$A64&amp;"'!"&amp;"$J$16")</f>
        <v>-1</v>
      </c>
      <c r="V64" s="339">
        <f ca="1">IF(ISERROR(INDIRECT("'"&amp;$A64&amp;"'!"&amp;"$D$4")),"",INDIRECT("'"&amp;$A64&amp;"'!"&amp;"$D$4"))</f>
        <v>18</v>
      </c>
      <c r="W64" s="340" t="str">
        <f>IF(F64="","",(D64-F64)*G64*1000)</f>
        <v/>
      </c>
      <c r="X64" s="341" t="str">
        <f>IF(F64="","",D64*G64*1000)</f>
        <v/>
      </c>
      <c r="Y64" s="341" t="str">
        <f>IF(F64="","",F64*G64*1000+MAX(ROUNDDOWN(F64*1000*0.145%*28%,0),20)*G64)</f>
        <v/>
      </c>
      <c r="Z64" s="341" t="str">
        <f>IF(G64&gt;0,MAX(ROUNDDOWN(D64*1000*0.145%*28%,0),20)*G64+ROUNDDOWN(F64*1000*0.3%*28%,0)*G64,"")</f>
        <v/>
      </c>
      <c r="AA64" s="336">
        <f ca="1">INDIRECT("'"&amp;$A64&amp;"'!"&amp;"$B$10")</f>
        <v>10.09</v>
      </c>
      <c r="AB64" s="336">
        <f ca="1">INDIRECT("'"&amp;$A64&amp;"'!"&amp;"$E$10")</f>
        <v>11.664999999999999</v>
      </c>
      <c r="AC64" s="337" t="str">
        <f>VLOOKUP(_xlfn.NUMBERVALUE(A64),[2]工作表1!$A:$G,7,FALSE)</f>
        <v>無保留意見</v>
      </c>
    </row>
    <row r="65" spans="1:29" x14ac:dyDescent="0.25">
      <c r="A65" s="330">
        <v>6121</v>
      </c>
      <c r="B65" s="320" t="s">
        <v>295</v>
      </c>
      <c r="C65" s="369" t="s">
        <v>393</v>
      </c>
      <c r="D65" s="331">
        <f>VLOOKUP(_xlfn.NUMBERVALUE(A65),[1]工作表1!$A:$D,3,FALSE)</f>
        <v>180</v>
      </c>
      <c r="E65" s="332">
        <f>ROUND(VLOOKUP(_xlfn.NUMBERVALUE(A65),[1]工作表1!$A:$D,4,FALSE)/1000,0)</f>
        <v>756</v>
      </c>
      <c r="F65" s="331"/>
      <c r="G65" s="366">
        <v>0</v>
      </c>
      <c r="H65" s="333" t="str">
        <f ca="1">IF(INDIRECT("'"&amp;$A65&amp;"'!"&amp;"$D$1")=$H$1,"","X")</f>
        <v>X</v>
      </c>
      <c r="I65" s="334" t="str">
        <f>IF(F65="","",(D65-F65)/F65)</f>
        <v/>
      </c>
      <c r="J65" s="335" t="e">
        <f ca="1">INDIRECT("'"&amp;$A65&amp;"'!"&amp;"$I$15")</f>
        <v>#VALUE!</v>
      </c>
      <c r="K65" s="336" t="e">
        <f ca="1">INDIRECT("'"&amp;$A65&amp;"'!"&amp;"$I$9")</f>
        <v>#VALUE!</v>
      </c>
      <c r="L65" s="336">
        <f ca="1">INDIRECT("'"&amp;$A65&amp;"'!"&amp;"$B$3")</f>
        <v>87.077312577707332</v>
      </c>
      <c r="M65" s="336">
        <f ca="1">INDIRECT("'"&amp;$A65&amp;"'!"&amp;"$B$4")</f>
        <v>78</v>
      </c>
      <c r="N65" s="336">
        <f ca="1">INDIRECT("'"&amp;$A65&amp;"'!"&amp;"$B$5")</f>
        <v>77.274802359882017</v>
      </c>
      <c r="O65" s="337" t="str">
        <f ca="1">INDIRECT("'"&amp;$A65&amp;"'!"&amp;"$I$6")</f>
        <v>連4月成長</v>
      </c>
      <c r="P65" s="337" t="str">
        <f ca="1">INDIRECT("'"&amp;$A65&amp;"'!"&amp;"$K$6")</f>
        <v>單季成長</v>
      </c>
      <c r="Q65" s="338">
        <f ca="1">INDIRECT("'"&amp;$A65&amp;"'!"&amp;"$N$3")</f>
        <v>-2.0099685195962575E-2</v>
      </c>
      <c r="R65" s="338">
        <f ca="1">INDIRECT("'"&amp;$A65&amp;"'!"&amp;"$N$6")/INDIRECT("'"&amp;$A65&amp;"'!"&amp;"$N$5")-1</f>
        <v>-8.0365493152911416E-2</v>
      </c>
      <c r="S65" s="324" t="str">
        <f ca="1">IF(D65&gt;INDIRECT("'"&amp;$A65&amp;"'!"&amp;"$I$3"),"",IF(AND(Q65&lt;0,R65&lt;0),"",IF(AND(Q65&lt;0,R65&gt;0),"轉機",IF(AND(Q65&gt;0,R65&lt;0),"",IF(AND(Q65&gt;=5%,R65&gt;=Q65),"OO","O")))))</f>
        <v/>
      </c>
      <c r="T65" s="332">
        <f>ROUND(策略!$I$14/$D65,0)</f>
        <v>3</v>
      </c>
      <c r="U65" s="334" t="e">
        <f ca="1">INDIRECT("'"&amp;$A65&amp;"'!"&amp;"$J$16")</f>
        <v>#VALUE!</v>
      </c>
      <c r="V65" s="339">
        <f ca="1">IF(ISERROR(INDIRECT("'"&amp;$A65&amp;"'!"&amp;"$D$4")),"",INDIRECT("'"&amp;$A65&amp;"'!"&amp;"$D$4"))</f>
        <v>18.5</v>
      </c>
      <c r="W65" s="340" t="str">
        <f>IF(F65="","",(D65-F65)*G65*1000)</f>
        <v/>
      </c>
      <c r="X65" s="341" t="str">
        <f>IF(F65="","",D65*G65*1000)</f>
        <v/>
      </c>
      <c r="Y65" s="341" t="str">
        <f>IF(F65="","",F65*G65*1000+MAX(ROUNDDOWN(F65*1000*0.145%*28%,0),20)*G65)</f>
        <v/>
      </c>
      <c r="Z65" s="341" t="str">
        <f>IF(G65&gt;0,MAX(ROUNDDOWN(D65*1000*0.145%*28%,0),20)*G65+ROUNDDOWN(F65*1000*0.3%*28%,0)*G65,"")</f>
        <v/>
      </c>
      <c r="AA65" s="336">
        <f ca="1">INDIRECT("'"&amp;$A65&amp;"'!"&amp;"$B$10")</f>
        <v>11.04</v>
      </c>
      <c r="AB65" s="336">
        <f ca="1">INDIRECT("'"&amp;$A65&amp;"'!"&amp;"$E$10")</f>
        <v>14.155000000000001</v>
      </c>
      <c r="AC65" s="337" t="str">
        <f>VLOOKUP(_xlfn.NUMBERVALUE(A65),[2]工作表1!$A:$G,7,FALSE)</f>
        <v>無保留意見</v>
      </c>
    </row>
    <row r="66" spans="1:29" x14ac:dyDescent="0.25">
      <c r="A66" s="330">
        <v>6189</v>
      </c>
      <c r="B66" s="320" t="s">
        <v>327</v>
      </c>
      <c r="C66" s="320"/>
      <c r="D66" s="331">
        <f>VLOOKUP(_xlfn.NUMBERVALUE(A66),[1]工作表1!$A:$D,3,FALSE)</f>
        <v>28.3</v>
      </c>
      <c r="E66" s="332">
        <f>ROUND(VLOOKUP(_xlfn.NUMBERVALUE(A66),[1]工作表1!$A:$D,4,FALSE)/1000,0)</f>
        <v>280</v>
      </c>
      <c r="F66" s="331"/>
      <c r="G66" s="366">
        <v>0</v>
      </c>
      <c r="H66" s="333" t="str">
        <f ca="1">IF(INDIRECT("'"&amp;$A66&amp;"'!"&amp;"$D$1")=$H$1,"","X")</f>
        <v>X</v>
      </c>
      <c r="I66" s="334" t="str">
        <f>IF(F66="","",(D66-F66)/F66)</f>
        <v/>
      </c>
      <c r="J66" s="335" t="e">
        <f ca="1">INDIRECT("'"&amp;$A66&amp;"'!"&amp;"$I$15")</f>
        <v>#DIV/0!</v>
      </c>
      <c r="K66" s="336">
        <f ca="1">INDIRECT("'"&amp;$A66&amp;"'!"&amp;"$I$9")</f>
        <v>0</v>
      </c>
      <c r="L66" s="336">
        <f ca="1">INDIRECT("'"&amp;$A66&amp;"'!"&amp;"$B$3")</f>
        <v>86.97740668727468</v>
      </c>
      <c r="M66" s="336">
        <f ca="1">INDIRECT("'"&amp;$A66&amp;"'!"&amp;"$B$4")</f>
        <v>86</v>
      </c>
      <c r="N66" s="336">
        <f ca="1">INDIRECT("'"&amp;$A66&amp;"'!"&amp;"$B$5")</f>
        <v>72.351623794212216</v>
      </c>
      <c r="O66" s="337" t="str">
        <f ca="1">INDIRECT("'"&amp;$A66&amp;"'!"&amp;"$I$6")</f>
        <v>上月衰退</v>
      </c>
      <c r="P66" s="337" t="str">
        <f ca="1">INDIRECT("'"&amp;$A66&amp;"'!"&amp;"$K$6")</f>
        <v>單季成長</v>
      </c>
      <c r="Q66" s="338">
        <f ca="1">INDIRECT("'"&amp;$A66&amp;"'!"&amp;"$N$3")</f>
        <v>-0.18186115639789122</v>
      </c>
      <c r="R66" s="338">
        <f ca="1">INDIRECT("'"&amp;$A66&amp;"'!"&amp;"$N$6")/INDIRECT("'"&amp;$A66&amp;"'!"&amp;"$N$5")-1</f>
        <v>6.1636179457770446E-2</v>
      </c>
      <c r="S66" s="324" t="str">
        <f ca="1">IF(D66&gt;INDIRECT("'"&amp;$A66&amp;"'!"&amp;"$I$3"),"",IF(AND(Q66&lt;0,R66&lt;0),"",IF(AND(Q66&lt;0,R66&gt;0),"轉機",IF(AND(Q66&gt;0,R66&lt;0),"",IF(AND(Q66&gt;=5%,R66&gt;=Q66),"OO","O")))))</f>
        <v/>
      </c>
      <c r="T66" s="332">
        <f>ROUND(策略!$I$14/$D66,0)</f>
        <v>17</v>
      </c>
      <c r="U66" s="334">
        <f ca="1">INDIRECT("'"&amp;$A66&amp;"'!"&amp;"$J$16")</f>
        <v>-1</v>
      </c>
      <c r="V66" s="339">
        <f ca="1">IF(ISERROR(INDIRECT("'"&amp;$A66&amp;"'!"&amp;"$D$4")),"",INDIRECT("'"&amp;$A66&amp;"'!"&amp;"$D$4"))</f>
        <v>17.899999999999999</v>
      </c>
      <c r="W66" s="340" t="str">
        <f>IF(F66="","",(D66-F66)*G66*1000)</f>
        <v/>
      </c>
      <c r="X66" s="341" t="str">
        <f>IF(F66="","",D66*G66*1000)</f>
        <v/>
      </c>
      <c r="Y66" s="341" t="str">
        <f>IF(F66="","",F66*G66*1000+MAX(ROUNDDOWN(F66*1000*0.145%*28%,0),20)*G66)</f>
        <v/>
      </c>
      <c r="Z66" s="341" t="str">
        <f>IF(G66&gt;0,MAX(ROUNDDOWN(D66*1000*0.145%*28%,0),20)*G66+ROUNDDOWN(F66*1000*0.3%*28%,0)*G66,"")</f>
        <v/>
      </c>
      <c r="AA66" s="336">
        <f ca="1">INDIRECT("'"&amp;$A66&amp;"'!"&amp;"$B$10")</f>
        <v>9.2100000000000009</v>
      </c>
      <c r="AB66" s="336">
        <f ca="1">INDIRECT("'"&amp;$A66&amp;"'!"&amp;"$E$10")</f>
        <v>11.045</v>
      </c>
      <c r="AC66" s="337" t="str">
        <f>VLOOKUP(_xlfn.NUMBERVALUE(A66),[2]工作表1!$A:$G,7,FALSE)</f>
        <v>無保留意見</v>
      </c>
    </row>
    <row r="67" spans="1:29" x14ac:dyDescent="0.25">
      <c r="A67" s="330">
        <v>6202</v>
      </c>
      <c r="B67" s="320" t="s">
        <v>173</v>
      </c>
      <c r="C67" s="320"/>
      <c r="D67" s="331">
        <f>VLOOKUP(_xlfn.NUMBERVALUE(A67),[1]工作表1!$A:$D,3,FALSE)</f>
        <v>74.5</v>
      </c>
      <c r="E67" s="332">
        <f>ROUND(VLOOKUP(_xlfn.NUMBERVALUE(A67),[1]工作表1!$A:$D,4,FALSE)/1000,0)</f>
        <v>2675</v>
      </c>
      <c r="F67" s="331"/>
      <c r="G67" s="366">
        <v>0</v>
      </c>
      <c r="H67" s="333" t="str">
        <f ca="1">IF(INDIRECT("'"&amp;$A67&amp;"'!"&amp;"$D$1")=$H$1,"","X")</f>
        <v>X</v>
      </c>
      <c r="I67" s="334" t="str">
        <f>IF(F67="","",(D67-F67)/F67)</f>
        <v/>
      </c>
      <c r="J67" s="335" t="e">
        <f ca="1">INDIRECT("'"&amp;$A67&amp;"'!"&amp;"$I$15")</f>
        <v>#DIV/0!</v>
      </c>
      <c r="K67" s="336">
        <f ca="1">INDIRECT("'"&amp;$A67&amp;"'!"&amp;"$I$9")</f>
        <v>0</v>
      </c>
      <c r="L67" s="336">
        <f ca="1">INDIRECT("'"&amp;$A67&amp;"'!"&amp;"$B$3")</f>
        <v>92.343871174680743</v>
      </c>
      <c r="M67" s="336">
        <f ca="1">INDIRECT("'"&amp;$A67&amp;"'!"&amp;"$B$4")</f>
        <v>92</v>
      </c>
      <c r="N67" s="336">
        <f ca="1">INDIRECT("'"&amp;$A67&amp;"'!"&amp;"$B$5")</f>
        <v>100.0086642599278</v>
      </c>
      <c r="O67" s="337" t="str">
        <f ca="1">INDIRECT("'"&amp;$A67&amp;"'!"&amp;"$I$6")</f>
        <v>連3月成長</v>
      </c>
      <c r="P67" s="337" t="str">
        <f ca="1">INDIRECT("'"&amp;$A67&amp;"'!"&amp;"$K$6")</f>
        <v>連3季成長</v>
      </c>
      <c r="Q67" s="338">
        <f ca="1">INDIRECT("'"&amp;$A67&amp;"'!"&amp;"$N$3")</f>
        <v>0.11043873724844203</v>
      </c>
      <c r="R67" s="338">
        <f ca="1">INDIRECT("'"&amp;$A67&amp;"'!"&amp;"$N$6")/INDIRECT("'"&amp;$A67&amp;"'!"&amp;"$N$5")-1</f>
        <v>6.6698626525178328E-2</v>
      </c>
      <c r="S67" s="324" t="str">
        <f ca="1">IF(D67&gt;INDIRECT("'"&amp;$A67&amp;"'!"&amp;"$I$3"),"",IF(AND(Q67&lt;0,R67&lt;0),"",IF(AND(Q67&lt;0,R67&gt;0),"轉機",IF(AND(Q67&gt;0,R67&lt;0),"",IF(AND(Q67&gt;=5%,R67&gt;=Q67),"OO","O")))))</f>
        <v/>
      </c>
      <c r="T67" s="332">
        <f>ROUND(策略!$I$14/$D67,0)</f>
        <v>7</v>
      </c>
      <c r="U67" s="334">
        <f ca="1">INDIRECT("'"&amp;$A67&amp;"'!"&amp;"$J$16")</f>
        <v>-1</v>
      </c>
      <c r="V67" s="339">
        <f ca="1">IF(ISERROR(INDIRECT("'"&amp;$A67&amp;"'!"&amp;"$D$4")),"",INDIRECT("'"&amp;$A67&amp;"'!"&amp;"$D$4"))</f>
        <v>22.6</v>
      </c>
      <c r="W67" s="340" t="str">
        <f>IF(F67="","",(D67-F67)*G67*1000)</f>
        <v/>
      </c>
      <c r="X67" s="341" t="str">
        <f>IF(F67="","",D67*G67*1000)</f>
        <v/>
      </c>
      <c r="Y67" s="341" t="str">
        <f>IF(F67="","",F67*G67*1000+MAX(ROUNDDOWN(F67*1000*0.145%*28%,0),20)*G67)</f>
        <v/>
      </c>
      <c r="Z67" s="341" t="str">
        <f>IF(G67&gt;0,MAX(ROUNDDOWN(D67*1000*0.145%*28%,0),20)*G67+ROUNDDOWN(F67*1000*0.3%*28%,0)*G67,"")</f>
        <v/>
      </c>
      <c r="AA67" s="336">
        <f ca="1">INDIRECT("'"&amp;$A67&amp;"'!"&amp;"$B$10")</f>
        <v>13.43</v>
      </c>
      <c r="AB67" s="336">
        <f ca="1">INDIRECT("'"&amp;$A67&amp;"'!"&amp;"$E$10")</f>
        <v>15.205</v>
      </c>
      <c r="AC67" s="337" t="str">
        <f>VLOOKUP(_xlfn.NUMBERVALUE(A67),[2]工作表1!$A:$G,7,FALSE)</f>
        <v>無保留意見</v>
      </c>
    </row>
    <row r="68" spans="1:29" x14ac:dyDescent="0.25">
      <c r="A68" s="330">
        <v>6206</v>
      </c>
      <c r="B68" s="320" t="s">
        <v>305</v>
      </c>
      <c r="C68" s="320"/>
      <c r="D68" s="331">
        <f>VLOOKUP(_xlfn.NUMBERVALUE(A68),[1]工作表1!$A:$D,3,FALSE)</f>
        <v>80.7</v>
      </c>
      <c r="E68" s="332">
        <f>ROUND(VLOOKUP(_xlfn.NUMBERVALUE(A68),[1]工作表1!$A:$D,4,FALSE)/1000,0)</f>
        <v>94</v>
      </c>
      <c r="F68" s="331"/>
      <c r="G68" s="366">
        <v>0</v>
      </c>
      <c r="H68" s="333" t="str">
        <f ca="1">IF(INDIRECT("'"&amp;$A68&amp;"'!"&amp;"$D$1")=$H$1,"","X")</f>
        <v>X</v>
      </c>
      <c r="I68" s="334" t="str">
        <f>IF(F68="","",(D68-F68)/F68)</f>
        <v/>
      </c>
      <c r="J68" s="335" t="e">
        <f ca="1">INDIRECT("'"&amp;$A68&amp;"'!"&amp;"$I$15")</f>
        <v>#DIV/0!</v>
      </c>
      <c r="K68" s="336">
        <f ca="1">INDIRECT("'"&amp;$A68&amp;"'!"&amp;"$I$9")</f>
        <v>0</v>
      </c>
      <c r="L68" s="336">
        <f ca="1">INDIRECT("'"&amp;$A68&amp;"'!"&amp;"$B$3")</f>
        <v>84.970296105225344</v>
      </c>
      <c r="M68" s="336">
        <f ca="1">INDIRECT("'"&amp;$A68&amp;"'!"&amp;"$B$4")</f>
        <v>76</v>
      </c>
      <c r="N68" s="336">
        <f ca="1">INDIRECT("'"&amp;$A68&amp;"'!"&amp;"$B$5")</f>
        <v>98.821802935010481</v>
      </c>
      <c r="O68" s="337" t="str">
        <f ca="1">INDIRECT("'"&amp;$A68&amp;"'!"&amp;"$I$6")</f>
        <v>連2月成長</v>
      </c>
      <c r="P68" s="337" t="str">
        <f ca="1">INDIRECT("'"&amp;$A68&amp;"'!"&amp;"$K$6")</f>
        <v>單季成長</v>
      </c>
      <c r="Q68" s="338">
        <f ca="1">INDIRECT("'"&amp;$A68&amp;"'!"&amp;"$N$3")</f>
        <v>-0.16712149895334544</v>
      </c>
      <c r="R68" s="338">
        <f ca="1">INDIRECT("'"&amp;$A68&amp;"'!"&amp;"$N$6")/INDIRECT("'"&amp;$A68&amp;"'!"&amp;"$N$5")-1</f>
        <v>0.11619648533018267</v>
      </c>
      <c r="S68" s="324" t="str">
        <f ca="1">IF(D68&gt;INDIRECT("'"&amp;$A68&amp;"'!"&amp;"$I$3"),"",IF(AND(Q68&lt;0,R68&lt;0),"",IF(AND(Q68&lt;0,R68&gt;0),"轉機",IF(AND(Q68&gt;0,R68&lt;0),"",IF(AND(Q68&gt;=5%,R68&gt;=Q68),"OO","O")))))</f>
        <v/>
      </c>
      <c r="T68" s="332">
        <f>ROUND(策略!$I$14/$D68,0)</f>
        <v>6</v>
      </c>
      <c r="U68" s="334">
        <f ca="1">INDIRECT("'"&amp;$A68&amp;"'!"&amp;"$J$16")</f>
        <v>-1</v>
      </c>
      <c r="V68" s="339">
        <f ca="1">IF(ISERROR(INDIRECT("'"&amp;$A68&amp;"'!"&amp;"$D$4")),"",INDIRECT("'"&amp;$A68&amp;"'!"&amp;"$D$4"))</f>
        <v>14.6</v>
      </c>
      <c r="W68" s="340" t="str">
        <f>IF(F68="","",(D68-F68)*G68*1000)</f>
        <v/>
      </c>
      <c r="X68" s="341" t="str">
        <f>IF(F68="","",D68*G68*1000)</f>
        <v/>
      </c>
      <c r="Y68" s="341" t="str">
        <f>IF(F68="","",F68*G68*1000+MAX(ROUNDDOWN(F68*1000*0.145%*28%,0),20)*G68)</f>
        <v/>
      </c>
      <c r="Z68" s="341" t="str">
        <f>IF(G68&gt;0,MAX(ROUNDDOWN(D68*1000*0.145%*28%,0),20)*G68+ROUNDDOWN(F68*1000*0.3%*28%,0)*G68,"")</f>
        <v/>
      </c>
      <c r="AA68" s="336">
        <f ca="1">INDIRECT("'"&amp;$A68&amp;"'!"&amp;"$B$10")</f>
        <v>12.74</v>
      </c>
      <c r="AB68" s="336">
        <f ca="1">INDIRECT("'"&amp;$A68&amp;"'!"&amp;"$E$10")</f>
        <v>16.285</v>
      </c>
      <c r="AC68" s="337" t="str">
        <f>VLOOKUP(_xlfn.NUMBERVALUE(A68),[2]工作表1!$A:$G,7,FALSE)</f>
        <v>無保留意見</v>
      </c>
    </row>
    <row r="69" spans="1:29" x14ac:dyDescent="0.25">
      <c r="A69" s="330">
        <v>6216</v>
      </c>
      <c r="B69" s="320" t="s">
        <v>314</v>
      </c>
      <c r="C69" s="320"/>
      <c r="D69" s="331">
        <f>VLOOKUP(_xlfn.NUMBERVALUE(A69),[1]工作表1!$A:$D,3,FALSE)</f>
        <v>28.1</v>
      </c>
      <c r="E69" s="332">
        <f>ROUND(VLOOKUP(_xlfn.NUMBERVALUE(A69),[1]工作表1!$A:$D,4,FALSE)/1000,0)</f>
        <v>92</v>
      </c>
      <c r="F69" s="331"/>
      <c r="G69" s="366">
        <v>0</v>
      </c>
      <c r="H69" s="333" t="str">
        <f ca="1">IF(INDIRECT("'"&amp;$A69&amp;"'!"&amp;"$D$1")=$H$1,"","X")</f>
        <v>X</v>
      </c>
      <c r="I69" s="334" t="str">
        <f>IF(F69="","",(D69-F69)/F69)</f>
        <v/>
      </c>
      <c r="J69" s="335" t="e">
        <f ca="1">INDIRECT("'"&amp;$A69&amp;"'!"&amp;"$I$15")</f>
        <v>#DIV/0!</v>
      </c>
      <c r="K69" s="336">
        <f ca="1">INDIRECT("'"&amp;$A69&amp;"'!"&amp;"$I$9")</f>
        <v>0</v>
      </c>
      <c r="L69" s="336">
        <f ca="1">INDIRECT("'"&amp;$A69&amp;"'!"&amp;"$B$3")</f>
        <v>77.82355637030247</v>
      </c>
      <c r="M69" s="336">
        <f ca="1">INDIRECT("'"&amp;$A69&amp;"'!"&amp;"$B$4")</f>
        <v>92</v>
      </c>
      <c r="N69" s="336">
        <f ca="1">INDIRECT("'"&amp;$A69&amp;"'!"&amp;"$B$5")</f>
        <v>99.215648854961827</v>
      </c>
      <c r="O69" s="337" t="str">
        <f ca="1">INDIRECT("'"&amp;$A69&amp;"'!"&amp;"$I$6")</f>
        <v>上月衰退</v>
      </c>
      <c r="P69" s="337" t="str">
        <f ca="1">INDIRECT("'"&amp;$A69&amp;"'!"&amp;"$K$6")</f>
        <v>連3季衰退</v>
      </c>
      <c r="Q69" s="338">
        <f ca="1">INDIRECT("'"&amp;$A69&amp;"'!"&amp;"$N$3")</f>
        <v>-0.30542822419092974</v>
      </c>
      <c r="R69" s="338">
        <f ca="1">INDIRECT("'"&amp;$A69&amp;"'!"&amp;"$N$6")/INDIRECT("'"&amp;$A69&amp;"'!"&amp;"$N$5")-1</f>
        <v>-2.8228151646628175E-2</v>
      </c>
      <c r="S69" s="324" t="str">
        <f ca="1">IF(D69&gt;INDIRECT("'"&amp;$A69&amp;"'!"&amp;"$I$3"),"",IF(AND(Q69&lt;0,R69&lt;0),"",IF(AND(Q69&lt;0,R69&gt;0),"轉機",IF(AND(Q69&gt;0,R69&lt;0),"",IF(AND(Q69&gt;=5%,R69&gt;=Q69),"OO","O")))))</f>
        <v/>
      </c>
      <c r="T69" s="332">
        <f>ROUND(策略!$I$14/$D69,0)</f>
        <v>17</v>
      </c>
      <c r="U69" s="334">
        <f ca="1">INDIRECT("'"&amp;$A69&amp;"'!"&amp;"$J$16")</f>
        <v>-1</v>
      </c>
      <c r="V69" s="339">
        <f ca="1">IF(ISERROR(INDIRECT("'"&amp;$A69&amp;"'!"&amp;"$D$4")),"",INDIRECT("'"&amp;$A69&amp;"'!"&amp;"$D$4"))</f>
        <v>7.99</v>
      </c>
      <c r="W69" s="340" t="str">
        <f>IF(F69="","",(D69-F69)*G69*1000)</f>
        <v/>
      </c>
      <c r="X69" s="341" t="str">
        <f>IF(F69="","",D69*G69*1000)</f>
        <v/>
      </c>
      <c r="Y69" s="341" t="str">
        <f>IF(F69="","",F69*G69*1000+MAX(ROUNDDOWN(F69*1000*0.145%*28%,0),20)*G69)</f>
        <v/>
      </c>
      <c r="Z69" s="341" t="str">
        <f>IF(G69&gt;0,MAX(ROUNDDOWN(D69*1000*0.145%*28%,0),20)*G69+ROUNDDOWN(F69*1000*0.3%*28%,0)*G69,"")</f>
        <v/>
      </c>
      <c r="AA69" s="336">
        <f ca="1">INDIRECT("'"&amp;$A69&amp;"'!"&amp;"$B$10")</f>
        <v>10.039999999999999</v>
      </c>
      <c r="AB69" s="336">
        <f ca="1">INDIRECT("'"&amp;$A69&amp;"'!"&amp;"$E$10")</f>
        <v>12.27</v>
      </c>
      <c r="AC69" s="337" t="str">
        <f>VLOOKUP(_xlfn.NUMBERVALUE(A69),[2]工作表1!$A:$G,7,FALSE)</f>
        <v>無保留意見</v>
      </c>
    </row>
    <row r="70" spans="1:29" x14ac:dyDescent="0.25">
      <c r="A70" s="330">
        <v>6217</v>
      </c>
      <c r="B70" s="369" t="s">
        <v>317</v>
      </c>
      <c r="C70" s="369" t="s">
        <v>393</v>
      </c>
      <c r="D70" s="331">
        <f>VLOOKUP(_xlfn.NUMBERVALUE(A70),[1]工作表1!$A:$D,3,FALSE)</f>
        <v>28.65</v>
      </c>
      <c r="E70" s="332">
        <f>ROUND(VLOOKUP(_xlfn.NUMBERVALUE(A70),[1]工作表1!$A:$D,4,FALSE)/1000,0)</f>
        <v>470</v>
      </c>
      <c r="F70" s="331">
        <v>35.369999999999997</v>
      </c>
      <c r="G70" s="366">
        <v>3.03</v>
      </c>
      <c r="H70" s="333" t="str">
        <f ca="1">IF(INDIRECT("'"&amp;$A70&amp;"'!"&amp;"$D$1")=$H$1,"","X")</f>
        <v/>
      </c>
      <c r="I70" s="334">
        <f>IF(F70="","",(D70-F70)/F70)</f>
        <v>-0.18999151823579302</v>
      </c>
      <c r="J70" s="335" t="e">
        <f ca="1">INDIRECT("'"&amp;$A70&amp;"'!"&amp;"$I$15")</f>
        <v>#VALUE!</v>
      </c>
      <c r="K70" s="336" t="e">
        <f ca="1">INDIRECT("'"&amp;$A70&amp;"'!"&amp;"$I$9")</f>
        <v>#VALUE!</v>
      </c>
      <c r="L70" s="336">
        <f ca="1">INDIRECT("'"&amp;$A70&amp;"'!"&amp;"$B$3")</f>
        <v>80.800543705521747</v>
      </c>
      <c r="M70" s="336">
        <f ca="1">INDIRECT("'"&amp;$A70&amp;"'!"&amp;"$B$4")</f>
        <v>72</v>
      </c>
      <c r="N70" s="336">
        <f ca="1">INDIRECT("'"&amp;$A70&amp;"'!"&amp;"$B$5")</f>
        <v>96.0773858007705</v>
      </c>
      <c r="O70" s="337" t="str">
        <f ca="1">INDIRECT("'"&amp;$A70&amp;"'!"&amp;"$I$6")</f>
        <v>連4月衰退</v>
      </c>
      <c r="P70" s="337" t="str">
        <f ca="1">INDIRECT("'"&amp;$A70&amp;"'!"&amp;"$K$6")</f>
        <v>連3季成長</v>
      </c>
      <c r="Q70" s="338">
        <f ca="1">INDIRECT("'"&amp;$A70&amp;"'!"&amp;"$N$3")</f>
        <v>6.1100842894813184E-2</v>
      </c>
      <c r="R70" s="338">
        <f ca="1">INDIRECT("'"&amp;$A70&amp;"'!"&amp;"$N$6")/INDIRECT("'"&amp;$A70&amp;"'!"&amp;"$N$5")-1</f>
        <v>-2.6505188376746647E-2</v>
      </c>
      <c r="S70" s="324" t="str">
        <f ca="1">IF(D70&gt;INDIRECT("'"&amp;$A70&amp;"'!"&amp;"$I$3"),"",IF(AND(Q70&lt;0,R70&lt;0),"",IF(AND(Q70&lt;0,R70&gt;0),"轉機",IF(AND(Q70&gt;0,R70&lt;0),"",IF(AND(Q70&gt;=5%,R70&gt;=Q70),"OO","O")))))</f>
        <v/>
      </c>
      <c r="T70" s="332">
        <f>ROUND(策略!$I$14/$D70,0)</f>
        <v>17</v>
      </c>
      <c r="U70" s="334" t="e">
        <f ca="1">INDIRECT("'"&amp;$A70&amp;"'!"&amp;"$J$16")</f>
        <v>#VALUE!</v>
      </c>
      <c r="V70" s="339">
        <f ca="1">IF(ISERROR(INDIRECT("'"&amp;$A70&amp;"'!"&amp;"$D$4")),"",INDIRECT("'"&amp;$A70&amp;"'!"&amp;"$D$4"))</f>
        <v>6.3832000000000004</v>
      </c>
      <c r="W70" s="340">
        <f>IF(F70="","",(D70-F70)*G70*1000)</f>
        <v>-20361.599999999995</v>
      </c>
      <c r="X70" s="341">
        <f>IF(F70="","",D70*G70*1000)</f>
        <v>86809.499999999985</v>
      </c>
      <c r="Y70" s="341">
        <f>IF(F70="","",F70*G70*1000+MAX(ROUNDDOWN(F70*1000*0.145%*28%,0),20)*G70)</f>
        <v>107231.69999999998</v>
      </c>
      <c r="Z70" s="341">
        <f>IF(G70&gt;0,MAX(ROUNDDOWN(D70*1000*0.145%*28%,0),20)*G70+ROUNDDOWN(F70*1000*0.3%*28%,0)*G70,"")</f>
        <v>148.46999999999997</v>
      </c>
      <c r="AA70" s="336">
        <f ca="1">INDIRECT("'"&amp;$A70&amp;"'!"&amp;"$B$10")</f>
        <v>12.65</v>
      </c>
      <c r="AB70" s="336">
        <f ca="1">INDIRECT("'"&amp;$A70&amp;"'!"&amp;"$E$10")</f>
        <v>18.270000000000003</v>
      </c>
      <c r="AC70" s="337" t="str">
        <f>VLOOKUP(_xlfn.NUMBERVALUE(A70),[2]工作表1!$A:$G,7,FALSE)</f>
        <v>無保留意見</v>
      </c>
    </row>
    <row r="71" spans="1:29" x14ac:dyDescent="0.25">
      <c r="A71" s="330">
        <v>6224</v>
      </c>
      <c r="B71" s="320" t="s">
        <v>299</v>
      </c>
      <c r="C71" s="320"/>
      <c r="D71" s="331">
        <f>VLOOKUP(_xlfn.NUMBERVALUE(A71),[1]工作表1!$A:$D,3,FALSE)</f>
        <v>56.9</v>
      </c>
      <c r="E71" s="332">
        <f>ROUND(VLOOKUP(_xlfn.NUMBERVALUE(A71),[1]工作表1!$A:$D,4,FALSE)/1000,0)</f>
        <v>139</v>
      </c>
      <c r="F71" s="331"/>
      <c r="G71" s="366">
        <v>0</v>
      </c>
      <c r="H71" s="333" t="str">
        <f ca="1">IF(INDIRECT("'"&amp;$A71&amp;"'!"&amp;"$D$1")=$H$1,"","X")</f>
        <v>X</v>
      </c>
      <c r="I71" s="334" t="str">
        <f>IF(F71="","",(D71-F71)/F71)</f>
        <v/>
      </c>
      <c r="J71" s="335" t="e">
        <f ca="1">INDIRECT("'"&amp;$A71&amp;"'!"&amp;"$I$15")</f>
        <v>#DIV/0!</v>
      </c>
      <c r="K71" s="336">
        <f ca="1">INDIRECT("'"&amp;$A71&amp;"'!"&amp;"$I$9")</f>
        <v>0</v>
      </c>
      <c r="L71" s="336">
        <f ca="1">INDIRECT("'"&amp;$A71&amp;"'!"&amp;"$B$3")</f>
        <v>85.947779937624915</v>
      </c>
      <c r="M71" s="336">
        <f ca="1">INDIRECT("'"&amp;$A71&amp;"'!"&amp;"$B$4")</f>
        <v>86</v>
      </c>
      <c r="N71" s="336">
        <f ca="1">INDIRECT("'"&amp;$A71&amp;"'!"&amp;"$B$5")</f>
        <v>98.99030067895248</v>
      </c>
      <c r="O71" s="337" t="str">
        <f ca="1">INDIRECT("'"&amp;$A71&amp;"'!"&amp;"$I$6")</f>
        <v>連5月衰退</v>
      </c>
      <c r="P71" s="337" t="str">
        <f ca="1">INDIRECT("'"&amp;$A71&amp;"'!"&amp;"$K$6")</f>
        <v>連3季衰退</v>
      </c>
      <c r="Q71" s="338">
        <f ca="1">INDIRECT("'"&amp;$A71&amp;"'!"&amp;"$N$3")</f>
        <v>-0.19338445718880309</v>
      </c>
      <c r="R71" s="338">
        <f ca="1">INDIRECT("'"&amp;$A71&amp;"'!"&amp;"$N$6")/INDIRECT("'"&amp;$A71&amp;"'!"&amp;"$N$5")-1</f>
        <v>-1.4109568742611378E-2</v>
      </c>
      <c r="S71" s="324" t="str">
        <f ca="1">IF(D71&gt;INDIRECT("'"&amp;$A71&amp;"'!"&amp;"$I$3"),"",IF(AND(Q71&lt;0,R71&lt;0),"",IF(AND(Q71&lt;0,R71&gt;0),"轉機",IF(AND(Q71&gt;0,R71&lt;0),"",IF(AND(Q71&gt;=5%,R71&gt;=Q71),"OO","O")))))</f>
        <v/>
      </c>
      <c r="T71" s="332">
        <f>ROUND(策略!$I$14/$D71,0)</f>
        <v>9</v>
      </c>
      <c r="U71" s="334">
        <f ca="1">INDIRECT("'"&amp;$A71&amp;"'!"&amp;"$J$16")</f>
        <v>-1</v>
      </c>
      <c r="V71" s="339">
        <f ca="1">IF(ISERROR(INDIRECT("'"&amp;$A71&amp;"'!"&amp;"$D$4")),"",INDIRECT("'"&amp;$A71&amp;"'!"&amp;"$D$4"))</f>
        <v>8</v>
      </c>
      <c r="W71" s="340" t="str">
        <f>IF(F71="","",(D71-F71)*G71*1000)</f>
        <v/>
      </c>
      <c r="X71" s="341" t="str">
        <f>IF(F71="","",D71*G71*1000)</f>
        <v/>
      </c>
      <c r="Y71" s="341" t="str">
        <f>IF(F71="","",F71*G71*1000+MAX(ROUNDDOWN(F71*1000*0.145%*28%,0),20)*G71)</f>
        <v/>
      </c>
      <c r="Z71" s="341" t="str">
        <f>IF(G71&gt;0,MAX(ROUNDDOWN(D71*1000*0.145%*28%,0),20)*G71+ROUNDDOWN(F71*1000*0.3%*28%,0)*G71,"")</f>
        <v/>
      </c>
      <c r="AA71" s="336">
        <f ca="1">INDIRECT("'"&amp;$A71&amp;"'!"&amp;"$B$10")</f>
        <v>11.07</v>
      </c>
      <c r="AB71" s="336">
        <f ca="1">INDIRECT("'"&amp;$A71&amp;"'!"&amp;"$E$10")</f>
        <v>12.809999999999999</v>
      </c>
      <c r="AC71" s="337" t="str">
        <f>VLOOKUP(_xlfn.NUMBERVALUE(A71),[2]工作表1!$A:$G,7,FALSE)</f>
        <v>無保留意見</v>
      </c>
    </row>
    <row r="72" spans="1:29" x14ac:dyDescent="0.25">
      <c r="A72" s="330">
        <v>6230</v>
      </c>
      <c r="B72" s="320" t="s">
        <v>340</v>
      </c>
      <c r="C72" s="320"/>
      <c r="D72" s="331">
        <f>VLOOKUP(_xlfn.NUMBERVALUE(A72),[1]工作表1!$A:$D,3,FALSE)</f>
        <v>91.5</v>
      </c>
      <c r="E72" s="332">
        <f>ROUND(VLOOKUP(_xlfn.NUMBERVALUE(A72),[1]工作表1!$A:$D,4,FALSE)/1000,0)</f>
        <v>597</v>
      </c>
      <c r="F72" s="331"/>
      <c r="G72" s="366">
        <v>0</v>
      </c>
      <c r="H72" s="333" t="str">
        <f ca="1">IF(INDIRECT("'"&amp;$A72&amp;"'!"&amp;"$D$1")=$H$1,"","X")</f>
        <v>X</v>
      </c>
      <c r="I72" s="334" t="str">
        <f>IF(F72="","",(D72-F72)/F72)</f>
        <v/>
      </c>
      <c r="J72" s="335" t="e">
        <f ca="1">INDIRECT("'"&amp;$A72&amp;"'!"&amp;"$I$15")</f>
        <v>#DIV/0!</v>
      </c>
      <c r="K72" s="336">
        <f ca="1">INDIRECT("'"&amp;$A72&amp;"'!"&amp;"$I$9")</f>
        <v>0</v>
      </c>
      <c r="L72" s="336">
        <f ca="1">INDIRECT("'"&amp;$A72&amp;"'!"&amp;"$B$3")</f>
        <v>89.907839335737151</v>
      </c>
      <c r="M72" s="336">
        <f ca="1">INDIRECT("'"&amp;$A72&amp;"'!"&amp;"$B$4")</f>
        <v>84</v>
      </c>
      <c r="N72" s="336">
        <f ca="1">INDIRECT("'"&amp;$A72&amp;"'!"&amp;"$B$5")</f>
        <v>97.012739378566906</v>
      </c>
      <c r="O72" s="337" t="str">
        <f ca="1">INDIRECT("'"&amp;$A72&amp;"'!"&amp;"$I$6")</f>
        <v>上月衰退</v>
      </c>
      <c r="P72" s="337" t="str">
        <f ca="1">INDIRECT("'"&amp;$A72&amp;"'!"&amp;"$K$6")</f>
        <v>單季成長</v>
      </c>
      <c r="Q72" s="338">
        <f ca="1">INDIRECT("'"&amp;$A72&amp;"'!"&amp;"$N$3")</f>
        <v>-0.4160770428355241</v>
      </c>
      <c r="R72" s="338">
        <f ca="1">INDIRECT("'"&amp;$A72&amp;"'!"&amp;"$N$6")/INDIRECT("'"&amp;$A72&amp;"'!"&amp;"$N$5")-1</f>
        <v>-0.1192086410923997</v>
      </c>
      <c r="S72" s="324" t="str">
        <f ca="1">IF(D72&gt;INDIRECT("'"&amp;$A72&amp;"'!"&amp;"$I$3"),"",IF(AND(Q72&lt;0,R72&lt;0),"",IF(AND(Q72&lt;0,R72&gt;0),"轉機",IF(AND(Q72&gt;0,R72&lt;0),"",IF(AND(Q72&gt;=5%,R72&gt;=Q72),"OO","O")))))</f>
        <v/>
      </c>
      <c r="T72" s="332">
        <f>ROUND(策略!$I$14/$D72,0)</f>
        <v>5</v>
      </c>
      <c r="U72" s="334">
        <f ca="1">INDIRECT("'"&amp;$A72&amp;"'!"&amp;"$J$16")</f>
        <v>-1</v>
      </c>
      <c r="V72" s="339">
        <f ca="1">IF(ISERROR(INDIRECT("'"&amp;$A72&amp;"'!"&amp;"$D$4")),"",INDIRECT("'"&amp;$A72&amp;"'!"&amp;"$D$4"))</f>
        <v>8.6300000000000008</v>
      </c>
      <c r="W72" s="340" t="str">
        <f>IF(F72="","",(D72-F72)*G72*1000)</f>
        <v/>
      </c>
      <c r="X72" s="341" t="str">
        <f>IF(F72="","",D72*G72*1000)</f>
        <v/>
      </c>
      <c r="Y72" s="341" t="str">
        <f>IF(F72="","",F72*G72*1000+MAX(ROUNDDOWN(F72*1000*0.145%*28%,0),20)*G72)</f>
        <v/>
      </c>
      <c r="Z72" s="341" t="str">
        <f>IF(G72&gt;0,MAX(ROUNDDOWN(D72*1000*0.145%*28%,0),20)*G72+ROUNDDOWN(F72*1000*0.3%*28%,0)*G72,"")</f>
        <v/>
      </c>
      <c r="AA72" s="336">
        <f ca="1">INDIRECT("'"&amp;$A72&amp;"'!"&amp;"$B$10")</f>
        <v>10.88</v>
      </c>
      <c r="AB72" s="336">
        <f ca="1">INDIRECT("'"&amp;$A72&amp;"'!"&amp;"$E$10")</f>
        <v>13.805</v>
      </c>
      <c r="AC72" s="337" t="str">
        <f>VLOOKUP(_xlfn.NUMBERVALUE(A72),[2]工作表1!$A:$G,7,FALSE)</f>
        <v>無保留意見</v>
      </c>
    </row>
    <row r="73" spans="1:29" x14ac:dyDescent="0.25">
      <c r="A73" s="330">
        <v>6245</v>
      </c>
      <c r="B73" s="320" t="s">
        <v>330</v>
      </c>
      <c r="C73" s="369" t="s">
        <v>393</v>
      </c>
      <c r="D73" s="331">
        <f>VLOOKUP(_xlfn.NUMBERVALUE(A73),[1]工作表1!$A:$D,3,FALSE)</f>
        <v>41</v>
      </c>
      <c r="E73" s="332">
        <f>ROUND(VLOOKUP(_xlfn.NUMBERVALUE(A73),[1]工作表1!$A:$D,4,FALSE)/1000,0)</f>
        <v>470</v>
      </c>
      <c r="F73" s="331"/>
      <c r="G73" s="366">
        <v>0</v>
      </c>
      <c r="H73" s="333" t="str">
        <f ca="1">IF(INDIRECT("'"&amp;$A73&amp;"'!"&amp;"$D$1")=$H$1,"","X")</f>
        <v>X</v>
      </c>
      <c r="I73" s="334" t="str">
        <f>IF(F73="","",(D73-F73)/F73)</f>
        <v/>
      </c>
      <c r="J73" s="335" t="e">
        <f ca="1">INDIRECT("'"&amp;$A73&amp;"'!"&amp;"$I$15")</f>
        <v>#VALUE!</v>
      </c>
      <c r="K73" s="336" t="e">
        <f ca="1">INDIRECT("'"&amp;$A73&amp;"'!"&amp;"$I$9")</f>
        <v>#VALUE!</v>
      </c>
      <c r="L73" s="336">
        <f ca="1">INDIRECT("'"&amp;$A73&amp;"'!"&amp;"$B$3")</f>
        <v>73.296348483092459</v>
      </c>
      <c r="M73" s="336">
        <f ca="1">INDIRECT("'"&amp;$A73&amp;"'!"&amp;"$B$4")</f>
        <v>82</v>
      </c>
      <c r="N73" s="336">
        <f ca="1">INDIRECT("'"&amp;$A73&amp;"'!"&amp;"$B$5")</f>
        <v>90.881673511293627</v>
      </c>
      <c r="O73" s="337" t="str">
        <f ca="1">INDIRECT("'"&amp;$A73&amp;"'!"&amp;"$I$6")</f>
        <v>連3月成長</v>
      </c>
      <c r="P73" s="337" t="str">
        <f ca="1">INDIRECT("'"&amp;$A73&amp;"'!"&amp;"$K$6")</f>
        <v>單季成長</v>
      </c>
      <c r="Q73" s="338">
        <f ca="1">INDIRECT("'"&amp;$A73&amp;"'!"&amp;"$N$3")</f>
        <v>-0.10414852597313135</v>
      </c>
      <c r="R73" s="338">
        <f ca="1">INDIRECT("'"&amp;$A73&amp;"'!"&amp;"$N$6")/INDIRECT("'"&amp;$A73&amp;"'!"&amp;"$N$5")-1</f>
        <v>0.24373322006941001</v>
      </c>
      <c r="S73" s="324" t="str">
        <f ca="1">IF(D73&gt;INDIRECT("'"&amp;$A73&amp;"'!"&amp;"$I$3"),"",IF(AND(Q73&lt;0,R73&lt;0),"",IF(AND(Q73&lt;0,R73&gt;0),"轉機",IF(AND(Q73&gt;0,R73&lt;0),"",IF(AND(Q73&gt;=5%,R73&gt;=Q73),"OO","O")))))</f>
        <v/>
      </c>
      <c r="T73" s="332">
        <f>ROUND(策略!$I$14/$D73,0)</f>
        <v>12</v>
      </c>
      <c r="U73" s="334" t="e">
        <f ca="1">INDIRECT("'"&amp;$A73&amp;"'!"&amp;"$J$16")</f>
        <v>#VALUE!</v>
      </c>
      <c r="V73" s="339">
        <f ca="1">IF(ISERROR(INDIRECT("'"&amp;$A73&amp;"'!"&amp;"$D$4")),"",INDIRECT("'"&amp;$A73&amp;"'!"&amp;"$D$4"))</f>
        <v>10.4</v>
      </c>
      <c r="W73" s="340" t="str">
        <f>IF(F73="","",(D73-F73)*G73*1000)</f>
        <v/>
      </c>
      <c r="X73" s="341" t="str">
        <f>IF(F73="","",D73*G73*1000)</f>
        <v/>
      </c>
      <c r="Y73" s="341" t="str">
        <f>IF(F73="","",F73*G73*1000+MAX(ROUNDDOWN(F73*1000*0.145%*28%,0),20)*G73)</f>
        <v/>
      </c>
      <c r="Z73" s="341" t="str">
        <f>IF(G73&gt;0,MAX(ROUNDDOWN(D73*1000*0.145%*28%,0),20)*G73+ROUNDDOWN(F73*1000*0.3%*28%,0)*G73,"")</f>
        <v/>
      </c>
      <c r="AA73" s="336">
        <f ca="1">INDIRECT("'"&amp;$A73&amp;"'!"&amp;"$B$10")</f>
        <v>10.8</v>
      </c>
      <c r="AB73" s="336">
        <f ca="1">INDIRECT("'"&amp;$A73&amp;"'!"&amp;"$E$10")</f>
        <v>13.07</v>
      </c>
      <c r="AC73" s="337" t="str">
        <f>VLOOKUP(_xlfn.NUMBERVALUE(A73),[2]工作表1!$A:$G,7,FALSE)</f>
        <v>無保留意見</v>
      </c>
    </row>
    <row r="74" spans="1:29" x14ac:dyDescent="0.25">
      <c r="A74" s="330">
        <v>6257</v>
      </c>
      <c r="B74" s="320" t="s">
        <v>310</v>
      </c>
      <c r="C74" s="320"/>
      <c r="D74" s="331">
        <f>VLOOKUP(_xlfn.NUMBERVALUE(A74),[1]工作表1!$A:$D,3,FALSE)</f>
        <v>34.9</v>
      </c>
      <c r="E74" s="332">
        <f>ROUND(VLOOKUP(_xlfn.NUMBERVALUE(A74),[1]工作表1!$A:$D,4,FALSE)/1000,0)</f>
        <v>7643</v>
      </c>
      <c r="F74" s="331"/>
      <c r="G74" s="366">
        <v>0</v>
      </c>
      <c r="H74" s="333" t="str">
        <f ca="1">IF(INDIRECT("'"&amp;$A74&amp;"'!"&amp;"$D$1")=$H$1,"","X")</f>
        <v>X</v>
      </c>
      <c r="I74" s="334" t="str">
        <f>IF(F74="","",(D74-F74)/F74)</f>
        <v/>
      </c>
      <c r="J74" s="335" t="e">
        <f ca="1">INDIRECT("'"&amp;$A74&amp;"'!"&amp;"$I$15")</f>
        <v>#DIV/0!</v>
      </c>
      <c r="K74" s="336">
        <f ca="1">INDIRECT("'"&amp;$A74&amp;"'!"&amp;"$I$9")</f>
        <v>0</v>
      </c>
      <c r="L74" s="336">
        <f ca="1">INDIRECT("'"&amp;$A74&amp;"'!"&amp;"$B$3")</f>
        <v>80.180008500518042</v>
      </c>
      <c r="M74" s="336">
        <f ca="1">INDIRECT("'"&amp;$A74&amp;"'!"&amp;"$B$4")</f>
        <v>84</v>
      </c>
      <c r="N74" s="336">
        <f ca="1">INDIRECT("'"&amp;$A74&amp;"'!"&amp;"$B$5")</f>
        <v>92.906126126126111</v>
      </c>
      <c r="O74" s="337" t="str">
        <f ca="1">INDIRECT("'"&amp;$A74&amp;"'!"&amp;"$I$6")</f>
        <v>連3月成長</v>
      </c>
      <c r="P74" s="337" t="str">
        <f ca="1">INDIRECT("'"&amp;$A74&amp;"'!"&amp;"$K$6")</f>
        <v>單季衰退</v>
      </c>
      <c r="Q74" s="338">
        <f ca="1">INDIRECT("'"&amp;$A74&amp;"'!"&amp;"$N$3")</f>
        <v>-1.4819192390110055E-2</v>
      </c>
      <c r="R74" s="338">
        <f ca="1">INDIRECT("'"&amp;$A74&amp;"'!"&amp;"$N$6")/INDIRECT("'"&amp;$A74&amp;"'!"&amp;"$N$5")-1</f>
        <v>0.13339477912994435</v>
      </c>
      <c r="S74" s="324" t="str">
        <f ca="1">IF(D74&gt;INDIRECT("'"&amp;$A74&amp;"'!"&amp;"$I$3"),"",IF(AND(Q74&lt;0,R74&lt;0),"",IF(AND(Q74&lt;0,R74&gt;0),"轉機",IF(AND(Q74&gt;0,R74&lt;0),"",IF(AND(Q74&gt;=5%,R74&gt;=Q74),"OO","O")))))</f>
        <v/>
      </c>
      <c r="T74" s="332">
        <f>ROUND(策略!$I$14/$D74,0)</f>
        <v>14</v>
      </c>
      <c r="U74" s="334">
        <f ca="1">INDIRECT("'"&amp;$A74&amp;"'!"&amp;"$J$16")</f>
        <v>-1</v>
      </c>
      <c r="V74" s="339">
        <f ca="1">IF(ISERROR(INDIRECT("'"&amp;$A74&amp;"'!"&amp;"$D$4")),"",INDIRECT("'"&amp;$A74&amp;"'!"&amp;"$D$4"))</f>
        <v>36</v>
      </c>
      <c r="W74" s="340" t="str">
        <f>IF(F74="","",(D74-F74)*G74*1000)</f>
        <v/>
      </c>
      <c r="X74" s="341" t="str">
        <f>IF(F74="","",D74*G74*1000)</f>
        <v/>
      </c>
      <c r="Y74" s="341" t="str">
        <f>IF(F74="","",F74*G74*1000+MAX(ROUNDDOWN(F74*1000*0.145%*28%,0),20)*G74)</f>
        <v/>
      </c>
      <c r="Z74" s="341" t="str">
        <f>IF(G74&gt;0,MAX(ROUNDDOWN(D74*1000*0.145%*28%,0),20)*G74+ROUNDDOWN(F74*1000*0.3%*28%,0)*G74,"")</f>
        <v/>
      </c>
      <c r="AA74" s="336">
        <f ca="1">INDIRECT("'"&amp;$A74&amp;"'!"&amp;"$B$10")</f>
        <v>10.029999999999999</v>
      </c>
      <c r="AB74" s="336">
        <f ca="1">INDIRECT("'"&amp;$A74&amp;"'!"&amp;"$E$10")</f>
        <v>11.504999999999999</v>
      </c>
      <c r="AC74" s="337" t="str">
        <f>VLOOKUP(_xlfn.NUMBERVALUE(A74),[2]工作表1!$A:$G,7,FALSE)</f>
        <v>無保留意見</v>
      </c>
    </row>
    <row r="75" spans="1:29" x14ac:dyDescent="0.25">
      <c r="A75" s="330">
        <v>6263</v>
      </c>
      <c r="B75" s="320" t="s">
        <v>370</v>
      </c>
      <c r="C75" s="369" t="s">
        <v>393</v>
      </c>
      <c r="D75" s="331">
        <f>VLOOKUP(_xlfn.NUMBERVALUE(A75),[1]工作表1!$A:$D,3,FALSE)</f>
        <v>58</v>
      </c>
      <c r="E75" s="332">
        <f>ROUND(VLOOKUP(_xlfn.NUMBERVALUE(A75),[1]工作表1!$A:$D,4,FALSE)/1000,0)</f>
        <v>252</v>
      </c>
      <c r="F75" s="331"/>
      <c r="G75" s="366">
        <v>0</v>
      </c>
      <c r="H75" s="333" t="str">
        <f ca="1">IF(INDIRECT("'"&amp;$A75&amp;"'!"&amp;"$D$1")=$H$1,"","X")</f>
        <v>X</v>
      </c>
      <c r="I75" s="334" t="str">
        <f>IF(F75="","",(D75-F75)/F75)</f>
        <v/>
      </c>
      <c r="J75" s="335" t="e">
        <f ca="1">INDIRECT("'"&amp;$A75&amp;"'!"&amp;"$I$15")</f>
        <v>#VALUE!</v>
      </c>
      <c r="K75" s="336" t="e">
        <f ca="1">INDIRECT("'"&amp;$A75&amp;"'!"&amp;"$I$9")</f>
        <v>#VALUE!</v>
      </c>
      <c r="L75" s="336">
        <f ca="1">INDIRECT("'"&amp;$A75&amp;"'!"&amp;"$B$3")</f>
        <v>97.326668075881656</v>
      </c>
      <c r="M75" s="336">
        <f ca="1">INDIRECT("'"&amp;$A75&amp;"'!"&amp;"$B$4")</f>
        <v>96</v>
      </c>
      <c r="N75" s="336">
        <f ca="1">INDIRECT("'"&amp;$A75&amp;"'!"&amp;"$B$5")</f>
        <v>99.112781954887225</v>
      </c>
      <c r="O75" s="337" t="str">
        <f ca="1">INDIRECT("'"&amp;$A75&amp;"'!"&amp;"$I$6")</f>
        <v>連5月成長</v>
      </c>
      <c r="P75" s="337" t="str">
        <f ca="1">INDIRECT("'"&amp;$A75&amp;"'!"&amp;"$K$6")</f>
        <v>單季成長</v>
      </c>
      <c r="Q75" s="338">
        <f ca="1">INDIRECT("'"&amp;$A75&amp;"'!"&amp;"$N$3")</f>
        <v>0.10221434120802715</v>
      </c>
      <c r="R75" s="338">
        <f ca="1">INDIRECT("'"&amp;$A75&amp;"'!"&amp;"$N$6")/INDIRECT("'"&amp;$A75&amp;"'!"&amp;"$N$5")-1</f>
        <v>0.15590944743536927</v>
      </c>
      <c r="S75" s="324" t="str">
        <f ca="1">IF(D75&gt;INDIRECT("'"&amp;$A75&amp;"'!"&amp;"$I$3"),"",IF(AND(Q75&lt;0,R75&lt;0),"",IF(AND(Q75&lt;0,R75&gt;0),"轉機",IF(AND(Q75&gt;0,R75&lt;0),"",IF(AND(Q75&gt;=5%,R75&gt;=Q75),"OO","O")))))</f>
        <v/>
      </c>
      <c r="T75" s="332">
        <f>ROUND(策略!$I$14/$D75,0)</f>
        <v>8</v>
      </c>
      <c r="U75" s="334" t="e">
        <f ca="1">INDIRECT("'"&amp;$A75&amp;"'!"&amp;"$J$16")</f>
        <v>#VALUE!</v>
      </c>
      <c r="V75" s="339">
        <f ca="1">IF(ISERROR(INDIRECT("'"&amp;$A75&amp;"'!"&amp;"$D$4")),"",INDIRECT("'"&amp;$A75&amp;"'!"&amp;"$D$4"))</f>
        <v>6.25</v>
      </c>
      <c r="W75" s="340" t="str">
        <f>IF(F75="","",(D75-F75)*G75*1000)</f>
        <v/>
      </c>
      <c r="X75" s="341" t="str">
        <f>IF(F75="","",D75*G75*1000)</f>
        <v/>
      </c>
      <c r="Y75" s="341" t="str">
        <f>IF(F75="","",F75*G75*1000+MAX(ROUNDDOWN(F75*1000*0.145%*28%,0),20)*G75)</f>
        <v/>
      </c>
      <c r="Z75" s="341" t="str">
        <f>IF(G75&gt;0,MAX(ROUNDDOWN(D75*1000*0.145%*28%,0),20)*G75+ROUNDDOWN(F75*1000*0.3%*28%,0)*G75,"")</f>
        <v/>
      </c>
      <c r="AA75" s="336">
        <f ca="1">INDIRECT("'"&amp;$A75&amp;"'!"&amp;"$B$10")</f>
        <v>10.7</v>
      </c>
      <c r="AB75" s="336">
        <f ca="1">INDIRECT("'"&amp;$A75&amp;"'!"&amp;"$E$10")</f>
        <v>12.405000000000001</v>
      </c>
      <c r="AC75" s="337" t="str">
        <f>VLOOKUP(_xlfn.NUMBERVALUE(A75),[2]工作表1!$A:$G,7,FALSE)</f>
        <v>無保留意見</v>
      </c>
    </row>
    <row r="76" spans="1:29" x14ac:dyDescent="0.25">
      <c r="A76" s="330">
        <v>6269</v>
      </c>
      <c r="B76" s="320" t="s">
        <v>311</v>
      </c>
      <c r="C76" s="320"/>
      <c r="D76" s="331">
        <f>VLOOKUP(_xlfn.NUMBERVALUE(A76),[1]工作表1!$A:$D,3,FALSE)</f>
        <v>110.5</v>
      </c>
      <c r="E76" s="332">
        <f>ROUND(VLOOKUP(_xlfn.NUMBERVALUE(A76),[1]工作表1!$A:$D,4,FALSE)/1000,0)</f>
        <v>5181</v>
      </c>
      <c r="F76" s="331"/>
      <c r="G76" s="366">
        <v>0</v>
      </c>
      <c r="H76" s="333" t="str">
        <f ca="1">IF(INDIRECT("'"&amp;$A76&amp;"'!"&amp;"$D$1")=$H$1,"","X")</f>
        <v>X</v>
      </c>
      <c r="I76" s="334" t="str">
        <f>IF(F76="","",(D76-F76)/F76)</f>
        <v/>
      </c>
      <c r="J76" s="335" t="e">
        <f ca="1">INDIRECT("'"&amp;$A76&amp;"'!"&amp;"$I$15")</f>
        <v>#DIV/0!</v>
      </c>
      <c r="K76" s="336">
        <f ca="1">INDIRECT("'"&amp;$A76&amp;"'!"&amp;"$I$9")</f>
        <v>0</v>
      </c>
      <c r="L76" s="336">
        <f ca="1">INDIRECT("'"&amp;$A76&amp;"'!"&amp;"$B$3")</f>
        <v>81.061416165481347</v>
      </c>
      <c r="M76" s="336">
        <f ca="1">INDIRECT("'"&amp;$A76&amp;"'!"&amp;"$B$4")</f>
        <v>70</v>
      </c>
      <c r="N76" s="336">
        <f ca="1">INDIRECT("'"&amp;$A76&amp;"'!"&amp;"$B$5")</f>
        <v>95.543595820731369</v>
      </c>
      <c r="O76" s="337" t="str">
        <f ca="1">INDIRECT("'"&amp;$A76&amp;"'!"&amp;"$I$6")</f>
        <v>連5月成長</v>
      </c>
      <c r="P76" s="337" t="str">
        <f ca="1">INDIRECT("'"&amp;$A76&amp;"'!"&amp;"$K$6")</f>
        <v>連2季成長</v>
      </c>
      <c r="Q76" s="338">
        <f ca="1">INDIRECT("'"&amp;$A76&amp;"'!"&amp;"$N$3")</f>
        <v>0.15067457943793436</v>
      </c>
      <c r="R76" s="338">
        <f ca="1">INDIRECT("'"&amp;$A76&amp;"'!"&amp;"$N$6")/INDIRECT("'"&amp;$A76&amp;"'!"&amp;"$N$5")-1</f>
        <v>0.20812028411293082</v>
      </c>
      <c r="S76" s="324" t="str">
        <f ca="1">IF(D76&gt;INDIRECT("'"&amp;$A76&amp;"'!"&amp;"$I$3"),"",IF(AND(Q76&lt;0,R76&lt;0),"",IF(AND(Q76&lt;0,R76&gt;0),"轉機",IF(AND(Q76&gt;0,R76&lt;0),"",IF(AND(Q76&gt;=5%,R76&gt;=Q76),"OO","O")))))</f>
        <v/>
      </c>
      <c r="T76" s="332">
        <f>ROUND(策略!$I$14/$D76,0)</f>
        <v>4</v>
      </c>
      <c r="U76" s="334">
        <f ca="1">INDIRECT("'"&amp;$A76&amp;"'!"&amp;"$J$16")</f>
        <v>-1</v>
      </c>
      <c r="V76" s="339">
        <f ca="1">IF(ISERROR(INDIRECT("'"&amp;$A76&amp;"'!"&amp;"$D$4")),"",INDIRECT("'"&amp;$A76&amp;"'!"&amp;"$D$4"))</f>
        <v>31.395</v>
      </c>
      <c r="W76" s="340" t="str">
        <f>IF(F76="","",(D76-F76)*G76*1000)</f>
        <v/>
      </c>
      <c r="X76" s="341" t="str">
        <f>IF(F76="","",D76*G76*1000)</f>
        <v/>
      </c>
      <c r="Y76" s="341" t="str">
        <f>IF(F76="","",F76*G76*1000+MAX(ROUNDDOWN(F76*1000*0.145%*28%,0),20)*G76)</f>
        <v/>
      </c>
      <c r="Z76" s="341" t="str">
        <f>IF(G76&gt;0,MAX(ROUNDDOWN(D76*1000*0.145%*28%,0),20)*G76+ROUNDDOWN(F76*1000*0.3%*28%,0)*G76,"")</f>
        <v/>
      </c>
      <c r="AA76" s="336">
        <f ca="1">INDIRECT("'"&amp;$A76&amp;"'!"&amp;"$B$10")</f>
        <v>9.4700000000000006</v>
      </c>
      <c r="AB76" s="336">
        <f ca="1">INDIRECT("'"&amp;$A76&amp;"'!"&amp;"$E$10")</f>
        <v>12.515000000000001</v>
      </c>
      <c r="AC76" s="337" t="str">
        <f>VLOOKUP(_xlfn.NUMBERVALUE(A76),[2]工作表1!$A:$G,7,FALSE)</f>
        <v>無保留意見</v>
      </c>
    </row>
    <row r="77" spans="1:29" x14ac:dyDescent="0.25">
      <c r="A77" s="330">
        <v>6271</v>
      </c>
      <c r="B77" s="320" t="s">
        <v>345</v>
      </c>
      <c r="C77" s="320"/>
      <c r="D77" s="331">
        <f>VLOOKUP(_xlfn.NUMBERVALUE(A77),[1]工作表1!$A:$D,3,FALSE)</f>
        <v>110</v>
      </c>
      <c r="E77" s="332">
        <f>ROUND(VLOOKUP(_xlfn.NUMBERVALUE(A77),[1]工作表1!$A:$D,4,FALSE)/1000,0)</f>
        <v>1526</v>
      </c>
      <c r="F77" s="331"/>
      <c r="G77" s="366">
        <v>0</v>
      </c>
      <c r="H77" s="333" t="str">
        <f ca="1">IF(INDIRECT("'"&amp;$A77&amp;"'!"&amp;"$D$1")=$H$1,"","X")</f>
        <v>X</v>
      </c>
      <c r="I77" s="334" t="str">
        <f>IF(F77="","",(D77-F77)/F77)</f>
        <v/>
      </c>
      <c r="J77" s="335" t="e">
        <f ca="1">INDIRECT("'"&amp;$A77&amp;"'!"&amp;"$I$15")</f>
        <v>#DIV/0!</v>
      </c>
      <c r="K77" s="336">
        <f ca="1">INDIRECT("'"&amp;$A77&amp;"'!"&amp;"$I$9")</f>
        <v>0</v>
      </c>
      <c r="L77" s="336">
        <f ca="1">INDIRECT("'"&amp;$A77&amp;"'!"&amp;"$B$3")</f>
        <v>87.905660079556895</v>
      </c>
      <c r="M77" s="336">
        <f ca="1">INDIRECT("'"&amp;$A77&amp;"'!"&amp;"$B$4")</f>
        <v>64</v>
      </c>
      <c r="N77" s="336">
        <f ca="1">INDIRECT("'"&amp;$A77&amp;"'!"&amp;"$B$5")</f>
        <v>96.431515151515143</v>
      </c>
      <c r="O77" s="337" t="str">
        <f ca="1">INDIRECT("'"&amp;$A77&amp;"'!"&amp;"$I$6")</f>
        <v>連3月成長</v>
      </c>
      <c r="P77" s="337" t="str">
        <f ca="1">INDIRECT("'"&amp;$A77&amp;"'!"&amp;"$K$6")</f>
        <v>單季成長</v>
      </c>
      <c r="Q77" s="338">
        <f ca="1">INDIRECT("'"&amp;$A77&amp;"'!"&amp;"$N$3")</f>
        <v>-4.6943342314329305E-2</v>
      </c>
      <c r="R77" s="338">
        <f ca="1">INDIRECT("'"&amp;$A77&amp;"'!"&amp;"$N$6")/INDIRECT("'"&amp;$A77&amp;"'!"&amp;"$N$5")-1</f>
        <v>0.17765063905225964</v>
      </c>
      <c r="S77" s="324" t="str">
        <f ca="1">IF(D77&gt;INDIRECT("'"&amp;$A77&amp;"'!"&amp;"$I$3"),"",IF(AND(Q77&lt;0,R77&lt;0),"",IF(AND(Q77&lt;0,R77&gt;0),"轉機",IF(AND(Q77&gt;0,R77&lt;0),"",IF(AND(Q77&gt;=5%,R77&gt;=Q77),"OO","O")))))</f>
        <v/>
      </c>
      <c r="T77" s="332">
        <f>ROUND(策略!$I$14/$D77,0)</f>
        <v>4</v>
      </c>
      <c r="U77" s="334">
        <f ca="1">INDIRECT("'"&amp;$A77&amp;"'!"&amp;"$J$16")</f>
        <v>-1</v>
      </c>
      <c r="V77" s="339">
        <f ca="1">IF(ISERROR(INDIRECT("'"&amp;$A77&amp;"'!"&amp;"$D$4")),"",INDIRECT("'"&amp;$A77&amp;"'!"&amp;"$D$4"))</f>
        <v>16.3</v>
      </c>
      <c r="W77" s="340" t="str">
        <f>IF(F77="","",(D77-F77)*G77*1000)</f>
        <v/>
      </c>
      <c r="X77" s="341" t="str">
        <f>IF(F77="","",D77*G77*1000)</f>
        <v/>
      </c>
      <c r="Y77" s="341" t="str">
        <f>IF(F77="","",F77*G77*1000+MAX(ROUNDDOWN(F77*1000*0.145%*28%,0),20)*G77)</f>
        <v/>
      </c>
      <c r="Z77" s="341" t="str">
        <f>IF(G77&gt;0,MAX(ROUNDDOWN(D77*1000*0.145%*28%,0),20)*G77+ROUNDDOWN(F77*1000*0.3%*28%,0)*G77,"")</f>
        <v/>
      </c>
      <c r="AA77" s="336">
        <f ca="1">INDIRECT("'"&amp;$A77&amp;"'!"&amp;"$B$10")</f>
        <v>12.23</v>
      </c>
      <c r="AB77" s="336">
        <f ca="1">INDIRECT("'"&amp;$A77&amp;"'!"&amp;"$E$10")</f>
        <v>16.79</v>
      </c>
      <c r="AC77" s="337" t="str">
        <f>VLOOKUP(_xlfn.NUMBERVALUE(A77),[2]工作表1!$A:$G,7,FALSE)</f>
        <v>無保留意見</v>
      </c>
    </row>
    <row r="78" spans="1:29" x14ac:dyDescent="0.25">
      <c r="A78" s="330">
        <v>6277</v>
      </c>
      <c r="B78" s="320" t="s">
        <v>320</v>
      </c>
      <c r="C78" s="320"/>
      <c r="D78" s="331">
        <f>VLOOKUP(_xlfn.NUMBERVALUE(A78),[1]工作表1!$A:$D,3,FALSE)</f>
        <v>84.6</v>
      </c>
      <c r="E78" s="332">
        <f>ROUND(VLOOKUP(_xlfn.NUMBERVALUE(A78),[1]工作表1!$A:$D,4,FALSE)/1000,0)</f>
        <v>237</v>
      </c>
      <c r="F78" s="331"/>
      <c r="G78" s="366">
        <v>0</v>
      </c>
      <c r="H78" s="333" t="str">
        <f ca="1">IF(INDIRECT("'"&amp;$A78&amp;"'!"&amp;"$D$1")=$H$1,"","X")</f>
        <v>X</v>
      </c>
      <c r="I78" s="334" t="str">
        <f>IF(F78="","",(D78-F78)/F78)</f>
        <v/>
      </c>
      <c r="J78" s="335" t="e">
        <f ca="1">INDIRECT("'"&amp;$A78&amp;"'!"&amp;"$I$15")</f>
        <v>#DIV/0!</v>
      </c>
      <c r="K78" s="336">
        <f ca="1">INDIRECT("'"&amp;$A78&amp;"'!"&amp;"$I$9")</f>
        <v>0</v>
      </c>
      <c r="L78" s="336">
        <f ca="1">INDIRECT("'"&amp;$A78&amp;"'!"&amp;"$B$3")</f>
        <v>82.121102005430657</v>
      </c>
      <c r="M78" s="336">
        <f ca="1">INDIRECT("'"&amp;$A78&amp;"'!"&amp;"$B$4")</f>
        <v>88</v>
      </c>
      <c r="N78" s="336">
        <f ca="1">INDIRECT("'"&amp;$A78&amp;"'!"&amp;"$B$5")</f>
        <v>99.195530726256976</v>
      </c>
      <c r="O78" s="337" t="str">
        <f ca="1">INDIRECT("'"&amp;$A78&amp;"'!"&amp;"$I$6")</f>
        <v>連3月成長</v>
      </c>
      <c r="P78" s="337" t="str">
        <f ca="1">INDIRECT("'"&amp;$A78&amp;"'!"&amp;"$K$6")</f>
        <v>連3季衰退</v>
      </c>
      <c r="Q78" s="338">
        <f ca="1">INDIRECT("'"&amp;$A78&amp;"'!"&amp;"$N$3")</f>
        <v>-0.10112414114075349</v>
      </c>
      <c r="R78" s="338">
        <f ca="1">INDIRECT("'"&amp;$A78&amp;"'!"&amp;"$N$6")/INDIRECT("'"&amp;$A78&amp;"'!"&amp;"$N$5")-1</f>
        <v>5.2819415033689365E-2</v>
      </c>
      <c r="S78" s="324" t="str">
        <f ca="1">IF(D78&gt;INDIRECT("'"&amp;$A78&amp;"'!"&amp;"$I$3"),"",IF(AND(Q78&lt;0,R78&lt;0),"",IF(AND(Q78&lt;0,R78&gt;0),"轉機",IF(AND(Q78&gt;0,R78&lt;0),"",IF(AND(Q78&gt;=5%,R78&gt;=Q78),"OO","O")))))</f>
        <v/>
      </c>
      <c r="T78" s="332">
        <f>ROUND(策略!$I$14/$D78,0)</f>
        <v>6</v>
      </c>
      <c r="U78" s="334">
        <f ca="1">INDIRECT("'"&amp;$A78&amp;"'!"&amp;"$J$16")</f>
        <v>-1</v>
      </c>
      <c r="V78" s="339">
        <f ca="1">IF(ISERROR(INDIRECT("'"&amp;$A78&amp;"'!"&amp;"$D$4")),"",INDIRECT("'"&amp;$A78&amp;"'!"&amp;"$D$4"))</f>
        <v>11.9</v>
      </c>
      <c r="W78" s="340" t="str">
        <f>IF(F78="","",(D78-F78)*G78*1000)</f>
        <v/>
      </c>
      <c r="X78" s="341" t="str">
        <f>IF(F78="","",D78*G78*1000)</f>
        <v/>
      </c>
      <c r="Y78" s="341" t="str">
        <f>IF(F78="","",F78*G78*1000+MAX(ROUNDDOWN(F78*1000*0.145%*28%,0),20)*G78)</f>
        <v/>
      </c>
      <c r="Z78" s="341" t="str">
        <f>IF(G78&gt;0,MAX(ROUNDDOWN(D78*1000*0.145%*28%,0),20)*G78+ROUNDDOWN(F78*1000*0.3%*28%,0)*G78,"")</f>
        <v/>
      </c>
      <c r="AA78" s="336">
        <f ca="1">INDIRECT("'"&amp;$A78&amp;"'!"&amp;"$B$10")</f>
        <v>11.86</v>
      </c>
      <c r="AB78" s="336">
        <f ca="1">INDIRECT("'"&amp;$A78&amp;"'!"&amp;"$E$10")</f>
        <v>13.21</v>
      </c>
      <c r="AC78" s="337" t="str">
        <f>VLOOKUP(_xlfn.NUMBERVALUE(A78),[2]工作表1!$A:$G,7,FALSE)</f>
        <v>無保留意見</v>
      </c>
    </row>
    <row r="79" spans="1:29" x14ac:dyDescent="0.25">
      <c r="A79" s="330">
        <v>6285</v>
      </c>
      <c r="B79" s="320" t="s">
        <v>331</v>
      </c>
      <c r="C79" s="320"/>
      <c r="D79" s="331">
        <f>VLOOKUP(_xlfn.NUMBERVALUE(A79),[1]工作表1!$A:$D,3,FALSE)</f>
        <v>80.8</v>
      </c>
      <c r="E79" s="332">
        <f>ROUND(VLOOKUP(_xlfn.NUMBERVALUE(A79),[1]工作表1!$A:$D,4,FALSE)/1000,0)</f>
        <v>1097</v>
      </c>
      <c r="F79" s="331"/>
      <c r="G79" s="366">
        <v>0</v>
      </c>
      <c r="H79" s="333" t="str">
        <f ca="1">IF(INDIRECT("'"&amp;$A79&amp;"'!"&amp;"$D$1")=$H$1,"","X")</f>
        <v>X</v>
      </c>
      <c r="I79" s="334" t="str">
        <f>IF(F79="","",(D79-F79)/F79)</f>
        <v/>
      </c>
      <c r="J79" s="335" t="e">
        <f ca="1">INDIRECT("'"&amp;$A79&amp;"'!"&amp;"$I$15")</f>
        <v>#DIV/0!</v>
      </c>
      <c r="K79" s="336">
        <f ca="1">INDIRECT("'"&amp;$A79&amp;"'!"&amp;"$I$9")</f>
        <v>0</v>
      </c>
      <c r="L79" s="336">
        <f ca="1">INDIRECT("'"&amp;$A79&amp;"'!"&amp;"$B$3")</f>
        <v>75.749731057651729</v>
      </c>
      <c r="M79" s="336">
        <f ca="1">INDIRECT("'"&amp;$A79&amp;"'!"&amp;"$B$4")</f>
        <v>80</v>
      </c>
      <c r="N79" s="336">
        <f ca="1">INDIRECT("'"&amp;$A79&amp;"'!"&amp;"$B$5")</f>
        <v>76.238140845070433</v>
      </c>
      <c r="O79" s="337" t="str">
        <f ca="1">INDIRECT("'"&amp;$A79&amp;"'!"&amp;"$I$6")</f>
        <v>連3月成長</v>
      </c>
      <c r="P79" s="337" t="str">
        <f ca="1">INDIRECT("'"&amp;$A79&amp;"'!"&amp;"$K$6")</f>
        <v>單季衰退</v>
      </c>
      <c r="Q79" s="338">
        <f ca="1">INDIRECT("'"&amp;$A79&amp;"'!"&amp;"$N$3")</f>
        <v>1.3151303841152429E-2</v>
      </c>
      <c r="R79" s="338">
        <f ca="1">INDIRECT("'"&amp;$A79&amp;"'!"&amp;"$N$6")/INDIRECT("'"&amp;$A79&amp;"'!"&amp;"$N$5")-1</f>
        <v>7.9533476236635092E-3</v>
      </c>
      <c r="S79" s="324" t="str">
        <f ca="1">IF(D79&gt;INDIRECT("'"&amp;$A79&amp;"'!"&amp;"$I$3"),"",IF(AND(Q79&lt;0,R79&lt;0),"",IF(AND(Q79&lt;0,R79&gt;0),"轉機",IF(AND(Q79&gt;0,R79&lt;0),"",IF(AND(Q79&gt;=5%,R79&gt;=Q79),"OO","O")))))</f>
        <v>O</v>
      </c>
      <c r="T79" s="332">
        <f>ROUND(策略!$I$14/$D79,0)</f>
        <v>6</v>
      </c>
      <c r="U79" s="334">
        <f ca="1">INDIRECT("'"&amp;$A79&amp;"'!"&amp;"$J$16")</f>
        <v>-1</v>
      </c>
      <c r="V79" s="339">
        <f ca="1">IF(ISERROR(INDIRECT("'"&amp;$A79&amp;"'!"&amp;"$D$4")),"",INDIRECT("'"&amp;$A79&amp;"'!"&amp;"$D$4"))</f>
        <v>36.358999999999995</v>
      </c>
      <c r="W79" s="340" t="str">
        <f>IF(F79="","",(D79-F79)*G79*1000)</f>
        <v/>
      </c>
      <c r="X79" s="341" t="str">
        <f>IF(F79="","",D79*G79*1000)</f>
        <v/>
      </c>
      <c r="Y79" s="341" t="str">
        <f>IF(F79="","",F79*G79*1000+MAX(ROUNDDOWN(F79*1000*0.145%*28%,0),20)*G79)</f>
        <v/>
      </c>
      <c r="Z79" s="341" t="str">
        <f>IF(G79&gt;0,MAX(ROUNDDOWN(D79*1000*0.145%*28%,0),20)*G79+ROUNDDOWN(F79*1000*0.3%*28%,0)*G79,"")</f>
        <v/>
      </c>
      <c r="AA79" s="336">
        <f ca="1">INDIRECT("'"&amp;$A79&amp;"'!"&amp;"$B$10")</f>
        <v>12.23</v>
      </c>
      <c r="AB79" s="336">
        <f ca="1">INDIRECT("'"&amp;$A79&amp;"'!"&amp;"$E$10")</f>
        <v>15.21</v>
      </c>
      <c r="AC79" s="337" t="str">
        <f>VLOOKUP(_xlfn.NUMBERVALUE(A79),[2]工作表1!$A:$G,7,FALSE)</f>
        <v>無保留意見</v>
      </c>
    </row>
    <row r="80" spans="1:29" x14ac:dyDescent="0.25">
      <c r="A80" s="330">
        <v>6412</v>
      </c>
      <c r="B80" s="320" t="s">
        <v>329</v>
      </c>
      <c r="C80" s="320"/>
      <c r="D80" s="331">
        <f>VLOOKUP(_xlfn.NUMBERVALUE(A80),[1]工作表1!$A:$D,3,FALSE)</f>
        <v>56.8</v>
      </c>
      <c r="E80" s="332">
        <f>ROUND(VLOOKUP(_xlfn.NUMBERVALUE(A80),[1]工作表1!$A:$D,4,FALSE)/1000,0)</f>
        <v>378</v>
      </c>
      <c r="F80" s="331"/>
      <c r="G80" s="366">
        <v>0</v>
      </c>
      <c r="H80" s="333" t="str">
        <f ca="1">IF(INDIRECT("'"&amp;$A80&amp;"'!"&amp;"$D$1")=$H$1,"","X")</f>
        <v>X</v>
      </c>
      <c r="I80" s="334" t="str">
        <f>IF(F80="","",(D80-F80)/F80)</f>
        <v/>
      </c>
      <c r="J80" s="335" t="e">
        <f ca="1">INDIRECT("'"&amp;$A80&amp;"'!"&amp;"$I$15")</f>
        <v>#DIV/0!</v>
      </c>
      <c r="K80" s="336">
        <f ca="1">INDIRECT("'"&amp;$A80&amp;"'!"&amp;"$I$9")</f>
        <v>0</v>
      </c>
      <c r="L80" s="336">
        <f ca="1">INDIRECT("'"&amp;$A80&amp;"'!"&amp;"$B$3")</f>
        <v>84.148128219679876</v>
      </c>
      <c r="M80" s="336">
        <f ca="1">INDIRECT("'"&amp;$A80&amp;"'!"&amp;"$B$4")</f>
        <v>88</v>
      </c>
      <c r="N80" s="336">
        <f ca="1">INDIRECT("'"&amp;$A80&amp;"'!"&amp;"$B$5")</f>
        <v>79.098684210526315</v>
      </c>
      <c r="O80" s="337" t="str">
        <f ca="1">INDIRECT("'"&amp;$A80&amp;"'!"&amp;"$I$6")</f>
        <v>上月衰退</v>
      </c>
      <c r="P80" s="337" t="str">
        <f ca="1">INDIRECT("'"&amp;$A80&amp;"'!"&amp;"$K$6")</f>
        <v>連3季成長</v>
      </c>
      <c r="Q80" s="338">
        <f ca="1">INDIRECT("'"&amp;$A80&amp;"'!"&amp;"$N$3")</f>
        <v>0.16932130700495471</v>
      </c>
      <c r="R80" s="338">
        <f ca="1">INDIRECT("'"&amp;$A80&amp;"'!"&amp;"$N$6")/INDIRECT("'"&amp;$A80&amp;"'!"&amp;"$N$5")-1</f>
        <v>-0.19115232397291837</v>
      </c>
      <c r="S80" s="324" t="str">
        <f ca="1">IF(D80&gt;INDIRECT("'"&amp;$A80&amp;"'!"&amp;"$I$3"),"",IF(AND(Q80&lt;0,R80&lt;0),"",IF(AND(Q80&lt;0,R80&gt;0),"轉機",IF(AND(Q80&gt;0,R80&lt;0),"",IF(AND(Q80&gt;=5%,R80&gt;=Q80),"OO","O")))))</f>
        <v/>
      </c>
      <c r="T80" s="332">
        <f>ROUND(策略!$I$14/$D80,0)</f>
        <v>9</v>
      </c>
      <c r="U80" s="334">
        <f ca="1">INDIRECT("'"&amp;$A80&amp;"'!"&amp;"$J$16")</f>
        <v>-1</v>
      </c>
      <c r="V80" s="339">
        <f ca="1">IF(ISERROR(INDIRECT("'"&amp;$A80&amp;"'!"&amp;"$D$4")),"",INDIRECT("'"&amp;$A80&amp;"'!"&amp;"$D$4"))</f>
        <v>37.787999999999997</v>
      </c>
      <c r="W80" s="340" t="str">
        <f>IF(F80="","",(D80-F80)*G80*1000)</f>
        <v/>
      </c>
      <c r="X80" s="341" t="str">
        <f>IF(F80="","",D80*G80*1000)</f>
        <v/>
      </c>
      <c r="Y80" s="341" t="str">
        <f>IF(F80="","",F80*G80*1000+MAX(ROUNDDOWN(F80*1000*0.145%*28%,0),20)*G80)</f>
        <v/>
      </c>
      <c r="Z80" s="341" t="str">
        <f>IF(G80&gt;0,MAX(ROUNDDOWN(D80*1000*0.145%*28%,0),20)*G80+ROUNDDOWN(F80*1000*0.3%*28%,0)*G80,"")</f>
        <v/>
      </c>
      <c r="AA80" s="336">
        <f ca="1">INDIRECT("'"&amp;$A80&amp;"'!"&amp;"$B$10")</f>
        <v>12.212</v>
      </c>
      <c r="AB80" s="336">
        <f ca="1">INDIRECT("'"&amp;$A80&amp;"'!"&amp;"$E$10")</f>
        <v>16.213000000000001</v>
      </c>
      <c r="AC80" s="337" t="str">
        <f>VLOOKUP(_xlfn.NUMBERVALUE(A80),[2]工作表1!$A:$G,7,FALSE)</f>
        <v>無保留意見</v>
      </c>
    </row>
    <row r="81" spans="1:29" x14ac:dyDescent="0.25">
      <c r="A81" s="330">
        <v>6803</v>
      </c>
      <c r="B81" s="320" t="s">
        <v>301</v>
      </c>
      <c r="C81" s="369" t="s">
        <v>393</v>
      </c>
      <c r="D81" s="331">
        <f>VLOOKUP(_xlfn.NUMBERVALUE(A81),[1]工作表1!$A:$D,3,FALSE)</f>
        <v>165.5</v>
      </c>
      <c r="E81" s="332">
        <f>ROUND(VLOOKUP(_xlfn.NUMBERVALUE(A81),[1]工作表1!$A:$D,4,FALSE)/1000,0)</f>
        <v>121</v>
      </c>
      <c r="F81" s="331">
        <v>168</v>
      </c>
      <c r="G81" s="366">
        <v>1</v>
      </c>
      <c r="H81" s="333" t="str">
        <f ca="1">IF(INDIRECT("'"&amp;$A81&amp;"'!"&amp;"$D$1")=$H$1,"","X")</f>
        <v/>
      </c>
      <c r="I81" s="334">
        <f>IF(F81="","",(D81-F81)/F81)</f>
        <v>-1.488095238095238E-2</v>
      </c>
      <c r="J81" s="335" t="e">
        <f ca="1">INDIRECT("'"&amp;$A81&amp;"'!"&amp;"$I$15")</f>
        <v>#VALUE!</v>
      </c>
      <c r="K81" s="336" t="e">
        <f ca="1">INDIRECT("'"&amp;$A81&amp;"'!"&amp;"$I$9")</f>
        <v>#VALUE!</v>
      </c>
      <c r="L81" s="336">
        <f ca="1">INDIRECT("'"&amp;$A81&amp;"'!"&amp;"$B$3")</f>
        <v>89.019753168101431</v>
      </c>
      <c r="M81" s="336">
        <f ca="1">INDIRECT("'"&amp;$A81&amp;"'!"&amp;"$B$4")</f>
        <v>80</v>
      </c>
      <c r="N81" s="336">
        <f ca="1">INDIRECT("'"&amp;$A81&amp;"'!"&amp;"$B$5")</f>
        <v>99.344321517272519</v>
      </c>
      <c r="O81" s="337" t="str">
        <f ca="1">INDIRECT("'"&amp;$A81&amp;"'!"&amp;"$I$6")</f>
        <v>連3月成長</v>
      </c>
      <c r="P81" s="337" t="str">
        <f ca="1">INDIRECT("'"&amp;$A81&amp;"'!"&amp;"$K$6")</f>
        <v>單季衰退</v>
      </c>
      <c r="Q81" s="338">
        <f ca="1">INDIRECT("'"&amp;$A81&amp;"'!"&amp;"$N$3")</f>
        <v>-8.2549500699890185E-2</v>
      </c>
      <c r="R81" s="338">
        <f ca="1">INDIRECT("'"&amp;$A81&amp;"'!"&amp;"$N$6")/INDIRECT("'"&amp;$A81&amp;"'!"&amp;"$N$5")-1</f>
        <v>0.12916163286306714</v>
      </c>
      <c r="S81" s="324" t="str">
        <f ca="1">IF(D81&gt;INDIRECT("'"&amp;$A81&amp;"'!"&amp;"$I$3"),"",IF(AND(Q81&lt;0,R81&lt;0),"",IF(AND(Q81&lt;0,R81&gt;0),"轉機",IF(AND(Q81&gt;0,R81&lt;0),"",IF(AND(Q81&gt;=5%,R81&gt;=Q81),"OO","O")))))</f>
        <v>轉機</v>
      </c>
      <c r="T81" s="332">
        <f>ROUND(策略!$I$14/$D81,0)</f>
        <v>3</v>
      </c>
      <c r="U81" s="334" t="e">
        <f ca="1">INDIRECT("'"&amp;$A81&amp;"'!"&amp;"$J$16")</f>
        <v>#VALUE!</v>
      </c>
      <c r="V81" s="339">
        <f ca="1">IF(ISERROR(INDIRECT("'"&amp;$A81&amp;"'!"&amp;"$D$4")),"",INDIRECT("'"&amp;$A81&amp;"'!"&amp;"$D$4"))</f>
        <v>6.65</v>
      </c>
      <c r="W81" s="340">
        <f>IF(F81="","",(D81-F81)*G81*1000)</f>
        <v>-2500</v>
      </c>
      <c r="X81" s="341">
        <f>IF(F81="","",D81*G81*1000)</f>
        <v>165500</v>
      </c>
      <c r="Y81" s="341">
        <f>IF(F81="","",F81*G81*1000+MAX(ROUNDDOWN(F81*1000*0.145%*28%,0),20)*G81)</f>
        <v>168068</v>
      </c>
      <c r="Z81" s="341">
        <f>IF(G81&gt;0,MAX(ROUNDDOWN(D81*1000*0.145%*28%,0),20)*G81+ROUNDDOWN(F81*1000*0.3%*28%,0)*G81,"")</f>
        <v>208</v>
      </c>
      <c r="AA81" s="336">
        <f ca="1">INDIRECT("'"&amp;$A81&amp;"'!"&amp;"$B$10")</f>
        <v>14.43</v>
      </c>
      <c r="AB81" s="336">
        <f ca="1">INDIRECT("'"&amp;$A81&amp;"'!"&amp;"$E$10")</f>
        <v>15.955</v>
      </c>
      <c r="AC81" s="337" t="str">
        <f>VLOOKUP(_xlfn.NUMBERVALUE(A81),[2]工作表1!$A:$G,7,FALSE)</f>
        <v>無保留意見</v>
      </c>
    </row>
    <row r="82" spans="1:29" x14ac:dyDescent="0.25">
      <c r="A82" s="330">
        <v>8016</v>
      </c>
      <c r="B82" s="369" t="s">
        <v>290</v>
      </c>
      <c r="C82" s="369"/>
      <c r="D82" s="331">
        <f>VLOOKUP(_xlfn.NUMBERVALUE(A82),[1]工作表1!$A:$D,3,FALSE)</f>
        <v>81.5</v>
      </c>
      <c r="E82" s="332">
        <f>ROUND(VLOOKUP(_xlfn.NUMBERVALUE(A82),[1]工作表1!$A:$D,4,FALSE)/1000,0)</f>
        <v>416</v>
      </c>
      <c r="F82" s="331"/>
      <c r="G82" s="366">
        <v>0</v>
      </c>
      <c r="H82" s="333" t="str">
        <f ca="1">IF(INDIRECT("'"&amp;$A82&amp;"'!"&amp;"$D$1")=$H$1,"","X")</f>
        <v>X</v>
      </c>
      <c r="I82" s="334" t="str">
        <f>IF(F82="","",(D82-F82)/F82)</f>
        <v/>
      </c>
      <c r="J82" s="335" t="e">
        <f ca="1">INDIRECT("'"&amp;$A82&amp;"'!"&amp;"$I$15")</f>
        <v>#DIV/0!</v>
      </c>
      <c r="K82" s="336">
        <f ca="1">INDIRECT("'"&amp;$A82&amp;"'!"&amp;"$I$9")</f>
        <v>0</v>
      </c>
      <c r="L82" s="336">
        <f ca="1">INDIRECT("'"&amp;$A82&amp;"'!"&amp;"$B$3")</f>
        <v>81.395047401172206</v>
      </c>
      <c r="M82" s="336">
        <f ca="1">INDIRECT("'"&amp;$A82&amp;"'!"&amp;"$B$4")</f>
        <v>78</v>
      </c>
      <c r="N82" s="336">
        <f ca="1">INDIRECT("'"&amp;$A82&amp;"'!"&amp;"$B$5")</f>
        <v>96.151357927786506</v>
      </c>
      <c r="O82" s="337" t="str">
        <f ca="1">INDIRECT("'"&amp;$A82&amp;"'!"&amp;"$I$6")</f>
        <v>連3月衰退</v>
      </c>
      <c r="P82" s="337" t="str">
        <f ca="1">INDIRECT("'"&amp;$A82&amp;"'!"&amp;"$K$6")</f>
        <v>連3季衰退</v>
      </c>
      <c r="Q82" s="338">
        <f ca="1">INDIRECT("'"&amp;$A82&amp;"'!"&amp;"$N$3")</f>
        <v>-0.185787537233636</v>
      </c>
      <c r="R82" s="338">
        <f ca="1">INDIRECT("'"&amp;$A82&amp;"'!"&amp;"$N$6")/INDIRECT("'"&amp;$A82&amp;"'!"&amp;"$N$5")-1</f>
        <v>-0.11244268448667427</v>
      </c>
      <c r="S82" s="324" t="str">
        <f ca="1">IF(D82&gt;INDIRECT("'"&amp;$A82&amp;"'!"&amp;"$I$3"),"",IF(AND(Q82&lt;0,R82&lt;0),"",IF(AND(Q82&lt;0,R82&gt;0),"轉機",IF(AND(Q82&gt;0,R82&lt;0),"",IF(AND(Q82&gt;=5%,R82&gt;=Q82),"OO","O")))))</f>
        <v/>
      </c>
      <c r="T82" s="332">
        <f>ROUND(策略!$I$14/$D82,0)</f>
        <v>6</v>
      </c>
      <c r="U82" s="334">
        <f ca="1">INDIRECT("'"&amp;$A82&amp;"'!"&amp;"$J$16")</f>
        <v>-1</v>
      </c>
      <c r="V82" s="339">
        <f ca="1">IF(ISERROR(INDIRECT("'"&amp;$A82&amp;"'!"&amp;"$D$4")),"",INDIRECT("'"&amp;$A82&amp;"'!"&amp;"$D$4"))</f>
        <v>12.1</v>
      </c>
      <c r="W82" s="340" t="str">
        <f>IF(F82="","",(D82-F82)*G82*1000)</f>
        <v/>
      </c>
      <c r="X82" s="341" t="str">
        <f>IF(F82="","",D82*G82*1000)</f>
        <v/>
      </c>
      <c r="Y82" s="341" t="str">
        <f>IF(F82="","",F82*G82*1000+MAX(ROUNDDOWN(F82*1000*0.145%*28%,0),20)*G82)</f>
        <v/>
      </c>
      <c r="Z82" s="341" t="str">
        <f>IF(G82&gt;0,MAX(ROUNDDOWN(D82*1000*0.145%*28%,0),20)*G82+ROUNDDOWN(F82*1000*0.3%*28%,0)*G82,"")</f>
        <v/>
      </c>
      <c r="AA82" s="336">
        <f ca="1">INDIRECT("'"&amp;$A82&amp;"'!"&amp;"$B$10")</f>
        <v>12.38</v>
      </c>
      <c r="AB82" s="336">
        <f ca="1">INDIRECT("'"&amp;$A82&amp;"'!"&amp;"$E$10")</f>
        <v>14.295</v>
      </c>
      <c r="AC82" s="337" t="str">
        <f>VLOOKUP(_xlfn.NUMBERVALUE(A82),[2]工作表1!$A:$G,7,FALSE)</f>
        <v>無保留意見</v>
      </c>
    </row>
    <row r="83" spans="1:29" x14ac:dyDescent="0.25">
      <c r="A83" s="330">
        <v>8048</v>
      </c>
      <c r="B83" s="320" t="s">
        <v>300</v>
      </c>
      <c r="C83" s="369" t="s">
        <v>393</v>
      </c>
      <c r="D83" s="331">
        <f>VLOOKUP(_xlfn.NUMBERVALUE(A83),[1]工作表1!$A:$D,3,FALSE)</f>
        <v>29.5</v>
      </c>
      <c r="E83" s="332">
        <f>ROUND(VLOOKUP(_xlfn.NUMBERVALUE(A83),[1]工作表1!$A:$D,4,FALSE)/1000,0)</f>
        <v>86</v>
      </c>
      <c r="F83" s="331"/>
      <c r="G83" s="366">
        <v>0</v>
      </c>
      <c r="H83" s="333" t="str">
        <f ca="1">IF(INDIRECT("'"&amp;$A83&amp;"'!"&amp;"$D$1")=$H$1,"","X")</f>
        <v>X</v>
      </c>
      <c r="I83" s="334" t="str">
        <f>IF(F83="","",(D83-F83)/F83)</f>
        <v/>
      </c>
      <c r="J83" s="335" t="e">
        <f ca="1">INDIRECT("'"&amp;$A83&amp;"'!"&amp;"$I$15")</f>
        <v>#VALUE!</v>
      </c>
      <c r="K83" s="336" t="e">
        <f ca="1">INDIRECT("'"&amp;$A83&amp;"'!"&amp;"$I$9")</f>
        <v>#VALUE!</v>
      </c>
      <c r="L83" s="336">
        <f ca="1">INDIRECT("'"&amp;$A83&amp;"'!"&amp;"$B$3")</f>
        <v>84.429121725731903</v>
      </c>
      <c r="M83" s="336">
        <f ca="1">INDIRECT("'"&amp;$A83&amp;"'!"&amp;"$B$4")</f>
        <v>62</v>
      </c>
      <c r="N83" s="336">
        <f ca="1">INDIRECT("'"&amp;$A83&amp;"'!"&amp;"$B$5")</f>
        <v>97.582355932203384</v>
      </c>
      <c r="O83" s="337" t="str">
        <f ca="1">INDIRECT("'"&amp;$A83&amp;"'!"&amp;"$I$6")</f>
        <v>連3月成長</v>
      </c>
      <c r="P83" s="337" t="str">
        <f ca="1">INDIRECT("'"&amp;$A83&amp;"'!"&amp;"$K$6")</f>
        <v>單季成長</v>
      </c>
      <c r="Q83" s="338">
        <f ca="1">INDIRECT("'"&amp;$A83&amp;"'!"&amp;"$N$3")</f>
        <v>-0.10725127398386607</v>
      </c>
      <c r="R83" s="338">
        <f ca="1">INDIRECT("'"&amp;$A83&amp;"'!"&amp;"$N$6")/INDIRECT("'"&amp;$A83&amp;"'!"&amp;"$N$5")-1</f>
        <v>-9.9768609907212591E-3</v>
      </c>
      <c r="S83" s="324" t="str">
        <f ca="1">IF(D83&gt;INDIRECT("'"&amp;$A83&amp;"'!"&amp;"$I$3"),"",IF(AND(Q83&lt;0,R83&lt;0),"",IF(AND(Q83&lt;0,R83&gt;0),"轉機",IF(AND(Q83&gt;0,R83&lt;0),"",IF(AND(Q83&gt;=5%,R83&gt;=Q83),"OO","O")))))</f>
        <v/>
      </c>
      <c r="T83" s="332">
        <f>ROUND(策略!$I$14/$D83,0)</f>
        <v>16</v>
      </c>
      <c r="U83" s="334" t="e">
        <f ca="1">INDIRECT("'"&amp;$A83&amp;"'!"&amp;"$J$16")</f>
        <v>#VALUE!</v>
      </c>
      <c r="V83" s="339">
        <f ca="1">IF(ISERROR(INDIRECT("'"&amp;$A83&amp;"'!"&amp;"$D$4")),"",INDIRECT("'"&amp;$A83&amp;"'!"&amp;"$D$4"))</f>
        <v>5.33</v>
      </c>
      <c r="W83" s="340" t="str">
        <f>IF(F83="","",(D83-F83)*G83*1000)</f>
        <v/>
      </c>
      <c r="X83" s="341" t="str">
        <f>IF(F83="","",D83*G83*1000)</f>
        <v/>
      </c>
      <c r="Y83" s="341" t="str">
        <f>IF(F83="","",F83*G83*1000+MAX(ROUNDDOWN(F83*1000*0.145%*28%,0),20)*G83)</f>
        <v/>
      </c>
      <c r="Z83" s="341" t="str">
        <f>IF(G83&gt;0,MAX(ROUNDDOWN(D83*1000*0.145%*28%,0),20)*G83+ROUNDDOWN(F83*1000*0.3%*28%,0)*G83,"")</f>
        <v/>
      </c>
      <c r="AA83" s="336">
        <f ca="1">INDIRECT("'"&amp;$A83&amp;"'!"&amp;"$B$10")</f>
        <v>12</v>
      </c>
      <c r="AB83" s="336">
        <f ca="1">INDIRECT("'"&amp;$A83&amp;"'!"&amp;"$E$10")</f>
        <v>19.8</v>
      </c>
      <c r="AC83" s="337" t="str">
        <f>VLOOKUP(_xlfn.NUMBERVALUE(A83),[2]工作表1!$A:$G,7,FALSE)</f>
        <v>無保留意見</v>
      </c>
    </row>
    <row r="84" spans="1:29" x14ac:dyDescent="0.25">
      <c r="A84" s="330">
        <v>8109</v>
      </c>
      <c r="B84" s="320" t="s">
        <v>364</v>
      </c>
      <c r="C84" s="369" t="s">
        <v>393</v>
      </c>
      <c r="D84" s="331">
        <f>VLOOKUP(_xlfn.NUMBERVALUE(A84),[1]工作表1!$A:$D,3,FALSE)</f>
        <v>66.3</v>
      </c>
      <c r="E84" s="332">
        <f>ROUND(VLOOKUP(_xlfn.NUMBERVALUE(A84),[1]工作表1!$A:$D,4,FALSE)/1000,0)</f>
        <v>69</v>
      </c>
      <c r="F84" s="331"/>
      <c r="G84" s="366">
        <v>0</v>
      </c>
      <c r="H84" s="333" t="str">
        <f ca="1">IF(INDIRECT("'"&amp;$A84&amp;"'!"&amp;"$D$1")=$H$1,"","X")</f>
        <v>X</v>
      </c>
      <c r="I84" s="334" t="str">
        <f>IF(F84="","",(D84-F84)/F84)</f>
        <v/>
      </c>
      <c r="J84" s="335" t="e">
        <f ca="1">INDIRECT("'"&amp;$A84&amp;"'!"&amp;"$I$15")</f>
        <v>#VALUE!</v>
      </c>
      <c r="K84" s="336" t="e">
        <f ca="1">INDIRECT("'"&amp;$A84&amp;"'!"&amp;"$I$9")</f>
        <v>#VALUE!</v>
      </c>
      <c r="L84" s="336">
        <f ca="1">INDIRECT("'"&amp;$A84&amp;"'!"&amp;"$B$3")</f>
        <v>81.156342922600913</v>
      </c>
      <c r="M84" s="336">
        <f ca="1">INDIRECT("'"&amp;$A84&amp;"'!"&amp;"$B$4")</f>
        <v>94</v>
      </c>
      <c r="N84" s="336">
        <f ca="1">INDIRECT("'"&amp;$A84&amp;"'!"&amp;"$B$5")</f>
        <v>98.05653441500823</v>
      </c>
      <c r="O84" s="337" t="str">
        <f ca="1">INDIRECT("'"&amp;$A84&amp;"'!"&amp;"$I$6")</f>
        <v>連5月成長</v>
      </c>
      <c r="P84" s="337" t="str">
        <f ca="1">INDIRECT("'"&amp;$A84&amp;"'!"&amp;"$K$6")</f>
        <v>連2季成長</v>
      </c>
      <c r="Q84" s="338">
        <f ca="1">INDIRECT("'"&amp;$A84&amp;"'!"&amp;"$N$3")</f>
        <v>-0.12246409578591649</v>
      </c>
      <c r="R84" s="338">
        <f ca="1">INDIRECT("'"&amp;$A84&amp;"'!"&amp;"$N$6")/INDIRECT("'"&amp;$A84&amp;"'!"&amp;"$N$5")-1</f>
        <v>0.44673767179821366</v>
      </c>
      <c r="S84" s="324" t="str">
        <f ca="1">IF(D84&gt;INDIRECT("'"&amp;$A84&amp;"'!"&amp;"$I$3"),"",IF(AND(Q84&lt;0,R84&lt;0),"",IF(AND(Q84&lt;0,R84&gt;0),"轉機",IF(AND(Q84&gt;0,R84&lt;0),"",IF(AND(Q84&gt;=5%,R84&gt;=Q84),"OO","O")))))</f>
        <v/>
      </c>
      <c r="T84" s="332">
        <f>ROUND(策略!$I$14/$D84,0)</f>
        <v>7</v>
      </c>
      <c r="U84" s="334" t="e">
        <f ca="1">INDIRECT("'"&amp;$A84&amp;"'!"&amp;"$J$16")</f>
        <v>#VALUE!</v>
      </c>
      <c r="V84" s="339">
        <f ca="1">IF(ISERROR(INDIRECT("'"&amp;$A84&amp;"'!"&amp;"$D$4")),"",INDIRECT("'"&amp;$A84&amp;"'!"&amp;"$D$4"))</f>
        <v>6.6000000000000005</v>
      </c>
      <c r="W84" s="340" t="str">
        <f>IF(F84="","",(D84-F84)*G84*1000)</f>
        <v/>
      </c>
      <c r="X84" s="341" t="str">
        <f>IF(F84="","",D84*G84*1000)</f>
        <v/>
      </c>
      <c r="Y84" s="341" t="str">
        <f>IF(F84="","",F84*G84*1000+MAX(ROUNDDOWN(F84*1000*0.145%*28%,0),20)*G84)</f>
        <v/>
      </c>
      <c r="Z84" s="341" t="str">
        <f>IF(G84&gt;0,MAX(ROUNDDOWN(D84*1000*0.145%*28%,0),20)*G84+ROUNDDOWN(F84*1000*0.3%*28%,0)*G84,"")</f>
        <v/>
      </c>
      <c r="AA84" s="336">
        <f ca="1">INDIRECT("'"&amp;$A84&amp;"'!"&amp;"$B$10")</f>
        <v>11</v>
      </c>
      <c r="AB84" s="336">
        <f ca="1">INDIRECT("'"&amp;$A84&amp;"'!"&amp;"$E$10")</f>
        <v>13.48</v>
      </c>
      <c r="AC84" s="337" t="str">
        <f>VLOOKUP(_xlfn.NUMBERVALUE(A84),[2]工作表1!$A:$G,7,FALSE)</f>
        <v>無保留意見</v>
      </c>
    </row>
    <row r="85" spans="1:29" x14ac:dyDescent="0.25">
      <c r="A85" s="330">
        <v>8210</v>
      </c>
      <c r="B85" s="320" t="s">
        <v>172</v>
      </c>
      <c r="C85" s="320"/>
      <c r="D85" s="331">
        <f>VLOOKUP(_xlfn.NUMBERVALUE(A85),[1]工作表1!$A:$D,3,FALSE)</f>
        <v>43.55</v>
      </c>
      <c r="E85" s="332">
        <f>ROUND(VLOOKUP(_xlfn.NUMBERVALUE(A85),[1]工作表1!$A:$D,4,FALSE)/1000,0)</f>
        <v>74</v>
      </c>
      <c r="F85" s="331"/>
      <c r="G85" s="366">
        <v>0</v>
      </c>
      <c r="H85" s="333" t="str">
        <f ca="1">IF(INDIRECT("'"&amp;$A85&amp;"'!"&amp;"$D$1")=$H$1,"","X")</f>
        <v>X</v>
      </c>
      <c r="I85" s="334" t="str">
        <f>IF(F85="","",(D85-F85)/F85)</f>
        <v/>
      </c>
      <c r="J85" s="335" t="e">
        <f ca="1">INDIRECT("'"&amp;$A85&amp;"'!"&amp;"$I$15")</f>
        <v>#DIV/0!</v>
      </c>
      <c r="K85" s="336">
        <f ca="1">INDIRECT("'"&amp;$A85&amp;"'!"&amp;"$I$9")</f>
        <v>0</v>
      </c>
      <c r="L85" s="336">
        <f ca="1">INDIRECT("'"&amp;$A85&amp;"'!"&amp;"$B$3")</f>
        <v>81.556455264926285</v>
      </c>
      <c r="M85" s="336">
        <f ca="1">INDIRECT("'"&amp;$A85&amp;"'!"&amp;"$B$4")</f>
        <v>82</v>
      </c>
      <c r="N85" s="336">
        <f ca="1">INDIRECT("'"&amp;$A85&amp;"'!"&amp;"$B$5")</f>
        <v>98.01204819277109</v>
      </c>
      <c r="O85" s="337" t="str">
        <f ca="1">INDIRECT("'"&amp;$A85&amp;"'!"&amp;"$I$6")</f>
        <v>連3月成長</v>
      </c>
      <c r="P85" s="337" t="str">
        <f ca="1">INDIRECT("'"&amp;$A85&amp;"'!"&amp;"$K$6")</f>
        <v>連2季衰退</v>
      </c>
      <c r="Q85" s="338">
        <f ca="1">INDIRECT("'"&amp;$A85&amp;"'!"&amp;"$N$3")</f>
        <v>-0.20451016613324882</v>
      </c>
      <c r="R85" s="338">
        <f ca="1">INDIRECT("'"&amp;$A85&amp;"'!"&amp;"$N$6")/INDIRECT("'"&amp;$A85&amp;"'!"&amp;"$N$5")-1</f>
        <v>0.10830395822657901</v>
      </c>
      <c r="S85" s="324" t="str">
        <f ca="1">IF(D85&gt;INDIRECT("'"&amp;$A85&amp;"'!"&amp;"$I$3"),"",IF(AND(Q85&lt;0,R85&lt;0),"",IF(AND(Q85&lt;0,R85&gt;0),"轉機",IF(AND(Q85&gt;0,R85&lt;0),"",IF(AND(Q85&gt;=5%,R85&gt;=Q85),"OO","O")))))</f>
        <v/>
      </c>
      <c r="T85" s="332">
        <f>ROUND(策略!$I$14/$D85,0)</f>
        <v>11</v>
      </c>
      <c r="U85" s="334">
        <f ca="1">INDIRECT("'"&amp;$A85&amp;"'!"&amp;"$J$16")</f>
        <v>-1</v>
      </c>
      <c r="V85" s="339">
        <f ca="1">IF(ISERROR(INDIRECT("'"&amp;$A85&amp;"'!"&amp;"$D$4")),"",INDIRECT("'"&amp;$A85&amp;"'!"&amp;"$D$4"))</f>
        <v>12</v>
      </c>
      <c r="W85" s="340" t="str">
        <f>IF(F85="","",(D85-F85)*G85*1000)</f>
        <v/>
      </c>
      <c r="X85" s="341" t="str">
        <f>IF(F85="","",D85*G85*1000)</f>
        <v/>
      </c>
      <c r="Y85" s="341" t="str">
        <f>IF(F85="","",F85*G85*1000+MAX(ROUNDDOWN(F85*1000*0.145%*28%,0),20)*G85)</f>
        <v/>
      </c>
      <c r="Z85" s="341" t="str">
        <f>IF(G85&gt;0,MAX(ROUNDDOWN(D85*1000*0.145%*28%,0),20)*G85+ROUNDDOWN(F85*1000*0.3%*28%,0)*G85,"")</f>
        <v/>
      </c>
      <c r="AA85" s="336">
        <f ca="1">INDIRECT("'"&amp;$A85&amp;"'!"&amp;"$B$10")</f>
        <v>9.19</v>
      </c>
      <c r="AB85" s="336">
        <f ca="1">INDIRECT("'"&amp;$A85&amp;"'!"&amp;"$E$10")</f>
        <v>11.02</v>
      </c>
      <c r="AC85" s="337" t="str">
        <f>VLOOKUP(_xlfn.NUMBERVALUE(A85),[2]工作表1!$A:$G,7,FALSE)</f>
        <v>無保留意見</v>
      </c>
    </row>
    <row r="86" spans="1:29" x14ac:dyDescent="0.25">
      <c r="A86" s="330">
        <v>8255</v>
      </c>
      <c r="B86" s="320" t="s">
        <v>363</v>
      </c>
      <c r="C86" s="369" t="s">
        <v>393</v>
      </c>
      <c r="D86" s="331">
        <f>VLOOKUP(_xlfn.NUMBERVALUE(A86),[1]工作表1!$A:$D,3,FALSE)</f>
        <v>107.5</v>
      </c>
      <c r="E86" s="332">
        <f>ROUND(VLOOKUP(_xlfn.NUMBERVALUE(A86),[1]工作表1!$A:$D,4,FALSE)/1000,0)</f>
        <v>274</v>
      </c>
      <c r="F86" s="331"/>
      <c r="G86" s="366">
        <v>0</v>
      </c>
      <c r="H86" s="333" t="str">
        <f ca="1">IF(INDIRECT("'"&amp;$A86&amp;"'!"&amp;"$D$1")=$H$1,"","X")</f>
        <v>X</v>
      </c>
      <c r="I86" s="334" t="str">
        <f>IF(F86="","",(D86-F86)/F86)</f>
        <v/>
      </c>
      <c r="J86" s="335" t="e">
        <f ca="1">INDIRECT("'"&amp;$A86&amp;"'!"&amp;"$I$15")</f>
        <v>#VALUE!</v>
      </c>
      <c r="K86" s="336" t="e">
        <f ca="1">INDIRECT("'"&amp;$A86&amp;"'!"&amp;"$I$9")</f>
        <v>#VALUE!</v>
      </c>
      <c r="L86" s="336">
        <f ca="1">INDIRECT("'"&amp;$A86&amp;"'!"&amp;"$B$3")</f>
        <v>84.866712188310757</v>
      </c>
      <c r="M86" s="336">
        <f ca="1">INDIRECT("'"&amp;$A86&amp;"'!"&amp;"$B$4")</f>
        <v>86</v>
      </c>
      <c r="N86" s="336">
        <f ca="1">INDIRECT("'"&amp;$A86&amp;"'!"&amp;"$B$5")</f>
        <v>98.656319290465632</v>
      </c>
      <c r="O86" s="337" t="str">
        <f ca="1">INDIRECT("'"&amp;$A86&amp;"'!"&amp;"$I$6")</f>
        <v>連5月成長</v>
      </c>
      <c r="P86" s="337" t="str">
        <f ca="1">INDIRECT("'"&amp;$A86&amp;"'!"&amp;"$K$6")</f>
        <v>單季成長</v>
      </c>
      <c r="Q86" s="338">
        <f ca="1">INDIRECT("'"&amp;$A86&amp;"'!"&amp;"$N$3")</f>
        <v>-2.7825265333026889E-2</v>
      </c>
      <c r="R86" s="338">
        <f ca="1">INDIRECT("'"&amp;$A86&amp;"'!"&amp;"$N$6")/INDIRECT("'"&amp;$A86&amp;"'!"&amp;"$N$5")-1</f>
        <v>0.17442682231811935</v>
      </c>
      <c r="S86" s="324" t="str">
        <f ca="1">IF(D86&gt;INDIRECT("'"&amp;$A86&amp;"'!"&amp;"$I$3"),"",IF(AND(Q86&lt;0,R86&lt;0),"",IF(AND(Q86&lt;0,R86&gt;0),"轉機",IF(AND(Q86&gt;0,R86&lt;0),"",IF(AND(Q86&gt;=5%,R86&gt;=Q86),"OO","O")))))</f>
        <v/>
      </c>
      <c r="T86" s="332">
        <f>ROUND(策略!$I$14/$D86,0)</f>
        <v>5</v>
      </c>
      <c r="U86" s="334" t="e">
        <f ca="1">INDIRECT("'"&amp;$A86&amp;"'!"&amp;"$J$16")</f>
        <v>#VALUE!</v>
      </c>
      <c r="V86" s="339">
        <f ca="1">IF(ISERROR(INDIRECT("'"&amp;$A86&amp;"'!"&amp;"$D$4")),"",INDIRECT("'"&amp;$A86&amp;"'!"&amp;"$D$4"))</f>
        <v>7.49</v>
      </c>
      <c r="W86" s="340" t="str">
        <f>IF(F86="","",(D86-F86)*G86*1000)</f>
        <v/>
      </c>
      <c r="X86" s="341" t="str">
        <f>IF(F86="","",D86*G86*1000)</f>
        <v/>
      </c>
      <c r="Y86" s="341" t="str">
        <f>IF(F86="","",F86*G86*1000+MAX(ROUNDDOWN(F86*1000*0.145%*28%,0),20)*G86)</f>
        <v/>
      </c>
      <c r="Z86" s="341" t="str">
        <f>IF(G86&gt;0,MAX(ROUNDDOWN(D86*1000*0.145%*28%,0),20)*G86+ROUNDDOWN(F86*1000*0.3%*28%,0)*G86,"")</f>
        <v/>
      </c>
      <c r="AA86" s="336">
        <f ca="1">INDIRECT("'"&amp;$A86&amp;"'!"&amp;"$B$10")</f>
        <v>13.59</v>
      </c>
      <c r="AB86" s="336">
        <f ca="1">INDIRECT("'"&amp;$A86&amp;"'!"&amp;"$E$10")</f>
        <v>15.585000000000001</v>
      </c>
      <c r="AC86" s="337" t="str">
        <f>VLOOKUP(_xlfn.NUMBERVALUE(A86),[2]工作表1!$A:$G,7,FALSE)</f>
        <v>無保留意見</v>
      </c>
    </row>
    <row r="87" spans="1:29" x14ac:dyDescent="0.25">
      <c r="A87" s="330">
        <v>8299</v>
      </c>
      <c r="B87" s="320" t="s">
        <v>313</v>
      </c>
      <c r="C87" s="369" t="s">
        <v>393</v>
      </c>
      <c r="D87" s="331">
        <f>VLOOKUP(_xlfn.NUMBERVALUE(A87),[1]工作表1!$A:$D,3,FALSE)</f>
        <v>288</v>
      </c>
      <c r="E87" s="332">
        <f>ROUND(VLOOKUP(_xlfn.NUMBERVALUE(A87),[1]工作表1!$A:$D,4,FALSE)/1000,0)</f>
        <v>1199</v>
      </c>
      <c r="F87" s="331"/>
      <c r="G87" s="366">
        <v>0</v>
      </c>
      <c r="H87" s="333" t="str">
        <f ca="1">IF(INDIRECT("'"&amp;$A87&amp;"'!"&amp;"$D$1")=$H$1,"","X")</f>
        <v>X</v>
      </c>
      <c r="I87" s="334" t="str">
        <f>IF(F87="","",(D87-F87)/F87)</f>
        <v/>
      </c>
      <c r="J87" s="335" t="e">
        <f ca="1">INDIRECT("'"&amp;$A87&amp;"'!"&amp;"$I$15")</f>
        <v>#VALUE!</v>
      </c>
      <c r="K87" s="336" t="e">
        <f ca="1">INDIRECT("'"&amp;$A87&amp;"'!"&amp;"$I$9")</f>
        <v>#VALUE!</v>
      </c>
      <c r="L87" s="336">
        <f ca="1">INDIRECT("'"&amp;$A87&amp;"'!"&amp;"$B$3")</f>
        <v>84.106789495228</v>
      </c>
      <c r="M87" s="336">
        <f ca="1">INDIRECT("'"&amp;$A87&amp;"'!"&amp;"$B$4")</f>
        <v>86</v>
      </c>
      <c r="N87" s="336">
        <f ca="1">INDIRECT("'"&amp;$A87&amp;"'!"&amp;"$B$5")</f>
        <v>92.844133649170914</v>
      </c>
      <c r="O87" s="337" t="str">
        <f ca="1">INDIRECT("'"&amp;$A87&amp;"'!"&amp;"$I$6")</f>
        <v>連4月衰退</v>
      </c>
      <c r="P87" s="337" t="str">
        <f ca="1">INDIRECT("'"&amp;$A87&amp;"'!"&amp;"$K$6")</f>
        <v>連3季成長</v>
      </c>
      <c r="Q87" s="338">
        <f ca="1">INDIRECT("'"&amp;$A87&amp;"'!"&amp;"$N$3")</f>
        <v>0.14758499068765121</v>
      </c>
      <c r="R87" s="338">
        <f ca="1">INDIRECT("'"&amp;$A87&amp;"'!"&amp;"$N$6")/INDIRECT("'"&amp;$A87&amp;"'!"&amp;"$N$5")-1</f>
        <v>-0.14865616828566808</v>
      </c>
      <c r="S87" s="324" t="str">
        <f ca="1">IF(D87&gt;INDIRECT("'"&amp;$A87&amp;"'!"&amp;"$I$3"),"",IF(AND(Q87&lt;0,R87&lt;0),"",IF(AND(Q87&lt;0,R87&gt;0),"轉機",IF(AND(Q87&gt;0,R87&lt;0),"",IF(AND(Q87&gt;=5%,R87&gt;=Q87),"OO","O")))))</f>
        <v/>
      </c>
      <c r="T87" s="332">
        <f>ROUND(策略!$I$14/$D87,0)</f>
        <v>2</v>
      </c>
      <c r="U87" s="334" t="e">
        <f ca="1">INDIRECT("'"&amp;$A87&amp;"'!"&amp;"$J$16")</f>
        <v>#VALUE!</v>
      </c>
      <c r="V87" s="339">
        <f ca="1">IF(ISERROR(INDIRECT("'"&amp;$A87&amp;"'!"&amp;"$D$4")),"",INDIRECT("'"&amp;$A87&amp;"'!"&amp;"$D$4"))</f>
        <v>19.7</v>
      </c>
      <c r="W87" s="340" t="str">
        <f>IF(F87="","",(D87-F87)*G87*1000)</f>
        <v/>
      </c>
      <c r="X87" s="341" t="str">
        <f>IF(F87="","",D87*G87*1000)</f>
        <v/>
      </c>
      <c r="Y87" s="341" t="str">
        <f>IF(F87="","",F87*G87*1000+MAX(ROUNDDOWN(F87*1000*0.145%*28%,0),20)*G87)</f>
        <v/>
      </c>
      <c r="Z87" s="341" t="str">
        <f>IF(G87&gt;0,MAX(ROUNDDOWN(D87*1000*0.145%*28%,0),20)*G87+ROUNDDOWN(F87*1000*0.3%*28%,0)*G87,"")</f>
        <v/>
      </c>
      <c r="AA87" s="336">
        <f ca="1">INDIRECT("'"&amp;$A87&amp;"'!"&amp;"$B$10")</f>
        <v>11.11</v>
      </c>
      <c r="AB87" s="336">
        <f ca="1">INDIRECT("'"&amp;$A87&amp;"'!"&amp;"$E$10")</f>
        <v>14.535</v>
      </c>
      <c r="AC87" s="337" t="str">
        <f>VLOOKUP(_xlfn.NUMBERVALUE(A87),[2]工作表1!$A:$G,7,FALSE)</f>
        <v>無保留意見</v>
      </c>
    </row>
    <row r="88" spans="1:29" x14ac:dyDescent="0.25">
      <c r="A88" s="343">
        <v>8416</v>
      </c>
      <c r="B88" s="320" t="s">
        <v>289</v>
      </c>
      <c r="C88" s="369" t="s">
        <v>393</v>
      </c>
      <c r="D88" s="331">
        <f>VLOOKUP(_xlfn.NUMBERVALUE(A88),[1]工作表1!$A:$D,3,FALSE)</f>
        <v>104.5</v>
      </c>
      <c r="E88" s="332">
        <f>ROUND(VLOOKUP(_xlfn.NUMBERVALUE(A88),[1]工作表1!$A:$D,4,FALSE)/1000,0)</f>
        <v>58</v>
      </c>
      <c r="F88" s="331">
        <v>94.65</v>
      </c>
      <c r="G88" s="366">
        <v>2</v>
      </c>
      <c r="H88" s="333" t="str">
        <f ca="1">IF(INDIRECT("'"&amp;$A88&amp;"'!"&amp;"$D$1")=$H$1,"","X")</f>
        <v/>
      </c>
      <c r="I88" s="334">
        <f>IF(F88="","",(D88-F88)/F88)</f>
        <v>0.10406761753829893</v>
      </c>
      <c r="J88" s="335" t="e">
        <f ca="1">INDIRECT("'"&amp;$A88&amp;"'!"&amp;"$I$15")</f>
        <v>#VALUE!</v>
      </c>
      <c r="K88" s="336" t="e">
        <f ca="1">INDIRECT("'"&amp;$A88&amp;"'!"&amp;"$I$9")</f>
        <v>#VALUE!</v>
      </c>
      <c r="L88" s="336">
        <f ca="1">INDIRECT("'"&amp;$A88&amp;"'!"&amp;"$B$3")</f>
        <v>85.244897135671906</v>
      </c>
      <c r="M88" s="336">
        <f ca="1">INDIRECT("'"&amp;$A88&amp;"'!"&amp;"$B$4")</f>
        <v>88</v>
      </c>
      <c r="N88" s="336">
        <f ca="1">INDIRECT("'"&amp;$A88&amp;"'!"&amp;"$B$5")</f>
        <v>98.61696306429549</v>
      </c>
      <c r="O88" s="337" t="str">
        <f ca="1">INDIRECT("'"&amp;$A88&amp;"'!"&amp;"$I$6")</f>
        <v>連5月成長</v>
      </c>
      <c r="P88" s="337" t="str">
        <f ca="1">INDIRECT("'"&amp;$A88&amp;"'!"&amp;"$K$6")</f>
        <v>連2季成長</v>
      </c>
      <c r="Q88" s="338">
        <f ca="1">INDIRECT("'"&amp;$A88&amp;"'!"&amp;"$N$3")</f>
        <v>0.17496358025342046</v>
      </c>
      <c r="R88" s="338">
        <f ca="1">INDIRECT("'"&amp;$A88&amp;"'!"&amp;"$N$6")/INDIRECT("'"&amp;$A88&amp;"'!"&amp;"$N$5")-1</f>
        <v>0.21592736086622577</v>
      </c>
      <c r="S88" s="324" t="str">
        <f ca="1">IF(D88&gt;INDIRECT("'"&amp;$A88&amp;"'!"&amp;"$I$3"),"",IF(AND(Q88&lt;0,R88&lt;0),"",IF(AND(Q88&lt;0,R88&gt;0),"轉機",IF(AND(Q88&gt;0,R88&lt;0),"",IF(AND(Q88&gt;=5%,R88&gt;=Q88),"OO","O")))))</f>
        <v>OO</v>
      </c>
      <c r="T88" s="332">
        <f>ROUND(策略!$I$14/$D88,0)</f>
        <v>5</v>
      </c>
      <c r="U88" s="334" t="e">
        <f ca="1">INDIRECT("'"&amp;$A88&amp;"'!"&amp;"$J$16")</f>
        <v>#VALUE!</v>
      </c>
      <c r="V88" s="339">
        <f ca="1">IF(ISERROR(INDIRECT("'"&amp;$A88&amp;"'!"&amp;"$D$4")),"",INDIRECT("'"&amp;$A88&amp;"'!"&amp;"$D$4"))</f>
        <v>2.56</v>
      </c>
      <c r="W88" s="340">
        <f>IF(F88="","",(D88-F88)*G88*1000)</f>
        <v>19699.999999999989</v>
      </c>
      <c r="X88" s="341">
        <f>IF(F88="","",D88*G88*1000)</f>
        <v>209000</v>
      </c>
      <c r="Y88" s="341">
        <f>IF(F88="","",F88*G88*1000+MAX(ROUNDDOWN(F88*1000*0.145%*28%,0),20)*G88)</f>
        <v>189376</v>
      </c>
      <c r="Z88" s="341">
        <f>IF(G88&gt;0,MAX(ROUNDDOWN(D88*1000*0.145%*28%,0),20)*G88+ROUNDDOWN(F88*1000*0.3%*28%,0)*G88,"")</f>
        <v>242</v>
      </c>
      <c r="AA88" s="336">
        <f ca="1">INDIRECT("'"&amp;$A88&amp;"'!"&amp;"$B$10")</f>
        <v>11.612</v>
      </c>
      <c r="AB88" s="336">
        <f ca="1">INDIRECT("'"&amp;$A88&amp;"'!"&amp;"$E$10")</f>
        <v>18.056000000000001</v>
      </c>
      <c r="AC88" s="337" t="str">
        <f>VLOOKUP(_xlfn.NUMBERVALUE(A88),[2]工作表1!$A:$G,7,FALSE)</f>
        <v>無保留意見</v>
      </c>
    </row>
    <row r="89" spans="1:29" x14ac:dyDescent="0.25">
      <c r="A89" s="330">
        <v>8422</v>
      </c>
      <c r="B89" s="320" t="s">
        <v>170</v>
      </c>
      <c r="C89" s="320"/>
      <c r="D89" s="331">
        <f>VLOOKUP(_xlfn.NUMBERVALUE(A89),[1]工作表1!$A:$D,3,FALSE)</f>
        <v>174</v>
      </c>
      <c r="E89" s="332">
        <f>ROUND(VLOOKUP(_xlfn.NUMBERVALUE(A89),[1]工作表1!$A:$D,4,FALSE)/1000,0)</f>
        <v>230</v>
      </c>
      <c r="F89" s="331"/>
      <c r="G89" s="366">
        <v>0</v>
      </c>
      <c r="H89" s="333" t="str">
        <f ca="1">IF(INDIRECT("'"&amp;$A89&amp;"'!"&amp;"$D$1")=$H$1,"","X")</f>
        <v>X</v>
      </c>
      <c r="I89" s="334" t="str">
        <f>IF(F89="","",(D89-F89)/F89)</f>
        <v/>
      </c>
      <c r="J89" s="335" t="e">
        <f ca="1">INDIRECT("'"&amp;$A89&amp;"'!"&amp;"$I$15")</f>
        <v>#DIV/0!</v>
      </c>
      <c r="K89" s="336">
        <f ca="1">INDIRECT("'"&amp;$A89&amp;"'!"&amp;"$I$9")</f>
        <v>0</v>
      </c>
      <c r="L89" s="336">
        <f ca="1">INDIRECT("'"&amp;$A89&amp;"'!"&amp;"$B$3")</f>
        <v>85.352703527795725</v>
      </c>
      <c r="M89" s="336">
        <f ca="1">INDIRECT("'"&amp;$A89&amp;"'!"&amp;"$B$4")</f>
        <v>82</v>
      </c>
      <c r="N89" s="336">
        <f ca="1">INDIRECT("'"&amp;$A89&amp;"'!"&amp;"$B$5")</f>
        <v>98.950495049504951</v>
      </c>
      <c r="O89" s="337" t="str">
        <f ca="1">INDIRECT("'"&amp;$A89&amp;"'!"&amp;"$I$6")</f>
        <v>連5月衰退</v>
      </c>
      <c r="P89" s="337" t="str">
        <f ca="1">INDIRECT("'"&amp;$A89&amp;"'!"&amp;"$K$6")</f>
        <v>連3季衰退</v>
      </c>
      <c r="Q89" s="338">
        <f ca="1">INDIRECT("'"&amp;$A89&amp;"'!"&amp;"$N$3")</f>
        <v>-0.12399081587233658</v>
      </c>
      <c r="R89" s="338">
        <f ca="1">INDIRECT("'"&amp;$A89&amp;"'!"&amp;"$N$6")/INDIRECT("'"&amp;$A89&amp;"'!"&amp;"$N$5")-1</f>
        <v>-0.17482878375086874</v>
      </c>
      <c r="S89" s="324" t="str">
        <f ca="1">IF(D89&gt;INDIRECT("'"&amp;$A89&amp;"'!"&amp;"$I$3"),"",IF(AND(Q89&lt;0,R89&lt;0),"",IF(AND(Q89&lt;0,R89&gt;0),"轉機",IF(AND(Q89&gt;0,R89&lt;0),"",IF(AND(Q89&gt;=5%,R89&gt;=Q89),"OO","O")))))</f>
        <v/>
      </c>
      <c r="T89" s="332">
        <f>ROUND(策略!$I$14/$D89,0)</f>
        <v>3</v>
      </c>
      <c r="U89" s="334">
        <f ca="1">INDIRECT("'"&amp;$A89&amp;"'!"&amp;"$J$16")</f>
        <v>-1</v>
      </c>
      <c r="V89" s="339">
        <f ca="1">IF(ISERROR(INDIRECT("'"&amp;$A89&amp;"'!"&amp;"$D$4")),"",INDIRECT("'"&amp;$A89&amp;"'!"&amp;"$D$4"))</f>
        <v>10.9</v>
      </c>
      <c r="W89" s="340" t="str">
        <f>IF(F89="","",(D89-F89)*G89*1000)</f>
        <v/>
      </c>
      <c r="X89" s="341" t="str">
        <f>IF(F89="","",D89*G89*1000)</f>
        <v/>
      </c>
      <c r="Y89" s="341" t="str">
        <f>IF(F89="","",F89*G89*1000+MAX(ROUNDDOWN(F89*1000*0.145%*28%,0),20)*G89)</f>
        <v/>
      </c>
      <c r="Z89" s="341" t="str">
        <f>IF(G89&gt;0,MAX(ROUNDDOWN(D89*1000*0.145%*28%,0),20)*G89+ROUNDDOWN(F89*1000*0.3%*28%,0)*G89,"")</f>
        <v/>
      </c>
      <c r="AA89" s="336">
        <f ca="1">INDIRECT("'"&amp;$A89&amp;"'!"&amp;"$B$10")</f>
        <v>13.62</v>
      </c>
      <c r="AB89" s="336">
        <f ca="1">INDIRECT("'"&amp;$A89&amp;"'!"&amp;"$E$10")</f>
        <v>15.725</v>
      </c>
      <c r="AC89" s="337" t="str">
        <f>VLOOKUP(_xlfn.NUMBERVALUE(A89),[2]工作表1!$A:$G,7,FALSE)</f>
        <v>無保留意見</v>
      </c>
    </row>
    <row r="90" spans="1:29" x14ac:dyDescent="0.25">
      <c r="A90" s="330">
        <v>9910</v>
      </c>
      <c r="B90" s="320" t="s">
        <v>328</v>
      </c>
      <c r="C90" s="320"/>
      <c r="D90" s="331">
        <f>VLOOKUP(_xlfn.NUMBERVALUE(A90),[1]工作表1!$A:$D,3,FALSE)</f>
        <v>125.5</v>
      </c>
      <c r="E90" s="332">
        <f>ROUND(VLOOKUP(_xlfn.NUMBERVALUE(A90),[1]工作表1!$A:$D,4,FALSE)/1000,0)</f>
        <v>758</v>
      </c>
      <c r="F90" s="331"/>
      <c r="G90" s="366">
        <v>0</v>
      </c>
      <c r="H90" s="333" t="str">
        <f ca="1">IF(INDIRECT("'"&amp;$A90&amp;"'!"&amp;"$D$1")=$H$1,"","X")</f>
        <v>X</v>
      </c>
      <c r="I90" s="334" t="str">
        <f>IF(F90="","",(D90-F90)/F90)</f>
        <v/>
      </c>
      <c r="J90" s="335" t="e">
        <f ca="1">INDIRECT("'"&amp;$A90&amp;"'!"&amp;"$I$15")</f>
        <v>#DIV/0!</v>
      </c>
      <c r="K90" s="336">
        <f ca="1">INDIRECT("'"&amp;$A90&amp;"'!"&amp;"$I$9")</f>
        <v>0</v>
      </c>
      <c r="L90" s="336">
        <f ca="1">INDIRECT("'"&amp;$A90&amp;"'!"&amp;"$B$3")</f>
        <v>86.931547363078096</v>
      </c>
      <c r="M90" s="336">
        <f ca="1">INDIRECT("'"&amp;$A90&amp;"'!"&amp;"$B$4")</f>
        <v>80</v>
      </c>
      <c r="N90" s="336">
        <f ca="1">INDIRECT("'"&amp;$A90&amp;"'!"&amp;"$B$5")</f>
        <v>90.504489361702127</v>
      </c>
      <c r="O90" s="337" t="str">
        <f ca="1">INDIRECT("'"&amp;$A90&amp;"'!"&amp;"$I$6")</f>
        <v>連4月成長</v>
      </c>
      <c r="P90" s="337" t="str">
        <f ca="1">INDIRECT("'"&amp;$A90&amp;"'!"&amp;"$K$6")</f>
        <v>單季成長</v>
      </c>
      <c r="Q90" s="338">
        <f ca="1">INDIRECT("'"&amp;$A90&amp;"'!"&amp;"$N$3")</f>
        <v>-8.5279178178660459E-2</v>
      </c>
      <c r="R90" s="338">
        <f ca="1">INDIRECT("'"&amp;$A90&amp;"'!"&amp;"$N$6")/INDIRECT("'"&amp;$A90&amp;"'!"&amp;"$N$5")-1</f>
        <v>5.9183891202266192E-2</v>
      </c>
      <c r="S90" s="324" t="str">
        <f ca="1">IF(D90&gt;INDIRECT("'"&amp;$A90&amp;"'!"&amp;"$I$3"),"",IF(AND(Q90&lt;0,R90&lt;0),"",IF(AND(Q90&lt;0,R90&gt;0),"轉機",IF(AND(Q90&gt;0,R90&lt;0),"",IF(AND(Q90&gt;=5%,R90&gt;=Q90),"OO","O")))))</f>
        <v/>
      </c>
      <c r="T90" s="332">
        <f>ROUND(策略!$I$14/$D90,0)</f>
        <v>4</v>
      </c>
      <c r="U90" s="334">
        <f ca="1">INDIRECT("'"&amp;$A90&amp;"'!"&amp;"$J$16")</f>
        <v>-1</v>
      </c>
      <c r="V90" s="339">
        <f ca="1">IF(ISERROR(INDIRECT("'"&amp;$A90&amp;"'!"&amp;"$D$4")),"",INDIRECT("'"&amp;$A90&amp;"'!"&amp;"$D$4"))</f>
        <v>66.8</v>
      </c>
      <c r="W90" s="340" t="str">
        <f>IF(F90="","",(D90-F90)*G90*1000)</f>
        <v/>
      </c>
      <c r="X90" s="341" t="str">
        <f>IF(F90="","",D90*G90*1000)</f>
        <v/>
      </c>
      <c r="Y90" s="341" t="str">
        <f>IF(F90="","",F90*G90*1000+MAX(ROUNDDOWN(F90*1000*0.145%*28%,0),20)*G90)</f>
        <v/>
      </c>
      <c r="Z90" s="341" t="str">
        <f>IF(G90&gt;0,MAX(ROUNDDOWN(D90*1000*0.145%*28%,0),20)*G90+ROUNDDOWN(F90*1000*0.3%*28%,0)*G90,"")</f>
        <v/>
      </c>
      <c r="AA90" s="336">
        <f ca="1">INDIRECT("'"&amp;$A90&amp;"'!"&amp;"$B$10")</f>
        <v>13.69</v>
      </c>
      <c r="AB90" s="336">
        <f ca="1">INDIRECT("'"&amp;$A90&amp;"'!"&amp;"$E$10")</f>
        <v>20.54</v>
      </c>
      <c r="AC90" s="337" t="str">
        <f>VLOOKUP(_xlfn.NUMBERVALUE(A90),[2]工作表1!$A:$G,7,FALSE)</f>
        <v>無保留意見</v>
      </c>
    </row>
    <row r="91" spans="1:29" x14ac:dyDescent="0.25">
      <c r="A91" s="330">
        <v>9914</v>
      </c>
      <c r="B91" s="320" t="s">
        <v>339</v>
      </c>
      <c r="C91" s="320"/>
      <c r="D91" s="331">
        <f>VLOOKUP(_xlfn.NUMBERVALUE(A91),[1]工作表1!$A:$D,3,FALSE)</f>
        <v>124.5</v>
      </c>
      <c r="E91" s="332">
        <f>ROUND(VLOOKUP(_xlfn.NUMBERVALUE(A91),[1]工作表1!$A:$D,4,FALSE)/1000,0)</f>
        <v>656</v>
      </c>
      <c r="F91" s="331"/>
      <c r="G91" s="366">
        <v>0</v>
      </c>
      <c r="H91" s="333" t="str">
        <f ca="1">IF(INDIRECT("'"&amp;$A91&amp;"'!"&amp;"$D$1")=$H$1,"","X")</f>
        <v>X</v>
      </c>
      <c r="I91" s="334" t="str">
        <f>IF(F91="","",(D91-F91)/F91)</f>
        <v/>
      </c>
      <c r="J91" s="335" t="e">
        <f ca="1">INDIRECT("'"&amp;$A91&amp;"'!"&amp;"$I$15")</f>
        <v>#DIV/0!</v>
      </c>
      <c r="K91" s="336">
        <f ca="1">INDIRECT("'"&amp;$A91&amp;"'!"&amp;"$I$9")</f>
        <v>0</v>
      </c>
      <c r="L91" s="336">
        <f ca="1">INDIRECT("'"&amp;$A91&amp;"'!"&amp;"$B$3")</f>
        <v>88.197054872488053</v>
      </c>
      <c r="M91" s="336">
        <f ca="1">INDIRECT("'"&amp;$A91&amp;"'!"&amp;"$B$4")</f>
        <v>66</v>
      </c>
      <c r="N91" s="336">
        <f ca="1">INDIRECT("'"&amp;$A91&amp;"'!"&amp;"$B$5")</f>
        <v>91.033869212660207</v>
      </c>
      <c r="O91" s="337" t="str">
        <f ca="1">INDIRECT("'"&amp;$A91&amp;"'!"&amp;"$I$6")</f>
        <v>上月成長</v>
      </c>
      <c r="P91" s="337" t="str">
        <f ca="1">INDIRECT("'"&amp;$A91&amp;"'!"&amp;"$K$6")</f>
        <v>連3季衰退</v>
      </c>
      <c r="Q91" s="338">
        <f ca="1">INDIRECT("'"&amp;$A91&amp;"'!"&amp;"$N$3")</f>
        <v>-0.32515091556815773</v>
      </c>
      <c r="R91" s="338">
        <f ca="1">INDIRECT("'"&amp;$A91&amp;"'!"&amp;"$N$6")/INDIRECT("'"&amp;$A91&amp;"'!"&amp;"$N$5")-1</f>
        <v>0.16916468632879611</v>
      </c>
      <c r="S91" s="324" t="str">
        <f ca="1">IF(D91&gt;INDIRECT("'"&amp;$A91&amp;"'!"&amp;"$I$3"),"",IF(AND(Q91&lt;0,R91&lt;0),"",IF(AND(Q91&lt;0,R91&gt;0),"轉機",IF(AND(Q91&gt;0,R91&lt;0),"",IF(AND(Q91&gt;=5%,R91&gt;=Q91),"OO","O")))))</f>
        <v/>
      </c>
      <c r="T91" s="332">
        <f>ROUND(策略!$I$14/$D91,0)</f>
        <v>4</v>
      </c>
      <c r="U91" s="334">
        <f ca="1">INDIRECT("'"&amp;$A91&amp;"'!"&amp;"$J$16")</f>
        <v>-1</v>
      </c>
      <c r="V91" s="339">
        <f ca="1">IF(ISERROR(INDIRECT("'"&amp;$A91&amp;"'!"&amp;"$D$4")),"",INDIRECT("'"&amp;$A91&amp;"'!"&amp;"$D$4"))</f>
        <v>29.9</v>
      </c>
      <c r="W91" s="340" t="str">
        <f>IF(F91="","",(D91-F91)*G91*1000)</f>
        <v/>
      </c>
      <c r="X91" s="341" t="str">
        <f>IF(F91="","",D91*G91*1000)</f>
        <v/>
      </c>
      <c r="Y91" s="341" t="str">
        <f>IF(F91="","",F91*G91*1000+MAX(ROUNDDOWN(F91*1000*0.145%*28%,0),20)*G91)</f>
        <v/>
      </c>
      <c r="Z91" s="341" t="str">
        <f>IF(G91&gt;0,MAX(ROUNDDOWN(D91*1000*0.145%*28%,0),20)*G91+ROUNDDOWN(F91*1000*0.3%*28%,0)*G91,"")</f>
        <v/>
      </c>
      <c r="AA91" s="336">
        <f ca="1">INDIRECT("'"&amp;$A91&amp;"'!"&amp;"$B$10")</f>
        <v>15.5</v>
      </c>
      <c r="AB91" s="336">
        <f ca="1">INDIRECT("'"&amp;$A91&amp;"'!"&amp;"$E$10")</f>
        <v>20.645</v>
      </c>
      <c r="AC91" s="337" t="str">
        <f>VLOOKUP(_xlfn.NUMBERVALUE(A91),[2]工作表1!$A:$G,7,FALSE)</f>
        <v>無保留意見</v>
      </c>
    </row>
    <row r="92" spans="1:29" x14ac:dyDescent="0.25">
      <c r="A92" s="330">
        <v>9917</v>
      </c>
      <c r="B92" s="320" t="s">
        <v>341</v>
      </c>
      <c r="C92" s="320"/>
      <c r="D92" s="331">
        <f>VLOOKUP(_xlfn.NUMBERVALUE(A92),[1]工作表1!$A:$D,3,FALSE)</f>
        <v>89.1</v>
      </c>
      <c r="E92" s="332">
        <f>ROUND(VLOOKUP(_xlfn.NUMBERVALUE(A92),[1]工作表1!$A:$D,4,FALSE)/1000,0)</f>
        <v>516</v>
      </c>
      <c r="F92" s="331"/>
      <c r="G92" s="366">
        <v>0</v>
      </c>
      <c r="H92" s="333" t="str">
        <f ca="1">IF(INDIRECT("'"&amp;$A92&amp;"'!"&amp;"$D$1")=$H$1,"","X")</f>
        <v/>
      </c>
      <c r="I92" s="334" t="str">
        <f>IF(F92="","",(D92-F92)/F92)</f>
        <v/>
      </c>
      <c r="J92" s="335" t="e">
        <f ca="1">INDIRECT("'"&amp;$A92&amp;"'!"&amp;"$I$15")</f>
        <v>#DIV/0!</v>
      </c>
      <c r="K92" s="336">
        <f ca="1">INDIRECT("'"&amp;$A92&amp;"'!"&amp;"$I$9")</f>
        <v>0</v>
      </c>
      <c r="L92" s="336">
        <f ca="1">INDIRECT("'"&amp;$A92&amp;"'!"&amp;"$B$3")</f>
        <v>65.03032163594672</v>
      </c>
      <c r="M92" s="336">
        <f ca="1">INDIRECT("'"&amp;$A92&amp;"'!"&amp;"$B$4")</f>
        <v>68</v>
      </c>
      <c r="N92" s="336">
        <f ca="1">INDIRECT("'"&amp;$A92&amp;"'!"&amp;"$B$5")</f>
        <v>99.140923701573342</v>
      </c>
      <c r="O92" s="337" t="str">
        <f ca="1">INDIRECT("'"&amp;$A92&amp;"'!"&amp;"$I$6")</f>
        <v>連2月成長</v>
      </c>
      <c r="P92" s="337" t="str">
        <f ca="1">INDIRECT("'"&amp;$A92&amp;"'!"&amp;"$K$6")</f>
        <v>連3季成長</v>
      </c>
      <c r="Q92" s="338">
        <f ca="1">INDIRECT("'"&amp;$A92&amp;"'!"&amp;"$N$3")</f>
        <v>2.9057726777315729</v>
      </c>
      <c r="R92" s="338">
        <f ca="1">INDIRECT("'"&amp;$A92&amp;"'!"&amp;"$N$6")/INDIRECT("'"&amp;$A92&amp;"'!"&amp;"$N$5")-1</f>
        <v>0.95543797733736047</v>
      </c>
      <c r="S92" s="324" t="str">
        <f ca="1">IF(D92&gt;INDIRECT("'"&amp;$A92&amp;"'!"&amp;"$I$3"),"",IF(AND(Q92&lt;0,R92&lt;0),"",IF(AND(Q92&lt;0,R92&gt;0),"轉機",IF(AND(Q92&gt;0,R92&lt;0),"",IF(AND(Q92&gt;=5%,R92&gt;=Q92),"OO","O")))))</f>
        <v/>
      </c>
      <c r="T92" s="332">
        <f>ROUND(策略!$I$14/$D92,0)</f>
        <v>5</v>
      </c>
      <c r="U92" s="334">
        <f ca="1">INDIRECT("'"&amp;$A92&amp;"'!"&amp;"$J$16")</f>
        <v>-1</v>
      </c>
      <c r="V92" s="339">
        <f ca="1">IF(ISERROR(INDIRECT("'"&amp;$A92&amp;"'!"&amp;"$D$4")),"",INDIRECT("'"&amp;$A92&amp;"'!"&amp;"$D$4"))</f>
        <v>45.1</v>
      </c>
      <c r="W92" s="340" t="str">
        <f>IF(F92="","",(D92-F92)*G92*1000)</f>
        <v/>
      </c>
      <c r="X92" s="341" t="str">
        <f>IF(F92="","",D92*G92*1000)</f>
        <v/>
      </c>
      <c r="Y92" s="341" t="str">
        <f>IF(F92="","",F92*G92*1000+MAX(ROUNDDOWN(F92*1000*0.145%*28%,0),20)*G92)</f>
        <v/>
      </c>
      <c r="Z92" s="341" t="str">
        <f>IF(G92&gt;0,MAX(ROUNDDOWN(D92*1000*0.145%*28%,0),20)*G92+ROUNDDOWN(F92*1000*0.3%*28%,0)*G92,"")</f>
        <v/>
      </c>
      <c r="AA92" s="336">
        <f ca="1">INDIRECT("'"&amp;$A92&amp;"'!"&amp;"$B$10")</f>
        <v>15.89</v>
      </c>
      <c r="AB92" s="336">
        <f ca="1">INDIRECT("'"&amp;$A92&amp;"'!"&amp;"$E$10")</f>
        <v>19.625</v>
      </c>
      <c r="AC92" s="337" t="str">
        <f>VLOOKUP(_xlfn.NUMBERVALUE(A92),[2]工作表1!$A:$G,7,FALSE)</f>
        <v>無保留意見</v>
      </c>
    </row>
    <row r="93" spans="1:29" x14ac:dyDescent="0.25">
      <c r="A93" s="330">
        <v>9921</v>
      </c>
      <c r="B93" s="320" t="s">
        <v>315</v>
      </c>
      <c r="C93" s="320"/>
      <c r="D93" s="331">
        <f>VLOOKUP(_xlfn.NUMBERVALUE(A93),[1]工作表1!$A:$D,3,FALSE)</f>
        <v>147</v>
      </c>
      <c r="E93" s="332">
        <f>ROUND(VLOOKUP(_xlfn.NUMBERVALUE(A93),[1]工作表1!$A:$D,4,FALSE)/1000,0)</f>
        <v>1334</v>
      </c>
      <c r="F93" s="331"/>
      <c r="G93" s="366">
        <v>0</v>
      </c>
      <c r="H93" s="333" t="str">
        <f ca="1">IF(INDIRECT("'"&amp;$A93&amp;"'!"&amp;"$D$1")=$H$1,"","X")</f>
        <v>X</v>
      </c>
      <c r="I93" s="334" t="str">
        <f>IF(F93="","",(D93-F93)/F93)</f>
        <v/>
      </c>
      <c r="J93" s="335" t="e">
        <f ca="1">INDIRECT("'"&amp;$A93&amp;"'!"&amp;"$I$15")</f>
        <v>#DIV/0!</v>
      </c>
      <c r="K93" s="336">
        <f ca="1">INDIRECT("'"&amp;$A93&amp;"'!"&amp;"$I$9")</f>
        <v>0</v>
      </c>
      <c r="L93" s="336">
        <f ca="1">INDIRECT("'"&amp;$A93&amp;"'!"&amp;"$B$3")</f>
        <v>77.809070522710627</v>
      </c>
      <c r="M93" s="336">
        <f ca="1">INDIRECT("'"&amp;$A93&amp;"'!"&amp;"$B$4")</f>
        <v>78</v>
      </c>
      <c r="N93" s="336">
        <f ca="1">INDIRECT("'"&amp;$A93&amp;"'!"&amp;"$B$5")</f>
        <v>87.514112545172949</v>
      </c>
      <c r="O93" s="337" t="str">
        <f ca="1">INDIRECT("'"&amp;$A93&amp;"'!"&amp;"$I$6")</f>
        <v>上月成長</v>
      </c>
      <c r="P93" s="337" t="str">
        <f ca="1">INDIRECT("'"&amp;$A93&amp;"'!"&amp;"$K$6")</f>
        <v>單季成長</v>
      </c>
      <c r="Q93" s="338">
        <f ca="1">INDIRECT("'"&amp;$A93&amp;"'!"&amp;"$N$3")</f>
        <v>-0.18458313209705404</v>
      </c>
      <c r="R93" s="338">
        <f ca="1">INDIRECT("'"&amp;$A93&amp;"'!"&amp;"$N$6")/INDIRECT("'"&amp;$A93&amp;"'!"&amp;"$N$5")-1</f>
        <v>2.6497015859912931E-2</v>
      </c>
      <c r="S93" s="324" t="str">
        <f ca="1">IF(D93&gt;INDIRECT("'"&amp;$A93&amp;"'!"&amp;"$I$3"),"",IF(AND(Q93&lt;0,R93&lt;0),"",IF(AND(Q93&lt;0,R93&gt;0),"轉機",IF(AND(Q93&gt;0,R93&lt;0),"",IF(AND(Q93&gt;=5%,R93&gt;=Q93),"OO","O")))))</f>
        <v/>
      </c>
      <c r="T93" s="332">
        <f>ROUND(策略!$I$14/$D93,0)</f>
        <v>3</v>
      </c>
      <c r="U93" s="334">
        <f ca="1">INDIRECT("'"&amp;$A93&amp;"'!"&amp;"$J$16")</f>
        <v>-1</v>
      </c>
      <c r="V93" s="339">
        <f ca="1">IF(ISERROR(INDIRECT("'"&amp;$A93&amp;"'!"&amp;"$D$4")),"",INDIRECT("'"&amp;$A93&amp;"'!"&amp;"$D$4"))</f>
        <v>37.5</v>
      </c>
      <c r="W93" s="340" t="str">
        <f>IF(F93="","",(D93-F93)*G93*1000)</f>
        <v/>
      </c>
      <c r="X93" s="341" t="str">
        <f>IF(F93="","",D93*G93*1000)</f>
        <v/>
      </c>
      <c r="Y93" s="341" t="str">
        <f>IF(F93="","",F93*G93*1000+MAX(ROUNDDOWN(F93*1000*0.145%*28%,0),20)*G93)</f>
        <v/>
      </c>
      <c r="Z93" s="341" t="str">
        <f>IF(G93&gt;0,MAX(ROUNDDOWN(D93*1000*0.145%*28%,0),20)*G93+ROUNDDOWN(F93*1000*0.3%*28%,0)*G93,"")</f>
        <v/>
      </c>
      <c r="AA93" s="336">
        <f ca="1">INDIRECT("'"&amp;$A93&amp;"'!"&amp;"$B$10")</f>
        <v>20</v>
      </c>
      <c r="AB93" s="336">
        <f ca="1">INDIRECT("'"&amp;$A93&amp;"'!"&amp;"$E$10")</f>
        <v>23.13</v>
      </c>
      <c r="AC93" s="337" t="str">
        <f>VLOOKUP(_xlfn.NUMBERVALUE(A93),[2]工作表1!$A:$G,7,FALSE)</f>
        <v>無保留意見</v>
      </c>
    </row>
    <row r="94" spans="1:29" x14ac:dyDescent="0.25">
      <c r="A94" s="330">
        <v>9924</v>
      </c>
      <c r="B94" s="320" t="s">
        <v>382</v>
      </c>
      <c r="C94" s="320"/>
      <c r="D94" s="331">
        <f>VLOOKUP(_xlfn.NUMBERVALUE(A94),[1]工作表1!$A:$D,3,FALSE)</f>
        <v>35.85</v>
      </c>
      <c r="E94" s="332">
        <f>ROUND(VLOOKUP(_xlfn.NUMBERVALUE(A94),[1]工作表1!$A:$D,4,FALSE)/1000,0)</f>
        <v>356</v>
      </c>
      <c r="F94" s="331"/>
      <c r="G94" s="366">
        <v>0</v>
      </c>
      <c r="H94" s="333" t="str">
        <f ca="1">IF(INDIRECT("'"&amp;$A94&amp;"'!"&amp;"$D$1")=$H$1,"","X")</f>
        <v>X</v>
      </c>
      <c r="I94" s="334" t="str">
        <f>IF(F94="","",(D94-F94)/F94)</f>
        <v/>
      </c>
      <c r="J94" s="335" t="e">
        <f ca="1">INDIRECT("'"&amp;$A94&amp;"'!"&amp;"$I$15")</f>
        <v>#DIV/0!</v>
      </c>
      <c r="K94" s="336">
        <f ca="1">INDIRECT("'"&amp;$A94&amp;"'!"&amp;"$I$9")</f>
        <v>0</v>
      </c>
      <c r="L94" s="336">
        <f ca="1">INDIRECT("'"&amp;$A94&amp;"'!"&amp;"$B$3")</f>
        <v>94.491776177308694</v>
      </c>
      <c r="M94" s="336">
        <f ca="1">INDIRECT("'"&amp;$A94&amp;"'!"&amp;"$B$4")</f>
        <v>70</v>
      </c>
      <c r="N94" s="336">
        <f ca="1">INDIRECT("'"&amp;$A94&amp;"'!"&amp;"$B$5")</f>
        <v>92.726808727947997</v>
      </c>
      <c r="O94" s="337" t="str">
        <f ca="1">INDIRECT("'"&amp;$A94&amp;"'!"&amp;"$I$6")</f>
        <v>連3月衰退</v>
      </c>
      <c r="P94" s="337" t="str">
        <f ca="1">INDIRECT("'"&amp;$A94&amp;"'!"&amp;"$K$6")</f>
        <v>連3季衰退</v>
      </c>
      <c r="Q94" s="338">
        <f ca="1">INDIRECT("'"&amp;$A94&amp;"'!"&amp;"$N$3")</f>
        <v>-0.27398577667612822</v>
      </c>
      <c r="R94" s="338">
        <f ca="1">INDIRECT("'"&amp;$A94&amp;"'!"&amp;"$N$6")/INDIRECT("'"&amp;$A94&amp;"'!"&amp;"$N$5")-1</f>
        <v>0.1414421471066778</v>
      </c>
      <c r="S94" s="324" t="str">
        <f ca="1">IF(D94&gt;INDIRECT("'"&amp;$A94&amp;"'!"&amp;"$I$3"),"",IF(AND(Q94&lt;0,R94&lt;0),"",IF(AND(Q94&lt;0,R94&gt;0),"轉機",IF(AND(Q94&gt;0,R94&lt;0),"",IF(AND(Q94&gt;=5%,R94&gt;=Q94),"OO","O")))))</f>
        <v/>
      </c>
      <c r="T94" s="332">
        <f>ROUND(策略!$I$14/$D94,0)</f>
        <v>14</v>
      </c>
      <c r="U94" s="334">
        <f ca="1">INDIRECT("'"&amp;$A94&amp;"'!"&amp;"$J$16")</f>
        <v>-1</v>
      </c>
      <c r="V94" s="339">
        <f ca="1">IF(ISERROR(INDIRECT("'"&amp;$A94&amp;"'!"&amp;"$D$4")),"",INDIRECT("'"&amp;$A94&amp;"'!"&amp;"$D$4"))</f>
        <v>18.8</v>
      </c>
      <c r="W94" s="340" t="str">
        <f>IF(F94="","",(D94-F94)*G94*1000)</f>
        <v/>
      </c>
      <c r="X94" s="341" t="str">
        <f>IF(F94="","",D94*G94*1000)</f>
        <v/>
      </c>
      <c r="Y94" s="341" t="str">
        <f>IF(F94="","",F94*G94*1000+MAX(ROUNDDOWN(F94*1000*0.145%*28%,0),20)*G94)</f>
        <v/>
      </c>
      <c r="Z94" s="341" t="str">
        <f>IF(G94&gt;0,MAX(ROUNDDOWN(D94*1000*0.145%*28%,0),20)*G94+ROUNDDOWN(F94*1000*0.3%*28%,0)*G94,"")</f>
        <v/>
      </c>
      <c r="AA94" s="336">
        <f ca="1">INDIRECT("'"&amp;$A94&amp;"'!"&amp;"$B$10")</f>
        <v>10.15</v>
      </c>
      <c r="AB94" s="336">
        <f ca="1">INDIRECT("'"&amp;$A94&amp;"'!"&amp;"$E$10")</f>
        <v>12.06</v>
      </c>
      <c r="AC94" s="337" t="str">
        <f>VLOOKUP(_xlfn.NUMBERVALUE(A94),[2]工作表1!$A:$G,7,FALSE)</f>
        <v>無保留意見</v>
      </c>
    </row>
    <row r="95" spans="1:29" x14ac:dyDescent="0.25">
      <c r="A95" s="330">
        <v>9925</v>
      </c>
      <c r="B95" s="320" t="s">
        <v>344</v>
      </c>
      <c r="C95" s="320"/>
      <c r="D95" s="331">
        <f>VLOOKUP(_xlfn.NUMBERVALUE(A95),[1]工作表1!$A:$D,3,FALSE)</f>
        <v>38</v>
      </c>
      <c r="E95" s="332">
        <f>ROUND(VLOOKUP(_xlfn.NUMBERVALUE(A95),[1]工作表1!$A:$D,4,FALSE)/1000,0)</f>
        <v>357</v>
      </c>
      <c r="F95" s="331"/>
      <c r="G95" s="366">
        <v>0</v>
      </c>
      <c r="H95" s="333" t="str">
        <f ca="1">IF(INDIRECT("'"&amp;$A95&amp;"'!"&amp;"$D$1")=$H$1,"","X")</f>
        <v>X</v>
      </c>
      <c r="I95" s="334" t="str">
        <f>IF(F95="","",(D95-F95)/F95)</f>
        <v/>
      </c>
      <c r="J95" s="335" t="e">
        <f ca="1">INDIRECT("'"&amp;$A95&amp;"'!"&amp;"$I$15")</f>
        <v>#DIV/0!</v>
      </c>
      <c r="K95" s="336">
        <f ca="1">INDIRECT("'"&amp;$A95&amp;"'!"&amp;"$I$9")</f>
        <v>0</v>
      </c>
      <c r="L95" s="336">
        <f ca="1">INDIRECT("'"&amp;$A95&amp;"'!"&amp;"$B$3")</f>
        <v>88.711476404446472</v>
      </c>
      <c r="M95" s="336">
        <f ca="1">INDIRECT("'"&amp;$A95&amp;"'!"&amp;"$B$4")</f>
        <v>84</v>
      </c>
      <c r="N95" s="336">
        <f ca="1">INDIRECT("'"&amp;$A95&amp;"'!"&amp;"$B$5")</f>
        <v>93.958409020698184</v>
      </c>
      <c r="O95" s="337" t="str">
        <f ca="1">INDIRECT("'"&amp;$A95&amp;"'!"&amp;"$I$6")</f>
        <v>連2月衰退</v>
      </c>
      <c r="P95" s="337" t="str">
        <f ca="1">INDIRECT("'"&amp;$A95&amp;"'!"&amp;"$K$6")</f>
        <v>單季衰退</v>
      </c>
      <c r="Q95" s="338">
        <f ca="1">INDIRECT("'"&amp;$A95&amp;"'!"&amp;"$N$3")</f>
        <v>3.0795881576121748E-2</v>
      </c>
      <c r="R95" s="338">
        <f ca="1">INDIRECT("'"&amp;$A95&amp;"'!"&amp;"$N$6")/INDIRECT("'"&amp;$A95&amp;"'!"&amp;"$N$5")-1</f>
        <v>9.3190265504227821E-2</v>
      </c>
      <c r="S95" s="324" t="str">
        <f ca="1">IF(D95&gt;INDIRECT("'"&amp;$A95&amp;"'!"&amp;"$I$3"),"",IF(AND(Q95&lt;0,R95&lt;0),"",IF(AND(Q95&lt;0,R95&gt;0),"轉機",IF(AND(Q95&gt;0,R95&lt;0),"",IF(AND(Q95&gt;=5%,R95&gt;=Q95),"OO","O")))))</f>
        <v/>
      </c>
      <c r="T95" s="332">
        <f>ROUND(策略!$I$14/$D95,0)</f>
        <v>13</v>
      </c>
      <c r="U95" s="334">
        <f ca="1">INDIRECT("'"&amp;$A95&amp;"'!"&amp;"$J$16")</f>
        <v>-1</v>
      </c>
      <c r="V95" s="339">
        <f ca="1">IF(ISERROR(INDIRECT("'"&amp;$A95&amp;"'!"&amp;"$D$4")),"",INDIRECT("'"&amp;$A95&amp;"'!"&amp;"$D$4"))</f>
        <v>38.4</v>
      </c>
      <c r="W95" s="340" t="str">
        <f>IF(F95="","",(D95-F95)*G95*1000)</f>
        <v/>
      </c>
      <c r="X95" s="341" t="str">
        <f>IF(F95="","",D95*G95*1000)</f>
        <v/>
      </c>
      <c r="Y95" s="341" t="str">
        <f>IF(F95="","",F95*G95*1000+MAX(ROUNDDOWN(F95*1000*0.145%*28%,0),20)*G95)</f>
        <v/>
      </c>
      <c r="Z95" s="341" t="str">
        <f>IF(G95&gt;0,MAX(ROUNDDOWN(D95*1000*0.145%*28%,0),20)*G95+ROUNDDOWN(F95*1000*0.3%*28%,0)*G95,"")</f>
        <v/>
      </c>
      <c r="AA95" s="336">
        <f ca="1">INDIRECT("'"&amp;$A95&amp;"'!"&amp;"$B$10")</f>
        <v>13.37</v>
      </c>
      <c r="AB95" s="336">
        <f ca="1">INDIRECT("'"&amp;$A95&amp;"'!"&amp;"$E$10")</f>
        <v>14.83</v>
      </c>
      <c r="AC95" s="337" t="str">
        <f>VLOOKUP(_xlfn.NUMBERVALUE(A95),[2]工作表1!$A:$G,7,FALSE)</f>
        <v>無保留意見</v>
      </c>
    </row>
    <row r="96" spans="1:29" x14ac:dyDescent="0.25">
      <c r="A96" s="330">
        <v>9930</v>
      </c>
      <c r="B96" s="320" t="s">
        <v>316</v>
      </c>
      <c r="C96" s="320"/>
      <c r="D96" s="331">
        <f>VLOOKUP(_xlfn.NUMBERVALUE(A96),[1]工作表1!$A:$D,3,FALSE)</f>
        <v>57.3</v>
      </c>
      <c r="E96" s="332">
        <f>ROUND(VLOOKUP(_xlfn.NUMBERVALUE(A96),[1]工作表1!$A:$D,4,FALSE)/1000,0)</f>
        <v>112</v>
      </c>
      <c r="F96" s="331"/>
      <c r="G96" s="366">
        <v>0</v>
      </c>
      <c r="H96" s="333" t="str">
        <f ca="1">IF(INDIRECT("'"&amp;$A96&amp;"'!"&amp;"$D$1")=$H$1,"","X")</f>
        <v>X</v>
      </c>
      <c r="I96" s="334" t="str">
        <f>IF(F96="","",(D96-F96)/F96)</f>
        <v/>
      </c>
      <c r="J96" s="335" t="e">
        <f ca="1">INDIRECT("'"&amp;$A96&amp;"'!"&amp;"$I$15")</f>
        <v>#DIV/0!</v>
      </c>
      <c r="K96" s="336">
        <f ca="1">INDIRECT("'"&amp;$A96&amp;"'!"&amp;"$I$9")</f>
        <v>0</v>
      </c>
      <c r="L96" s="336">
        <f ca="1">INDIRECT("'"&amp;$A96&amp;"'!"&amp;"$B$3")</f>
        <v>74.544885980239386</v>
      </c>
      <c r="M96" s="336">
        <f ca="1">INDIRECT("'"&amp;$A96&amp;"'!"&amp;"$B$4")</f>
        <v>66</v>
      </c>
      <c r="N96" s="336">
        <f ca="1">INDIRECT("'"&amp;$A96&amp;"'!"&amp;"$B$5")</f>
        <v>95.55578698224852</v>
      </c>
      <c r="O96" s="337" t="str">
        <f ca="1">INDIRECT("'"&amp;$A96&amp;"'!"&amp;"$I$6")</f>
        <v>連4月成長</v>
      </c>
      <c r="P96" s="337" t="str">
        <f ca="1">INDIRECT("'"&amp;$A96&amp;"'!"&amp;"$K$6")</f>
        <v>單季成長</v>
      </c>
      <c r="Q96" s="338">
        <f ca="1">INDIRECT("'"&amp;$A96&amp;"'!"&amp;"$N$3")</f>
        <v>0.16237460236127665</v>
      </c>
      <c r="R96" s="338">
        <f ca="1">INDIRECT("'"&amp;$A96&amp;"'!"&amp;"$N$6")/INDIRECT("'"&amp;$A96&amp;"'!"&amp;"$N$5")-1</f>
        <v>5.3716716400524334E-2</v>
      </c>
      <c r="S96" s="324" t="str">
        <f ca="1">IF(D96&gt;INDIRECT("'"&amp;$A96&amp;"'!"&amp;"$I$3"),"",IF(AND(Q96&lt;0,R96&lt;0),"",IF(AND(Q96&lt;0,R96&gt;0),"轉機",IF(AND(Q96&gt;0,R96&lt;0),"",IF(AND(Q96&gt;=5%,R96&gt;=Q96),"OO","O")))))</f>
        <v/>
      </c>
      <c r="T96" s="332">
        <f>ROUND(策略!$I$14/$D96,0)</f>
        <v>8</v>
      </c>
      <c r="U96" s="334">
        <f ca="1">INDIRECT("'"&amp;$A96&amp;"'!"&amp;"$J$16")</f>
        <v>-1</v>
      </c>
      <c r="V96" s="339">
        <f ca="1">IF(ISERROR(INDIRECT("'"&amp;$A96&amp;"'!"&amp;"$D$4")),"",INDIRECT("'"&amp;$A96&amp;"'!"&amp;"$D$4"))</f>
        <v>22.6</v>
      </c>
      <c r="W96" s="340" t="str">
        <f>IF(F96="","",(D96-F96)*G96*1000)</f>
        <v/>
      </c>
      <c r="X96" s="341" t="str">
        <f>IF(F96="","",D96*G96*1000)</f>
        <v/>
      </c>
      <c r="Y96" s="341" t="str">
        <f>IF(F96="","",F96*G96*1000+MAX(ROUNDDOWN(F96*1000*0.145%*28%,0),20)*G96)</f>
        <v/>
      </c>
      <c r="Z96" s="341" t="str">
        <f>IF(G96&gt;0,MAX(ROUNDDOWN(D96*1000*0.145%*28%,0),20)*G96+ROUNDDOWN(F96*1000*0.3%*28%,0)*G96,"")</f>
        <v/>
      </c>
      <c r="AA96" s="336">
        <f ca="1">INDIRECT("'"&amp;$A96&amp;"'!"&amp;"$B$10")</f>
        <v>15.05</v>
      </c>
      <c r="AB96" s="336">
        <f ca="1">INDIRECT("'"&amp;$A96&amp;"'!"&amp;"$E$10")</f>
        <v>17.420000000000002</v>
      </c>
      <c r="AC96" s="337" t="str">
        <f>VLOOKUP(_xlfn.NUMBERVALUE(A96),[2]工作表1!$A:$G,7,FALSE)</f>
        <v>無保留意見</v>
      </c>
    </row>
    <row r="97" spans="1:29" x14ac:dyDescent="0.25">
      <c r="A97" s="330">
        <v>9940</v>
      </c>
      <c r="B97" s="320" t="s">
        <v>359</v>
      </c>
      <c r="C97" s="320"/>
      <c r="D97" s="331">
        <f>VLOOKUP(_xlfn.NUMBERVALUE(A97),[1]工作表1!$A:$D,3,FALSE)</f>
        <v>36.950000000000003</v>
      </c>
      <c r="E97" s="332">
        <f>ROUND(VLOOKUP(_xlfn.NUMBERVALUE(A97),[1]工作表1!$A:$D,4,FALSE)/1000,0)</f>
        <v>434</v>
      </c>
      <c r="F97" s="331"/>
      <c r="G97" s="366">
        <v>0</v>
      </c>
      <c r="H97" s="333" t="str">
        <f ca="1">IF(INDIRECT("'"&amp;$A97&amp;"'!"&amp;"$D$1")=$H$1,"","X")</f>
        <v/>
      </c>
      <c r="I97" s="334" t="str">
        <f>IF(F97="","",(D97-F97)/F97)</f>
        <v/>
      </c>
      <c r="J97" s="335" t="e">
        <f ca="1">INDIRECT("'"&amp;$A97&amp;"'!"&amp;"$I$15")</f>
        <v>#DIV/0!</v>
      </c>
      <c r="K97" s="336">
        <f ca="1">INDIRECT("'"&amp;$A97&amp;"'!"&amp;"$I$9")</f>
        <v>0</v>
      </c>
      <c r="L97" s="336">
        <f ca="1">INDIRECT("'"&amp;$A97&amp;"'!"&amp;"$B$3")</f>
        <v>53.00271601084323</v>
      </c>
      <c r="M97" s="336">
        <f ca="1">INDIRECT("'"&amp;$A97&amp;"'!"&amp;"$B$4")</f>
        <v>46</v>
      </c>
      <c r="N97" s="336">
        <f ca="1">INDIRECT("'"&amp;$A97&amp;"'!"&amp;"$B$5")</f>
        <v>95.770869565217396</v>
      </c>
      <c r="O97" s="337" t="str">
        <f ca="1">INDIRECT("'"&amp;$A97&amp;"'!"&amp;"$I$6")</f>
        <v>連5月成長</v>
      </c>
      <c r="P97" s="337" t="str">
        <f ca="1">INDIRECT("'"&amp;$A97&amp;"'!"&amp;"$K$6")</f>
        <v>連2季成長</v>
      </c>
      <c r="Q97" s="338">
        <f ca="1">INDIRECT("'"&amp;$A97&amp;"'!"&amp;"$N$3")</f>
        <v>1.7024559681620142</v>
      </c>
      <c r="R97" s="338">
        <f ca="1">INDIRECT("'"&amp;$A97&amp;"'!"&amp;"$N$6")/INDIRECT("'"&amp;$A97&amp;"'!"&amp;"$N$5")-1</f>
        <v>0.11996721619093376</v>
      </c>
      <c r="S97" s="324" t="str">
        <f ca="1">IF(D97&gt;INDIRECT("'"&amp;$A97&amp;"'!"&amp;"$I$3"),"",IF(AND(Q97&lt;0,R97&lt;0),"",IF(AND(Q97&lt;0,R97&gt;0),"轉機",IF(AND(Q97&gt;0,R97&lt;0),"",IF(AND(Q97&gt;=5%,R97&gt;=Q97),"OO","O")))))</f>
        <v>O</v>
      </c>
      <c r="T97" s="332">
        <f>ROUND(策略!$I$14/$D97,0)</f>
        <v>13</v>
      </c>
      <c r="U97" s="334">
        <f ca="1">INDIRECT("'"&amp;$A97&amp;"'!"&amp;"$J$16")</f>
        <v>-1</v>
      </c>
      <c r="V97" s="339">
        <f ca="1">IF(ISERROR(INDIRECT("'"&amp;$A97&amp;"'!"&amp;"$D$4")),"",INDIRECT("'"&amp;$A97&amp;"'!"&amp;"$D$4"))</f>
        <v>65.159199999999998</v>
      </c>
      <c r="W97" s="340" t="str">
        <f>IF(F97="","",(D97-F97)*G97*1000)</f>
        <v/>
      </c>
      <c r="X97" s="341" t="str">
        <f>IF(F97="","",D97*G97*1000)</f>
        <v/>
      </c>
      <c r="Y97" s="341" t="str">
        <f>IF(F97="","",F97*G97*1000+MAX(ROUNDDOWN(F97*1000*0.145%*28%,0),20)*G97)</f>
        <v/>
      </c>
      <c r="Z97" s="341" t="str">
        <f>IF(G97&gt;0,MAX(ROUNDDOWN(D97*1000*0.145%*28%,0),20)*G97+ROUNDDOWN(F97*1000*0.3%*28%,0)*G97,"")</f>
        <v/>
      </c>
      <c r="AA97" s="336">
        <f ca="1">INDIRECT("'"&amp;$A97&amp;"'!"&amp;"$B$10")</f>
        <v>11.72</v>
      </c>
      <c r="AB97" s="336">
        <f ca="1">INDIRECT("'"&amp;$A97&amp;"'!"&amp;"$E$10")</f>
        <v>19.875</v>
      </c>
      <c r="AC97" s="337" t="str">
        <f>VLOOKUP(_xlfn.NUMBERVALUE(A97),[2]工作表1!$A:$G,7,FALSE)</f>
        <v>無保留意見</v>
      </c>
    </row>
    <row r="98" spans="1:29" x14ac:dyDescent="0.25">
      <c r="A98" s="330">
        <v>9942</v>
      </c>
      <c r="B98" s="369" t="s">
        <v>309</v>
      </c>
      <c r="C98" s="369"/>
      <c r="D98" s="331">
        <f>VLOOKUP(_xlfn.NUMBERVALUE(A98),[1]工作表1!$A:$D,3,FALSE)</f>
        <v>90.4</v>
      </c>
      <c r="E98" s="332">
        <f>ROUND(VLOOKUP(_xlfn.NUMBERVALUE(A98),[1]工作表1!$A:$D,4,FALSE)/1000,0)</f>
        <v>124</v>
      </c>
      <c r="F98" s="331"/>
      <c r="G98" s="366">
        <v>0</v>
      </c>
      <c r="H98" s="333" t="str">
        <f ca="1">IF(INDIRECT("'"&amp;$A98&amp;"'!"&amp;"$D$1")=$H$1,"","X")</f>
        <v>X</v>
      </c>
      <c r="I98" s="334" t="str">
        <f>IF(F98="","",(D98-F98)/F98)</f>
        <v/>
      </c>
      <c r="J98" s="335" t="e">
        <f ca="1">INDIRECT("'"&amp;$A98&amp;"'!"&amp;"$I$15")</f>
        <v>#DIV/0!</v>
      </c>
      <c r="K98" s="336">
        <f ca="1">INDIRECT("'"&amp;$A98&amp;"'!"&amp;"$I$9")</f>
        <v>0</v>
      </c>
      <c r="L98" s="336">
        <f ca="1">INDIRECT("'"&amp;$A98&amp;"'!"&amp;"$B$3")</f>
        <v>81.867196941669903</v>
      </c>
      <c r="M98" s="336">
        <f ca="1">INDIRECT("'"&amp;$A98&amp;"'!"&amp;"$B$4")</f>
        <v>86</v>
      </c>
      <c r="N98" s="336">
        <f ca="1">INDIRECT("'"&amp;$A98&amp;"'!"&amp;"$B$5")</f>
        <v>98.372053150450057</v>
      </c>
      <c r="O98" s="337" t="str">
        <f ca="1">INDIRECT("'"&amp;$A98&amp;"'!"&amp;"$I$6")</f>
        <v>連5月成長</v>
      </c>
      <c r="P98" s="337" t="str">
        <f ca="1">INDIRECT("'"&amp;$A98&amp;"'!"&amp;"$K$6")</f>
        <v>連2季成長</v>
      </c>
      <c r="Q98" s="338">
        <f ca="1">INDIRECT("'"&amp;$A98&amp;"'!"&amp;"$N$3")</f>
        <v>7.6274334120640913E-2</v>
      </c>
      <c r="R98" s="338">
        <f ca="1">INDIRECT("'"&amp;$A98&amp;"'!"&amp;"$N$6")/INDIRECT("'"&amp;$A98&amp;"'!"&amp;"$N$5")-1</f>
        <v>6.8823646215658174E-2</v>
      </c>
      <c r="S98" s="324" t="str">
        <f ca="1">IF(D98&gt;INDIRECT("'"&amp;$A98&amp;"'!"&amp;"$I$3"),"",IF(AND(Q98&lt;0,R98&lt;0),"",IF(AND(Q98&lt;0,R98&gt;0),"轉機",IF(AND(Q98&gt;0,R98&lt;0),"",IF(AND(Q98&gt;=5%,R98&gt;=Q98),"OO","O")))))</f>
        <v/>
      </c>
      <c r="T98" s="332">
        <f>ROUND(策略!$I$14/$D98,0)</f>
        <v>5</v>
      </c>
      <c r="U98" s="334">
        <f ca="1">INDIRECT("'"&amp;$A98&amp;"'!"&amp;"$J$16")</f>
        <v>-1</v>
      </c>
      <c r="V98" s="339">
        <f ca="1">IF(ISERROR(INDIRECT("'"&amp;$A98&amp;"'!"&amp;"$D$4")),"",INDIRECT("'"&amp;$A98&amp;"'!"&amp;"$D$4"))</f>
        <v>8.32</v>
      </c>
      <c r="W98" s="340" t="str">
        <f>IF(F98="","",(D98-F98)*G98*1000)</f>
        <v/>
      </c>
      <c r="X98" s="341" t="str">
        <f>IF(F98="","",D98*G98*1000)</f>
        <v/>
      </c>
      <c r="Y98" s="341" t="str">
        <f>IF(F98="","",F98*G98*1000+MAX(ROUNDDOWN(F98*1000*0.145%*28%,0),20)*G98)</f>
        <v/>
      </c>
      <c r="Z98" s="341" t="str">
        <f>IF(G98&gt;0,MAX(ROUNDDOWN(D98*1000*0.145%*28%,0),20)*G98+ROUNDDOWN(F98*1000*0.3%*28%,0)*G98,"")</f>
        <v/>
      </c>
      <c r="AA98" s="336">
        <f ca="1">INDIRECT("'"&amp;$A98&amp;"'!"&amp;"$B$10")</f>
        <v>11.71</v>
      </c>
      <c r="AB98" s="336">
        <f ca="1">INDIRECT("'"&amp;$A98&amp;"'!"&amp;"$E$10")</f>
        <v>15.245000000000001</v>
      </c>
      <c r="AC98" s="337" t="str">
        <f>VLOOKUP(_xlfn.NUMBERVALUE(A98),[2]工作表1!$A:$G,7,FALSE)</f>
        <v>無保留意見</v>
      </c>
    </row>
    <row r="99" spans="1:29" x14ac:dyDescent="0.25">
      <c r="A99" s="330">
        <v>9943</v>
      </c>
      <c r="B99" s="320" t="s">
        <v>323</v>
      </c>
      <c r="C99" s="320"/>
      <c r="D99" s="331">
        <f>VLOOKUP(_xlfn.NUMBERVALUE(A99),[1]工作表1!$A:$D,3,FALSE)</f>
        <v>52.3</v>
      </c>
      <c r="E99" s="332">
        <f>ROUND(VLOOKUP(_xlfn.NUMBERVALUE(A99),[1]工作表1!$A:$D,4,FALSE)/1000,0)</f>
        <v>346</v>
      </c>
      <c r="F99" s="331"/>
      <c r="G99" s="366">
        <v>0</v>
      </c>
      <c r="H99" s="333" t="str">
        <f ca="1">IF(INDIRECT("'"&amp;$A99&amp;"'!"&amp;"$D$1")=$H$1,"","X")</f>
        <v>X</v>
      </c>
      <c r="I99" s="334" t="str">
        <f>IF(F99="","",(D99-F99)/F99)</f>
        <v/>
      </c>
      <c r="J99" s="335" t="e">
        <f ca="1">INDIRECT("'"&amp;$A99&amp;"'!"&amp;"$I$15")</f>
        <v>#DIV/0!</v>
      </c>
      <c r="K99" s="336">
        <f ca="1">INDIRECT("'"&amp;$A99&amp;"'!"&amp;"$I$9")</f>
        <v>0</v>
      </c>
      <c r="L99" s="336">
        <f ca="1">INDIRECT("'"&amp;$A99&amp;"'!"&amp;"$B$3")</f>
        <v>90.329573676466438</v>
      </c>
      <c r="M99" s="336">
        <f ca="1">INDIRECT("'"&amp;$A99&amp;"'!"&amp;"$B$4")</f>
        <v>70</v>
      </c>
      <c r="N99" s="336">
        <f ca="1">INDIRECT("'"&amp;$A99&amp;"'!"&amp;"$B$5")</f>
        <v>99.161290322580641</v>
      </c>
      <c r="O99" s="337" t="str">
        <f ca="1">INDIRECT("'"&amp;$A99&amp;"'!"&amp;"$I$6")</f>
        <v>上月成長</v>
      </c>
      <c r="P99" s="337" t="str">
        <f ca="1">INDIRECT("'"&amp;$A99&amp;"'!"&amp;"$K$6")</f>
        <v>單季成長</v>
      </c>
      <c r="Q99" s="338">
        <f ca="1">INDIRECT("'"&amp;$A99&amp;"'!"&amp;"$N$3")</f>
        <v>-0.10318764037025106</v>
      </c>
      <c r="R99" s="338">
        <f ca="1">INDIRECT("'"&amp;$A99&amp;"'!"&amp;"$N$6")/INDIRECT("'"&amp;$A99&amp;"'!"&amp;"$N$5")-1</f>
        <v>-4.298955885573108E-2</v>
      </c>
      <c r="S99" s="324" t="str">
        <f ca="1">IF(D99&gt;INDIRECT("'"&amp;$A99&amp;"'!"&amp;"$I$3"),"",IF(AND(Q99&lt;0,R99&lt;0),"",IF(AND(Q99&lt;0,R99&gt;0),"轉機",IF(AND(Q99&gt;0,R99&lt;0),"",IF(AND(Q99&gt;=5%,R99&gt;=Q99),"OO","O")))))</f>
        <v/>
      </c>
      <c r="T99" s="332">
        <f>ROUND(策略!$I$14/$D99,0)</f>
        <v>9</v>
      </c>
      <c r="U99" s="334">
        <f ca="1">INDIRECT("'"&amp;$A99&amp;"'!"&amp;"$J$16")</f>
        <v>-1</v>
      </c>
      <c r="V99" s="339">
        <f ca="1">IF(ISERROR(INDIRECT("'"&amp;$A99&amp;"'!"&amp;"$D$4")),"",INDIRECT("'"&amp;$A99&amp;"'!"&amp;"$D$4"))</f>
        <v>14.7</v>
      </c>
      <c r="W99" s="340" t="str">
        <f>IF(F99="","",(D99-F99)*G99*1000)</f>
        <v/>
      </c>
      <c r="X99" s="341" t="str">
        <f>IF(F99="","",D99*G99*1000)</f>
        <v/>
      </c>
      <c r="Y99" s="341" t="str">
        <f>IF(F99="","",F99*G99*1000+MAX(ROUNDDOWN(F99*1000*0.145%*28%,0),20)*G99)</f>
        <v/>
      </c>
      <c r="Z99" s="341" t="str">
        <f>IF(G99&gt;0,MAX(ROUNDDOWN(D99*1000*0.145%*28%,0),20)*G99+ROUNDDOWN(F99*1000*0.3%*28%,0)*G99,"")</f>
        <v/>
      </c>
      <c r="AA99" s="336">
        <f ca="1">INDIRECT("'"&amp;$A99&amp;"'!"&amp;"$B$10")</f>
        <v>9.27</v>
      </c>
      <c r="AB99" s="336">
        <f ca="1">INDIRECT("'"&amp;$A99&amp;"'!"&amp;"$E$10")</f>
        <v>11.16</v>
      </c>
      <c r="AC99" s="337" t="str">
        <f>VLOOKUP(_xlfn.NUMBERVALUE(A99),[2]工作表1!$A:$G,7,FALSE)</f>
        <v>無保留意見</v>
      </c>
    </row>
    <row r="100" spans="1:29" x14ac:dyDescent="0.25">
      <c r="A100" s="330">
        <v>9951</v>
      </c>
      <c r="B100" s="320" t="s">
        <v>338</v>
      </c>
      <c r="C100" s="369" t="s">
        <v>393</v>
      </c>
      <c r="D100" s="331">
        <f>VLOOKUP(_xlfn.NUMBERVALUE(A100),[1]工作表1!$A:$D,3,FALSE)</f>
        <v>139</v>
      </c>
      <c r="E100" s="332">
        <f>ROUND(VLOOKUP(_xlfn.NUMBERVALUE(A100),[1]工作表1!$A:$D,4,FALSE)/1000,0)</f>
        <v>400</v>
      </c>
      <c r="F100" s="331"/>
      <c r="G100" s="366">
        <v>0</v>
      </c>
      <c r="H100" s="333" t="str">
        <f ca="1">IF(INDIRECT("'"&amp;$A100&amp;"'!"&amp;"$D$1")=$H$1,"","X")</f>
        <v>X</v>
      </c>
      <c r="I100" s="334" t="str">
        <f>IF(F100="","",(D100-F100)/F100)</f>
        <v/>
      </c>
      <c r="J100" s="335" t="e">
        <f ca="1">INDIRECT("'"&amp;$A100&amp;"'!"&amp;"$I$15")</f>
        <v>#VALUE!</v>
      </c>
      <c r="K100" s="336" t="e">
        <f ca="1">INDIRECT("'"&amp;$A100&amp;"'!"&amp;"$I$9")</f>
        <v>#VALUE!</v>
      </c>
      <c r="L100" s="336">
        <f ca="1">INDIRECT("'"&amp;$A100&amp;"'!"&amp;"$B$3")</f>
        <v>74.177868435413899</v>
      </c>
      <c r="M100" s="336">
        <f ca="1">INDIRECT("'"&amp;$A100&amp;"'!"&amp;"$B$4")</f>
        <v>82</v>
      </c>
      <c r="N100" s="336">
        <f ca="1">INDIRECT("'"&amp;$A100&amp;"'!"&amp;"$B$5")</f>
        <v>97.88424821002387</v>
      </c>
      <c r="O100" s="337" t="str">
        <f ca="1">INDIRECT("'"&amp;$A100&amp;"'!"&amp;"$I$6")</f>
        <v>連5月成長</v>
      </c>
      <c r="P100" s="337" t="str">
        <f ca="1">INDIRECT("'"&amp;$A100&amp;"'!"&amp;"$K$6")</f>
        <v>連3季衰退</v>
      </c>
      <c r="Q100" s="338">
        <f ca="1">INDIRECT("'"&amp;$A100&amp;"'!"&amp;"$N$3")</f>
        <v>-3.0427126180417284E-2</v>
      </c>
      <c r="R100" s="338">
        <f ca="1">INDIRECT("'"&amp;$A100&amp;"'!"&amp;"$N$6")/INDIRECT("'"&amp;$A100&amp;"'!"&amp;"$N$5")-1</f>
        <v>0.12817595079465938</v>
      </c>
      <c r="S100" s="324" t="str">
        <f ca="1">IF(D100&gt;INDIRECT("'"&amp;$A100&amp;"'!"&amp;"$I$3"),"",IF(AND(Q100&lt;0,R100&lt;0),"",IF(AND(Q100&lt;0,R100&gt;0),"轉機",IF(AND(Q100&gt;0,R100&lt;0),"",IF(AND(Q100&gt;=5%,R100&gt;=Q100),"OO","O")))))</f>
        <v>轉機</v>
      </c>
      <c r="T100" s="332">
        <f>ROUND(策略!$I$14/$D100,0)</f>
        <v>3</v>
      </c>
      <c r="U100" s="334" t="e">
        <f ca="1">INDIRECT("'"&amp;$A100&amp;"'!"&amp;"$J$16")</f>
        <v>#VALUE!</v>
      </c>
      <c r="V100" s="339">
        <f ca="1">IF(ISERROR(INDIRECT("'"&amp;$A100&amp;"'!"&amp;"$D$4")),"",INDIRECT("'"&amp;$A100&amp;"'!"&amp;"$D$4"))</f>
        <v>7.49</v>
      </c>
      <c r="W100" s="340" t="str">
        <f>IF(F100="","",(D100-F100)*G100*1000)</f>
        <v/>
      </c>
      <c r="X100" s="341" t="str">
        <f>IF(F100="","",D100*G100*1000)</f>
        <v/>
      </c>
      <c r="Y100" s="341" t="str">
        <f>IF(F100="","",F100*G100*1000+MAX(ROUNDDOWN(F100*1000*0.145%*28%,0),20)*G100)</f>
        <v/>
      </c>
      <c r="Z100" s="341" t="str">
        <f>IF(G100&gt;0,MAX(ROUNDDOWN(D100*1000*0.145%*28%,0),20)*G100+ROUNDDOWN(F100*1000*0.3%*28%,0)*G100,"")</f>
        <v/>
      </c>
      <c r="AA100" s="336">
        <f ca="1">INDIRECT("'"&amp;$A100&amp;"'!"&amp;"$B$10")</f>
        <v>10.47</v>
      </c>
      <c r="AB100" s="336">
        <f ca="1">INDIRECT("'"&amp;$A100&amp;"'!"&amp;"$E$10")</f>
        <v>18.329999999999998</v>
      </c>
      <c r="AC100" s="337" t="str">
        <f>VLOOKUP(_xlfn.NUMBERVALUE(A100),[2]工作表1!$A:$G,7,FALSE)</f>
        <v>無保留意見</v>
      </c>
    </row>
    <row r="102" spans="1:29" x14ac:dyDescent="0.25">
      <c r="L102" s="354"/>
      <c r="M102" s="354"/>
      <c r="N102" s="354"/>
    </row>
    <row r="103" spans="1:29" x14ac:dyDescent="0.25">
      <c r="L103" s="354"/>
      <c r="M103" s="354"/>
      <c r="N103" s="354"/>
    </row>
  </sheetData>
  <sortState ref="A2:AC103">
    <sortCondition ref="A2:A103"/>
    <sortCondition ref="U2:U103"/>
  </sortState>
  <phoneticPr fontId="3" type="noConversion"/>
  <conditionalFormatting sqref="P2:P100">
    <cfRule type="containsText" dxfId="7566" priority="88" operator="containsText" text="連3季衰退">
      <formula>NOT(ISERROR(SEARCH("連3季衰退",P2)))</formula>
    </cfRule>
    <cfRule type="containsText" dxfId="7565" priority="89" operator="containsText" text="連2月衰退">
      <formula>NOT(ISERROR(SEARCH("連2月衰退",P2)))</formula>
    </cfRule>
    <cfRule type="containsText" dxfId="7564" priority="90" operator="containsText" text="連3月衰退">
      <formula>NOT(ISERROR(SEARCH("連3月衰退",P2)))</formula>
    </cfRule>
    <cfRule type="containsText" dxfId="7563" priority="91" operator="containsText" text="連2季衰退">
      <formula>NOT(ISERROR(SEARCH("連2季衰退",P2)))</formula>
    </cfRule>
    <cfRule type="containsText" dxfId="7562" priority="92" operator="containsText" text="連2季成長">
      <formula>NOT(ISERROR(SEARCH("連2季成長",P2)))</formula>
    </cfRule>
    <cfRule type="containsText" dxfId="7561" priority="93" operator="containsText" text="連2月成長">
      <formula>NOT(ISERROR(SEARCH("連2月成長",P2)))</formula>
    </cfRule>
    <cfRule type="containsText" dxfId="7560" priority="94" operator="containsText" text="連3月成長">
      <formula>NOT(ISERROR(SEARCH("連3月成長",P2)))</formula>
    </cfRule>
    <cfRule type="containsText" dxfId="7559" priority="95" operator="containsText" text="連3季成長">
      <formula>NOT(ISERROR(SEARCH("連3季成長",P2)))</formula>
    </cfRule>
  </conditionalFormatting>
  <conditionalFormatting sqref="V2:V100">
    <cfRule type="cellIs" dxfId="7558" priority="80" operator="lessThan">
      <formula>4</formula>
    </cfRule>
    <cfRule type="cellIs" dxfId="7557" priority="81" operator="lessThan">
      <formula>8</formula>
    </cfRule>
  </conditionalFormatting>
  <conditionalFormatting sqref="J2:J100">
    <cfRule type="cellIs" dxfId="7556" priority="78" operator="greaterThanOrEqual">
      <formula>0.06</formula>
    </cfRule>
    <cfRule type="cellIs" dxfId="7555" priority="79" operator="lessThanOrEqual">
      <formula>0.045</formula>
    </cfRule>
  </conditionalFormatting>
  <conditionalFormatting sqref="E2:E100">
    <cfRule type="cellIs" dxfId="7554" priority="77" operator="lessThan">
      <formula>100</formula>
    </cfRule>
  </conditionalFormatting>
  <conditionalFormatting sqref="T2:T100">
    <cfRule type="cellIs" dxfId="7553" priority="76" operator="lessThanOrEqual">
      <formula>3</formula>
    </cfRule>
  </conditionalFormatting>
  <conditionalFormatting sqref="G2:G100">
    <cfRule type="cellIs" dxfId="7552" priority="8784" operator="greaterThanOrEqual">
      <formula>$T2</formula>
    </cfRule>
  </conditionalFormatting>
  <conditionalFormatting sqref="K2:K100">
    <cfRule type="cellIs" dxfId="7551" priority="50" operator="lessThan">
      <formula>$AA2</formula>
    </cfRule>
  </conditionalFormatting>
  <conditionalFormatting sqref="K2:K100">
    <cfRule type="cellIs" dxfId="7550" priority="49" operator="greaterThan">
      <formula>$AB2</formula>
    </cfRule>
  </conditionalFormatting>
  <conditionalFormatting sqref="O2:O100">
    <cfRule type="containsText" dxfId="7549" priority="9" operator="containsText" text="連3月衰退">
      <formula>NOT(ISERROR(SEARCH("連3月衰退",O2)))</formula>
    </cfRule>
    <cfRule type="containsText" dxfId="7548" priority="10" operator="containsText" text="連4月衰退">
      <formula>NOT(ISERROR(SEARCH("連4月衰退",O2)))</formula>
    </cfRule>
    <cfRule type="containsText" dxfId="7547" priority="11" operator="containsText" text="連5月衰退">
      <formula>NOT(ISERROR(SEARCH("連5月衰退",O2)))</formula>
    </cfRule>
    <cfRule type="containsText" dxfId="7546" priority="12" operator="containsText" text="連5月成長">
      <formula>NOT(ISERROR(SEARCH("連5月成長",O2)))</formula>
    </cfRule>
    <cfRule type="containsText" dxfId="7545" priority="13" operator="containsText" text="連4月成長">
      <formula>NOT(ISERROR(SEARCH("連4月成長",O2)))</formula>
    </cfRule>
    <cfRule type="containsText" dxfId="7544" priority="14" operator="containsText" text="連3月成長">
      <formula>NOT(ISERROR(SEARCH("連3月成長",O2)))</formula>
    </cfRule>
  </conditionalFormatting>
  <conditionalFormatting sqref="Q2:R100">
    <cfRule type="cellIs" dxfId="7543" priority="1" operator="greaterThan">
      <formula>0.1</formula>
    </cfRule>
    <cfRule type="cellIs" dxfId="7542" priority="2" operator="lessThan">
      <formula>-0.1</formula>
    </cfRule>
  </conditionalFormatting>
  <conditionalFormatting sqref="I2:I100 S2:S100">
    <cfRule type="dataBar" priority="115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{0D8A6C12-98DE-457D-B8E8-415842EFED79}</x14:id>
        </ext>
      </extLst>
    </cfRule>
  </conditionalFormatting>
  <hyperlinks>
    <hyperlink ref="A62" location="'5434'!A1" display="5434" xr:uid="{00000000-0004-0000-0200-000000000000}"/>
    <hyperlink ref="A6" location="'1558'!A1" display="1558" xr:uid="{00000000-0004-0000-0200-000001000000}"/>
    <hyperlink ref="A43" location="'3454'!A1" display="3454" xr:uid="{00000000-0004-0000-0200-000002000000}"/>
    <hyperlink ref="A85" location="'8210'!A1" display="8210" xr:uid="{00000000-0004-0000-0200-000003000000}"/>
    <hyperlink ref="A7" location="'1580'!A1" display="1580" xr:uid="{00000000-0004-0000-0200-000004000000}"/>
    <hyperlink ref="A81" location="'6803'!A1" display="6803" xr:uid="{00000000-0004-0000-0200-000005000000}"/>
    <hyperlink ref="A68" location="'6206'!A1" display="6206" xr:uid="{00000000-0004-0000-0200-000006000000}"/>
    <hyperlink ref="A16" location="'2114'!A1" display="2114" xr:uid="{00000000-0004-0000-0200-000007000000}"/>
    <hyperlink ref="A28" location="'2454'!A1" display="2454" xr:uid="{00000000-0004-0000-0200-000008000000}"/>
    <hyperlink ref="A71" location="'6224'!A1" display="6224" xr:uid="{00000000-0004-0000-0200-000009000000}"/>
    <hyperlink ref="A84" location="'8109'!A1" display="8109" xr:uid="{00000000-0004-0000-0200-00000A000000}"/>
    <hyperlink ref="A37" location="'3034'!A1" display="3034" xr:uid="{00000000-0004-0000-0200-00000B000000}"/>
    <hyperlink ref="A21" location="'2330'!A1" display="2330" xr:uid="{00000000-0004-0000-0200-00000C000000}"/>
    <hyperlink ref="A57" location="'4999'!A1" display="4999" xr:uid="{00000000-0004-0000-0200-00000D000000}"/>
    <hyperlink ref="A67" location="'6202'!A1" display="6202" xr:uid="{00000000-0004-0000-0200-00000E000000}"/>
    <hyperlink ref="A78" location="'6277'!A1" display="6277" xr:uid="{00000000-0004-0000-0200-00000F000000}"/>
    <hyperlink ref="A75" location="'6263'!A1" display="6263" xr:uid="{00000000-0004-0000-0200-000010000000}"/>
    <hyperlink ref="A69" location="'6216'!A1" display="6216" xr:uid="{00000000-0004-0000-0200-000011000000}"/>
    <hyperlink ref="A20" location="'2317'!A1" display="2317" xr:uid="{00000000-0004-0000-0200-000012000000}"/>
    <hyperlink ref="A19" location="'2308'!A1" display="2308" xr:uid="{00000000-0004-0000-0200-000013000000}"/>
    <hyperlink ref="A42" location="'3450'!A1" display="3450" xr:uid="{00000000-0004-0000-0200-000014000000}"/>
    <hyperlink ref="A17" location="'2228'!A1" display="2228" xr:uid="{00000000-0004-0000-0200-000015000000}"/>
    <hyperlink ref="A72" location="'6230'!A1" display="6230" xr:uid="{00000000-0004-0000-0200-000016000000}"/>
    <hyperlink ref="A27" location="'2451'!A1" display="2451" xr:uid="{00000000-0004-0000-0200-000017000000}"/>
    <hyperlink ref="A38" location="'3152'!A1" display="3152" xr:uid="{00000000-0004-0000-0200-000018000000}"/>
    <hyperlink ref="A24" location="'2412'!A1" display="2412" xr:uid="{00000000-0004-0000-0200-000019000000}"/>
    <hyperlink ref="A29" location="'2455'!A1" display="2455" xr:uid="{00000000-0004-0000-0200-00001A000000}"/>
    <hyperlink ref="A89" location="'8422'!A1" display="8422" xr:uid="{00000000-0004-0000-0200-00001B000000}"/>
    <hyperlink ref="A91" location="'9914'!A1" display="9914" xr:uid="{00000000-0004-0000-0200-00001C000000}"/>
    <hyperlink ref="A22" location="'2383'!A1" display="2383" xr:uid="{00000000-0004-0000-0200-00001D000000}"/>
    <hyperlink ref="A44" location="'3556'!A1" display="3556" xr:uid="{00000000-0004-0000-0200-00001E000000}"/>
    <hyperlink ref="A5" location="'1521'!A1" display="1521" xr:uid="{00000000-0004-0000-0200-00001F000000}"/>
    <hyperlink ref="A40" location="'3416'!A1" display="3416" xr:uid="{00000000-0004-0000-0200-000020000000}"/>
    <hyperlink ref="A48" location="'4126'!A1" display="4126" xr:uid="{00000000-0004-0000-0200-000021000000}"/>
    <hyperlink ref="A98" location="'9942'!A1" display="9942" xr:uid="{00000000-0004-0000-0200-000022000000}"/>
    <hyperlink ref="A15" location="'2106'!A1" display="2106" xr:uid="{00000000-0004-0000-0200-000023000000}"/>
    <hyperlink ref="A86" location="'8255'!A1" display="8255" xr:uid="{00000000-0004-0000-0200-000024000000}"/>
    <hyperlink ref="A47" location="'4103'!A1" display="4103" xr:uid="{00000000-0004-0000-0200-000025000000}"/>
    <hyperlink ref="A87" location="'8299'!A1" display="8299" xr:uid="{00000000-0004-0000-0200-000026000000}"/>
    <hyperlink ref="A90" location="'9910'!A1" display="9910" xr:uid="{00000000-0004-0000-0200-000027000000}"/>
    <hyperlink ref="A41" location="'3443'!A1" display="3443" xr:uid="{00000000-0004-0000-0200-000028000000}"/>
    <hyperlink ref="A34" location="'2912'!A1" display="2912" xr:uid="{00000000-0004-0000-0200-000029000000}"/>
    <hyperlink ref="A96" location="'9930'!A1" display="9930" xr:uid="{00000000-0004-0000-0200-00002A000000}"/>
    <hyperlink ref="A60" location="'5347'!A1" display="5347" xr:uid="{00000000-0004-0000-0200-00002B000000}"/>
    <hyperlink ref="A92" location="'9917'!A1" display="9917" xr:uid="{00000000-0004-0000-0200-00002C000000}"/>
    <hyperlink ref="A50" location="'4205'!A1" display="'4205'!A1" xr:uid="{00000000-0004-0000-0200-00002D000000}"/>
    <hyperlink ref="A55" location="'4952'!A1" display="'4952'!A1" xr:uid="{00000000-0004-0000-0200-00002E000000}"/>
    <hyperlink ref="A94" location="'9924'!A1" display="'9924'!A1" xr:uid="{00000000-0004-0000-0200-00002F000000}"/>
    <hyperlink ref="A26" location="'2428'!A1" display="'2428'!A1" xr:uid="{00000000-0004-0000-0200-000030000000}"/>
    <hyperlink ref="A88" location="'8416'!A1" display="'8416'!A1" xr:uid="{00000000-0004-0000-0200-000031000000}"/>
    <hyperlink ref="A18" location="'2231'!A1" display="'2231'!A1" xr:uid="{00000000-0004-0000-0200-000032000000}"/>
    <hyperlink ref="A100" location="'9951'!A1" display="'9951'!A1" xr:uid="{00000000-0004-0000-0200-000033000000}"/>
    <hyperlink ref="A82" location="'8016'!A1" display="'8016'!A1" xr:uid="{00000000-0004-0000-0200-000034000000}"/>
    <hyperlink ref="A36" location="'3023'!A1" display="'3023'!A1" xr:uid="{00000000-0004-0000-0200-000035000000}"/>
    <hyperlink ref="A45" location="'3558'!A1" display="'3558'!A1" xr:uid="{00000000-0004-0000-0200-000036000000}"/>
    <hyperlink ref="A2" location="'1227'!A1" display="'1227'!A1" xr:uid="{00000000-0004-0000-0200-000037000000}"/>
    <hyperlink ref="A3" location="'1323'!A1" display="'1323'!A1" xr:uid="{00000000-0004-0000-0200-000038000000}"/>
    <hyperlink ref="A49" location="'4163'!A1" display="'4163'!A1" xr:uid="{00000000-0004-0000-0200-000039000000}"/>
    <hyperlink ref="A58" location="'5007'!A1" display="'5007'!A1" xr:uid="{00000000-0004-0000-0200-00003A000000}"/>
    <hyperlink ref="A63" location="'5490'!A1" display="'5490'!A1" xr:uid="{00000000-0004-0000-0200-00003B000000}"/>
    <hyperlink ref="A76" location="'6269'!A1" display="'6269'!A1" xr:uid="{00000000-0004-0000-0200-00003C000000}"/>
    <hyperlink ref="A23" location="'2385'!A1" display="'2385'!A1" xr:uid="{00000000-0004-0000-0200-00003D000000}"/>
    <hyperlink ref="A77" location="'6271'!A1" display="'6271'!A1" xr:uid="{00000000-0004-0000-0200-00003E000000}"/>
    <hyperlink ref="A74" location="'6257'!A1" display="'6257'!A1" xr:uid="{00000000-0004-0000-0200-00003F000000}"/>
    <hyperlink ref="A39" location="'3264'!A1" display="'3264'!A1" xr:uid="{00000000-0004-0000-0200-000040000000}"/>
    <hyperlink ref="A32" location="'2886'!A1" display="'2886'!A1" xr:uid="{00000000-0004-0000-0200-000041000000}"/>
    <hyperlink ref="A97" location="'9940'!A1" display="'9940'!A1" xr:uid="{00000000-0004-0000-0200-000042000000}"/>
    <hyperlink ref="A33" location="'2892'!A1" display="'2892'!A1" xr:uid="{00000000-0004-0000-0200-000043000000}"/>
    <hyperlink ref="A8" location="'1582'!A1" display="'1582'!A1" xr:uid="{00000000-0004-0000-0200-000044000000}"/>
    <hyperlink ref="A14" location="'2105'!A1" display="'2105'!A1" xr:uid="{00000000-0004-0000-0200-000045000000}"/>
    <hyperlink ref="A93" location="'9921'!A1" display="'9921'!A1" xr:uid="{00000000-0004-0000-0200-000046000000}"/>
    <hyperlink ref="A65" location="'6121'!A1" display="'6121'!A1" xr:uid="{00000000-0004-0000-0200-000047000000}"/>
    <hyperlink ref="A56" location="'4974'!A1" display="'4974'!A1" xr:uid="{00000000-0004-0000-0200-000048000000}"/>
    <hyperlink ref="A95" location="'9925'!A1" display="'9925'!A1" xr:uid="{00000000-0004-0000-0200-000049000000}"/>
    <hyperlink ref="A35" location="'3014'!A1" display="'3014'!A1" xr:uid="{00000000-0004-0000-0200-00004A000000}"/>
    <hyperlink ref="A64" location="'6115'!A1" display="'6115'!A1" xr:uid="{00000000-0004-0000-0200-00004B000000}"/>
    <hyperlink ref="A52" location="'4706'!A1" display="'4706'!A1" xr:uid="{00000000-0004-0000-0200-00004C000000}"/>
    <hyperlink ref="A10" location="'1717'!A1" display="'1717'!A1" xr:uid="{00000000-0004-0000-0200-00004D000000}"/>
    <hyperlink ref="A11" location="'1726'!A1" display="'1726'!A1" xr:uid="{00000000-0004-0000-0200-00004E000000}"/>
    <hyperlink ref="A25" location="'2421'!A1" display="'2421'!A1" xr:uid="{00000000-0004-0000-0200-00004F000000}"/>
    <hyperlink ref="A59" location="'5289'!A1" display="'5289'!A1" xr:uid="{00000000-0004-0000-0200-000050000000}"/>
    <hyperlink ref="A30" location="'2474'!A1" display="'2474'!A1" xr:uid="{00000000-0004-0000-0200-000051000000}"/>
    <hyperlink ref="A51" location="'4401'!A1" display="'4401'!A1" xr:uid="{00000000-0004-0000-0200-000052000000}"/>
    <hyperlink ref="A99" location="'9943'!A1" display="'9943'!A1" xr:uid="{00000000-0004-0000-0200-000053000000}"/>
    <hyperlink ref="A61" location="'5388'!A1" display="'5388'!A1" xr:uid="{00000000-0004-0000-0200-000054000000}"/>
    <hyperlink ref="A80" location="'6412'!A1" display="'6412'!A1" xr:uid="{00000000-0004-0000-0200-000055000000}"/>
    <hyperlink ref="A73" location="'6245'!A1" display="'6245'!A1" xr:uid="{00000000-0004-0000-0200-000056000000}"/>
    <hyperlink ref="A53" location="'4915'!A1" display="'4915'!A1" xr:uid="{00000000-0004-0000-0200-000057000000}"/>
    <hyperlink ref="A9" location="'1702'!A1" display="'1702'!A1" xr:uid="{00000000-0004-0000-0200-000058000000}"/>
    <hyperlink ref="A66" location="'6189'!A1" display="'6189'!A1" xr:uid="{00000000-0004-0000-0200-000059000000}"/>
    <hyperlink ref="A12" location="'1773'!A1" display="'1773'!A1" xr:uid="{00000000-0004-0000-0200-00005A000000}"/>
    <hyperlink ref="A79" location="'6285'!A1" display="'6285'!A1" xr:uid="{00000000-0004-0000-0200-00005B000000}"/>
    <hyperlink ref="A54" location="'4919'!A1" display="'4919'!A1" xr:uid="{00000000-0004-0000-0200-00005C000000}"/>
    <hyperlink ref="A4" location="'1507'!A1" display="'1507'!A1" xr:uid="{00000000-0004-0000-0200-00005D000000}"/>
    <hyperlink ref="A13" location="'1817'!A1" display="'1817'!A1" xr:uid="{00000000-0004-0000-0200-00005E000000}"/>
    <hyperlink ref="A70" location="'6217'!A1" display="'6217'!A1" xr:uid="{00000000-0004-0000-0200-00005F000000}"/>
    <hyperlink ref="A31" location="'2608'!A1" display="'2608'!A1" xr:uid="{00000000-0004-0000-0200-000060000000}"/>
    <hyperlink ref="A83" location="'8048'!A1" display="'8048'!A1" xr:uid="{00000000-0004-0000-0200-000061000000}"/>
    <hyperlink ref="A46" location="'3563'!A1" display="'3563'!A1" xr:uid="{00000000-0004-0000-0200-000062000000}"/>
  </hyperlinks>
  <pageMargins left="0.7" right="0.7" top="0.75" bottom="0.75" header="0.3" footer="0.3"/>
  <pageSetup paperSize="9" scale="26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8A6C12-98DE-457D-B8E8-415842EFED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I2:I100 S2:S100</xm:sqref>
        </x14:conditionalFormatting>
        <x14:conditionalFormatting xmlns:xm="http://schemas.microsoft.com/office/excel/2006/main">
          <x14:cfRule type="cellIs" priority="102" operator="greaterThan" id="{24DC842E-2462-463A-A83D-59E403BD753B}">
            <xm:f>策略!$F$5</xm:f>
            <x14:dxf>
              <font>
                <color rgb="FFFF0000"/>
              </font>
            </x14:dxf>
          </x14:cfRule>
          <xm:sqref>U2:U100</xm:sqref>
        </x14:conditionalFormatting>
        <x14:conditionalFormatting xmlns:xm="http://schemas.microsoft.com/office/excel/2006/main">
          <x14:cfRule type="colorScale" priority="10781" id="{07A36529-A513-4B0D-BBB2-CFD387CFB856}">
            <x14:colorScale>
              <x14:cfvo type="num">
                <xm:f>策略!$F$25</xm:f>
              </x14:cfvo>
              <x14:cfvo type="num">
                <xm:f>策略!$F$24</xm:f>
              </x14:cfvo>
              <x14:cfvo type="num">
                <xm:f>策略!$F$23</xm:f>
              </x14:cfvo>
              <x14:color rgb="FFF8696B"/>
              <x14:color rgb="FFFFEB84"/>
              <x14:color rgb="FF63BE7B"/>
            </x14:colorScale>
          </x14:cfRule>
          <xm:sqref>L2:L100</xm:sqref>
        </x14:conditionalFormatting>
        <x14:conditionalFormatting xmlns:xm="http://schemas.microsoft.com/office/excel/2006/main">
          <x14:cfRule type="colorScale" priority="10782" id="{381D1043-D12B-40CE-B4AA-462D4AD9E96F}">
            <x14:colorScale>
              <x14:cfvo type="num">
                <xm:f>策略!$G$25</xm:f>
              </x14:cfvo>
              <x14:cfvo type="num">
                <xm:f>策略!$G$24</xm:f>
              </x14:cfvo>
              <x14:cfvo type="num">
                <xm:f>策略!$G$23</xm:f>
              </x14:cfvo>
              <x14:color rgb="FFF8696B"/>
              <x14:color rgb="FFFFEB84"/>
              <x14:color rgb="FF63BE7B"/>
            </x14:colorScale>
          </x14:cfRule>
          <xm:sqref>M2:M100</xm:sqref>
        </x14:conditionalFormatting>
        <x14:conditionalFormatting xmlns:xm="http://schemas.microsoft.com/office/excel/2006/main">
          <x14:cfRule type="colorScale" priority="10783" id="{A18D51A1-5D16-4135-B842-4446D95C7E74}">
            <x14:colorScale>
              <x14:cfvo type="num">
                <xm:f>策略!$H$25</xm:f>
              </x14:cfvo>
              <x14:cfvo type="num">
                <xm:f>策略!$H$24</xm:f>
              </x14:cfvo>
              <x14:cfvo type="num">
                <xm:f>策略!$H$23</xm:f>
              </x14:cfvo>
              <x14:color rgb="FFF8696B"/>
              <x14:color rgb="FFFFEB84"/>
              <x14:color rgb="FF63BE7B"/>
            </x14:colorScale>
          </x14:cfRule>
          <xm:sqref>N2:N100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7"/>
  <sheetViews>
    <sheetView zoomScaleNormal="100" workbookViewId="0">
      <pane ySplit="1" topLeftCell="A2" activePane="bottomLeft" state="frozen"/>
      <selection pane="bottomLeft" activeCell="A3" sqref="A3"/>
    </sheetView>
  </sheetViews>
  <sheetFormatPr defaultColWidth="6.625" defaultRowHeight="15" x14ac:dyDescent="0.25"/>
  <cols>
    <col min="1" max="1" width="5.5" style="305" bestFit="1" customWidth="1"/>
    <col min="2" max="2" width="9.5" style="306" bestFit="1" customWidth="1"/>
    <col min="3" max="3" width="8.5" style="307" bestFit="1" customWidth="1"/>
    <col min="4" max="4" width="8" style="308" customWidth="1"/>
    <col min="5" max="5" width="9.25" style="307" customWidth="1"/>
    <col min="6" max="6" width="8.375" style="309" bestFit="1" customWidth="1"/>
    <col min="7" max="7" width="8.5" style="309" bestFit="1" customWidth="1"/>
    <col min="8" max="8" width="10.625" style="310" customWidth="1"/>
    <col min="9" max="9" width="7.375" style="311" customWidth="1"/>
    <col min="10" max="10" width="6.25" style="312" customWidth="1"/>
    <col min="11" max="12" width="5.5" style="303" customWidth="1"/>
    <col min="13" max="13" width="5.5" style="303" bestFit="1" customWidth="1"/>
    <col min="14" max="15" width="10.375" style="312" customWidth="1"/>
    <col min="16" max="16" width="5.5" style="310" customWidth="1"/>
    <col min="17" max="17" width="5.5" style="314" customWidth="1"/>
    <col min="18" max="18" width="9.25" style="315" customWidth="1"/>
    <col min="19" max="19" width="7.375" style="316" customWidth="1"/>
    <col min="20" max="20" width="10.125" style="317" customWidth="1"/>
    <col min="21" max="22" width="10.625" style="303" customWidth="1"/>
    <col min="23" max="23" width="9.25" style="303" customWidth="1"/>
    <col min="24" max="25" width="9" style="312" customWidth="1"/>
    <col min="26" max="26" width="20.875" style="303" customWidth="1"/>
    <col min="27" max="16384" width="6.625" style="303"/>
  </cols>
  <sheetData>
    <row r="1" spans="1:26" s="291" customFormat="1" ht="15.75" x14ac:dyDescent="0.25">
      <c r="A1" s="279" t="s">
        <v>383</v>
      </c>
      <c r="B1" s="280" t="s">
        <v>273</v>
      </c>
      <c r="C1" s="361" t="s">
        <v>389</v>
      </c>
      <c r="D1" s="281" t="s">
        <v>274</v>
      </c>
      <c r="E1" s="282" t="s">
        <v>207</v>
      </c>
      <c r="F1" s="283" t="s">
        <v>368</v>
      </c>
      <c r="G1" s="284">
        <v>201801</v>
      </c>
      <c r="H1" s="285" t="s">
        <v>276</v>
      </c>
      <c r="I1" s="285" t="s">
        <v>159</v>
      </c>
      <c r="J1" s="286" t="s">
        <v>380</v>
      </c>
      <c r="K1" s="287" t="s">
        <v>277</v>
      </c>
      <c r="L1" s="287" t="s">
        <v>278</v>
      </c>
      <c r="M1" s="287" t="s">
        <v>279</v>
      </c>
      <c r="N1" s="287" t="s">
        <v>367</v>
      </c>
      <c r="O1" s="287" t="s">
        <v>280</v>
      </c>
      <c r="P1" s="285" t="s">
        <v>352</v>
      </c>
      <c r="Q1" s="288" t="s">
        <v>362</v>
      </c>
      <c r="R1" s="289" t="s">
        <v>156</v>
      </c>
      <c r="S1" s="286" t="s">
        <v>282</v>
      </c>
      <c r="T1" s="290" t="s">
        <v>283</v>
      </c>
      <c r="U1" s="287" t="s">
        <v>57</v>
      </c>
      <c r="V1" s="287" t="s">
        <v>157</v>
      </c>
      <c r="W1" s="287" t="s">
        <v>158</v>
      </c>
      <c r="X1" s="286" t="s">
        <v>152</v>
      </c>
      <c r="Y1" s="286" t="s">
        <v>153</v>
      </c>
      <c r="Z1" s="287" t="s">
        <v>151</v>
      </c>
    </row>
    <row r="2" spans="1:26" x14ac:dyDescent="0.25">
      <c r="A2" s="292">
        <v>9917</v>
      </c>
      <c r="B2" s="280" t="s">
        <v>130</v>
      </c>
      <c r="C2" s="293">
        <f>VLOOKUP(_xlfn.NUMBERVALUE(A2),[1]工作表1!$A:$D,3,FALSE)</f>
        <v>89.1</v>
      </c>
      <c r="D2" s="294">
        <f>ROUND(VLOOKUP(_xlfn.NUMBERVALUE(A2),[1]工作表1!$A:$D,4,FALSE)/1000,0)</f>
        <v>516</v>
      </c>
      <c r="E2" s="293">
        <v>91.4</v>
      </c>
      <c r="F2" s="295">
        <v>2</v>
      </c>
      <c r="G2" s="283" t="str">
        <f ca="1">IF(INDIRECT("'"&amp;$A2&amp;"'!"&amp;"$D$1")=$G$1,"","X")</f>
        <v/>
      </c>
      <c r="H2" s="296">
        <f t="shared" ref="H2:H7" si="0">IF(E2="","",(C2-E2)/E2)</f>
        <v>-2.516411378555811E-2</v>
      </c>
      <c r="I2" s="297" t="e">
        <f t="shared" ref="I2:I7" ca="1" si="1">INDIRECT("'"&amp;$A2&amp;"'!"&amp;"$I$15")</f>
        <v>#DIV/0!</v>
      </c>
      <c r="J2" s="298">
        <f ca="1">INDIRECT("'"&amp;$A2&amp;"'!"&amp;"$I$9")</f>
        <v>0</v>
      </c>
      <c r="K2" s="298">
        <f t="shared" ref="K2:K7" ca="1" si="2">INDIRECT("'"&amp;$A2&amp;"'!"&amp;"$B$3")</f>
        <v>65.03032163594672</v>
      </c>
      <c r="L2" s="298">
        <f t="shared" ref="L2:L7" ca="1" si="3">INDIRECT("'"&amp;$A2&amp;"'!"&amp;"$B$4")</f>
        <v>68</v>
      </c>
      <c r="M2" s="298">
        <f t="shared" ref="M2:M7" ca="1" si="4">INDIRECT("'"&amp;$A2&amp;"'!"&amp;"$B$5")</f>
        <v>99.140923701573342</v>
      </c>
      <c r="N2" s="299" t="str">
        <f t="shared" ref="N2:N7" ca="1" si="5">INDIRECT("'"&amp;$A2&amp;"'!"&amp;"$I$6")</f>
        <v>連2月成長</v>
      </c>
      <c r="O2" s="299" t="str">
        <f t="shared" ref="O2:O7" ca="1" si="6">INDIRECT("'"&amp;$A2&amp;"'!"&amp;"$K$6")</f>
        <v>連3季成長</v>
      </c>
      <c r="P2" s="285" t="str">
        <f t="shared" ref="P2:P7" ca="1" si="7">IF(C2&lt;=MIN(INDIRECT("'"&amp;$A2&amp;"'!"&amp;"$C$15"),INDIRECT("'"&amp;$A2&amp;"'!"&amp;"$C$16")),"O","")&amp;IF(C2&lt;=MIN(INDIRECT("'"&amp;$A2&amp;"'!"&amp;"$B$15"),INDIRECT("'"&amp;$A2&amp;"'!"&amp;"$B$16")),"O","")</f>
        <v/>
      </c>
      <c r="Q2" s="294">
        <f>ROUND(策略!$I$14/$C2,0)</f>
        <v>5</v>
      </c>
      <c r="R2" s="296">
        <f t="shared" ref="R2:R7" ca="1" si="8">INDIRECT("'"&amp;$A2&amp;"'!"&amp;"$J$16")</f>
        <v>-1</v>
      </c>
      <c r="S2" s="300">
        <f t="shared" ref="S2:S7" ca="1" si="9">IF(ISERROR(INDIRECT("'"&amp;$A2&amp;"'!"&amp;"$D$4")),"",INDIRECT("'"&amp;$A2&amp;"'!"&amp;"$D$4"))</f>
        <v>45.1</v>
      </c>
      <c r="T2" s="301">
        <f t="shared" ref="T2:T7" si="10">IF(E2="","",(C2-E2)*F2*1000)</f>
        <v>-4600.0000000000227</v>
      </c>
      <c r="U2" s="302">
        <f t="shared" ref="U2:U7" si="11">IF(E2="","",C2*F2*1000)</f>
        <v>178200</v>
      </c>
      <c r="V2" s="302">
        <f t="shared" ref="V2:V7" si="12">IF(E2="","",E2*F2*1000+MAX(ROUNDDOWN(E2*1000*0.145%*28%,0),20)*F2)</f>
        <v>182874</v>
      </c>
      <c r="W2" s="302">
        <f t="shared" ref="W2:W7" si="13">IF(F2&gt;0,MAX(ROUNDDOWN(C2*1000*0.145%*28%,0),20)*F2+ROUNDDOWN(E2*1000*0.3%*28%,0)*F2,"")</f>
        <v>224</v>
      </c>
      <c r="X2" s="298">
        <f t="shared" ref="X2:X7" ca="1" si="14">INDIRECT("'"&amp;$A2&amp;"'!"&amp;"$B$10")</f>
        <v>15.89</v>
      </c>
      <c r="Y2" s="298">
        <f t="shared" ref="Y2:Y7" ca="1" si="15">INDIRECT("'"&amp;$A2&amp;"'!"&amp;"$E$10")</f>
        <v>19.625</v>
      </c>
      <c r="Z2" s="299" t="str">
        <f>VLOOKUP(_xlfn.NUMBERVALUE(A2),[2]工作表1!$A:$G,7,FALSE)</f>
        <v>無保留意見</v>
      </c>
    </row>
    <row r="3" spans="1:26" x14ac:dyDescent="0.25">
      <c r="A3" s="292">
        <v>2412</v>
      </c>
      <c r="B3" s="280" t="s">
        <v>129</v>
      </c>
      <c r="C3" s="293">
        <f>VLOOKUP(_xlfn.NUMBERVALUE(A3),[1]工作表1!$A:$D,3,FALSE)</f>
        <v>107.5</v>
      </c>
      <c r="D3" s="294">
        <f>ROUND(VLOOKUP(_xlfn.NUMBERVALUE(A3),[1]工作表1!$A:$D,4,FALSE)/1000,0)</f>
        <v>12729</v>
      </c>
      <c r="E3" s="293">
        <v>105.75</v>
      </c>
      <c r="F3" s="295">
        <v>2</v>
      </c>
      <c r="G3" s="283" t="str">
        <f t="shared" ref="G3:G7" ca="1" si="16">IF(INDIRECT("'"&amp;$A3&amp;"'!"&amp;"$D$1")=$G$1,"","X")</f>
        <v/>
      </c>
      <c r="H3" s="296">
        <f t="shared" si="0"/>
        <v>1.6548463356973995E-2</v>
      </c>
      <c r="I3" s="297" t="e">
        <f t="shared" ca="1" si="1"/>
        <v>#DIV/0!</v>
      </c>
      <c r="J3" s="298">
        <f t="shared" ref="J3:J7" ca="1" si="17">INDIRECT("'"&amp;$A3&amp;"'!"&amp;"$I$9")</f>
        <v>0</v>
      </c>
      <c r="K3" s="298">
        <f t="shared" ca="1" si="2"/>
        <v>85.32295586899987</v>
      </c>
      <c r="L3" s="298">
        <f t="shared" ca="1" si="3"/>
        <v>80</v>
      </c>
      <c r="M3" s="298">
        <f t="shared" ca="1" si="4"/>
        <v>94.58889905312148</v>
      </c>
      <c r="N3" s="299" t="str">
        <f t="shared" ca="1" si="5"/>
        <v>上月衰退</v>
      </c>
      <c r="O3" s="299" t="str">
        <f t="shared" ca="1" si="6"/>
        <v>單季成長</v>
      </c>
      <c r="P3" s="285" t="str">
        <f t="shared" ca="1" si="7"/>
        <v/>
      </c>
      <c r="Q3" s="294">
        <f>ROUND(策略!$I$14/$C3,0)</f>
        <v>5</v>
      </c>
      <c r="R3" s="296">
        <f t="shared" ca="1" si="8"/>
        <v>-1</v>
      </c>
      <c r="S3" s="300">
        <f t="shared" ca="1" si="9"/>
        <v>776</v>
      </c>
      <c r="T3" s="301">
        <f t="shared" si="10"/>
        <v>3500</v>
      </c>
      <c r="U3" s="302">
        <f t="shared" si="11"/>
        <v>215000</v>
      </c>
      <c r="V3" s="302">
        <f t="shared" si="12"/>
        <v>211584</v>
      </c>
      <c r="W3" s="302">
        <f t="shared" si="13"/>
        <v>262</v>
      </c>
      <c r="X3" s="298">
        <f t="shared" ca="1" si="14"/>
        <v>17.670000000000002</v>
      </c>
      <c r="Y3" s="298">
        <f t="shared" ca="1" si="15"/>
        <v>19.34</v>
      </c>
      <c r="Z3" s="299" t="str">
        <f>VLOOKUP(_xlfn.NUMBERVALUE(A3),[2]工作表1!$A:$G,7,FALSE)</f>
        <v>無保留意見</v>
      </c>
    </row>
    <row r="4" spans="1:26" x14ac:dyDescent="0.25">
      <c r="A4" s="304">
        <v>2886</v>
      </c>
      <c r="B4" s="280" t="s">
        <v>143</v>
      </c>
      <c r="C4" s="293">
        <f>VLOOKUP(_xlfn.NUMBERVALUE(A4),[1]工作表1!$A:$D,3,FALSE)</f>
        <v>23.95</v>
      </c>
      <c r="D4" s="294">
        <f>ROUND(VLOOKUP(_xlfn.NUMBERVALUE(A4),[1]工作表1!$A:$D,4,FALSE)/1000,0)</f>
        <v>18459</v>
      </c>
      <c r="E4" s="293">
        <v>23.11</v>
      </c>
      <c r="F4" s="295">
        <v>8</v>
      </c>
      <c r="G4" s="283" t="str">
        <f t="shared" ca="1" si="16"/>
        <v/>
      </c>
      <c r="H4" s="296">
        <f t="shared" si="0"/>
        <v>3.6347901341410638E-2</v>
      </c>
      <c r="I4" s="297" t="e">
        <f t="shared" ca="1" si="1"/>
        <v>#DIV/0!</v>
      </c>
      <c r="J4" s="298">
        <f t="shared" ca="1" si="17"/>
        <v>0</v>
      </c>
      <c r="K4" s="298">
        <f t="shared" ca="1" si="2"/>
        <v>92.490049751243788</v>
      </c>
      <c r="L4" s="298">
        <f t="shared" ca="1" si="3"/>
        <v>72</v>
      </c>
      <c r="M4" s="298">
        <f t="shared" ca="1" si="4"/>
        <v>91.250626238604838</v>
      </c>
      <c r="N4" s="299" t="str">
        <f t="shared" ca="1" si="5"/>
        <v>連5月成長</v>
      </c>
      <c r="O4" s="299" t="str">
        <f t="shared" ca="1" si="6"/>
        <v>連2季衰退</v>
      </c>
      <c r="P4" s="285" t="str">
        <f t="shared" ca="1" si="7"/>
        <v/>
      </c>
      <c r="Q4" s="294">
        <f>ROUND(策略!$I$14/$C4,0)</f>
        <v>20</v>
      </c>
      <c r="R4" s="296">
        <f t="shared" ca="1" si="8"/>
        <v>-1</v>
      </c>
      <c r="S4" s="300">
        <f t="shared" ca="1" si="9"/>
        <v>1360</v>
      </c>
      <c r="T4" s="301">
        <f t="shared" si="10"/>
        <v>6719.9999999999991</v>
      </c>
      <c r="U4" s="302">
        <f t="shared" si="11"/>
        <v>191600</v>
      </c>
      <c r="V4" s="302">
        <f t="shared" si="12"/>
        <v>185040</v>
      </c>
      <c r="W4" s="302">
        <f t="shared" si="13"/>
        <v>312</v>
      </c>
      <c r="X4" s="298">
        <f t="shared" ca="1" si="14"/>
        <v>11.034000000000001</v>
      </c>
      <c r="Y4" s="298">
        <f t="shared" ca="1" si="15"/>
        <v>12.785</v>
      </c>
      <c r="Z4" s="299" t="str">
        <f>VLOOKUP(_xlfn.NUMBERVALUE(A4),[2]工作表1!$A:$G,7,FALSE)</f>
        <v>無保留意見</v>
      </c>
    </row>
    <row r="5" spans="1:26" x14ac:dyDescent="0.25">
      <c r="A5" s="292">
        <v>9940</v>
      </c>
      <c r="B5" s="280" t="s">
        <v>359</v>
      </c>
      <c r="C5" s="293">
        <f>VLOOKUP(_xlfn.NUMBERVALUE(A5),[1]工作表1!$A:$D,3,FALSE)</f>
        <v>36.950000000000003</v>
      </c>
      <c r="D5" s="294">
        <f>ROUND(VLOOKUP(_xlfn.NUMBERVALUE(A5),[1]工作表1!$A:$D,4,FALSE)/1000,0)</f>
        <v>434</v>
      </c>
      <c r="E5" s="293">
        <v>34.79</v>
      </c>
      <c r="F5" s="295">
        <v>5.1859999999999999</v>
      </c>
      <c r="G5" s="283" t="str">
        <f t="shared" ca="1" si="16"/>
        <v/>
      </c>
      <c r="H5" s="296">
        <f t="shared" si="0"/>
        <v>6.2086806553607467E-2</v>
      </c>
      <c r="I5" s="297" t="e">
        <f t="shared" ca="1" si="1"/>
        <v>#DIV/0!</v>
      </c>
      <c r="J5" s="298">
        <f t="shared" ca="1" si="17"/>
        <v>0</v>
      </c>
      <c r="K5" s="298">
        <f t="shared" ca="1" si="2"/>
        <v>53.00271601084323</v>
      </c>
      <c r="L5" s="298">
        <f t="shared" ca="1" si="3"/>
        <v>46</v>
      </c>
      <c r="M5" s="298">
        <f t="shared" ca="1" si="4"/>
        <v>95.770869565217396</v>
      </c>
      <c r="N5" s="299" t="str">
        <f t="shared" ca="1" si="5"/>
        <v>連5月成長</v>
      </c>
      <c r="O5" s="299" t="str">
        <f t="shared" ca="1" si="6"/>
        <v>連2季成長</v>
      </c>
      <c r="P5" s="285" t="str">
        <f t="shared" ca="1" si="7"/>
        <v>OO</v>
      </c>
      <c r="Q5" s="294">
        <f>ROUND(策略!$I$14/$C5,0)</f>
        <v>13</v>
      </c>
      <c r="R5" s="296">
        <f t="shared" ca="1" si="8"/>
        <v>-1</v>
      </c>
      <c r="S5" s="300">
        <f t="shared" ca="1" si="9"/>
        <v>65.159199999999998</v>
      </c>
      <c r="T5" s="301">
        <f t="shared" si="10"/>
        <v>11201.76000000002</v>
      </c>
      <c r="U5" s="302">
        <f t="shared" si="11"/>
        <v>191622.7</v>
      </c>
      <c r="V5" s="302">
        <f t="shared" si="12"/>
        <v>180524.66</v>
      </c>
      <c r="W5" s="302">
        <f t="shared" si="13"/>
        <v>254.114</v>
      </c>
      <c r="X5" s="298">
        <f t="shared" ca="1" si="14"/>
        <v>11.72</v>
      </c>
      <c r="Y5" s="298">
        <f t="shared" ca="1" si="15"/>
        <v>19.875</v>
      </c>
      <c r="Z5" s="299" t="str">
        <f>VLOOKUP(_xlfn.NUMBERVALUE(A5),[2]工作表1!$A:$G,7,FALSE)</f>
        <v>無保留意見</v>
      </c>
    </row>
    <row r="6" spans="1:26" x14ac:dyDescent="0.25">
      <c r="A6" s="292">
        <v>2892</v>
      </c>
      <c r="B6" s="280" t="s">
        <v>144</v>
      </c>
      <c r="C6" s="293">
        <f>VLOOKUP(_xlfn.NUMBERVALUE(A6),[1]工作表1!$A:$D,3,FALSE)</f>
        <v>19.45</v>
      </c>
      <c r="D6" s="294">
        <f>ROUND(VLOOKUP(_xlfn.NUMBERVALUE(A6),[1]工作表1!$A:$D,4,FALSE)/1000,0)</f>
        <v>30971</v>
      </c>
      <c r="E6" s="293">
        <v>16.82</v>
      </c>
      <c r="F6" s="295">
        <v>10.16</v>
      </c>
      <c r="G6" s="283" t="str">
        <f t="shared" ca="1" si="16"/>
        <v/>
      </c>
      <c r="H6" s="296">
        <f t="shared" si="0"/>
        <v>0.15636147443519613</v>
      </c>
      <c r="I6" s="297" t="e">
        <f t="shared" ca="1" si="1"/>
        <v>#DIV/0!</v>
      </c>
      <c r="J6" s="298">
        <f t="shared" ca="1" si="17"/>
        <v>0</v>
      </c>
      <c r="K6" s="298">
        <f t="shared" ca="1" si="2"/>
        <v>93.715086646279303</v>
      </c>
      <c r="L6" s="298">
        <f t="shared" ca="1" si="3"/>
        <v>84</v>
      </c>
      <c r="M6" s="298">
        <f t="shared" ca="1" si="4"/>
        <v>88.30193693693694</v>
      </c>
      <c r="N6" s="299" t="str">
        <f t="shared" ca="1" si="5"/>
        <v>上月成長</v>
      </c>
      <c r="O6" s="299" t="str">
        <f t="shared" ca="1" si="6"/>
        <v>連2季衰退</v>
      </c>
      <c r="P6" s="285" t="str">
        <f t="shared" ca="1" si="7"/>
        <v/>
      </c>
      <c r="Q6" s="294">
        <f>ROUND(策略!$I$14/$C6,0)</f>
        <v>25</v>
      </c>
      <c r="R6" s="296">
        <f t="shared" ca="1" si="8"/>
        <v>-1</v>
      </c>
      <c r="S6" s="300">
        <f t="shared" ca="1" si="9"/>
        <v>1221.96</v>
      </c>
      <c r="T6" s="301">
        <f t="shared" si="10"/>
        <v>26720.799999999988</v>
      </c>
      <c r="U6" s="302">
        <f t="shared" si="11"/>
        <v>197612</v>
      </c>
      <c r="V6" s="302">
        <f t="shared" si="12"/>
        <v>171094.40000000002</v>
      </c>
      <c r="W6" s="302">
        <f t="shared" si="13"/>
        <v>345.44</v>
      </c>
      <c r="X6" s="298">
        <f t="shared" ca="1" si="14"/>
        <v>11.628</v>
      </c>
      <c r="Y6" s="298">
        <f t="shared" ca="1" si="15"/>
        <v>14.102</v>
      </c>
      <c r="Z6" s="299" t="str">
        <f>VLOOKUP(_xlfn.NUMBERVALUE(A6),[2]工作表1!$A:$G,7,FALSE)</f>
        <v>無保留意見</v>
      </c>
    </row>
    <row r="7" spans="1:26" x14ac:dyDescent="0.25">
      <c r="A7" s="292">
        <v>4205</v>
      </c>
      <c r="B7" s="280" t="s">
        <v>145</v>
      </c>
      <c r="C7" s="293">
        <f>VLOOKUP(_xlfn.NUMBERVALUE(A7),[1]工作表1!$A:$D,3,FALSE)</f>
        <v>61.5</v>
      </c>
      <c r="D7" s="294">
        <f>ROUND(VLOOKUP(_xlfn.NUMBERVALUE(A7),[1]工作表1!$A:$D,4,FALSE)/1000,0)</f>
        <v>21</v>
      </c>
      <c r="E7" s="293">
        <v>39.46</v>
      </c>
      <c r="F7" s="295">
        <v>3.33</v>
      </c>
      <c r="G7" s="283" t="str">
        <f t="shared" ca="1" si="16"/>
        <v/>
      </c>
      <c r="H7" s="296">
        <f t="shared" si="0"/>
        <v>0.55854029396857574</v>
      </c>
      <c r="I7" s="297" t="e">
        <f t="shared" ca="1" si="1"/>
        <v>#VALUE!</v>
      </c>
      <c r="J7" s="298" t="e">
        <f t="shared" ca="1" si="17"/>
        <v>#VALUE!</v>
      </c>
      <c r="K7" s="298">
        <f t="shared" ca="1" si="2"/>
        <v>91.110986362627614</v>
      </c>
      <c r="L7" s="298">
        <f t="shared" ca="1" si="3"/>
        <v>82</v>
      </c>
      <c r="M7" s="298">
        <f t="shared" ca="1" si="4"/>
        <v>97.31505807814149</v>
      </c>
      <c r="N7" s="299" t="str">
        <f t="shared" ca="1" si="5"/>
        <v>連2月成長</v>
      </c>
      <c r="O7" s="299" t="str">
        <f t="shared" ca="1" si="6"/>
        <v>單季衰退</v>
      </c>
      <c r="P7" s="285" t="str">
        <f t="shared" ca="1" si="7"/>
        <v/>
      </c>
      <c r="Q7" s="294">
        <f>ROUND(策略!$I$14/$C7,0)</f>
        <v>8</v>
      </c>
      <c r="R7" s="296" t="e">
        <f t="shared" ca="1" si="8"/>
        <v>#VALUE!</v>
      </c>
      <c r="S7" s="300">
        <f t="shared" ca="1" si="9"/>
        <v>8.069700000000001</v>
      </c>
      <c r="T7" s="301">
        <f t="shared" si="10"/>
        <v>73393.2</v>
      </c>
      <c r="U7" s="302">
        <f t="shared" si="11"/>
        <v>204795.00000000003</v>
      </c>
      <c r="V7" s="302">
        <f t="shared" si="12"/>
        <v>131468.40000000002</v>
      </c>
      <c r="W7" s="302">
        <f t="shared" si="13"/>
        <v>189.81</v>
      </c>
      <c r="X7" s="298">
        <f t="shared" ca="1" si="14"/>
        <v>16.3</v>
      </c>
      <c r="Y7" s="298">
        <f t="shared" ca="1" si="15"/>
        <v>19.945</v>
      </c>
      <c r="Z7" s="299" t="str">
        <f>VLOOKUP(_xlfn.NUMBERVALUE(A7),[2]工作表1!$A:$G,7,FALSE)</f>
        <v>無保留意見</v>
      </c>
    </row>
    <row r="8" spans="1:26" x14ac:dyDescent="0.25">
      <c r="K8" s="313"/>
      <c r="L8" s="313"/>
      <c r="M8" s="313"/>
    </row>
    <row r="9" spans="1:26" x14ac:dyDescent="0.25">
      <c r="H9" s="318"/>
      <c r="K9" s="313"/>
      <c r="L9" s="313"/>
      <c r="M9" s="313"/>
    </row>
    <row r="10" spans="1:26" x14ac:dyDescent="0.25">
      <c r="H10" s="307"/>
    </row>
    <row r="11" spans="1:26" x14ac:dyDescent="0.25">
      <c r="H11" s="307"/>
    </row>
    <row r="12" spans="1:26" x14ac:dyDescent="0.25">
      <c r="H12" s="307"/>
    </row>
    <row r="13" spans="1:26" x14ac:dyDescent="0.25">
      <c r="H13" s="307"/>
    </row>
    <row r="14" spans="1:26" x14ac:dyDescent="0.25">
      <c r="H14" s="307"/>
    </row>
    <row r="15" spans="1:26" x14ac:dyDescent="0.25">
      <c r="H15" s="307"/>
    </row>
    <row r="16" spans="1:26" x14ac:dyDescent="0.25">
      <c r="H16" s="307"/>
    </row>
    <row r="17" spans="8:8" x14ac:dyDescent="0.25">
      <c r="H17" s="307"/>
    </row>
  </sheetData>
  <sortState ref="A2:Z17">
    <sortCondition ref="H2:H17"/>
  </sortState>
  <phoneticPr fontId="3" type="noConversion"/>
  <conditionalFormatting sqref="O2:O5">
    <cfRule type="containsText" dxfId="7540" priority="59" operator="containsText" text="連3季衰退">
      <formula>NOT(ISERROR(SEARCH("連3季衰退",O2)))</formula>
    </cfRule>
    <cfRule type="containsText" dxfId="7539" priority="60" operator="containsText" text="連2月衰退">
      <formula>NOT(ISERROR(SEARCH("連2月衰退",O2)))</formula>
    </cfRule>
    <cfRule type="containsText" dxfId="7538" priority="61" operator="containsText" text="連3月衰退">
      <formula>NOT(ISERROR(SEARCH("連3月衰退",O2)))</formula>
    </cfRule>
    <cfRule type="containsText" dxfId="7537" priority="62" operator="containsText" text="連2季衰退">
      <formula>NOT(ISERROR(SEARCH("連2季衰退",O2)))</formula>
    </cfRule>
    <cfRule type="containsText" dxfId="7536" priority="63" operator="containsText" text="連2季成長">
      <formula>NOT(ISERROR(SEARCH("連2季成長",O2)))</formula>
    </cfRule>
    <cfRule type="containsText" dxfId="7535" priority="64" operator="containsText" text="連2月成長">
      <formula>NOT(ISERROR(SEARCH("連2月成長",O2)))</formula>
    </cfRule>
    <cfRule type="containsText" dxfId="7534" priority="65" operator="containsText" text="連3月成長">
      <formula>NOT(ISERROR(SEARCH("連3月成長",O2)))</formula>
    </cfRule>
    <cfRule type="containsText" dxfId="7533" priority="66" operator="containsText" text="連3季成長">
      <formula>NOT(ISERROR(SEARCH("連3季成長",O2)))</formula>
    </cfRule>
  </conditionalFormatting>
  <conditionalFormatting sqref="S2:S5">
    <cfRule type="cellIs" dxfId="7532" priority="57" operator="lessThan">
      <formula>4</formula>
    </cfRule>
    <cfRule type="cellIs" dxfId="7531" priority="58" operator="lessThan">
      <formula>8</formula>
    </cfRule>
  </conditionalFormatting>
  <conditionalFormatting sqref="I2:I5">
    <cfRule type="cellIs" dxfId="7530" priority="55" operator="greaterThanOrEqual">
      <formula>0.06</formula>
    </cfRule>
    <cfRule type="cellIs" dxfId="7529" priority="56" operator="lessThanOrEqual">
      <formula>0.045</formula>
    </cfRule>
  </conditionalFormatting>
  <conditionalFormatting sqref="D2:D7">
    <cfRule type="cellIs" dxfId="7528" priority="54" operator="lessThan">
      <formula>100</formula>
    </cfRule>
  </conditionalFormatting>
  <conditionalFormatting sqref="Q2:Q5">
    <cfRule type="cellIs" dxfId="7527" priority="53" operator="lessThanOrEqual">
      <formula>3</formula>
    </cfRule>
  </conditionalFormatting>
  <conditionalFormatting sqref="F2:F5">
    <cfRule type="cellIs" dxfId="7526" priority="68" operator="greaterThanOrEqual">
      <formula>$Q2</formula>
    </cfRule>
  </conditionalFormatting>
  <conditionalFormatting sqref="J2:J7">
    <cfRule type="cellIs" dxfId="7525" priority="49" operator="lessThan">
      <formula>$X2</formula>
    </cfRule>
  </conditionalFormatting>
  <conditionalFormatting sqref="J2:J7">
    <cfRule type="cellIs" dxfId="7524" priority="48" operator="greaterThan">
      <formula>$Y2</formula>
    </cfRule>
  </conditionalFormatting>
  <conditionalFormatting sqref="N2:N5">
    <cfRule type="containsText" dxfId="7523" priority="40" operator="containsText" text="連3月衰退">
      <formula>NOT(ISERROR(SEARCH("連3月衰退",N2)))</formula>
    </cfRule>
    <cfRule type="containsText" dxfId="7522" priority="41" operator="containsText" text="連4月衰退">
      <formula>NOT(ISERROR(SEARCH("連4月衰退",N2)))</formula>
    </cfRule>
    <cfRule type="containsText" dxfId="7521" priority="42" operator="containsText" text="連5月衰退">
      <formula>NOT(ISERROR(SEARCH("連5月衰退",N2)))</formula>
    </cfRule>
    <cfRule type="containsText" dxfId="7520" priority="43" operator="containsText" text="連5月成長">
      <formula>NOT(ISERROR(SEARCH("連5月成長",N2)))</formula>
    </cfRule>
    <cfRule type="containsText" dxfId="7519" priority="44" operator="containsText" text="連4月成長">
      <formula>NOT(ISERROR(SEARCH("連4月成長",N2)))</formula>
    </cfRule>
    <cfRule type="containsText" dxfId="7518" priority="45" operator="containsText" text="連3月成長">
      <formula>NOT(ISERROR(SEARCH("連3月成長",N2)))</formula>
    </cfRule>
  </conditionalFormatting>
  <conditionalFormatting sqref="O6:O7">
    <cfRule type="containsText" dxfId="7517" priority="24" operator="containsText" text="連3季衰退">
      <formula>NOT(ISERROR(SEARCH("連3季衰退",O6)))</formula>
    </cfRule>
    <cfRule type="containsText" dxfId="7516" priority="25" operator="containsText" text="連2月衰退">
      <formula>NOT(ISERROR(SEARCH("連2月衰退",O6)))</formula>
    </cfRule>
    <cfRule type="containsText" dxfId="7515" priority="26" operator="containsText" text="連3月衰退">
      <formula>NOT(ISERROR(SEARCH("連3月衰退",O6)))</formula>
    </cfRule>
    <cfRule type="containsText" dxfId="7514" priority="27" operator="containsText" text="連2季衰退">
      <formula>NOT(ISERROR(SEARCH("連2季衰退",O6)))</formula>
    </cfRule>
    <cfRule type="containsText" dxfId="7513" priority="28" operator="containsText" text="連2季成長">
      <formula>NOT(ISERROR(SEARCH("連2季成長",O6)))</formula>
    </cfRule>
    <cfRule type="containsText" dxfId="7512" priority="29" operator="containsText" text="連2月成長">
      <formula>NOT(ISERROR(SEARCH("連2月成長",O6)))</formula>
    </cfRule>
    <cfRule type="containsText" dxfId="7511" priority="30" operator="containsText" text="連3月成長">
      <formula>NOT(ISERROR(SEARCH("連3月成長",O6)))</formula>
    </cfRule>
    <cfRule type="containsText" dxfId="7510" priority="31" operator="containsText" text="連3季成長">
      <formula>NOT(ISERROR(SEARCH("連3季成長",O6)))</formula>
    </cfRule>
  </conditionalFormatting>
  <conditionalFormatting sqref="S6:S7">
    <cfRule type="cellIs" dxfId="7509" priority="22" operator="lessThan">
      <formula>4</formula>
    </cfRule>
    <cfRule type="cellIs" dxfId="7508" priority="23" operator="lessThan">
      <formula>8</formula>
    </cfRule>
  </conditionalFormatting>
  <conditionalFormatting sqref="I6:I7">
    <cfRule type="cellIs" dxfId="7507" priority="20" operator="greaterThanOrEqual">
      <formula>0.06</formula>
    </cfRule>
    <cfRule type="cellIs" dxfId="7506" priority="21" operator="lessThanOrEqual">
      <formula>0.045</formula>
    </cfRule>
  </conditionalFormatting>
  <conditionalFormatting sqref="Q6:Q7">
    <cfRule type="cellIs" dxfId="7505" priority="18" operator="lessThanOrEqual">
      <formula>3</formula>
    </cfRule>
  </conditionalFormatting>
  <conditionalFormatting sqref="F6:F7">
    <cfRule type="cellIs" dxfId="7504" priority="33" operator="greaterThanOrEqual">
      <formula>$Q6</formula>
    </cfRule>
  </conditionalFormatting>
  <conditionalFormatting sqref="P6:P7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{4C30A8CC-D32D-4DDF-BBF8-8F288B183B8F}</x14:id>
        </ext>
      </extLst>
    </cfRule>
  </conditionalFormatting>
  <conditionalFormatting sqref="N6:N7">
    <cfRule type="containsText" dxfId="7503" priority="5" operator="containsText" text="連3月衰退">
      <formula>NOT(ISERROR(SEARCH("連3月衰退",N6)))</formula>
    </cfRule>
    <cfRule type="containsText" dxfId="7502" priority="6" operator="containsText" text="連4月衰退">
      <formula>NOT(ISERROR(SEARCH("連4月衰退",N6)))</formula>
    </cfRule>
    <cfRule type="containsText" dxfId="7501" priority="7" operator="containsText" text="連5月衰退">
      <formula>NOT(ISERROR(SEARCH("連5月衰退",N6)))</formula>
    </cfRule>
    <cfRule type="containsText" dxfId="7500" priority="8" operator="containsText" text="連5月成長">
      <formula>NOT(ISERROR(SEARCH("連5月成長",N6)))</formula>
    </cfRule>
    <cfRule type="containsText" dxfId="7499" priority="9" operator="containsText" text="連4月成長">
      <formula>NOT(ISERROR(SEARCH("連4月成長",N6)))</formula>
    </cfRule>
    <cfRule type="containsText" dxfId="7498" priority="10" operator="containsText" text="連3月成長">
      <formula>NOT(ISERROR(SEARCH("連3月成長",N6)))</formula>
    </cfRule>
  </conditionalFormatting>
  <conditionalFormatting sqref="P2:P5 H2:H7">
    <cfRule type="dataBar" priority="112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{EAEDDDB8-D71E-415F-AD86-82E435B3D0B7}</x14:id>
        </ext>
      </extLst>
    </cfRule>
  </conditionalFormatting>
  <hyperlinks>
    <hyperlink ref="A3" location="'2412'!A1" display="2412" xr:uid="{00000000-0004-0000-0300-000000000000}"/>
    <hyperlink ref="A2" location="'9917'!A1" display="9917" xr:uid="{00000000-0004-0000-0300-000001000000}"/>
    <hyperlink ref="A7" location="'4205'!A1" display="'4205'!A1" xr:uid="{00000000-0004-0000-0300-000002000000}"/>
    <hyperlink ref="A5" location="'9940'!A1" display="'9940'!A1" xr:uid="{00000000-0004-0000-0300-000003000000}"/>
    <hyperlink ref="A4" location="'2886'!A1" display="'2886'!A1" xr:uid="{00000000-0004-0000-0300-000004000000}"/>
    <hyperlink ref="A6" location="'2892'!A1" display="'2892'!A1" xr:uid="{00000000-0004-0000-0300-000005000000}"/>
  </hyperlinks>
  <pageMargins left="0.7" right="0.7" top="0.75" bottom="0.75" header="0.3" footer="0.3"/>
  <pageSetup paperSize="9" scale="26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30A8CC-D32D-4DDF-BBF8-8F288B183B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P6:P7</xm:sqref>
        </x14:conditionalFormatting>
        <x14:conditionalFormatting xmlns:xm="http://schemas.microsoft.com/office/excel/2006/main">
          <x14:cfRule type="dataBar" id="{EAEDDDB8-D71E-415F-AD86-82E435B3D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P2:P5 H2:H7</xm:sqref>
        </x14:conditionalFormatting>
        <x14:conditionalFormatting xmlns:xm="http://schemas.microsoft.com/office/excel/2006/main">
          <x14:cfRule type="cellIs" priority="67" operator="greaterThan" id="{E0A84351-FA42-459E-85D0-5E3814D499F7}">
            <xm:f>策略!$F$5</xm:f>
            <x14:dxf>
              <font>
                <color rgb="FFFF0000"/>
              </font>
            </x14:dxf>
          </x14:cfRule>
          <xm:sqref>R2:R7</xm:sqref>
        </x14:conditionalFormatting>
        <x14:conditionalFormatting xmlns:xm="http://schemas.microsoft.com/office/excel/2006/main">
          <x14:cfRule type="colorScale" priority="70" id="{9F21AD8B-3308-4B90-A96D-ACF8DC220ED6}">
            <x14:colorScale>
              <x14:cfvo type="num">
                <xm:f>策略!$F$25</xm:f>
              </x14:cfvo>
              <x14:cfvo type="num">
                <xm:f>策略!$F$24</xm:f>
              </x14:cfvo>
              <x14:cfvo type="num">
                <xm:f>策略!$F$23</xm:f>
              </x14:cfvo>
              <x14:color rgb="FFF8696B"/>
              <x14:color rgb="FFFFEB84"/>
              <x14:color rgb="FF63BE7B"/>
            </x14:colorScale>
          </x14:cfRule>
          <xm:sqref>K2:K5</xm:sqref>
        </x14:conditionalFormatting>
        <x14:conditionalFormatting xmlns:xm="http://schemas.microsoft.com/office/excel/2006/main">
          <x14:cfRule type="colorScale" priority="71" id="{0B6C273B-3E86-4738-941F-8A819B928C91}">
            <x14:colorScale>
              <x14:cfvo type="num">
                <xm:f>策略!$G$25</xm:f>
              </x14:cfvo>
              <x14:cfvo type="num">
                <xm:f>策略!$G$24</xm:f>
              </x14:cfvo>
              <x14:cfvo type="num">
                <xm:f>策略!$G$23</xm:f>
              </x14:cfvo>
              <x14:color rgb="FFF8696B"/>
              <x14:color rgb="FFFFEB84"/>
              <x14:color rgb="FF63BE7B"/>
            </x14:colorScale>
          </x14:cfRule>
          <xm:sqref>L2:L5</xm:sqref>
        </x14:conditionalFormatting>
        <x14:conditionalFormatting xmlns:xm="http://schemas.microsoft.com/office/excel/2006/main">
          <x14:cfRule type="colorScale" priority="72" id="{EA5B71F4-F38D-46F5-8E7C-017A7E5896B5}">
            <x14:colorScale>
              <x14:cfvo type="num">
                <xm:f>策略!$H$25</xm:f>
              </x14:cfvo>
              <x14:cfvo type="num">
                <xm:f>策略!$H$24</xm:f>
              </x14:cfvo>
              <x14:cfvo type="num">
                <xm:f>策略!$H$23</xm:f>
              </x14:cfvo>
              <x14:color rgb="FFF8696B"/>
              <x14:color rgb="FFFFEB84"/>
              <x14:color rgb="FF63BE7B"/>
            </x14:colorScale>
          </x14:cfRule>
          <xm:sqref>M2:M5</xm:sqref>
        </x14:conditionalFormatting>
        <x14:conditionalFormatting xmlns:xm="http://schemas.microsoft.com/office/excel/2006/main">
          <x14:cfRule type="colorScale" priority="35" id="{9D0CC3F1-EE3A-4722-8DC3-1FCAC57887FB}">
            <x14:colorScale>
              <x14:cfvo type="num">
                <xm:f>策略!$F$25</xm:f>
              </x14:cfvo>
              <x14:cfvo type="num">
                <xm:f>策略!$F$24</xm:f>
              </x14:cfvo>
              <x14:cfvo type="num">
                <xm:f>策略!$F$23</xm:f>
              </x14:cfvo>
              <x14:color rgb="FFF8696B"/>
              <x14:color rgb="FFFFEB84"/>
              <x14:color rgb="FF63BE7B"/>
            </x14:colorScale>
          </x14:cfRule>
          <xm:sqref>K6:K7</xm:sqref>
        </x14:conditionalFormatting>
        <x14:conditionalFormatting xmlns:xm="http://schemas.microsoft.com/office/excel/2006/main">
          <x14:cfRule type="colorScale" priority="36" id="{E27CF2C1-B04F-4214-B501-20883D314718}">
            <x14:colorScale>
              <x14:cfvo type="num">
                <xm:f>策略!$G$25</xm:f>
              </x14:cfvo>
              <x14:cfvo type="num">
                <xm:f>策略!$G$24</xm:f>
              </x14:cfvo>
              <x14:cfvo type="num">
                <xm:f>策略!$G$23</xm:f>
              </x14:cfvo>
              <x14:color rgb="FFF8696B"/>
              <x14:color rgb="FFFFEB84"/>
              <x14:color rgb="FF63BE7B"/>
            </x14:colorScale>
          </x14:cfRule>
          <xm:sqref>L6:L7</xm:sqref>
        </x14:conditionalFormatting>
        <x14:conditionalFormatting xmlns:xm="http://schemas.microsoft.com/office/excel/2006/main">
          <x14:cfRule type="colorScale" priority="37" id="{72D70604-7E52-4EA1-8728-F84697479574}">
            <x14:colorScale>
              <x14:cfvo type="num">
                <xm:f>策略!$H$25</xm:f>
              </x14:cfvo>
              <x14:cfvo type="num">
                <xm:f>策略!$H$24</xm:f>
              </x14:cfvo>
              <x14:cfvo type="num">
                <xm:f>策略!$H$23</xm:f>
              </x14:cfvo>
              <x14:color rgb="FFF8696B"/>
              <x14:color rgb="FFFFEB84"/>
              <x14:color rgb="FF63BE7B"/>
            </x14:colorScale>
          </x14:cfRule>
          <xm:sqref>M6:M7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0</v>
      </c>
      <c r="C1" s="76">
        <f>MAX(84:84)</f>
        <v>0</v>
      </c>
      <c r="D1" s="76">
        <f>MAX(78:78)</f>
        <v>0</v>
      </c>
      <c r="E1" s="77"/>
      <c r="H1" s="79" t="s">
        <v>177</v>
      </c>
      <c r="I1" s="80" t="e">
        <f ca="1">I16*(HLOOKUP($C$1,$117:$128,12,FALSE)*1000/K11)/(E97*1000)</f>
        <v>#N/A</v>
      </c>
      <c r="J1" s="81" t="s">
        <v>378</v>
      </c>
      <c r="K1" s="82" t="str">
        <f>MIN(149:149)&amp;" ~ "&amp;MAX(149:149)</f>
        <v>0 ~ 0</v>
      </c>
      <c r="L1" s="83" t="s">
        <v>176</v>
      </c>
      <c r="M1" s="84" t="e">
        <f ca="1">VLOOKUP(_xlfn.NUMBERVALUE(N1),儀表板!A:B,2,FALSE)</f>
        <v>#N/A</v>
      </c>
      <c r="N1" s="85" t="str">
        <f ca="1">MID(CELL("filename",L1),FIND("]",CELL("filename",L1))+1,255)</f>
        <v>0000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 t="e">
        <f>(F100-F101)/F100</f>
        <v>#DIV/0!</v>
      </c>
    </row>
    <row r="3" spans="1:15" s="93" customFormat="1" x14ac:dyDescent="0.25">
      <c r="A3" s="81" t="s">
        <v>179</v>
      </c>
      <c r="B3" s="94" t="e">
        <f>SUM(F19:F22,F24:F27,J19)</f>
        <v>#DIV/0!</v>
      </c>
      <c r="C3" s="95"/>
      <c r="D3" s="96" t="str">
        <f>B1&amp;"資本額"</f>
        <v>0資本額</v>
      </c>
      <c r="E3" s="96" t="s">
        <v>180</v>
      </c>
      <c r="F3" s="96" t="str">
        <f>B1-1&amp;"資本額"</f>
        <v>-1資本額</v>
      </c>
      <c r="G3" s="97"/>
      <c r="H3" s="98" t="s">
        <v>181</v>
      </c>
      <c r="I3" s="99" t="e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#N/A</v>
      </c>
      <c r="J3" s="99" t="e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#N/A</v>
      </c>
      <c r="K3" s="99" t="e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#N/A</v>
      </c>
      <c r="L3" s="100"/>
      <c r="M3" s="79" t="s">
        <v>385</v>
      </c>
      <c r="N3" s="92" t="e">
        <f>(F69-E69)/E69</f>
        <v>#N/A</v>
      </c>
    </row>
    <row r="4" spans="1:15" s="93" customFormat="1" x14ac:dyDescent="0.25">
      <c r="A4" s="81" t="s">
        <v>182</v>
      </c>
      <c r="B4" s="96" t="e">
        <f>SUM(G36:G40)*2</f>
        <v>#DIV/0!</v>
      </c>
      <c r="C4" s="101"/>
      <c r="D4" s="102">
        <f>F4*(1+F141/10)</f>
        <v>0</v>
      </c>
      <c r="E4" s="82" t="e">
        <f>(D4-F4)/F4</f>
        <v>#DIV/0!</v>
      </c>
      <c r="F4" s="103"/>
      <c r="G4" s="97"/>
      <c r="H4" s="104" t="s">
        <v>183</v>
      </c>
      <c r="I4" s="105" t="e">
        <f ca="1">(I3-I16)/I16</f>
        <v>#N/A</v>
      </c>
      <c r="J4" s="105" t="e">
        <f ca="1">(J3-I16)/I16</f>
        <v>#N/A</v>
      </c>
      <c r="K4" s="105" t="e">
        <f ca="1">(K3-I16)/I16</f>
        <v>#N/A</v>
      </c>
      <c r="L4" s="106"/>
      <c r="M4" s="79" t="str">
        <f>B1&amp;" EPS"</f>
        <v>0 EPS</v>
      </c>
      <c r="N4" s="152" t="e">
        <f>F69</f>
        <v>#N/A</v>
      </c>
    </row>
    <row r="5" spans="1:15" s="93" customFormat="1" x14ac:dyDescent="0.25">
      <c r="A5" s="81" t="s">
        <v>184</v>
      </c>
      <c r="B5" s="107" t="e">
        <f>SUM(F30:F34)*2</f>
        <v>#DIV/0!</v>
      </c>
      <c r="C5" s="87"/>
      <c r="D5" s="87"/>
      <c r="E5" s="87"/>
      <c r="F5" s="86"/>
      <c r="G5" s="88"/>
      <c r="M5" s="79" t="s">
        <v>386</v>
      </c>
      <c r="N5" s="152" t="e">
        <f>D62</f>
        <v>#N/A</v>
      </c>
      <c r="O5" s="108"/>
    </row>
    <row r="6" spans="1:15" s="93" customFormat="1" x14ac:dyDescent="0.25">
      <c r="A6" s="89"/>
      <c r="B6" s="109"/>
      <c r="D6" s="93" t="s">
        <v>186</v>
      </c>
      <c r="F6" s="110" t="e">
        <f>IF(AND(E36=3,E38=3,E40=3),"連3年成長",IF(AND(E36=0,E38=0,E40=0),"連3年減少","有"&amp;ROUNDDOWN(AVERAGE(E36,E38,E40),1)&amp;"年成長"))</f>
        <v>#N/A</v>
      </c>
      <c r="H6" s="81" t="s">
        <v>187</v>
      </c>
      <c r="I6" s="111" t="e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#N/A</v>
      </c>
      <c r="J6" s="81" t="s">
        <v>188</v>
      </c>
      <c r="K6" s="111" t="e">
        <f>IF(AND(B44&gt;0,C44&gt;0,D44&gt;0),"連3季成長",IF(AND(B44&gt;0,C44&gt;0),"連2季成長",IF(B44&gt;0,"單季成長",IF(AND(B44&lt;0,C44&lt;0,D44&lt;0),"連3季衰退",IF(AND(B44&lt;0,C44&lt;0),"連2季衰退","單季衰退")))))</f>
        <v>#N/A</v>
      </c>
      <c r="L6" s="112"/>
      <c r="M6" s="79" t="s">
        <v>190</v>
      </c>
      <c r="N6" s="152" t="e">
        <f>A53</f>
        <v>#N/A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#N/A</v>
      </c>
      <c r="J9" s="81" t="s">
        <v>377</v>
      </c>
      <c r="K9" s="126" t="e">
        <f ca="1">I16/A53</f>
        <v>#N/A</v>
      </c>
      <c r="L9" s="133" t="s">
        <v>373</v>
      </c>
      <c r="M9" s="126">
        <f>MAX(176:176)</f>
        <v>0</v>
      </c>
      <c r="N9" s="129"/>
    </row>
    <row r="10" spans="1:15" s="93" customFormat="1" x14ac:dyDescent="0.25">
      <c r="A10" s="123" t="s">
        <v>194</v>
      </c>
      <c r="B10" s="126" t="e">
        <f>PERCENTILE(176:176,B9)</f>
        <v>#NUM!</v>
      </c>
      <c r="C10" s="126" t="e">
        <f>PERCENTILE(176:176,C9)</f>
        <v>#NUM!</v>
      </c>
      <c r="D10" s="126" t="e">
        <f>PERCENTILE(176:176,D9)</f>
        <v>#NUM!</v>
      </c>
      <c r="E10" s="126" t="e">
        <f>PERCENTILE(176:176,E9)</f>
        <v>#NUM!</v>
      </c>
      <c r="F10" s="126" t="e">
        <f>PERCENTILE(176:176,F9)</f>
        <v>#NUM!</v>
      </c>
      <c r="G10" s="95"/>
      <c r="H10" s="135"/>
      <c r="I10" s="135"/>
      <c r="J10" s="135"/>
      <c r="K10" s="135"/>
      <c r="L10" s="136" t="s">
        <v>374</v>
      </c>
      <c r="M10" s="130">
        <f>MIN(176:176)</f>
        <v>0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#N/A</v>
      </c>
      <c r="J11" s="131" t="s">
        <v>196</v>
      </c>
      <c r="K11" s="132" t="e">
        <f>HLOOKUP(C1,84:85,2,FALSE)</f>
        <v>#N/A</v>
      </c>
      <c r="L11" s="272" t="s">
        <v>193</v>
      </c>
      <c r="M11" s="128" t="e">
        <f>STDEV(176:176)</f>
        <v>#DIV/0!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 t="e">
        <f>$B$34/7.14%</f>
        <v>#DIV/0!</v>
      </c>
      <c r="C13" s="141" t="e">
        <f>$B$34/5.88%</f>
        <v>#DIV/0!</v>
      </c>
      <c r="D13" s="141" t="e">
        <f>$B$34/5%</f>
        <v>#DIV/0!</v>
      </c>
      <c r="E13" s="141" t="e">
        <f>$B$34/4.35%</f>
        <v>#DIV/0!</v>
      </c>
      <c r="F13" s="141" t="e">
        <f>$B$34/3.85%</f>
        <v>#DIV/0!</v>
      </c>
      <c r="G13" s="138" t="e">
        <f>"$"&amp;ROUND(B34,2)&amp;"/"&amp;IF(STDEV(C140:F140)/AVERAGE(C140:F140)&lt;15%,"高",IF(STDEV(C140:F140)/AVERAGE(C140:F140)&lt;30%,"中","低"))</f>
        <v>#DIV/0!</v>
      </c>
      <c r="H13" s="142" t="s">
        <v>199</v>
      </c>
      <c r="I13" s="143" t="e">
        <f>MAX(0,1-J15)</f>
        <v>#N/A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 t="e">
        <f>$B$33*B10</f>
        <v>#N/A</v>
      </c>
      <c r="C14" s="141" t="e">
        <f>$B$33*C10</f>
        <v>#N/A</v>
      </c>
      <c r="D14" s="141" t="e">
        <f>$B$33*D10</f>
        <v>#N/A</v>
      </c>
      <c r="E14" s="141" t="e">
        <f>$B$33*E10</f>
        <v>#N/A</v>
      </c>
      <c r="F14" s="141" t="e">
        <f>$B$33*F10</f>
        <v>#N/A</v>
      </c>
      <c r="G14" s="138" t="e">
        <f>"$"&amp;ROUND(B33,2)&amp;"/"&amp;IF(STDEV(B69:E69)/AVERAGE(B69:E69)&lt;15%,"高",IF(STDEV(B69:E69)/AVERAGE(B69:E69)&lt;30%,"中","低"))</f>
        <v>#N/A</v>
      </c>
      <c r="H14" s="142" t="s">
        <v>203</v>
      </c>
      <c r="I14" s="145" t="e">
        <f>G62/100*I13</f>
        <v>#N/A</v>
      </c>
      <c r="J14" s="76" t="s">
        <v>204</v>
      </c>
      <c r="K14" s="146"/>
      <c r="L14" s="147" t="e">
        <f>(HLOOKUP($C$1,$105:$106,2,FALSE)-HLOOKUP($C$1,$117:$127,9,FALSE))/(HLOOKUP($C$1,$117:$128,12,FALSE)/K11)</f>
        <v>#N/A</v>
      </c>
      <c r="M14" s="148" t="e">
        <f>E135/E69</f>
        <v>#N/A</v>
      </c>
      <c r="N14" s="149">
        <f>F173/100</f>
        <v>0</v>
      </c>
    </row>
    <row r="15" spans="1:15" s="93" customFormat="1" x14ac:dyDescent="0.25">
      <c r="A15" s="140" t="s">
        <v>375</v>
      </c>
      <c r="B15" s="141" t="e">
        <f>$D$62*B10</f>
        <v>#N/A</v>
      </c>
      <c r="C15" s="141" t="e">
        <f>$D$62*C10</f>
        <v>#N/A</v>
      </c>
      <c r="D15" s="141" t="e">
        <f>$D$62*D10</f>
        <v>#N/A</v>
      </c>
      <c r="E15" s="141" t="e">
        <f>$D$62*E10</f>
        <v>#N/A</v>
      </c>
      <c r="F15" s="141" t="e">
        <f>$D$62*F10</f>
        <v>#N/A</v>
      </c>
      <c r="G15" s="150"/>
      <c r="H15" s="142" t="s">
        <v>118</v>
      </c>
      <c r="I15" s="145" t="e">
        <f ca="1">D62*J15/I16</f>
        <v>#N/A</v>
      </c>
      <c r="J15" s="92" t="e">
        <f>MIN(100%,HLOOKUP(MAX(139:139),139:142,4,FALSE))</f>
        <v>#N/A</v>
      </c>
      <c r="K15" s="78" t="str">
        <f>MAX(139:139)&amp;"配息率"</f>
        <v>0配息率</v>
      </c>
      <c r="N15" s="101"/>
    </row>
    <row r="16" spans="1:15" s="93" customFormat="1" x14ac:dyDescent="0.25">
      <c r="A16" s="151" t="str">
        <f>B1&amp;" EPS"</f>
        <v>0 EPS</v>
      </c>
      <c r="B16" s="141" t="e">
        <f>$F$69*B10</f>
        <v>#N/A</v>
      </c>
      <c r="C16" s="141" t="e">
        <f>$F$69*C10</f>
        <v>#N/A</v>
      </c>
      <c r="D16" s="141" t="e">
        <f>$F$69*D10</f>
        <v>#N/A</v>
      </c>
      <c r="E16" s="141" t="e">
        <f>$F$69*E10</f>
        <v>#N/A</v>
      </c>
      <c r="F16" s="141" t="e">
        <f>$F$69*F10</f>
        <v>#N/A</v>
      </c>
      <c r="G16" s="150"/>
      <c r="H16" s="142" t="s">
        <v>205</v>
      </c>
      <c r="I16" s="152" t="e">
        <f ca="1">VLOOKUP(_xlfn.NUMBERVALUE(N1),儀表板!A:T,3,FALSE)</f>
        <v>#N/A</v>
      </c>
      <c r="J16" s="92" t="e">
        <f ca="1">IF(I16&lt;=MIN($B$13:$F$16),(I16-MIN($B$13:$F$16))/MIN($B$13:$F$16),IF(I16&gt;=MAX($B$13:$F$16),I16/MAX($B$13:$F$16),PERCENTRANK($B$13:$F$16,I16)))</f>
        <v>#N/A</v>
      </c>
      <c r="K16" s="78" t="s">
        <v>206</v>
      </c>
    </row>
    <row r="17" spans="1:14" s="93" customFormat="1" x14ac:dyDescent="0.25">
      <c r="H17" s="142" t="s">
        <v>207</v>
      </c>
      <c r="I17" s="152" t="e">
        <f ca="1">VLOOKUP(_xlfn.NUMBERVALUE(N1),儀表板!A:T,5,FALSE)</f>
        <v>#N/A</v>
      </c>
      <c r="J17" s="92" t="e">
        <f ca="1">IF(I17&lt;=0,"",IF(I17&lt;=MIN($B$13:$F$16),(I17-MIN($B$13:$F$16))/MIN($B$13:$F$16),IF(I17&gt;=MAX($B$13:$F$16),I17/MAX($B$13:$F$16),PERCENTRANK($B$13:$F$16,I17))))</f>
        <v>#N/A</v>
      </c>
      <c r="K17" s="78" t="s">
        <v>206</v>
      </c>
      <c r="L17" s="153" t="e">
        <f ca="1">VLOOKUP(_xlfn.NUMBERVALUE(N1),儀表板!A:G,6,FALSE)</f>
        <v>#N/A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0</v>
      </c>
      <c r="C19" s="157" t="s">
        <v>211</v>
      </c>
      <c r="D19" s="158" t="e">
        <f>COUNTIF(C135:F135,"&gt;0")/COUNT(C135:F135)</f>
        <v>#DIV/0!</v>
      </c>
      <c r="E19" s="140" t="s">
        <v>212</v>
      </c>
      <c r="F19" s="159" t="e">
        <f>IF(B19&gt;0,2,0)+D19*8</f>
        <v>#DIV/0!</v>
      </c>
      <c r="G19" s="88" t="s">
        <v>213</v>
      </c>
      <c r="H19" s="86"/>
      <c r="I19" s="107" t="s">
        <v>214</v>
      </c>
      <c r="J19" s="160" t="e">
        <f>IF(I20&lt;10%,5,IF(I20&lt;20%,4,IF(I20&lt;30%,3,IF(I20&lt;40%,2,IF(I20&lt;50%,1,0)))))+IF(I21&gt;130%,5,IF(I21&gt;100%,4,IF(I21&gt;80%,1,0)))+IF(I22&gt;130%,5,IF(I22&gt;100%,4,IF(I21&gt;80%,1,0)))+IF(L24&lt;5%,5,IF(L24&lt;10%,3,IF(L24&lt;15%,1,0)))</f>
        <v>#N/A</v>
      </c>
      <c r="K19" s="88" t="s">
        <v>215</v>
      </c>
    </row>
    <row r="20" spans="1:14" s="93" customFormat="1" x14ac:dyDescent="0.25">
      <c r="A20" s="155" t="s">
        <v>216</v>
      </c>
      <c r="B20" s="161" t="e">
        <f>SUM(C135:F135)/SUM(C140:F140)</f>
        <v>#DIV/0!</v>
      </c>
      <c r="C20" s="157" t="s">
        <v>217</v>
      </c>
      <c r="D20" s="236" t="e">
        <f>COUNTIF(C143:F143,"&gt;=80%")/COUNT(C143:F143)</f>
        <v>#DIV/0!</v>
      </c>
      <c r="E20" s="140" t="s">
        <v>218</v>
      </c>
      <c r="F20" s="159" t="e">
        <f>IF(B20&gt;=80%,2,0)+D20*8</f>
        <v>#DIV/0!</v>
      </c>
      <c r="G20" s="88" t="s">
        <v>213</v>
      </c>
      <c r="H20" s="123" t="s">
        <v>219</v>
      </c>
      <c r="I20" s="237" t="e">
        <f>HLOOKUP($C$1,$117:$127,11,FALSE)*(1-N22)/HLOOKUP($C$1,$105:$115,11,FALSE)</f>
        <v>#N/A</v>
      </c>
      <c r="J20" s="171" t="e">
        <f>HLOOKUP($C$1,$117:$127,11,FALSE)/HLOOKUP($C$1,$105:$115,11,FALSE)</f>
        <v>#N/A</v>
      </c>
      <c r="K20" s="163"/>
    </row>
    <row r="21" spans="1:14" s="93" customFormat="1" x14ac:dyDescent="0.25">
      <c r="A21" s="151" t="s">
        <v>201</v>
      </c>
      <c r="B21" s="161" t="e">
        <f>AVERAGE(C173:F173)/100</f>
        <v>#DIV/0!</v>
      </c>
      <c r="C21" s="157" t="s">
        <v>217</v>
      </c>
      <c r="D21" s="158" t="e">
        <f>COUNTIF(C173:F173,"&gt;=80")/COUNT(C173:F173)</f>
        <v>#DIV/0!</v>
      </c>
      <c r="E21" s="140" t="s">
        <v>218</v>
      </c>
      <c r="F21" s="159" t="e">
        <f>MIN(100%,B21)*9+D21*6-COUNTIF(B132:E132,"&lt;=0")*4</f>
        <v>#DIV/0!</v>
      </c>
      <c r="G21" s="88" t="s">
        <v>220</v>
      </c>
      <c r="H21" s="123" t="s">
        <v>221</v>
      </c>
      <c r="I21" s="162" t="e">
        <f>HLOOKUP($C$1,$105:$115,7,FALSE)/HLOOKUP($C$1,$117:$127,8,FALSE)</f>
        <v>#N/A</v>
      </c>
      <c r="J21" s="78"/>
      <c r="K21" s="164" t="s">
        <v>356</v>
      </c>
      <c r="L21" s="165" t="e">
        <f>HLOOKUP($C$1,$105:$115,7,FALSE)/HLOOKUP($C$1,$105:$115,11,FALSE)</f>
        <v>#N/A</v>
      </c>
      <c r="M21" s="123" t="s">
        <v>268</v>
      </c>
      <c r="N21" s="165" t="e">
        <f>HLOOKUP($C$1,$117:$127,8,FALSE)/HLOOKUP($C$1,$117:$127,11,FALSE)</f>
        <v>#N/A</v>
      </c>
    </row>
    <row r="22" spans="1:14" s="93" customFormat="1" x14ac:dyDescent="0.25">
      <c r="A22" s="140" t="s">
        <v>222</v>
      </c>
      <c r="B22" s="161" t="e">
        <f>(-1)*SUM(C133:F133)/SUM(C132:F132)</f>
        <v>#DIV/0!</v>
      </c>
      <c r="C22" s="157"/>
      <c r="D22" s="166"/>
      <c r="E22" s="140"/>
      <c r="F22" s="159" t="e">
        <f>IF(B22&lt;=0,10,IF(B22&gt;=100%,0,(1-B22)*10))</f>
        <v>#DIV/0!</v>
      </c>
      <c r="G22" s="88" t="s">
        <v>213</v>
      </c>
      <c r="H22" s="123" t="s">
        <v>223</v>
      </c>
      <c r="I22" s="162" t="e">
        <f>(HLOOKUP($C$1,$105:$115,7,FALSE)-IF(HLOOKUP($C$1,$105:$115,5,FALSE)="無",0,HLOOKUP($C$1,$105:$115,5,FALSE)))/HLOOKUP($C$1,$117:$127,8,FALSE)</f>
        <v>#N/A</v>
      </c>
      <c r="J22" s="78"/>
      <c r="K22" s="142" t="s">
        <v>357</v>
      </c>
      <c r="L22" s="165" t="e">
        <f>HLOOKUP($C$1,$105:$115,4,FALSE)/HLOOKUP($C$1,$105:$115,11,FALSE)</f>
        <v>#N/A</v>
      </c>
      <c r="M22" s="123" t="s">
        <v>353</v>
      </c>
      <c r="N22" s="165" t="e">
        <f>HLOOKUP($C$1,$117:$127,4,FALSE)/HLOOKUP($C$1,$117:$127,11,FALSE)</f>
        <v>#N/A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 t="e">
        <f>HLOOKUP($C$1,$105:$115,11,FALSE)/HLOOKUP($C$1,$117:$128,12,FALSE)</f>
        <v>#N/A</v>
      </c>
      <c r="J23" s="78" t="s">
        <v>227</v>
      </c>
      <c r="K23" s="142" t="s">
        <v>264</v>
      </c>
      <c r="L23" s="165" t="e">
        <f>IF(HLOOKUP($C$1,$105:$115,5,FALSE)="無",0,HLOOKUP($C$1,$105:$115,5,FALSE)/HLOOKUP($C$1,$105:$115,11,FALSE))</f>
        <v>#N/A</v>
      </c>
      <c r="M23" s="123" t="s">
        <v>354</v>
      </c>
      <c r="N23" s="165" t="e">
        <f>IF(HLOOKUP($C$1,$117:$127,5,FALSE)="無",0,HLOOKUP($C$1,$117:$127,5,FALSE))/HLOOKUP($C$1,$117:$127,11,FALSE)</f>
        <v>#N/A</v>
      </c>
    </row>
    <row r="24" spans="1:14" s="93" customFormat="1" x14ac:dyDescent="0.25">
      <c r="A24" s="164" t="s">
        <v>228</v>
      </c>
      <c r="B24" s="127" t="e">
        <f>AVERAGE(C103:F103)</f>
        <v>#DIV/0!</v>
      </c>
      <c r="C24" s="169" t="e">
        <f>STDEV(C103:F103)</f>
        <v>#DIV/0!</v>
      </c>
      <c r="D24" s="76" t="e">
        <f>IF(C24/B24&lt;15%,"高",IF(C24/B24&lt;30%,"中","低"))</f>
        <v>#DIV/0!</v>
      </c>
      <c r="E24" s="149"/>
      <c r="F24" s="160" t="e">
        <f>MIN(100%,B24)*5</f>
        <v>#DIV/0!</v>
      </c>
      <c r="G24" s="88" t="s">
        <v>229</v>
      </c>
      <c r="H24" s="123" t="s">
        <v>16</v>
      </c>
      <c r="I24" s="170" t="e">
        <f>HLOOKUP(C1,167:170,2,FALSE)</f>
        <v>#N/A</v>
      </c>
      <c r="J24" s="78" t="s">
        <v>230</v>
      </c>
      <c r="K24" s="142" t="s">
        <v>358</v>
      </c>
      <c r="L24" s="145" t="e">
        <f>IF(HLOOKUP($C$1,$105:$115,10,FALSE)="NaN",0,HLOOKUP($C$1,$105:$115,10,FALSE))/HLOOKUP($C$1,$105:$115,11,FALSE)</f>
        <v>#N/A</v>
      </c>
      <c r="M24" s="123" t="s">
        <v>355</v>
      </c>
      <c r="N24" s="165" t="e">
        <f>HLOOKUP($C$1,$117:$127,9,FALSE)/HLOOKUP($C$1,$117:$127,11,FALSE)</f>
        <v>#N/A</v>
      </c>
    </row>
    <row r="25" spans="1:14" s="93" customFormat="1" x14ac:dyDescent="0.25">
      <c r="A25" s="151" t="s">
        <v>366</v>
      </c>
      <c r="B25" s="255" t="e">
        <f>AVERAGE(94:94)</f>
        <v>#DIV/0!</v>
      </c>
      <c r="C25" s="254" t="e">
        <f>STDEV(94:94)/AVERAGE(94:94)</f>
        <v>#DIV/0!</v>
      </c>
      <c r="D25" s="76" t="e">
        <f>IF(C25&lt;=1,"高",IF(C25&lt;=2,"中","低"))</f>
        <v>#DIV/0!</v>
      </c>
      <c r="E25" s="149"/>
      <c r="F25" s="160" t="e">
        <f>MAX(0,10-ABS(C25))</f>
        <v>#DIV/0!</v>
      </c>
      <c r="G25" s="88" t="s">
        <v>213</v>
      </c>
      <c r="H25" s="123" t="s">
        <v>232</v>
      </c>
      <c r="I25" s="170" t="e">
        <f>IF(HLOOKUP(C1,167:170,3,FALSE)="無",0,HLOOKUP(C1,167:170,3,FALSE))</f>
        <v>#N/A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0</v>
      </c>
      <c r="C26" s="172">
        <f>IF(COUNTIF(168:168,"&gt;0")=0,0,STDEV(168:168))</f>
        <v>0</v>
      </c>
      <c r="D26" s="76" t="str">
        <f>IF(C26&lt;=15,"高",IF(C26&lt;=30,"中","低"))</f>
        <v>高</v>
      </c>
      <c r="E26" s="149"/>
      <c r="F26" s="160" t="e">
        <f>IF(I24&lt;=60,4,IF(I24&lt;=90,3,IF(I24&lt;=120,2,IF(I24&lt;=150,1,0))))+IF(D26="高",6,IF(D26="中",4,2))</f>
        <v>#N/A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0</v>
      </c>
      <c r="C27" s="172">
        <f>IF(COUNTIF(169:169,"&gt;0")=0,0,STDEV(169:169))</f>
        <v>0</v>
      </c>
      <c r="D27" s="76" t="str">
        <f>IF(C27&lt;=15,"高",IF(C27&lt;=30,"中","低"))</f>
        <v>高</v>
      </c>
      <c r="E27" s="149"/>
      <c r="F27" s="160" t="e">
        <f>IF(I25&lt;=60,4,IF(I25&lt;=90,3,IF(I25&lt;=120,2,IF(I25&lt;=150,1,0))))+IF(D27="高",6,IF(D27="中",4,2))</f>
        <v>#N/A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 t="e">
        <f>AVERAGE(C152:F152)/100</f>
        <v>#DIV/0!</v>
      </c>
      <c r="C30" s="157" t="s">
        <v>217</v>
      </c>
      <c r="D30" s="174" t="e">
        <f>COUNTIF(146:146,"&gt;20")/COUNT(146:146)</f>
        <v>#DIV/0!</v>
      </c>
      <c r="E30" s="140" t="s">
        <v>239</v>
      </c>
      <c r="F30" s="159" t="e">
        <f>MIN(B30/25%*10,10)</f>
        <v>#DIV/0!</v>
      </c>
      <c r="G30" s="175"/>
      <c r="H30" s="176"/>
    </row>
    <row r="31" spans="1:14" x14ac:dyDescent="0.25">
      <c r="A31" s="164" t="s">
        <v>240</v>
      </c>
      <c r="B31" s="173" t="e">
        <f>AVERAGE(C155:F155)/100</f>
        <v>#DIV/0!</v>
      </c>
      <c r="C31" s="157" t="s">
        <v>217</v>
      </c>
      <c r="D31" s="174" t="e">
        <f>COUNTIF(149:149,"&gt;8")/COUNT(149:149)</f>
        <v>#DIV/0!</v>
      </c>
      <c r="E31" s="140" t="s">
        <v>241</v>
      </c>
      <c r="F31" s="159" t="e">
        <f>MIN(B31/10%*10,10)</f>
        <v>#DIV/0!</v>
      </c>
      <c r="G31" s="175"/>
    </row>
    <row r="32" spans="1:14" x14ac:dyDescent="0.25">
      <c r="A32" s="155" t="s">
        <v>47</v>
      </c>
      <c r="B32" s="177" t="e">
        <f>AVERAGE(C165:F165)</f>
        <v>#DIV/0!</v>
      </c>
      <c r="C32" s="157" t="s">
        <v>217</v>
      </c>
      <c r="D32" s="174" t="e">
        <f>COUNTIF(159:159,"&gt;3")/COUNT(159:159)</f>
        <v>#DIV/0!</v>
      </c>
      <c r="E32" s="140" t="s">
        <v>242</v>
      </c>
      <c r="F32" s="159" t="e">
        <f>MIN(B32/15*10,10)</f>
        <v>#DIV/0!</v>
      </c>
      <c r="G32" s="135"/>
    </row>
    <row r="33" spans="1:14" x14ac:dyDescent="0.25">
      <c r="A33" s="155" t="s">
        <v>14</v>
      </c>
      <c r="B33" s="156" t="e">
        <f>AVERAGE(B69:E69)</f>
        <v>#N/A</v>
      </c>
      <c r="C33" s="157" t="s">
        <v>217</v>
      </c>
      <c r="D33" s="174" t="e">
        <f>COUNTIF(82:82,"&gt;0")/COUNT(82:82)</f>
        <v>#DIV/0!</v>
      </c>
      <c r="E33" s="140" t="s">
        <v>243</v>
      </c>
      <c r="F33" s="159" t="e">
        <f>MIN(B33,2)+D33*8</f>
        <v>#N/A</v>
      </c>
      <c r="G33" s="135"/>
    </row>
    <row r="34" spans="1:14" x14ac:dyDescent="0.25">
      <c r="A34" s="155" t="s">
        <v>244</v>
      </c>
      <c r="B34" s="156" t="e">
        <f>AVERAGE(C140:F140)</f>
        <v>#DIV/0!</v>
      </c>
      <c r="C34" s="157" t="s">
        <v>217</v>
      </c>
      <c r="D34" s="158" t="e">
        <f>COUNTIF(C140:F140,"&gt;0")/COUNT(C140:F140)</f>
        <v>#DIV/0!</v>
      </c>
      <c r="E34" s="140" t="s">
        <v>245</v>
      </c>
      <c r="F34" s="159" t="e">
        <f>B34/B33*3+D34*7</f>
        <v>#DIV/0!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 t="e">
        <f>AVERAGE(C97:F97)</f>
        <v>#DIV/0!</v>
      </c>
      <c r="C36" s="178" t="e">
        <f>STDEV(C97:F97)</f>
        <v>#DIV/0!</v>
      </c>
      <c r="D36" s="76" t="e">
        <f>IF(C36/B36&lt;15%,"高",IF(C36/B36&lt;30%,"中","低"))</f>
        <v>#DIV/0!</v>
      </c>
      <c r="E36" s="107">
        <f>IF(F97&gt;E97,1,0)+IF(E97&gt;D97,1,0)+IF(D97&gt;C97,1,0)</f>
        <v>0</v>
      </c>
      <c r="F36" s="179"/>
      <c r="G36" s="160" t="e">
        <f>IF(D36="高",6,IF(D36="中",4,2))+E36+1</f>
        <v>#DIV/0!</v>
      </c>
    </row>
    <row r="37" spans="1:14" x14ac:dyDescent="0.25">
      <c r="A37" s="164" t="s">
        <v>248</v>
      </c>
      <c r="B37" s="180" t="e">
        <f>AVERAGE(C152:F152)</f>
        <v>#DIV/0!</v>
      </c>
      <c r="C37" s="180" t="e">
        <f>STDEV(C152:F152)</f>
        <v>#DIV/0!</v>
      </c>
      <c r="D37" s="76" t="e">
        <f>IF(C37/B37&lt;15%,"高",IF(C37/B37&lt;30%,"中","低"))</f>
        <v>#DIV/0!</v>
      </c>
      <c r="E37" s="107">
        <f>IF(F152&gt;E152,1,0)+IF(E152&gt;D152,1,0)+IF(D152&gt;C152,1,0)</f>
        <v>0</v>
      </c>
      <c r="F37" s="179"/>
      <c r="G37" s="160" t="e">
        <f>IF(D37="高",6,IF(D37="中",4,2))+E37+1</f>
        <v>#DIV/0!</v>
      </c>
    </row>
    <row r="38" spans="1:14" x14ac:dyDescent="0.25">
      <c r="A38" s="164" t="s">
        <v>249</v>
      </c>
      <c r="B38" s="180" t="e">
        <f>AVERAGE(C153:F153)</f>
        <v>#DIV/0!</v>
      </c>
      <c r="C38" s="180" t="e">
        <f>STDEV(C153:F153)</f>
        <v>#DIV/0!</v>
      </c>
      <c r="D38" s="76" t="e">
        <f>IF(C38/B38&lt;15%,"高",IF(C38/B38&lt;30%,"中","低"))</f>
        <v>#DIV/0!</v>
      </c>
      <c r="E38" s="107">
        <f>IF(F153&gt;E153,1,0)+IF(E153&gt;D153,1,0)+IF(D153&gt;C153,1,0)</f>
        <v>0</v>
      </c>
      <c r="F38" s="179"/>
      <c r="G38" s="160" t="e">
        <f>IF(D38="高",6,IF(D38="中",4,2))+E38+1</f>
        <v>#DIV/0!</v>
      </c>
    </row>
    <row r="39" spans="1:14" x14ac:dyDescent="0.25">
      <c r="A39" s="142" t="s">
        <v>46</v>
      </c>
      <c r="B39" s="181" t="e">
        <f>AVERAGE(C165:F165)</f>
        <v>#DIV/0!</v>
      </c>
      <c r="C39" s="181" t="e">
        <f>STDEV(C165:F165)</f>
        <v>#DIV/0!</v>
      </c>
      <c r="D39" s="76" t="e">
        <f>IF(C39/B39&lt;15%,"高",IF(C39/B39&lt;30%,"中","低"))</f>
        <v>#DIV/0!</v>
      </c>
      <c r="E39" s="107">
        <f>IF(F165&gt;E165,1,0)+IF(E165&gt;D165,1,0)+IF(D165&gt;C165,1,0)</f>
        <v>0</v>
      </c>
      <c r="F39" s="182"/>
      <c r="G39" s="160" t="e">
        <f>IF(D39="高",6,IF(D39="中",4,2))+E39+1</f>
        <v>#DIV/0!</v>
      </c>
    </row>
    <row r="40" spans="1:14" x14ac:dyDescent="0.25">
      <c r="A40" s="164" t="s">
        <v>14</v>
      </c>
      <c r="B40" s="183" t="e">
        <f>AVERAGE(B69:E69)</f>
        <v>#N/A</v>
      </c>
      <c r="C40" s="183" t="e">
        <f>STDEV(B69:E69)</f>
        <v>#N/A</v>
      </c>
      <c r="D40" s="76" t="e">
        <f>IF(C40/B40&lt;15%,"高",IF(C40/B40&lt;30%,"中","低"))</f>
        <v>#N/A</v>
      </c>
      <c r="E40" s="107" t="e">
        <f>IF(E69&gt;D69,1,0)+IF(D69&gt;C69,1,0)+IF(C69&gt;B69,1,0)</f>
        <v>#N/A</v>
      </c>
      <c r="G40" s="160" t="e">
        <f>IF(D40="高",6,IF(D40="中",4,2))+E40+1</f>
        <v>#N/A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 t="e">
        <f>(B46-B49)/B49</f>
        <v>#N/A</v>
      </c>
      <c r="C44" s="186" t="e">
        <f>(C46-C49)/C49</f>
        <v>#N/A</v>
      </c>
      <c r="D44" s="186" t="e">
        <f>(D46-D49)/D49</f>
        <v>#N/A</v>
      </c>
      <c r="E44" s="186" t="e">
        <f>(E46-E49)/E49</f>
        <v>#N/A</v>
      </c>
      <c r="G44" s="86" t="s">
        <v>175</v>
      </c>
      <c r="H44" s="186" t="e">
        <f>(H47-H50)/H50</f>
        <v>#N/A</v>
      </c>
      <c r="I44" s="186" t="e">
        <f>(I47-I50)/I50</f>
        <v>#N/A</v>
      </c>
      <c r="J44" s="186" t="e">
        <f>(J47-J50)/J50</f>
        <v>#N/A</v>
      </c>
      <c r="K44" s="186" t="e">
        <f>(K47-K50)/K50</f>
        <v>#N/A</v>
      </c>
    </row>
    <row r="45" spans="1:14" x14ac:dyDescent="0.25">
      <c r="A45" s="87"/>
      <c r="B45" s="187">
        <f>$C$1</f>
        <v>0</v>
      </c>
      <c r="C45" s="187">
        <f>IF(B45-ROUNDDOWN(B45/10,0)*10=1,(ROUNDDOWN(B45/10,0)-1)*10+4,B45-1)</f>
        <v>-1</v>
      </c>
      <c r="D45" s="187">
        <f>IF(C45-ROUNDDOWN(C45/10,0)*10=1,(ROUNDDOWN(C45/10,0)-1)*10+4,C45-1)</f>
        <v>-2</v>
      </c>
      <c r="E45" s="187">
        <f>IF(D45-ROUNDDOWN(D45/10,0)*10=1,(ROUNDDOWN(D45/10,0)-1)*10+4,D45-1)</f>
        <v>-3</v>
      </c>
      <c r="G45" s="135"/>
      <c r="H45" s="187">
        <f>$C$1</f>
        <v>0</v>
      </c>
      <c r="I45" s="187">
        <f>IF(H45-ROUNDDOWN(H45/10,0)*10=1,(ROUNDDOWN(H45/10,0)-1)*10+4,H45-1)</f>
        <v>-1</v>
      </c>
      <c r="J45" s="187">
        <f>IF(I45-ROUNDDOWN(I45/10,0)*10=1,(ROUNDDOWN(I45/10,0)-1)*10+4,I45-1)</f>
        <v>-2</v>
      </c>
      <c r="K45" s="187">
        <f>IF(J45-ROUNDDOWN(J45/10,0)*10=1,(ROUNDDOWN(J45/10,0)-1)*10+4,J45-1)</f>
        <v>-3</v>
      </c>
    </row>
    <row r="46" spans="1:14" x14ac:dyDescent="0.25">
      <c r="A46" s="188" t="s">
        <v>162</v>
      </c>
      <c r="B46" s="152" t="e">
        <f>HLOOKUP(B45,$81:$82,2,FALSE)</f>
        <v>#N/A</v>
      </c>
      <c r="C46" s="152" t="e">
        <f>HLOOKUP(C45,$81:$82,2,FALSE)</f>
        <v>#N/A</v>
      </c>
      <c r="D46" s="152" t="e">
        <f>HLOOKUP(D45,$81:$82,2,FALSE)</f>
        <v>#N/A</v>
      </c>
      <c r="E46" s="152" t="e">
        <f>HLOOKUP(E45,$81:$82,2,FALSE)</f>
        <v>#N/A</v>
      </c>
      <c r="G46" s="86" t="s">
        <v>164</v>
      </c>
      <c r="H46" s="145" t="e">
        <f>HLOOKUP(H45,$145:$147,2,FALSE)/100</f>
        <v>#N/A</v>
      </c>
      <c r="I46" s="145" t="e">
        <f>HLOOKUP(I45,$145:$147,2,FALSE)/100</f>
        <v>#N/A</v>
      </c>
      <c r="J46" s="145" t="e">
        <f>HLOOKUP(J45,$145:$147,2,FALSE)/100</f>
        <v>#N/A</v>
      </c>
      <c r="K46" s="145" t="e">
        <f>HLOOKUP(K45,$145:$147,2,FALSE)/100</f>
        <v>#N/A</v>
      </c>
    </row>
    <row r="47" spans="1:14" x14ac:dyDescent="0.25">
      <c r="A47" s="188" t="s">
        <v>165</v>
      </c>
      <c r="B47" s="189" t="e">
        <f>HLOOKUP(B45,$157:$159,3,FALSE)</f>
        <v>#N/A</v>
      </c>
      <c r="C47" s="189" t="e">
        <f>HLOOKUP(C45,$157:$159,3,FALSE)</f>
        <v>#N/A</v>
      </c>
      <c r="D47" s="189" t="e">
        <f>HLOOKUP(D45,$157:$159,3,FALSE)</f>
        <v>#N/A</v>
      </c>
      <c r="E47" s="189" t="e">
        <f>HLOOKUP(E45,$157:$159,3,FALSE)</f>
        <v>#N/A</v>
      </c>
      <c r="G47" s="190" t="s">
        <v>166</v>
      </c>
      <c r="H47" s="145" t="e">
        <f>HLOOKUP(H45,$145:$147,3,FALSE)/100</f>
        <v>#N/A</v>
      </c>
      <c r="I47" s="145" t="e">
        <f>HLOOKUP(I45,$145:$147,3,FALSE)/100</f>
        <v>#N/A</v>
      </c>
      <c r="J47" s="145" t="e">
        <f>HLOOKUP(J45,$145:$147,3,FALSE)/100</f>
        <v>#N/A</v>
      </c>
      <c r="K47" s="145" t="e">
        <f>HLOOKUP(K45,$145:$147,3,FALSE)/100</f>
        <v>#N/A</v>
      </c>
    </row>
    <row r="48" spans="1:14" x14ac:dyDescent="0.25">
      <c r="A48" s="191"/>
      <c r="B48" s="187">
        <f>B45-10</f>
        <v>-10</v>
      </c>
      <c r="C48" s="187">
        <f>C45-10</f>
        <v>-11</v>
      </c>
      <c r="D48" s="187">
        <f>D45-10</f>
        <v>-12</v>
      </c>
      <c r="E48" s="187">
        <f>E45-10</f>
        <v>-13</v>
      </c>
      <c r="G48" s="135"/>
      <c r="H48" s="187">
        <f>H45-10</f>
        <v>-10</v>
      </c>
      <c r="I48" s="187">
        <f>I45-10</f>
        <v>-11</v>
      </c>
      <c r="J48" s="187">
        <f>J45-10</f>
        <v>-12</v>
      </c>
      <c r="K48" s="187">
        <f>K45-10</f>
        <v>-13</v>
      </c>
    </row>
    <row r="49" spans="1:15" x14ac:dyDescent="0.25">
      <c r="A49" s="188" t="s">
        <v>162</v>
      </c>
      <c r="B49" s="152" t="e">
        <f>HLOOKUP(B48,$81:$82,2,FALSE)</f>
        <v>#N/A</v>
      </c>
      <c r="C49" s="152" t="e">
        <f>HLOOKUP(C48,$81:$82,2,FALSE)</f>
        <v>#N/A</v>
      </c>
      <c r="D49" s="152" t="e">
        <f>HLOOKUP(D48,$81:$82,2,FALSE)</f>
        <v>#N/A</v>
      </c>
      <c r="E49" s="152" t="e">
        <f>HLOOKUP(E48,$81:$82,2,FALSE)</f>
        <v>#N/A</v>
      </c>
      <c r="G49" s="86" t="s">
        <v>164</v>
      </c>
      <c r="H49" s="145" t="e">
        <f>HLOOKUP(H48,$145:$147,2,FALSE)/100</f>
        <v>#N/A</v>
      </c>
      <c r="I49" s="145" t="e">
        <f>HLOOKUP(I48,$145:$147,2,FALSE)/100</f>
        <v>#N/A</v>
      </c>
      <c r="J49" s="145" t="e">
        <f>HLOOKUP(J48,$145:$147,2,FALSE)/100</f>
        <v>#N/A</v>
      </c>
      <c r="K49" s="145" t="e">
        <f>HLOOKUP(K48,$145:$147,2,FALSE)/100</f>
        <v>#N/A</v>
      </c>
    </row>
    <row r="50" spans="1:15" x14ac:dyDescent="0.25">
      <c r="A50" s="188" t="s">
        <v>165</v>
      </c>
      <c r="B50" s="189" t="e">
        <f>HLOOKUP(B48,$157:$159,3,FALSE)</f>
        <v>#N/A</v>
      </c>
      <c r="C50" s="189" t="e">
        <f>HLOOKUP(C48,$157:$159,3,FALSE)</f>
        <v>#N/A</v>
      </c>
      <c r="D50" s="189" t="e">
        <f>HLOOKUP(D48,$157:$159,3,FALSE)</f>
        <v>#N/A</v>
      </c>
      <c r="E50" s="189" t="e">
        <f>HLOOKUP(E48,$157:$159,3,FALSE)</f>
        <v>#N/A</v>
      </c>
      <c r="G50" s="190" t="s">
        <v>166</v>
      </c>
      <c r="H50" s="145" t="e">
        <f>HLOOKUP(H48,$145:$147,3,FALSE)/100</f>
        <v>#N/A</v>
      </c>
      <c r="I50" s="145" t="e">
        <f>HLOOKUP(I48,$145:$147,3,FALSE)/100</f>
        <v>#N/A</v>
      </c>
      <c r="J50" s="145" t="e">
        <f>HLOOKUP(J48,$145:$147,3,FALSE)/100</f>
        <v>#N/A</v>
      </c>
      <c r="K50" s="145" t="e">
        <f>HLOOKUP(K48,$145:$147,3,FALSE)/100</f>
        <v>#N/A</v>
      </c>
    </row>
    <row r="51" spans="1:15" x14ac:dyDescent="0.25">
      <c r="A51" s="86" t="s">
        <v>351</v>
      </c>
      <c r="B51" s="186" t="e">
        <f>(B47-B50)/B50</f>
        <v>#N/A</v>
      </c>
      <c r="C51" s="186" t="e">
        <f>(C47-C50)/C50</f>
        <v>#N/A</v>
      </c>
      <c r="D51" s="186" t="e">
        <f>(D47-D50)/D50</f>
        <v>#N/A</v>
      </c>
      <c r="E51" s="186" t="e">
        <f>(E47-E50)/E50</f>
        <v>#N/A</v>
      </c>
      <c r="G51" s="235" t="s">
        <v>174</v>
      </c>
      <c r="H51" s="186" t="e">
        <f>(H46-H49)/H49</f>
        <v>#N/A</v>
      </c>
      <c r="I51" s="186" t="e">
        <f>(I46-I49)/I49</f>
        <v>#N/A</v>
      </c>
      <c r="J51" s="186" t="e">
        <f>(J46-J49)/J49</f>
        <v>#N/A</v>
      </c>
      <c r="K51" s="186" t="e">
        <f>(K46-K49)/K49</f>
        <v>#N/A</v>
      </c>
    </row>
    <row r="52" spans="1:15" x14ac:dyDescent="0.25">
      <c r="A52" s="183" t="s">
        <v>190</v>
      </c>
      <c r="B52" s="192">
        <f>B45</f>
        <v>0</v>
      </c>
      <c r="C52" s="192">
        <f>IF(B52-ROUNDDOWN(B52/10,0)*10=4,(ROUNDDOWN(B52/10,0)+1)*10+1,B52+1)</f>
        <v>1</v>
      </c>
      <c r="D52" s="192">
        <f>IF(C52-ROUNDDOWN(C52/10,0)*10=4,(ROUNDDOWN(C52/10,0)+1)*10+1,C52+1)</f>
        <v>2</v>
      </c>
      <c r="E52" s="192">
        <f>IF(D52-ROUNDDOWN(D52/10,0)*10=4,(ROUNDDOWN(D52/10,0)+1)*10+1,D52+1)</f>
        <v>3</v>
      </c>
    </row>
    <row r="53" spans="1:15" x14ac:dyDescent="0.25">
      <c r="A53" s="193" t="e">
        <f>SUM(B53:E53)</f>
        <v>#N/A</v>
      </c>
      <c r="B53" s="193" t="e">
        <f>B46</f>
        <v>#N/A</v>
      </c>
      <c r="C53" s="193" t="e">
        <f>E46/HLOOKUP(E45,$87:$94,5,FALSE)*HLOOKUP(E45,$87:$94,4,FALSE)*($B$25/HLOOKUP(E45,$87:$94,4,FALSE)+SUM($B$57:$D$57)/SUM($B58:$D$58)*$G$69/100/K46)</f>
        <v>#N/A</v>
      </c>
      <c r="D53" s="193" t="e">
        <f>D46/HLOOKUP(D45,$87:$94,5,FALSE)*HLOOKUP(D45,$87:$94,4,FALSE)*($B$25/HLOOKUP(D45,$87:$94,4,FALSE)+SUM($B$57:$D$57)/SUM($B58:$D$58)*$G$69/100/J46)</f>
        <v>#N/A</v>
      </c>
      <c r="E53" s="193" t="e">
        <f>C46/HLOOKUP(C45,$87:$94,5,FALSE)*HLOOKUP(C45,$87:$94,4,FALSE)*($B$25/HLOOKUP(C45,$87:$94,4,FALSE)+SUM($B$57:$D$57)/SUM($B58:$D$58)*$G$69/100/I46)</f>
        <v>#N/A</v>
      </c>
    </row>
    <row r="54" spans="1:15" x14ac:dyDescent="0.25">
      <c r="A54" s="278" t="e">
        <f>SUM(B54:E54)</f>
        <v>#N/A</v>
      </c>
      <c r="B54" s="277" t="e">
        <f t="shared" ref="B54:D54" si="0">HLOOKUP(B52-10,81:82,2,FALSE)</f>
        <v>#N/A</v>
      </c>
      <c r="C54" s="277" t="e">
        <f t="shared" si="0"/>
        <v>#N/A</v>
      </c>
      <c r="D54" s="277" t="e">
        <f t="shared" si="0"/>
        <v>#N/A</v>
      </c>
      <c r="E54" s="277" t="e">
        <f>HLOOKUP(E52-10,81:82,2,FALSE)</f>
        <v>#N/A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0</v>
      </c>
      <c r="C56" s="194">
        <f>IF(B56-ROUNDDOWN(B56/100,0)*100-1=0,(ROUNDDOWN(B56/100,0)-1)*100+12,B56-1)</f>
        <v>-1</v>
      </c>
      <c r="D56" s="194">
        <f>IF(C56-ROUNDDOWN(C56/100,0)*100-1=0,(ROUNDDOWN(C56/100,0)-1)*100+12,C56-1)</f>
        <v>-2</v>
      </c>
      <c r="E56" s="194">
        <f>IF(D56-ROUNDDOWN(D56/100,0)*100-1=0,(ROUNDDOWN(D56/100,0)-1)*100+12,D56-1)</f>
        <v>-3</v>
      </c>
      <c r="F56" s="194">
        <f>IF(E56-ROUNDDOWN(E56/100,0)*100-1=0,(ROUNDDOWN(E56/100,0)-1)*100+12,E56-1)</f>
        <v>-4</v>
      </c>
      <c r="G56" s="194">
        <f t="shared" ref="G56:M56" si="1">IF(F56-ROUNDDOWN(F56/100,0)*100-1=0,(ROUNDDOWN(F56/100,0)-1)*100+12,F56-1)</f>
        <v>-5</v>
      </c>
      <c r="H56" s="194">
        <f t="shared" si="1"/>
        <v>-6</v>
      </c>
      <c r="I56" s="194">
        <f t="shared" si="1"/>
        <v>-7</v>
      </c>
      <c r="J56" s="194">
        <f t="shared" si="1"/>
        <v>-8</v>
      </c>
      <c r="K56" s="194">
        <f t="shared" si="1"/>
        <v>-9</v>
      </c>
      <c r="L56" s="194">
        <f t="shared" si="1"/>
        <v>-10</v>
      </c>
      <c r="M56" s="194">
        <f t="shared" si="1"/>
        <v>-11</v>
      </c>
      <c r="N56" s="138"/>
    </row>
    <row r="57" spans="1:15" x14ac:dyDescent="0.25">
      <c r="A57" s="195" t="s">
        <v>252</v>
      </c>
      <c r="B57" s="196" t="e">
        <f>HLOOKUP(B56,78:79,2,FALSE)</f>
        <v>#N/A</v>
      </c>
      <c r="C57" s="196" t="e">
        <f>HLOOKUP(C56,78:79,2,FALSE)</f>
        <v>#N/A</v>
      </c>
      <c r="D57" s="196" t="e">
        <f>HLOOKUP(D56,78:79,2,FALSE)</f>
        <v>#N/A</v>
      </c>
      <c r="E57" s="196" t="e">
        <f>HLOOKUP(E56,78:79,2,FALSE)</f>
        <v>#N/A</v>
      </c>
      <c r="F57" s="196" t="e">
        <f>HLOOKUP(F56,78:79,2,FALSE)</f>
        <v>#N/A</v>
      </c>
      <c r="G57" s="196" t="e">
        <f t="shared" ref="G57:M57" si="2">HLOOKUP(G56,78:79,2,FALSE)</f>
        <v>#N/A</v>
      </c>
      <c r="H57" s="196" t="e">
        <f t="shared" si="2"/>
        <v>#N/A</v>
      </c>
      <c r="I57" s="196" t="e">
        <f t="shared" si="2"/>
        <v>#N/A</v>
      </c>
      <c r="J57" s="196" t="e">
        <f t="shared" si="2"/>
        <v>#N/A</v>
      </c>
      <c r="K57" s="196" t="e">
        <f t="shared" si="2"/>
        <v>#N/A</v>
      </c>
      <c r="L57" s="196" t="e">
        <f t="shared" si="2"/>
        <v>#N/A</v>
      </c>
      <c r="M57" s="196" t="e">
        <f t="shared" si="2"/>
        <v>#N/A</v>
      </c>
      <c r="N57" s="197"/>
    </row>
    <row r="58" spans="1:15" x14ac:dyDescent="0.25">
      <c r="A58" s="198" t="s">
        <v>253</v>
      </c>
      <c r="B58" s="196" t="e">
        <f>HLOOKUP(B56-100,78:79,2,FALSE)</f>
        <v>#N/A</v>
      </c>
      <c r="C58" s="196" t="e">
        <f>HLOOKUP(C56-100,78:79,2,FALSE)</f>
        <v>#N/A</v>
      </c>
      <c r="D58" s="196" t="e">
        <f>HLOOKUP(D56-100,78:79,2,FALSE)</f>
        <v>#N/A</v>
      </c>
      <c r="E58" s="196" t="e">
        <f>HLOOKUP(E56-100,78:79,2,FALSE)</f>
        <v>#N/A</v>
      </c>
      <c r="F58" s="196" t="e">
        <f>HLOOKUP(F56-100,78:79,2,FALSE)</f>
        <v>#N/A</v>
      </c>
      <c r="G58" s="196" t="e">
        <f t="shared" ref="G58:M58" si="3">HLOOKUP(G56-100,78:79,2,FALSE)</f>
        <v>#N/A</v>
      </c>
      <c r="H58" s="196" t="e">
        <f t="shared" si="3"/>
        <v>#N/A</v>
      </c>
      <c r="I58" s="196" t="e">
        <f t="shared" si="3"/>
        <v>#N/A</v>
      </c>
      <c r="J58" s="196" t="e">
        <f t="shared" si="3"/>
        <v>#N/A</v>
      </c>
      <c r="K58" s="196" t="e">
        <f t="shared" si="3"/>
        <v>#N/A</v>
      </c>
      <c r="L58" s="196" t="e">
        <f t="shared" si="3"/>
        <v>#N/A</v>
      </c>
      <c r="M58" s="196" t="e">
        <f t="shared" si="3"/>
        <v>#N/A</v>
      </c>
      <c r="N58" s="197"/>
    </row>
    <row r="59" spans="1:15" x14ac:dyDescent="0.25">
      <c r="A59" s="199" t="s">
        <v>254</v>
      </c>
      <c r="B59" s="165" t="e">
        <f>IF(B57&lt;&gt;"",(B57-B58)/B58,"")</f>
        <v>#N/A</v>
      </c>
      <c r="C59" s="165" t="e">
        <f>IF(C57&lt;&gt;"",(C57-C58)/C58,"")</f>
        <v>#N/A</v>
      </c>
      <c r="D59" s="165" t="e">
        <f>IF(D57&lt;&gt;"",(D57-D58)/D58,"")</f>
        <v>#N/A</v>
      </c>
      <c r="E59" s="165" t="e">
        <f>IF(E57&lt;&gt;"",(E57-E58)/E58,"")</f>
        <v>#N/A</v>
      </c>
      <c r="F59" s="165" t="e">
        <f>IF(F57&lt;&gt;"",(F57-F58)/F58,"")</f>
        <v>#N/A</v>
      </c>
      <c r="G59" s="165" t="e">
        <f t="shared" ref="G59:M59" si="4">IF(G57&lt;&gt;"",(G57-G58)/G58,"")</f>
        <v>#N/A</v>
      </c>
      <c r="H59" s="165" t="e">
        <f t="shared" si="4"/>
        <v>#N/A</v>
      </c>
      <c r="I59" s="165" t="e">
        <f t="shared" si="4"/>
        <v>#N/A</v>
      </c>
      <c r="J59" s="165" t="e">
        <f t="shared" si="4"/>
        <v>#N/A</v>
      </c>
      <c r="K59" s="165" t="e">
        <f t="shared" si="4"/>
        <v>#N/A</v>
      </c>
      <c r="L59" s="165" t="e">
        <f t="shared" si="4"/>
        <v>#N/A</v>
      </c>
      <c r="M59" s="165" t="e">
        <f t="shared" si="4"/>
        <v>#N/A</v>
      </c>
    </row>
    <row r="60" spans="1:15" x14ac:dyDescent="0.25">
      <c r="A60" s="195" t="s">
        <v>255</v>
      </c>
      <c r="B60" s="196" t="e">
        <f>SUM(B57:M57)</f>
        <v>#N/A</v>
      </c>
    </row>
    <row r="61" spans="1:15" x14ac:dyDescent="0.25">
      <c r="A61" s="198" t="s">
        <v>256</v>
      </c>
      <c r="B61" s="196" t="e">
        <f>SUM(B58:M58)</f>
        <v>#N/A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 t="e">
        <f>B60/B61</f>
        <v>#N/A</v>
      </c>
      <c r="D62" s="152" t="e">
        <f>SUM(B46:E46)</f>
        <v>#N/A</v>
      </c>
      <c r="E62" s="152" t="e">
        <f>SUM(B49:E49)</f>
        <v>#N/A</v>
      </c>
      <c r="G62" s="126" t="e">
        <f>SUM(B47:E47)</f>
        <v>#N/A</v>
      </c>
      <c r="H62" s="126" t="e">
        <f>SUM(B50:E50)</f>
        <v>#N/A</v>
      </c>
      <c r="J62" s="200" t="e">
        <f>AVERAGE(H46:K46)</f>
        <v>#N/A</v>
      </c>
      <c r="K62" s="200" t="e">
        <f>AVERAGE(H49:K49)</f>
        <v>#N/A</v>
      </c>
      <c r="M62" s="200" t="e">
        <f>AVERAGE(H47:K47)</f>
        <v>#N/A</v>
      </c>
      <c r="N62" s="200" t="e">
        <f>AVERAGE(H50:K50)</f>
        <v>#N/A</v>
      </c>
    </row>
    <row r="64" spans="1:15" x14ac:dyDescent="0.25">
      <c r="A64" s="201"/>
      <c r="B64" s="202">
        <f>$B$1-4</f>
        <v>-4</v>
      </c>
      <c r="C64" s="202">
        <f>$B$1-3</f>
        <v>-3</v>
      </c>
      <c r="D64" s="202">
        <f>$B$1-2</f>
        <v>-2</v>
      </c>
      <c r="E64" s="202">
        <f>$B$1-1</f>
        <v>-1</v>
      </c>
      <c r="F64" s="202">
        <f>$B$1</f>
        <v>0</v>
      </c>
      <c r="G64" s="87" t="s">
        <v>251</v>
      </c>
      <c r="H64" s="203"/>
      <c r="I64" s="202">
        <f>$B$1-4</f>
        <v>-4</v>
      </c>
      <c r="J64" s="202">
        <f>$B$1-3</f>
        <v>-3</v>
      </c>
      <c r="K64" s="202">
        <f>$B$1-2</f>
        <v>-2</v>
      </c>
      <c r="L64" s="202">
        <f>$B$1-1</f>
        <v>-1</v>
      </c>
      <c r="M64" s="202">
        <f>$B$1</f>
        <v>0</v>
      </c>
      <c r="N64" s="95" t="str">
        <f>L64&amp;"業外損益"</f>
        <v>-1業外損益</v>
      </c>
      <c r="O64" s="95" t="str">
        <f>M64&amp;"業外損益"</f>
        <v>0業外損益</v>
      </c>
    </row>
    <row r="65" spans="1:71" x14ac:dyDescent="0.25">
      <c r="A65" s="204">
        <v>1</v>
      </c>
      <c r="B65" s="205" t="e">
        <f t="shared" ref="B65:E67" si="5">HLOOKUP(B$64*10+$A65,$81:$82,2,FALSE)</f>
        <v>#N/A</v>
      </c>
      <c r="C65" s="205" t="e">
        <f t="shared" si="5"/>
        <v>#N/A</v>
      </c>
      <c r="D65" s="205" t="e">
        <f t="shared" si="5"/>
        <v>#N/A</v>
      </c>
      <c r="E65" s="205" t="e">
        <f t="shared" si="5"/>
        <v>#N/A</v>
      </c>
      <c r="F65" s="206" t="e">
        <f>IF(ISNA(HLOOKUP(F$64*10+$A65,$81:$82,2,FALSE)),(HLOOKUP(E$64*10+$A65,$87:$94,4,FALSE)*$G65+$B$25)/HLOOKUP(E$64*10+$A65,$87:$94,5,FALSE)*$E65,HLOOKUP(F$64*10+$A65,$81:$82,2,FALSE))</f>
        <v>#N/A</v>
      </c>
      <c r="G65" s="101" t="e">
        <f>MIN(130%,SUM($B$57:$D$57)/SUM($B$58:$D$58)*$G$69/HLOOKUP(E$64*10+$A65,$145:$146,2,FALSE))</f>
        <v>#N/A</v>
      </c>
      <c r="H65" s="204">
        <v>1</v>
      </c>
      <c r="I65" s="208" t="str">
        <f t="shared" ref="I65:M68" si="6">IF(ISNA(HLOOKUP(I$64*10+$H65,$145:$147,3,FALSE)),"",HLOOKUP(I$64*10+$H65,$145:$147,3,FALSE)/100)</f>
        <v/>
      </c>
      <c r="J65" s="208" t="str">
        <f t="shared" si="6"/>
        <v/>
      </c>
      <c r="K65" s="208" t="str">
        <f t="shared" si="6"/>
        <v/>
      </c>
      <c r="L65" s="208" t="str">
        <f t="shared" si="6"/>
        <v/>
      </c>
      <c r="M65" s="209" t="str">
        <f t="shared" si="6"/>
        <v/>
      </c>
      <c r="N65" s="256" t="e">
        <f t="shared" ref="N65:O68" si="7">HLOOKUP(E$64*10+$A65,$87:$94,8,FALSE)</f>
        <v>#N/A</v>
      </c>
      <c r="O65" s="256" t="e">
        <f t="shared" si="7"/>
        <v>#N/A</v>
      </c>
      <c r="P65" s="210"/>
    </row>
    <row r="66" spans="1:71" x14ac:dyDescent="0.25">
      <c r="A66" s="204">
        <v>2</v>
      </c>
      <c r="B66" s="205" t="e">
        <f t="shared" si="5"/>
        <v>#N/A</v>
      </c>
      <c r="C66" s="205" t="e">
        <f t="shared" si="5"/>
        <v>#N/A</v>
      </c>
      <c r="D66" s="205" t="e">
        <f t="shared" si="5"/>
        <v>#N/A</v>
      </c>
      <c r="E66" s="205" t="e">
        <f t="shared" si="5"/>
        <v>#N/A</v>
      </c>
      <c r="F66" s="206" t="e">
        <f>IF(ISNA(HLOOKUP(F$64*10+$A66,$81:$82,2,FALSE)),(HLOOKUP(E$64*10+$A66,$87:$94,4,FALSE)*$G66+$B$25)/HLOOKUP(E$64*10+$A66,$87:$94,5,FALSE)*$E66,HLOOKUP(F$64*10+$A66,$81:$82,2,FALSE))</f>
        <v>#N/A</v>
      </c>
      <c r="G66" s="101" t="e">
        <f>MIN(130%,SUM($B$57:$D$57)/SUM($B$58:$D$58)*$G$69/HLOOKUP(E$64*10+$A66,$145:$146,2,FALSE))</f>
        <v>#N/A</v>
      </c>
      <c r="H66" s="204">
        <v>2</v>
      </c>
      <c r="I66" s="208" t="str">
        <f t="shared" si="6"/>
        <v/>
      </c>
      <c r="J66" s="208" t="str">
        <f t="shared" si="6"/>
        <v/>
      </c>
      <c r="K66" s="208" t="str">
        <f t="shared" si="6"/>
        <v/>
      </c>
      <c r="L66" s="208" t="str">
        <f t="shared" si="6"/>
        <v/>
      </c>
      <c r="M66" s="209" t="str">
        <f t="shared" si="6"/>
        <v/>
      </c>
      <c r="N66" s="256" t="e">
        <f t="shared" si="7"/>
        <v>#N/A</v>
      </c>
      <c r="O66" s="256" t="e">
        <f t="shared" si="7"/>
        <v>#N/A</v>
      </c>
      <c r="P66" s="210"/>
    </row>
    <row r="67" spans="1:71" x14ac:dyDescent="0.25">
      <c r="A67" s="204">
        <v>3</v>
      </c>
      <c r="B67" s="205" t="e">
        <f t="shared" si="5"/>
        <v>#N/A</v>
      </c>
      <c r="C67" s="205" t="e">
        <f t="shared" si="5"/>
        <v>#N/A</v>
      </c>
      <c r="D67" s="205" t="e">
        <f t="shared" si="5"/>
        <v>#N/A</v>
      </c>
      <c r="E67" s="205" t="e">
        <f t="shared" si="5"/>
        <v>#N/A</v>
      </c>
      <c r="F67" s="206" t="e">
        <f>IF(ISNA(HLOOKUP(F$64*10+$A67,$81:$82,2,FALSE)),(HLOOKUP(E$64*10+$A67,$87:$94,4,FALSE)*$G67+$B$25)/HLOOKUP(E$64*10+$A67,$87:$94,5,FALSE)*$E67,HLOOKUP(F$64*10+$A67,$81:$82,2,FALSE))</f>
        <v>#N/A</v>
      </c>
      <c r="G67" s="101" t="e">
        <f>MIN(130%,SUM($B$57:$D$57)/SUM($B$58:$D$58)*$G$69/HLOOKUP(E$64*10+$A67,$145:$146,2,FALSE))</f>
        <v>#N/A</v>
      </c>
      <c r="H67" s="204">
        <v>3</v>
      </c>
      <c r="I67" s="208" t="str">
        <f t="shared" si="6"/>
        <v/>
      </c>
      <c r="J67" s="208" t="str">
        <f t="shared" si="6"/>
        <v/>
      </c>
      <c r="K67" s="208" t="str">
        <f t="shared" si="6"/>
        <v/>
      </c>
      <c r="L67" s="208" t="str">
        <f t="shared" si="6"/>
        <v/>
      </c>
      <c r="M67" s="209" t="str">
        <f t="shared" si="6"/>
        <v/>
      </c>
      <c r="N67" s="256" t="e">
        <f t="shared" si="7"/>
        <v>#N/A</v>
      </c>
      <c r="O67" s="256" t="e">
        <f t="shared" si="7"/>
        <v>#N/A</v>
      </c>
      <c r="P67" s="210"/>
    </row>
    <row r="68" spans="1:71" x14ac:dyDescent="0.25">
      <c r="A68" s="204">
        <v>4</v>
      </c>
      <c r="B68" s="205" t="e">
        <f>HLOOKUP(B$64*10+$A68,$81:$82,2,FALSE)</f>
        <v>#N/A</v>
      </c>
      <c r="C68" s="205" t="e">
        <f>HLOOKUP(C$64*10+$A68,$81:$82,2,FALSE)</f>
        <v>#N/A</v>
      </c>
      <c r="D68" s="205" t="e">
        <f>HLOOKUP(D$64*10+$A68,$81:$82,2,FALSE)</f>
        <v>#N/A</v>
      </c>
      <c r="E68" s="206" t="e">
        <f>IF(ISNA(HLOOKUP(E$64*10+$A68,$81:$82,2,FALSE)),D68*(1-$N68)*#REF!*(1+$B$25)/(1+$E$4),HLOOKUP(E$64*10+$A68,$81:$82,2,FALSE))</f>
        <v>#N/A</v>
      </c>
      <c r="F68" s="206" t="e">
        <f>IF(ISNA(HLOOKUP(F$64*10+$A68,$81:$82,2,FALSE)),(HLOOKUP(E$64*10+$A68,$87:$94,4,FALSE)*$G68+$B$25)/HLOOKUP(E$64*10+$A68,$87:$94,5,FALSE)*$E68,HLOOKUP(F$64*10+$A68,$81:$82,2,FALSE))</f>
        <v>#N/A</v>
      </c>
      <c r="G68" s="101" t="e">
        <f>MIN(130%,SUM($B$57:$D$57)/SUM($B$58:$D$58)*$G$69/HLOOKUP(E$64*10+$A68,$145:$146,2,FALSE))</f>
        <v>#N/A</v>
      </c>
      <c r="H68" s="204">
        <v>4</v>
      </c>
      <c r="I68" s="208" t="str">
        <f t="shared" si="6"/>
        <v/>
      </c>
      <c r="J68" s="208" t="str">
        <f t="shared" si="6"/>
        <v/>
      </c>
      <c r="K68" s="208" t="str">
        <f t="shared" si="6"/>
        <v/>
      </c>
      <c r="L68" s="208" t="str">
        <f t="shared" si="6"/>
        <v/>
      </c>
      <c r="M68" s="209" t="str">
        <f t="shared" si="6"/>
        <v/>
      </c>
      <c r="N68" s="256" t="e">
        <f t="shared" si="7"/>
        <v>#N/A</v>
      </c>
      <c r="O68" s="256" t="e">
        <f t="shared" si="7"/>
        <v>#N/A</v>
      </c>
    </row>
    <row r="69" spans="1:71" x14ac:dyDescent="0.25">
      <c r="A69" s="212" t="s">
        <v>162</v>
      </c>
      <c r="B69" s="213" t="e">
        <f>SUM(B65:B68)</f>
        <v>#N/A</v>
      </c>
      <c r="C69" s="213" t="e">
        <f>SUM(C65:C68)</f>
        <v>#N/A</v>
      </c>
      <c r="D69" s="213" t="e">
        <f>SUM(D65:D68)</f>
        <v>#N/A</v>
      </c>
      <c r="E69" s="213" t="e">
        <f>SUM(E65:E68)</f>
        <v>#N/A</v>
      </c>
      <c r="F69" s="213" t="e">
        <f>SUM(F65:F68)</f>
        <v>#N/A</v>
      </c>
      <c r="G69" s="257" t="e">
        <f>_xlfn.FORECAST.ETS(23,B146:W146,{1,2,3,4,5,6,7,8,9,10,11,12,13,14,15,16,17,18,19,20,21,22})</f>
        <v>#DIV/0!</v>
      </c>
      <c r="H69" s="214" t="s">
        <v>19</v>
      </c>
      <c r="I69" s="215" t="e">
        <f>HLOOKUP(I64,151:155,3,FALSE)/100</f>
        <v>#N/A</v>
      </c>
      <c r="J69" s="215" t="e">
        <f>HLOOKUP(J64,151:155,3,FALSE)/100</f>
        <v>#N/A</v>
      </c>
      <c r="K69" s="215" t="e">
        <f>HLOOKUP(K64,151:155,3,FALSE)/100</f>
        <v>#N/A</v>
      </c>
      <c r="L69" s="215" t="e">
        <f>IF(ISNA(HLOOKUP(L64,151:155,3,FALSE)/100),AVERAGE(L65:L68),HLOOKUP(L64,151:155,3,FALSE)/100)</f>
        <v>#DIV/0!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-4</v>
      </c>
      <c r="C71" s="202">
        <f>$B$1-3</f>
        <v>-3</v>
      </c>
      <c r="D71" s="202">
        <f>$B$1-2</f>
        <v>-2</v>
      </c>
      <c r="E71" s="202">
        <f>$B$1-1</f>
        <v>-1</v>
      </c>
      <c r="F71" s="202">
        <f>$B$1</f>
        <v>0</v>
      </c>
    </row>
    <row r="72" spans="1:71" s="135" customFormat="1" x14ac:dyDescent="0.25">
      <c r="A72" s="204">
        <v>1</v>
      </c>
      <c r="B72" s="205" t="str">
        <f t="shared" ref="B72:F75" si="8">IF(ISNA(HLOOKUP(B$71*10+$A72,$157:$159,3,FALSE)),"",HLOOKUP(B$71*10+$A72,$157:$159,3,FALSE))</f>
        <v/>
      </c>
      <c r="C72" s="205" t="str">
        <f t="shared" si="8"/>
        <v/>
      </c>
      <c r="D72" s="205" t="str">
        <f t="shared" si="8"/>
        <v/>
      </c>
      <c r="E72" s="205" t="str">
        <f t="shared" si="8"/>
        <v/>
      </c>
      <c r="F72" s="205" t="str">
        <f t="shared" si="8"/>
        <v/>
      </c>
    </row>
    <row r="73" spans="1:71" s="135" customFormat="1" x14ac:dyDescent="0.25">
      <c r="A73" s="204">
        <v>2</v>
      </c>
      <c r="B73" s="205" t="str">
        <f t="shared" si="8"/>
        <v/>
      </c>
      <c r="C73" s="205" t="str">
        <f t="shared" si="8"/>
        <v/>
      </c>
      <c r="D73" s="205" t="str">
        <f t="shared" si="8"/>
        <v/>
      </c>
      <c r="E73" s="205" t="str">
        <f t="shared" si="8"/>
        <v/>
      </c>
      <c r="F73" s="205" t="str">
        <f t="shared" si="8"/>
        <v/>
      </c>
    </row>
    <row r="74" spans="1:71" s="135" customFormat="1" x14ac:dyDescent="0.25">
      <c r="A74" s="204">
        <v>3</v>
      </c>
      <c r="B74" s="205" t="str">
        <f t="shared" si="8"/>
        <v/>
      </c>
      <c r="C74" s="205" t="str">
        <f t="shared" si="8"/>
        <v/>
      </c>
      <c r="D74" s="205" t="str">
        <f t="shared" si="8"/>
        <v/>
      </c>
      <c r="E74" s="205" t="str">
        <f t="shared" si="8"/>
        <v/>
      </c>
      <c r="F74" s="205" t="str">
        <f t="shared" si="8"/>
        <v/>
      </c>
    </row>
    <row r="75" spans="1:71" s="135" customFormat="1" x14ac:dyDescent="0.25">
      <c r="A75" s="204">
        <v>4</v>
      </c>
      <c r="B75" s="205" t="str">
        <f t="shared" si="8"/>
        <v/>
      </c>
      <c r="C75" s="205" t="str">
        <f t="shared" si="8"/>
        <v/>
      </c>
      <c r="D75" s="205" t="str">
        <f t="shared" si="8"/>
        <v/>
      </c>
      <c r="E75" s="205" t="str">
        <f t="shared" si="8"/>
        <v/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0</v>
      </c>
      <c r="C76" s="213">
        <f>SUM(C72:C75)</f>
        <v>0</v>
      </c>
      <c r="D76" s="213">
        <f>SUM(D72:D75)</f>
        <v>0</v>
      </c>
      <c r="E76" s="213" t="e">
        <f>AVERAGE(E72:E75)*4</f>
        <v>#DIV/0!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1"/>
    </row>
    <row r="79" spans="1:71" ht="14.25" thickBot="1" x14ac:dyDescent="0.3">
      <c r="A79" s="222" t="s">
        <v>9</v>
      </c>
      <c r="B79" s="270"/>
      <c r="C79" s="270"/>
      <c r="D79" s="270"/>
      <c r="E79" s="270"/>
      <c r="F79" s="270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270"/>
      <c r="U79" s="270"/>
      <c r="V79" s="270"/>
      <c r="W79" s="270"/>
      <c r="X79" s="270"/>
      <c r="Y79" s="270"/>
      <c r="Z79" s="270"/>
      <c r="AA79" s="270"/>
      <c r="AB79" s="270"/>
      <c r="AC79" s="270"/>
      <c r="AD79" s="270"/>
      <c r="AE79" s="270"/>
      <c r="AF79" s="270"/>
      <c r="AG79" s="270"/>
      <c r="AH79" s="270"/>
      <c r="AI79" s="270"/>
      <c r="AJ79" s="270"/>
      <c r="AK79" s="270"/>
      <c r="AL79" s="270"/>
      <c r="AM79" s="270"/>
      <c r="AN79" s="270"/>
      <c r="AO79" s="270"/>
      <c r="AP79" s="270"/>
      <c r="AQ79" s="270"/>
      <c r="AR79" s="270"/>
      <c r="AS79" s="270"/>
      <c r="AT79" s="270"/>
      <c r="AU79" s="270"/>
      <c r="AV79" s="270"/>
      <c r="AW79" s="270"/>
      <c r="AX79" s="270"/>
      <c r="AY79" s="270"/>
      <c r="AZ79" s="270"/>
      <c r="BA79" s="270"/>
      <c r="BB79" s="270"/>
      <c r="BC79" s="270"/>
      <c r="BD79" s="270"/>
      <c r="BE79" s="270"/>
      <c r="BF79" s="270"/>
      <c r="BG79" s="270"/>
      <c r="BH79" s="270"/>
      <c r="BI79" s="270"/>
      <c r="BJ79" s="270"/>
      <c r="BK79" s="270"/>
      <c r="BL79" s="270"/>
      <c r="BM79" s="270"/>
      <c r="BN79" s="270"/>
      <c r="BO79" s="270"/>
      <c r="BP79" s="270"/>
      <c r="BQ79" s="270"/>
      <c r="BR79" s="270"/>
      <c r="BS79" s="270"/>
    </row>
    <row r="80" spans="1:71" ht="14.25" thickBot="1" x14ac:dyDescent="0.3"/>
    <row r="81" spans="1:25" ht="14.25" thickBot="1" x14ac:dyDescent="0.3">
      <c r="B81" s="69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1"/>
    </row>
    <row r="82" spans="1:25" ht="14.25" thickBot="1" x14ac:dyDescent="0.3">
      <c r="A82" s="222" t="s">
        <v>10</v>
      </c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1"/>
    </row>
    <row r="85" spans="1:25" ht="14.25" thickBot="1" x14ac:dyDescent="0.3">
      <c r="A85" s="222" t="s">
        <v>20</v>
      </c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1"/>
    </row>
    <row r="88" spans="1:25" ht="14.25" thickBot="1" x14ac:dyDescent="0.3">
      <c r="A88" s="249" t="s">
        <v>3</v>
      </c>
      <c r="B88" s="273"/>
      <c r="C88" s="273"/>
      <c r="D88" s="273"/>
      <c r="E88" s="273"/>
      <c r="F88" s="273"/>
      <c r="G88" s="273"/>
      <c r="H88" s="273"/>
      <c r="I88" s="273"/>
      <c r="J88" s="273"/>
      <c r="K88" s="273"/>
      <c r="L88" s="273"/>
      <c r="M88" s="273"/>
      <c r="N88" s="273"/>
      <c r="O88" s="273"/>
      <c r="P88" s="273"/>
      <c r="Q88" s="273"/>
      <c r="R88" s="273"/>
      <c r="S88" s="273"/>
      <c r="T88" s="273"/>
      <c r="U88" s="273"/>
      <c r="V88" s="273"/>
      <c r="W88" s="273"/>
      <c r="X88" s="273"/>
    </row>
    <row r="89" spans="1:25" ht="14.25" thickBot="1" x14ac:dyDescent="0.3">
      <c r="A89" s="250" t="s">
        <v>4</v>
      </c>
      <c r="B89" s="275"/>
      <c r="C89" s="275"/>
      <c r="D89" s="275"/>
      <c r="E89" s="275"/>
      <c r="F89" s="275"/>
      <c r="G89" s="275"/>
      <c r="H89" s="275"/>
      <c r="I89" s="275"/>
      <c r="J89" s="275"/>
      <c r="K89" s="275"/>
      <c r="L89" s="275"/>
      <c r="M89" s="275"/>
      <c r="N89" s="275"/>
      <c r="O89" s="275"/>
      <c r="P89" s="275"/>
      <c r="Q89" s="275"/>
      <c r="R89" s="275"/>
      <c r="S89" s="275"/>
      <c r="T89" s="275"/>
      <c r="U89" s="275"/>
      <c r="V89" s="275"/>
      <c r="W89" s="275"/>
      <c r="X89" s="275"/>
    </row>
    <row r="90" spans="1:25" ht="14.25" thickBot="1" x14ac:dyDescent="0.3">
      <c r="A90" s="251" t="s">
        <v>5</v>
      </c>
      <c r="B90" s="273"/>
      <c r="C90" s="273"/>
      <c r="D90" s="273"/>
      <c r="E90" s="273"/>
      <c r="F90" s="273"/>
      <c r="G90" s="273"/>
      <c r="H90" s="273"/>
      <c r="I90" s="273"/>
      <c r="J90" s="273"/>
      <c r="K90" s="273"/>
      <c r="L90" s="273"/>
      <c r="M90" s="273"/>
      <c r="N90" s="273"/>
      <c r="O90" s="273"/>
      <c r="P90" s="273"/>
      <c r="Q90" s="273"/>
      <c r="R90" s="273"/>
      <c r="S90" s="273"/>
      <c r="T90" s="273"/>
      <c r="U90" s="273"/>
      <c r="V90" s="273"/>
      <c r="W90" s="273"/>
      <c r="X90" s="273"/>
    </row>
    <row r="91" spans="1:25" ht="14.25" thickBot="1" x14ac:dyDescent="0.3">
      <c r="A91" s="250" t="s">
        <v>6</v>
      </c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275"/>
      <c r="S91" s="275"/>
      <c r="T91" s="275"/>
      <c r="U91" s="275"/>
      <c r="V91" s="275"/>
      <c r="W91" s="275"/>
      <c r="X91" s="275"/>
    </row>
    <row r="92" spans="1:25" ht="14.25" thickBot="1" x14ac:dyDescent="0.3">
      <c r="A92" s="251" t="s">
        <v>7</v>
      </c>
      <c r="B92" s="273"/>
      <c r="C92" s="273"/>
      <c r="D92" s="273"/>
      <c r="E92" s="273"/>
      <c r="F92" s="273"/>
      <c r="G92" s="273"/>
      <c r="H92" s="273"/>
      <c r="I92" s="273"/>
      <c r="J92" s="273"/>
      <c r="K92" s="273"/>
      <c r="L92" s="273"/>
      <c r="M92" s="273"/>
      <c r="N92" s="273"/>
      <c r="O92" s="273"/>
      <c r="P92" s="273"/>
      <c r="Q92" s="273"/>
      <c r="R92" s="273"/>
      <c r="S92" s="273"/>
      <c r="T92" s="273"/>
      <c r="U92" s="273"/>
      <c r="V92" s="273"/>
      <c r="W92" s="273"/>
      <c r="X92" s="273"/>
    </row>
    <row r="93" spans="1:25" ht="26.25" thickBot="1" x14ac:dyDescent="0.3">
      <c r="A93" s="252" t="s">
        <v>8</v>
      </c>
      <c r="B93" s="276"/>
      <c r="C93" s="276"/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</row>
    <row r="94" spans="1:25" x14ac:dyDescent="0.25">
      <c r="A94" s="233" t="s">
        <v>365</v>
      </c>
      <c r="B94" s="253" t="str">
        <f>IF(B91="","",B91-B90)</f>
        <v/>
      </c>
      <c r="C94" s="253" t="str">
        <f>IF(C91="","",C91-C90)</f>
        <v/>
      </c>
      <c r="D94" s="253" t="str">
        <f t="shared" ref="D94:Y94" si="9">IF(D91="","",D91-D90)</f>
        <v/>
      </c>
      <c r="E94" s="253" t="str">
        <f t="shared" si="9"/>
        <v/>
      </c>
      <c r="F94" s="253" t="str">
        <f t="shared" si="9"/>
        <v/>
      </c>
      <c r="G94" s="253" t="str">
        <f t="shared" si="9"/>
        <v/>
      </c>
      <c r="H94" s="253" t="str">
        <f t="shared" si="9"/>
        <v/>
      </c>
      <c r="I94" s="253" t="str">
        <f t="shared" si="9"/>
        <v/>
      </c>
      <c r="J94" s="253" t="str">
        <f t="shared" si="9"/>
        <v/>
      </c>
      <c r="K94" s="253" t="str">
        <f t="shared" si="9"/>
        <v/>
      </c>
      <c r="L94" s="253" t="str">
        <f t="shared" si="9"/>
        <v/>
      </c>
      <c r="M94" s="253" t="str">
        <f t="shared" si="9"/>
        <v/>
      </c>
      <c r="N94" s="253" t="str">
        <f t="shared" si="9"/>
        <v/>
      </c>
      <c r="O94" s="253" t="str">
        <f t="shared" si="9"/>
        <v/>
      </c>
      <c r="P94" s="253" t="str">
        <f t="shared" si="9"/>
        <v/>
      </c>
      <c r="Q94" s="253" t="str">
        <f t="shared" si="9"/>
        <v/>
      </c>
      <c r="R94" s="253" t="str">
        <f t="shared" si="9"/>
        <v/>
      </c>
      <c r="S94" s="253" t="str">
        <f t="shared" si="9"/>
        <v/>
      </c>
      <c r="T94" s="253" t="str">
        <f t="shared" si="9"/>
        <v/>
      </c>
      <c r="U94" s="253" t="str">
        <f t="shared" si="9"/>
        <v/>
      </c>
      <c r="V94" s="253" t="str">
        <f t="shared" si="9"/>
        <v/>
      </c>
      <c r="W94" s="253" t="str">
        <f t="shared" si="9"/>
        <v/>
      </c>
      <c r="X94" s="253" t="str">
        <f t="shared" si="9"/>
        <v/>
      </c>
      <c r="Y94" s="253" t="str">
        <f t="shared" si="9"/>
        <v/>
      </c>
    </row>
    <row r="95" spans="1:25" s="93" customFormat="1" x14ac:dyDescent="0.25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238"/>
      <c r="C96" s="239"/>
      <c r="D96" s="239"/>
      <c r="E96" s="239"/>
      <c r="F96" s="240"/>
    </row>
    <row r="97" spans="1:24" ht="14.25" thickBot="1" x14ac:dyDescent="0.3">
      <c r="A97" s="224" t="s">
        <v>3</v>
      </c>
      <c r="B97" s="242"/>
      <c r="C97" s="242"/>
      <c r="D97" s="242"/>
      <c r="E97" s="242"/>
      <c r="F97" s="242"/>
    </row>
    <row r="98" spans="1:24" ht="14.25" thickBot="1" x14ac:dyDescent="0.3">
      <c r="A98" s="225" t="s">
        <v>4</v>
      </c>
      <c r="B98" s="243"/>
      <c r="C98" s="243"/>
      <c r="D98" s="243"/>
      <c r="E98" s="243"/>
      <c r="F98" s="243"/>
    </row>
    <row r="99" spans="1:24" ht="14.25" thickBot="1" x14ac:dyDescent="0.3">
      <c r="A99" s="224" t="s">
        <v>5</v>
      </c>
      <c r="B99" s="242"/>
      <c r="C99" s="242"/>
      <c r="D99" s="242"/>
      <c r="E99" s="242"/>
      <c r="F99" s="242"/>
    </row>
    <row r="100" spans="1:24" ht="14.25" thickBot="1" x14ac:dyDescent="0.3">
      <c r="A100" s="225" t="s">
        <v>6</v>
      </c>
      <c r="B100" s="243"/>
      <c r="C100" s="243"/>
      <c r="D100" s="243"/>
      <c r="E100" s="243"/>
      <c r="F100" s="243"/>
    </row>
    <row r="101" spans="1:24" ht="14.25" thickBot="1" x14ac:dyDescent="0.3">
      <c r="A101" s="224" t="s">
        <v>7</v>
      </c>
      <c r="B101" s="242"/>
      <c r="C101" s="242"/>
      <c r="D101" s="242"/>
      <c r="E101" s="242"/>
      <c r="F101" s="242"/>
    </row>
    <row r="102" spans="1:24" x14ac:dyDescent="0.25">
      <c r="A102" s="227" t="s">
        <v>8</v>
      </c>
      <c r="B102" s="245"/>
      <c r="C102" s="245"/>
      <c r="D102" s="245"/>
      <c r="E102" s="245"/>
      <c r="F102" s="245"/>
    </row>
    <row r="103" spans="1:24" x14ac:dyDescent="0.25">
      <c r="A103" s="233" t="s">
        <v>262</v>
      </c>
      <c r="B103" s="234" t="str">
        <f>IF(OR(B102="",B102="無"),"",B102/B101)</f>
        <v/>
      </c>
      <c r="C103" s="234" t="str">
        <f>IF(OR(C102="",C102="無"),"",C102/C101)</f>
        <v/>
      </c>
      <c r="D103" s="234" t="str">
        <f>IF(OR(D102="",D102="無"),"",D102/D101)</f>
        <v/>
      </c>
      <c r="E103" s="234" t="str">
        <f>IF(OR(E102="",E102="無"),"",E102/E101)</f>
        <v/>
      </c>
      <c r="F103" s="234" t="str">
        <f>IF(OR(F102="",F102="無"),"",F102/F101)</f>
        <v/>
      </c>
    </row>
    <row r="104" spans="1:24" ht="14.25" thickBot="1" x14ac:dyDescent="0.3"/>
    <row r="105" spans="1:24" ht="14.25" thickBot="1" x14ac:dyDescent="0.3">
      <c r="B105" s="69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1"/>
    </row>
    <row r="106" spans="1:24" ht="14.25" thickBot="1" x14ac:dyDescent="0.3">
      <c r="A106" s="224" t="s">
        <v>21</v>
      </c>
      <c r="B106" s="273"/>
      <c r="C106" s="273"/>
      <c r="D106" s="273"/>
      <c r="E106" s="273"/>
      <c r="F106" s="273"/>
      <c r="G106" s="273"/>
      <c r="H106" s="273"/>
      <c r="I106" s="273"/>
      <c r="J106" s="273"/>
      <c r="K106" s="273"/>
      <c r="L106" s="273"/>
      <c r="M106" s="273"/>
      <c r="N106" s="273"/>
      <c r="O106" s="273"/>
      <c r="P106" s="273"/>
      <c r="Q106" s="273"/>
      <c r="R106" s="273"/>
      <c r="S106" s="273"/>
      <c r="T106" s="273"/>
      <c r="U106" s="273"/>
      <c r="V106" s="273"/>
      <c r="W106" s="273"/>
      <c r="X106" s="273"/>
    </row>
    <row r="107" spans="1:24" ht="14.25" thickBot="1" x14ac:dyDescent="0.3">
      <c r="A107" s="225" t="s">
        <v>22</v>
      </c>
      <c r="B107" s="275"/>
      <c r="C107" s="275"/>
      <c r="D107" s="275"/>
      <c r="E107" s="275"/>
      <c r="F107" s="275"/>
      <c r="G107" s="275"/>
      <c r="H107" s="275"/>
      <c r="I107" s="275"/>
      <c r="J107" s="275"/>
      <c r="K107" s="275"/>
      <c r="L107" s="275"/>
      <c r="M107" s="275"/>
      <c r="N107" s="275"/>
      <c r="O107" s="275"/>
      <c r="P107" s="275"/>
      <c r="Q107" s="275"/>
      <c r="R107" s="275"/>
      <c r="S107" s="274"/>
      <c r="T107" s="274"/>
      <c r="U107" s="274"/>
      <c r="V107" s="274"/>
      <c r="W107" s="275"/>
      <c r="X107" s="275"/>
    </row>
    <row r="108" spans="1:24" ht="14.25" thickBot="1" x14ac:dyDescent="0.3">
      <c r="A108" s="224" t="s">
        <v>263</v>
      </c>
      <c r="B108" s="273"/>
      <c r="C108" s="273"/>
      <c r="D108" s="273"/>
      <c r="E108" s="273"/>
      <c r="F108" s="273"/>
      <c r="G108" s="273"/>
      <c r="H108" s="273"/>
      <c r="I108" s="273"/>
      <c r="J108" s="273"/>
      <c r="K108" s="273"/>
      <c r="L108" s="273"/>
      <c r="M108" s="273"/>
      <c r="N108" s="273"/>
      <c r="O108" s="273"/>
      <c r="P108" s="273"/>
      <c r="Q108" s="273"/>
      <c r="R108" s="273"/>
      <c r="S108" s="273"/>
      <c r="T108" s="273"/>
      <c r="U108" s="273"/>
      <c r="V108" s="273"/>
      <c r="W108" s="273"/>
      <c r="X108" s="273"/>
    </row>
    <row r="109" spans="1:24" ht="14.25" thickBot="1" x14ac:dyDescent="0.3">
      <c r="A109" s="225" t="s">
        <v>264</v>
      </c>
      <c r="B109" s="275"/>
      <c r="C109" s="275"/>
      <c r="D109" s="275"/>
      <c r="E109" s="275"/>
      <c r="F109" s="275"/>
      <c r="G109" s="275"/>
      <c r="H109" s="275"/>
      <c r="I109" s="275"/>
      <c r="J109" s="275"/>
      <c r="K109" s="275"/>
      <c r="L109" s="275"/>
      <c r="M109" s="275"/>
      <c r="N109" s="275"/>
      <c r="O109" s="275"/>
      <c r="P109" s="275"/>
      <c r="Q109" s="275"/>
      <c r="R109" s="275"/>
      <c r="S109" s="275"/>
      <c r="T109" s="275"/>
      <c r="U109" s="275"/>
      <c r="V109" s="275"/>
      <c r="W109" s="275"/>
      <c r="X109" s="275"/>
    </row>
    <row r="110" spans="1:24" ht="14.25" thickBot="1" x14ac:dyDescent="0.3">
      <c r="A110" s="224" t="s">
        <v>23</v>
      </c>
      <c r="B110" s="273"/>
      <c r="C110" s="273"/>
      <c r="D110" s="273"/>
      <c r="E110" s="273"/>
      <c r="F110" s="273"/>
      <c r="G110" s="273"/>
      <c r="H110" s="273"/>
      <c r="I110" s="273"/>
      <c r="J110" s="273"/>
      <c r="K110" s="273"/>
      <c r="L110" s="273"/>
      <c r="M110" s="273"/>
      <c r="N110" s="273"/>
      <c r="O110" s="273"/>
      <c r="P110" s="273"/>
      <c r="Q110" s="273"/>
      <c r="R110" s="273"/>
      <c r="S110" s="273"/>
      <c r="T110" s="273"/>
      <c r="U110" s="273"/>
      <c r="V110" s="273"/>
      <c r="W110" s="273"/>
      <c r="X110" s="273"/>
    </row>
    <row r="111" spans="1:24" ht="14.25" thickBot="1" x14ac:dyDescent="0.3">
      <c r="A111" s="225" t="s">
        <v>24</v>
      </c>
      <c r="B111" s="275"/>
      <c r="C111" s="275"/>
      <c r="D111" s="275"/>
      <c r="E111" s="275"/>
      <c r="F111" s="275"/>
      <c r="G111" s="275"/>
      <c r="H111" s="275"/>
      <c r="I111" s="275"/>
      <c r="J111" s="275"/>
      <c r="K111" s="275"/>
      <c r="L111" s="275"/>
      <c r="M111" s="275"/>
      <c r="N111" s="275"/>
      <c r="O111" s="275"/>
      <c r="P111" s="275"/>
      <c r="Q111" s="275"/>
      <c r="R111" s="275"/>
      <c r="S111" s="275"/>
      <c r="T111" s="275"/>
      <c r="U111" s="275"/>
      <c r="V111" s="275"/>
      <c r="W111" s="275"/>
      <c r="X111" s="275"/>
    </row>
    <row r="112" spans="1:24" ht="14.25" thickBot="1" x14ac:dyDescent="0.3">
      <c r="A112" s="224" t="s">
        <v>25</v>
      </c>
      <c r="B112" s="273"/>
      <c r="C112" s="273"/>
      <c r="D112" s="273"/>
      <c r="E112" s="273"/>
      <c r="F112" s="273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</row>
    <row r="113" spans="1:24" ht="14.25" thickBot="1" x14ac:dyDescent="0.3">
      <c r="A113" s="225" t="s">
        <v>26</v>
      </c>
      <c r="B113" s="275"/>
      <c r="C113" s="275"/>
      <c r="D113" s="275"/>
      <c r="E113" s="275"/>
      <c r="F113" s="275"/>
      <c r="G113" s="275"/>
      <c r="H113" s="275"/>
      <c r="I113" s="275"/>
      <c r="J113" s="275"/>
      <c r="K113" s="275"/>
      <c r="L113" s="275"/>
      <c r="M113" s="275"/>
      <c r="N113" s="275"/>
      <c r="O113" s="275"/>
      <c r="P113" s="275"/>
      <c r="Q113" s="275"/>
      <c r="R113" s="275"/>
      <c r="S113" s="275"/>
      <c r="T113" s="275"/>
      <c r="U113" s="275"/>
      <c r="V113" s="275"/>
      <c r="W113" s="275"/>
      <c r="X113" s="275"/>
    </row>
    <row r="114" spans="1:24" ht="14.25" thickBot="1" x14ac:dyDescent="0.3">
      <c r="A114" s="224" t="s">
        <v>27</v>
      </c>
      <c r="B114" s="273"/>
      <c r="C114" s="273"/>
      <c r="D114" s="273"/>
      <c r="E114" s="273"/>
      <c r="F114" s="273"/>
      <c r="G114" s="273"/>
      <c r="H114" s="273"/>
      <c r="I114" s="273"/>
      <c r="J114" s="273"/>
      <c r="K114" s="273"/>
      <c r="L114" s="273"/>
      <c r="M114" s="273"/>
      <c r="N114" s="273"/>
      <c r="O114" s="273"/>
      <c r="P114" s="273"/>
      <c r="Q114" s="273"/>
      <c r="R114" s="273"/>
      <c r="S114" s="273"/>
      <c r="T114" s="273"/>
      <c r="U114" s="273"/>
      <c r="V114" s="273"/>
      <c r="W114" s="273"/>
      <c r="X114" s="273"/>
    </row>
    <row r="115" spans="1:24" ht="14.25" thickBot="1" x14ac:dyDescent="0.3">
      <c r="A115" s="225" t="s">
        <v>265</v>
      </c>
      <c r="B115" s="276"/>
      <c r="C115" s="276"/>
      <c r="D115" s="276"/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  <c r="S115" s="276"/>
      <c r="T115" s="276"/>
      <c r="U115" s="276"/>
      <c r="V115" s="276"/>
      <c r="W115" s="276"/>
      <c r="X115" s="276"/>
    </row>
    <row r="116" spans="1:24" ht="14.25" thickBot="1" x14ac:dyDescent="0.3">
      <c r="F116" s="135"/>
    </row>
    <row r="117" spans="1:24" ht="14.25" thickBot="1" x14ac:dyDescent="0.3">
      <c r="B117" s="69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1"/>
    </row>
    <row r="118" spans="1:24" ht="14.25" thickBot="1" x14ac:dyDescent="0.3">
      <c r="A118" s="224" t="s">
        <v>28</v>
      </c>
      <c r="B118" s="273"/>
      <c r="C118" s="273"/>
      <c r="D118" s="273"/>
      <c r="E118" s="273"/>
      <c r="F118" s="273"/>
      <c r="G118" s="273"/>
      <c r="H118" s="273"/>
      <c r="I118" s="273"/>
      <c r="J118" s="273"/>
      <c r="K118" s="273"/>
      <c r="L118" s="273"/>
      <c r="M118" s="273"/>
      <c r="N118" s="68"/>
      <c r="O118" s="68"/>
      <c r="P118" s="68"/>
      <c r="Q118" s="68"/>
      <c r="R118" s="68"/>
      <c r="S118" s="68"/>
      <c r="T118" s="68"/>
      <c r="U118" s="273"/>
      <c r="V118" s="273"/>
      <c r="W118" s="273"/>
      <c r="X118" s="68"/>
    </row>
    <row r="119" spans="1:24" ht="14.25" thickBot="1" x14ac:dyDescent="0.3">
      <c r="A119" s="225" t="s">
        <v>29</v>
      </c>
      <c r="B119" s="274"/>
      <c r="C119" s="274"/>
      <c r="D119" s="274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  <c r="S119" s="274"/>
      <c r="T119" s="274"/>
      <c r="U119" s="274"/>
      <c r="V119" s="274"/>
      <c r="W119" s="274"/>
      <c r="X119" s="274"/>
    </row>
    <row r="120" spans="1:24" ht="14.25" thickBot="1" x14ac:dyDescent="0.3">
      <c r="A120" s="224" t="s">
        <v>266</v>
      </c>
      <c r="B120" s="273"/>
      <c r="C120" s="273"/>
      <c r="D120" s="273"/>
      <c r="E120" s="273"/>
      <c r="F120" s="273"/>
      <c r="G120" s="273"/>
      <c r="H120" s="273"/>
      <c r="I120" s="273"/>
      <c r="J120" s="273"/>
      <c r="K120" s="273"/>
      <c r="L120" s="273"/>
      <c r="M120" s="273"/>
      <c r="N120" s="273"/>
      <c r="O120" s="273"/>
      <c r="P120" s="273"/>
      <c r="Q120" s="273"/>
      <c r="R120" s="273"/>
      <c r="S120" s="273"/>
      <c r="T120" s="273"/>
      <c r="U120" s="273"/>
      <c r="V120" s="273"/>
      <c r="W120" s="273"/>
      <c r="X120" s="273"/>
    </row>
    <row r="121" spans="1:24" ht="14.25" thickBot="1" x14ac:dyDescent="0.3">
      <c r="A121" s="225" t="s">
        <v>267</v>
      </c>
      <c r="B121" s="274"/>
      <c r="C121" s="274"/>
      <c r="D121" s="274"/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4"/>
      <c r="P121" s="274"/>
      <c r="Q121" s="274"/>
      <c r="R121" s="274"/>
      <c r="S121" s="274"/>
      <c r="T121" s="274"/>
      <c r="U121" s="274"/>
      <c r="V121" s="274"/>
      <c r="W121" s="274"/>
      <c r="X121" s="274"/>
    </row>
    <row r="122" spans="1:24" ht="14.25" thickBot="1" x14ac:dyDescent="0.3">
      <c r="A122" s="224" t="s">
        <v>30</v>
      </c>
      <c r="B122" s="68"/>
      <c r="C122" s="68"/>
      <c r="D122" s="68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68"/>
      <c r="Q122" s="68"/>
      <c r="R122" s="68"/>
      <c r="S122" s="68"/>
      <c r="T122" s="68"/>
      <c r="U122" s="68"/>
      <c r="V122" s="68"/>
      <c r="W122" s="68"/>
      <c r="X122" s="68"/>
    </row>
    <row r="123" spans="1:24" ht="14.25" thickBot="1" x14ac:dyDescent="0.3">
      <c r="A123" s="225" t="s">
        <v>31</v>
      </c>
      <c r="B123" s="275"/>
      <c r="C123" s="275"/>
      <c r="D123" s="275"/>
      <c r="E123" s="275"/>
      <c r="F123" s="275"/>
      <c r="G123" s="275"/>
      <c r="H123" s="275"/>
      <c r="I123" s="275"/>
      <c r="J123" s="275"/>
      <c r="K123" s="275"/>
      <c r="L123" s="275"/>
      <c r="M123" s="275"/>
      <c r="N123" s="275"/>
      <c r="O123" s="275"/>
      <c r="P123" s="275"/>
      <c r="Q123" s="275"/>
      <c r="R123" s="275"/>
      <c r="S123" s="275"/>
      <c r="T123" s="275"/>
      <c r="U123" s="275"/>
      <c r="V123" s="275"/>
      <c r="W123" s="275"/>
      <c r="X123" s="275"/>
    </row>
    <row r="124" spans="1:24" ht="14.25" thickBot="1" x14ac:dyDescent="0.3">
      <c r="A124" s="224" t="s">
        <v>268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273"/>
      <c r="T124" s="273"/>
      <c r="U124" s="273"/>
      <c r="V124" s="273"/>
      <c r="W124" s="273"/>
      <c r="X124" s="273"/>
    </row>
    <row r="125" spans="1:24" ht="14.25" thickBot="1" x14ac:dyDescent="0.3">
      <c r="A125" s="225" t="s">
        <v>32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275"/>
      <c r="T125" s="275"/>
      <c r="U125" s="275"/>
      <c r="V125" s="275"/>
      <c r="W125" s="275"/>
      <c r="X125" s="275"/>
    </row>
    <row r="126" spans="1:24" ht="14.25" thickBot="1" x14ac:dyDescent="0.3">
      <c r="A126" s="224" t="s">
        <v>33</v>
      </c>
      <c r="B126" s="273"/>
      <c r="C126" s="273"/>
      <c r="D126" s="273"/>
      <c r="E126" s="273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</row>
    <row r="127" spans="1:24" ht="14.25" thickBot="1" x14ac:dyDescent="0.3">
      <c r="A127" s="225" t="s">
        <v>269</v>
      </c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5"/>
      <c r="R127" s="275"/>
      <c r="S127" s="275"/>
      <c r="T127" s="275"/>
      <c r="U127" s="275"/>
      <c r="V127" s="275"/>
      <c r="W127" s="275"/>
      <c r="X127" s="275"/>
    </row>
    <row r="128" spans="1:24" ht="14.25" thickBot="1" x14ac:dyDescent="0.3">
      <c r="A128" s="224" t="s">
        <v>34</v>
      </c>
      <c r="B128" s="273"/>
      <c r="C128" s="273"/>
      <c r="D128" s="273"/>
      <c r="E128" s="273"/>
      <c r="F128" s="273"/>
      <c r="G128" s="273"/>
      <c r="H128" s="273"/>
      <c r="I128" s="273"/>
      <c r="J128" s="273"/>
      <c r="K128" s="273"/>
      <c r="L128" s="273"/>
      <c r="M128" s="273"/>
      <c r="N128" s="273"/>
      <c r="O128" s="273"/>
      <c r="P128" s="273"/>
      <c r="Q128" s="273"/>
      <c r="R128" s="273"/>
      <c r="S128" s="273"/>
      <c r="T128" s="273"/>
      <c r="U128" s="273"/>
      <c r="V128" s="273"/>
      <c r="W128" s="273"/>
      <c r="X128" s="273"/>
    </row>
    <row r="129" spans="1:24" ht="14.25" thickBot="1" x14ac:dyDescent="0.3">
      <c r="A129" s="225" t="s">
        <v>35</v>
      </c>
      <c r="B129" s="276"/>
      <c r="C129" s="276"/>
      <c r="D129" s="276"/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  <c r="S129" s="276"/>
      <c r="T129" s="276"/>
      <c r="U129" s="276"/>
      <c r="V129" s="276"/>
      <c r="W129" s="276"/>
      <c r="X129" s="276"/>
    </row>
    <row r="130" spans="1:24" x14ac:dyDescent="0.25">
      <c r="F130" s="135"/>
    </row>
    <row r="131" spans="1:24" ht="14.25" thickBot="1" x14ac:dyDescent="0.3">
      <c r="B131" s="238"/>
      <c r="C131" s="239"/>
      <c r="D131" s="239"/>
      <c r="E131" s="239"/>
      <c r="F131" s="240"/>
    </row>
    <row r="132" spans="1:24" ht="14.25" thickBot="1" x14ac:dyDescent="0.3">
      <c r="A132" s="224" t="s">
        <v>36</v>
      </c>
      <c r="B132" s="244"/>
      <c r="C132" s="244"/>
      <c r="D132" s="244"/>
      <c r="E132" s="244"/>
      <c r="F132" s="244"/>
    </row>
    <row r="133" spans="1:24" ht="14.25" thickBot="1" x14ac:dyDescent="0.3">
      <c r="A133" s="225" t="s">
        <v>37</v>
      </c>
      <c r="B133" s="246"/>
      <c r="C133" s="246"/>
      <c r="D133" s="246"/>
      <c r="E133" s="246"/>
      <c r="F133" s="246"/>
    </row>
    <row r="134" spans="1:24" ht="14.25" thickBot="1" x14ac:dyDescent="0.3">
      <c r="A134" s="224" t="s">
        <v>38</v>
      </c>
      <c r="B134" s="244"/>
      <c r="C134" s="244"/>
      <c r="D134" s="244"/>
      <c r="E134" s="244"/>
      <c r="F134" s="244"/>
    </row>
    <row r="135" spans="1:24" ht="14.25" thickBot="1" x14ac:dyDescent="0.3">
      <c r="A135" s="225" t="s">
        <v>270</v>
      </c>
      <c r="B135" s="246"/>
      <c r="C135" s="246"/>
      <c r="D135" s="246"/>
      <c r="E135" s="246"/>
      <c r="F135" s="246"/>
    </row>
    <row r="136" spans="1:24" x14ac:dyDescent="0.25">
      <c r="A136" s="229" t="s">
        <v>39</v>
      </c>
      <c r="B136" s="241"/>
      <c r="C136" s="241"/>
      <c r="D136" s="241"/>
      <c r="E136" s="241"/>
      <c r="F136" s="241"/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/>
      </c>
      <c r="C137" s="234" t="str">
        <f>IF(OR(C140&lt;=0,C140="無"),"",IF(C135&gt;=C140,"一般盈餘",IF(AND(C134&gt;0,C132&lt;C140),"借錢配息?",IF(C133&gt;(C140-C135),"可能賣資產","保留盈餘"))))</f>
        <v/>
      </c>
      <c r="D137" s="234" t="str">
        <f>IF(OR(D140&lt;=0,D140="無"),"",IF(D135&gt;=D140,"一般盈餘",IF(AND(D134&gt;0,D132&lt;D140),"借錢配息?",IF(D133&gt;(D140-D135),"可能賣資產","保留盈餘"))))</f>
        <v/>
      </c>
      <c r="E137" s="234" t="str">
        <f>IF(OR(E140&lt;=0,E140="無"),"",IF(E135&gt;=E140,"一般盈餘",IF(AND(E134&gt;0,E132&lt;E140),"借錢配息?",IF(E133&gt;(E140-E135),"可能賣資產","保留盈餘"))))</f>
        <v/>
      </c>
      <c r="F137" s="234" t="str">
        <f>IF(OR(F140&lt;=0,F140="無"),"",IF(F135&gt;=F140,"一般盈餘",IF(AND(F134&gt;0,F132&lt;F140),"借錢配息?",IF(F133&gt;(F140-F135),"可能賣資產","保留盈餘"))))</f>
        <v/>
      </c>
    </row>
    <row r="138" spans="1:24" s="93" customFormat="1" x14ac:dyDescent="0.25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238"/>
      <c r="C139" s="239"/>
      <c r="D139" s="239"/>
      <c r="E139" s="239"/>
      <c r="F139" s="240"/>
    </row>
    <row r="140" spans="1:24" ht="14.25" thickBot="1" x14ac:dyDescent="0.3">
      <c r="A140" s="224" t="s">
        <v>0</v>
      </c>
      <c r="B140" s="244"/>
      <c r="C140" s="244"/>
      <c r="D140" s="244"/>
      <c r="E140" s="244"/>
      <c r="F140" s="244"/>
    </row>
    <row r="141" spans="1:24" x14ac:dyDescent="0.25">
      <c r="A141" s="227" t="s">
        <v>1</v>
      </c>
      <c r="B141" s="247"/>
      <c r="C141" s="247"/>
      <c r="D141" s="247"/>
      <c r="E141" s="247"/>
      <c r="F141" s="247"/>
    </row>
    <row r="142" spans="1:24" x14ac:dyDescent="0.25">
      <c r="A142" s="233" t="s">
        <v>272</v>
      </c>
      <c r="B142" s="234" t="e">
        <f>B140/(HLOOKUP(B139*10+1,81:82,2,FALSE)+HLOOKUP(B139*10+2,81:82,2,FALSE)+HLOOKUP(B139*10+3,81:82,2,FALSE)+HLOOKUP(B139*10+4,81:82,2,FALSE))</f>
        <v>#N/A</v>
      </c>
      <c r="C142" s="234" t="str">
        <f>IF(C140&lt;&gt;"無",IF(ISNA(HLOOKUP(C139,$B$64:$F$69,6,FALSE)),"",C140/HLOOKUP(C139,$B$64:$F$69,6,FALSE)),"")</f>
        <v/>
      </c>
      <c r="D142" s="234" t="str">
        <f>IF(D140&lt;&gt;"無",IF(ISNA(HLOOKUP(D139,$B$64:$F$69,6,FALSE)),"",D140/HLOOKUP(D139,$B$64:$F$69,6,FALSE)),"")</f>
        <v/>
      </c>
      <c r="E142" s="234" t="str">
        <f>IF(E140&lt;&gt;"無",IF(ISNA(HLOOKUP(E139,$B$64:$F$69,6,FALSE)),"",E140/HLOOKUP(E139,$B$64:$F$69,6,FALSE)),"")</f>
        <v/>
      </c>
      <c r="F142" s="234" t="str">
        <f>IF(F140&lt;&gt;"無",IF(ISNA(HLOOKUP(F139,$B$64:$F$69,6,FALSE)),"",F140/HLOOKUP(F139,$B$64:$F$69,6,FALSE)),"")</f>
        <v/>
      </c>
    </row>
    <row r="143" spans="1:24" x14ac:dyDescent="0.25">
      <c r="A143" s="233" t="s">
        <v>216</v>
      </c>
      <c r="B143" s="234" t="str">
        <f>IF(OR(B140=0,B140="無"),"",B135/B140)</f>
        <v/>
      </c>
      <c r="C143" s="234" t="str">
        <f>IF(OR(C140=0,C140="無"),"",C135/C140)</f>
        <v/>
      </c>
      <c r="D143" s="234" t="str">
        <f>IF(OR(D140=0,D140="無"),"",D135/D140)</f>
        <v/>
      </c>
      <c r="E143" s="234" t="str">
        <f>IF(OR(E140=0,E140="無"),"",E135/E140)</f>
        <v/>
      </c>
      <c r="F143" s="234" t="str">
        <f>IF(OR(F140=0,F140="無"),"",F135/F140)</f>
        <v/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1"/>
    </row>
    <row r="146" spans="1:24" s="93" customFormat="1" ht="14.25" thickBot="1" x14ac:dyDescent="0.3">
      <c r="A146" s="224" t="s">
        <v>40</v>
      </c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</row>
    <row r="147" spans="1:24" s="93" customFormat="1" ht="14.25" thickBot="1" x14ac:dyDescent="0.3">
      <c r="A147" s="225" t="s">
        <v>19</v>
      </c>
      <c r="B147" s="274"/>
      <c r="C147" s="274"/>
      <c r="D147" s="274"/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  <c r="S147" s="274"/>
      <c r="T147" s="274"/>
      <c r="U147" s="274"/>
      <c r="V147" s="274"/>
      <c r="W147" s="274"/>
      <c r="X147" s="274"/>
    </row>
    <row r="148" spans="1:24" s="93" customFormat="1" ht="14.25" thickBot="1" x14ac:dyDescent="0.3">
      <c r="A148" s="224" t="s">
        <v>41</v>
      </c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</row>
    <row r="149" spans="1:24" s="93" customFormat="1" ht="14.25" thickBot="1" x14ac:dyDescent="0.3">
      <c r="A149" s="225" t="s">
        <v>13</v>
      </c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</row>
    <row r="150" spans="1:24" s="93" customFormat="1" x14ac:dyDescent="0.25"/>
    <row r="151" spans="1:24" s="93" customFormat="1" ht="14.25" thickBot="1" x14ac:dyDescent="0.3">
      <c r="B151" s="238"/>
      <c r="C151" s="239"/>
      <c r="D151" s="239"/>
      <c r="E151" s="239"/>
      <c r="F151" s="240"/>
    </row>
    <row r="152" spans="1:24" s="93" customFormat="1" ht="14.25" thickBot="1" x14ac:dyDescent="0.3">
      <c r="A152" s="224" t="s">
        <v>40</v>
      </c>
      <c r="B152" s="244"/>
      <c r="C152" s="244"/>
      <c r="D152" s="244"/>
      <c r="E152" s="244"/>
      <c r="F152" s="244"/>
    </row>
    <row r="153" spans="1:24" s="93" customFormat="1" ht="14.25" thickBot="1" x14ac:dyDescent="0.3">
      <c r="A153" s="225" t="s">
        <v>19</v>
      </c>
      <c r="B153" s="246"/>
      <c r="C153" s="246"/>
      <c r="D153" s="246"/>
      <c r="E153" s="246"/>
      <c r="F153" s="246"/>
    </row>
    <row r="154" spans="1:24" s="93" customFormat="1" ht="14.25" thickBot="1" x14ac:dyDescent="0.3">
      <c r="A154" s="224" t="s">
        <v>41</v>
      </c>
      <c r="B154" s="244"/>
      <c r="C154" s="244"/>
      <c r="D154" s="244"/>
      <c r="E154" s="244"/>
      <c r="F154" s="244"/>
    </row>
    <row r="155" spans="1:24" s="93" customFormat="1" ht="14.25" thickBot="1" x14ac:dyDescent="0.3">
      <c r="A155" s="225" t="s">
        <v>13</v>
      </c>
      <c r="B155" s="247"/>
      <c r="C155" s="247"/>
      <c r="D155" s="247"/>
      <c r="E155" s="247"/>
      <c r="F155" s="247"/>
    </row>
    <row r="156" spans="1:24" s="93" customFormat="1" ht="14.25" thickBot="1" x14ac:dyDescent="0.3"/>
    <row r="157" spans="1:24" s="93" customFormat="1" ht="14.25" thickBot="1" x14ac:dyDescent="0.3">
      <c r="B157" s="69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1"/>
    </row>
    <row r="158" spans="1:24" s="93" customFormat="1" ht="14.25" thickBot="1" x14ac:dyDescent="0.3">
      <c r="A158" s="224" t="s">
        <v>48</v>
      </c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</row>
    <row r="159" spans="1:24" s="93" customFormat="1" ht="14.25" thickBot="1" x14ac:dyDescent="0.3">
      <c r="A159" s="225" t="s">
        <v>45</v>
      </c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</row>
    <row r="160" spans="1:24" s="93" customFormat="1" x14ac:dyDescent="0.25"/>
    <row r="161" spans="1:72" s="93" customFormat="1" ht="14.25" thickBot="1" x14ac:dyDescent="0.3">
      <c r="B161" s="238"/>
      <c r="C161" s="239"/>
      <c r="D161" s="239"/>
      <c r="E161" s="239"/>
      <c r="F161" s="240"/>
    </row>
    <row r="162" spans="1:72" s="93" customFormat="1" ht="14.25" thickBot="1" x14ac:dyDescent="0.3">
      <c r="A162" s="224" t="s">
        <v>13</v>
      </c>
      <c r="B162" s="244"/>
      <c r="C162" s="244"/>
      <c r="D162" s="244"/>
      <c r="E162" s="244"/>
      <c r="F162" s="244"/>
    </row>
    <row r="163" spans="1:72" s="93" customFormat="1" ht="14.25" thickBot="1" x14ac:dyDescent="0.3">
      <c r="A163" s="225" t="s">
        <v>18</v>
      </c>
      <c r="B163" s="246"/>
      <c r="C163" s="246"/>
      <c r="D163" s="246"/>
      <c r="E163" s="246"/>
      <c r="F163" s="246"/>
    </row>
    <row r="164" spans="1:72" s="93" customFormat="1" ht="14.25" thickBot="1" x14ac:dyDescent="0.3">
      <c r="A164" s="224" t="s">
        <v>15</v>
      </c>
      <c r="B164" s="244"/>
      <c r="C164" s="244"/>
      <c r="D164" s="244"/>
      <c r="E164" s="244"/>
      <c r="F164" s="244"/>
    </row>
    <row r="165" spans="1:72" s="93" customFormat="1" ht="14.25" thickBot="1" x14ac:dyDescent="0.3">
      <c r="A165" s="225" t="s">
        <v>45</v>
      </c>
      <c r="B165" s="247"/>
      <c r="C165" s="247"/>
      <c r="D165" s="247"/>
      <c r="E165" s="247"/>
      <c r="F165" s="247"/>
    </row>
    <row r="166" spans="1:72" s="93" customFormat="1" ht="14.25" thickBot="1" x14ac:dyDescent="0.3"/>
    <row r="167" spans="1:72" s="93" customFormat="1" ht="14.25" thickBot="1" x14ac:dyDescent="0.3">
      <c r="A167" s="78"/>
      <c r="B167" s="69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1"/>
    </row>
    <row r="168" spans="1:72" s="93" customFormat="1" ht="14.25" thickBot="1" x14ac:dyDescent="0.3">
      <c r="A168" s="224" t="s">
        <v>16</v>
      </c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</row>
    <row r="169" spans="1:72" s="93" customFormat="1" ht="14.25" thickBot="1" x14ac:dyDescent="0.3">
      <c r="A169" s="225" t="s">
        <v>17</v>
      </c>
      <c r="B169" s="274"/>
      <c r="C169" s="274"/>
      <c r="D169" s="274"/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4"/>
      <c r="P169" s="274"/>
      <c r="Q169" s="274"/>
      <c r="R169" s="274"/>
      <c r="S169" s="274"/>
      <c r="T169" s="274"/>
      <c r="U169" s="274"/>
      <c r="V169" s="274"/>
      <c r="W169" s="274"/>
      <c r="X169" s="274"/>
    </row>
    <row r="170" spans="1:72" s="93" customFormat="1" ht="14.25" thickBot="1" x14ac:dyDescent="0.3">
      <c r="A170" s="224" t="s">
        <v>42</v>
      </c>
      <c r="B170" s="72"/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</row>
    <row r="172" spans="1:72" x14ac:dyDescent="0.25">
      <c r="B172" s="238"/>
      <c r="C172" s="239"/>
      <c r="D172" s="239"/>
      <c r="E172" s="239"/>
      <c r="F172" s="240"/>
    </row>
    <row r="173" spans="1:72" x14ac:dyDescent="0.25">
      <c r="A173" s="222" t="s">
        <v>12</v>
      </c>
      <c r="B173" s="241"/>
      <c r="C173" s="241"/>
      <c r="D173" s="241"/>
      <c r="E173" s="241"/>
      <c r="F173" s="241"/>
    </row>
    <row r="174" spans="1:72" ht="14.25" thickBot="1" x14ac:dyDescent="0.3">
      <c r="A174" s="232"/>
    </row>
    <row r="175" spans="1:72" ht="14.25" thickBot="1" x14ac:dyDescent="0.3">
      <c r="B175" s="69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70"/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0"/>
      <c r="BR175" s="70"/>
      <c r="BS175" s="70"/>
      <c r="BT175" s="71"/>
    </row>
    <row r="176" spans="1:72" ht="14.25" thickBot="1" x14ac:dyDescent="0.3">
      <c r="A176" s="222" t="s">
        <v>2</v>
      </c>
      <c r="B176" s="72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  <c r="BC176" s="72"/>
      <c r="BD176" s="72"/>
      <c r="BE176" s="72"/>
      <c r="BF176" s="72"/>
      <c r="BG176" s="72"/>
      <c r="BH176" s="72"/>
      <c r="BI176" s="72"/>
      <c r="BJ176" s="72"/>
      <c r="BK176" s="72"/>
      <c r="BL176" s="72"/>
      <c r="BM176" s="72"/>
      <c r="BN176" s="72"/>
      <c r="BO176" s="72"/>
      <c r="BP176" s="72"/>
      <c r="BQ176" s="72"/>
      <c r="BR176" s="72"/>
      <c r="BS176" s="72"/>
      <c r="BT176" s="72"/>
    </row>
  </sheetData>
  <phoneticPr fontId="3" type="noConversion"/>
  <conditionalFormatting sqref="E4">
    <cfRule type="cellIs" dxfId="7496" priority="108" operator="greaterThan">
      <formula>0.2</formula>
    </cfRule>
    <cfRule type="cellIs" dxfId="7495" priority="109" operator="greaterThan">
      <formula>0.1</formula>
    </cfRule>
  </conditionalFormatting>
  <conditionalFormatting sqref="B6">
    <cfRule type="iconSet" priority="107">
      <iconSet>
        <cfvo type="percent" val="0"/>
        <cfvo type="num" val="40"/>
        <cfvo type="num" val="70"/>
      </iconSet>
    </cfRule>
  </conditionalFormatting>
  <conditionalFormatting sqref="G59:M59">
    <cfRule type="cellIs" dxfId="7494" priority="106" operator="lessThanOrEqual">
      <formula>0</formula>
    </cfRule>
  </conditionalFormatting>
  <conditionalFormatting sqref="B30">
    <cfRule type="colorScale" priority="105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104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103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7493" priority="102" operator="greaterThan">
      <formula>$B$19</formula>
    </cfRule>
  </conditionalFormatting>
  <conditionalFormatting sqref="D33:D34">
    <cfRule type="cellIs" dxfId="7492" priority="101" operator="lessThan">
      <formula>1</formula>
    </cfRule>
  </conditionalFormatting>
  <conditionalFormatting sqref="B3">
    <cfRule type="iconSet" priority="98">
      <iconSet>
        <cfvo type="percent" val="0"/>
        <cfvo type="num" val="70"/>
        <cfvo type="num" val="85"/>
      </iconSet>
    </cfRule>
  </conditionalFormatting>
  <conditionalFormatting sqref="B5">
    <cfRule type="iconSet" priority="99">
      <iconSet>
        <cfvo type="percent" val="0"/>
        <cfvo type="num" val="80"/>
        <cfvo type="num" val="90"/>
      </iconSet>
    </cfRule>
  </conditionalFormatting>
  <conditionalFormatting sqref="B4">
    <cfRule type="iconSet" priority="100">
      <iconSet>
        <cfvo type="percent" val="0"/>
        <cfvo type="num" val="70"/>
        <cfvo type="num" val="85"/>
      </iconSet>
    </cfRule>
  </conditionalFormatting>
  <conditionalFormatting sqref="G62">
    <cfRule type="cellIs" dxfId="7491" priority="96" operator="lessThan">
      <formula>$H$62</formula>
    </cfRule>
    <cfRule type="cellIs" dxfId="7490" priority="97" operator="greaterThan">
      <formula>$H$62</formula>
    </cfRule>
  </conditionalFormatting>
  <conditionalFormatting sqref="J62">
    <cfRule type="cellIs" dxfId="7489" priority="94" operator="lessThan">
      <formula>$K$62</formula>
    </cfRule>
    <cfRule type="cellIs" dxfId="7488" priority="95" operator="greaterThan">
      <formula>$K$62</formula>
    </cfRule>
  </conditionalFormatting>
  <conditionalFormatting sqref="M62">
    <cfRule type="cellIs" dxfId="7487" priority="92" operator="lessThan">
      <formula>$N$62</formula>
    </cfRule>
    <cfRule type="cellIs" dxfId="7486" priority="93" operator="greaterThan">
      <formula>$N$62</formula>
    </cfRule>
  </conditionalFormatting>
  <conditionalFormatting sqref="B44:E44">
    <cfRule type="cellIs" dxfId="7485" priority="90" operator="greaterThan">
      <formula>0</formula>
    </cfRule>
    <cfRule type="cellIs" dxfId="7484" priority="91" operator="lessThan">
      <formula>0</formula>
    </cfRule>
  </conditionalFormatting>
  <conditionalFormatting sqref="F72">
    <cfRule type="cellIs" dxfId="7483" priority="89" operator="lessThan">
      <formula>$E$72*90%</formula>
    </cfRule>
  </conditionalFormatting>
  <conditionalFormatting sqref="F73">
    <cfRule type="cellIs" dxfId="7482" priority="88" operator="lessThan">
      <formula>$E$73*90%</formula>
    </cfRule>
  </conditionalFormatting>
  <conditionalFormatting sqref="F74">
    <cfRule type="cellIs" dxfId="7481" priority="87" operator="lessThan">
      <formula>$E$74*90%</formula>
    </cfRule>
  </conditionalFormatting>
  <conditionalFormatting sqref="F75">
    <cfRule type="cellIs" dxfId="7480" priority="86" operator="lessThan">
      <formula>$E$75*90%</formula>
    </cfRule>
  </conditionalFormatting>
  <conditionalFormatting sqref="H44:K44">
    <cfRule type="cellIs" dxfId="7479" priority="84" operator="greaterThan">
      <formula>0</formula>
    </cfRule>
    <cfRule type="cellIs" dxfId="7478" priority="85" operator="lessThan">
      <formula>0</formula>
    </cfRule>
  </conditionalFormatting>
  <conditionalFormatting sqref="H51:K51">
    <cfRule type="cellIs" dxfId="7477" priority="82" operator="greaterThan">
      <formula>0</formula>
    </cfRule>
    <cfRule type="cellIs" dxfId="7476" priority="83" operator="lessThan">
      <formula>0</formula>
    </cfRule>
  </conditionalFormatting>
  <conditionalFormatting sqref="B51:E51">
    <cfRule type="cellIs" dxfId="7475" priority="80" operator="greaterThan">
      <formula>0</formula>
    </cfRule>
    <cfRule type="cellIs" dxfId="7474" priority="81" operator="lessThan">
      <formula>0</formula>
    </cfRule>
  </conditionalFormatting>
  <conditionalFormatting sqref="I20">
    <cfRule type="colorScale" priority="79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8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7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6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5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74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73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7473" priority="65" operator="lessThan">
      <formula>0</formula>
    </cfRule>
  </conditionalFormatting>
  <conditionalFormatting sqref="D19:D20 D22">
    <cfRule type="colorScale" priority="7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71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70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9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7472" priority="68" operator="lessThan">
      <formula>0</formula>
    </cfRule>
  </conditionalFormatting>
  <conditionalFormatting sqref="D21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6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7471" priority="63" operator="lessThan">
      <formula>0</formula>
    </cfRule>
  </conditionalFormatting>
  <conditionalFormatting sqref="A25 E25 C25">
    <cfRule type="cellIs" dxfId="7470" priority="64" operator="lessThan">
      <formula>0</formula>
    </cfRule>
  </conditionalFormatting>
  <conditionalFormatting sqref="F25">
    <cfRule type="cellIs" dxfId="7469" priority="62" operator="lessThan">
      <formula>0</formula>
    </cfRule>
  </conditionalFormatting>
  <conditionalFormatting sqref="E1">
    <cfRule type="containsText" dxfId="7468" priority="61" operator="containsText" text="本季業外損益/平均=-">
      <formula>NOT(ISERROR(SEARCH("本季業外損益/平均=-",E1)))</formula>
    </cfRule>
  </conditionalFormatting>
  <conditionalFormatting sqref="M65">
    <cfRule type="cellIs" dxfId="7467" priority="60" operator="lessThan">
      <formula>$L$65*90%</formula>
    </cfRule>
  </conditionalFormatting>
  <conditionalFormatting sqref="M66">
    <cfRule type="cellIs" dxfId="7466" priority="59" operator="lessThan">
      <formula>$L$66*90%</formula>
    </cfRule>
  </conditionalFormatting>
  <conditionalFormatting sqref="M67">
    <cfRule type="cellIs" dxfId="7465" priority="58" operator="lessThan">
      <formula>$L$67*90%</formula>
    </cfRule>
  </conditionalFormatting>
  <conditionalFormatting sqref="M68">
    <cfRule type="cellIs" dxfId="7464" priority="57" operator="lessThan">
      <formula>$L$68*90%</formula>
    </cfRule>
  </conditionalFormatting>
  <conditionalFormatting sqref="B60">
    <cfRule type="cellIs" dxfId="7463" priority="56" operator="lessThan">
      <formula>0</formula>
    </cfRule>
  </conditionalFormatting>
  <conditionalFormatting sqref="B59:F59">
    <cfRule type="cellIs" dxfId="7462" priority="55" operator="lessThanOrEqual">
      <formula>0</formula>
    </cfRule>
  </conditionalFormatting>
  <conditionalFormatting sqref="D62">
    <cfRule type="cellIs" dxfId="7461" priority="53" operator="lessThan">
      <formula>$E$62</formula>
    </cfRule>
    <cfRule type="cellIs" dxfId="7460" priority="54" operator="greaterThan">
      <formula>$E$62</formula>
    </cfRule>
  </conditionalFormatting>
  <conditionalFormatting sqref="F69">
    <cfRule type="cellIs" dxfId="7459" priority="51" operator="lessThan">
      <formula>0</formula>
    </cfRule>
  </conditionalFormatting>
  <conditionalFormatting sqref="B65:E67 B69:E69 B68:D68">
    <cfRule type="cellIs" dxfId="7458" priority="52" operator="lessThan">
      <formula>0</formula>
    </cfRule>
  </conditionalFormatting>
  <conditionalFormatting sqref="E68">
    <cfRule type="cellIs" dxfId="7457" priority="50" operator="lessThan">
      <formula>0</formula>
    </cfRule>
  </conditionalFormatting>
  <conditionalFormatting sqref="F65:F68">
    <cfRule type="cellIs" dxfId="7456" priority="49" operator="lessThan">
      <formula>0</formula>
    </cfRule>
  </conditionalFormatting>
  <conditionalFormatting sqref="F65:F68">
    <cfRule type="cellIs" dxfId="7455" priority="48" operator="lessThan">
      <formula>$E$65*0.9</formula>
    </cfRule>
  </conditionalFormatting>
  <conditionalFormatting sqref="F66">
    <cfRule type="cellIs" dxfId="7454" priority="47" operator="lessThan">
      <formula>$E$66*0.9</formula>
    </cfRule>
  </conditionalFormatting>
  <conditionalFormatting sqref="F67:F68">
    <cfRule type="cellIs" dxfId="7453" priority="46" operator="lessThan">
      <formula>$E$67*0.9</formula>
    </cfRule>
  </conditionalFormatting>
  <conditionalFormatting sqref="F68">
    <cfRule type="cellIs" dxfId="7452" priority="45" operator="lessThan">
      <formula>$E$68*0.9</formula>
    </cfRule>
  </conditionalFormatting>
  <conditionalFormatting sqref="B13:F13">
    <cfRule type="cellIs" dxfId="7451" priority="34" operator="greaterThan">
      <formula>$I$16</formula>
    </cfRule>
    <cfRule type="cellIs" dxfId="7450" priority="35" operator="lessThanOrEqual">
      <formula>$I$16</formula>
    </cfRule>
  </conditionalFormatting>
  <conditionalFormatting sqref="B10:F10">
    <cfRule type="cellIs" dxfId="7449" priority="36" operator="greaterThan">
      <formula>15</formula>
    </cfRule>
    <cfRule type="cellIs" dxfId="7448" priority="43" operator="lessThan">
      <formula>$I$9</formula>
    </cfRule>
    <cfRule type="cellIs" dxfId="7447" priority="44" operator="greaterThan">
      <formula>$I$9</formula>
    </cfRule>
  </conditionalFormatting>
  <conditionalFormatting sqref="B16:F16">
    <cfRule type="cellIs" dxfId="7446" priority="41" operator="greaterThan">
      <formula>$I$16</formula>
    </cfRule>
    <cfRule type="cellIs" dxfId="7445" priority="42" operator="lessThanOrEqual">
      <formula>$I$16</formula>
    </cfRule>
  </conditionalFormatting>
  <conditionalFormatting sqref="B15:F15">
    <cfRule type="cellIs" dxfId="7444" priority="39" operator="lessThanOrEqual">
      <formula>$I$16</formula>
    </cfRule>
    <cfRule type="cellIs" dxfId="7443" priority="40" operator="greaterThan">
      <formula>$I$16</formula>
    </cfRule>
  </conditionalFormatting>
  <conditionalFormatting sqref="B14:F14">
    <cfRule type="cellIs" dxfId="7442" priority="37" operator="greaterThan">
      <formula>$I$16</formula>
    </cfRule>
    <cfRule type="cellIs" dxfId="7441" priority="38" operator="lessThanOrEqual">
      <formula>$I$16</formula>
    </cfRule>
  </conditionalFormatting>
  <conditionalFormatting sqref="K6">
    <cfRule type="containsText" dxfId="7440" priority="32" operator="containsText" text="衰退">
      <formula>NOT(ISERROR(SEARCH("衰退",K6)))</formula>
    </cfRule>
    <cfRule type="containsText" dxfId="7439" priority="33" operator="containsText" text="成長">
      <formula>NOT(ISERROR(SEARCH("成長",K6)))</formula>
    </cfRule>
  </conditionalFormatting>
  <conditionalFormatting sqref="I4:K4">
    <cfRule type="cellIs" dxfId="7438" priority="30" operator="lessThan">
      <formula>0</formula>
    </cfRule>
    <cfRule type="cellIs" dxfId="7437" priority="31" operator="greaterThan">
      <formula>0</formula>
    </cfRule>
  </conditionalFormatting>
  <conditionalFormatting sqref="I1">
    <cfRule type="colorScale" priority="29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7436" priority="27" operator="lessThanOrEqual">
      <formula>$I$16</formula>
    </cfRule>
    <cfRule type="cellIs" dxfId="7435" priority="28" operator="greaterThan">
      <formula>$I$16</formula>
    </cfRule>
  </conditionalFormatting>
  <conditionalFormatting sqref="I6">
    <cfRule type="containsText" dxfId="7434" priority="25" operator="containsText" text="衰退">
      <formula>NOT(ISERROR(SEARCH("衰退",I6)))</formula>
    </cfRule>
    <cfRule type="containsText" dxfId="7433" priority="26" operator="containsText" text="成長">
      <formula>NOT(ISERROR(SEARCH("成長",I6)))</formula>
    </cfRule>
  </conditionalFormatting>
  <conditionalFormatting sqref="M9">
    <cfRule type="cellIs" dxfId="7432" priority="24" operator="lessThan">
      <formula>$I$9</formula>
    </cfRule>
  </conditionalFormatting>
  <conditionalFormatting sqref="M10">
    <cfRule type="cellIs" dxfId="7431" priority="23" operator="greaterThan">
      <formula>$I$9</formula>
    </cfRule>
  </conditionalFormatting>
  <conditionalFormatting sqref="M11">
    <cfRule type="cellIs" dxfId="7430" priority="22" operator="greaterThan">
      <formula>3</formula>
    </cfRule>
  </conditionalFormatting>
  <conditionalFormatting sqref="I11">
    <cfRule type="colorScale" priority="21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7429" priority="19" operator="lessThan">
      <formula>0</formula>
    </cfRule>
    <cfRule type="cellIs" dxfId="7428" priority="20" operator="greaterThan">
      <formula>0.5</formula>
    </cfRule>
  </conditionalFormatting>
  <conditionalFormatting sqref="N14">
    <cfRule type="cellIs" dxfId="7427" priority="18" operator="lessThan">
      <formula>0.8</formula>
    </cfRule>
  </conditionalFormatting>
  <conditionalFormatting sqref="I9">
    <cfRule type="colorScale" priority="17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13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7426" priority="15" operator="lessThan">
      <formula>0.1</formula>
    </cfRule>
  </conditionalFormatting>
  <conditionalFormatting sqref="I14">
    <cfRule type="cellIs" dxfId="7425" priority="16" operator="greaterThan">
      <formula>0.12</formula>
    </cfRule>
  </conditionalFormatting>
  <conditionalFormatting sqref="J16">
    <cfRule type="colorScale" priority="14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7424" priority="12" operator="greaterThan">
      <formula>1</formula>
    </cfRule>
  </conditionalFormatting>
  <conditionalFormatting sqref="I15">
    <cfRule type="colorScale" priority="11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7423" priority="1" operator="lessThan">
      <formula>$N$5*0.9</formula>
    </cfRule>
    <cfRule type="cellIs" dxfId="7422" priority="2" operator="greaterThan">
      <formula>$N$5*1.1</formula>
    </cfRule>
  </conditionalFormatting>
  <hyperlinks>
    <hyperlink ref="L1" location="儀表板!A1" display="(回首頁)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76"/>
  <sheetViews>
    <sheetView workbookViewId="0"/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3.94 ~ 13.78</v>
      </c>
      <c r="L1" s="83" t="s">
        <v>176</v>
      </c>
      <c r="M1" s="84" t="str">
        <f ca="1">VLOOKUP(_xlfn.NUMBERVALUE(N1),儀表板!A:B,2,FALSE)</f>
        <v>佳格</v>
      </c>
      <c r="N1" s="85" t="str">
        <f ca="1">MID(CELL("filename",L1),FIND("]",CELL("filename",L1))+1,255)</f>
        <v>1227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0.19575828441020121</v>
      </c>
    </row>
    <row r="3" spans="1:15" s="93" customFormat="1" x14ac:dyDescent="0.25">
      <c r="A3" s="81" t="s">
        <v>179</v>
      </c>
      <c r="B3" s="94">
        <f>SUM(F19:F22,F24:F27,J19)</f>
        <v>84.289979774543539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57.740599875038974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61.478300538090863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66.378563614734134</v>
      </c>
      <c r="L3" s="100"/>
      <c r="M3" s="79" t="s">
        <v>385</v>
      </c>
      <c r="N3" s="92">
        <f>(F69-E69)/E69</f>
        <v>-0.20592310229466557</v>
      </c>
    </row>
    <row r="4" spans="1:15" s="93" customFormat="1" x14ac:dyDescent="0.25">
      <c r="A4" s="81" t="s">
        <v>182</v>
      </c>
      <c r="B4" s="96">
        <f>SUM(G36:G40)*2</f>
        <v>90</v>
      </c>
      <c r="C4" s="101"/>
      <c r="D4" s="102">
        <f>F4*(1+F141/10)</f>
        <v>91.52000000000001</v>
      </c>
      <c r="E4" s="82">
        <f>(D4-F4)/F4</f>
        <v>4.0000000000000119E-2</v>
      </c>
      <c r="F4" s="103">
        <v>88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2.5013422277718034</v>
      </c>
    </row>
    <row r="5" spans="1:15" s="93" customFormat="1" x14ac:dyDescent="0.25">
      <c r="A5" s="81" t="s">
        <v>184</v>
      </c>
      <c r="B5" s="107">
        <f>SUM(F30:F34)*2</f>
        <v>96.644128728414444</v>
      </c>
      <c r="C5" s="87"/>
      <c r="D5" s="87"/>
      <c r="E5" s="87"/>
      <c r="F5" s="86"/>
      <c r="G5" s="88"/>
      <c r="M5" s="79" t="s">
        <v>375</v>
      </c>
      <c r="N5" s="152">
        <f>D62</f>
        <v>2.5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2.6569944247822752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32.630000000000003</v>
      </c>
      <c r="N9" s="129"/>
    </row>
    <row r="10" spans="1:15" s="93" customFormat="1" x14ac:dyDescent="0.25">
      <c r="A10" s="123" t="s">
        <v>194</v>
      </c>
      <c r="B10" s="126">
        <f>PERCENTILE(176:176,B9)</f>
        <v>22.25</v>
      </c>
      <c r="C10" s="126">
        <f>PERCENTILE(176:176,C9)</f>
        <v>23.094999999999999</v>
      </c>
      <c r="D10" s="126">
        <f>PERCENTILE(176:176,D9)</f>
        <v>24.59</v>
      </c>
      <c r="E10" s="126">
        <f>PERCENTILE(176:176,E9)</f>
        <v>26.55</v>
      </c>
      <c r="F10" s="126">
        <f>PERCENTILE(176:176,F9)</f>
        <v>28.79</v>
      </c>
      <c r="G10" s="95"/>
      <c r="H10" s="135"/>
      <c r="I10" s="135"/>
      <c r="J10" s="135"/>
      <c r="K10" s="135"/>
      <c r="L10" s="136" t="s">
        <v>374</v>
      </c>
      <c r="M10" s="130">
        <f>MIN(176:176)</f>
        <v>17.010000000000002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15.57</v>
      </c>
      <c r="L11" s="272" t="s">
        <v>193</v>
      </c>
      <c r="M11" s="128">
        <f>STDEV(176:176)</f>
        <v>3.9908454952052126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22.408963585434179</v>
      </c>
      <c r="C13" s="141">
        <f>$B$34/5.88%</f>
        <v>27.210884353741498</v>
      </c>
      <c r="D13" s="141">
        <f>$B$34/5%</f>
        <v>32</v>
      </c>
      <c r="E13" s="141">
        <f>$B$34/4.35%</f>
        <v>36.781609195402304</v>
      </c>
      <c r="F13" s="141">
        <f>$B$34/3.85%</f>
        <v>41.558441558441558</v>
      </c>
      <c r="G13" s="138" t="str">
        <f>"$"&amp;ROUND(B34,2)&amp;"/"&amp;IF(STDEV(C140:F140)/AVERAGE(C140:F140)&lt;15%,"高",IF(STDEV(C140:F140)/AVERAGE(C140:F140)&lt;30%,"中","低"))</f>
        <v>$1.6/高</v>
      </c>
      <c r="H13" s="142" t="s">
        <v>199</v>
      </c>
      <c r="I13" s="143">
        <f>MAX(0,1-J15)</f>
        <v>0.49206349206349198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70.866250000000008</v>
      </c>
      <c r="C14" s="141">
        <f>$B$33*C10</f>
        <v>73.557575</v>
      </c>
      <c r="D14" s="141">
        <f>$B$33*D10</f>
        <v>78.319150000000008</v>
      </c>
      <c r="E14" s="141">
        <f>$B$33*E10</f>
        <v>84.561750000000004</v>
      </c>
      <c r="F14" s="141">
        <f>$B$33*F10</f>
        <v>91.696150000000003</v>
      </c>
      <c r="G14" s="138" t="str">
        <f>"$"&amp;ROUND(B33,2)&amp;"/"&amp;IF(STDEV(B69:E69)/AVERAGE(B69:E69)&lt;15%,"高",IF(STDEV(B69:E69)/AVERAGE(B69:E69)&lt;30%,"中","低"))</f>
        <v>$3.19/高</v>
      </c>
      <c r="H14" s="142" t="s">
        <v>203</v>
      </c>
      <c r="I14" s="145">
        <f>G62/100*I13</f>
        <v>7.7795238095238098E-2</v>
      </c>
      <c r="J14" s="76" t="s">
        <v>204</v>
      </c>
      <c r="K14" s="146"/>
      <c r="L14" s="147">
        <f>(HLOOKUP($C$1,$105:$106,2,FALSE)-HLOOKUP($C$1,$117:$127,9,FALSE))/(HLOOKUP($C$1,$117:$128,12,FALSE)/K11)</f>
        <v>1.0456819868443188</v>
      </c>
      <c r="M14" s="148">
        <f>E135/E69</f>
        <v>0.65396825396825398</v>
      </c>
      <c r="N14" s="149">
        <f>F173/100</f>
        <v>0.85860000000000003</v>
      </c>
    </row>
    <row r="15" spans="1:15" s="93" customFormat="1" x14ac:dyDescent="0.25">
      <c r="A15" s="140" t="s">
        <v>375</v>
      </c>
      <c r="B15" s="141">
        <f>$D$62*B10</f>
        <v>55.625</v>
      </c>
      <c r="C15" s="141">
        <f>$D$62*C10</f>
        <v>57.737499999999997</v>
      </c>
      <c r="D15" s="141">
        <f>$D$62*D10</f>
        <v>61.475000000000001</v>
      </c>
      <c r="E15" s="141">
        <f>$D$62*E10</f>
        <v>66.375</v>
      </c>
      <c r="F15" s="141">
        <f>$D$62*F10</f>
        <v>71.974999999999994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0.50793650793650802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55.654864567922623</v>
      </c>
      <c r="C16" s="141">
        <f>$F$69*C10</f>
        <v>57.768498750389796</v>
      </c>
      <c r="D16" s="141">
        <f>$F$69*D10</f>
        <v>61.508005380908642</v>
      </c>
      <c r="E16" s="141">
        <f>$F$69*E10</f>
        <v>66.410636147341378</v>
      </c>
      <c r="F16" s="141">
        <f>$F$69*F10</f>
        <v>72.013642737550214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1416</v>
      </c>
      <c r="J17" s="92">
        <f ca="1">IF(I17&lt;=0,"",IF(I17&lt;=MIN($B$13:$F$16),(I17-MIN($B$13:$F$16))/MIN($B$13:$F$16),IF(I17&gt;=MAX($B$13:$F$16),I17/MAX($B$13:$F$16),PERCENTRANK($B$13:$F$16,I17))))</f>
        <v>15.442305920150408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1.4325000000000001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16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0.89531250000000007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0.23593822084024577</v>
      </c>
      <c r="J20" s="171">
        <f>HLOOKUP($C$1,$117:$127,11,FALSE)/HLOOKUP($C$1,$105:$115,11,FALSE)</f>
        <v>0.31408503699867707</v>
      </c>
      <c r="K20" s="163"/>
    </row>
    <row r="21" spans="1:14" s="93" customFormat="1" x14ac:dyDescent="0.25">
      <c r="A21" s="151" t="s">
        <v>201</v>
      </c>
      <c r="B21" s="161">
        <f>AVERAGE(C173:F173)/100</f>
        <v>0.92055000000000009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14.28495</v>
      </c>
      <c r="G21" s="88" t="s">
        <v>220</v>
      </c>
      <c r="H21" s="123" t="s">
        <v>221</v>
      </c>
      <c r="I21" s="162">
        <f>HLOOKUP($C$1,$105:$115,7,FALSE)/HLOOKUP($C$1,$117:$127,8,FALSE)</f>
        <v>2.2439628640950566</v>
      </c>
      <c r="J21" s="78"/>
      <c r="K21" s="164" t="s">
        <v>356</v>
      </c>
      <c r="L21" s="165">
        <f>HLOOKUP($C$1,$105:$115,7,FALSE)/HLOOKUP($C$1,$105:$115,11,FALSE)</f>
        <v>0.6549859994683922</v>
      </c>
      <c r="M21" s="123" t="s">
        <v>268</v>
      </c>
      <c r="N21" s="165">
        <f>HLOOKUP($C$1,$117:$127,8,FALSE)/HLOOKUP($C$1,$117:$127,11,FALSE)</f>
        <v>0.92932817560552405</v>
      </c>
    </row>
    <row r="22" spans="1:14" s="93" customFormat="1" x14ac:dyDescent="0.25">
      <c r="A22" s="140" t="s">
        <v>222</v>
      </c>
      <c r="B22" s="161">
        <f>(-1)*SUM(C133:F133)/SUM(C132:F132)</f>
        <v>0.49381625441696109</v>
      </c>
      <c r="C22" s="157"/>
      <c r="D22" s="166"/>
      <c r="E22" s="140"/>
      <c r="F22" s="159">
        <f>IF(B22&lt;=0,10,IF(B22&gt;=100%,0,(1-B22)*10))</f>
        <v>5.0618374558303891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1.5286838983214395</v>
      </c>
      <c r="J22" s="78"/>
      <c r="K22" s="142" t="s">
        <v>357</v>
      </c>
      <c r="L22" s="165">
        <f>HLOOKUP($C$1,$105:$115,4,FALSE)/HLOOKUP($C$1,$105:$115,11,FALSE)</f>
        <v>0.2452538637037173</v>
      </c>
      <c r="M22" s="123" t="s">
        <v>353</v>
      </c>
      <c r="N22" s="165">
        <f>HLOOKUP($C$1,$117:$127,4,FALSE)/HLOOKUP($C$1,$117:$127,11,FALSE)</f>
        <v>0.24880782894079886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1.4579066705650381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0.20878139999205644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0.99288238455768463</v>
      </c>
      <c r="C24" s="169">
        <f>STDEV(C103:F103)</f>
        <v>4.1503582862694724E-3</v>
      </c>
      <c r="D24" s="76" t="str">
        <f>IF(C24/B24&lt;15%,"高",IF(C24/B24&lt;30%,"中","低"))</f>
        <v>高</v>
      </c>
      <c r="E24" s="149"/>
      <c r="F24" s="160">
        <f>MIN(100%,B24)*5</f>
        <v>4.9644119227884236</v>
      </c>
      <c r="G24" s="88" t="s">
        <v>229</v>
      </c>
      <c r="H24" s="123" t="s">
        <v>16</v>
      </c>
      <c r="I24" s="170">
        <f>HLOOKUP(C1,167:170,2,FALSE)</f>
        <v>57.32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6.820938891078461E-2</v>
      </c>
      <c r="M24" s="123" t="s">
        <v>355</v>
      </c>
      <c r="N24" s="165">
        <f>HLOOKUP($C$1,$117:$127,9,FALSE)/HLOOKUP($C$1,$117:$127,11,FALSE)</f>
        <v>7.0671824394475891E-2</v>
      </c>
    </row>
    <row r="25" spans="1:14" s="93" customFormat="1" x14ac:dyDescent="0.25">
      <c r="A25" s="151" t="s">
        <v>366</v>
      </c>
      <c r="B25" s="255">
        <f>AVERAGE(94:94)</f>
        <v>43621.521739130432</v>
      </c>
      <c r="C25" s="254">
        <f>STDEV(94:94)/AVERAGE(94:94)</f>
        <v>1.0212196040752803</v>
      </c>
      <c r="D25" s="76" t="str">
        <f>IF(C25&lt;=1,"高",IF(C25&lt;=2,"中","低"))</f>
        <v>中</v>
      </c>
      <c r="E25" s="149"/>
      <c r="F25" s="160">
        <f>MAX(0,10-ABS(C25))</f>
        <v>8.9787803959247192</v>
      </c>
      <c r="G25" s="88" t="s">
        <v>213</v>
      </c>
      <c r="H25" s="123" t="s">
        <v>232</v>
      </c>
      <c r="I25" s="170">
        <f>IF(HLOOKUP(C1,167:170,3,FALSE)="無",0,HLOOKUP(C1,167:170,3,FALSE))</f>
        <v>78.260000000000005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60.257391304347827</v>
      </c>
      <c r="C26" s="172">
        <f>IF(COUNTIF(168:168,"&gt;0")=0,0,STDEV(168:168))</f>
        <v>5.948433878984301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75.41304347826086</v>
      </c>
      <c r="C27" s="172">
        <f>IF(COUNTIF(169:169,"&gt;0")=0,0,STDEV(169:169))</f>
        <v>9.4434192742319443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0.29342499999999999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9.8150000000000001E-2</v>
      </c>
      <c r="C31" s="157" t="s">
        <v>217</v>
      </c>
      <c r="D31" s="174">
        <f>COUNTIF(149:149,"&gt;8")/COUNT(149:149)</f>
        <v>0.73913043478260865</v>
      </c>
      <c r="E31" s="140" t="s">
        <v>241</v>
      </c>
      <c r="F31" s="159">
        <f>MIN(B31/10%*10,10)</f>
        <v>9.8149999999999995</v>
      </c>
      <c r="G31" s="175"/>
    </row>
    <row r="32" spans="1:14" x14ac:dyDescent="0.25">
      <c r="A32" s="155" t="s">
        <v>47</v>
      </c>
      <c r="B32" s="177">
        <f>AVERAGE(C165:F165)</f>
        <v>19.107500000000002</v>
      </c>
      <c r="C32" s="157" t="s">
        <v>217</v>
      </c>
      <c r="D32" s="174">
        <f>COUNTIF(159:159,"&gt;3")/COUNT(159:159)</f>
        <v>0.91304347826086951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3.1850000000000001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1.6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8.5070643642072206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23691842.25</v>
      </c>
      <c r="C36" s="178">
        <f>STDEV(C97:F97)</f>
        <v>3125753.9681681469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29.342500000000001</v>
      </c>
      <c r="C37" s="180">
        <f>STDEV(C152:F152)</f>
        <v>1.6258203057738789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11.2675</v>
      </c>
      <c r="C38" s="180">
        <f>STDEV(C153:F153)</f>
        <v>1.2616754733290174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19.107500000000002</v>
      </c>
      <c r="C39" s="181">
        <f>STDEV(C165:F165)</f>
        <v>1.6549597175359487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3.1850000000000001</v>
      </c>
      <c r="C40" s="183">
        <f>STDEV(B69:E69)</f>
        <v>0.30740852297878796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0.10000000000000009</v>
      </c>
      <c r="C44" s="186">
        <f>(C46-C49)/C49</f>
        <v>-0.54716981132075471</v>
      </c>
      <c r="D44" s="186">
        <f>(D46-D49)/D49</f>
        <v>-0.38738738738738737</v>
      </c>
      <c r="E44" s="186">
        <f>(E46-E49)/E49</f>
        <v>6.5789473684210578E-2</v>
      </c>
      <c r="G44" s="86" t="s">
        <v>175</v>
      </c>
      <c r="H44" s="186">
        <f>(H47-H50)/H50</f>
        <v>0.21105527638190974</v>
      </c>
      <c r="I44" s="186">
        <f>(I47-I50)/I50</f>
        <v>-0.27694090382387021</v>
      </c>
      <c r="J44" s="186">
        <f>(J47-J50)/J50</f>
        <v>-0.16505524861878465</v>
      </c>
      <c r="K44" s="186">
        <f>(K47-K50)/K50</f>
        <v>-8.4482758620689685E-2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0.77</v>
      </c>
      <c r="C46" s="152">
        <f>HLOOKUP(C45,$81:$82,2,FALSE)</f>
        <v>0.24</v>
      </c>
      <c r="D46" s="152">
        <f>HLOOKUP(D45,$81:$82,2,FALSE)</f>
        <v>0.68</v>
      </c>
      <c r="E46" s="152">
        <f>HLOOKUP(E45,$81:$82,2,FALSE)</f>
        <v>0.81</v>
      </c>
      <c r="G46" s="86" t="s">
        <v>164</v>
      </c>
      <c r="H46" s="145">
        <f>HLOOKUP(H45,$145:$147,2,FALSE)/100</f>
        <v>0.29260000000000003</v>
      </c>
      <c r="I46" s="145">
        <f>HLOOKUP(I45,$145:$147,2,FALSE)/100</f>
        <v>0.26429999999999998</v>
      </c>
      <c r="J46" s="145">
        <f>HLOOKUP(J45,$145:$147,2,FALSE)/100</f>
        <v>0.2883</v>
      </c>
      <c r="K46" s="145">
        <f>HLOOKUP(K45,$145:$147,2,FALSE)/100</f>
        <v>0.2747</v>
      </c>
    </row>
    <row r="47" spans="1:14" x14ac:dyDescent="0.25">
      <c r="A47" s="188" t="s">
        <v>165</v>
      </c>
      <c r="B47" s="189">
        <f>HLOOKUP(B45,$157:$159,3,FALSE)</f>
        <v>5.12</v>
      </c>
      <c r="C47" s="189">
        <f>HLOOKUP(C45,$157:$159,3,FALSE)</f>
        <v>1.54</v>
      </c>
      <c r="D47" s="189">
        <f>HLOOKUP(D45,$157:$159,3,FALSE)</f>
        <v>4.08</v>
      </c>
      <c r="E47" s="189">
        <f>HLOOKUP(E45,$157:$159,3,FALSE)</f>
        <v>5.07</v>
      </c>
      <c r="G47" s="190" t="s">
        <v>166</v>
      </c>
      <c r="H47" s="145">
        <f>HLOOKUP(H45,$145:$147,3,FALSE)/100</f>
        <v>0.12050000000000001</v>
      </c>
      <c r="I47" s="145">
        <f>HLOOKUP(I45,$145:$147,3,FALSE)/100</f>
        <v>6.2400000000000004E-2</v>
      </c>
      <c r="J47" s="145">
        <f>HLOOKUP(J45,$145:$147,3,FALSE)/100</f>
        <v>0.12089999999999999</v>
      </c>
      <c r="K47" s="145">
        <f>HLOOKUP(K45,$145:$147,3,FALSE)/100</f>
        <v>0.10619999999999999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0.7</v>
      </c>
      <c r="C49" s="152">
        <f>HLOOKUP(C48,$81:$82,2,FALSE)</f>
        <v>0.53</v>
      </c>
      <c r="D49" s="152">
        <f>HLOOKUP(D48,$81:$82,2,FALSE)</f>
        <v>1.1100000000000001</v>
      </c>
      <c r="E49" s="152">
        <f>HLOOKUP(E48,$81:$82,2,FALSE)</f>
        <v>0.76</v>
      </c>
      <c r="G49" s="86" t="s">
        <v>164</v>
      </c>
      <c r="H49" s="145">
        <f>HLOOKUP(H48,$145:$147,2,FALSE)/100</f>
        <v>0.29070000000000001</v>
      </c>
      <c r="I49" s="145">
        <f>HLOOKUP(I48,$145:$147,2,FALSE)/100</f>
        <v>0.2979</v>
      </c>
      <c r="J49" s="145">
        <f>HLOOKUP(J48,$145:$147,2,FALSE)/100</f>
        <v>0.32</v>
      </c>
      <c r="K49" s="145">
        <f>HLOOKUP(K48,$145:$147,2,FALSE)/100</f>
        <v>0.29899999999999999</v>
      </c>
    </row>
    <row r="50" spans="1:15" x14ac:dyDescent="0.25">
      <c r="A50" s="188" t="s">
        <v>165</v>
      </c>
      <c r="B50" s="189">
        <f>HLOOKUP(B48,$157:$159,3,FALSE)</f>
        <v>4.59</v>
      </c>
      <c r="C50" s="189">
        <f>HLOOKUP(C48,$157:$159,3,FALSE)</f>
        <v>3.07</v>
      </c>
      <c r="D50" s="189">
        <f>HLOOKUP(D48,$157:$159,3,FALSE)</f>
        <v>6.33</v>
      </c>
      <c r="E50" s="189">
        <f>HLOOKUP(E48,$157:$159,3,FALSE)</f>
        <v>4.5199999999999996</v>
      </c>
      <c r="G50" s="190" t="s">
        <v>166</v>
      </c>
      <c r="H50" s="145">
        <f>HLOOKUP(H48,$145:$147,3,FALSE)/100</f>
        <v>9.9499999999999991E-2</v>
      </c>
      <c r="I50" s="145">
        <f>HLOOKUP(I48,$145:$147,3,FALSE)/100</f>
        <v>8.6300000000000002E-2</v>
      </c>
      <c r="J50" s="145">
        <f>HLOOKUP(J48,$145:$147,3,FALSE)/100</f>
        <v>0.14480000000000001</v>
      </c>
      <c r="K50" s="145">
        <f>HLOOKUP(K48,$145:$147,3,FALSE)/100</f>
        <v>0.11599999999999999</v>
      </c>
    </row>
    <row r="51" spans="1:15" x14ac:dyDescent="0.25">
      <c r="A51" s="86" t="s">
        <v>351</v>
      </c>
      <c r="B51" s="186">
        <f>(B47-B50)/B50</f>
        <v>0.1154684095860567</v>
      </c>
      <c r="C51" s="186">
        <f>(C47-C50)/C50</f>
        <v>-0.49837133550488594</v>
      </c>
      <c r="D51" s="186">
        <f>(D47-D50)/D50</f>
        <v>-0.35545023696682465</v>
      </c>
      <c r="E51" s="186">
        <f>(E47-E50)/E50</f>
        <v>0.12168141592920372</v>
      </c>
      <c r="G51" s="235" t="s">
        <v>174</v>
      </c>
      <c r="H51" s="186">
        <f>(H46-H49)/H49</f>
        <v>6.5359477124183442E-3</v>
      </c>
      <c r="I51" s="186">
        <f>(I46-I49)/I49</f>
        <v>-0.11278952668680772</v>
      </c>
      <c r="J51" s="186">
        <f>(J46-J49)/J49</f>
        <v>-9.9062500000000012E-2</v>
      </c>
      <c r="K51" s="186">
        <f>(K46-K49)/K49</f>
        <v>-8.127090301003341E-2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2.6569944247822752</v>
      </c>
      <c r="B53" s="193">
        <f>B46</f>
        <v>0.77</v>
      </c>
      <c r="C53" s="193">
        <f>E46/HLOOKUP(E45,$87:$94,5,FALSE)*HLOOKUP(E45,$87:$94,4,FALSE)*($B$25/HLOOKUP(E45,$87:$94,4,FALSE)+SUM($B$57:$D$57)/SUM($B58:$D$58)*$G$69/100/K46)</f>
        <v>0.81134222777180298</v>
      </c>
      <c r="D53" s="193">
        <f>D46/HLOOKUP(D45,$87:$94,5,FALSE)*HLOOKUP(D45,$87:$94,4,FALSE)*($B$25/HLOOKUP(D45,$87:$94,4,FALSE)+SUM($B$57:$D$57)/SUM($B58:$D$58)*$G$69/100/J46)</f>
        <v>0.77066240240166006</v>
      </c>
      <c r="E53" s="193">
        <f>C46/HLOOKUP(C45,$87:$94,5,FALSE)*HLOOKUP(C45,$87:$94,4,FALSE)*($B$25/HLOOKUP(C45,$87:$94,4,FALSE)+SUM($B$57:$D$57)/SUM($B58:$D$58)*$G$69/100/I46)</f>
        <v>0.30498979460881187</v>
      </c>
    </row>
    <row r="54" spans="1:15" x14ac:dyDescent="0.25">
      <c r="A54" s="278">
        <f>SUM(B54:E54)</f>
        <v>2.4299999999999997</v>
      </c>
      <c r="B54" s="277">
        <f t="shared" ref="B54:D54" si="0">HLOOKUP(B52-10,81:82,2,FALSE)</f>
        <v>0.7</v>
      </c>
      <c r="C54" s="277">
        <f t="shared" si="0"/>
        <v>0.81</v>
      </c>
      <c r="D54" s="277">
        <f t="shared" si="0"/>
        <v>0.68</v>
      </c>
      <c r="E54" s="277">
        <f>HLOOKUP(E52-10,81:82,2,FALSE)</f>
        <v>0.24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2094827</v>
      </c>
      <c r="C57" s="196">
        <f>HLOOKUP(C56,78:79,2,FALSE)</f>
        <v>3096087</v>
      </c>
      <c r="D57" s="196">
        <f>HLOOKUP(D56,78:79,2,FALSE)</f>
        <v>2444037</v>
      </c>
      <c r="E57" s="196">
        <f>HLOOKUP(E56,78:79,2,FALSE)</f>
        <v>1834591</v>
      </c>
      <c r="F57" s="196">
        <f>HLOOKUP(F56,78:79,2,FALSE)</f>
        <v>1911994</v>
      </c>
      <c r="G57" s="196">
        <f t="shared" ref="G57:M57" si="2">HLOOKUP(G56,78:79,2,FALSE)</f>
        <v>1880018</v>
      </c>
      <c r="H57" s="196">
        <f t="shared" si="2"/>
        <v>1712813</v>
      </c>
      <c r="I57" s="196">
        <f t="shared" si="2"/>
        <v>1603176</v>
      </c>
      <c r="J57" s="196">
        <f t="shared" si="2"/>
        <v>1414397</v>
      </c>
      <c r="K57" s="196">
        <f t="shared" si="2"/>
        <v>3473609</v>
      </c>
      <c r="L57" s="196">
        <f t="shared" si="2"/>
        <v>3160613</v>
      </c>
      <c r="M57" s="196">
        <f t="shared" si="2"/>
        <v>2480981</v>
      </c>
      <c r="N57" s="197"/>
    </row>
    <row r="58" spans="1:15" x14ac:dyDescent="0.25">
      <c r="A58" s="198" t="s">
        <v>253</v>
      </c>
      <c r="B58" s="196">
        <f>HLOOKUP(B56-100,78:79,2,FALSE)</f>
        <v>1883037</v>
      </c>
      <c r="C58" s="196">
        <f>HLOOKUP(C56-100,78:79,2,FALSE)</f>
        <v>2646459</v>
      </c>
      <c r="D58" s="196">
        <f>HLOOKUP(D56-100,78:79,2,FALSE)</f>
        <v>2422743</v>
      </c>
      <c r="E58" s="196">
        <f>HLOOKUP(E56-100,78:79,2,FALSE)</f>
        <v>1821794</v>
      </c>
      <c r="F58" s="196">
        <f>HLOOKUP(F56-100,78:79,2,FALSE)</f>
        <v>1869329</v>
      </c>
      <c r="G58" s="196">
        <f t="shared" ref="G58:M58" si="3">HLOOKUP(G56-100,78:79,2,FALSE)</f>
        <v>1721994</v>
      </c>
      <c r="H58" s="196">
        <f t="shared" si="3"/>
        <v>1642669</v>
      </c>
      <c r="I58" s="196">
        <f t="shared" si="3"/>
        <v>1460198</v>
      </c>
      <c r="J58" s="196">
        <f t="shared" si="3"/>
        <v>1656304</v>
      </c>
      <c r="K58" s="196">
        <f t="shared" si="3"/>
        <v>4305506</v>
      </c>
      <c r="L58" s="196">
        <f t="shared" si="3"/>
        <v>2542983</v>
      </c>
      <c r="M58" s="196">
        <f t="shared" si="3"/>
        <v>1896134</v>
      </c>
      <c r="N58" s="197"/>
    </row>
    <row r="59" spans="1:15" x14ac:dyDescent="0.25">
      <c r="A59" s="199" t="s">
        <v>254</v>
      </c>
      <c r="B59" s="165">
        <f>IF(B57&lt;&gt;"",(B57-B58)/B58,"")</f>
        <v>0.11247256426719178</v>
      </c>
      <c r="C59" s="165">
        <f>IF(C57&lt;&gt;"",(C57-C58)/C58,"")</f>
        <v>0.16989796554565931</v>
      </c>
      <c r="D59" s="165">
        <f>IF(D57&lt;&gt;"",(D57-D58)/D58,"")</f>
        <v>8.7892112370152337E-3</v>
      </c>
      <c r="E59" s="165">
        <f>IF(E57&lt;&gt;"",(E57-E58)/E58,"")</f>
        <v>7.0243946351782917E-3</v>
      </c>
      <c r="F59" s="165">
        <f>IF(F57&lt;&gt;"",(F57-F58)/F58,"")</f>
        <v>2.2823697701153729E-2</v>
      </c>
      <c r="G59" s="165">
        <f t="shared" ref="G59:M59" si="4">IF(G57&lt;&gt;"",(G57-G58)/G58,"")</f>
        <v>9.1768031712073331E-2</v>
      </c>
      <c r="H59" s="165">
        <f t="shared" si="4"/>
        <v>4.2701238046131025E-2</v>
      </c>
      <c r="I59" s="165">
        <f t="shared" si="4"/>
        <v>9.7916857850784619E-2</v>
      </c>
      <c r="J59" s="165">
        <f t="shared" si="4"/>
        <v>-0.14605229474782408</v>
      </c>
      <c r="K59" s="165">
        <f t="shared" si="4"/>
        <v>-0.19321701096224231</v>
      </c>
      <c r="L59" s="165">
        <f t="shared" si="4"/>
        <v>0.24287618124069252</v>
      </c>
      <c r="M59" s="165">
        <f t="shared" si="4"/>
        <v>0.30844180843758934</v>
      </c>
    </row>
    <row r="60" spans="1:15" x14ac:dyDescent="0.25">
      <c r="A60" s="195" t="s">
        <v>255</v>
      </c>
      <c r="B60" s="196">
        <f>SUM(B57:M57)</f>
        <v>27107143</v>
      </c>
    </row>
    <row r="61" spans="1:15" x14ac:dyDescent="0.25">
      <c r="A61" s="198" t="s">
        <v>256</v>
      </c>
      <c r="B61" s="196">
        <f>SUM(B58:M58)</f>
        <v>25869150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1.0478559597048995</v>
      </c>
      <c r="D62" s="152">
        <f>SUM(B46:E46)</f>
        <v>2.5</v>
      </c>
      <c r="E62" s="152">
        <f>SUM(B49:E49)</f>
        <v>3.0999999999999996</v>
      </c>
      <c r="G62" s="126">
        <f>SUM(B47:E47)</f>
        <v>15.81</v>
      </c>
      <c r="H62" s="126">
        <f>SUM(B50:E50)</f>
        <v>18.509999999999998</v>
      </c>
      <c r="J62" s="200">
        <f>AVERAGE(H46:K46)</f>
        <v>0.27997499999999997</v>
      </c>
      <c r="K62" s="200">
        <f>AVERAGE(H49:K49)</f>
        <v>0.3019</v>
      </c>
      <c r="M62" s="200">
        <f>AVERAGE(H47:K47)</f>
        <v>0.10250000000000001</v>
      </c>
      <c r="N62" s="200">
        <f>AVERAGE(H50:K50)</f>
        <v>0.11165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1.23</v>
      </c>
      <c r="C65" s="205">
        <f t="shared" si="5"/>
        <v>0.82</v>
      </c>
      <c r="D65" s="205">
        <f t="shared" si="5"/>
        <v>1.27</v>
      </c>
      <c r="E65" s="205">
        <f t="shared" si="5"/>
        <v>1.1100000000000001</v>
      </c>
      <c r="F65" s="206">
        <f>IF(ISNA(HLOOKUP(F$64*10+$A65,$81:$82,2,FALSE)),(HLOOKUP(E$64*10+$A65,$87:$94,4,FALSE)*$G65+$B$25)/HLOOKUP(E$64*10+$A65,$87:$94,5,FALSE)*$E65,HLOOKUP(F$64*10+$A65,$81:$82,2,FALSE))</f>
        <v>0.68</v>
      </c>
      <c r="G65" s="101">
        <f>MIN(130%,SUM($B$57:$D$57)/SUM($B$58:$D$58)*$G$69/HLOOKUP(E$64*10+$A65,$145:$146,2,FALSE))</f>
        <v>0.90218069630147557</v>
      </c>
      <c r="H65" s="204">
        <v>1</v>
      </c>
      <c r="I65" s="208">
        <f t="shared" ref="I65:M68" si="6">IF(ISNA(HLOOKUP(I$64*10+$H65,$145:$147,3,FALSE)),"",HLOOKUP(I$64*10+$H65,$145:$147,3,FALSE)/100)</f>
        <v>0.14760000000000001</v>
      </c>
      <c r="J65" s="208">
        <f t="shared" si="6"/>
        <v>0.1226</v>
      </c>
      <c r="K65" s="208">
        <f t="shared" si="6"/>
        <v>0.1666</v>
      </c>
      <c r="L65" s="208">
        <f t="shared" si="6"/>
        <v>0.14480000000000001</v>
      </c>
      <c r="M65" s="209">
        <f t="shared" si="6"/>
        <v>0.12089999999999999</v>
      </c>
      <c r="N65" s="256">
        <f t="shared" ref="N65:O68" si="7">HLOOKUP(E$64*10+$A65,$87:$94,8,FALSE)</f>
        <v>33915</v>
      </c>
      <c r="O65" s="256">
        <f t="shared" si="7"/>
        <v>-52904</v>
      </c>
      <c r="P65" s="210"/>
    </row>
    <row r="66" spans="1:71" x14ac:dyDescent="0.25">
      <c r="A66" s="204">
        <v>2</v>
      </c>
      <c r="B66" s="205">
        <f t="shared" si="5"/>
        <v>0.51</v>
      </c>
      <c r="C66" s="205">
        <f t="shared" si="5"/>
        <v>0.46</v>
      </c>
      <c r="D66" s="205">
        <f t="shared" si="5"/>
        <v>0.52</v>
      </c>
      <c r="E66" s="205">
        <f t="shared" si="5"/>
        <v>0.53</v>
      </c>
      <c r="F66" s="206">
        <f>IF(ISNA(HLOOKUP(F$64*10+$A66,$81:$82,2,FALSE)),(HLOOKUP(E$64*10+$A66,$87:$94,4,FALSE)*$G66+$B$25)/HLOOKUP(E$64*10+$A66,$87:$94,5,FALSE)*$E66,HLOOKUP(F$64*10+$A66,$81:$82,2,FALSE))</f>
        <v>0.24</v>
      </c>
      <c r="G66" s="101">
        <f>MIN(130%,SUM($B$57:$D$57)/SUM($B$58:$D$58)*$G$69/HLOOKUP(E$64*10+$A66,$145:$146,2,FALSE))</f>
        <v>0.96910984496969521</v>
      </c>
      <c r="H66" s="204">
        <v>2</v>
      </c>
      <c r="I66" s="208">
        <f t="shared" si="6"/>
        <v>8.6300000000000002E-2</v>
      </c>
      <c r="J66" s="208">
        <f t="shared" si="6"/>
        <v>8.4900000000000003E-2</v>
      </c>
      <c r="K66" s="208">
        <f t="shared" si="6"/>
        <v>7.1500000000000008E-2</v>
      </c>
      <c r="L66" s="208">
        <f t="shared" si="6"/>
        <v>8.6300000000000002E-2</v>
      </c>
      <c r="M66" s="209">
        <f t="shared" si="6"/>
        <v>6.2400000000000004E-2</v>
      </c>
      <c r="N66" s="256">
        <f t="shared" si="7"/>
        <v>61790</v>
      </c>
      <c r="O66" s="256">
        <f t="shared" si="7"/>
        <v>-13948</v>
      </c>
      <c r="P66" s="210"/>
    </row>
    <row r="67" spans="1:71" x14ac:dyDescent="0.25">
      <c r="A67" s="204">
        <v>3</v>
      </c>
      <c r="B67" s="205">
        <f t="shared" si="5"/>
        <v>0.61</v>
      </c>
      <c r="C67" s="205">
        <f t="shared" si="5"/>
        <v>0.98</v>
      </c>
      <c r="D67" s="205">
        <f t="shared" si="5"/>
        <v>1.08</v>
      </c>
      <c r="E67" s="205">
        <f t="shared" si="5"/>
        <v>0.7</v>
      </c>
      <c r="F67" s="206">
        <f>IF(ISNA(HLOOKUP(F$64*10+$A67,$81:$82,2,FALSE)),(HLOOKUP(E$64*10+$A67,$87:$94,4,FALSE)*$G67+$B$25)/HLOOKUP(E$64*10+$A67,$87:$94,5,FALSE)*$E67,HLOOKUP(F$64*10+$A67,$81:$82,2,FALSE))</f>
        <v>0.77</v>
      </c>
      <c r="G67" s="101">
        <f>MIN(130%,SUM($B$57:$D$57)/SUM($B$58:$D$58)*$G$69/HLOOKUP(E$64*10+$A67,$145:$146,2,FALSE))</f>
        <v>0.99311256558813954</v>
      </c>
      <c r="H67" s="204">
        <v>3</v>
      </c>
      <c r="I67" s="208">
        <f t="shared" si="6"/>
        <v>8.6899999999999991E-2</v>
      </c>
      <c r="J67" s="208">
        <f t="shared" si="6"/>
        <v>0.1353</v>
      </c>
      <c r="K67" s="208">
        <f t="shared" si="6"/>
        <v>0.14400000000000002</v>
      </c>
      <c r="L67" s="208">
        <f t="shared" si="6"/>
        <v>9.9499999999999991E-2</v>
      </c>
      <c r="M67" s="209">
        <f t="shared" si="6"/>
        <v>0.12050000000000001</v>
      </c>
      <c r="N67" s="256">
        <f t="shared" si="7"/>
        <v>89661</v>
      </c>
      <c r="O67" s="256">
        <f t="shared" si="7"/>
        <v>-13075</v>
      </c>
      <c r="P67" s="210"/>
    </row>
    <row r="68" spans="1:71" x14ac:dyDescent="0.25">
      <c r="A68" s="204">
        <v>4</v>
      </c>
      <c r="B68" s="205">
        <f>HLOOKUP(B$64*10+$A68,$81:$82,2,FALSE)</f>
        <v>0.64</v>
      </c>
      <c r="C68" s="205">
        <f>HLOOKUP(C$64*10+$A68,$81:$82,2,FALSE)</f>
        <v>0.71</v>
      </c>
      <c r="D68" s="205">
        <f>HLOOKUP(D$64*10+$A68,$81:$82,2,FALSE)</f>
        <v>0.76</v>
      </c>
      <c r="E68" s="206">
        <f>IF(ISNA(HLOOKUP(E$64*10+$A68,$81:$82,2,FALSE)),D68*(1-$N68)*#REF!*(1+$B$25)/(1+$E$4),HLOOKUP(E$64*10+$A68,$81:$82,2,FALSE))</f>
        <v>0.81</v>
      </c>
      <c r="F68" s="206">
        <f>IF(ISNA(HLOOKUP(F$64*10+$A68,$81:$82,2,FALSE)),(HLOOKUP(E$64*10+$A68,$87:$94,4,FALSE)*$G68+$B$25)/HLOOKUP(E$64*10+$A68,$87:$94,5,FALSE)*$E68,HLOOKUP(F$64*10+$A68,$81:$82,2,FALSE))</f>
        <v>0.8113422277718032</v>
      </c>
      <c r="G68" s="101">
        <f>MIN(130%,SUM($B$57:$D$57)/SUM($B$58:$D$58)*$G$69/HLOOKUP(E$64*10+$A68,$145:$146,2,FALSE))</f>
        <v>1.0509567630741616</v>
      </c>
      <c r="H68" s="204">
        <v>4</v>
      </c>
      <c r="I68" s="208">
        <f t="shared" si="6"/>
        <v>7.2000000000000008E-2</v>
      </c>
      <c r="J68" s="208">
        <f t="shared" si="6"/>
        <v>0.1032</v>
      </c>
      <c r="K68" s="208">
        <f t="shared" si="6"/>
        <v>0.11599999999999999</v>
      </c>
      <c r="L68" s="208">
        <f t="shared" si="6"/>
        <v>0.10619999999999999</v>
      </c>
      <c r="M68" s="209" t="str">
        <f t="shared" si="6"/>
        <v/>
      </c>
      <c r="N68" s="256">
        <f t="shared" si="7"/>
        <v>82887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2.99</v>
      </c>
      <c r="C69" s="213">
        <f>SUM(C65:C68)</f>
        <v>2.9699999999999998</v>
      </c>
      <c r="D69" s="213">
        <f>SUM(D65:D68)</f>
        <v>3.63</v>
      </c>
      <c r="E69" s="213">
        <f>SUM(E65:E68)</f>
        <v>3.15</v>
      </c>
      <c r="F69" s="213">
        <f>SUM(F65:F68)</f>
        <v>2.5013422277718034</v>
      </c>
      <c r="G69" s="257">
        <f>_xlfn.FORECAST.ETS(23,B146:W146,{1,2,3,4,5,6,7,8,9,10,11,12,13,14,15,16,17,18,19,20,21,22})</f>
        <v>26.288266460384197</v>
      </c>
      <c r="H69" s="214" t="s">
        <v>19</v>
      </c>
      <c r="I69" s="215">
        <f>HLOOKUP(I64,151:155,3,FALSE)/100</f>
        <v>9.8000000000000004E-2</v>
      </c>
      <c r="J69" s="215">
        <f>HLOOKUP(J64,151:155,3,FALSE)/100</f>
        <v>0.11269999999999999</v>
      </c>
      <c r="K69" s="215">
        <f>HLOOKUP(K64,151:155,3,FALSE)/100</f>
        <v>0.1288</v>
      </c>
      <c r="L69" s="215">
        <f>IF(ISNA(HLOOKUP(L64,151:155,3,FALSE)/100),AVERAGE(L65:L68),HLOOKUP(L64,151:155,3,FALSE)/100)</f>
        <v>0.11119999999999999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6.72</v>
      </c>
      <c r="C72" s="205">
        <f t="shared" si="8"/>
        <v>4.87</v>
      </c>
      <c r="D72" s="205">
        <f t="shared" si="8"/>
        <v>7.33</v>
      </c>
      <c r="E72" s="205">
        <f t="shared" si="8"/>
        <v>6.33</v>
      </c>
      <c r="F72" s="205">
        <f t="shared" si="8"/>
        <v>4.08</v>
      </c>
    </row>
    <row r="73" spans="1:71" s="135" customFormat="1" x14ac:dyDescent="0.25">
      <c r="A73" s="204">
        <v>2</v>
      </c>
      <c r="B73" s="205">
        <f t="shared" si="8"/>
        <v>3.23</v>
      </c>
      <c r="C73" s="205">
        <f t="shared" si="8"/>
        <v>2.96</v>
      </c>
      <c r="D73" s="205">
        <f t="shared" si="8"/>
        <v>3.02</v>
      </c>
      <c r="E73" s="205">
        <f t="shared" si="8"/>
        <v>3.07</v>
      </c>
      <c r="F73" s="205">
        <f t="shared" si="8"/>
        <v>1.54</v>
      </c>
    </row>
    <row r="74" spans="1:71" s="135" customFormat="1" x14ac:dyDescent="0.25">
      <c r="A74" s="204">
        <v>3</v>
      </c>
      <c r="B74" s="205">
        <f t="shared" si="8"/>
        <v>3.97</v>
      </c>
      <c r="C74" s="205">
        <f t="shared" si="8"/>
        <v>6.37</v>
      </c>
      <c r="D74" s="205">
        <f t="shared" si="8"/>
        <v>6.77</v>
      </c>
      <c r="E74" s="205">
        <f t="shared" si="8"/>
        <v>4.59</v>
      </c>
      <c r="F74" s="205">
        <f t="shared" si="8"/>
        <v>5.12</v>
      </c>
    </row>
    <row r="75" spans="1:71" s="135" customFormat="1" x14ac:dyDescent="0.25">
      <c r="A75" s="204">
        <v>4</v>
      </c>
      <c r="B75" s="205">
        <f t="shared" si="8"/>
        <v>3.98</v>
      </c>
      <c r="C75" s="205">
        <f t="shared" si="8"/>
        <v>4.41</v>
      </c>
      <c r="D75" s="205">
        <f t="shared" si="8"/>
        <v>4.5199999999999996</v>
      </c>
      <c r="E75" s="205">
        <f t="shared" si="8"/>
        <v>5.07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17.899999999999999</v>
      </c>
      <c r="C76" s="213">
        <f>SUM(C72:C75)</f>
        <v>18.61</v>
      </c>
      <c r="D76" s="213">
        <f>SUM(D72:D75)</f>
        <v>21.639999999999997</v>
      </c>
      <c r="E76" s="213">
        <f>AVERAGE(E72:E75)*4</f>
        <v>19.060000000000002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1242961</v>
      </c>
      <c r="C79" s="270">
        <v>865357</v>
      </c>
      <c r="D79" s="270">
        <v>905890</v>
      </c>
      <c r="E79" s="270">
        <v>969553</v>
      </c>
      <c r="F79" s="270">
        <v>979930</v>
      </c>
      <c r="G79" s="270">
        <v>911580</v>
      </c>
      <c r="H79" s="270">
        <v>985529</v>
      </c>
      <c r="I79" s="270">
        <v>1072022</v>
      </c>
      <c r="J79" s="270">
        <v>987787</v>
      </c>
      <c r="K79" s="270">
        <v>1037462</v>
      </c>
      <c r="L79" s="270">
        <v>1098390</v>
      </c>
      <c r="M79" s="270">
        <v>1106338</v>
      </c>
      <c r="N79" s="270">
        <v>2774413</v>
      </c>
      <c r="O79" s="270">
        <v>1146421</v>
      </c>
      <c r="P79" s="270">
        <v>1155495</v>
      </c>
      <c r="Q79" s="270">
        <v>1370108</v>
      </c>
      <c r="R79" s="270">
        <v>1574032</v>
      </c>
      <c r="S79" s="270">
        <v>1497190</v>
      </c>
      <c r="T79" s="270">
        <v>1517650</v>
      </c>
      <c r="U79" s="270">
        <v>1952137</v>
      </c>
      <c r="V79" s="270">
        <v>2103415</v>
      </c>
      <c r="W79" s="270">
        <v>1467373</v>
      </c>
      <c r="X79" s="270">
        <v>1699424</v>
      </c>
      <c r="Y79" s="270">
        <v>2319207</v>
      </c>
      <c r="Z79" s="270">
        <v>3010338</v>
      </c>
      <c r="AA79" s="270">
        <v>995755</v>
      </c>
      <c r="AB79" s="270">
        <v>1300987</v>
      </c>
      <c r="AC79" s="270">
        <v>1477143</v>
      </c>
      <c r="AD79" s="270">
        <v>1528325</v>
      </c>
      <c r="AE79" s="270">
        <v>1615286</v>
      </c>
      <c r="AF79" s="270">
        <v>1867907</v>
      </c>
      <c r="AG79" s="270">
        <v>1952307</v>
      </c>
      <c r="AH79" s="270">
        <v>2044921</v>
      </c>
      <c r="AI79" s="270">
        <v>1749229</v>
      </c>
      <c r="AJ79" s="270">
        <v>1929677</v>
      </c>
      <c r="AK79" s="270">
        <v>2329159</v>
      </c>
      <c r="AL79" s="270">
        <v>3651021</v>
      </c>
      <c r="AM79" s="270">
        <v>2053578</v>
      </c>
      <c r="AN79" s="270">
        <v>1478453</v>
      </c>
      <c r="AO79" s="270">
        <v>1552355</v>
      </c>
      <c r="AP79" s="270">
        <v>1669100</v>
      </c>
      <c r="AQ79" s="270">
        <v>1971908</v>
      </c>
      <c r="AR79" s="270">
        <v>1854576</v>
      </c>
      <c r="AS79" s="270">
        <v>2149200</v>
      </c>
      <c r="AT79" s="270">
        <v>2853657</v>
      </c>
      <c r="AU79" s="270">
        <v>1846596</v>
      </c>
      <c r="AV79" s="270">
        <v>1896134</v>
      </c>
      <c r="AW79" s="270">
        <v>2542983</v>
      </c>
      <c r="AX79" s="270">
        <v>4305506</v>
      </c>
      <c r="AY79" s="270">
        <v>1656304</v>
      </c>
      <c r="AZ79" s="270">
        <v>1460198</v>
      </c>
      <c r="BA79" s="270">
        <v>1642669</v>
      </c>
      <c r="BB79" s="270">
        <v>1721994</v>
      </c>
      <c r="BC79" s="270">
        <v>1869329</v>
      </c>
      <c r="BD79" s="270">
        <v>1821794</v>
      </c>
      <c r="BE79" s="270">
        <v>2422743</v>
      </c>
      <c r="BF79" s="270">
        <v>2646459</v>
      </c>
      <c r="BG79" s="270">
        <v>1883037</v>
      </c>
      <c r="BH79" s="270">
        <v>2480981</v>
      </c>
      <c r="BI79" s="270">
        <v>3160613</v>
      </c>
      <c r="BJ79" s="270">
        <v>3473609</v>
      </c>
      <c r="BK79" s="270">
        <v>1414397</v>
      </c>
      <c r="BL79" s="270">
        <v>1603176</v>
      </c>
      <c r="BM79" s="270">
        <v>1712813</v>
      </c>
      <c r="BN79" s="270">
        <v>1880018</v>
      </c>
      <c r="BO79" s="270">
        <v>1911994</v>
      </c>
      <c r="BP79" s="270">
        <v>1834591</v>
      </c>
      <c r="BQ79" s="270">
        <v>2444037</v>
      </c>
      <c r="BR79" s="270">
        <v>3096087</v>
      </c>
      <c r="BS79" s="270">
        <v>2094827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1.35</v>
      </c>
      <c r="C82" s="72">
        <v>0.67</v>
      </c>
      <c r="D82" s="72">
        <v>1.03</v>
      </c>
      <c r="E82" s="72">
        <v>1.1299999999999999</v>
      </c>
      <c r="F82" s="72">
        <v>1.23</v>
      </c>
      <c r="G82" s="72">
        <v>0.51</v>
      </c>
      <c r="H82" s="72">
        <v>0.61</v>
      </c>
      <c r="I82" s="72">
        <v>0.64</v>
      </c>
      <c r="J82" s="72">
        <v>0.82</v>
      </c>
      <c r="K82" s="72">
        <v>0.46</v>
      </c>
      <c r="L82" s="72">
        <v>0.98</v>
      </c>
      <c r="M82" s="72">
        <v>0.71</v>
      </c>
      <c r="N82" s="72">
        <v>1.27</v>
      </c>
      <c r="O82" s="72">
        <v>0.52</v>
      </c>
      <c r="P82" s="72">
        <v>1.08</v>
      </c>
      <c r="Q82" s="72">
        <v>0.76</v>
      </c>
      <c r="R82" s="72">
        <v>1.1100000000000001</v>
      </c>
      <c r="S82" s="72">
        <v>0.53</v>
      </c>
      <c r="T82" s="72">
        <v>0.7</v>
      </c>
      <c r="U82" s="72">
        <v>0.81</v>
      </c>
      <c r="V82" s="72">
        <v>0.68</v>
      </c>
      <c r="W82" s="72">
        <v>0.24</v>
      </c>
      <c r="X82" s="72">
        <v>0.77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20.52</v>
      </c>
      <c r="C85" s="72">
        <v>18.98</v>
      </c>
      <c r="D85" s="72">
        <v>16.239999999999998</v>
      </c>
      <c r="E85" s="72">
        <v>17.38</v>
      </c>
      <c r="F85" s="72">
        <v>18.62</v>
      </c>
      <c r="G85" s="72">
        <v>17.28</v>
      </c>
      <c r="H85" s="72">
        <v>15.61</v>
      </c>
      <c r="I85" s="72">
        <v>16.309999999999999</v>
      </c>
      <c r="J85" s="72">
        <v>17.22</v>
      </c>
      <c r="K85" s="72">
        <v>16.010000000000002</v>
      </c>
      <c r="L85" s="72">
        <v>15.75</v>
      </c>
      <c r="M85" s="72">
        <v>16.71</v>
      </c>
      <c r="N85" s="72">
        <v>17.899999999999999</v>
      </c>
      <c r="O85" s="72">
        <v>16.71</v>
      </c>
      <c r="P85" s="72">
        <v>16.38</v>
      </c>
      <c r="Q85" s="72">
        <v>16.91</v>
      </c>
      <c r="R85" s="72">
        <v>17.88</v>
      </c>
      <c r="S85" s="72">
        <v>16.600000000000001</v>
      </c>
      <c r="T85" s="72">
        <v>15.59</v>
      </c>
      <c r="U85" s="72">
        <v>16.28</v>
      </c>
      <c r="V85" s="72">
        <v>16.559999999999999</v>
      </c>
      <c r="W85" s="72">
        <v>15.35</v>
      </c>
      <c r="X85" s="72">
        <v>15.57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4756680</v>
      </c>
      <c r="C88" s="273">
        <v>4615840</v>
      </c>
      <c r="D88" s="273">
        <v>5467217</v>
      </c>
      <c r="E88" s="273">
        <v>5216381</v>
      </c>
      <c r="F88" s="273">
        <v>5076330</v>
      </c>
      <c r="G88" s="273">
        <v>4441329</v>
      </c>
      <c r="H88" s="273">
        <v>5573201</v>
      </c>
      <c r="I88" s="273">
        <v>5288346</v>
      </c>
      <c r="J88" s="273">
        <v>5307080</v>
      </c>
      <c r="K88" s="273">
        <v>4620754</v>
      </c>
      <c r="L88" s="273">
        <v>5865135</v>
      </c>
      <c r="M88" s="273">
        <v>6007044</v>
      </c>
      <c r="N88" s="273">
        <v>7183052</v>
      </c>
      <c r="O88" s="273">
        <v>5159535</v>
      </c>
      <c r="P88" s="273">
        <v>6891261</v>
      </c>
      <c r="Q88" s="273">
        <v>6280738</v>
      </c>
      <c r="R88" s="273">
        <v>7422008</v>
      </c>
      <c r="S88" s="273">
        <v>5233988</v>
      </c>
      <c r="T88" s="273">
        <v>6891000</v>
      </c>
      <c r="U88" s="273">
        <v>7526568</v>
      </c>
      <c r="V88" s="273">
        <v>6491920</v>
      </c>
      <c r="W88" s="273">
        <v>5504085</v>
      </c>
      <c r="X88" s="273">
        <v>7374717</v>
      </c>
    </row>
    <row r="89" spans="1:25" ht="14.25" thickBot="1" x14ac:dyDescent="0.3">
      <c r="A89" s="250" t="s">
        <v>4</v>
      </c>
      <c r="B89" s="275">
        <v>1779664</v>
      </c>
      <c r="C89" s="275">
        <v>1688566</v>
      </c>
      <c r="D89" s="275">
        <v>2154666</v>
      </c>
      <c r="E89" s="275">
        <v>2014233</v>
      </c>
      <c r="F89" s="275">
        <v>1582182</v>
      </c>
      <c r="G89" s="275">
        <v>1178560</v>
      </c>
      <c r="H89" s="275">
        <v>1487251</v>
      </c>
      <c r="I89" s="275">
        <v>1407893</v>
      </c>
      <c r="J89" s="275">
        <v>1423128</v>
      </c>
      <c r="K89" s="275">
        <v>1267393</v>
      </c>
      <c r="L89" s="275">
        <v>1836583</v>
      </c>
      <c r="M89" s="275">
        <v>1695302</v>
      </c>
      <c r="N89" s="275">
        <v>2378275</v>
      </c>
      <c r="O89" s="275">
        <v>1570614</v>
      </c>
      <c r="P89" s="275">
        <v>2213867</v>
      </c>
      <c r="Q89" s="275">
        <v>1878094</v>
      </c>
      <c r="R89" s="275">
        <v>2375239</v>
      </c>
      <c r="S89" s="275">
        <v>1558991</v>
      </c>
      <c r="T89" s="275">
        <v>2003345</v>
      </c>
      <c r="U89" s="275">
        <v>2067474</v>
      </c>
      <c r="V89" s="275">
        <v>1871393</v>
      </c>
      <c r="W89" s="275">
        <v>1454751</v>
      </c>
      <c r="X89" s="275">
        <v>2157870</v>
      </c>
    </row>
    <row r="90" spans="1:25" ht="14.25" thickBot="1" x14ac:dyDescent="0.3">
      <c r="A90" s="251" t="s">
        <v>5</v>
      </c>
      <c r="B90" s="273">
        <v>718266</v>
      </c>
      <c r="C90" s="273">
        <v>376575</v>
      </c>
      <c r="D90" s="273">
        <v>646228</v>
      </c>
      <c r="E90" s="273">
        <v>658644</v>
      </c>
      <c r="F90" s="273">
        <v>749193</v>
      </c>
      <c r="G90" s="273">
        <v>383309</v>
      </c>
      <c r="H90" s="273">
        <v>484033</v>
      </c>
      <c r="I90" s="273">
        <v>380771</v>
      </c>
      <c r="J90" s="273">
        <v>650833</v>
      </c>
      <c r="K90" s="273">
        <v>392514</v>
      </c>
      <c r="L90" s="273">
        <v>793772</v>
      </c>
      <c r="M90" s="273">
        <v>620039</v>
      </c>
      <c r="N90" s="273">
        <v>1196898</v>
      </c>
      <c r="O90" s="273">
        <v>369082</v>
      </c>
      <c r="P90" s="273">
        <v>992248</v>
      </c>
      <c r="Q90" s="273">
        <v>728820</v>
      </c>
      <c r="R90" s="273">
        <v>1074864</v>
      </c>
      <c r="S90" s="273">
        <v>451576</v>
      </c>
      <c r="T90" s="273">
        <v>685861</v>
      </c>
      <c r="U90" s="273">
        <v>799251</v>
      </c>
      <c r="V90" s="273">
        <v>785004</v>
      </c>
      <c r="W90" s="273">
        <v>343717</v>
      </c>
      <c r="X90" s="273">
        <v>888804</v>
      </c>
    </row>
    <row r="91" spans="1:25" ht="14.25" thickBot="1" x14ac:dyDescent="0.3">
      <c r="A91" s="250" t="s">
        <v>6</v>
      </c>
      <c r="B91" s="275">
        <v>786818</v>
      </c>
      <c r="C91" s="275">
        <v>470380</v>
      </c>
      <c r="D91" s="275">
        <v>717478</v>
      </c>
      <c r="E91" s="275">
        <v>764665</v>
      </c>
      <c r="F91" s="275">
        <v>842243</v>
      </c>
      <c r="G91" s="275">
        <v>412737</v>
      </c>
      <c r="H91" s="275">
        <v>494508</v>
      </c>
      <c r="I91" s="275">
        <v>498789</v>
      </c>
      <c r="J91" s="275">
        <v>656178</v>
      </c>
      <c r="K91" s="275">
        <v>399621</v>
      </c>
      <c r="L91" s="275">
        <v>844409</v>
      </c>
      <c r="M91" s="275">
        <v>669817</v>
      </c>
      <c r="N91" s="275">
        <v>1214732</v>
      </c>
      <c r="O91" s="275">
        <v>401861</v>
      </c>
      <c r="P91" s="275">
        <v>1058996</v>
      </c>
      <c r="Q91" s="275">
        <v>722962</v>
      </c>
      <c r="R91" s="275">
        <v>1108779</v>
      </c>
      <c r="S91" s="275">
        <v>513366</v>
      </c>
      <c r="T91" s="275">
        <v>775522</v>
      </c>
      <c r="U91" s="275">
        <v>882138</v>
      </c>
      <c r="V91" s="275">
        <v>732100</v>
      </c>
      <c r="W91" s="275">
        <v>329769</v>
      </c>
      <c r="X91" s="275">
        <v>875729</v>
      </c>
    </row>
    <row r="92" spans="1:25" ht="14.25" thickBot="1" x14ac:dyDescent="0.3">
      <c r="A92" s="251" t="s">
        <v>7</v>
      </c>
      <c r="B92" s="273">
        <v>623268</v>
      </c>
      <c r="C92" s="273">
        <v>385795</v>
      </c>
      <c r="D92" s="273">
        <v>587225</v>
      </c>
      <c r="E92" s="273">
        <v>646929</v>
      </c>
      <c r="F92" s="273">
        <v>699669</v>
      </c>
      <c r="G92" s="273">
        <v>335656</v>
      </c>
      <c r="H92" s="273">
        <v>404961</v>
      </c>
      <c r="I92" s="273">
        <v>422569</v>
      </c>
      <c r="J92" s="273">
        <v>542165</v>
      </c>
      <c r="K92" s="273">
        <v>327010</v>
      </c>
      <c r="L92" s="273">
        <v>702404</v>
      </c>
      <c r="M92" s="273">
        <v>518781</v>
      </c>
      <c r="N92" s="273">
        <v>918848</v>
      </c>
      <c r="O92" s="273">
        <v>379302</v>
      </c>
      <c r="P92" s="273">
        <v>853491</v>
      </c>
      <c r="Q92" s="273">
        <v>600826</v>
      </c>
      <c r="R92" s="273">
        <v>878890</v>
      </c>
      <c r="S92" s="273">
        <v>422368</v>
      </c>
      <c r="T92" s="273">
        <v>620789</v>
      </c>
      <c r="U92" s="273">
        <v>715709</v>
      </c>
      <c r="V92" s="273">
        <v>593589</v>
      </c>
      <c r="W92" s="273">
        <v>216917</v>
      </c>
      <c r="X92" s="273">
        <v>716182</v>
      </c>
    </row>
    <row r="93" spans="1:25" ht="26.25" thickBot="1" x14ac:dyDescent="0.3">
      <c r="A93" s="252" t="s">
        <v>8</v>
      </c>
      <c r="B93" s="276">
        <v>620825</v>
      </c>
      <c r="C93" s="276">
        <v>384516</v>
      </c>
      <c r="D93" s="276">
        <v>586740</v>
      </c>
      <c r="E93" s="276">
        <v>645981</v>
      </c>
      <c r="F93" s="276">
        <v>700663</v>
      </c>
      <c r="G93" s="276">
        <v>336275</v>
      </c>
      <c r="H93" s="276">
        <v>401779</v>
      </c>
      <c r="I93" s="276">
        <v>420865</v>
      </c>
      <c r="J93" s="276">
        <v>539088</v>
      </c>
      <c r="K93" s="276">
        <v>326603</v>
      </c>
      <c r="L93" s="276">
        <v>700826</v>
      </c>
      <c r="M93" s="276">
        <v>509334</v>
      </c>
      <c r="N93" s="276">
        <v>912101</v>
      </c>
      <c r="O93" s="276">
        <v>374906</v>
      </c>
      <c r="P93" s="276">
        <v>846484</v>
      </c>
      <c r="Q93" s="276">
        <v>597122</v>
      </c>
      <c r="R93" s="276">
        <v>871536</v>
      </c>
      <c r="S93" s="276">
        <v>417355</v>
      </c>
      <c r="T93" s="276">
        <v>612575</v>
      </c>
      <c r="U93" s="276">
        <v>705078</v>
      </c>
      <c r="V93" s="276">
        <v>590136</v>
      </c>
      <c r="W93" s="276">
        <v>212770</v>
      </c>
      <c r="X93" s="276">
        <v>703347</v>
      </c>
    </row>
    <row r="94" spans="1:25" x14ac:dyDescent="0.25">
      <c r="A94" s="233" t="s">
        <v>365</v>
      </c>
      <c r="B94" s="253">
        <f>IF(B91="","",B91-B90)</f>
        <v>68552</v>
      </c>
      <c r="C94" s="253">
        <f>IF(C91="","",C91-C90)</f>
        <v>93805</v>
      </c>
      <c r="D94" s="253">
        <f t="shared" ref="D94:Y94" si="9">IF(D91="","",D91-D90)</f>
        <v>71250</v>
      </c>
      <c r="E94" s="253">
        <f t="shared" si="9"/>
        <v>106021</v>
      </c>
      <c r="F94" s="253">
        <f t="shared" si="9"/>
        <v>93050</v>
      </c>
      <c r="G94" s="253">
        <f t="shared" si="9"/>
        <v>29428</v>
      </c>
      <c r="H94" s="253">
        <f t="shared" si="9"/>
        <v>10475</v>
      </c>
      <c r="I94" s="253">
        <f t="shared" si="9"/>
        <v>118018</v>
      </c>
      <c r="J94" s="253">
        <f t="shared" si="9"/>
        <v>5345</v>
      </c>
      <c r="K94" s="253">
        <f t="shared" si="9"/>
        <v>7107</v>
      </c>
      <c r="L94" s="253">
        <f t="shared" si="9"/>
        <v>50637</v>
      </c>
      <c r="M94" s="253">
        <f t="shared" si="9"/>
        <v>49778</v>
      </c>
      <c r="N94" s="253">
        <f t="shared" si="9"/>
        <v>17834</v>
      </c>
      <c r="O94" s="253">
        <f t="shared" si="9"/>
        <v>32779</v>
      </c>
      <c r="P94" s="253">
        <f t="shared" si="9"/>
        <v>66748</v>
      </c>
      <c r="Q94" s="253">
        <f t="shared" si="9"/>
        <v>-5858</v>
      </c>
      <c r="R94" s="253">
        <f t="shared" si="9"/>
        <v>33915</v>
      </c>
      <c r="S94" s="253">
        <f t="shared" si="9"/>
        <v>61790</v>
      </c>
      <c r="T94" s="253">
        <f t="shared" si="9"/>
        <v>89661</v>
      </c>
      <c r="U94" s="253">
        <f t="shared" si="9"/>
        <v>82887</v>
      </c>
      <c r="V94" s="253">
        <f t="shared" si="9"/>
        <v>-52904</v>
      </c>
      <c r="W94" s="253">
        <f t="shared" si="9"/>
        <v>-13948</v>
      </c>
      <c r="X94" s="253">
        <f t="shared" si="9"/>
        <v>-13075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20056118</v>
      </c>
      <c r="C97" s="273">
        <v>20379206</v>
      </c>
      <c r="D97" s="273">
        <v>21800013</v>
      </c>
      <c r="E97" s="273">
        <v>25514586</v>
      </c>
      <c r="F97" s="273">
        <v>27073564</v>
      </c>
    </row>
    <row r="98" spans="1:24" ht="14.25" thickBot="1" x14ac:dyDescent="0.3">
      <c r="A98" s="225" t="s">
        <v>4</v>
      </c>
      <c r="B98" s="275">
        <v>7637129</v>
      </c>
      <c r="C98" s="275">
        <v>5655886</v>
      </c>
      <c r="D98" s="275">
        <v>6222406</v>
      </c>
      <c r="E98" s="275">
        <v>8040850</v>
      </c>
      <c r="F98" s="275">
        <v>8005049</v>
      </c>
    </row>
    <row r="99" spans="1:24" ht="14.25" thickBot="1" x14ac:dyDescent="0.3">
      <c r="A99" s="224" t="s">
        <v>5</v>
      </c>
      <c r="B99" s="273">
        <v>2399713</v>
      </c>
      <c r="C99" s="273">
        <v>1997306</v>
      </c>
      <c r="D99" s="273">
        <v>2457158</v>
      </c>
      <c r="E99" s="273">
        <v>3287048</v>
      </c>
      <c r="F99" s="273">
        <v>3011552</v>
      </c>
    </row>
    <row r="100" spans="1:24" ht="14.25" thickBot="1" x14ac:dyDescent="0.3">
      <c r="A100" s="225" t="s">
        <v>6</v>
      </c>
      <c r="B100" s="275">
        <v>2739341</v>
      </c>
      <c r="C100" s="275">
        <v>2248277</v>
      </c>
      <c r="D100" s="275">
        <v>2570025</v>
      </c>
      <c r="E100" s="275">
        <v>3398551</v>
      </c>
      <c r="F100" s="275">
        <v>3279805</v>
      </c>
    </row>
    <row r="101" spans="1:24" ht="14.25" thickBot="1" x14ac:dyDescent="0.3">
      <c r="A101" s="224" t="s">
        <v>7</v>
      </c>
      <c r="B101" s="273">
        <v>2243217</v>
      </c>
      <c r="C101" s="273">
        <v>1862855</v>
      </c>
      <c r="D101" s="273">
        <v>2090360</v>
      </c>
      <c r="E101" s="273">
        <v>2752467</v>
      </c>
      <c r="F101" s="273">
        <v>2637756</v>
      </c>
    </row>
    <row r="102" spans="1:24" ht="14.25" thickBot="1" x14ac:dyDescent="0.3">
      <c r="A102" s="227" t="s">
        <v>8</v>
      </c>
      <c r="B102" s="276">
        <v>2238062</v>
      </c>
      <c r="C102" s="276">
        <v>1859582</v>
      </c>
      <c r="D102" s="276">
        <v>2075851</v>
      </c>
      <c r="E102" s="276">
        <v>2730613</v>
      </c>
      <c r="F102" s="276">
        <v>2606544</v>
      </c>
    </row>
    <row r="103" spans="1:24" x14ac:dyDescent="0.25">
      <c r="A103" s="233" t="s">
        <v>262</v>
      </c>
      <c r="B103" s="234">
        <f>IF(OR(B102="",B102="無"),"",B102/B101)</f>
        <v>0.9977019610675204</v>
      </c>
      <c r="C103" s="234">
        <f>IF(OR(C102="",C102="無"),"",C102/C101)</f>
        <v>0.9982430194513261</v>
      </c>
      <c r="D103" s="234">
        <f>IF(OR(D102="",D102="無"),"",D102/D101)</f>
        <v>0.99305909030023531</v>
      </c>
      <c r="E103" s="234">
        <f>IF(OR(E102="",E102="無"),"",E102/E101)</f>
        <v>0.99206021361927321</v>
      </c>
      <c r="F103" s="234">
        <f>IF(OR(F102="",F102="無"),"",F102/F101)</f>
        <v>0.98816721485990366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2959110</v>
      </c>
      <c r="C106" s="273">
        <v>3067483</v>
      </c>
      <c r="D106" s="273">
        <v>2525266</v>
      </c>
      <c r="E106" s="273">
        <v>2229880</v>
      </c>
      <c r="F106" s="273">
        <v>1900246</v>
      </c>
      <c r="G106" s="273">
        <v>1810116</v>
      </c>
      <c r="H106" s="273">
        <v>999673</v>
      </c>
      <c r="I106" s="273">
        <v>1359032</v>
      </c>
      <c r="J106" s="273">
        <v>1999282</v>
      </c>
      <c r="K106" s="273">
        <v>2257300</v>
      </c>
      <c r="L106" s="273">
        <v>1778229</v>
      </c>
      <c r="M106" s="273">
        <v>1991558</v>
      </c>
      <c r="N106" s="273">
        <v>3034689</v>
      </c>
      <c r="O106" s="273">
        <v>2358627</v>
      </c>
      <c r="P106" s="273">
        <v>2138827</v>
      </c>
      <c r="Q106" s="273">
        <v>2916818</v>
      </c>
      <c r="R106" s="273">
        <v>2574565</v>
      </c>
      <c r="S106" s="273">
        <v>3281666</v>
      </c>
      <c r="T106" s="273">
        <v>3598231</v>
      </c>
      <c r="U106" s="273">
        <v>2167550</v>
      </c>
      <c r="V106" s="273">
        <v>3433682</v>
      </c>
      <c r="W106" s="273">
        <v>3154051</v>
      </c>
      <c r="X106" s="273">
        <v>1429959</v>
      </c>
    </row>
    <row r="107" spans="1:24" ht="14.25" thickBot="1" x14ac:dyDescent="0.3">
      <c r="A107" s="225" t="s">
        <v>22</v>
      </c>
      <c r="B107" s="275">
        <v>669139</v>
      </c>
      <c r="C107" s="275">
        <v>753253</v>
      </c>
      <c r="D107" s="275">
        <v>379726</v>
      </c>
      <c r="E107" s="275">
        <v>773571</v>
      </c>
      <c r="F107" s="275">
        <v>2354002</v>
      </c>
      <c r="G107" s="275">
        <v>2039295</v>
      </c>
      <c r="H107" s="275">
        <v>1839849</v>
      </c>
      <c r="I107" s="275">
        <v>1464885</v>
      </c>
      <c r="J107" s="275">
        <v>1647159</v>
      </c>
      <c r="K107" s="275">
        <v>1628466</v>
      </c>
      <c r="L107" s="275">
        <v>1600306</v>
      </c>
      <c r="M107" s="275">
        <v>1523934</v>
      </c>
      <c r="N107" s="275">
        <v>1528617</v>
      </c>
      <c r="O107" s="275">
        <v>2220580</v>
      </c>
      <c r="P107" s="275">
        <v>1836605</v>
      </c>
      <c r="Q107" s="275">
        <v>1579426</v>
      </c>
      <c r="R107" s="275">
        <v>1256208</v>
      </c>
      <c r="S107" s="275">
        <v>1102312</v>
      </c>
      <c r="T107" s="275">
        <v>704330</v>
      </c>
      <c r="U107" s="275">
        <v>913379</v>
      </c>
      <c r="V107" s="275">
        <v>730241</v>
      </c>
      <c r="W107" s="275">
        <v>894236</v>
      </c>
      <c r="X107" s="275">
        <v>889735</v>
      </c>
    </row>
    <row r="108" spans="1:24" ht="14.25" thickBot="1" x14ac:dyDescent="0.3">
      <c r="A108" s="224" t="s">
        <v>263</v>
      </c>
      <c r="B108" s="273">
        <v>2805141</v>
      </c>
      <c r="C108" s="273">
        <v>2889591</v>
      </c>
      <c r="D108" s="273">
        <v>3422624</v>
      </c>
      <c r="E108" s="273">
        <v>3341503</v>
      </c>
      <c r="F108" s="273">
        <v>3209120</v>
      </c>
      <c r="G108" s="273">
        <v>3043744</v>
      </c>
      <c r="H108" s="273">
        <v>3646726</v>
      </c>
      <c r="I108" s="273">
        <v>3786310</v>
      </c>
      <c r="J108" s="273">
        <v>3458121</v>
      </c>
      <c r="K108" s="273">
        <v>3311506</v>
      </c>
      <c r="L108" s="273">
        <v>3859367</v>
      </c>
      <c r="M108" s="273">
        <v>4328488</v>
      </c>
      <c r="N108" s="273">
        <v>4464649</v>
      </c>
      <c r="O108" s="273">
        <v>3854083</v>
      </c>
      <c r="P108" s="273">
        <v>4655915</v>
      </c>
      <c r="Q108" s="273">
        <v>4430307</v>
      </c>
      <c r="R108" s="273">
        <v>4405606</v>
      </c>
      <c r="S108" s="273">
        <v>3785658</v>
      </c>
      <c r="T108" s="273">
        <v>4571459</v>
      </c>
      <c r="U108" s="273">
        <v>5282840</v>
      </c>
      <c r="V108" s="273">
        <v>4361025</v>
      </c>
      <c r="W108" s="273">
        <v>4240949</v>
      </c>
      <c r="X108" s="273">
        <v>5137523</v>
      </c>
    </row>
    <row r="109" spans="1:24" ht="14.25" thickBot="1" x14ac:dyDescent="0.3">
      <c r="A109" s="225" t="s">
        <v>264</v>
      </c>
      <c r="B109" s="275">
        <v>2580092</v>
      </c>
      <c r="C109" s="275">
        <v>2294267</v>
      </c>
      <c r="D109" s="275">
        <v>2489845</v>
      </c>
      <c r="E109" s="275">
        <v>2855268</v>
      </c>
      <c r="F109" s="275">
        <v>2463943</v>
      </c>
      <c r="G109" s="275">
        <v>3019048</v>
      </c>
      <c r="H109" s="275">
        <v>3132571</v>
      </c>
      <c r="I109" s="275">
        <v>3489168</v>
      </c>
      <c r="J109" s="275">
        <v>3126979</v>
      </c>
      <c r="K109" s="275">
        <v>3478901</v>
      </c>
      <c r="L109" s="275">
        <v>3087047</v>
      </c>
      <c r="M109" s="275">
        <v>3847264</v>
      </c>
      <c r="N109" s="275">
        <v>3157217</v>
      </c>
      <c r="O109" s="275">
        <v>3333945</v>
      </c>
      <c r="P109" s="275">
        <v>3298027</v>
      </c>
      <c r="Q109" s="275">
        <v>3635946</v>
      </c>
      <c r="R109" s="275">
        <v>3685458</v>
      </c>
      <c r="S109" s="275">
        <v>3685922</v>
      </c>
      <c r="T109" s="275">
        <v>3719487</v>
      </c>
      <c r="U109" s="275">
        <v>4303514</v>
      </c>
      <c r="V109" s="275">
        <v>4373641</v>
      </c>
      <c r="W109" s="275">
        <v>4728848</v>
      </c>
      <c r="X109" s="275">
        <v>4373506</v>
      </c>
    </row>
    <row r="110" spans="1:24" ht="14.25" thickBot="1" x14ac:dyDescent="0.3">
      <c r="A110" s="224" t="s">
        <v>23</v>
      </c>
      <c r="B110" s="273">
        <v>377446</v>
      </c>
      <c r="C110" s="273">
        <v>695222</v>
      </c>
      <c r="D110" s="273">
        <v>574298</v>
      </c>
      <c r="E110" s="273">
        <v>1528043</v>
      </c>
      <c r="F110" s="273">
        <v>949884</v>
      </c>
      <c r="G110" s="273">
        <v>1203987</v>
      </c>
      <c r="H110" s="273">
        <v>1765725</v>
      </c>
      <c r="I110" s="273">
        <v>1544661</v>
      </c>
      <c r="J110" s="273">
        <v>1012814</v>
      </c>
      <c r="K110" s="273">
        <v>1349867</v>
      </c>
      <c r="L110" s="273">
        <v>1601952</v>
      </c>
      <c r="M110" s="273">
        <v>1810333</v>
      </c>
      <c r="N110" s="273">
        <v>1620519</v>
      </c>
      <c r="O110" s="273">
        <v>2075046</v>
      </c>
      <c r="P110" s="273">
        <v>2640419</v>
      </c>
      <c r="Q110" s="273">
        <v>2829395</v>
      </c>
      <c r="R110" s="273">
        <v>2391621</v>
      </c>
      <c r="S110" s="273">
        <v>2368959</v>
      </c>
      <c r="T110" s="273">
        <v>2429918</v>
      </c>
      <c r="U110" s="273">
        <v>2460593</v>
      </c>
      <c r="V110" s="273">
        <v>2066583</v>
      </c>
      <c r="W110" s="273">
        <v>1913670</v>
      </c>
      <c r="X110" s="273">
        <v>1889777</v>
      </c>
    </row>
    <row r="111" spans="1:24" ht="14.25" thickBot="1" x14ac:dyDescent="0.3">
      <c r="A111" s="225" t="s">
        <v>24</v>
      </c>
      <c r="B111" s="275">
        <v>9390928</v>
      </c>
      <c r="C111" s="275">
        <v>9699816</v>
      </c>
      <c r="D111" s="275">
        <v>9391759</v>
      </c>
      <c r="E111" s="275">
        <v>10728265</v>
      </c>
      <c r="F111" s="275">
        <v>10877195</v>
      </c>
      <c r="G111" s="275">
        <v>11116190</v>
      </c>
      <c r="H111" s="275">
        <v>11384544</v>
      </c>
      <c r="I111" s="275">
        <v>11644056</v>
      </c>
      <c r="J111" s="275">
        <v>11244355</v>
      </c>
      <c r="K111" s="275">
        <v>12026040</v>
      </c>
      <c r="L111" s="275">
        <v>11926901</v>
      </c>
      <c r="M111" s="275">
        <v>13501577</v>
      </c>
      <c r="N111" s="275">
        <v>13805691</v>
      </c>
      <c r="O111" s="275">
        <v>13842281</v>
      </c>
      <c r="P111" s="275">
        <v>14569793</v>
      </c>
      <c r="Q111" s="275">
        <v>15391892</v>
      </c>
      <c r="R111" s="275">
        <v>14313458</v>
      </c>
      <c r="S111" s="275">
        <v>14224517</v>
      </c>
      <c r="T111" s="275">
        <v>15023425</v>
      </c>
      <c r="U111" s="275">
        <v>15127876</v>
      </c>
      <c r="V111" s="275">
        <v>14965172</v>
      </c>
      <c r="W111" s="275">
        <v>14931754</v>
      </c>
      <c r="X111" s="275">
        <v>13720500</v>
      </c>
    </row>
    <row r="112" spans="1:24" ht="14.25" thickBot="1" x14ac:dyDescent="0.3">
      <c r="A112" s="224" t="s">
        <v>25</v>
      </c>
      <c r="B112" s="273">
        <v>281110</v>
      </c>
      <c r="C112" s="273">
        <v>212799</v>
      </c>
      <c r="D112" s="273">
        <v>187597</v>
      </c>
      <c r="E112" s="273">
        <v>180807</v>
      </c>
      <c r="F112" s="273">
        <v>178348</v>
      </c>
      <c r="G112" s="273">
        <v>160384</v>
      </c>
      <c r="H112" s="273">
        <v>158126</v>
      </c>
      <c r="I112" s="273">
        <v>145091</v>
      </c>
      <c r="J112" s="273">
        <v>127664</v>
      </c>
      <c r="K112" s="273">
        <v>134760</v>
      </c>
      <c r="L112" s="273">
        <v>133109</v>
      </c>
      <c r="M112" s="273">
        <v>124396</v>
      </c>
      <c r="N112" s="273">
        <v>119470</v>
      </c>
      <c r="O112" s="273">
        <v>118347</v>
      </c>
      <c r="P112" s="273">
        <v>118505</v>
      </c>
      <c r="Q112" s="273">
        <v>112929</v>
      </c>
      <c r="R112" s="273">
        <v>119581</v>
      </c>
      <c r="S112" s="273">
        <v>119499</v>
      </c>
      <c r="T112" s="273">
        <v>278288</v>
      </c>
      <c r="U112" s="273">
        <v>275889</v>
      </c>
      <c r="V112" s="273">
        <v>281475</v>
      </c>
      <c r="W112" s="273">
        <v>266137</v>
      </c>
      <c r="X112" s="273">
        <v>170861</v>
      </c>
    </row>
    <row r="113" spans="1:24" ht="14.25" thickBot="1" x14ac:dyDescent="0.3">
      <c r="A113" s="225" t="s">
        <v>26</v>
      </c>
      <c r="B113" s="275">
        <v>2166234</v>
      </c>
      <c r="C113" s="275">
        <v>2174712</v>
      </c>
      <c r="D113" s="275">
        <v>2209894</v>
      </c>
      <c r="E113" s="275">
        <v>2233417</v>
      </c>
      <c r="F113" s="275">
        <v>2277247</v>
      </c>
      <c r="G113" s="275">
        <v>2462291</v>
      </c>
      <c r="H113" s="275">
        <v>2744314</v>
      </c>
      <c r="I113" s="275">
        <v>3085188</v>
      </c>
      <c r="J113" s="275">
        <v>3120094</v>
      </c>
      <c r="K113" s="275">
        <v>3230697</v>
      </c>
      <c r="L113" s="275">
        <v>3439709</v>
      </c>
      <c r="M113" s="275">
        <v>3691574</v>
      </c>
      <c r="N113" s="275">
        <v>3700908</v>
      </c>
      <c r="O113" s="275">
        <v>3680153</v>
      </c>
      <c r="P113" s="275">
        <v>3771421</v>
      </c>
      <c r="Q113" s="275">
        <v>3783949</v>
      </c>
      <c r="R113" s="275">
        <v>4407070</v>
      </c>
      <c r="S113" s="275">
        <v>4411171</v>
      </c>
      <c r="T113" s="275">
        <v>4722346</v>
      </c>
      <c r="U113" s="275">
        <v>4684441</v>
      </c>
      <c r="V113" s="275">
        <v>4887625</v>
      </c>
      <c r="W113" s="275">
        <v>5510211</v>
      </c>
      <c r="X113" s="275">
        <v>5627580</v>
      </c>
    </row>
    <row r="114" spans="1:24" ht="14.25" thickBot="1" x14ac:dyDescent="0.3">
      <c r="A114" s="224" t="s">
        <v>27</v>
      </c>
      <c r="B114" s="273">
        <v>537236</v>
      </c>
      <c r="C114" s="273">
        <v>537233</v>
      </c>
      <c r="D114" s="273">
        <v>545807</v>
      </c>
      <c r="E114" s="273">
        <v>638778</v>
      </c>
      <c r="F114" s="273">
        <v>856294</v>
      </c>
      <c r="G114" s="273">
        <v>1033831</v>
      </c>
      <c r="H114" s="273">
        <v>985708</v>
      </c>
      <c r="I114" s="273">
        <v>1028089</v>
      </c>
      <c r="J114" s="273">
        <v>1091810</v>
      </c>
      <c r="K114" s="273">
        <v>1047815</v>
      </c>
      <c r="L114" s="273">
        <v>877312</v>
      </c>
      <c r="M114" s="273">
        <v>823802</v>
      </c>
      <c r="N114" s="273">
        <v>802158</v>
      </c>
      <c r="O114" s="273">
        <v>982104</v>
      </c>
      <c r="P114" s="273">
        <v>965060</v>
      </c>
      <c r="Q114" s="273">
        <v>1240504</v>
      </c>
      <c r="R114" s="273">
        <v>1242540</v>
      </c>
      <c r="S114" s="273">
        <v>1276989</v>
      </c>
      <c r="T114" s="273">
        <v>1268297</v>
      </c>
      <c r="U114" s="273">
        <v>1730880</v>
      </c>
      <c r="V114" s="273">
        <v>1644074</v>
      </c>
      <c r="W114" s="273">
        <v>1482126</v>
      </c>
      <c r="X114" s="273">
        <v>1428835</v>
      </c>
    </row>
    <row r="115" spans="1:24" ht="14.25" thickBot="1" x14ac:dyDescent="0.3">
      <c r="A115" s="225" t="s">
        <v>265</v>
      </c>
      <c r="B115" s="276">
        <v>12375508</v>
      </c>
      <c r="C115" s="276">
        <v>12624560</v>
      </c>
      <c r="D115" s="276">
        <v>12335057</v>
      </c>
      <c r="E115" s="276">
        <v>13781267</v>
      </c>
      <c r="F115" s="276">
        <v>14189084</v>
      </c>
      <c r="G115" s="276">
        <v>14772696</v>
      </c>
      <c r="H115" s="276">
        <v>15272692</v>
      </c>
      <c r="I115" s="276">
        <v>15902424</v>
      </c>
      <c r="J115" s="276">
        <v>15583923</v>
      </c>
      <c r="K115" s="276">
        <v>16439312</v>
      </c>
      <c r="L115" s="276">
        <v>16377031</v>
      </c>
      <c r="M115" s="276">
        <v>18141349</v>
      </c>
      <c r="N115" s="276">
        <v>18428227</v>
      </c>
      <c r="O115" s="276">
        <v>18622885</v>
      </c>
      <c r="P115" s="276">
        <v>19424779</v>
      </c>
      <c r="Q115" s="276">
        <v>20529274</v>
      </c>
      <c r="R115" s="276">
        <v>20082649</v>
      </c>
      <c r="S115" s="276">
        <v>20032176</v>
      </c>
      <c r="T115" s="276">
        <v>21292356</v>
      </c>
      <c r="U115" s="276">
        <v>21819086</v>
      </c>
      <c r="V115" s="276">
        <v>21778346</v>
      </c>
      <c r="W115" s="276">
        <v>22190228</v>
      </c>
      <c r="X115" s="276">
        <v>20947776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295102</v>
      </c>
      <c r="C118" s="273">
        <v>298801</v>
      </c>
      <c r="D118" s="273">
        <v>292948</v>
      </c>
      <c r="E118" s="273">
        <v>653014</v>
      </c>
      <c r="F118" s="273">
        <v>626498</v>
      </c>
      <c r="G118" s="273">
        <v>986243</v>
      </c>
      <c r="H118" s="273">
        <v>1693343</v>
      </c>
      <c r="I118" s="273">
        <v>1241691</v>
      </c>
      <c r="J118" s="273">
        <v>865574</v>
      </c>
      <c r="K118" s="273">
        <v>1223741</v>
      </c>
      <c r="L118" s="273">
        <v>1256352</v>
      </c>
      <c r="M118" s="273">
        <v>1336892</v>
      </c>
      <c r="N118" s="273">
        <v>1276407</v>
      </c>
      <c r="O118" s="273">
        <v>1440530</v>
      </c>
      <c r="P118" s="273">
        <v>1282914</v>
      </c>
      <c r="Q118" s="273">
        <v>1845627</v>
      </c>
      <c r="R118" s="273">
        <v>1068023</v>
      </c>
      <c r="S118" s="273">
        <v>1192274</v>
      </c>
      <c r="T118" s="273">
        <v>2225382</v>
      </c>
      <c r="U118" s="273">
        <v>1460871</v>
      </c>
      <c r="V118" s="273">
        <v>2265480</v>
      </c>
      <c r="W118" s="273">
        <v>2156758</v>
      </c>
      <c r="X118" s="273">
        <v>1058967</v>
      </c>
    </row>
    <row r="119" spans="1:24" ht="14.25" thickBot="1" x14ac:dyDescent="0.3">
      <c r="A119" s="225" t="s">
        <v>29</v>
      </c>
      <c r="B119" s="275">
        <v>9993</v>
      </c>
      <c r="C119" s="275">
        <v>2998</v>
      </c>
      <c r="D119" s="275">
        <v>36977</v>
      </c>
      <c r="E119" s="274">
        <v>0</v>
      </c>
      <c r="F119" s="275">
        <v>4997</v>
      </c>
      <c r="G119" s="275">
        <v>39982</v>
      </c>
      <c r="H119" s="275">
        <v>69941</v>
      </c>
      <c r="I119" s="275">
        <v>69969</v>
      </c>
      <c r="J119" s="275">
        <v>69968</v>
      </c>
      <c r="K119" s="275">
        <v>69970</v>
      </c>
      <c r="L119" s="275">
        <v>69972</v>
      </c>
      <c r="M119" s="275">
        <v>99959</v>
      </c>
      <c r="N119" s="275">
        <v>69977</v>
      </c>
      <c r="O119" s="275">
        <v>89915</v>
      </c>
      <c r="P119" s="275">
        <v>39986</v>
      </c>
      <c r="Q119" s="275">
        <v>39937</v>
      </c>
      <c r="R119" s="275">
        <v>69946</v>
      </c>
      <c r="S119" s="275">
        <v>69952</v>
      </c>
      <c r="T119" s="275">
        <v>69956</v>
      </c>
      <c r="U119" s="275">
        <v>69975</v>
      </c>
      <c r="V119" s="275">
        <v>69975</v>
      </c>
      <c r="W119" s="275">
        <v>79937</v>
      </c>
      <c r="X119" s="275">
        <v>99950</v>
      </c>
    </row>
    <row r="120" spans="1:24" ht="14.25" thickBot="1" x14ac:dyDescent="0.3">
      <c r="A120" s="224" t="s">
        <v>266</v>
      </c>
      <c r="B120" s="273">
        <v>826361</v>
      </c>
      <c r="C120" s="273">
        <v>802802</v>
      </c>
      <c r="D120" s="273">
        <v>987008</v>
      </c>
      <c r="E120" s="273">
        <v>1141646</v>
      </c>
      <c r="F120" s="273">
        <v>844109</v>
      </c>
      <c r="G120" s="273">
        <v>824705</v>
      </c>
      <c r="H120" s="273">
        <v>1211084</v>
      </c>
      <c r="I120" s="273">
        <v>1268303</v>
      </c>
      <c r="J120" s="273">
        <v>1086028</v>
      </c>
      <c r="K120" s="273">
        <v>1379532</v>
      </c>
      <c r="L120" s="273">
        <v>1367927</v>
      </c>
      <c r="M120" s="273">
        <v>1890580</v>
      </c>
      <c r="N120" s="273">
        <v>1407598</v>
      </c>
      <c r="O120" s="273">
        <v>1139812</v>
      </c>
      <c r="P120" s="273">
        <v>2016936</v>
      </c>
      <c r="Q120" s="273">
        <v>1835319</v>
      </c>
      <c r="R120" s="273">
        <v>1678724</v>
      </c>
      <c r="S120" s="273">
        <v>1351270</v>
      </c>
      <c r="T120" s="273">
        <v>2114410</v>
      </c>
      <c r="U120" s="273">
        <v>2222482</v>
      </c>
      <c r="V120" s="273">
        <v>1497310</v>
      </c>
      <c r="W120" s="273">
        <v>1411066</v>
      </c>
      <c r="X120" s="273">
        <v>1637002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748</v>
      </c>
      <c r="D122" s="68">
        <v>758</v>
      </c>
      <c r="E122" s="68">
        <v>728</v>
      </c>
      <c r="F122" s="68">
        <v>779</v>
      </c>
      <c r="G122" s="68">
        <v>790</v>
      </c>
      <c r="H122" s="68">
        <v>787</v>
      </c>
      <c r="I122" s="68">
        <v>758</v>
      </c>
      <c r="J122" s="68">
        <v>709</v>
      </c>
      <c r="K122" s="68">
        <v>643</v>
      </c>
      <c r="L122" s="68">
        <v>574</v>
      </c>
      <c r="M122" s="68">
        <v>531</v>
      </c>
      <c r="N122" s="68">
        <v>507</v>
      </c>
      <c r="O122" s="68">
        <v>372</v>
      </c>
      <c r="P122" s="68">
        <v>250</v>
      </c>
      <c r="Q122" s="68">
        <v>126</v>
      </c>
      <c r="R122" s="68">
        <v>264</v>
      </c>
      <c r="S122" s="68">
        <v>261</v>
      </c>
      <c r="T122" s="68">
        <v>405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1573366</v>
      </c>
      <c r="C123" s="275">
        <v>2574825</v>
      </c>
      <c r="D123" s="275">
        <v>1538382</v>
      </c>
      <c r="E123" s="275">
        <v>1851597</v>
      </c>
      <c r="F123" s="275">
        <v>1721663</v>
      </c>
      <c r="G123" s="275">
        <v>2693711</v>
      </c>
      <c r="H123" s="275">
        <v>1691729</v>
      </c>
      <c r="I123" s="275">
        <v>2191274</v>
      </c>
      <c r="J123" s="275">
        <v>1815625</v>
      </c>
      <c r="K123" s="275">
        <v>2838535</v>
      </c>
      <c r="L123" s="275">
        <v>1974768</v>
      </c>
      <c r="M123" s="275">
        <v>2331758</v>
      </c>
      <c r="N123" s="275">
        <v>2293380</v>
      </c>
      <c r="O123" s="275">
        <v>3354683</v>
      </c>
      <c r="P123" s="275">
        <v>2514875</v>
      </c>
      <c r="Q123" s="275">
        <v>2720762</v>
      </c>
      <c r="R123" s="275">
        <v>2418229</v>
      </c>
      <c r="S123" s="275">
        <v>3694780</v>
      </c>
      <c r="T123" s="275">
        <v>2604444</v>
      </c>
      <c r="U123" s="275">
        <v>3112567</v>
      </c>
      <c r="V123" s="275">
        <v>2744265</v>
      </c>
      <c r="W123" s="275">
        <v>4463725</v>
      </c>
      <c r="X123" s="275">
        <v>3318487</v>
      </c>
    </row>
    <row r="124" spans="1:24" ht="14.25" thickBot="1" x14ac:dyDescent="0.3">
      <c r="A124" s="224" t="s">
        <v>268</v>
      </c>
      <c r="B124" s="273">
        <v>2704822</v>
      </c>
      <c r="C124" s="273">
        <v>3680174</v>
      </c>
      <c r="D124" s="273">
        <v>2856073</v>
      </c>
      <c r="E124" s="273">
        <v>3646985</v>
      </c>
      <c r="F124" s="273">
        <v>3198046</v>
      </c>
      <c r="G124" s="273">
        <v>4545431</v>
      </c>
      <c r="H124" s="273">
        <v>4666884</v>
      </c>
      <c r="I124" s="273">
        <v>4771995</v>
      </c>
      <c r="J124" s="273">
        <v>3837904</v>
      </c>
      <c r="K124" s="273">
        <v>5512421</v>
      </c>
      <c r="L124" s="273">
        <v>4669593</v>
      </c>
      <c r="M124" s="273">
        <v>5659720</v>
      </c>
      <c r="N124" s="273">
        <v>5047869</v>
      </c>
      <c r="O124" s="273">
        <v>6025312</v>
      </c>
      <c r="P124" s="273">
        <v>5854961</v>
      </c>
      <c r="Q124" s="273">
        <v>6441771</v>
      </c>
      <c r="R124" s="273">
        <v>5235186</v>
      </c>
      <c r="S124" s="273">
        <v>6308537</v>
      </c>
      <c r="T124" s="273">
        <v>7014597</v>
      </c>
      <c r="U124" s="273">
        <v>6865895</v>
      </c>
      <c r="V124" s="273">
        <v>6577030</v>
      </c>
      <c r="W124" s="273">
        <v>8111486</v>
      </c>
      <c r="X124" s="273">
        <v>6114406</v>
      </c>
    </row>
    <row r="125" spans="1:24" ht="14.25" thickBot="1" x14ac:dyDescent="0.3">
      <c r="A125" s="225" t="s">
        <v>32</v>
      </c>
      <c r="B125" s="275">
        <v>1995</v>
      </c>
      <c r="C125" s="275">
        <v>1805</v>
      </c>
      <c r="D125" s="275">
        <v>1611</v>
      </c>
      <c r="E125" s="275">
        <v>1455</v>
      </c>
      <c r="F125" s="275">
        <v>225341</v>
      </c>
      <c r="G125" s="275">
        <v>230313</v>
      </c>
      <c r="H125" s="275">
        <v>225894</v>
      </c>
      <c r="I125" s="275">
        <v>286185</v>
      </c>
      <c r="J125" s="275">
        <v>303015</v>
      </c>
      <c r="K125" s="275">
        <v>283281</v>
      </c>
      <c r="L125" s="275">
        <v>300769</v>
      </c>
      <c r="M125" s="275">
        <v>378442</v>
      </c>
      <c r="N125" s="275">
        <v>417190</v>
      </c>
      <c r="O125" s="275">
        <v>454318</v>
      </c>
      <c r="P125" s="275">
        <v>483225</v>
      </c>
      <c r="Q125" s="275">
        <v>584030</v>
      </c>
      <c r="R125" s="275">
        <v>570777</v>
      </c>
      <c r="S125" s="275">
        <v>476507</v>
      </c>
      <c r="T125" s="275">
        <v>466402</v>
      </c>
      <c r="U125" s="275">
        <v>535430</v>
      </c>
      <c r="V125" s="275">
        <v>531927</v>
      </c>
      <c r="W125" s="275">
        <v>490236</v>
      </c>
      <c r="X125" s="275">
        <v>464977</v>
      </c>
    </row>
    <row r="126" spans="1:24" ht="14.25" thickBot="1" x14ac:dyDescent="0.3">
      <c r="A126" s="224" t="s">
        <v>33</v>
      </c>
      <c r="B126" s="273">
        <v>73113</v>
      </c>
      <c r="C126" s="273">
        <v>68327</v>
      </c>
      <c r="D126" s="273">
        <v>69318</v>
      </c>
      <c r="E126" s="273">
        <v>74675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2779930</v>
      </c>
      <c r="C127" s="275">
        <v>3750306</v>
      </c>
      <c r="D127" s="275">
        <v>2927002</v>
      </c>
      <c r="E127" s="275">
        <v>3723115</v>
      </c>
      <c r="F127" s="275">
        <v>3423387</v>
      </c>
      <c r="G127" s="275">
        <v>4775744</v>
      </c>
      <c r="H127" s="275">
        <v>4892778</v>
      </c>
      <c r="I127" s="275">
        <v>5058180</v>
      </c>
      <c r="J127" s="275">
        <v>4140919</v>
      </c>
      <c r="K127" s="275">
        <v>5795702</v>
      </c>
      <c r="L127" s="275">
        <v>4970362</v>
      </c>
      <c r="M127" s="275">
        <v>6038162</v>
      </c>
      <c r="N127" s="275">
        <v>5465059</v>
      </c>
      <c r="O127" s="275">
        <v>6479630</v>
      </c>
      <c r="P127" s="275">
        <v>6338186</v>
      </c>
      <c r="Q127" s="275">
        <v>7025801</v>
      </c>
      <c r="R127" s="275">
        <v>5805963</v>
      </c>
      <c r="S127" s="275">
        <v>6785044</v>
      </c>
      <c r="T127" s="275">
        <v>7480999</v>
      </c>
      <c r="U127" s="275">
        <v>7401325</v>
      </c>
      <c r="V127" s="275">
        <v>7108957</v>
      </c>
      <c r="W127" s="275">
        <v>8601722</v>
      </c>
      <c r="X127" s="275">
        <v>6579383</v>
      </c>
    </row>
    <row r="128" spans="1:24" ht="14.25" thickBot="1" x14ac:dyDescent="0.3">
      <c r="A128" s="224" t="s">
        <v>34</v>
      </c>
      <c r="B128" s="273">
        <v>9595578</v>
      </c>
      <c r="C128" s="273">
        <v>8874254</v>
      </c>
      <c r="D128" s="273">
        <v>9408055</v>
      </c>
      <c r="E128" s="273">
        <v>10058152</v>
      </c>
      <c r="F128" s="273">
        <v>10765697</v>
      </c>
      <c r="G128" s="273">
        <v>9996952</v>
      </c>
      <c r="H128" s="273">
        <v>10379914</v>
      </c>
      <c r="I128" s="273">
        <v>10844244</v>
      </c>
      <c r="J128" s="273">
        <v>11443004</v>
      </c>
      <c r="K128" s="273">
        <v>10643610</v>
      </c>
      <c r="L128" s="273">
        <v>11406669</v>
      </c>
      <c r="M128" s="273">
        <v>12103187</v>
      </c>
      <c r="N128" s="273">
        <v>12963168</v>
      </c>
      <c r="O128" s="273">
        <v>12143255</v>
      </c>
      <c r="P128" s="273">
        <v>13086593</v>
      </c>
      <c r="Q128" s="273">
        <v>13503473</v>
      </c>
      <c r="R128" s="273">
        <v>14276686</v>
      </c>
      <c r="S128" s="273">
        <v>13247132</v>
      </c>
      <c r="T128" s="273">
        <v>13811357</v>
      </c>
      <c r="U128" s="273">
        <v>14417761</v>
      </c>
      <c r="V128" s="273">
        <v>14669389</v>
      </c>
      <c r="W128" s="273">
        <v>13588506</v>
      </c>
      <c r="X128" s="273">
        <v>14368393</v>
      </c>
    </row>
    <row r="129" spans="1:24" ht="14.25" thickBot="1" x14ac:dyDescent="0.3">
      <c r="A129" s="225" t="s">
        <v>35</v>
      </c>
      <c r="B129" s="276">
        <v>12375508</v>
      </c>
      <c r="C129" s="276">
        <v>12624560</v>
      </c>
      <c r="D129" s="276">
        <v>12335057</v>
      </c>
      <c r="E129" s="276">
        <v>13781267</v>
      </c>
      <c r="F129" s="276">
        <v>14189084</v>
      </c>
      <c r="G129" s="276">
        <v>14772696</v>
      </c>
      <c r="H129" s="276">
        <v>15272692</v>
      </c>
      <c r="I129" s="276">
        <v>15902424</v>
      </c>
      <c r="J129" s="276">
        <v>15583923</v>
      </c>
      <c r="K129" s="276">
        <v>16439312</v>
      </c>
      <c r="L129" s="276">
        <v>16377031</v>
      </c>
      <c r="M129" s="276">
        <v>18141349</v>
      </c>
      <c r="N129" s="276">
        <v>18428227</v>
      </c>
      <c r="O129" s="276">
        <v>18622885</v>
      </c>
      <c r="P129" s="276">
        <v>19424779</v>
      </c>
      <c r="Q129" s="276">
        <v>20529274</v>
      </c>
      <c r="R129" s="276">
        <v>20082649</v>
      </c>
      <c r="S129" s="276">
        <v>20032176</v>
      </c>
      <c r="T129" s="276">
        <v>21292356</v>
      </c>
      <c r="U129" s="276">
        <v>21819086</v>
      </c>
      <c r="V129" s="276">
        <v>21778346</v>
      </c>
      <c r="W129" s="276">
        <v>22190228</v>
      </c>
      <c r="X129" s="276">
        <v>20947776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3.31</v>
      </c>
      <c r="C132" s="68">
        <v>2.39</v>
      </c>
      <c r="D132" s="68">
        <v>2.94</v>
      </c>
      <c r="E132" s="68">
        <v>3.4</v>
      </c>
      <c r="F132" s="68">
        <v>2.59</v>
      </c>
    </row>
    <row r="133" spans="1:24" ht="14.25" thickBot="1" x14ac:dyDescent="0.3">
      <c r="A133" s="225" t="s">
        <v>37</v>
      </c>
      <c r="B133" s="274">
        <v>-1.1200000000000001</v>
      </c>
      <c r="C133" s="274">
        <v>-1.93</v>
      </c>
      <c r="D133" s="274">
        <v>-0.79</v>
      </c>
      <c r="E133" s="274">
        <v>-1.35</v>
      </c>
      <c r="F133" s="274">
        <v>-1.52</v>
      </c>
    </row>
    <row r="134" spans="1:24" ht="14.25" thickBot="1" x14ac:dyDescent="0.3">
      <c r="A134" s="224" t="s">
        <v>38</v>
      </c>
      <c r="B134" s="68">
        <v>-1.64</v>
      </c>
      <c r="C134" s="68">
        <v>-0.78</v>
      </c>
      <c r="D134" s="68">
        <v>-1.37</v>
      </c>
      <c r="E134" s="68">
        <v>-0.84</v>
      </c>
      <c r="F134" s="68">
        <v>-1.77</v>
      </c>
    </row>
    <row r="135" spans="1:24" ht="14.25" thickBot="1" x14ac:dyDescent="0.3">
      <c r="A135" s="225" t="s">
        <v>270</v>
      </c>
      <c r="B135" s="274">
        <v>2.2000000000000002</v>
      </c>
      <c r="C135" s="274">
        <v>0.45</v>
      </c>
      <c r="D135" s="274">
        <v>2.15</v>
      </c>
      <c r="E135" s="274">
        <v>2.06</v>
      </c>
      <c r="F135" s="274">
        <v>1.07</v>
      </c>
    </row>
    <row r="136" spans="1:24" ht="14.25" thickBot="1" x14ac:dyDescent="0.3">
      <c r="A136" s="229" t="s">
        <v>39</v>
      </c>
      <c r="B136" s="72">
        <v>0.56000000000000005</v>
      </c>
      <c r="C136" s="72">
        <v>-0.33</v>
      </c>
      <c r="D136" s="72">
        <v>0.78</v>
      </c>
      <c r="E136" s="72">
        <v>1.22</v>
      </c>
      <c r="F136" s="72">
        <v>-0.7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</v>
      </c>
      <c r="C140" s="68">
        <v>1.6</v>
      </c>
      <c r="D140" s="68">
        <v>1.6</v>
      </c>
      <c r="E140" s="68">
        <v>1.6</v>
      </c>
      <c r="F140" s="68">
        <v>1.6</v>
      </c>
    </row>
    <row r="141" spans="1:24" ht="14.25" thickBot="1" x14ac:dyDescent="0.3">
      <c r="A141" s="227" t="s">
        <v>1</v>
      </c>
      <c r="B141" s="73">
        <v>1.5</v>
      </c>
      <c r="C141" s="73">
        <v>0.9</v>
      </c>
      <c r="D141" s="73">
        <v>1</v>
      </c>
      <c r="E141" s="73">
        <v>1.1000000000000001</v>
      </c>
      <c r="F141" s="73">
        <v>0.4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0.47846889952153115</v>
      </c>
      <c r="C142" s="234">
        <f>IF(C140&lt;&gt;"無",IF(ISNA(HLOOKUP(C139,$B$64:$F$69,6,FALSE)),"",C140/HLOOKUP(C139,$B$64:$F$69,6,FALSE)),"")</f>
        <v>0.53511705685618727</v>
      </c>
      <c r="D142" s="234">
        <f>IF(D140&lt;&gt;"無",IF(ISNA(HLOOKUP(D139,$B$64:$F$69,6,FALSE)),"",D140/HLOOKUP(D139,$B$64:$F$69,6,FALSE)),"")</f>
        <v>0.53872053872053882</v>
      </c>
      <c r="E142" s="234">
        <f>IF(E140&lt;&gt;"無",IF(ISNA(HLOOKUP(E139,$B$64:$F$69,6,FALSE)),"",E140/HLOOKUP(E139,$B$64:$F$69,6,FALSE)),"")</f>
        <v>0.44077134986225897</v>
      </c>
      <c r="F142" s="234">
        <f>IF(F140&lt;&gt;"無",IF(ISNA(HLOOKUP(F139,$B$64:$F$69,6,FALSE)),"",F140/HLOOKUP(F139,$B$64:$F$69,6,FALSE)),"")</f>
        <v>0.50793650793650802</v>
      </c>
    </row>
    <row r="143" spans="1:24" x14ac:dyDescent="0.25">
      <c r="A143" s="233" t="s">
        <v>216</v>
      </c>
      <c r="B143" s="234">
        <f>IF(OR(B140=0,B140="無"),"",B135/B140)</f>
        <v>1.1000000000000001</v>
      </c>
      <c r="C143" s="234">
        <f>IF(OR(C140=0,C140="無"),"",C135/C140)</f>
        <v>0.28125</v>
      </c>
      <c r="D143" s="234">
        <f>IF(OR(D140=0,D140="無"),"",D135/D140)</f>
        <v>1.3437499999999998</v>
      </c>
      <c r="E143" s="234">
        <f>IF(OR(E140=0,E140="無"),"",E135/E140)</f>
        <v>1.2874999999999999</v>
      </c>
      <c r="F143" s="234">
        <f>IF(OR(F140=0,F140="無"),"",F135/F140)</f>
        <v>0.66874999999999996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37.409999999999997</v>
      </c>
      <c r="C146" s="68">
        <v>36.58</v>
      </c>
      <c r="D146" s="68">
        <v>39.409999999999997</v>
      </c>
      <c r="E146" s="68">
        <v>38.61</v>
      </c>
      <c r="F146" s="68">
        <v>31.17</v>
      </c>
      <c r="G146" s="68">
        <v>26.54</v>
      </c>
      <c r="H146" s="68">
        <v>26.69</v>
      </c>
      <c r="I146" s="68">
        <v>26.62</v>
      </c>
      <c r="J146" s="68">
        <v>26.82</v>
      </c>
      <c r="K146" s="68">
        <v>27.43</v>
      </c>
      <c r="L146" s="68">
        <v>31.31</v>
      </c>
      <c r="M146" s="68">
        <v>28.22</v>
      </c>
      <c r="N146" s="68">
        <v>33.11</v>
      </c>
      <c r="O146" s="68">
        <v>30.44</v>
      </c>
      <c r="P146" s="68">
        <v>32.130000000000003</v>
      </c>
      <c r="Q146" s="68">
        <v>29.9</v>
      </c>
      <c r="R146" s="68">
        <v>32</v>
      </c>
      <c r="S146" s="68">
        <v>29.79</v>
      </c>
      <c r="T146" s="68">
        <v>29.07</v>
      </c>
      <c r="U146" s="68">
        <v>27.47</v>
      </c>
      <c r="V146" s="68">
        <v>28.83</v>
      </c>
      <c r="W146" s="68">
        <v>26.43</v>
      </c>
      <c r="X146" s="68">
        <v>29.26</v>
      </c>
    </row>
    <row r="147" spans="1:24" s="93" customFormat="1" ht="14.25" thickBot="1" x14ac:dyDescent="0.3">
      <c r="A147" s="225" t="s">
        <v>19</v>
      </c>
      <c r="B147" s="274">
        <v>15.1</v>
      </c>
      <c r="C147" s="274">
        <v>8.16</v>
      </c>
      <c r="D147" s="274">
        <v>11.82</v>
      </c>
      <c r="E147" s="274">
        <v>12.63</v>
      </c>
      <c r="F147" s="274">
        <v>14.76</v>
      </c>
      <c r="G147" s="274">
        <v>8.6300000000000008</v>
      </c>
      <c r="H147" s="274">
        <v>8.69</v>
      </c>
      <c r="I147" s="274">
        <v>7.2</v>
      </c>
      <c r="J147" s="274">
        <v>12.26</v>
      </c>
      <c r="K147" s="274">
        <v>8.49</v>
      </c>
      <c r="L147" s="274">
        <v>13.53</v>
      </c>
      <c r="M147" s="274">
        <v>10.32</v>
      </c>
      <c r="N147" s="274">
        <v>16.66</v>
      </c>
      <c r="O147" s="274">
        <v>7.15</v>
      </c>
      <c r="P147" s="274">
        <v>14.4</v>
      </c>
      <c r="Q147" s="274">
        <v>11.6</v>
      </c>
      <c r="R147" s="274">
        <v>14.48</v>
      </c>
      <c r="S147" s="274">
        <v>8.6300000000000008</v>
      </c>
      <c r="T147" s="274">
        <v>9.9499999999999993</v>
      </c>
      <c r="U147" s="274">
        <v>10.62</v>
      </c>
      <c r="V147" s="274">
        <v>12.09</v>
      </c>
      <c r="W147" s="274">
        <v>6.24</v>
      </c>
      <c r="X147" s="274">
        <v>12.05</v>
      </c>
    </row>
    <row r="148" spans="1:24" s="93" customFormat="1" ht="14.25" thickBot="1" x14ac:dyDescent="0.3">
      <c r="A148" s="224" t="s">
        <v>41</v>
      </c>
      <c r="B148" s="68">
        <v>16.54</v>
      </c>
      <c r="C148" s="68">
        <v>10.19</v>
      </c>
      <c r="D148" s="68">
        <v>13.12</v>
      </c>
      <c r="E148" s="68">
        <v>14.66</v>
      </c>
      <c r="F148" s="68">
        <v>16.59</v>
      </c>
      <c r="G148" s="68">
        <v>9.2899999999999991</v>
      </c>
      <c r="H148" s="68">
        <v>8.8699999999999992</v>
      </c>
      <c r="I148" s="68">
        <v>9.43</v>
      </c>
      <c r="J148" s="68">
        <v>12.36</v>
      </c>
      <c r="K148" s="68">
        <v>8.65</v>
      </c>
      <c r="L148" s="68">
        <v>14.4</v>
      </c>
      <c r="M148" s="68">
        <v>11.15</v>
      </c>
      <c r="N148" s="68">
        <v>16.91</v>
      </c>
      <c r="O148" s="68">
        <v>7.79</v>
      </c>
      <c r="P148" s="68">
        <v>15.37</v>
      </c>
      <c r="Q148" s="68">
        <v>11.51</v>
      </c>
      <c r="R148" s="68">
        <v>14.94</v>
      </c>
      <c r="S148" s="68">
        <v>9.81</v>
      </c>
      <c r="T148" s="68">
        <v>11.25</v>
      </c>
      <c r="U148" s="68">
        <v>11.72</v>
      </c>
      <c r="V148" s="68">
        <v>11.28</v>
      </c>
      <c r="W148" s="68">
        <v>5.99</v>
      </c>
      <c r="X148" s="68">
        <v>11.87</v>
      </c>
    </row>
    <row r="149" spans="1:24" s="93" customFormat="1" ht="14.25" thickBot="1" x14ac:dyDescent="0.3">
      <c r="A149" s="225" t="s">
        <v>13</v>
      </c>
      <c r="B149" s="73">
        <v>13.1</v>
      </c>
      <c r="C149" s="73">
        <v>8.36</v>
      </c>
      <c r="D149" s="73">
        <v>10.74</v>
      </c>
      <c r="E149" s="73">
        <v>12.4</v>
      </c>
      <c r="F149" s="73">
        <v>13.78</v>
      </c>
      <c r="G149" s="73">
        <v>7.56</v>
      </c>
      <c r="H149" s="73">
        <v>7.27</v>
      </c>
      <c r="I149" s="73">
        <v>7.99</v>
      </c>
      <c r="J149" s="73">
        <v>10.220000000000001</v>
      </c>
      <c r="K149" s="73">
        <v>7.08</v>
      </c>
      <c r="L149" s="73">
        <v>11.98</v>
      </c>
      <c r="M149" s="73">
        <v>8.64</v>
      </c>
      <c r="N149" s="73">
        <v>12.79</v>
      </c>
      <c r="O149" s="73">
        <v>7.35</v>
      </c>
      <c r="P149" s="73">
        <v>12.39</v>
      </c>
      <c r="Q149" s="73">
        <v>9.57</v>
      </c>
      <c r="R149" s="73">
        <v>11.84</v>
      </c>
      <c r="S149" s="73">
        <v>8.07</v>
      </c>
      <c r="T149" s="73">
        <v>9.01</v>
      </c>
      <c r="U149" s="73">
        <v>9.51</v>
      </c>
      <c r="V149" s="73">
        <v>9.14</v>
      </c>
      <c r="W149" s="73">
        <v>3.94</v>
      </c>
      <c r="X149" s="73">
        <v>9.7100000000000009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38.08</v>
      </c>
      <c r="C152" s="68">
        <v>27.75</v>
      </c>
      <c r="D152" s="68">
        <v>28.54</v>
      </c>
      <c r="E152" s="68">
        <v>31.51</v>
      </c>
      <c r="F152" s="68">
        <v>29.57</v>
      </c>
    </row>
    <row r="153" spans="1:24" s="93" customFormat="1" ht="14.25" thickBot="1" x14ac:dyDescent="0.3">
      <c r="A153" s="225" t="s">
        <v>19</v>
      </c>
      <c r="B153" s="274">
        <v>11.97</v>
      </c>
      <c r="C153" s="274">
        <v>9.8000000000000007</v>
      </c>
      <c r="D153" s="274">
        <v>11.27</v>
      </c>
      <c r="E153" s="274">
        <v>12.88</v>
      </c>
      <c r="F153" s="274">
        <v>11.12</v>
      </c>
    </row>
    <row r="154" spans="1:24" s="93" customFormat="1" ht="14.25" thickBot="1" x14ac:dyDescent="0.3">
      <c r="A154" s="224" t="s">
        <v>41</v>
      </c>
      <c r="B154" s="68">
        <v>13.66</v>
      </c>
      <c r="C154" s="68">
        <v>11.03</v>
      </c>
      <c r="D154" s="68">
        <v>11.79</v>
      </c>
      <c r="E154" s="68">
        <v>13.32</v>
      </c>
      <c r="F154" s="68">
        <v>12.11</v>
      </c>
    </row>
    <row r="155" spans="1:24" s="93" customFormat="1" ht="14.25" thickBot="1" x14ac:dyDescent="0.3">
      <c r="A155" s="225" t="s">
        <v>13</v>
      </c>
      <c r="B155" s="73">
        <v>11.18</v>
      </c>
      <c r="C155" s="73">
        <v>9.14</v>
      </c>
      <c r="D155" s="73">
        <v>9.59</v>
      </c>
      <c r="E155" s="73">
        <v>10.79</v>
      </c>
      <c r="F155" s="73">
        <v>9.74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5.03</v>
      </c>
      <c r="C158" s="68">
        <v>3.1</v>
      </c>
      <c r="D158" s="68">
        <v>4.72</v>
      </c>
      <c r="E158" s="68">
        <v>4.97</v>
      </c>
      <c r="F158" s="68">
        <v>5.0199999999999996</v>
      </c>
      <c r="G158" s="68">
        <v>2.33</v>
      </c>
      <c r="H158" s="68">
        <v>2.73</v>
      </c>
      <c r="I158" s="68">
        <v>2.74</v>
      </c>
      <c r="J158" s="68">
        <v>3.47</v>
      </c>
      <c r="K158" s="68">
        <v>2.0699999999999998</v>
      </c>
      <c r="L158" s="68">
        <v>4.3099999999999996</v>
      </c>
      <c r="M158" s="68">
        <v>3.05</v>
      </c>
      <c r="N158" s="68">
        <v>5.05</v>
      </c>
      <c r="O158" s="68">
        <v>2.0699999999999998</v>
      </c>
      <c r="P158" s="68">
        <v>4.5199999999999996</v>
      </c>
      <c r="Q158" s="68">
        <v>3.03</v>
      </c>
      <c r="R158" s="68">
        <v>4.37</v>
      </c>
      <c r="S158" s="68">
        <v>2.14</v>
      </c>
      <c r="T158" s="68">
        <v>3.08</v>
      </c>
      <c r="U158" s="68">
        <v>3.38</v>
      </c>
      <c r="V158" s="68">
        <v>2.8</v>
      </c>
      <c r="W158" s="68">
        <v>1.05</v>
      </c>
      <c r="X158" s="68">
        <v>3.38</v>
      </c>
    </row>
    <row r="159" spans="1:24" s="93" customFormat="1" ht="14.25" thickBot="1" x14ac:dyDescent="0.3">
      <c r="A159" s="225" t="s">
        <v>45</v>
      </c>
      <c r="B159" s="73">
        <v>6.69</v>
      </c>
      <c r="C159" s="73">
        <v>4.18</v>
      </c>
      <c r="D159" s="73">
        <v>6.42</v>
      </c>
      <c r="E159" s="73">
        <v>6.65</v>
      </c>
      <c r="F159" s="73">
        <v>6.72</v>
      </c>
      <c r="G159" s="73">
        <v>3.23</v>
      </c>
      <c r="H159" s="73">
        <v>3.97</v>
      </c>
      <c r="I159" s="73">
        <v>3.98</v>
      </c>
      <c r="J159" s="73">
        <v>4.87</v>
      </c>
      <c r="K159" s="73">
        <v>2.96</v>
      </c>
      <c r="L159" s="73">
        <v>6.37</v>
      </c>
      <c r="M159" s="73">
        <v>4.41</v>
      </c>
      <c r="N159" s="73">
        <v>7.33</v>
      </c>
      <c r="O159" s="73">
        <v>3.02</v>
      </c>
      <c r="P159" s="73">
        <v>6.77</v>
      </c>
      <c r="Q159" s="73">
        <v>4.5199999999999996</v>
      </c>
      <c r="R159" s="73">
        <v>6.33</v>
      </c>
      <c r="S159" s="73">
        <v>3.07</v>
      </c>
      <c r="T159" s="73">
        <v>4.59</v>
      </c>
      <c r="U159" s="73">
        <v>5.07</v>
      </c>
      <c r="V159" s="73">
        <v>4.08</v>
      </c>
      <c r="W159" s="73">
        <v>1.54</v>
      </c>
      <c r="X159" s="73">
        <v>5.12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11.18</v>
      </c>
      <c r="C162" s="68">
        <v>9.14</v>
      </c>
      <c r="D162" s="68">
        <v>9.59</v>
      </c>
      <c r="E162" s="68">
        <v>10.79</v>
      </c>
      <c r="F162" s="68">
        <v>9.74</v>
      </c>
    </row>
    <row r="163" spans="1:72" s="93" customFormat="1" ht="14.25" thickBot="1" x14ac:dyDescent="0.3">
      <c r="A163" s="225" t="s">
        <v>18</v>
      </c>
      <c r="B163" s="274">
        <v>1.46</v>
      </c>
      <c r="C163" s="274">
        <v>1.28</v>
      </c>
      <c r="D163" s="274">
        <v>1.2</v>
      </c>
      <c r="E163" s="274">
        <v>1.24</v>
      </c>
      <c r="F163" s="274">
        <v>1.24</v>
      </c>
    </row>
    <row r="164" spans="1:72" s="93" customFormat="1" ht="14.25" thickBot="1" x14ac:dyDescent="0.3">
      <c r="A164" s="224" t="s">
        <v>15</v>
      </c>
      <c r="B164" s="68">
        <v>1.37</v>
      </c>
      <c r="C164" s="68">
        <v>1.47</v>
      </c>
      <c r="D164" s="68">
        <v>1.5</v>
      </c>
      <c r="E164" s="68">
        <v>1.52</v>
      </c>
      <c r="F164" s="68">
        <v>1.51</v>
      </c>
    </row>
    <row r="165" spans="1:72" s="93" customFormat="1" ht="14.25" thickBot="1" x14ac:dyDescent="0.3">
      <c r="A165" s="225" t="s">
        <v>45</v>
      </c>
      <c r="B165" s="73">
        <v>23.51</v>
      </c>
      <c r="C165" s="73">
        <v>17.82</v>
      </c>
      <c r="D165" s="73">
        <v>18.22</v>
      </c>
      <c r="E165" s="73">
        <v>21.5</v>
      </c>
      <c r="F165" s="73">
        <v>18.89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58.06</v>
      </c>
      <c r="C168" s="68">
        <v>55.56</v>
      </c>
      <c r="D168" s="68">
        <v>52.02</v>
      </c>
      <c r="E168" s="68">
        <v>58.44</v>
      </c>
      <c r="F168" s="68">
        <v>58.06</v>
      </c>
      <c r="G168" s="68">
        <v>63.38</v>
      </c>
      <c r="H168" s="68">
        <v>53.89</v>
      </c>
      <c r="I168" s="68">
        <v>63.38</v>
      </c>
      <c r="J168" s="68">
        <v>61.22</v>
      </c>
      <c r="K168" s="68">
        <v>65.69</v>
      </c>
      <c r="L168" s="68">
        <v>54.88</v>
      </c>
      <c r="M168" s="68">
        <v>61.22</v>
      </c>
      <c r="N168" s="68">
        <v>55.21</v>
      </c>
      <c r="O168" s="68">
        <v>72.58</v>
      </c>
      <c r="P168" s="68">
        <v>55.56</v>
      </c>
      <c r="Q168" s="68">
        <v>65.22</v>
      </c>
      <c r="R168" s="68">
        <v>53.57</v>
      </c>
      <c r="S168" s="68">
        <v>70.31</v>
      </c>
      <c r="T168" s="68">
        <v>54.55</v>
      </c>
      <c r="U168" s="68">
        <v>58.82</v>
      </c>
      <c r="V168" s="68">
        <v>66.67</v>
      </c>
      <c r="W168" s="68">
        <v>70.31</v>
      </c>
      <c r="X168" s="68">
        <v>57.32</v>
      </c>
    </row>
    <row r="169" spans="1:72" s="93" customFormat="1" ht="14.25" thickBot="1" x14ac:dyDescent="0.3">
      <c r="A169" s="225" t="s">
        <v>17</v>
      </c>
      <c r="B169" s="274">
        <v>84.11</v>
      </c>
      <c r="C169" s="274">
        <v>75</v>
      </c>
      <c r="D169" s="274">
        <v>65.22</v>
      </c>
      <c r="E169" s="274">
        <v>75</v>
      </c>
      <c r="F169" s="274">
        <v>68.7</v>
      </c>
      <c r="G169" s="274">
        <v>75.63</v>
      </c>
      <c r="H169" s="274">
        <v>67.67</v>
      </c>
      <c r="I169" s="274">
        <v>76.92</v>
      </c>
      <c r="J169" s="274">
        <v>76.92</v>
      </c>
      <c r="K169" s="274">
        <v>88.24</v>
      </c>
      <c r="L169" s="274">
        <v>73.17</v>
      </c>
      <c r="M169" s="274">
        <v>72.58</v>
      </c>
      <c r="N169" s="274">
        <v>65.69</v>
      </c>
      <c r="O169" s="274">
        <v>81.08</v>
      </c>
      <c r="P169" s="274">
        <v>63.83</v>
      </c>
      <c r="Q169" s="274">
        <v>70.87</v>
      </c>
      <c r="R169" s="274">
        <v>65.22</v>
      </c>
      <c r="S169" s="274">
        <v>90</v>
      </c>
      <c r="T169" s="274">
        <v>68.180000000000007</v>
      </c>
      <c r="U169" s="274">
        <v>66.180000000000007</v>
      </c>
      <c r="V169" s="274">
        <v>84.91</v>
      </c>
      <c r="W169" s="274">
        <v>101.12</v>
      </c>
      <c r="X169" s="274">
        <v>78.260000000000005</v>
      </c>
    </row>
    <row r="170" spans="1:72" s="93" customFormat="1" ht="14.25" thickBot="1" x14ac:dyDescent="0.3">
      <c r="A170" s="224" t="s">
        <v>42</v>
      </c>
      <c r="B170" s="72">
        <v>142.18</v>
      </c>
      <c r="C170" s="72">
        <v>130.56</v>
      </c>
      <c r="D170" s="72">
        <v>117.24</v>
      </c>
      <c r="E170" s="72">
        <v>133.44</v>
      </c>
      <c r="F170" s="72">
        <v>126.77</v>
      </c>
      <c r="G170" s="72">
        <v>139.01</v>
      </c>
      <c r="H170" s="72">
        <v>121.56</v>
      </c>
      <c r="I170" s="72">
        <v>140.30000000000001</v>
      </c>
      <c r="J170" s="72">
        <v>138.15</v>
      </c>
      <c r="K170" s="72">
        <v>153.93</v>
      </c>
      <c r="L170" s="72">
        <v>128.05000000000001</v>
      </c>
      <c r="M170" s="72">
        <v>133.81</v>
      </c>
      <c r="N170" s="72">
        <v>120.91</v>
      </c>
      <c r="O170" s="72">
        <v>153.66</v>
      </c>
      <c r="P170" s="72">
        <v>119.39</v>
      </c>
      <c r="Q170" s="72">
        <v>136.08000000000001</v>
      </c>
      <c r="R170" s="72">
        <v>118.79</v>
      </c>
      <c r="S170" s="72">
        <v>160.31</v>
      </c>
      <c r="T170" s="72">
        <v>122.73</v>
      </c>
      <c r="U170" s="72">
        <v>125</v>
      </c>
      <c r="V170" s="72">
        <v>151.57</v>
      </c>
      <c r="W170" s="72">
        <v>171.44</v>
      </c>
      <c r="X170" s="72">
        <v>135.59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84.4</v>
      </c>
      <c r="C173" s="72">
        <v>84.21</v>
      </c>
      <c r="D173" s="72">
        <v>101.04</v>
      </c>
      <c r="E173" s="72">
        <v>97.11</v>
      </c>
      <c r="F173" s="72">
        <v>85.86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17.09</v>
      </c>
      <c r="C176" s="72">
        <v>19.02</v>
      </c>
      <c r="D176" s="72">
        <v>19.239999999999998</v>
      </c>
      <c r="E176" s="72">
        <v>17.010000000000002</v>
      </c>
      <c r="F176" s="72">
        <v>18.89</v>
      </c>
      <c r="G176" s="72">
        <v>17.670000000000002</v>
      </c>
      <c r="H176" s="72">
        <v>17.21</v>
      </c>
      <c r="I176" s="72">
        <v>22.25</v>
      </c>
      <c r="J176" s="72">
        <v>21.11</v>
      </c>
      <c r="K176" s="72">
        <v>21.17</v>
      </c>
      <c r="L176" s="72">
        <v>20.65</v>
      </c>
      <c r="M176" s="72">
        <v>21.59</v>
      </c>
      <c r="N176" s="72">
        <v>21.79</v>
      </c>
      <c r="O176" s="72">
        <v>22.68</v>
      </c>
      <c r="P176" s="72">
        <v>23.05</v>
      </c>
      <c r="Q176" s="72">
        <v>24.59</v>
      </c>
      <c r="R176" s="72">
        <v>24.34</v>
      </c>
      <c r="S176" s="72">
        <v>23.03</v>
      </c>
      <c r="T176" s="72">
        <v>23.52</v>
      </c>
      <c r="U176" s="72">
        <v>25.7</v>
      </c>
      <c r="V176" s="72">
        <v>25.8</v>
      </c>
      <c r="W176" s="72">
        <v>26.46</v>
      </c>
      <c r="X176" s="72">
        <v>27.7</v>
      </c>
      <c r="Y176" s="72">
        <v>28.48</v>
      </c>
      <c r="Z176" s="72">
        <v>28.69</v>
      </c>
      <c r="AA176" s="72">
        <v>27.76</v>
      </c>
      <c r="AB176" s="72">
        <v>29.89</v>
      </c>
      <c r="AC176" s="72">
        <v>29.56</v>
      </c>
      <c r="AD176" s="72">
        <v>32.090000000000003</v>
      </c>
      <c r="AE176" s="72">
        <v>31.84</v>
      </c>
      <c r="AF176" s="72">
        <v>32.200000000000003</v>
      </c>
      <c r="AG176" s="72">
        <v>32.32</v>
      </c>
      <c r="AH176" s="72">
        <v>31.45</v>
      </c>
      <c r="AI176" s="72">
        <v>29.06</v>
      </c>
      <c r="AJ176" s="72">
        <v>25.12</v>
      </c>
      <c r="AK176" s="72">
        <v>25.02</v>
      </c>
      <c r="AL176" s="72">
        <v>24.25</v>
      </c>
      <c r="AM176" s="72">
        <v>25.36</v>
      </c>
      <c r="AN176" s="72">
        <v>26.68</v>
      </c>
      <c r="AO176" s="72">
        <v>26.23</v>
      </c>
      <c r="AP176" s="72">
        <v>22.89</v>
      </c>
      <c r="AQ176" s="72">
        <v>24.78</v>
      </c>
      <c r="AR176" s="72">
        <v>26.75</v>
      </c>
      <c r="AS176" s="72">
        <v>24.14</v>
      </c>
      <c r="AT176" s="72">
        <v>21.01</v>
      </c>
      <c r="AU176" s="72">
        <v>22.17</v>
      </c>
      <c r="AV176" s="72">
        <v>22.98</v>
      </c>
      <c r="AW176" s="72">
        <v>23.3</v>
      </c>
      <c r="AX176" s="72">
        <v>23.12</v>
      </c>
      <c r="AY176" s="72">
        <v>24.26</v>
      </c>
      <c r="AZ176" s="72">
        <v>23.5</v>
      </c>
      <c r="BA176" s="72">
        <v>22.6</v>
      </c>
      <c r="BB176" s="72">
        <v>22.66</v>
      </c>
      <c r="BC176" s="72">
        <v>23.07</v>
      </c>
      <c r="BD176" s="72">
        <v>23.28</v>
      </c>
      <c r="BE176" s="72">
        <v>23.14</v>
      </c>
      <c r="BF176" s="72">
        <v>22.79</v>
      </c>
      <c r="BG176" s="72">
        <v>22.97</v>
      </c>
      <c r="BH176" s="72">
        <v>26.67</v>
      </c>
      <c r="BI176" s="72">
        <v>26.7</v>
      </c>
      <c r="BJ176" s="72">
        <v>26.64</v>
      </c>
      <c r="BK176" s="72">
        <v>27.01</v>
      </c>
      <c r="BL176" s="72">
        <v>25.52</v>
      </c>
      <c r="BM176" s="72">
        <v>25.11</v>
      </c>
      <c r="BN176" s="72">
        <v>28.79</v>
      </c>
      <c r="BO176" s="72">
        <v>30.03</v>
      </c>
      <c r="BP176" s="72">
        <v>30.14</v>
      </c>
      <c r="BQ176" s="72">
        <v>32.630000000000003</v>
      </c>
      <c r="BR176" s="72">
        <v>31.34</v>
      </c>
      <c r="BS176" s="72">
        <v>31.05</v>
      </c>
      <c r="BT176" s="72">
        <v>30.48</v>
      </c>
    </row>
  </sheetData>
  <phoneticPr fontId="3" type="noConversion"/>
  <conditionalFormatting sqref="E4">
    <cfRule type="cellIs" dxfId="7421" priority="101" operator="greaterThan">
      <formula>0.2</formula>
    </cfRule>
    <cfRule type="cellIs" dxfId="7420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7419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7418" priority="95" operator="greaterThan">
      <formula>$B$19</formula>
    </cfRule>
  </conditionalFormatting>
  <conditionalFormatting sqref="D33:D34">
    <cfRule type="cellIs" dxfId="7417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7416" priority="89" operator="lessThan">
      <formula>$H$62</formula>
    </cfRule>
    <cfRule type="cellIs" dxfId="7415" priority="90" operator="greaterThan">
      <formula>$H$62</formula>
    </cfRule>
  </conditionalFormatting>
  <conditionalFormatting sqref="J62">
    <cfRule type="cellIs" dxfId="7414" priority="87" operator="lessThan">
      <formula>$K$62</formula>
    </cfRule>
    <cfRule type="cellIs" dxfId="7413" priority="88" operator="greaterThan">
      <formula>$K$62</formula>
    </cfRule>
  </conditionalFormatting>
  <conditionalFormatting sqref="M62">
    <cfRule type="cellIs" dxfId="7412" priority="85" operator="lessThan">
      <formula>$N$62</formula>
    </cfRule>
    <cfRule type="cellIs" dxfId="7411" priority="86" operator="greaterThan">
      <formula>$N$62</formula>
    </cfRule>
  </conditionalFormatting>
  <conditionalFormatting sqref="B44:E44">
    <cfRule type="cellIs" dxfId="7410" priority="83" operator="greaterThan">
      <formula>0</formula>
    </cfRule>
    <cfRule type="cellIs" dxfId="7409" priority="84" operator="lessThan">
      <formula>0</formula>
    </cfRule>
  </conditionalFormatting>
  <conditionalFormatting sqref="F72">
    <cfRule type="cellIs" dxfId="7408" priority="82" operator="lessThan">
      <formula>$E$72*90%</formula>
    </cfRule>
  </conditionalFormatting>
  <conditionalFormatting sqref="F73">
    <cfRule type="cellIs" dxfId="7407" priority="81" operator="lessThan">
      <formula>$E$73*90%</formula>
    </cfRule>
  </conditionalFormatting>
  <conditionalFormatting sqref="F74">
    <cfRule type="cellIs" dxfId="7406" priority="80" operator="lessThan">
      <formula>$E$74*90%</formula>
    </cfRule>
  </conditionalFormatting>
  <conditionalFormatting sqref="F75">
    <cfRule type="cellIs" dxfId="7405" priority="79" operator="lessThan">
      <formula>$E$75*90%</formula>
    </cfRule>
  </conditionalFormatting>
  <conditionalFormatting sqref="H44:K44">
    <cfRule type="cellIs" dxfId="7404" priority="77" operator="greaterThan">
      <formula>0</formula>
    </cfRule>
    <cfRule type="cellIs" dxfId="7403" priority="78" operator="lessThan">
      <formula>0</formula>
    </cfRule>
  </conditionalFormatting>
  <conditionalFormatting sqref="H51:K51">
    <cfRule type="cellIs" dxfId="7402" priority="75" operator="greaterThan">
      <formula>0</formula>
    </cfRule>
    <cfRule type="cellIs" dxfId="7401" priority="76" operator="lessThan">
      <formula>0</formula>
    </cfRule>
  </conditionalFormatting>
  <conditionalFormatting sqref="B51:E51">
    <cfRule type="cellIs" dxfId="7400" priority="73" operator="greaterThan">
      <formula>0</formula>
    </cfRule>
    <cfRule type="cellIs" dxfId="7399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7398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7397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7396" priority="56" operator="lessThan">
      <formula>0</formula>
    </cfRule>
  </conditionalFormatting>
  <conditionalFormatting sqref="A25 E25 C25">
    <cfRule type="cellIs" dxfId="7395" priority="57" operator="lessThan">
      <formula>0</formula>
    </cfRule>
  </conditionalFormatting>
  <conditionalFormatting sqref="F25">
    <cfRule type="cellIs" dxfId="7394" priority="55" operator="lessThan">
      <formula>0</formula>
    </cfRule>
  </conditionalFormatting>
  <conditionalFormatting sqref="E1">
    <cfRule type="containsText" dxfId="7393" priority="54" operator="containsText" text="本季業外損益/平均=-">
      <formula>NOT(ISERROR(SEARCH("本季業外損益/平均=-",E1)))</formula>
    </cfRule>
  </conditionalFormatting>
  <conditionalFormatting sqref="M65">
    <cfRule type="cellIs" dxfId="7392" priority="53" operator="lessThan">
      <formula>$L$65*90%</formula>
    </cfRule>
  </conditionalFormatting>
  <conditionalFormatting sqref="M66">
    <cfRule type="cellIs" dxfId="7391" priority="52" operator="lessThan">
      <formula>$L$66*90%</formula>
    </cfRule>
  </conditionalFormatting>
  <conditionalFormatting sqref="M67">
    <cfRule type="cellIs" dxfId="7390" priority="51" operator="lessThan">
      <formula>$L$67*90%</formula>
    </cfRule>
  </conditionalFormatting>
  <conditionalFormatting sqref="M68">
    <cfRule type="cellIs" dxfId="7389" priority="50" operator="lessThan">
      <formula>$L$68*90%</formula>
    </cfRule>
  </conditionalFormatting>
  <conditionalFormatting sqref="B60">
    <cfRule type="cellIs" dxfId="7388" priority="49" operator="lessThan">
      <formula>0</formula>
    </cfRule>
  </conditionalFormatting>
  <conditionalFormatting sqref="B59:F59">
    <cfRule type="cellIs" dxfId="7387" priority="48" operator="lessThanOrEqual">
      <formula>0</formula>
    </cfRule>
  </conditionalFormatting>
  <conditionalFormatting sqref="D62">
    <cfRule type="cellIs" dxfId="7386" priority="46" operator="lessThan">
      <formula>$E$62</formula>
    </cfRule>
    <cfRule type="cellIs" dxfId="7385" priority="47" operator="greaterThan">
      <formula>$E$62</formula>
    </cfRule>
  </conditionalFormatting>
  <conditionalFormatting sqref="F69">
    <cfRule type="cellIs" dxfId="7384" priority="44" operator="lessThan">
      <formula>0</formula>
    </cfRule>
  </conditionalFormatting>
  <conditionalFormatting sqref="B65:E67 B69:E69 B68:D68">
    <cfRule type="cellIs" dxfId="7383" priority="45" operator="lessThan">
      <formula>0</formula>
    </cfRule>
  </conditionalFormatting>
  <conditionalFormatting sqref="E68">
    <cfRule type="cellIs" dxfId="7382" priority="43" operator="lessThan">
      <formula>0</formula>
    </cfRule>
  </conditionalFormatting>
  <conditionalFormatting sqref="F65:F68">
    <cfRule type="cellIs" dxfId="7381" priority="42" operator="lessThan">
      <formula>0</formula>
    </cfRule>
  </conditionalFormatting>
  <conditionalFormatting sqref="F65:F68">
    <cfRule type="cellIs" dxfId="7380" priority="41" operator="lessThan">
      <formula>$E$65*0.9</formula>
    </cfRule>
  </conditionalFormatting>
  <conditionalFormatting sqref="F66">
    <cfRule type="cellIs" dxfId="7379" priority="40" operator="lessThan">
      <formula>$E$66*0.9</formula>
    </cfRule>
  </conditionalFormatting>
  <conditionalFormatting sqref="F67:F68">
    <cfRule type="cellIs" dxfId="7378" priority="39" operator="lessThan">
      <formula>$E$67*0.9</formula>
    </cfRule>
  </conditionalFormatting>
  <conditionalFormatting sqref="F68">
    <cfRule type="cellIs" dxfId="7377" priority="38" operator="lessThan">
      <formula>$E$68*0.9</formula>
    </cfRule>
  </conditionalFormatting>
  <conditionalFormatting sqref="B13:F13">
    <cfRule type="cellIs" dxfId="7376" priority="27" operator="greaterThan">
      <formula>$I$16</formula>
    </cfRule>
    <cfRule type="cellIs" dxfId="7375" priority="28" operator="lessThanOrEqual">
      <formula>$I$16</formula>
    </cfRule>
  </conditionalFormatting>
  <conditionalFormatting sqref="B10:F10">
    <cfRule type="cellIs" dxfId="7374" priority="29" operator="greaterThan">
      <formula>15</formula>
    </cfRule>
    <cfRule type="cellIs" dxfId="7373" priority="36" operator="lessThan">
      <formula>$I$9</formula>
    </cfRule>
    <cfRule type="cellIs" dxfId="7372" priority="37" operator="greaterThan">
      <formula>$I$9</formula>
    </cfRule>
  </conditionalFormatting>
  <conditionalFormatting sqref="B16:F16">
    <cfRule type="cellIs" dxfId="7371" priority="34" operator="greaterThan">
      <formula>$I$16</formula>
    </cfRule>
    <cfRule type="cellIs" dxfId="7370" priority="35" operator="lessThanOrEqual">
      <formula>$I$16</formula>
    </cfRule>
  </conditionalFormatting>
  <conditionalFormatting sqref="B15:F15">
    <cfRule type="cellIs" dxfId="7369" priority="32" operator="lessThanOrEqual">
      <formula>$I$16</formula>
    </cfRule>
    <cfRule type="cellIs" dxfId="7368" priority="33" operator="greaterThan">
      <formula>$I$16</formula>
    </cfRule>
  </conditionalFormatting>
  <conditionalFormatting sqref="B14:F14">
    <cfRule type="cellIs" dxfId="7367" priority="30" operator="greaterThan">
      <formula>$I$16</formula>
    </cfRule>
    <cfRule type="cellIs" dxfId="7366" priority="31" operator="lessThanOrEqual">
      <formula>$I$16</formula>
    </cfRule>
  </conditionalFormatting>
  <conditionalFormatting sqref="K6">
    <cfRule type="containsText" dxfId="7365" priority="25" operator="containsText" text="衰退">
      <formula>NOT(ISERROR(SEARCH("衰退",K6)))</formula>
    </cfRule>
    <cfRule type="containsText" dxfId="7364" priority="26" operator="containsText" text="成長">
      <formula>NOT(ISERROR(SEARCH("成長",K6)))</formula>
    </cfRule>
  </conditionalFormatting>
  <conditionalFormatting sqref="I4:K4">
    <cfRule type="cellIs" dxfId="7363" priority="23" operator="lessThan">
      <formula>0</formula>
    </cfRule>
    <cfRule type="cellIs" dxfId="7362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7361" priority="20" operator="lessThanOrEqual">
      <formula>$I$16</formula>
    </cfRule>
    <cfRule type="cellIs" dxfId="7360" priority="21" operator="greaterThan">
      <formula>$I$16</formula>
    </cfRule>
  </conditionalFormatting>
  <conditionalFormatting sqref="I6">
    <cfRule type="containsText" dxfId="7359" priority="18" operator="containsText" text="衰退">
      <formula>NOT(ISERROR(SEARCH("衰退",I6)))</formula>
    </cfRule>
    <cfRule type="containsText" dxfId="7358" priority="19" operator="containsText" text="成長">
      <formula>NOT(ISERROR(SEARCH("成長",I6)))</formula>
    </cfRule>
  </conditionalFormatting>
  <conditionalFormatting sqref="M9">
    <cfRule type="cellIs" dxfId="7357" priority="17" operator="lessThan">
      <formula>$I$9</formula>
    </cfRule>
  </conditionalFormatting>
  <conditionalFormatting sqref="M10">
    <cfRule type="cellIs" dxfId="7356" priority="16" operator="greaterThan">
      <formula>$I$9</formula>
    </cfRule>
  </conditionalFormatting>
  <conditionalFormatting sqref="M11">
    <cfRule type="cellIs" dxfId="7355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7354" priority="12" operator="lessThan">
      <formula>0</formula>
    </cfRule>
    <cfRule type="cellIs" dxfId="7353" priority="13" operator="greaterThan">
      <formula>0.5</formula>
    </cfRule>
  </conditionalFormatting>
  <conditionalFormatting sqref="N14">
    <cfRule type="cellIs" dxfId="7352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7351" priority="8" operator="lessThan">
      <formula>0.1</formula>
    </cfRule>
  </conditionalFormatting>
  <conditionalFormatting sqref="I14">
    <cfRule type="cellIs" dxfId="7350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7349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7348" priority="1" operator="lessThan">
      <formula>$N$5*0.9</formula>
    </cfRule>
    <cfRule type="cellIs" dxfId="7347" priority="2" operator="greaterThan">
      <formula>$N$5*1.1</formula>
    </cfRule>
  </conditionalFormatting>
  <hyperlinks>
    <hyperlink ref="L1" location="儀表板!A1" display="(回首頁)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7.3 ~ 12.78</v>
      </c>
      <c r="L1" s="83" t="s">
        <v>176</v>
      </c>
      <c r="M1" s="84" t="str">
        <f ca="1">VLOOKUP(_xlfn.NUMBERVALUE(N1),儀表板!A:B,2,FALSE)</f>
        <v>永裕</v>
      </c>
      <c r="N1" s="85" t="str">
        <f ca="1">MID(CELL("filename",L1),FIND("]",CELL("filename",L1))+1,255)</f>
        <v>1323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0.23570275176230832</v>
      </c>
    </row>
    <row r="3" spans="1:15" s="93" customFormat="1" x14ac:dyDescent="0.25">
      <c r="A3" s="81" t="s">
        <v>179</v>
      </c>
      <c r="B3" s="94">
        <f>SUM(F19:F22,F24:F27,J19)</f>
        <v>77.210706913595203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28.753371431591386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30.499750279899427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32.823671739458945</v>
      </c>
      <c r="L3" s="100"/>
      <c r="M3" s="79" t="s">
        <v>385</v>
      </c>
      <c r="N3" s="92">
        <f>(F69-E69)/E69</f>
        <v>-7.8024747351212578E-2</v>
      </c>
    </row>
    <row r="4" spans="1:15" s="93" customFormat="1" x14ac:dyDescent="0.25">
      <c r="A4" s="81" t="s">
        <v>182</v>
      </c>
      <c r="B4" s="96">
        <f>SUM(G36:G40)*2</f>
        <v>90</v>
      </c>
      <c r="C4" s="101"/>
      <c r="D4" s="102">
        <f>F4*(1+F141/10)</f>
        <v>9.1300000000000008</v>
      </c>
      <c r="E4" s="82">
        <f>(D4-F4)/F4</f>
        <v>0</v>
      </c>
      <c r="F4" s="103">
        <v>9.1300000000000008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2.8673430357377292</v>
      </c>
    </row>
    <row r="5" spans="1:15" s="93" customFormat="1" x14ac:dyDescent="0.25">
      <c r="A5" s="81" t="s">
        <v>184</v>
      </c>
      <c r="B5" s="107">
        <f>SUM(F30:F34)*2</f>
        <v>97.014282627484874</v>
      </c>
      <c r="C5" s="87"/>
      <c r="D5" s="87"/>
      <c r="E5" s="87"/>
      <c r="F5" s="86"/>
      <c r="G5" s="88"/>
      <c r="M5" s="79" t="s">
        <v>386</v>
      </c>
      <c r="N5" s="152">
        <f>D62</f>
        <v>2.7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3.2766063412934594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17.25</v>
      </c>
      <c r="N9" s="129"/>
    </row>
    <row r="10" spans="1:15" s="93" customFormat="1" x14ac:dyDescent="0.25">
      <c r="A10" s="123" t="s">
        <v>194</v>
      </c>
      <c r="B10" s="126">
        <f>PERCENTILE(176:176,B9)</f>
        <v>9.83</v>
      </c>
      <c r="C10" s="126">
        <f>PERCENTILE(176:176,C9)</f>
        <v>10.455</v>
      </c>
      <c r="D10" s="126">
        <f>PERCENTILE(176:176,D9)</f>
        <v>11.09</v>
      </c>
      <c r="E10" s="126">
        <f>PERCENTILE(176:176,E9)</f>
        <v>11.935</v>
      </c>
      <c r="F10" s="126">
        <f>PERCENTILE(176:176,F9)</f>
        <v>12.57</v>
      </c>
      <c r="G10" s="95"/>
      <c r="H10" s="135"/>
      <c r="I10" s="135"/>
      <c r="J10" s="135"/>
      <c r="K10" s="135"/>
      <c r="L10" s="136" t="s">
        <v>374</v>
      </c>
      <c r="M10" s="130">
        <f>MIN(176:176)</f>
        <v>8.7200000000000006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19.43</v>
      </c>
      <c r="L11" s="272" t="s">
        <v>193</v>
      </c>
      <c r="M11" s="128">
        <f>STDEV(176:176)</f>
        <v>1.9803877534269676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21.533613445378151</v>
      </c>
      <c r="C13" s="141">
        <f>$B$34/5.88%</f>
        <v>26.147959183673468</v>
      </c>
      <c r="D13" s="141">
        <f>$B$34/5%</f>
        <v>30.749999999999996</v>
      </c>
      <c r="E13" s="141">
        <f>$B$34/4.35%</f>
        <v>35.344827586206897</v>
      </c>
      <c r="F13" s="141">
        <f>$B$34/3.85%</f>
        <v>39.935064935064929</v>
      </c>
      <c r="G13" s="138" t="str">
        <f>"$"&amp;ROUND(B34,2)&amp;"/"&amp;IF(STDEV(C140:F140)/AVERAGE(C140:F140)&lt;15%,"高",IF(STDEV(C140:F140)/AVERAGE(C140:F140)&lt;30%,"中","低"))</f>
        <v>$1.54/中</v>
      </c>
      <c r="H13" s="142" t="s">
        <v>199</v>
      </c>
      <c r="I13" s="143">
        <f>MAX(0,1-J15)</f>
        <v>0.4212218649517685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28.433275000000002</v>
      </c>
      <c r="C14" s="141">
        <f>$B$33*C10</f>
        <v>30.241087500000003</v>
      </c>
      <c r="D14" s="141">
        <f>$B$33*D10</f>
        <v>32.077824999999997</v>
      </c>
      <c r="E14" s="141">
        <f>$B$33*E10</f>
        <v>34.521987500000002</v>
      </c>
      <c r="F14" s="141">
        <f>$B$33*F10</f>
        <v>36.358725</v>
      </c>
      <c r="G14" s="138" t="str">
        <f>"$"&amp;ROUND(B33,2)&amp;"/"&amp;IF(STDEV(B69:E69)/AVERAGE(B69:E69)&lt;15%,"高",IF(STDEV(B69:E69)/AVERAGE(B69:E69)&lt;30%,"中","低"))</f>
        <v>$2.89/高</v>
      </c>
      <c r="H14" s="142" t="s">
        <v>203</v>
      </c>
      <c r="I14" s="145">
        <f>G62/100*I13</f>
        <v>6.5163022508038584E-2</v>
      </c>
      <c r="J14" s="76" t="s">
        <v>204</v>
      </c>
      <c r="K14" s="146"/>
      <c r="L14" s="147">
        <f>(HLOOKUP($C$1,$105:$106,2,FALSE)-HLOOKUP($C$1,$117:$127,9,FALSE))/(HLOOKUP($C$1,$117:$128,12,FALSE)/K11)</f>
        <v>-4.7363120470754225</v>
      </c>
      <c r="M14" s="148">
        <f>E135/E69</f>
        <v>1.8617363344051445</v>
      </c>
      <c r="N14" s="149">
        <f>F173/100</f>
        <v>0.95650000000000002</v>
      </c>
    </row>
    <row r="15" spans="1:15" s="93" customFormat="1" x14ac:dyDescent="0.25">
      <c r="A15" s="140" t="s">
        <v>375</v>
      </c>
      <c r="B15" s="141">
        <f>$D$62*B10</f>
        <v>26.541</v>
      </c>
      <c r="C15" s="141">
        <f>$D$62*C10</f>
        <v>28.2285</v>
      </c>
      <c r="D15" s="141">
        <f>$D$62*D10</f>
        <v>29.943000000000001</v>
      </c>
      <c r="E15" s="141">
        <f>$D$62*E10</f>
        <v>32.224500000000006</v>
      </c>
      <c r="F15" s="141">
        <f>$D$62*F10</f>
        <v>33.939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0.5787781350482315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28.185982041301877</v>
      </c>
      <c r="C16" s="141">
        <f>$F$69*C10</f>
        <v>29.978071438637958</v>
      </c>
      <c r="D16" s="141">
        <f>$F$69*D10</f>
        <v>31.798834266331415</v>
      </c>
      <c r="E16" s="141">
        <f>$F$69*E10</f>
        <v>34.221739131529802</v>
      </c>
      <c r="F16" s="141">
        <f>$F$69*F10</f>
        <v>36.042501959223259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289</v>
      </c>
      <c r="J17" s="92">
        <f ca="1">IF(I17&lt;=0,"",IF(I17&lt;=MIN($B$13:$F$16),(I17-MIN($B$13:$F$16))/MIN($B$13:$F$16),IF(I17&gt;=MAX($B$13:$F$16),I17/MAX($B$13:$F$16),PERCENTRANK($B$13:$F$16,I17))))</f>
        <v>7.2367479674796762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3.4350000000000001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16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2.2341463414634148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0.41196516531008065</v>
      </c>
      <c r="J20" s="171">
        <f>HLOOKUP($C$1,$117:$127,11,FALSE)/HLOOKUP($C$1,$105:$115,11,FALSE)</f>
        <v>0.46712924257067528</v>
      </c>
      <c r="K20" s="163"/>
    </row>
    <row r="21" spans="1:14" s="93" customFormat="1" x14ac:dyDescent="0.25">
      <c r="A21" s="151" t="s">
        <v>201</v>
      </c>
      <c r="B21" s="161">
        <f>AVERAGE(C173:F173)/100</f>
        <v>1.8058750000000001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4.1851489552552845</v>
      </c>
      <c r="J21" s="78"/>
      <c r="K21" s="164" t="s">
        <v>356</v>
      </c>
      <c r="L21" s="165">
        <f>HLOOKUP($C$1,$105:$115,7,FALSE)/HLOOKUP($C$1,$105:$115,11,FALSE)</f>
        <v>0.59860224077582658</v>
      </c>
      <c r="M21" s="123" t="s">
        <v>268</v>
      </c>
      <c r="N21" s="165">
        <f>HLOOKUP($C$1,$117:$127,8,FALSE)/HLOOKUP($C$1,$117:$127,11,FALSE)</f>
        <v>0.30618954911374019</v>
      </c>
    </row>
    <row r="22" spans="1:14" s="93" customFormat="1" x14ac:dyDescent="0.25">
      <c r="A22" s="140" t="s">
        <v>222</v>
      </c>
      <c r="B22" s="161">
        <f>(-1)*SUM(C133:F133)/SUM(C132:F132)</f>
        <v>0.4590228526398738</v>
      </c>
      <c r="C22" s="157"/>
      <c r="D22" s="166"/>
      <c r="E22" s="140"/>
      <c r="F22" s="159">
        <f>IF(B22&lt;=0,10,IF(B22&gt;=100%,0,(1-B22)*10))</f>
        <v>5.4097714736012614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3.2377248725099528</v>
      </c>
      <c r="J22" s="78"/>
      <c r="K22" s="142" t="s">
        <v>357</v>
      </c>
      <c r="L22" s="165">
        <f>HLOOKUP($C$1,$105:$115,4,FALSE)/HLOOKUP($C$1,$105:$115,11,FALSE)</f>
        <v>0.20900919546480615</v>
      </c>
      <c r="M22" s="123" t="s">
        <v>353</v>
      </c>
      <c r="N22" s="165">
        <f>HLOOKUP($C$1,$117:$127,4,FALSE)/HLOOKUP($C$1,$117:$127,11,FALSE)</f>
        <v>0.11809168048872148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1.8766276551263581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0.13551015387019699</v>
      </c>
      <c r="M23" s="123" t="s">
        <v>354</v>
      </c>
      <c r="N23" s="165">
        <f>IF(HLOOKUP($C$1,$117:$127,5,FALSE)="無",0,HLOOKUP($C$1,$117:$127,5,FALSE))/HLOOKUP($C$1,$117:$127,11,FALSE)</f>
        <v>6.5187353596889543E-3</v>
      </c>
    </row>
    <row r="24" spans="1:14" s="93" customFormat="1" x14ac:dyDescent="0.25">
      <c r="A24" s="164" t="s">
        <v>228</v>
      </c>
      <c r="B24" s="127">
        <f>AVERAGE(C103:F103)</f>
        <v>0.79597462849771872</v>
      </c>
      <c r="C24" s="169">
        <f>STDEV(C103:F103)</f>
        <v>1.8379923546201039E-2</v>
      </c>
      <c r="D24" s="76" t="str">
        <f>IF(C24/B24&lt;15%,"高",IF(C24/B24&lt;30%,"中","低"))</f>
        <v>高</v>
      </c>
      <c r="E24" s="149"/>
      <c r="F24" s="160">
        <f>MIN(100%,B24)*5</f>
        <v>3.9798731424885938</v>
      </c>
      <c r="G24" s="88" t="s">
        <v>229</v>
      </c>
      <c r="H24" s="123" t="s">
        <v>16</v>
      </c>
      <c r="I24" s="170">
        <f>HLOOKUP(C1,167:170,2,FALSE)</f>
        <v>78.95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3.3704296892633517E-2</v>
      </c>
      <c r="M24" s="123" t="s">
        <v>355</v>
      </c>
      <c r="N24" s="165">
        <f>HLOOKUP($C$1,$117:$127,9,FALSE)/HLOOKUP($C$1,$117:$127,11,FALSE)</f>
        <v>0.69381045088625981</v>
      </c>
    </row>
    <row r="25" spans="1:14" s="93" customFormat="1" x14ac:dyDescent="0.25">
      <c r="A25" s="151" t="s">
        <v>366</v>
      </c>
      <c r="B25" s="255">
        <f>AVERAGE(94:94)</f>
        <v>1009.8695652173913</v>
      </c>
      <c r="C25" s="254">
        <f>STDEV(94:94)/AVERAGE(94:94)</f>
        <v>9.1789377024946557</v>
      </c>
      <c r="D25" s="76" t="str">
        <f>IF(C25&lt;=1,"高",IF(C25&lt;=2,"中","低"))</f>
        <v>低</v>
      </c>
      <c r="E25" s="149"/>
      <c r="F25" s="160">
        <f>MAX(0,10-ABS(C25))</f>
        <v>0.82106229750534432</v>
      </c>
      <c r="G25" s="88" t="s">
        <v>213</v>
      </c>
      <c r="H25" s="123" t="s">
        <v>232</v>
      </c>
      <c r="I25" s="170">
        <f>IF(HLOOKUP(C1,167:170,3,FALSE)="無",0,HLOOKUP(C1,167:170,3,FALSE))</f>
        <v>70.87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69.040434782608699</v>
      </c>
      <c r="C26" s="172">
        <f>IF(COUNTIF(168:168,"&gt;0")=0,0,STDEV(168:168))</f>
        <v>4.6661259756411804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69.100434782608687</v>
      </c>
      <c r="C27" s="172">
        <f>IF(COUNTIF(169:169,"&gt;0")=0,0,STDEV(169:169))</f>
        <v>4.6958177507039274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0.25569999999999998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9.9125000000000019E-2</v>
      </c>
      <c r="C31" s="157" t="s">
        <v>217</v>
      </c>
      <c r="D31" s="174">
        <f>COUNTIF(149:149,"&gt;8")/COUNT(149:149)</f>
        <v>0.73913043478260865</v>
      </c>
      <c r="E31" s="140" t="s">
        <v>241</v>
      </c>
      <c r="F31" s="159">
        <f>MIN(B31/10%*10,10)</f>
        <v>9.9125000000000014</v>
      </c>
      <c r="G31" s="175"/>
    </row>
    <row r="32" spans="1:14" x14ac:dyDescent="0.25">
      <c r="A32" s="155" t="s">
        <v>47</v>
      </c>
      <c r="B32" s="177">
        <f>AVERAGE(C165:F165)</f>
        <v>17.625</v>
      </c>
      <c r="C32" s="157" t="s">
        <v>217</v>
      </c>
      <c r="D32" s="174">
        <f>COUNTIF(159:159,"&gt;3")/COUNT(159:159)</f>
        <v>0.91304347826086951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2.8925000000000001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1.5374999999999999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8.5946413137424376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3254458.75</v>
      </c>
      <c r="C36" s="178">
        <f>STDEV(C97:F97)</f>
        <v>163374.1557619095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25.57</v>
      </c>
      <c r="C37" s="180">
        <f>STDEV(C152:F152)</f>
        <v>0.64879375253876637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13.29</v>
      </c>
      <c r="C38" s="180">
        <f>STDEV(C153:F153)</f>
        <v>0.66648330811806511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17.625</v>
      </c>
      <c r="C39" s="181">
        <f>STDEV(C165:F165)</f>
        <v>1.7743449495518053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2.8925000000000001</v>
      </c>
      <c r="C40" s="183">
        <f>STDEV(B69:E69)</f>
        <v>0.26424420523447634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-0.11578947368421051</v>
      </c>
      <c r="C44" s="186">
        <f>(C46-C49)/C49</f>
        <v>-0.16883116883116883</v>
      </c>
      <c r="D44" s="186">
        <f>(D46-D49)/D49</f>
        <v>-0.25000000000000006</v>
      </c>
      <c r="E44" s="186">
        <f>(E46-E49)/E49</f>
        <v>-0.202247191011236</v>
      </c>
      <c r="G44" s="86" t="s">
        <v>175</v>
      </c>
      <c r="H44" s="186">
        <f>(H47-H50)/H50</f>
        <v>-0.16965428937259919</v>
      </c>
      <c r="I44" s="186">
        <f>(I47-I50)/I50</f>
        <v>-7.4074074074074098E-2</v>
      </c>
      <c r="J44" s="186">
        <f>(J47-J50)/J50</f>
        <v>-0.15099715099715097</v>
      </c>
      <c r="K44" s="186">
        <f>(K47-K50)/K50</f>
        <v>-0.15920716112531971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0.84</v>
      </c>
      <c r="C46" s="152">
        <f>HLOOKUP(C45,$81:$82,2,FALSE)</f>
        <v>0.64</v>
      </c>
      <c r="D46" s="152">
        <f>HLOOKUP(D45,$81:$82,2,FALSE)</f>
        <v>0.51</v>
      </c>
      <c r="E46" s="152">
        <f>HLOOKUP(E45,$81:$82,2,FALSE)</f>
        <v>0.71</v>
      </c>
      <c r="G46" s="86" t="s">
        <v>164</v>
      </c>
      <c r="H46" s="145">
        <f>HLOOKUP(H45,$145:$147,2,FALSE)/100</f>
        <v>0.2452</v>
      </c>
      <c r="I46" s="145">
        <f>HLOOKUP(I45,$145:$147,2,FALSE)/100</f>
        <v>0.22920000000000001</v>
      </c>
      <c r="J46" s="145">
        <f>HLOOKUP(J45,$145:$147,2,FALSE)/100</f>
        <v>0.23730000000000001</v>
      </c>
      <c r="K46" s="145">
        <f>HLOOKUP(K45,$145:$147,2,FALSE)/100</f>
        <v>0.252</v>
      </c>
    </row>
    <row r="47" spans="1:14" x14ac:dyDescent="0.25">
      <c r="A47" s="188" t="s">
        <v>165</v>
      </c>
      <c r="B47" s="189">
        <f>HLOOKUP(B45,$157:$159,3,FALSE)</f>
        <v>4.9000000000000004</v>
      </c>
      <c r="C47" s="189">
        <f>HLOOKUP(C45,$157:$159,3,FALSE)</f>
        <v>3.73</v>
      </c>
      <c r="D47" s="189">
        <f>HLOOKUP(D45,$157:$159,3,FALSE)</f>
        <v>2.83</v>
      </c>
      <c r="E47" s="189">
        <f>HLOOKUP(E45,$157:$159,3,FALSE)</f>
        <v>4.01</v>
      </c>
      <c r="G47" s="190" t="s">
        <v>166</v>
      </c>
      <c r="H47" s="145">
        <f>HLOOKUP(H45,$145:$147,3,FALSE)/100</f>
        <v>0.12970000000000001</v>
      </c>
      <c r="I47" s="145">
        <f>HLOOKUP(I45,$145:$147,3,FALSE)/100</f>
        <v>0.1225</v>
      </c>
      <c r="J47" s="145">
        <f>HLOOKUP(J45,$145:$147,3,FALSE)/100</f>
        <v>0.1192</v>
      </c>
      <c r="K47" s="145">
        <f>HLOOKUP(K45,$145:$147,3,FALSE)/100</f>
        <v>0.13150000000000001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0.95</v>
      </c>
      <c r="C49" s="152">
        <f>HLOOKUP(C48,$81:$82,2,FALSE)</f>
        <v>0.77</v>
      </c>
      <c r="D49" s="152">
        <f>HLOOKUP(D48,$81:$82,2,FALSE)</f>
        <v>0.68</v>
      </c>
      <c r="E49" s="152">
        <f>HLOOKUP(E48,$81:$82,2,FALSE)</f>
        <v>0.89</v>
      </c>
      <c r="G49" s="86" t="s">
        <v>164</v>
      </c>
      <c r="H49" s="145">
        <f>HLOOKUP(H48,$145:$147,2,FALSE)/100</f>
        <v>0.27550000000000002</v>
      </c>
      <c r="I49" s="145">
        <f>HLOOKUP(I48,$145:$147,2,FALSE)/100</f>
        <v>0.25489999999999996</v>
      </c>
      <c r="J49" s="145">
        <f>HLOOKUP(J48,$145:$147,2,FALSE)/100</f>
        <v>0.27679999999999999</v>
      </c>
      <c r="K49" s="145">
        <f>HLOOKUP(K48,$145:$147,2,FALSE)/100</f>
        <v>0.27360000000000001</v>
      </c>
    </row>
    <row r="50" spans="1:15" x14ac:dyDescent="0.25">
      <c r="A50" s="188" t="s">
        <v>165</v>
      </c>
      <c r="B50" s="189">
        <f>HLOOKUP(B48,$157:$159,3,FALSE)</f>
        <v>5.35</v>
      </c>
      <c r="C50" s="189">
        <f>HLOOKUP(C48,$157:$159,3,FALSE)</f>
        <v>4.43</v>
      </c>
      <c r="D50" s="189">
        <f>HLOOKUP(D48,$157:$159,3,FALSE)</f>
        <v>3.75</v>
      </c>
      <c r="E50" s="189">
        <f>HLOOKUP(E48,$157:$159,3,FALSE)</f>
        <v>4.96</v>
      </c>
      <c r="G50" s="190" t="s">
        <v>166</v>
      </c>
      <c r="H50" s="145">
        <f>HLOOKUP(H48,$145:$147,3,FALSE)/100</f>
        <v>0.15620000000000001</v>
      </c>
      <c r="I50" s="145">
        <f>HLOOKUP(I48,$145:$147,3,FALSE)/100</f>
        <v>0.1323</v>
      </c>
      <c r="J50" s="145">
        <f>HLOOKUP(J48,$145:$147,3,FALSE)/100</f>
        <v>0.1404</v>
      </c>
      <c r="K50" s="145">
        <f>HLOOKUP(K48,$145:$147,3,FALSE)/100</f>
        <v>0.15640000000000001</v>
      </c>
    </row>
    <row r="51" spans="1:15" x14ac:dyDescent="0.25">
      <c r="A51" s="86" t="s">
        <v>351</v>
      </c>
      <c r="B51" s="186">
        <f>(B47-B50)/B50</f>
        <v>-8.4112149532710151E-2</v>
      </c>
      <c r="C51" s="186">
        <f>(C47-C50)/C50</f>
        <v>-0.15801354401805864</v>
      </c>
      <c r="D51" s="186">
        <f>(D47-D50)/D50</f>
        <v>-0.24533333333333332</v>
      </c>
      <c r="E51" s="186">
        <f>(E47-E50)/E50</f>
        <v>-0.19153225806451615</v>
      </c>
      <c r="G51" s="235" t="s">
        <v>174</v>
      </c>
      <c r="H51" s="186">
        <f>(H46-H49)/H49</f>
        <v>-0.10998185117967339</v>
      </c>
      <c r="I51" s="186">
        <f>(I46-I49)/I49</f>
        <v>-0.10082385249117282</v>
      </c>
      <c r="J51" s="186">
        <f>(J46-J49)/J49</f>
        <v>-0.14270231213872825</v>
      </c>
      <c r="K51" s="186">
        <f>(K46-K49)/K49</f>
        <v>-7.8947368421052655E-2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3.2766063412934594</v>
      </c>
      <c r="B53" s="193">
        <f>B46</f>
        <v>0.84</v>
      </c>
      <c r="C53" s="193">
        <f>E46/HLOOKUP(E45,$87:$94,5,FALSE)*HLOOKUP(E45,$87:$94,4,FALSE)*($B$25/HLOOKUP(E45,$87:$94,4,FALSE)+SUM($B$57:$D$57)/SUM($B58:$D$58)*$G$69/100/K46)</f>
        <v>0.87734303573772943</v>
      </c>
      <c r="D53" s="193">
        <f>D46/HLOOKUP(D45,$87:$94,5,FALSE)*HLOOKUP(D45,$87:$94,4,FALSE)*($B$25/HLOOKUP(D45,$87:$94,4,FALSE)+SUM($B$57:$D$57)/SUM($B58:$D$58)*$G$69/100/J46)</f>
        <v>0.73785934237464434</v>
      </c>
      <c r="E53" s="193">
        <f>C46/HLOOKUP(C45,$87:$94,5,FALSE)*HLOOKUP(C45,$87:$94,4,FALSE)*($B$25/HLOOKUP(C45,$87:$94,4,FALSE)+SUM($B$57:$D$57)/SUM($B58:$D$58)*$G$69/100/I46)</f>
        <v>0.82140396318108588</v>
      </c>
    </row>
    <row r="54" spans="1:15" x14ac:dyDescent="0.25">
      <c r="A54" s="278">
        <f>SUM(B54:E54)</f>
        <v>2.81</v>
      </c>
      <c r="B54" s="277">
        <f t="shared" ref="B54:D54" si="0">HLOOKUP(B52-10,81:82,2,FALSE)</f>
        <v>0.95</v>
      </c>
      <c r="C54" s="277">
        <f t="shared" si="0"/>
        <v>0.71</v>
      </c>
      <c r="D54" s="277">
        <f t="shared" si="0"/>
        <v>0.51</v>
      </c>
      <c r="E54" s="277">
        <f>HLOOKUP(E52-10,81:82,2,FALSE)</f>
        <v>0.64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296872</v>
      </c>
      <c r="C57" s="196">
        <f>HLOOKUP(C56,78:79,2,FALSE)</f>
        <v>300731</v>
      </c>
      <c r="D57" s="196">
        <f>HLOOKUP(D56,78:79,2,FALSE)</f>
        <v>305609</v>
      </c>
      <c r="E57" s="196">
        <f>HLOOKUP(E56,78:79,2,FALSE)</f>
        <v>237634</v>
      </c>
      <c r="F57" s="196">
        <f>HLOOKUP(F56,78:79,2,FALSE)</f>
        <v>273972</v>
      </c>
      <c r="G57" s="196">
        <f t="shared" ref="G57:M57" si="2">HLOOKUP(G56,78:79,2,FALSE)</f>
        <v>279582</v>
      </c>
      <c r="H57" s="196">
        <f t="shared" si="2"/>
        <v>253875</v>
      </c>
      <c r="I57" s="196">
        <f t="shared" si="2"/>
        <v>265030</v>
      </c>
      <c r="J57" s="196">
        <f t="shared" si="2"/>
        <v>219747</v>
      </c>
      <c r="K57" s="196">
        <f t="shared" si="2"/>
        <v>223216</v>
      </c>
      <c r="L57" s="196">
        <f t="shared" si="2"/>
        <v>270235</v>
      </c>
      <c r="M57" s="196">
        <f t="shared" si="2"/>
        <v>266099</v>
      </c>
      <c r="N57" s="197"/>
    </row>
    <row r="58" spans="1:15" x14ac:dyDescent="0.25">
      <c r="A58" s="198" t="s">
        <v>253</v>
      </c>
      <c r="B58" s="196">
        <f>HLOOKUP(B56-100,78:79,2,FALSE)</f>
        <v>251178</v>
      </c>
      <c r="C58" s="196">
        <f>HLOOKUP(C56-100,78:79,2,FALSE)</f>
        <v>279824</v>
      </c>
      <c r="D58" s="196">
        <f>HLOOKUP(D56-100,78:79,2,FALSE)</f>
        <v>266134</v>
      </c>
      <c r="E58" s="196">
        <f>HLOOKUP(E56-100,78:79,2,FALSE)</f>
        <v>258525</v>
      </c>
      <c r="F58" s="196">
        <f>HLOOKUP(F56-100,78:79,2,FALSE)</f>
        <v>277145</v>
      </c>
      <c r="G58" s="196">
        <f t="shared" ref="G58:M58" si="3">HLOOKUP(G56-100,78:79,2,FALSE)</f>
        <v>275585</v>
      </c>
      <c r="H58" s="196">
        <f t="shared" si="3"/>
        <v>259416</v>
      </c>
      <c r="I58" s="196">
        <f t="shared" si="3"/>
        <v>266330</v>
      </c>
      <c r="J58" s="196">
        <f t="shared" si="3"/>
        <v>203247</v>
      </c>
      <c r="K58" s="196">
        <f t="shared" si="3"/>
        <v>263208</v>
      </c>
      <c r="L58" s="196">
        <f t="shared" si="3"/>
        <v>289539</v>
      </c>
      <c r="M58" s="196">
        <f t="shared" si="3"/>
        <v>279173</v>
      </c>
      <c r="N58" s="197"/>
    </row>
    <row r="59" spans="1:15" x14ac:dyDescent="0.25">
      <c r="A59" s="199" t="s">
        <v>254</v>
      </c>
      <c r="B59" s="165">
        <f>IF(B57&lt;&gt;"",(B57-B58)/B58,"")</f>
        <v>0.18191879862089833</v>
      </c>
      <c r="C59" s="165">
        <f>IF(C57&lt;&gt;"",(C57-C58)/C58,"")</f>
        <v>7.4714820744467947E-2</v>
      </c>
      <c r="D59" s="165">
        <f>IF(D57&lt;&gt;"",(D57-D58)/D58,"")</f>
        <v>0.14832753424966369</v>
      </c>
      <c r="E59" s="165">
        <f>IF(E57&lt;&gt;"",(E57-E58)/E58,"")</f>
        <v>-8.0808432453341072E-2</v>
      </c>
      <c r="F59" s="165">
        <f>IF(F57&lt;&gt;"",(F57-F58)/F58,"")</f>
        <v>-1.1448880549892656E-2</v>
      </c>
      <c r="G59" s="165">
        <f t="shared" ref="G59:M59" si="4">IF(G57&lt;&gt;"",(G57-G58)/G58,"")</f>
        <v>1.4503692145798937E-2</v>
      </c>
      <c r="H59" s="165">
        <f t="shared" si="4"/>
        <v>-2.1359515218799148E-2</v>
      </c>
      <c r="I59" s="165">
        <f t="shared" si="4"/>
        <v>-4.8811624676153645E-3</v>
      </c>
      <c r="J59" s="165">
        <f t="shared" si="4"/>
        <v>8.1182010066569249E-2</v>
      </c>
      <c r="K59" s="165">
        <f t="shared" si="4"/>
        <v>-0.1519406704963375</v>
      </c>
      <c r="L59" s="165">
        <f t="shared" si="4"/>
        <v>-6.6671501939289696E-2</v>
      </c>
      <c r="M59" s="165">
        <f t="shared" si="4"/>
        <v>-4.6831176367342117E-2</v>
      </c>
    </row>
    <row r="60" spans="1:15" x14ac:dyDescent="0.25">
      <c r="A60" s="195" t="s">
        <v>255</v>
      </c>
      <c r="B60" s="196">
        <f>SUM(B57:M57)</f>
        <v>3192602</v>
      </c>
    </row>
    <row r="61" spans="1:15" x14ac:dyDescent="0.25">
      <c r="A61" s="198" t="s">
        <v>256</v>
      </c>
      <c r="B61" s="196">
        <f>SUM(B58:M58)</f>
        <v>3169304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1.0073511408182996</v>
      </c>
      <c r="D62" s="152">
        <f>SUM(B46:E46)</f>
        <v>2.7</v>
      </c>
      <c r="E62" s="152">
        <f>SUM(B49:E49)</f>
        <v>3.29</v>
      </c>
      <c r="G62" s="126">
        <f>SUM(B47:E47)</f>
        <v>15.47</v>
      </c>
      <c r="H62" s="126">
        <f>SUM(B50:E50)</f>
        <v>18.489999999999998</v>
      </c>
      <c r="J62" s="200">
        <f>AVERAGE(H46:K46)</f>
        <v>0.240925</v>
      </c>
      <c r="K62" s="200">
        <f>AVERAGE(H49:K49)</f>
        <v>0.2702</v>
      </c>
      <c r="M62" s="200">
        <f>AVERAGE(H47:K47)</f>
        <v>0.12572499999999998</v>
      </c>
      <c r="N62" s="200">
        <f>AVERAGE(H50:K50)</f>
        <v>0.14632499999999998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0.66</v>
      </c>
      <c r="C65" s="205">
        <f t="shared" si="5"/>
        <v>0.68</v>
      </c>
      <c r="D65" s="205">
        <f t="shared" si="5"/>
        <v>0.52</v>
      </c>
      <c r="E65" s="205">
        <f t="shared" si="5"/>
        <v>0.68</v>
      </c>
      <c r="F65" s="206">
        <f>IF(ISNA(HLOOKUP(F$64*10+$A65,$81:$82,2,FALSE)),(HLOOKUP(E$64*10+$A65,$87:$94,4,FALSE)*$G65+$B$25)/HLOOKUP(E$64*10+$A65,$87:$94,5,FALSE)*$E65,HLOOKUP(F$64*10+$A65,$81:$82,2,FALSE))</f>
        <v>0.51</v>
      </c>
      <c r="G65" s="101">
        <f>MIN(130%,SUM($B$57:$D$57)/SUM($B$58:$D$58)*$G$69/HLOOKUP(E$64*10+$A65,$145:$146,2,FALSE))</f>
        <v>1.0474698508580762</v>
      </c>
      <c r="H65" s="204">
        <v>1</v>
      </c>
      <c r="I65" s="208">
        <f t="shared" ref="I65:M68" si="6">IF(ISNA(HLOOKUP(I$64*10+$H65,$145:$147,3,FALSE)),"",HLOOKUP(I$64*10+$H65,$145:$147,3,FALSE)/100)</f>
        <v>0.11119999999999999</v>
      </c>
      <c r="J65" s="208">
        <f t="shared" si="6"/>
        <v>0.113</v>
      </c>
      <c r="K65" s="208">
        <f t="shared" si="6"/>
        <v>0.12509999999999999</v>
      </c>
      <c r="L65" s="208">
        <f t="shared" si="6"/>
        <v>0.1404</v>
      </c>
      <c r="M65" s="209">
        <f t="shared" si="6"/>
        <v>0.1192</v>
      </c>
      <c r="N65" s="256">
        <f t="shared" ref="N65:O68" si="7">HLOOKUP(E$64*10+$A65,$87:$94,8,FALSE)</f>
        <v>579</v>
      </c>
      <c r="O65" s="256">
        <f t="shared" si="7"/>
        <v>-12433</v>
      </c>
      <c r="P65" s="210"/>
    </row>
    <row r="66" spans="1:71" x14ac:dyDescent="0.25">
      <c r="A66" s="204">
        <v>2</v>
      </c>
      <c r="B66" s="205">
        <f t="shared" si="5"/>
        <v>0.79</v>
      </c>
      <c r="C66" s="205">
        <f t="shared" si="5"/>
        <v>0.65</v>
      </c>
      <c r="D66" s="205">
        <f t="shared" si="5"/>
        <v>0.44</v>
      </c>
      <c r="E66" s="205">
        <f t="shared" si="5"/>
        <v>0.77</v>
      </c>
      <c r="F66" s="206">
        <f>IF(ISNA(HLOOKUP(F$64*10+$A66,$81:$82,2,FALSE)),(HLOOKUP(E$64*10+$A66,$87:$94,4,FALSE)*$G66+$B$25)/HLOOKUP(E$64*10+$A66,$87:$94,5,FALSE)*$E66,HLOOKUP(F$64*10+$A66,$81:$82,2,FALSE))</f>
        <v>0.64</v>
      </c>
      <c r="G66" s="101">
        <f>MIN(130%,SUM($B$57:$D$57)/SUM($B$58:$D$58)*$G$69/HLOOKUP(E$64*10+$A66,$145:$146,2,FALSE))</f>
        <v>1.1374643182327011</v>
      </c>
      <c r="H66" s="204">
        <v>2</v>
      </c>
      <c r="I66" s="208">
        <f t="shared" si="6"/>
        <v>0.1401</v>
      </c>
      <c r="J66" s="208">
        <f t="shared" si="6"/>
        <v>0.12890000000000001</v>
      </c>
      <c r="K66" s="208">
        <f t="shared" si="6"/>
        <v>0.1003</v>
      </c>
      <c r="L66" s="208">
        <f t="shared" si="6"/>
        <v>0.1323</v>
      </c>
      <c r="M66" s="209">
        <f t="shared" si="6"/>
        <v>0.1225</v>
      </c>
      <c r="N66" s="256">
        <f t="shared" si="7"/>
        <v>14839</v>
      </c>
      <c r="O66" s="256">
        <f t="shared" si="7"/>
        <v>-637</v>
      </c>
      <c r="P66" s="210"/>
    </row>
    <row r="67" spans="1:71" x14ac:dyDescent="0.25">
      <c r="A67" s="204">
        <v>3</v>
      </c>
      <c r="B67" s="205">
        <f t="shared" si="5"/>
        <v>0.69</v>
      </c>
      <c r="C67" s="205">
        <f t="shared" si="5"/>
        <v>0.86</v>
      </c>
      <c r="D67" s="205">
        <f t="shared" si="5"/>
        <v>0.69</v>
      </c>
      <c r="E67" s="205">
        <f t="shared" si="5"/>
        <v>0.95</v>
      </c>
      <c r="F67" s="206">
        <f>IF(ISNA(HLOOKUP(F$64*10+$A67,$81:$82,2,FALSE)),(HLOOKUP(E$64*10+$A67,$87:$94,4,FALSE)*$G67+$B$25)/HLOOKUP(E$64*10+$A67,$87:$94,5,FALSE)*$E67,HLOOKUP(F$64*10+$A67,$81:$82,2,FALSE))</f>
        <v>0.84</v>
      </c>
      <c r="G67" s="101">
        <f>MIN(130%,SUM($B$57:$D$57)/SUM($B$58:$D$58)*$G$69/HLOOKUP(E$64*10+$A67,$145:$146,2,FALSE))</f>
        <v>1.0524125398094937</v>
      </c>
      <c r="H67" s="204">
        <v>3</v>
      </c>
      <c r="I67" s="208">
        <f t="shared" si="6"/>
        <v>0.12740000000000001</v>
      </c>
      <c r="J67" s="208">
        <f t="shared" si="6"/>
        <v>0.13170000000000001</v>
      </c>
      <c r="K67" s="208">
        <f t="shared" si="6"/>
        <v>0.11650000000000001</v>
      </c>
      <c r="L67" s="208">
        <f t="shared" si="6"/>
        <v>0.15620000000000001</v>
      </c>
      <c r="M67" s="209">
        <f t="shared" si="6"/>
        <v>0.12970000000000001</v>
      </c>
      <c r="N67" s="256">
        <f t="shared" si="7"/>
        <v>820</v>
      </c>
      <c r="O67" s="256">
        <f t="shared" si="7"/>
        <v>11993</v>
      </c>
      <c r="P67" s="210"/>
    </row>
    <row r="68" spans="1:71" x14ac:dyDescent="0.25">
      <c r="A68" s="204">
        <v>4</v>
      </c>
      <c r="B68" s="205">
        <f>HLOOKUP(B$64*10+$A68,$81:$82,2,FALSE)</f>
        <v>0.7</v>
      </c>
      <c r="C68" s="205">
        <f>HLOOKUP(C$64*10+$A68,$81:$82,2,FALSE)</f>
        <v>0.89</v>
      </c>
      <c r="D68" s="205">
        <f>HLOOKUP(D$64*10+$A68,$81:$82,2,FALSE)</f>
        <v>0.89</v>
      </c>
      <c r="E68" s="206">
        <f>IF(ISNA(HLOOKUP(E$64*10+$A68,$81:$82,2,FALSE)),D68*(1-$N68)*#REF!*(1+$B$25)/(1+$E$4),HLOOKUP(E$64*10+$A68,$81:$82,2,FALSE))</f>
        <v>0.71</v>
      </c>
      <c r="F68" s="206">
        <f>IF(ISNA(HLOOKUP(F$64*10+$A68,$81:$82,2,FALSE)),(HLOOKUP(E$64*10+$A68,$87:$94,4,FALSE)*$G68+$B$25)/HLOOKUP(E$64*10+$A68,$87:$94,5,FALSE)*$E68,HLOOKUP(F$64*10+$A68,$81:$82,2,FALSE))</f>
        <v>0.87734303573772943</v>
      </c>
      <c r="G68" s="101">
        <f>MIN(130%,SUM($B$57:$D$57)/SUM($B$58:$D$58)*$G$69/HLOOKUP(E$64*10+$A68,$145:$146,2,FALSE))</f>
        <v>1.1505541853869663</v>
      </c>
      <c r="H68" s="204">
        <v>4</v>
      </c>
      <c r="I68" s="208">
        <f t="shared" si="6"/>
        <v>0.1552</v>
      </c>
      <c r="J68" s="208">
        <f t="shared" si="6"/>
        <v>0.1474</v>
      </c>
      <c r="K68" s="208">
        <f t="shared" si="6"/>
        <v>0.15640000000000001</v>
      </c>
      <c r="L68" s="208">
        <f t="shared" si="6"/>
        <v>0.13150000000000001</v>
      </c>
      <c r="M68" s="209" t="str">
        <f t="shared" si="6"/>
        <v/>
      </c>
      <c r="N68" s="256">
        <f t="shared" si="7"/>
        <v>-6288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2.84</v>
      </c>
      <c r="C69" s="213">
        <f>SUM(C65:C68)</f>
        <v>3.08</v>
      </c>
      <c r="D69" s="213">
        <f>SUM(D65:D68)</f>
        <v>2.54</v>
      </c>
      <c r="E69" s="213">
        <f>SUM(E65:E68)</f>
        <v>3.1100000000000003</v>
      </c>
      <c r="F69" s="213">
        <f>SUM(F65:F68)</f>
        <v>2.8673430357377292</v>
      </c>
      <c r="G69" s="257">
        <f>_xlfn.FORECAST.ETS(23,B146:W146,{1,2,3,4,5,6,7,8,9,10,11,12,13,14,15,16,17,18,19,20,21,22})</f>
        <v>25.588824838786621</v>
      </c>
      <c r="H69" s="214" t="s">
        <v>19</v>
      </c>
      <c r="I69" s="215">
        <f>HLOOKUP(I64,151:155,3,FALSE)/100</f>
        <v>0.12939999999999999</v>
      </c>
      <c r="J69" s="215">
        <f>HLOOKUP(J64,151:155,3,FALSE)/100</f>
        <v>0.13650000000000001</v>
      </c>
      <c r="K69" s="215">
        <f>HLOOKUP(K64,151:155,3,FALSE)/100</f>
        <v>0.1255</v>
      </c>
      <c r="L69" s="215">
        <f>IF(ISNA(HLOOKUP(L64,151:155,3,FALSE)/100),AVERAGE(L65:L68),HLOOKUP(L64,151:155,3,FALSE)/100)</f>
        <v>0.14019999999999999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4.3</v>
      </c>
      <c r="C72" s="205">
        <f t="shared" si="8"/>
        <v>4.32</v>
      </c>
      <c r="D72" s="205">
        <f t="shared" si="8"/>
        <v>3.04</v>
      </c>
      <c r="E72" s="205">
        <f t="shared" si="8"/>
        <v>3.75</v>
      </c>
      <c r="F72" s="205">
        <f t="shared" si="8"/>
        <v>2.83</v>
      </c>
    </row>
    <row r="73" spans="1:71" s="135" customFormat="1" x14ac:dyDescent="0.25">
      <c r="A73" s="204">
        <v>2</v>
      </c>
      <c r="B73" s="205">
        <f t="shared" si="8"/>
        <v>5.15</v>
      </c>
      <c r="C73" s="205">
        <f t="shared" si="8"/>
        <v>4.09</v>
      </c>
      <c r="D73" s="205">
        <f t="shared" si="8"/>
        <v>2.94</v>
      </c>
      <c r="E73" s="205">
        <f t="shared" si="8"/>
        <v>4.43</v>
      </c>
      <c r="F73" s="205">
        <f t="shared" si="8"/>
        <v>3.73</v>
      </c>
    </row>
    <row r="74" spans="1:71" s="135" customFormat="1" x14ac:dyDescent="0.25">
      <c r="A74" s="204">
        <v>3</v>
      </c>
      <c r="B74" s="205">
        <f t="shared" si="8"/>
        <v>4.7</v>
      </c>
      <c r="C74" s="205">
        <f t="shared" si="8"/>
        <v>5.62</v>
      </c>
      <c r="D74" s="205">
        <f t="shared" si="8"/>
        <v>4.62</v>
      </c>
      <c r="E74" s="205">
        <f t="shared" si="8"/>
        <v>5.35</v>
      </c>
      <c r="F74" s="205">
        <f t="shared" si="8"/>
        <v>4.9000000000000004</v>
      </c>
    </row>
    <row r="75" spans="1:71" s="135" customFormat="1" x14ac:dyDescent="0.25">
      <c r="A75" s="204">
        <v>4</v>
      </c>
      <c r="B75" s="205">
        <f t="shared" si="8"/>
        <v>4.8899999999999997</v>
      </c>
      <c r="C75" s="205">
        <f t="shared" si="8"/>
        <v>5.43</v>
      </c>
      <c r="D75" s="205">
        <f t="shared" si="8"/>
        <v>4.96</v>
      </c>
      <c r="E75" s="205">
        <f t="shared" si="8"/>
        <v>4.01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19.04</v>
      </c>
      <c r="C76" s="213">
        <f>SUM(C72:C75)</f>
        <v>19.46</v>
      </c>
      <c r="D76" s="213">
        <f>SUM(D72:D75)</f>
        <v>15.560000000000002</v>
      </c>
      <c r="E76" s="213">
        <f>AVERAGE(E72:E75)*4</f>
        <v>17.54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128520</v>
      </c>
      <c r="C79" s="270">
        <v>123075</v>
      </c>
      <c r="D79" s="270">
        <v>157619</v>
      </c>
      <c r="E79" s="270">
        <v>147451</v>
      </c>
      <c r="F79" s="270">
        <v>137814</v>
      </c>
      <c r="G79" s="270">
        <v>149227</v>
      </c>
      <c r="H79" s="270">
        <v>142945</v>
      </c>
      <c r="I79" s="270">
        <v>142230</v>
      </c>
      <c r="J79" s="270">
        <v>135395</v>
      </c>
      <c r="K79" s="270">
        <v>132169</v>
      </c>
      <c r="L79" s="270">
        <v>149528</v>
      </c>
      <c r="M79" s="270">
        <v>143339</v>
      </c>
      <c r="N79" s="270">
        <v>281630</v>
      </c>
      <c r="O79" s="270">
        <v>222745</v>
      </c>
      <c r="P79" s="270">
        <v>276768</v>
      </c>
      <c r="Q79" s="270">
        <v>264923</v>
      </c>
      <c r="R79" s="270">
        <v>288288</v>
      </c>
      <c r="S79" s="270">
        <v>259346</v>
      </c>
      <c r="T79" s="270">
        <v>299287</v>
      </c>
      <c r="U79" s="270">
        <v>278414</v>
      </c>
      <c r="V79" s="270">
        <v>273434</v>
      </c>
      <c r="W79" s="270">
        <v>278022</v>
      </c>
      <c r="X79" s="270">
        <v>278173</v>
      </c>
      <c r="Y79" s="270">
        <v>301536</v>
      </c>
      <c r="Z79" s="270">
        <v>301442</v>
      </c>
      <c r="AA79" s="270">
        <v>239166</v>
      </c>
      <c r="AB79" s="270">
        <v>285297</v>
      </c>
      <c r="AC79" s="270">
        <v>281036</v>
      </c>
      <c r="AD79" s="270">
        <v>266969</v>
      </c>
      <c r="AE79" s="270">
        <v>281364</v>
      </c>
      <c r="AF79" s="270">
        <v>293035</v>
      </c>
      <c r="AG79" s="270">
        <v>303599</v>
      </c>
      <c r="AH79" s="270">
        <v>295931</v>
      </c>
      <c r="AI79" s="270">
        <v>292467</v>
      </c>
      <c r="AJ79" s="270">
        <v>291663</v>
      </c>
      <c r="AK79" s="270">
        <v>331415</v>
      </c>
      <c r="AL79" s="270">
        <v>275177</v>
      </c>
      <c r="AM79" s="270">
        <v>207029</v>
      </c>
      <c r="AN79" s="270">
        <v>265988</v>
      </c>
      <c r="AO79" s="270">
        <v>239305</v>
      </c>
      <c r="AP79" s="270">
        <v>251079</v>
      </c>
      <c r="AQ79" s="270">
        <v>270385</v>
      </c>
      <c r="AR79" s="270">
        <v>249466</v>
      </c>
      <c r="AS79" s="270">
        <v>256855</v>
      </c>
      <c r="AT79" s="270">
        <v>257680</v>
      </c>
      <c r="AU79" s="270">
        <v>280440</v>
      </c>
      <c r="AV79" s="270">
        <v>279173</v>
      </c>
      <c r="AW79" s="270">
        <v>289539</v>
      </c>
      <c r="AX79" s="270">
        <v>263208</v>
      </c>
      <c r="AY79" s="270">
        <v>203247</v>
      </c>
      <c r="AZ79" s="270">
        <v>266330</v>
      </c>
      <c r="BA79" s="270">
        <v>259416</v>
      </c>
      <c r="BB79" s="270">
        <v>275585</v>
      </c>
      <c r="BC79" s="270">
        <v>277145</v>
      </c>
      <c r="BD79" s="270">
        <v>258525</v>
      </c>
      <c r="BE79" s="270">
        <v>266134</v>
      </c>
      <c r="BF79" s="270">
        <v>279824</v>
      </c>
      <c r="BG79" s="270">
        <v>251178</v>
      </c>
      <c r="BH79" s="270">
        <v>266099</v>
      </c>
      <c r="BI79" s="270">
        <v>270235</v>
      </c>
      <c r="BJ79" s="270">
        <v>223216</v>
      </c>
      <c r="BK79" s="270">
        <v>219747</v>
      </c>
      <c r="BL79" s="270">
        <v>265030</v>
      </c>
      <c r="BM79" s="270">
        <v>253875</v>
      </c>
      <c r="BN79" s="270">
        <v>279582</v>
      </c>
      <c r="BO79" s="270">
        <v>273972</v>
      </c>
      <c r="BP79" s="270">
        <v>237634</v>
      </c>
      <c r="BQ79" s="270">
        <v>305609</v>
      </c>
      <c r="BR79" s="270">
        <v>300731</v>
      </c>
      <c r="BS79" s="270">
        <v>296872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0.57999999999999996</v>
      </c>
      <c r="C82" s="72">
        <v>0.54</v>
      </c>
      <c r="D82" s="72">
        <v>0.52</v>
      </c>
      <c r="E82" s="72">
        <v>0.62</v>
      </c>
      <c r="F82" s="72">
        <v>0.66</v>
      </c>
      <c r="G82" s="72">
        <v>0.79</v>
      </c>
      <c r="H82" s="72">
        <v>0.69</v>
      </c>
      <c r="I82" s="72">
        <v>0.7</v>
      </c>
      <c r="J82" s="72">
        <v>0.68</v>
      </c>
      <c r="K82" s="72">
        <v>0.65</v>
      </c>
      <c r="L82" s="72">
        <v>0.86</v>
      </c>
      <c r="M82" s="72">
        <v>0.89</v>
      </c>
      <c r="N82" s="72">
        <v>0.52</v>
      </c>
      <c r="O82" s="72">
        <v>0.44</v>
      </c>
      <c r="P82" s="72">
        <v>0.69</v>
      </c>
      <c r="Q82" s="72">
        <v>0.89</v>
      </c>
      <c r="R82" s="72">
        <v>0.68</v>
      </c>
      <c r="S82" s="72">
        <v>0.77</v>
      </c>
      <c r="T82" s="72">
        <v>0.95</v>
      </c>
      <c r="U82" s="72">
        <v>0.71</v>
      </c>
      <c r="V82" s="72">
        <v>0.51</v>
      </c>
      <c r="W82" s="72">
        <v>0.64</v>
      </c>
      <c r="X82" s="72">
        <v>0.84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15.92</v>
      </c>
      <c r="C85" s="72">
        <v>15.31</v>
      </c>
      <c r="D85" s="72">
        <v>15.65</v>
      </c>
      <c r="E85" s="72">
        <v>16.21</v>
      </c>
      <c r="F85" s="72">
        <v>16.61</v>
      </c>
      <c r="G85" s="72">
        <v>16.89</v>
      </c>
      <c r="H85" s="72">
        <v>16.690000000000001</v>
      </c>
      <c r="I85" s="72">
        <v>17.350000000000001</v>
      </c>
      <c r="J85" s="72">
        <v>18.170000000000002</v>
      </c>
      <c r="K85" s="72">
        <v>17.59</v>
      </c>
      <c r="L85" s="72">
        <v>17.82</v>
      </c>
      <c r="M85" s="72">
        <v>19.02</v>
      </c>
      <c r="N85" s="72">
        <v>19.34</v>
      </c>
      <c r="O85" s="72">
        <v>17.829999999999998</v>
      </c>
      <c r="P85" s="72">
        <v>18.82</v>
      </c>
      <c r="Q85" s="72">
        <v>19.170000000000002</v>
      </c>
      <c r="R85" s="72">
        <v>19.66</v>
      </c>
      <c r="S85" s="72">
        <v>18.420000000000002</v>
      </c>
      <c r="T85" s="72">
        <v>18.940000000000001</v>
      </c>
      <c r="U85" s="72">
        <v>19.489999999999998</v>
      </c>
      <c r="V85" s="72">
        <v>19.34</v>
      </c>
      <c r="W85" s="72">
        <v>18.399999999999999</v>
      </c>
      <c r="X85" s="72">
        <v>19.43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752115</v>
      </c>
      <c r="C88" s="273">
        <v>773222</v>
      </c>
      <c r="D88" s="273">
        <v>756291</v>
      </c>
      <c r="E88" s="273">
        <v>775909</v>
      </c>
      <c r="F88" s="273">
        <v>777647</v>
      </c>
      <c r="G88" s="273">
        <v>809546</v>
      </c>
      <c r="H88" s="273">
        <v>849073</v>
      </c>
      <c r="I88" s="273">
        <v>853211</v>
      </c>
      <c r="J88" s="273">
        <v>823477</v>
      </c>
      <c r="K88" s="273">
        <v>831651</v>
      </c>
      <c r="L88" s="273">
        <v>894194</v>
      </c>
      <c r="M88" s="273">
        <v>922089</v>
      </c>
      <c r="N88" s="273">
        <v>754527</v>
      </c>
      <c r="O88" s="273">
        <v>756666</v>
      </c>
      <c r="P88" s="273">
        <v>763664</v>
      </c>
      <c r="Q88" s="273">
        <v>849480</v>
      </c>
      <c r="R88" s="273">
        <v>732152</v>
      </c>
      <c r="S88" s="273">
        <v>810658</v>
      </c>
      <c r="T88" s="273">
        <v>805626</v>
      </c>
      <c r="U88" s="273">
        <v>784174</v>
      </c>
      <c r="V88" s="273">
        <v>708732</v>
      </c>
      <c r="W88" s="273">
        <v>808898</v>
      </c>
      <c r="X88" s="273">
        <v>841509</v>
      </c>
    </row>
    <row r="89" spans="1:25" ht="14.25" thickBot="1" x14ac:dyDescent="0.3">
      <c r="A89" s="250" t="s">
        <v>4</v>
      </c>
      <c r="B89" s="275">
        <v>189555</v>
      </c>
      <c r="C89" s="275">
        <v>178987</v>
      </c>
      <c r="D89" s="275">
        <v>178756</v>
      </c>
      <c r="E89" s="275">
        <v>183478</v>
      </c>
      <c r="F89" s="275">
        <v>185386</v>
      </c>
      <c r="G89" s="275">
        <v>210867</v>
      </c>
      <c r="H89" s="275">
        <v>211858</v>
      </c>
      <c r="I89" s="275">
        <v>218917</v>
      </c>
      <c r="J89" s="275">
        <v>201586</v>
      </c>
      <c r="K89" s="275">
        <v>210653</v>
      </c>
      <c r="L89" s="275">
        <v>240283</v>
      </c>
      <c r="M89" s="275">
        <v>237532</v>
      </c>
      <c r="N89" s="275">
        <v>185726</v>
      </c>
      <c r="O89" s="275">
        <v>171488</v>
      </c>
      <c r="P89" s="275">
        <v>192626</v>
      </c>
      <c r="Q89" s="275">
        <v>232380</v>
      </c>
      <c r="R89" s="275">
        <v>202671</v>
      </c>
      <c r="S89" s="275">
        <v>206656</v>
      </c>
      <c r="T89" s="275">
        <v>221941</v>
      </c>
      <c r="U89" s="275">
        <v>197629</v>
      </c>
      <c r="V89" s="275">
        <v>168206</v>
      </c>
      <c r="W89" s="275">
        <v>185435</v>
      </c>
      <c r="X89" s="275">
        <v>206328</v>
      </c>
    </row>
    <row r="90" spans="1:25" ht="14.25" thickBot="1" x14ac:dyDescent="0.3">
      <c r="A90" s="251" t="s">
        <v>5</v>
      </c>
      <c r="B90" s="273">
        <v>92987</v>
      </c>
      <c r="C90" s="273">
        <v>83394</v>
      </c>
      <c r="D90" s="273">
        <v>72760</v>
      </c>
      <c r="E90" s="273">
        <v>86200</v>
      </c>
      <c r="F90" s="273">
        <v>86498</v>
      </c>
      <c r="G90" s="273">
        <v>113408</v>
      </c>
      <c r="H90" s="273">
        <v>108213</v>
      </c>
      <c r="I90" s="273">
        <v>132382</v>
      </c>
      <c r="J90" s="273">
        <v>93042</v>
      </c>
      <c r="K90" s="273">
        <v>107167</v>
      </c>
      <c r="L90" s="273">
        <v>117790</v>
      </c>
      <c r="M90" s="273">
        <v>135898</v>
      </c>
      <c r="N90" s="273">
        <v>94387</v>
      </c>
      <c r="O90" s="273">
        <v>75859</v>
      </c>
      <c r="P90" s="273">
        <v>88998</v>
      </c>
      <c r="Q90" s="273">
        <v>132888</v>
      </c>
      <c r="R90" s="273">
        <v>102822</v>
      </c>
      <c r="S90" s="273">
        <v>107236</v>
      </c>
      <c r="T90" s="273">
        <v>125854</v>
      </c>
      <c r="U90" s="273">
        <v>103123</v>
      </c>
      <c r="V90" s="273">
        <v>84451</v>
      </c>
      <c r="W90" s="273">
        <v>99120</v>
      </c>
      <c r="X90" s="273">
        <v>109103</v>
      </c>
    </row>
    <row r="91" spans="1:25" ht="14.25" thickBot="1" x14ac:dyDescent="0.3">
      <c r="A91" s="250" t="s">
        <v>6</v>
      </c>
      <c r="B91" s="275">
        <v>78794</v>
      </c>
      <c r="C91" s="275">
        <v>81034</v>
      </c>
      <c r="D91" s="275">
        <v>71129</v>
      </c>
      <c r="E91" s="275">
        <v>79655</v>
      </c>
      <c r="F91" s="275">
        <v>86846</v>
      </c>
      <c r="G91" s="275">
        <v>122147</v>
      </c>
      <c r="H91" s="275">
        <v>108262</v>
      </c>
      <c r="I91" s="275">
        <v>124694</v>
      </c>
      <c r="J91" s="275">
        <v>104655</v>
      </c>
      <c r="K91" s="275">
        <v>106306</v>
      </c>
      <c r="L91" s="275">
        <v>132301</v>
      </c>
      <c r="M91" s="275">
        <v>137950</v>
      </c>
      <c r="N91" s="275">
        <v>85869</v>
      </c>
      <c r="O91" s="275">
        <v>73286</v>
      </c>
      <c r="P91" s="275">
        <v>112100</v>
      </c>
      <c r="Q91" s="275">
        <v>131197</v>
      </c>
      <c r="R91" s="275">
        <v>103401</v>
      </c>
      <c r="S91" s="275">
        <v>122075</v>
      </c>
      <c r="T91" s="275">
        <v>126674</v>
      </c>
      <c r="U91" s="275">
        <v>96835</v>
      </c>
      <c r="V91" s="275">
        <v>72018</v>
      </c>
      <c r="W91" s="275">
        <v>98483</v>
      </c>
      <c r="X91" s="275">
        <v>121096</v>
      </c>
    </row>
    <row r="92" spans="1:25" ht="14.25" thickBot="1" x14ac:dyDescent="0.3">
      <c r="A92" s="251" t="s">
        <v>7</v>
      </c>
      <c r="B92" s="273">
        <v>55102</v>
      </c>
      <c r="C92" s="273">
        <v>57357</v>
      </c>
      <c r="D92" s="273">
        <v>55242</v>
      </c>
      <c r="E92" s="273">
        <v>61402</v>
      </c>
      <c r="F92" s="273">
        <v>65827</v>
      </c>
      <c r="G92" s="273">
        <v>80258</v>
      </c>
      <c r="H92" s="273">
        <v>75203</v>
      </c>
      <c r="I92" s="273">
        <v>81635</v>
      </c>
      <c r="J92" s="273">
        <v>75649</v>
      </c>
      <c r="K92" s="273">
        <v>71533</v>
      </c>
      <c r="L92" s="273">
        <v>98991</v>
      </c>
      <c r="M92" s="273">
        <v>102022</v>
      </c>
      <c r="N92" s="273">
        <v>59328</v>
      </c>
      <c r="O92" s="273">
        <v>55414</v>
      </c>
      <c r="P92" s="273">
        <v>85472</v>
      </c>
      <c r="Q92" s="273">
        <v>95778</v>
      </c>
      <c r="R92" s="273">
        <v>74185</v>
      </c>
      <c r="S92" s="273">
        <v>86510</v>
      </c>
      <c r="T92" s="273">
        <v>102970</v>
      </c>
      <c r="U92" s="273">
        <v>79493</v>
      </c>
      <c r="V92" s="273">
        <v>56804</v>
      </c>
      <c r="W92" s="273">
        <v>72984</v>
      </c>
      <c r="X92" s="273">
        <v>96204</v>
      </c>
    </row>
    <row r="93" spans="1:25" ht="26.25" thickBot="1" x14ac:dyDescent="0.3">
      <c r="A93" s="252" t="s">
        <v>8</v>
      </c>
      <c r="B93" s="276">
        <v>47872</v>
      </c>
      <c r="C93" s="276">
        <v>44446</v>
      </c>
      <c r="D93" s="276">
        <v>42535</v>
      </c>
      <c r="E93" s="276">
        <v>51517</v>
      </c>
      <c r="F93" s="276">
        <v>54371</v>
      </c>
      <c r="G93" s="276">
        <v>64859</v>
      </c>
      <c r="H93" s="276">
        <v>59841</v>
      </c>
      <c r="I93" s="276">
        <v>60588</v>
      </c>
      <c r="J93" s="276">
        <v>58604</v>
      </c>
      <c r="K93" s="276">
        <v>55989</v>
      </c>
      <c r="L93" s="276">
        <v>78133</v>
      </c>
      <c r="M93" s="276">
        <v>81299</v>
      </c>
      <c r="N93" s="276">
        <v>47353</v>
      </c>
      <c r="O93" s="276">
        <v>40410</v>
      </c>
      <c r="P93" s="276">
        <v>63042</v>
      </c>
      <c r="Q93" s="276">
        <v>80886</v>
      </c>
      <c r="R93" s="276">
        <v>61719</v>
      </c>
      <c r="S93" s="276">
        <v>69921</v>
      </c>
      <c r="T93" s="276">
        <v>86665</v>
      </c>
      <c r="U93" s="276">
        <v>64135</v>
      </c>
      <c r="V93" s="276">
        <v>46224</v>
      </c>
      <c r="W93" s="276">
        <v>58508</v>
      </c>
      <c r="X93" s="276">
        <v>76691</v>
      </c>
    </row>
    <row r="94" spans="1:25" x14ac:dyDescent="0.25">
      <c r="A94" s="233" t="s">
        <v>365</v>
      </c>
      <c r="B94" s="253">
        <f>IF(B91="","",B91-B90)</f>
        <v>-14193</v>
      </c>
      <c r="C94" s="253">
        <f>IF(C91="","",C91-C90)</f>
        <v>-2360</v>
      </c>
      <c r="D94" s="253">
        <f t="shared" ref="D94:Y94" si="9">IF(D91="","",D91-D90)</f>
        <v>-1631</v>
      </c>
      <c r="E94" s="253">
        <f t="shared" si="9"/>
        <v>-6545</v>
      </c>
      <c r="F94" s="253">
        <f t="shared" si="9"/>
        <v>348</v>
      </c>
      <c r="G94" s="253">
        <f t="shared" si="9"/>
        <v>8739</v>
      </c>
      <c r="H94" s="253">
        <f t="shared" si="9"/>
        <v>49</v>
      </c>
      <c r="I94" s="253">
        <f t="shared" si="9"/>
        <v>-7688</v>
      </c>
      <c r="J94" s="253">
        <f t="shared" si="9"/>
        <v>11613</v>
      </c>
      <c r="K94" s="253">
        <f t="shared" si="9"/>
        <v>-861</v>
      </c>
      <c r="L94" s="253">
        <f t="shared" si="9"/>
        <v>14511</v>
      </c>
      <c r="M94" s="253">
        <f t="shared" si="9"/>
        <v>2052</v>
      </c>
      <c r="N94" s="253">
        <f t="shared" si="9"/>
        <v>-8518</v>
      </c>
      <c r="O94" s="253">
        <f t="shared" si="9"/>
        <v>-2573</v>
      </c>
      <c r="P94" s="253">
        <f t="shared" si="9"/>
        <v>23102</v>
      </c>
      <c r="Q94" s="253">
        <f t="shared" si="9"/>
        <v>-1691</v>
      </c>
      <c r="R94" s="253">
        <f t="shared" si="9"/>
        <v>579</v>
      </c>
      <c r="S94" s="253">
        <f t="shared" si="9"/>
        <v>14839</v>
      </c>
      <c r="T94" s="253">
        <f t="shared" si="9"/>
        <v>820</v>
      </c>
      <c r="U94" s="253">
        <f t="shared" si="9"/>
        <v>-6288</v>
      </c>
      <c r="V94" s="253">
        <f t="shared" si="9"/>
        <v>-12433</v>
      </c>
      <c r="W94" s="253">
        <f t="shared" si="9"/>
        <v>-637</v>
      </c>
      <c r="X94" s="253">
        <f t="shared" si="9"/>
        <v>11993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3057537</v>
      </c>
      <c r="C97" s="273">
        <v>3289477</v>
      </c>
      <c r="D97" s="273">
        <v>3471411</v>
      </c>
      <c r="E97" s="273">
        <v>3124337</v>
      </c>
      <c r="F97" s="273">
        <v>3132610</v>
      </c>
    </row>
    <row r="98" spans="1:24" ht="14.25" thickBot="1" x14ac:dyDescent="0.3">
      <c r="A98" s="225" t="s">
        <v>4</v>
      </c>
      <c r="B98" s="275">
        <v>730776</v>
      </c>
      <c r="C98" s="275">
        <v>827028</v>
      </c>
      <c r="D98" s="275">
        <v>890054</v>
      </c>
      <c r="E98" s="275">
        <v>782220</v>
      </c>
      <c r="F98" s="275">
        <v>828897</v>
      </c>
    </row>
    <row r="99" spans="1:24" ht="14.25" thickBot="1" x14ac:dyDescent="0.3">
      <c r="A99" s="224" t="s">
        <v>5</v>
      </c>
      <c r="B99" s="273">
        <v>335341</v>
      </c>
      <c r="C99" s="273">
        <v>425536</v>
      </c>
      <c r="D99" s="273">
        <v>473970</v>
      </c>
      <c r="E99" s="273">
        <v>392132</v>
      </c>
      <c r="F99" s="273">
        <v>439035</v>
      </c>
    </row>
    <row r="100" spans="1:24" ht="14.25" thickBot="1" x14ac:dyDescent="0.3">
      <c r="A100" s="225" t="s">
        <v>6</v>
      </c>
      <c r="B100" s="275">
        <v>310612</v>
      </c>
      <c r="C100" s="275">
        <v>441949</v>
      </c>
      <c r="D100" s="275">
        <v>480636</v>
      </c>
      <c r="E100" s="275">
        <v>402452</v>
      </c>
      <c r="F100" s="275">
        <v>448985</v>
      </c>
    </row>
    <row r="101" spans="1:24" ht="14.25" thickBot="1" x14ac:dyDescent="0.3">
      <c r="A101" s="224" t="s">
        <v>7</v>
      </c>
      <c r="B101" s="273">
        <v>229103</v>
      </c>
      <c r="C101" s="273">
        <v>302923</v>
      </c>
      <c r="D101" s="273">
        <v>347717</v>
      </c>
      <c r="E101" s="273">
        <v>295992</v>
      </c>
      <c r="F101" s="273">
        <v>343158</v>
      </c>
    </row>
    <row r="102" spans="1:24" ht="14.25" thickBot="1" x14ac:dyDescent="0.3">
      <c r="A102" s="227" t="s">
        <v>8</v>
      </c>
      <c r="B102" s="276">
        <v>186370</v>
      </c>
      <c r="C102" s="276">
        <v>239659</v>
      </c>
      <c r="D102" s="276">
        <v>273626</v>
      </c>
      <c r="E102" s="276">
        <v>231691</v>
      </c>
      <c r="F102" s="276">
        <v>282440</v>
      </c>
    </row>
    <row r="103" spans="1:24" x14ac:dyDescent="0.25">
      <c r="A103" s="233" t="s">
        <v>262</v>
      </c>
      <c r="B103" s="234">
        <f>IF(OR(B102="",B102="無"),"",B102/B101)</f>
        <v>0.81347690776637582</v>
      </c>
      <c r="C103" s="234">
        <f>IF(OR(C102="",C102="無"),"",C102/C101)</f>
        <v>0.79115484793165258</v>
      </c>
      <c r="D103" s="234">
        <f>IF(OR(D102="",D102="無"),"",D102/D101)</f>
        <v>0.78692154827057637</v>
      </c>
      <c r="E103" s="234">
        <f>IF(OR(E102="",E102="無"),"",E102/E101)</f>
        <v>0.78276102056812347</v>
      </c>
      <c r="F103" s="234">
        <f>IF(OR(F102="",F102="無"),"",F102/F101)</f>
        <v>0.82306109722052234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414736</v>
      </c>
      <c r="C106" s="273">
        <v>358224</v>
      </c>
      <c r="D106" s="273">
        <v>425347</v>
      </c>
      <c r="E106" s="273">
        <v>441025</v>
      </c>
      <c r="F106" s="273">
        <v>365771</v>
      </c>
      <c r="G106" s="273">
        <v>436652</v>
      </c>
      <c r="H106" s="273">
        <v>533643</v>
      </c>
      <c r="I106" s="273">
        <v>609620</v>
      </c>
      <c r="J106" s="273">
        <v>542345</v>
      </c>
      <c r="K106" s="273">
        <v>516508</v>
      </c>
      <c r="L106" s="273">
        <v>562500</v>
      </c>
      <c r="M106" s="273">
        <v>549005</v>
      </c>
      <c r="N106" s="273">
        <v>609170</v>
      </c>
      <c r="O106" s="273">
        <v>576695</v>
      </c>
      <c r="P106" s="273">
        <v>530930</v>
      </c>
      <c r="Q106" s="273">
        <v>686552</v>
      </c>
      <c r="R106" s="273">
        <v>660469</v>
      </c>
      <c r="S106" s="273">
        <v>657591</v>
      </c>
      <c r="T106" s="273">
        <v>680240</v>
      </c>
      <c r="U106" s="273">
        <v>790860</v>
      </c>
      <c r="V106" s="273">
        <v>731495</v>
      </c>
      <c r="W106" s="273">
        <v>765701</v>
      </c>
      <c r="X106" s="273">
        <v>735661</v>
      </c>
    </row>
    <row r="107" spans="1:24" ht="14.25" thickBot="1" x14ac:dyDescent="0.3">
      <c r="A107" s="225" t="s">
        <v>22</v>
      </c>
      <c r="B107" s="275">
        <v>143097</v>
      </c>
      <c r="C107" s="275">
        <v>124164</v>
      </c>
      <c r="D107" s="275">
        <v>113471</v>
      </c>
      <c r="E107" s="275">
        <v>103180</v>
      </c>
      <c r="F107" s="275">
        <v>179490</v>
      </c>
      <c r="G107" s="275">
        <v>84002</v>
      </c>
      <c r="H107" s="275">
        <v>76151</v>
      </c>
      <c r="I107" s="275">
        <v>108397</v>
      </c>
      <c r="J107" s="275">
        <v>117134</v>
      </c>
      <c r="K107" s="275">
        <v>132064</v>
      </c>
      <c r="L107" s="275">
        <v>120711</v>
      </c>
      <c r="M107" s="275">
        <v>111530</v>
      </c>
      <c r="N107" s="275">
        <v>121439</v>
      </c>
      <c r="O107" s="275">
        <v>122659</v>
      </c>
      <c r="P107" s="275">
        <v>53735</v>
      </c>
      <c r="Q107" s="275">
        <v>43920</v>
      </c>
      <c r="R107" s="275">
        <v>43156</v>
      </c>
      <c r="S107" s="275">
        <v>93802</v>
      </c>
      <c r="T107" s="275">
        <v>66273</v>
      </c>
      <c r="U107" s="275">
        <v>54884</v>
      </c>
      <c r="V107" s="275">
        <v>57548</v>
      </c>
      <c r="W107" s="275">
        <v>80152</v>
      </c>
      <c r="X107" s="275">
        <v>16069</v>
      </c>
    </row>
    <row r="108" spans="1:24" ht="14.25" thickBot="1" x14ac:dyDescent="0.3">
      <c r="A108" s="224" t="s">
        <v>263</v>
      </c>
      <c r="B108" s="273">
        <v>593900</v>
      </c>
      <c r="C108" s="273">
        <v>575075</v>
      </c>
      <c r="D108" s="273">
        <v>537448</v>
      </c>
      <c r="E108" s="273">
        <v>555578</v>
      </c>
      <c r="F108" s="273">
        <v>654825</v>
      </c>
      <c r="G108" s="273">
        <v>625276</v>
      </c>
      <c r="H108" s="273">
        <v>619633</v>
      </c>
      <c r="I108" s="273">
        <v>601030</v>
      </c>
      <c r="J108" s="273">
        <v>608838</v>
      </c>
      <c r="K108" s="273">
        <v>592427</v>
      </c>
      <c r="L108" s="273">
        <v>671486</v>
      </c>
      <c r="M108" s="273">
        <v>689446</v>
      </c>
      <c r="N108" s="273">
        <v>542731</v>
      </c>
      <c r="O108" s="273">
        <v>578039</v>
      </c>
      <c r="P108" s="273">
        <v>595961</v>
      </c>
      <c r="Q108" s="273">
        <v>556950</v>
      </c>
      <c r="R108" s="273">
        <v>600378</v>
      </c>
      <c r="S108" s="273">
        <v>633111</v>
      </c>
      <c r="T108" s="273">
        <v>647583</v>
      </c>
      <c r="U108" s="273">
        <v>642342</v>
      </c>
      <c r="V108" s="273">
        <v>607376</v>
      </c>
      <c r="W108" s="273">
        <v>687340</v>
      </c>
      <c r="X108" s="273">
        <v>791740</v>
      </c>
    </row>
    <row r="109" spans="1:24" ht="14.25" thickBot="1" x14ac:dyDescent="0.3">
      <c r="A109" s="225" t="s">
        <v>264</v>
      </c>
      <c r="B109" s="275">
        <v>453360</v>
      </c>
      <c r="C109" s="275">
        <v>456657</v>
      </c>
      <c r="D109" s="275">
        <v>464349</v>
      </c>
      <c r="E109" s="275">
        <v>462231</v>
      </c>
      <c r="F109" s="275">
        <v>497032</v>
      </c>
      <c r="G109" s="275">
        <v>466392</v>
      </c>
      <c r="H109" s="275">
        <v>472285</v>
      </c>
      <c r="I109" s="275">
        <v>517618</v>
      </c>
      <c r="J109" s="275">
        <v>476743</v>
      </c>
      <c r="K109" s="275">
        <v>460917</v>
      </c>
      <c r="L109" s="275">
        <v>479683</v>
      </c>
      <c r="M109" s="275">
        <v>489598</v>
      </c>
      <c r="N109" s="275">
        <v>402642</v>
      </c>
      <c r="O109" s="275">
        <v>394710</v>
      </c>
      <c r="P109" s="275">
        <v>416378</v>
      </c>
      <c r="Q109" s="275">
        <v>423540</v>
      </c>
      <c r="R109" s="275">
        <v>431224</v>
      </c>
      <c r="S109" s="275">
        <v>407740</v>
      </c>
      <c r="T109" s="275">
        <v>464863</v>
      </c>
      <c r="U109" s="275">
        <v>474037</v>
      </c>
      <c r="V109" s="275">
        <v>484590</v>
      </c>
      <c r="W109" s="275">
        <v>485014</v>
      </c>
      <c r="X109" s="275">
        <v>513321</v>
      </c>
    </row>
    <row r="110" spans="1:24" ht="14.25" thickBot="1" x14ac:dyDescent="0.3">
      <c r="A110" s="224" t="s">
        <v>23</v>
      </c>
      <c r="B110" s="273">
        <v>98776</v>
      </c>
      <c r="C110" s="273">
        <v>73277</v>
      </c>
      <c r="D110" s="273">
        <v>70471</v>
      </c>
      <c r="E110" s="273">
        <v>89021</v>
      </c>
      <c r="F110" s="273">
        <v>72245</v>
      </c>
      <c r="G110" s="273">
        <v>100362</v>
      </c>
      <c r="H110" s="273">
        <v>118252</v>
      </c>
      <c r="I110" s="273">
        <v>165503</v>
      </c>
      <c r="J110" s="273">
        <v>165500</v>
      </c>
      <c r="K110" s="273">
        <v>192869</v>
      </c>
      <c r="L110" s="273">
        <v>270629</v>
      </c>
      <c r="M110" s="273">
        <v>372644</v>
      </c>
      <c r="N110" s="273">
        <v>461674</v>
      </c>
      <c r="O110" s="273">
        <v>451114</v>
      </c>
      <c r="P110" s="273">
        <v>333483</v>
      </c>
      <c r="Q110" s="273">
        <v>357460</v>
      </c>
      <c r="R110" s="273">
        <v>340866</v>
      </c>
      <c r="S110" s="273">
        <v>369864</v>
      </c>
      <c r="T110" s="273">
        <v>332691</v>
      </c>
      <c r="U110" s="273">
        <v>309538</v>
      </c>
      <c r="V110" s="273">
        <v>350663</v>
      </c>
      <c r="W110" s="273">
        <v>229541</v>
      </c>
      <c r="X110" s="273">
        <v>210752</v>
      </c>
    </row>
    <row r="111" spans="1:24" ht="14.25" thickBot="1" x14ac:dyDescent="0.3">
      <c r="A111" s="225" t="s">
        <v>24</v>
      </c>
      <c r="B111" s="275">
        <v>1703869</v>
      </c>
      <c r="C111" s="275">
        <v>1587397</v>
      </c>
      <c r="D111" s="275">
        <v>1611086</v>
      </c>
      <c r="E111" s="275">
        <v>1651035</v>
      </c>
      <c r="F111" s="275">
        <v>1769363</v>
      </c>
      <c r="G111" s="275">
        <v>1712684</v>
      </c>
      <c r="H111" s="275">
        <v>1819964</v>
      </c>
      <c r="I111" s="275">
        <v>2002168</v>
      </c>
      <c r="J111" s="275">
        <v>1910560</v>
      </c>
      <c r="K111" s="275">
        <v>1894785</v>
      </c>
      <c r="L111" s="275">
        <v>2105009</v>
      </c>
      <c r="M111" s="275">
        <v>2212223</v>
      </c>
      <c r="N111" s="275">
        <v>2137656</v>
      </c>
      <c r="O111" s="275">
        <v>2123217</v>
      </c>
      <c r="P111" s="275">
        <v>1930487</v>
      </c>
      <c r="Q111" s="275">
        <v>2068422</v>
      </c>
      <c r="R111" s="275">
        <v>2076093</v>
      </c>
      <c r="S111" s="275">
        <v>2162108</v>
      </c>
      <c r="T111" s="275">
        <v>2191650</v>
      </c>
      <c r="U111" s="275">
        <v>2271661</v>
      </c>
      <c r="V111" s="275">
        <v>2231672</v>
      </c>
      <c r="W111" s="275">
        <v>2247748</v>
      </c>
      <c r="X111" s="275">
        <v>2267543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1595496</v>
      </c>
      <c r="C113" s="275">
        <v>1611499</v>
      </c>
      <c r="D113" s="275">
        <v>1593572</v>
      </c>
      <c r="E113" s="275">
        <v>1573785</v>
      </c>
      <c r="F113" s="275">
        <v>1546119</v>
      </c>
      <c r="G113" s="275">
        <v>1511900</v>
      </c>
      <c r="H113" s="275">
        <v>1483735</v>
      </c>
      <c r="I113" s="275">
        <v>1473004</v>
      </c>
      <c r="J113" s="275">
        <v>1463736</v>
      </c>
      <c r="K113" s="275">
        <v>1462702</v>
      </c>
      <c r="L113" s="275">
        <v>1444533</v>
      </c>
      <c r="M113" s="275">
        <v>1499134</v>
      </c>
      <c r="N113" s="275">
        <v>1489699</v>
      </c>
      <c r="O113" s="275">
        <v>1517142</v>
      </c>
      <c r="P113" s="275">
        <v>1567679</v>
      </c>
      <c r="Q113" s="275">
        <v>1556464</v>
      </c>
      <c r="R113" s="275">
        <v>1489656</v>
      </c>
      <c r="S113" s="275">
        <v>1459161</v>
      </c>
      <c r="T113" s="275">
        <v>1399776</v>
      </c>
      <c r="U113" s="275">
        <v>1396655</v>
      </c>
      <c r="V113" s="275">
        <v>1364488</v>
      </c>
      <c r="W113" s="275">
        <v>1407813</v>
      </c>
      <c r="X113" s="275">
        <v>1392846</v>
      </c>
    </row>
    <row r="114" spans="1:24" ht="14.25" thickBot="1" x14ac:dyDescent="0.3">
      <c r="A114" s="224" t="s">
        <v>27</v>
      </c>
      <c r="B114" s="273">
        <v>65648</v>
      </c>
      <c r="C114" s="273">
        <v>69091</v>
      </c>
      <c r="D114" s="273">
        <v>66005</v>
      </c>
      <c r="E114" s="273">
        <v>54703</v>
      </c>
      <c r="F114" s="273">
        <v>92331</v>
      </c>
      <c r="G114" s="273">
        <v>105290</v>
      </c>
      <c r="H114" s="273">
        <v>106130</v>
      </c>
      <c r="I114" s="273">
        <v>110019</v>
      </c>
      <c r="J114" s="273">
        <v>116129</v>
      </c>
      <c r="K114" s="273">
        <v>109121</v>
      </c>
      <c r="L114" s="273">
        <v>119899</v>
      </c>
      <c r="M114" s="273">
        <v>119991</v>
      </c>
      <c r="N114" s="273">
        <v>134924</v>
      </c>
      <c r="O114" s="273">
        <v>118380</v>
      </c>
      <c r="P114" s="273">
        <v>110532</v>
      </c>
      <c r="Q114" s="273">
        <v>105268</v>
      </c>
      <c r="R114" s="273">
        <v>111529</v>
      </c>
      <c r="S114" s="273">
        <v>111219</v>
      </c>
      <c r="T114" s="273">
        <v>125048</v>
      </c>
      <c r="U114" s="273">
        <v>139821</v>
      </c>
      <c r="V114" s="273">
        <v>153198</v>
      </c>
      <c r="W114" s="273">
        <v>113796</v>
      </c>
      <c r="X114" s="273">
        <v>127674</v>
      </c>
    </row>
    <row r="115" spans="1:24" ht="14.25" thickBot="1" x14ac:dyDescent="0.3">
      <c r="A115" s="225" t="s">
        <v>265</v>
      </c>
      <c r="B115" s="276">
        <v>3365013</v>
      </c>
      <c r="C115" s="276">
        <v>3267987</v>
      </c>
      <c r="D115" s="276">
        <v>3270663</v>
      </c>
      <c r="E115" s="276">
        <v>3279523</v>
      </c>
      <c r="F115" s="276">
        <v>3407813</v>
      </c>
      <c r="G115" s="276">
        <v>3329874</v>
      </c>
      <c r="H115" s="276">
        <v>3409829</v>
      </c>
      <c r="I115" s="276">
        <v>3585191</v>
      </c>
      <c r="J115" s="276">
        <v>3490425</v>
      </c>
      <c r="K115" s="276">
        <v>3466608</v>
      </c>
      <c r="L115" s="276">
        <v>3669441</v>
      </c>
      <c r="M115" s="276">
        <v>3831348</v>
      </c>
      <c r="N115" s="276">
        <v>3762279</v>
      </c>
      <c r="O115" s="276">
        <v>3758739</v>
      </c>
      <c r="P115" s="276">
        <v>3608698</v>
      </c>
      <c r="Q115" s="276">
        <v>3730154</v>
      </c>
      <c r="R115" s="276">
        <v>3677278</v>
      </c>
      <c r="S115" s="276">
        <v>3732488</v>
      </c>
      <c r="T115" s="276">
        <v>3716474</v>
      </c>
      <c r="U115" s="276">
        <v>3808137</v>
      </c>
      <c r="V115" s="276">
        <v>3749358</v>
      </c>
      <c r="W115" s="276">
        <v>3769357</v>
      </c>
      <c r="X115" s="276">
        <v>3788063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475020</v>
      </c>
      <c r="C118" s="273">
        <v>411510</v>
      </c>
      <c r="D118" s="273">
        <v>404753</v>
      </c>
      <c r="E118" s="273">
        <v>361519</v>
      </c>
      <c r="F118" s="273">
        <v>405547</v>
      </c>
      <c r="G118" s="273">
        <v>333567</v>
      </c>
      <c r="H118" s="273">
        <v>316215</v>
      </c>
      <c r="I118" s="273">
        <v>282761</v>
      </c>
      <c r="J118" s="273">
        <v>212260</v>
      </c>
      <c r="K118" s="273">
        <v>216103</v>
      </c>
      <c r="L118" s="273">
        <v>257750</v>
      </c>
      <c r="M118" s="273">
        <v>193589</v>
      </c>
      <c r="N118" s="273">
        <v>183290</v>
      </c>
      <c r="O118" s="273">
        <v>180425</v>
      </c>
      <c r="P118" s="273">
        <v>33000</v>
      </c>
      <c r="Q118" s="273">
        <v>30000</v>
      </c>
      <c r="R118" s="273">
        <v>110000</v>
      </c>
      <c r="S118" s="273">
        <v>30000</v>
      </c>
      <c r="T118" s="273">
        <v>30000</v>
      </c>
      <c r="U118" s="273">
        <v>30000</v>
      </c>
      <c r="V118" s="273">
        <v>30000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5">
        <v>29972</v>
      </c>
      <c r="C119" s="274">
        <v>0</v>
      </c>
      <c r="D119" s="275">
        <v>9991</v>
      </c>
      <c r="E119" s="274">
        <v>0</v>
      </c>
      <c r="F119" s="274">
        <v>0</v>
      </c>
      <c r="G119" s="274">
        <v>0</v>
      </c>
      <c r="H119" s="275">
        <v>9992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160407</v>
      </c>
      <c r="C120" s="273">
        <v>145205</v>
      </c>
      <c r="D120" s="273">
        <v>149280</v>
      </c>
      <c r="E120" s="273">
        <v>162076</v>
      </c>
      <c r="F120" s="273">
        <v>168032</v>
      </c>
      <c r="G120" s="273">
        <v>153308</v>
      </c>
      <c r="H120" s="273">
        <v>183713</v>
      </c>
      <c r="I120" s="273">
        <v>224389</v>
      </c>
      <c r="J120" s="273">
        <v>169061</v>
      </c>
      <c r="K120" s="273">
        <v>159422</v>
      </c>
      <c r="L120" s="273">
        <v>186334</v>
      </c>
      <c r="M120" s="273">
        <v>168244</v>
      </c>
      <c r="N120" s="273">
        <v>150090</v>
      </c>
      <c r="O120" s="273">
        <v>149658</v>
      </c>
      <c r="P120" s="273">
        <v>160035</v>
      </c>
      <c r="Q120" s="273">
        <v>197421</v>
      </c>
      <c r="R120" s="273">
        <v>140824</v>
      </c>
      <c r="S120" s="273">
        <v>171230</v>
      </c>
      <c r="T120" s="273">
        <v>167097</v>
      </c>
      <c r="U120" s="273">
        <v>142515</v>
      </c>
      <c r="V120" s="273">
        <v>163258</v>
      </c>
      <c r="W120" s="273">
        <v>188577</v>
      </c>
      <c r="X120" s="273">
        <v>208965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5">
        <v>27658</v>
      </c>
      <c r="W121" s="275">
        <v>13644</v>
      </c>
      <c r="X121" s="275">
        <v>11535</v>
      </c>
    </row>
    <row r="122" spans="1:24" ht="14.25" thickBot="1" x14ac:dyDescent="0.3">
      <c r="A122" s="224" t="s">
        <v>30</v>
      </c>
      <c r="B122" s="273">
        <v>93767</v>
      </c>
      <c r="C122" s="273">
        <v>70000</v>
      </c>
      <c r="D122" s="273">
        <v>120000</v>
      </c>
      <c r="E122" s="273">
        <v>170000</v>
      </c>
      <c r="F122" s="273">
        <v>200000</v>
      </c>
      <c r="G122" s="273">
        <v>150000</v>
      </c>
      <c r="H122" s="273">
        <v>200000</v>
      </c>
      <c r="I122" s="273">
        <v>216667</v>
      </c>
      <c r="J122" s="273">
        <v>312500</v>
      </c>
      <c r="K122" s="273">
        <v>366667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273">
        <v>50000</v>
      </c>
      <c r="R122" s="273">
        <v>61000</v>
      </c>
      <c r="S122" s="273">
        <v>11000</v>
      </c>
      <c r="T122" s="273">
        <v>11000</v>
      </c>
      <c r="U122" s="273">
        <v>19200</v>
      </c>
      <c r="V122" s="273">
        <v>17600</v>
      </c>
      <c r="W122" s="273">
        <v>25600</v>
      </c>
      <c r="X122" s="273">
        <v>19200</v>
      </c>
    </row>
    <row r="123" spans="1:24" ht="14.25" thickBot="1" x14ac:dyDescent="0.3">
      <c r="A123" s="225" t="s">
        <v>31</v>
      </c>
      <c r="B123" s="275">
        <v>254195</v>
      </c>
      <c r="C123" s="275">
        <v>295758</v>
      </c>
      <c r="D123" s="275">
        <v>247471</v>
      </c>
      <c r="E123" s="275">
        <v>229630</v>
      </c>
      <c r="F123" s="275">
        <v>228652</v>
      </c>
      <c r="G123" s="275">
        <v>309562</v>
      </c>
      <c r="H123" s="275">
        <v>292704</v>
      </c>
      <c r="I123" s="275">
        <v>348175</v>
      </c>
      <c r="J123" s="275">
        <v>283872</v>
      </c>
      <c r="K123" s="275">
        <v>358668</v>
      </c>
      <c r="L123" s="275">
        <v>299723</v>
      </c>
      <c r="M123" s="275">
        <v>367615</v>
      </c>
      <c r="N123" s="275">
        <v>276550</v>
      </c>
      <c r="O123" s="275">
        <v>451486</v>
      </c>
      <c r="P123" s="275">
        <v>319770</v>
      </c>
      <c r="Q123" s="275">
        <v>349242</v>
      </c>
      <c r="R123" s="275">
        <v>309725</v>
      </c>
      <c r="S123" s="275">
        <v>439386</v>
      </c>
      <c r="T123" s="275">
        <v>318673</v>
      </c>
      <c r="U123" s="275">
        <v>360256</v>
      </c>
      <c r="V123" s="275">
        <v>283169</v>
      </c>
      <c r="W123" s="275">
        <v>421981</v>
      </c>
      <c r="X123" s="275">
        <v>302107</v>
      </c>
    </row>
    <row r="124" spans="1:24" ht="14.25" thickBot="1" x14ac:dyDescent="0.3">
      <c r="A124" s="224" t="s">
        <v>268</v>
      </c>
      <c r="B124" s="273">
        <v>1013361</v>
      </c>
      <c r="C124" s="273">
        <v>922473</v>
      </c>
      <c r="D124" s="273">
        <v>931495</v>
      </c>
      <c r="E124" s="273">
        <v>923225</v>
      </c>
      <c r="F124" s="273">
        <v>1002231</v>
      </c>
      <c r="G124" s="273">
        <v>946437</v>
      </c>
      <c r="H124" s="273">
        <v>1002624</v>
      </c>
      <c r="I124" s="273">
        <v>1071992</v>
      </c>
      <c r="J124" s="273">
        <v>977693</v>
      </c>
      <c r="K124" s="273">
        <v>1100860</v>
      </c>
      <c r="L124" s="273">
        <v>743807</v>
      </c>
      <c r="M124" s="273">
        <v>729448</v>
      </c>
      <c r="N124" s="273">
        <v>609930</v>
      </c>
      <c r="O124" s="273">
        <v>781569</v>
      </c>
      <c r="P124" s="273">
        <v>512805</v>
      </c>
      <c r="Q124" s="273">
        <v>626663</v>
      </c>
      <c r="R124" s="273">
        <v>621549</v>
      </c>
      <c r="S124" s="273">
        <v>651616</v>
      </c>
      <c r="T124" s="273">
        <v>526770</v>
      </c>
      <c r="U124" s="273">
        <v>551971</v>
      </c>
      <c r="V124" s="273">
        <v>521685</v>
      </c>
      <c r="W124" s="273">
        <v>649802</v>
      </c>
      <c r="X124" s="273">
        <v>541807</v>
      </c>
    </row>
    <row r="125" spans="1:24" ht="14.25" thickBot="1" x14ac:dyDescent="0.3">
      <c r="A125" s="225" t="s">
        <v>32</v>
      </c>
      <c r="B125" s="275">
        <v>717010</v>
      </c>
      <c r="C125" s="275">
        <v>747112</v>
      </c>
      <c r="D125" s="275">
        <v>697181</v>
      </c>
      <c r="E125" s="275">
        <v>647216</v>
      </c>
      <c r="F125" s="275">
        <v>854608</v>
      </c>
      <c r="G125" s="275">
        <v>817454</v>
      </c>
      <c r="H125" s="275">
        <v>773660</v>
      </c>
      <c r="I125" s="275">
        <v>806246</v>
      </c>
      <c r="J125" s="275">
        <v>717471</v>
      </c>
      <c r="K125" s="275">
        <v>661431</v>
      </c>
      <c r="L125" s="275">
        <v>1104057</v>
      </c>
      <c r="M125" s="275">
        <v>1167025</v>
      </c>
      <c r="N125" s="275">
        <v>1179158</v>
      </c>
      <c r="O125" s="275">
        <v>1181233</v>
      </c>
      <c r="P125" s="275">
        <v>1189111</v>
      </c>
      <c r="Q125" s="275">
        <v>1152041</v>
      </c>
      <c r="R125" s="275">
        <v>1047806</v>
      </c>
      <c r="S125" s="275">
        <v>1187438</v>
      </c>
      <c r="T125" s="275">
        <v>1232345</v>
      </c>
      <c r="U125" s="275">
        <v>1250192</v>
      </c>
      <c r="V125" s="275">
        <v>1224277</v>
      </c>
      <c r="W125" s="275">
        <v>1213177</v>
      </c>
      <c r="X125" s="275">
        <v>1227708</v>
      </c>
    </row>
    <row r="126" spans="1:24" ht="14.25" thickBot="1" x14ac:dyDescent="0.3">
      <c r="A126" s="224" t="s">
        <v>33</v>
      </c>
      <c r="B126" s="273">
        <v>176180</v>
      </c>
      <c r="C126" s="273">
        <v>184587</v>
      </c>
      <c r="D126" s="273">
        <v>188246</v>
      </c>
      <c r="E126" s="273">
        <v>198924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1906551</v>
      </c>
      <c r="C127" s="275">
        <v>1854172</v>
      </c>
      <c r="D127" s="275">
        <v>1816922</v>
      </c>
      <c r="E127" s="275">
        <v>1769365</v>
      </c>
      <c r="F127" s="275">
        <v>1856839</v>
      </c>
      <c r="G127" s="275">
        <v>1763891</v>
      </c>
      <c r="H127" s="275">
        <v>1776284</v>
      </c>
      <c r="I127" s="275">
        <v>1878238</v>
      </c>
      <c r="J127" s="275">
        <v>1695164</v>
      </c>
      <c r="K127" s="275">
        <v>1762291</v>
      </c>
      <c r="L127" s="275">
        <v>1847864</v>
      </c>
      <c r="M127" s="275">
        <v>1896473</v>
      </c>
      <c r="N127" s="275">
        <v>1789088</v>
      </c>
      <c r="O127" s="275">
        <v>1962802</v>
      </c>
      <c r="P127" s="275">
        <v>1701916</v>
      </c>
      <c r="Q127" s="275">
        <v>1778704</v>
      </c>
      <c r="R127" s="275">
        <v>1669355</v>
      </c>
      <c r="S127" s="275">
        <v>1839054</v>
      </c>
      <c r="T127" s="275">
        <v>1759115</v>
      </c>
      <c r="U127" s="275">
        <v>1802163</v>
      </c>
      <c r="V127" s="275">
        <v>1745962</v>
      </c>
      <c r="W127" s="275">
        <v>1862979</v>
      </c>
      <c r="X127" s="275">
        <v>1769515</v>
      </c>
    </row>
    <row r="128" spans="1:24" ht="14.25" thickBot="1" x14ac:dyDescent="0.3">
      <c r="A128" s="224" t="s">
        <v>34</v>
      </c>
      <c r="B128" s="273">
        <v>1458462</v>
      </c>
      <c r="C128" s="273">
        <v>1413815</v>
      </c>
      <c r="D128" s="273">
        <v>1453741</v>
      </c>
      <c r="E128" s="273">
        <v>1510158</v>
      </c>
      <c r="F128" s="273">
        <v>1550974</v>
      </c>
      <c r="G128" s="273">
        <v>1565983</v>
      </c>
      <c r="H128" s="273">
        <v>1633545</v>
      </c>
      <c r="I128" s="273">
        <v>1706953</v>
      </c>
      <c r="J128" s="273">
        <v>1795261</v>
      </c>
      <c r="K128" s="273">
        <v>1704317</v>
      </c>
      <c r="L128" s="273">
        <v>1821577</v>
      </c>
      <c r="M128" s="273">
        <v>1934875</v>
      </c>
      <c r="N128" s="273">
        <v>1973191</v>
      </c>
      <c r="O128" s="273">
        <v>1795937</v>
      </c>
      <c r="P128" s="273">
        <v>1906782</v>
      </c>
      <c r="Q128" s="273">
        <v>1951450</v>
      </c>
      <c r="R128" s="273">
        <v>2007923</v>
      </c>
      <c r="S128" s="273">
        <v>1893434</v>
      </c>
      <c r="T128" s="273">
        <v>1957359</v>
      </c>
      <c r="U128" s="273">
        <v>2005974</v>
      </c>
      <c r="V128" s="273">
        <v>2003396</v>
      </c>
      <c r="W128" s="273">
        <v>1906378</v>
      </c>
      <c r="X128" s="273">
        <v>2018548</v>
      </c>
    </row>
    <row r="129" spans="1:24" ht="14.25" thickBot="1" x14ac:dyDescent="0.3">
      <c r="A129" s="225" t="s">
        <v>35</v>
      </c>
      <c r="B129" s="276">
        <v>3365013</v>
      </c>
      <c r="C129" s="276">
        <v>3267987</v>
      </c>
      <c r="D129" s="276">
        <v>3270663</v>
      </c>
      <c r="E129" s="276">
        <v>3279523</v>
      </c>
      <c r="F129" s="276">
        <v>3407813</v>
      </c>
      <c r="G129" s="276">
        <v>3329874</v>
      </c>
      <c r="H129" s="276">
        <v>3409829</v>
      </c>
      <c r="I129" s="276">
        <v>3585191</v>
      </c>
      <c r="J129" s="276">
        <v>3490425</v>
      </c>
      <c r="K129" s="276">
        <v>3466608</v>
      </c>
      <c r="L129" s="276">
        <v>3669441</v>
      </c>
      <c r="M129" s="276">
        <v>3831348</v>
      </c>
      <c r="N129" s="276">
        <v>3762279</v>
      </c>
      <c r="O129" s="276">
        <v>3758739</v>
      </c>
      <c r="P129" s="276">
        <v>3608698</v>
      </c>
      <c r="Q129" s="276">
        <v>3730154</v>
      </c>
      <c r="R129" s="276">
        <v>3677278</v>
      </c>
      <c r="S129" s="276">
        <v>3732488</v>
      </c>
      <c r="T129" s="276">
        <v>3716474</v>
      </c>
      <c r="U129" s="276">
        <v>3808137</v>
      </c>
      <c r="V129" s="276">
        <v>3749358</v>
      </c>
      <c r="W129" s="276">
        <v>3769357</v>
      </c>
      <c r="X129" s="276">
        <v>3788063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6.7</v>
      </c>
      <c r="C132" s="68">
        <v>7.67</v>
      </c>
      <c r="D132" s="68">
        <v>5.7</v>
      </c>
      <c r="E132" s="68">
        <v>8.4</v>
      </c>
      <c r="F132" s="68">
        <v>3.61</v>
      </c>
    </row>
    <row r="133" spans="1:24" ht="14.25" thickBot="1" x14ac:dyDescent="0.3">
      <c r="A133" s="225" t="s">
        <v>37</v>
      </c>
      <c r="B133" s="274">
        <v>-2.78</v>
      </c>
      <c r="C133" s="274">
        <v>-2.5499999999999998</v>
      </c>
      <c r="D133" s="274">
        <v>-4.71</v>
      </c>
      <c r="E133" s="274">
        <v>-2.61</v>
      </c>
      <c r="F133" s="274">
        <v>-1.78</v>
      </c>
    </row>
    <row r="134" spans="1:24" ht="14.25" thickBot="1" x14ac:dyDescent="0.3">
      <c r="A134" s="224" t="s">
        <v>38</v>
      </c>
      <c r="B134" s="68">
        <v>-2.63</v>
      </c>
      <c r="C134" s="68">
        <v>-3.42</v>
      </c>
      <c r="D134" s="68">
        <v>-2.02</v>
      </c>
      <c r="E134" s="68">
        <v>-4.0599999999999996</v>
      </c>
      <c r="F134" s="68">
        <v>-0.46</v>
      </c>
    </row>
    <row r="135" spans="1:24" ht="14.25" thickBot="1" x14ac:dyDescent="0.3">
      <c r="A135" s="225" t="s">
        <v>270</v>
      </c>
      <c r="B135" s="274">
        <v>3.92</v>
      </c>
      <c r="C135" s="274">
        <v>5.12</v>
      </c>
      <c r="D135" s="274">
        <v>0.99</v>
      </c>
      <c r="E135" s="274">
        <v>5.79</v>
      </c>
      <c r="F135" s="274">
        <v>1.84</v>
      </c>
    </row>
    <row r="136" spans="1:24" ht="14.25" thickBot="1" x14ac:dyDescent="0.3">
      <c r="A136" s="229" t="s">
        <v>39</v>
      </c>
      <c r="B136" s="72">
        <v>1.3</v>
      </c>
      <c r="C136" s="72">
        <v>1.7</v>
      </c>
      <c r="D136" s="72">
        <v>-1.04</v>
      </c>
      <c r="E136" s="72">
        <v>1.73</v>
      </c>
      <c r="F136" s="72">
        <v>1.38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0.7</v>
      </c>
      <c r="C140" s="68">
        <v>1</v>
      </c>
      <c r="D140" s="68">
        <v>1.8</v>
      </c>
      <c r="E140" s="68">
        <v>1.55</v>
      </c>
      <c r="F140" s="68">
        <v>1.8</v>
      </c>
    </row>
    <row r="141" spans="1:24" ht="14.25" thickBot="1" x14ac:dyDescent="0.3">
      <c r="A141" s="227" t="s">
        <v>1</v>
      </c>
      <c r="B141" s="73">
        <v>0.5</v>
      </c>
      <c r="C141" s="73">
        <v>0.5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0.30973451327433621</v>
      </c>
      <c r="C142" s="234">
        <f>IF(C140&lt;&gt;"無",IF(ISNA(HLOOKUP(C139,$B$64:$F$69,6,FALSE)),"",C140/HLOOKUP(C139,$B$64:$F$69,6,FALSE)),"")</f>
        <v>0.35211267605633806</v>
      </c>
      <c r="D142" s="234">
        <f>IF(D140&lt;&gt;"無",IF(ISNA(HLOOKUP(D139,$B$64:$F$69,6,FALSE)),"",D140/HLOOKUP(D139,$B$64:$F$69,6,FALSE)),"")</f>
        <v>0.58441558441558439</v>
      </c>
      <c r="E142" s="234">
        <f>IF(E140&lt;&gt;"無",IF(ISNA(HLOOKUP(E139,$B$64:$F$69,6,FALSE)),"",E140/HLOOKUP(E139,$B$64:$F$69,6,FALSE)),"")</f>
        <v>0.61023622047244097</v>
      </c>
      <c r="F142" s="234">
        <f>IF(F140&lt;&gt;"無",IF(ISNA(HLOOKUP(F139,$B$64:$F$69,6,FALSE)),"",F140/HLOOKUP(F139,$B$64:$F$69,6,FALSE)),"")</f>
        <v>0.5787781350482315</v>
      </c>
    </row>
    <row r="143" spans="1:24" x14ac:dyDescent="0.25">
      <c r="A143" s="233" t="s">
        <v>216</v>
      </c>
      <c r="B143" s="234">
        <f>IF(OR(B140=0,B140="無"),"",B135/B140)</f>
        <v>5.6000000000000005</v>
      </c>
      <c r="C143" s="234">
        <f>IF(OR(C140=0,C140="無"),"",C135/C140)</f>
        <v>5.12</v>
      </c>
      <c r="D143" s="234">
        <f>IF(OR(D140=0,D140="無"),"",D135/D140)</f>
        <v>0.54999999999999993</v>
      </c>
      <c r="E143" s="234">
        <f>IF(OR(E140=0,E140="無"),"",E135/E140)</f>
        <v>3.7354838709677418</v>
      </c>
      <c r="F143" s="234">
        <f>IF(OR(F140=0,F140="無"),"",F135/F140)</f>
        <v>1.0222222222222221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25.2</v>
      </c>
      <c r="C146" s="68">
        <v>23.15</v>
      </c>
      <c r="D146" s="68">
        <v>23.64</v>
      </c>
      <c r="E146" s="68">
        <v>23.65</v>
      </c>
      <c r="F146" s="68">
        <v>23.84</v>
      </c>
      <c r="G146" s="68">
        <v>26.05</v>
      </c>
      <c r="H146" s="68">
        <v>24.95</v>
      </c>
      <c r="I146" s="68">
        <v>25.66</v>
      </c>
      <c r="J146" s="68">
        <v>24.48</v>
      </c>
      <c r="K146" s="68">
        <v>25.33</v>
      </c>
      <c r="L146" s="68">
        <v>26.87</v>
      </c>
      <c r="M146" s="68">
        <v>25.76</v>
      </c>
      <c r="N146" s="68">
        <v>24.61</v>
      </c>
      <c r="O146" s="68">
        <v>22.66</v>
      </c>
      <c r="P146" s="68">
        <v>25.22</v>
      </c>
      <c r="Q146" s="68">
        <v>27.36</v>
      </c>
      <c r="R146" s="68">
        <v>27.68</v>
      </c>
      <c r="S146" s="68">
        <v>25.49</v>
      </c>
      <c r="T146" s="68">
        <v>27.55</v>
      </c>
      <c r="U146" s="68">
        <v>25.2</v>
      </c>
      <c r="V146" s="68">
        <v>23.73</v>
      </c>
      <c r="W146" s="68">
        <v>22.92</v>
      </c>
      <c r="X146" s="68">
        <v>24.52</v>
      </c>
    </row>
    <row r="147" spans="1:24" s="93" customFormat="1" ht="14.25" thickBot="1" x14ac:dyDescent="0.3">
      <c r="A147" s="225" t="s">
        <v>19</v>
      </c>
      <c r="B147" s="274">
        <v>12.36</v>
      </c>
      <c r="C147" s="274">
        <v>10.79</v>
      </c>
      <c r="D147" s="274">
        <v>9.6199999999999992</v>
      </c>
      <c r="E147" s="274">
        <v>11.11</v>
      </c>
      <c r="F147" s="274">
        <v>11.12</v>
      </c>
      <c r="G147" s="274">
        <v>14.01</v>
      </c>
      <c r="H147" s="274">
        <v>12.74</v>
      </c>
      <c r="I147" s="274">
        <v>15.52</v>
      </c>
      <c r="J147" s="274">
        <v>11.3</v>
      </c>
      <c r="K147" s="274">
        <v>12.89</v>
      </c>
      <c r="L147" s="274">
        <v>13.17</v>
      </c>
      <c r="M147" s="274">
        <v>14.74</v>
      </c>
      <c r="N147" s="274">
        <v>12.51</v>
      </c>
      <c r="O147" s="274">
        <v>10.029999999999999</v>
      </c>
      <c r="P147" s="274">
        <v>11.65</v>
      </c>
      <c r="Q147" s="274">
        <v>15.64</v>
      </c>
      <c r="R147" s="274">
        <v>14.04</v>
      </c>
      <c r="S147" s="274">
        <v>13.23</v>
      </c>
      <c r="T147" s="274">
        <v>15.62</v>
      </c>
      <c r="U147" s="274">
        <v>13.15</v>
      </c>
      <c r="V147" s="274">
        <v>11.92</v>
      </c>
      <c r="W147" s="274">
        <v>12.25</v>
      </c>
      <c r="X147" s="274">
        <v>12.97</v>
      </c>
    </row>
    <row r="148" spans="1:24" s="93" customFormat="1" ht="14.25" thickBot="1" x14ac:dyDescent="0.3">
      <c r="A148" s="224" t="s">
        <v>41</v>
      </c>
      <c r="B148" s="68">
        <v>10.48</v>
      </c>
      <c r="C148" s="68">
        <v>10.48</v>
      </c>
      <c r="D148" s="68">
        <v>9.4</v>
      </c>
      <c r="E148" s="68">
        <v>10.27</v>
      </c>
      <c r="F148" s="68">
        <v>11.17</v>
      </c>
      <c r="G148" s="68">
        <v>15.09</v>
      </c>
      <c r="H148" s="68">
        <v>12.75</v>
      </c>
      <c r="I148" s="68">
        <v>14.61</v>
      </c>
      <c r="J148" s="68">
        <v>12.71</v>
      </c>
      <c r="K148" s="68">
        <v>12.78</v>
      </c>
      <c r="L148" s="68">
        <v>14.8</v>
      </c>
      <c r="M148" s="68">
        <v>14.96</v>
      </c>
      <c r="N148" s="68">
        <v>11.38</v>
      </c>
      <c r="O148" s="68">
        <v>9.69</v>
      </c>
      <c r="P148" s="68">
        <v>14.68</v>
      </c>
      <c r="Q148" s="68">
        <v>15.44</v>
      </c>
      <c r="R148" s="68">
        <v>14.12</v>
      </c>
      <c r="S148" s="68">
        <v>15.06</v>
      </c>
      <c r="T148" s="68">
        <v>15.72</v>
      </c>
      <c r="U148" s="68">
        <v>12.35</v>
      </c>
      <c r="V148" s="68">
        <v>10.16</v>
      </c>
      <c r="W148" s="68">
        <v>12.18</v>
      </c>
      <c r="X148" s="68">
        <v>14.39</v>
      </c>
    </row>
    <row r="149" spans="1:24" s="93" customFormat="1" ht="14.25" thickBot="1" x14ac:dyDescent="0.3">
      <c r="A149" s="225" t="s">
        <v>13</v>
      </c>
      <c r="B149" s="73">
        <v>7.33</v>
      </c>
      <c r="C149" s="73">
        <v>7.42</v>
      </c>
      <c r="D149" s="73">
        <v>7.3</v>
      </c>
      <c r="E149" s="73">
        <v>7.91</v>
      </c>
      <c r="F149" s="73">
        <v>8.4600000000000009</v>
      </c>
      <c r="G149" s="73">
        <v>9.91</v>
      </c>
      <c r="H149" s="73">
        <v>8.86</v>
      </c>
      <c r="I149" s="73">
        <v>9.57</v>
      </c>
      <c r="J149" s="73">
        <v>9.19</v>
      </c>
      <c r="K149" s="73">
        <v>8.6</v>
      </c>
      <c r="L149" s="73">
        <v>11.07</v>
      </c>
      <c r="M149" s="73">
        <v>11.06</v>
      </c>
      <c r="N149" s="73">
        <v>7.86</v>
      </c>
      <c r="O149" s="73">
        <v>7.32</v>
      </c>
      <c r="P149" s="73">
        <v>11.19</v>
      </c>
      <c r="Q149" s="73">
        <v>11.27</v>
      </c>
      <c r="R149" s="73">
        <v>10.130000000000001</v>
      </c>
      <c r="S149" s="73">
        <v>10.67</v>
      </c>
      <c r="T149" s="73">
        <v>12.78</v>
      </c>
      <c r="U149" s="73">
        <v>10.14</v>
      </c>
      <c r="V149" s="73">
        <v>8.01</v>
      </c>
      <c r="W149" s="73">
        <v>9.02</v>
      </c>
      <c r="X149" s="73">
        <v>11.43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23.9</v>
      </c>
      <c r="C152" s="68">
        <v>25.14</v>
      </c>
      <c r="D152" s="68">
        <v>25.64</v>
      </c>
      <c r="E152" s="68">
        <v>25.04</v>
      </c>
      <c r="F152" s="68">
        <v>26.46</v>
      </c>
    </row>
    <row r="153" spans="1:24" s="93" customFormat="1" ht="14.25" thickBot="1" x14ac:dyDescent="0.3">
      <c r="A153" s="225" t="s">
        <v>19</v>
      </c>
      <c r="B153" s="274">
        <v>10.97</v>
      </c>
      <c r="C153" s="274">
        <v>12.94</v>
      </c>
      <c r="D153" s="274">
        <v>13.65</v>
      </c>
      <c r="E153" s="274">
        <v>12.55</v>
      </c>
      <c r="F153" s="274">
        <v>14.02</v>
      </c>
    </row>
    <row r="154" spans="1:24" s="93" customFormat="1" ht="14.25" thickBot="1" x14ac:dyDescent="0.3">
      <c r="A154" s="224" t="s">
        <v>41</v>
      </c>
      <c r="B154" s="68">
        <v>10.16</v>
      </c>
      <c r="C154" s="68">
        <v>13.44</v>
      </c>
      <c r="D154" s="68">
        <v>13.85</v>
      </c>
      <c r="E154" s="68">
        <v>12.88</v>
      </c>
      <c r="F154" s="68">
        <v>14.33</v>
      </c>
    </row>
    <row r="155" spans="1:24" s="93" customFormat="1" ht="14.25" thickBot="1" x14ac:dyDescent="0.3">
      <c r="A155" s="225" t="s">
        <v>13</v>
      </c>
      <c r="B155" s="73">
        <v>7.49</v>
      </c>
      <c r="C155" s="73">
        <v>9.2100000000000009</v>
      </c>
      <c r="D155" s="73">
        <v>10.02</v>
      </c>
      <c r="E155" s="73">
        <v>9.4700000000000006</v>
      </c>
      <c r="F155" s="73">
        <v>10.95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1.86</v>
      </c>
      <c r="C158" s="68">
        <v>1.93</v>
      </c>
      <c r="D158" s="68">
        <v>1.89</v>
      </c>
      <c r="E158" s="68">
        <v>2.04</v>
      </c>
      <c r="F158" s="68">
        <v>2.14</v>
      </c>
      <c r="G158" s="68">
        <v>2.5099999999999998</v>
      </c>
      <c r="H158" s="68">
        <v>2.36</v>
      </c>
      <c r="I158" s="68">
        <v>2.4500000000000002</v>
      </c>
      <c r="J158" s="68">
        <v>2.2799999999999998</v>
      </c>
      <c r="K158" s="68">
        <v>2.1800000000000002</v>
      </c>
      <c r="L158" s="68">
        <v>2.9</v>
      </c>
      <c r="M158" s="68">
        <v>2.85</v>
      </c>
      <c r="N158" s="68">
        <v>1.67</v>
      </c>
      <c r="O158" s="68">
        <v>1.58</v>
      </c>
      <c r="P158" s="68">
        <v>2.42</v>
      </c>
      <c r="Q158" s="68">
        <v>2.71</v>
      </c>
      <c r="R158" s="68">
        <v>2.09</v>
      </c>
      <c r="S158" s="68">
        <v>2.46</v>
      </c>
      <c r="T158" s="68">
        <v>2.84</v>
      </c>
      <c r="U158" s="68">
        <v>2.19</v>
      </c>
      <c r="V158" s="68">
        <v>1.57</v>
      </c>
      <c r="W158" s="68">
        <v>2</v>
      </c>
      <c r="X158" s="68">
        <v>2.6</v>
      </c>
    </row>
    <row r="159" spans="1:24" s="93" customFormat="1" ht="14.25" thickBot="1" x14ac:dyDescent="0.3">
      <c r="A159" s="225" t="s">
        <v>45</v>
      </c>
      <c r="B159" s="73">
        <v>3.83</v>
      </c>
      <c r="C159" s="73">
        <v>3.99</v>
      </c>
      <c r="D159" s="73">
        <v>3.85</v>
      </c>
      <c r="E159" s="73">
        <v>4.1399999999999997</v>
      </c>
      <c r="F159" s="73">
        <v>4.3</v>
      </c>
      <c r="G159" s="73">
        <v>5.15</v>
      </c>
      <c r="H159" s="73">
        <v>4.7</v>
      </c>
      <c r="I159" s="73">
        <v>4.8899999999999997</v>
      </c>
      <c r="J159" s="73">
        <v>4.32</v>
      </c>
      <c r="K159" s="73">
        <v>4.09</v>
      </c>
      <c r="L159" s="73">
        <v>5.62</v>
      </c>
      <c r="M159" s="73">
        <v>5.43</v>
      </c>
      <c r="N159" s="73">
        <v>3.04</v>
      </c>
      <c r="O159" s="73">
        <v>2.94</v>
      </c>
      <c r="P159" s="73">
        <v>4.62</v>
      </c>
      <c r="Q159" s="73">
        <v>4.96</v>
      </c>
      <c r="R159" s="73">
        <v>3.75</v>
      </c>
      <c r="S159" s="73">
        <v>4.43</v>
      </c>
      <c r="T159" s="73">
        <v>5.35</v>
      </c>
      <c r="U159" s="73">
        <v>4.01</v>
      </c>
      <c r="V159" s="73">
        <v>2.83</v>
      </c>
      <c r="W159" s="73">
        <v>3.73</v>
      </c>
      <c r="X159" s="73">
        <v>4.9000000000000004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7.49</v>
      </c>
      <c r="C162" s="68">
        <v>9.2100000000000009</v>
      </c>
      <c r="D162" s="68">
        <v>10.02</v>
      </c>
      <c r="E162" s="68">
        <v>9.4700000000000006</v>
      </c>
      <c r="F162" s="68">
        <v>10.95</v>
      </c>
    </row>
    <row r="163" spans="1:72" s="93" customFormat="1" ht="14.25" thickBot="1" x14ac:dyDescent="0.3">
      <c r="A163" s="225" t="s">
        <v>18</v>
      </c>
      <c r="B163" s="274">
        <v>0.93</v>
      </c>
      <c r="C163" s="274">
        <v>0.92</v>
      </c>
      <c r="D163" s="274">
        <v>0.91</v>
      </c>
      <c r="E163" s="274">
        <v>0.84</v>
      </c>
      <c r="F163" s="274">
        <v>0.82</v>
      </c>
    </row>
    <row r="164" spans="1:72" s="93" customFormat="1" ht="14.25" thickBot="1" x14ac:dyDescent="0.3">
      <c r="A164" s="224" t="s">
        <v>15</v>
      </c>
      <c r="B164" s="68">
        <v>2.17</v>
      </c>
      <c r="C164" s="68">
        <v>2.1</v>
      </c>
      <c r="D164" s="68">
        <v>1.98</v>
      </c>
      <c r="E164" s="68">
        <v>1.91</v>
      </c>
      <c r="F164" s="68">
        <v>1.9</v>
      </c>
    </row>
    <row r="165" spans="1:72" s="93" customFormat="1" ht="14.25" thickBot="1" x14ac:dyDescent="0.3">
      <c r="A165" s="225" t="s">
        <v>45</v>
      </c>
      <c r="B165" s="73">
        <v>15.65</v>
      </c>
      <c r="C165" s="73">
        <v>18.829999999999998</v>
      </c>
      <c r="D165" s="73">
        <v>19.100000000000001</v>
      </c>
      <c r="E165" s="73">
        <v>15.23</v>
      </c>
      <c r="F165" s="73">
        <v>17.34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70.31</v>
      </c>
      <c r="C168" s="68">
        <v>68.180000000000007</v>
      </c>
      <c r="D168" s="68">
        <v>66.180000000000007</v>
      </c>
      <c r="E168" s="68">
        <v>63.38</v>
      </c>
      <c r="F168" s="68">
        <v>70.31</v>
      </c>
      <c r="G168" s="68">
        <v>71.430000000000007</v>
      </c>
      <c r="H168" s="68">
        <v>66.180000000000007</v>
      </c>
      <c r="I168" s="68">
        <v>64.290000000000006</v>
      </c>
      <c r="J168" s="68">
        <v>66.180000000000007</v>
      </c>
      <c r="K168" s="68">
        <v>65.22</v>
      </c>
      <c r="L168" s="68">
        <v>63.83</v>
      </c>
      <c r="M168" s="68">
        <v>66.180000000000007</v>
      </c>
      <c r="N168" s="68">
        <v>73.77</v>
      </c>
      <c r="O168" s="68">
        <v>66.67</v>
      </c>
      <c r="P168" s="68">
        <v>69.23</v>
      </c>
      <c r="Q168" s="68">
        <v>61.22</v>
      </c>
      <c r="R168" s="68">
        <v>70.87</v>
      </c>
      <c r="S168" s="68">
        <v>68.7</v>
      </c>
      <c r="T168" s="68">
        <v>71.430000000000007</v>
      </c>
      <c r="U168" s="68">
        <v>73.77</v>
      </c>
      <c r="V168" s="68">
        <v>79.650000000000006</v>
      </c>
      <c r="W168" s="68">
        <v>72</v>
      </c>
      <c r="X168" s="68">
        <v>78.95</v>
      </c>
    </row>
    <row r="169" spans="1:72" s="93" customFormat="1" ht="14.25" thickBot="1" x14ac:dyDescent="0.3">
      <c r="A169" s="225" t="s">
        <v>17</v>
      </c>
      <c r="B169" s="274">
        <v>75.63</v>
      </c>
      <c r="C169" s="274">
        <v>68.7</v>
      </c>
      <c r="D169" s="274">
        <v>72</v>
      </c>
      <c r="E169" s="274">
        <v>70.31</v>
      </c>
      <c r="F169" s="274">
        <v>73.17</v>
      </c>
      <c r="G169" s="274">
        <v>72.58</v>
      </c>
      <c r="H169" s="274">
        <v>66.180000000000007</v>
      </c>
      <c r="I169" s="274">
        <v>70.31</v>
      </c>
      <c r="J169" s="274">
        <v>72</v>
      </c>
      <c r="K169" s="274">
        <v>68.180000000000007</v>
      </c>
      <c r="L169" s="274">
        <v>64.75</v>
      </c>
      <c r="M169" s="274">
        <v>63.83</v>
      </c>
      <c r="N169" s="274">
        <v>70.87</v>
      </c>
      <c r="O169" s="274">
        <v>61.22</v>
      </c>
      <c r="P169" s="274">
        <v>63.83</v>
      </c>
      <c r="Q169" s="274">
        <v>61.22</v>
      </c>
      <c r="R169" s="274">
        <v>72.58</v>
      </c>
      <c r="S169" s="274">
        <v>62.5</v>
      </c>
      <c r="T169" s="274">
        <v>67.16</v>
      </c>
      <c r="U169" s="274">
        <v>72</v>
      </c>
      <c r="V169" s="274">
        <v>79.650000000000006</v>
      </c>
      <c r="W169" s="274">
        <v>69.77</v>
      </c>
      <c r="X169" s="274">
        <v>70.87</v>
      </c>
    </row>
    <row r="170" spans="1:72" s="93" customFormat="1" ht="14.25" thickBot="1" x14ac:dyDescent="0.3">
      <c r="A170" s="224" t="s">
        <v>42</v>
      </c>
      <c r="B170" s="72">
        <v>145.94</v>
      </c>
      <c r="C170" s="72">
        <v>136.88</v>
      </c>
      <c r="D170" s="72">
        <v>138.18</v>
      </c>
      <c r="E170" s="72">
        <v>133.69</v>
      </c>
      <c r="F170" s="72">
        <v>143.47999999999999</v>
      </c>
      <c r="G170" s="72">
        <v>144.01</v>
      </c>
      <c r="H170" s="72">
        <v>132.35</v>
      </c>
      <c r="I170" s="72">
        <v>134.6</v>
      </c>
      <c r="J170" s="72">
        <v>138.18</v>
      </c>
      <c r="K170" s="72">
        <v>133.4</v>
      </c>
      <c r="L170" s="72">
        <v>128.58000000000001</v>
      </c>
      <c r="M170" s="72">
        <v>130.01</v>
      </c>
      <c r="N170" s="72">
        <v>144.63999999999999</v>
      </c>
      <c r="O170" s="72">
        <v>127.89</v>
      </c>
      <c r="P170" s="72">
        <v>133.06</v>
      </c>
      <c r="Q170" s="72">
        <v>122.45</v>
      </c>
      <c r="R170" s="72">
        <v>143.44999999999999</v>
      </c>
      <c r="S170" s="72">
        <v>131.19999999999999</v>
      </c>
      <c r="T170" s="72">
        <v>138.59</v>
      </c>
      <c r="U170" s="72">
        <v>145.77000000000001</v>
      </c>
      <c r="V170" s="72">
        <v>159.29</v>
      </c>
      <c r="W170" s="72">
        <v>141.77000000000001</v>
      </c>
      <c r="X170" s="72">
        <v>149.81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243.03</v>
      </c>
      <c r="C173" s="72">
        <v>219.07</v>
      </c>
      <c r="D173" s="72">
        <v>149.77000000000001</v>
      </c>
      <c r="E173" s="72">
        <v>257.86</v>
      </c>
      <c r="F173" s="72">
        <v>95.65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8.7200000000000006</v>
      </c>
      <c r="C176" s="72">
        <v>9.6</v>
      </c>
      <c r="D176" s="72">
        <v>10.029999999999999</v>
      </c>
      <c r="E176" s="72">
        <v>10.46</v>
      </c>
      <c r="F176" s="72">
        <v>9.5500000000000007</v>
      </c>
      <c r="G176" s="72">
        <v>9.27</v>
      </c>
      <c r="H176" s="72">
        <v>9.8800000000000008</v>
      </c>
      <c r="I176" s="72">
        <v>9.76</v>
      </c>
      <c r="J176" s="72">
        <v>9.67</v>
      </c>
      <c r="K176" s="72">
        <v>9.58</v>
      </c>
      <c r="L176" s="72">
        <v>8.9499999999999993</v>
      </c>
      <c r="M176" s="72">
        <v>9.2799999999999994</v>
      </c>
      <c r="N176" s="72">
        <v>9.69</v>
      </c>
      <c r="O176" s="72">
        <v>9.83</v>
      </c>
      <c r="P176" s="72">
        <v>10</v>
      </c>
      <c r="Q176" s="72">
        <v>10.53</v>
      </c>
      <c r="R176" s="72">
        <v>10.78</v>
      </c>
      <c r="S176" s="72">
        <v>10.68</v>
      </c>
      <c r="T176" s="72">
        <v>13.59</v>
      </c>
      <c r="U176" s="72">
        <v>15.92</v>
      </c>
      <c r="V176" s="72">
        <v>16.54</v>
      </c>
      <c r="W176" s="72">
        <v>17.25</v>
      </c>
      <c r="X176" s="72">
        <v>16.86</v>
      </c>
      <c r="Y176" s="72">
        <v>15.2</v>
      </c>
      <c r="Z176" s="72">
        <v>14.69</v>
      </c>
      <c r="AA176" s="72">
        <v>15.25</v>
      </c>
      <c r="AB176" s="72">
        <v>14.39</v>
      </c>
      <c r="AC176" s="72">
        <v>14.12</v>
      </c>
      <c r="AD176" s="72">
        <v>13.21</v>
      </c>
      <c r="AE176" s="72">
        <v>12.57</v>
      </c>
      <c r="AF176" s="72">
        <v>12.01</v>
      </c>
      <c r="AG176" s="72">
        <v>12.33</v>
      </c>
      <c r="AH176" s="72">
        <v>12.24</v>
      </c>
      <c r="AI176" s="72">
        <v>11.29</v>
      </c>
      <c r="AJ176" s="72">
        <v>11.6</v>
      </c>
      <c r="AK176" s="72">
        <v>12.1</v>
      </c>
      <c r="AL176" s="72">
        <v>12.99</v>
      </c>
      <c r="AM176" s="72">
        <v>13.13</v>
      </c>
      <c r="AN176" s="72">
        <v>12.46</v>
      </c>
      <c r="AO176" s="72">
        <v>12.34</v>
      </c>
      <c r="AP176" s="72">
        <v>11.47</v>
      </c>
      <c r="AQ176" s="72">
        <v>10.18</v>
      </c>
      <c r="AR176" s="72">
        <v>10.09</v>
      </c>
      <c r="AS176" s="72">
        <v>9.17</v>
      </c>
      <c r="AT176" s="72">
        <v>9.35</v>
      </c>
      <c r="AU176" s="72">
        <v>9.9499999999999993</v>
      </c>
      <c r="AV176" s="72">
        <v>10.46</v>
      </c>
      <c r="AW176" s="72">
        <v>9.77</v>
      </c>
      <c r="AX176" s="72">
        <v>9.25</v>
      </c>
      <c r="AY176" s="72">
        <v>9.83</v>
      </c>
      <c r="AZ176" s="72">
        <v>11.9</v>
      </c>
      <c r="BA176" s="72">
        <v>13.17</v>
      </c>
      <c r="BB176" s="72">
        <v>11.97</v>
      </c>
      <c r="BC176" s="72">
        <v>12.23</v>
      </c>
      <c r="BD176" s="72">
        <v>12.06</v>
      </c>
      <c r="BE176" s="72">
        <v>11.21</v>
      </c>
      <c r="BF176" s="72">
        <v>10.73</v>
      </c>
      <c r="BG176" s="72">
        <v>11.15</v>
      </c>
      <c r="BH176" s="72">
        <v>10.77</v>
      </c>
      <c r="BI176" s="72">
        <v>10.45</v>
      </c>
      <c r="BJ176" s="72">
        <v>10.17</v>
      </c>
      <c r="BK176" s="72">
        <v>10.34</v>
      </c>
      <c r="BL176" s="72">
        <v>10.9</v>
      </c>
      <c r="BM176" s="72">
        <v>10.77</v>
      </c>
      <c r="BN176" s="72">
        <v>11.09</v>
      </c>
      <c r="BO176" s="72">
        <v>11.25</v>
      </c>
      <c r="BP176" s="72">
        <v>11.01</v>
      </c>
      <c r="BQ176" s="72">
        <v>11.44</v>
      </c>
      <c r="BR176" s="72">
        <v>11.71</v>
      </c>
      <c r="BS176" s="72">
        <v>11.66</v>
      </c>
      <c r="BT176" s="72">
        <v>12.38</v>
      </c>
    </row>
  </sheetData>
  <phoneticPr fontId="3" type="noConversion"/>
  <conditionalFormatting sqref="E4">
    <cfRule type="cellIs" dxfId="7346" priority="103" operator="greaterThan">
      <formula>0.2</formula>
    </cfRule>
    <cfRule type="cellIs" dxfId="7345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7344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7343" priority="97" operator="greaterThan">
      <formula>$B$19</formula>
    </cfRule>
  </conditionalFormatting>
  <conditionalFormatting sqref="D33:D34">
    <cfRule type="cellIs" dxfId="7342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7341" priority="91" operator="lessThan">
      <formula>$H$62</formula>
    </cfRule>
    <cfRule type="cellIs" dxfId="7340" priority="92" operator="greaterThan">
      <formula>$H$62</formula>
    </cfRule>
  </conditionalFormatting>
  <conditionalFormatting sqref="J62">
    <cfRule type="cellIs" dxfId="7339" priority="89" operator="lessThan">
      <formula>$K$62</formula>
    </cfRule>
    <cfRule type="cellIs" dxfId="7338" priority="90" operator="greaterThan">
      <formula>$K$62</formula>
    </cfRule>
  </conditionalFormatting>
  <conditionalFormatting sqref="M62">
    <cfRule type="cellIs" dxfId="7337" priority="87" operator="lessThan">
      <formula>$N$62</formula>
    </cfRule>
    <cfRule type="cellIs" dxfId="7336" priority="88" operator="greaterThan">
      <formula>$N$62</formula>
    </cfRule>
  </conditionalFormatting>
  <conditionalFormatting sqref="B44:E44">
    <cfRule type="cellIs" dxfId="7335" priority="85" operator="greaterThan">
      <formula>0</formula>
    </cfRule>
    <cfRule type="cellIs" dxfId="7334" priority="86" operator="lessThan">
      <formula>0</formula>
    </cfRule>
  </conditionalFormatting>
  <conditionalFormatting sqref="F72">
    <cfRule type="cellIs" dxfId="7333" priority="84" operator="lessThan">
      <formula>$E$72*90%</formula>
    </cfRule>
  </conditionalFormatting>
  <conditionalFormatting sqref="F73">
    <cfRule type="cellIs" dxfId="7332" priority="83" operator="lessThan">
      <formula>$E$73*90%</formula>
    </cfRule>
  </conditionalFormatting>
  <conditionalFormatting sqref="F74">
    <cfRule type="cellIs" dxfId="7331" priority="82" operator="lessThan">
      <formula>$E$74*90%</formula>
    </cfRule>
  </conditionalFormatting>
  <conditionalFormatting sqref="F75">
    <cfRule type="cellIs" dxfId="7330" priority="81" operator="lessThan">
      <formula>$E$75*90%</formula>
    </cfRule>
  </conditionalFormatting>
  <conditionalFormatting sqref="H44:K44">
    <cfRule type="cellIs" dxfId="7329" priority="79" operator="greaterThan">
      <formula>0</formula>
    </cfRule>
    <cfRule type="cellIs" dxfId="7328" priority="80" operator="lessThan">
      <formula>0</formula>
    </cfRule>
  </conditionalFormatting>
  <conditionalFormatting sqref="H51:K51">
    <cfRule type="cellIs" dxfId="7327" priority="77" operator="greaterThan">
      <formula>0</formula>
    </cfRule>
    <cfRule type="cellIs" dxfId="7326" priority="78" operator="lessThan">
      <formula>0</formula>
    </cfRule>
  </conditionalFormatting>
  <conditionalFormatting sqref="B51:E51">
    <cfRule type="cellIs" dxfId="7325" priority="75" operator="greaterThan">
      <formula>0</formula>
    </cfRule>
    <cfRule type="cellIs" dxfId="7324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7323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7322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7321" priority="58" operator="lessThan">
      <formula>0</formula>
    </cfRule>
  </conditionalFormatting>
  <conditionalFormatting sqref="A25 E25 C25">
    <cfRule type="cellIs" dxfId="7320" priority="59" operator="lessThan">
      <formula>0</formula>
    </cfRule>
  </conditionalFormatting>
  <conditionalFormatting sqref="F25">
    <cfRule type="cellIs" dxfId="7319" priority="57" operator="lessThan">
      <formula>0</formula>
    </cfRule>
  </conditionalFormatting>
  <conditionalFormatting sqref="E1">
    <cfRule type="containsText" dxfId="7318" priority="56" operator="containsText" text="本季業外損益/平均=-">
      <formula>NOT(ISERROR(SEARCH("本季業外損益/平均=-",E1)))</formula>
    </cfRule>
  </conditionalFormatting>
  <conditionalFormatting sqref="M65">
    <cfRule type="cellIs" dxfId="7317" priority="55" operator="lessThan">
      <formula>$L$65*90%</formula>
    </cfRule>
  </conditionalFormatting>
  <conditionalFormatting sqref="M66">
    <cfRule type="cellIs" dxfId="7316" priority="54" operator="lessThan">
      <formula>$L$66*90%</formula>
    </cfRule>
  </conditionalFormatting>
  <conditionalFormatting sqref="M67">
    <cfRule type="cellIs" dxfId="7315" priority="53" operator="lessThan">
      <formula>$L$67*90%</formula>
    </cfRule>
  </conditionalFormatting>
  <conditionalFormatting sqref="M68">
    <cfRule type="cellIs" dxfId="7314" priority="52" operator="lessThan">
      <formula>$L$68*90%</formula>
    </cfRule>
  </conditionalFormatting>
  <conditionalFormatting sqref="B60">
    <cfRule type="cellIs" dxfId="7313" priority="51" operator="lessThan">
      <formula>0</formula>
    </cfRule>
  </conditionalFormatting>
  <conditionalFormatting sqref="B59:F59">
    <cfRule type="cellIs" dxfId="7312" priority="50" operator="lessThanOrEqual">
      <formula>0</formula>
    </cfRule>
  </conditionalFormatting>
  <conditionalFormatting sqref="D62">
    <cfRule type="cellIs" dxfId="7311" priority="48" operator="lessThan">
      <formula>$E$62</formula>
    </cfRule>
    <cfRule type="cellIs" dxfId="7310" priority="49" operator="greaterThan">
      <formula>$E$62</formula>
    </cfRule>
  </conditionalFormatting>
  <conditionalFormatting sqref="F69">
    <cfRule type="cellIs" dxfId="7309" priority="46" operator="lessThan">
      <formula>0</formula>
    </cfRule>
  </conditionalFormatting>
  <conditionalFormatting sqref="B65:E67 B69:E69 B68:D68">
    <cfRule type="cellIs" dxfId="7308" priority="47" operator="lessThan">
      <formula>0</formula>
    </cfRule>
  </conditionalFormatting>
  <conditionalFormatting sqref="E68">
    <cfRule type="cellIs" dxfId="7307" priority="45" operator="lessThan">
      <formula>0</formula>
    </cfRule>
  </conditionalFormatting>
  <conditionalFormatting sqref="F65:F68">
    <cfRule type="cellIs" dxfId="7306" priority="44" operator="lessThan">
      <formula>0</formula>
    </cfRule>
  </conditionalFormatting>
  <conditionalFormatting sqref="F65:F68">
    <cfRule type="cellIs" dxfId="7305" priority="43" operator="lessThan">
      <formula>$E$65*0.9</formula>
    </cfRule>
  </conditionalFormatting>
  <conditionalFormatting sqref="F66">
    <cfRule type="cellIs" dxfId="7304" priority="42" operator="lessThan">
      <formula>$E$66*0.9</formula>
    </cfRule>
  </conditionalFormatting>
  <conditionalFormatting sqref="F67:F68">
    <cfRule type="cellIs" dxfId="7303" priority="41" operator="lessThan">
      <formula>$E$67*0.9</formula>
    </cfRule>
  </conditionalFormatting>
  <conditionalFormatting sqref="F68">
    <cfRule type="cellIs" dxfId="7302" priority="40" operator="lessThan">
      <formula>$E$68*0.9</formula>
    </cfRule>
  </conditionalFormatting>
  <conditionalFormatting sqref="B13:F13">
    <cfRule type="cellIs" dxfId="7301" priority="29" operator="greaterThan">
      <formula>$I$16</formula>
    </cfRule>
    <cfRule type="cellIs" dxfId="7300" priority="30" operator="lessThanOrEqual">
      <formula>$I$16</formula>
    </cfRule>
  </conditionalFormatting>
  <conditionalFormatting sqref="B10:F10">
    <cfRule type="cellIs" dxfId="7299" priority="31" operator="greaterThan">
      <formula>15</formula>
    </cfRule>
    <cfRule type="cellIs" dxfId="7298" priority="38" operator="lessThan">
      <formula>$I$9</formula>
    </cfRule>
    <cfRule type="cellIs" dxfId="7297" priority="39" operator="greaterThan">
      <formula>$I$9</formula>
    </cfRule>
  </conditionalFormatting>
  <conditionalFormatting sqref="B16:F16">
    <cfRule type="cellIs" dxfId="7296" priority="36" operator="greaterThan">
      <formula>$I$16</formula>
    </cfRule>
    <cfRule type="cellIs" dxfId="7295" priority="37" operator="lessThanOrEqual">
      <formula>$I$16</formula>
    </cfRule>
  </conditionalFormatting>
  <conditionalFormatting sqref="B15:F15">
    <cfRule type="cellIs" dxfId="7294" priority="34" operator="lessThanOrEqual">
      <formula>$I$16</formula>
    </cfRule>
    <cfRule type="cellIs" dxfId="7293" priority="35" operator="greaterThan">
      <formula>$I$16</formula>
    </cfRule>
  </conditionalFormatting>
  <conditionalFormatting sqref="B14:F14">
    <cfRule type="cellIs" dxfId="7292" priority="32" operator="greaterThan">
      <formula>$I$16</formula>
    </cfRule>
    <cfRule type="cellIs" dxfId="7291" priority="33" operator="lessThanOrEqual">
      <formula>$I$16</formula>
    </cfRule>
  </conditionalFormatting>
  <conditionalFormatting sqref="K6">
    <cfRule type="containsText" dxfId="7290" priority="27" operator="containsText" text="衰退">
      <formula>NOT(ISERROR(SEARCH("衰退",K6)))</formula>
    </cfRule>
    <cfRule type="containsText" dxfId="7289" priority="28" operator="containsText" text="成長">
      <formula>NOT(ISERROR(SEARCH("成長",K6)))</formula>
    </cfRule>
  </conditionalFormatting>
  <conditionalFormatting sqref="I4:K4">
    <cfRule type="cellIs" dxfId="7288" priority="25" operator="lessThan">
      <formula>0</formula>
    </cfRule>
    <cfRule type="cellIs" dxfId="7287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7286" priority="22" operator="lessThanOrEqual">
      <formula>$I$16</formula>
    </cfRule>
    <cfRule type="cellIs" dxfId="7285" priority="23" operator="greaterThan">
      <formula>$I$16</formula>
    </cfRule>
  </conditionalFormatting>
  <conditionalFormatting sqref="I6">
    <cfRule type="containsText" dxfId="7284" priority="20" operator="containsText" text="衰退">
      <formula>NOT(ISERROR(SEARCH("衰退",I6)))</formula>
    </cfRule>
    <cfRule type="containsText" dxfId="7283" priority="21" operator="containsText" text="成長">
      <formula>NOT(ISERROR(SEARCH("成長",I6)))</formula>
    </cfRule>
  </conditionalFormatting>
  <conditionalFormatting sqref="M9">
    <cfRule type="cellIs" dxfId="7282" priority="19" operator="lessThan">
      <formula>$I$9</formula>
    </cfRule>
  </conditionalFormatting>
  <conditionalFormatting sqref="M10">
    <cfRule type="cellIs" dxfId="7281" priority="18" operator="greaterThan">
      <formula>$I$9</formula>
    </cfRule>
  </conditionalFormatting>
  <conditionalFormatting sqref="M11">
    <cfRule type="cellIs" dxfId="7280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7279" priority="14" operator="lessThan">
      <formula>0</formula>
    </cfRule>
    <cfRule type="cellIs" dxfId="7278" priority="15" operator="greaterThan">
      <formula>0.5</formula>
    </cfRule>
  </conditionalFormatting>
  <conditionalFormatting sqref="N14">
    <cfRule type="cellIs" dxfId="7277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7276" priority="10" operator="lessThan">
      <formula>0.1</formula>
    </cfRule>
  </conditionalFormatting>
  <conditionalFormatting sqref="I14">
    <cfRule type="cellIs" dxfId="7275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7274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7273" priority="1" operator="lessThan">
      <formula>$N$5*0.9</formula>
    </cfRule>
    <cfRule type="cellIs" dxfId="7272" priority="2" operator="greaterThan">
      <formula>$N$5*1.1</formula>
    </cfRule>
  </conditionalFormatting>
  <hyperlinks>
    <hyperlink ref="L1" location="儀表板!A1" display="(回首頁)" xr:uid="{00000000-0004-0000-0600-000000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5.4 ~ 10.62</v>
      </c>
      <c r="L1" s="83" t="s">
        <v>176</v>
      </c>
      <c r="M1" s="84" t="str">
        <f ca="1">VLOOKUP(_xlfn.NUMBERVALUE(N1),儀表板!A:B,2,FALSE)</f>
        <v>永大機電</v>
      </c>
      <c r="N1" s="85" t="str">
        <f ca="1">MID(CELL("filename",L1),FIND("]",CELL("filename",L1))+1,255)</f>
        <v>1507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0.27488352063541605</v>
      </c>
    </row>
    <row r="3" spans="1:15" s="93" customFormat="1" x14ac:dyDescent="0.25">
      <c r="A3" s="81" t="s">
        <v>179</v>
      </c>
      <c r="B3" s="94">
        <f>SUM(F19:F22,F24:F27,J19)</f>
        <v>72.474971769113864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39.436194749310545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41.989185270019902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46.043934920558314</v>
      </c>
      <c r="L3" s="100"/>
      <c r="M3" s="79" t="s">
        <v>385</v>
      </c>
      <c r="N3" s="92">
        <f>(F69-E69)/E69</f>
        <v>-0.20126773774190457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41.1</v>
      </c>
      <c r="E4" s="82">
        <f>(D4-F4)/F4</f>
        <v>0</v>
      </c>
      <c r="F4" s="103">
        <v>41.1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3.0351825965807628</v>
      </c>
    </row>
    <row r="5" spans="1:15" s="93" customFormat="1" x14ac:dyDescent="0.25">
      <c r="A5" s="81" t="s">
        <v>184</v>
      </c>
      <c r="B5" s="107">
        <f>SUM(F30:F34)*2</f>
        <v>94.398443935926764</v>
      </c>
      <c r="C5" s="87"/>
      <c r="D5" s="87"/>
      <c r="E5" s="87"/>
      <c r="F5" s="86"/>
      <c r="G5" s="88"/>
      <c r="M5" s="79" t="s">
        <v>375</v>
      </c>
      <c r="N5" s="152">
        <f>D62</f>
        <v>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2.9053181093352807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23.64</v>
      </c>
      <c r="N9" s="129"/>
    </row>
    <row r="10" spans="1:15" s="93" customFormat="1" x14ac:dyDescent="0.25">
      <c r="A10" s="123" t="s">
        <v>194</v>
      </c>
      <c r="B10" s="126">
        <f>PERCENTILE(176:176,B9)</f>
        <v>10.77</v>
      </c>
      <c r="C10" s="126">
        <f>PERCENTILE(176:176,C9)</f>
        <v>13.129999999999999</v>
      </c>
      <c r="D10" s="126">
        <f>PERCENTILE(176:176,D9)</f>
        <v>13.98</v>
      </c>
      <c r="E10" s="126">
        <f>PERCENTILE(176:176,E9)</f>
        <v>15.33</v>
      </c>
      <c r="F10" s="126">
        <f>PERCENTILE(176:176,F9)</f>
        <v>16.93</v>
      </c>
      <c r="G10" s="95"/>
      <c r="H10" s="135"/>
      <c r="I10" s="135"/>
      <c r="J10" s="135"/>
      <c r="K10" s="135"/>
      <c r="L10" s="136" t="s">
        <v>374</v>
      </c>
      <c r="M10" s="130">
        <f>MIN(176:176)</f>
        <v>9.14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28.19</v>
      </c>
      <c r="L11" s="272" t="s">
        <v>193</v>
      </c>
      <c r="M11" s="128">
        <f>STDEV(176:176)</f>
        <v>3.5836852933384615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37.114845938375353</v>
      </c>
      <c r="C13" s="141">
        <f>$B$34/5.88%</f>
        <v>45.068027210884352</v>
      </c>
      <c r="D13" s="141">
        <f>$B$34/5%</f>
        <v>52.999999999999993</v>
      </c>
      <c r="E13" s="141">
        <f>$B$34/4.35%</f>
        <v>60.919540229885058</v>
      </c>
      <c r="F13" s="141">
        <f>$B$34/3.85%</f>
        <v>68.831168831168824</v>
      </c>
      <c r="G13" s="138" t="str">
        <f>"$"&amp;ROUND(B34,2)&amp;"/"&amp;IF(STDEV(C140:F140)/AVERAGE(C140:F140)&lt;15%,"高",IF(STDEV(C140:F140)/AVERAGE(C140:F140)&lt;30%,"中","低"))</f>
        <v>$2.65/高</v>
      </c>
      <c r="H13" s="142" t="s">
        <v>199</v>
      </c>
      <c r="I13" s="143">
        <f>MAX(0,1-J15)</f>
        <v>0.36842105263157898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47.064900000000002</v>
      </c>
      <c r="C14" s="141">
        <f>$B$33*C10</f>
        <v>57.378099999999996</v>
      </c>
      <c r="D14" s="141">
        <f>$B$33*D10</f>
        <v>61.092600000000004</v>
      </c>
      <c r="E14" s="141">
        <f>$B$33*E10</f>
        <v>66.992100000000008</v>
      </c>
      <c r="F14" s="141">
        <f>$B$33*F10</f>
        <v>73.984099999999998</v>
      </c>
      <c r="G14" s="138" t="str">
        <f>"$"&amp;ROUND(B33,2)&amp;"/"&amp;IF(STDEV(B69:E69)/AVERAGE(B69:E69)&lt;15%,"高",IF(STDEV(B69:E69)/AVERAGE(B69:E69)&lt;30%,"中","低"))</f>
        <v>$4.37/高</v>
      </c>
      <c r="H14" s="142" t="s">
        <v>203</v>
      </c>
      <c r="I14" s="145">
        <f>G62/100*I13</f>
        <v>3.9642105263157888E-2</v>
      </c>
      <c r="J14" s="76" t="s">
        <v>204</v>
      </c>
      <c r="K14" s="146"/>
      <c r="L14" s="147">
        <f>(HLOOKUP($C$1,$105:$106,2,FALSE)-HLOOKUP($C$1,$117:$127,9,FALSE))/(HLOOKUP($C$1,$117:$128,12,FALSE)/K11)</f>
        <v>3.7374381562194916</v>
      </c>
      <c r="M14" s="148">
        <f>E135/E69</f>
        <v>0.47368421052631576</v>
      </c>
      <c r="N14" s="149">
        <f>F173/100</f>
        <v>1.3440000000000001</v>
      </c>
    </row>
    <row r="15" spans="1:15" s="93" customFormat="1" x14ac:dyDescent="0.25">
      <c r="A15" s="140" t="s">
        <v>375</v>
      </c>
      <c r="B15" s="141">
        <f>$D$62*B10</f>
        <v>32.31</v>
      </c>
      <c r="C15" s="141">
        <f>$D$62*C10</f>
        <v>39.39</v>
      </c>
      <c r="D15" s="141">
        <f>$D$62*D10</f>
        <v>41.94</v>
      </c>
      <c r="E15" s="141">
        <f>$D$62*E10</f>
        <v>45.99</v>
      </c>
      <c r="F15" s="141">
        <f>$D$62*F10</f>
        <v>50.79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0.63157894736842102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32.688916565174814</v>
      </c>
      <c r="C16" s="141">
        <f>$F$69*C10</f>
        <v>39.851947493105413</v>
      </c>
      <c r="D16" s="141">
        <f>$F$69*D10</f>
        <v>42.431852700199066</v>
      </c>
      <c r="E16" s="141">
        <f>$F$69*E10</f>
        <v>46.529349205583095</v>
      </c>
      <c r="F16" s="141">
        <f>$F$69*F10</f>
        <v>51.385641360112317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838</v>
      </c>
      <c r="J17" s="92">
        <f ca="1">IF(I17&lt;=0,"",IF(I17&lt;=MIN($B$13:$F$16),(I17-MIN($B$13:$F$16))/MIN($B$13:$F$16),IF(I17&gt;=MAX($B$13:$F$16),I17/MAX($B$13:$F$16),PERCENTRANK($B$13:$F$16,I17))))</f>
        <v>11.326758046661377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3.2575000000000003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10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1.229245283018868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0.42936472077381677</v>
      </c>
      <c r="J20" s="171">
        <f>HLOOKUP($C$1,$117:$127,11,FALSE)/HLOOKUP($C$1,$105:$115,11,FALSE)</f>
        <v>0.51439212096949682</v>
      </c>
      <c r="K20" s="163"/>
    </row>
    <row r="21" spans="1:14" s="93" customFormat="1" x14ac:dyDescent="0.25">
      <c r="A21" s="151" t="s">
        <v>201</v>
      </c>
      <c r="B21" s="161">
        <f>AVERAGE(C173:F173)/100</f>
        <v>1.1512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1.3584851245138205</v>
      </c>
      <c r="J21" s="78"/>
      <c r="K21" s="164" t="s">
        <v>356</v>
      </c>
      <c r="L21" s="165">
        <f>HLOOKUP($C$1,$105:$115,7,FALSE)/HLOOKUP($C$1,$105:$115,11,FALSE)</f>
        <v>0.64572165753326816</v>
      </c>
      <c r="M21" s="123" t="s">
        <v>268</v>
      </c>
      <c r="N21" s="165">
        <f>HLOOKUP($C$1,$117:$127,8,FALSE)/HLOOKUP($C$1,$117:$127,11,FALSE)</f>
        <v>0.92405146067241561</v>
      </c>
    </row>
    <row r="22" spans="1:14" s="93" customFormat="1" x14ac:dyDescent="0.25">
      <c r="A22" s="140" t="s">
        <v>222</v>
      </c>
      <c r="B22" s="161">
        <f>(-1)*SUM(C133:F133)/SUM(C132:F132)</f>
        <v>0.35477486392874813</v>
      </c>
      <c r="C22" s="157"/>
      <c r="D22" s="166"/>
      <c r="E22" s="140"/>
      <c r="F22" s="159">
        <f>IF(B22&lt;=0,10,IF(B22&gt;=100%,0,(1-B22)*10))</f>
        <v>6.4522513607125189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0.77562018396491728</v>
      </c>
      <c r="J22" s="78"/>
      <c r="K22" s="142" t="s">
        <v>357</v>
      </c>
      <c r="L22" s="165">
        <f>HLOOKUP($C$1,$105:$115,4,FALSE)/HLOOKUP($C$1,$105:$115,11,FALSE)</f>
        <v>0.16057104366589536</v>
      </c>
      <c r="M22" s="123" t="s">
        <v>353</v>
      </c>
      <c r="N22" s="165">
        <f>HLOOKUP($C$1,$117:$127,4,FALSE)/HLOOKUP($C$1,$117:$127,11,FALSE)</f>
        <v>0.16529685570499275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2.0592746600332354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0.27705015589623305</v>
      </c>
      <c r="M23" s="123" t="s">
        <v>354</v>
      </c>
      <c r="N23" s="165">
        <f>IF(HLOOKUP($C$1,$117:$127,5,FALSE)="無",0,HLOOKUP($C$1,$117:$127,5,FALSE))/HLOOKUP($C$1,$117:$127,11,FALSE)</f>
        <v>0.65413973977090123</v>
      </c>
    </row>
    <row r="24" spans="1:14" s="93" customFormat="1" x14ac:dyDescent="0.25">
      <c r="A24" s="164" t="s">
        <v>228</v>
      </c>
      <c r="B24" s="127">
        <f>AVERAGE(C103:F103)</f>
        <v>0.98511808634931386</v>
      </c>
      <c r="C24" s="169">
        <f>STDEV(C103:F103)</f>
        <v>3.9648829314027694E-3</v>
      </c>
      <c r="D24" s="76" t="str">
        <f>IF(C24/B24&lt;15%,"高",IF(C24/B24&lt;30%,"中","低"))</f>
        <v>高</v>
      </c>
      <c r="E24" s="149"/>
      <c r="F24" s="160">
        <f>MIN(100%,B24)*5</f>
        <v>4.9255904317465689</v>
      </c>
      <c r="G24" s="88" t="s">
        <v>229</v>
      </c>
      <c r="H24" s="123" t="s">
        <v>16</v>
      </c>
      <c r="I24" s="170">
        <f>HLOOKUP(C1,167:170,2,FALSE)</f>
        <v>83.33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9.1653737605958768E-2</v>
      </c>
      <c r="M24" s="123" t="s">
        <v>355</v>
      </c>
      <c r="N24" s="165">
        <f>HLOOKUP($C$1,$117:$127,9,FALSE)/HLOOKUP($C$1,$117:$127,11,FALSE)</f>
        <v>7.594853932758433E-2</v>
      </c>
    </row>
    <row r="25" spans="1:14" s="93" customFormat="1" x14ac:dyDescent="0.25">
      <c r="A25" s="151" t="s">
        <v>366</v>
      </c>
      <c r="B25" s="255">
        <f>AVERAGE(94:94)</f>
        <v>30674.434782608696</v>
      </c>
      <c r="C25" s="254">
        <f>STDEV(94:94)/AVERAGE(94:94)</f>
        <v>0.90287002334521971</v>
      </c>
      <c r="D25" s="76" t="str">
        <f>IF(C25&lt;=1,"高",IF(C25&lt;=2,"中","低"))</f>
        <v>高</v>
      </c>
      <c r="E25" s="149"/>
      <c r="F25" s="160">
        <f>MAX(0,10-ABS(C25))</f>
        <v>9.0971299766547808</v>
      </c>
      <c r="G25" s="88" t="s">
        <v>213</v>
      </c>
      <c r="H25" s="123" t="s">
        <v>232</v>
      </c>
      <c r="I25" s="170">
        <f>IF(HLOOKUP(C1,167:170,3,FALSE)="無",0,HLOOKUP(C1,167:170,3,FALSE))</f>
        <v>191.49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84.331739130434769</v>
      </c>
      <c r="C26" s="172">
        <f>IF(COUNTIF(168:168,"&gt;0")=0,0,STDEV(168:168))</f>
        <v>15.974848883102011</v>
      </c>
      <c r="D26" s="76" t="str">
        <f>IF(C26&lt;=15,"高",IF(C26&lt;=30,"中","低"))</f>
        <v>中</v>
      </c>
      <c r="E26" s="149"/>
      <c r="F26" s="160">
        <f>IF(I24&lt;=60,4,IF(I24&lt;=90,3,IF(I24&lt;=120,2,IF(I24&lt;=150,1,0))))+IF(D26="高",6,IF(D26="中",4,2))</f>
        <v>7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195.74956521739134</v>
      </c>
      <c r="C27" s="172">
        <f>IF(COUNTIF(169:169,"&gt;0")=0,0,STDEV(169:169))</f>
        <v>56.542571289110668</v>
      </c>
      <c r="D27" s="76" t="str">
        <f>IF(C27&lt;=15,"高",IF(C27&lt;=30,"中","低"))</f>
        <v>低</v>
      </c>
      <c r="E27" s="149"/>
      <c r="F27" s="160">
        <f>IF(I25&lt;=60,4,IF(I25&lt;=90,3,IF(I25&lt;=120,2,IF(I25&lt;=150,1,0))))+IF(D27="高",6,IF(D27="中",4,2))</f>
        <v>2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0.26784999999999998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8.3799999999999986E-2</v>
      </c>
      <c r="C31" s="157" t="s">
        <v>217</v>
      </c>
      <c r="D31" s="174">
        <f>COUNTIF(149:149,"&gt;8")/COUNT(149:149)</f>
        <v>0.60869565217391308</v>
      </c>
      <c r="E31" s="140" t="s">
        <v>241</v>
      </c>
      <c r="F31" s="159">
        <f>MIN(B31/10%*10,10)</f>
        <v>8.379999999999999</v>
      </c>
      <c r="G31" s="175"/>
    </row>
    <row r="32" spans="1:14" x14ac:dyDescent="0.25">
      <c r="A32" s="155" t="s">
        <v>47</v>
      </c>
      <c r="B32" s="177">
        <f>AVERAGE(C165:F165)</f>
        <v>15.734999999999999</v>
      </c>
      <c r="C32" s="157" t="s">
        <v>217</v>
      </c>
      <c r="D32" s="174">
        <f>COUNTIF(159:159,"&gt;3")/COUNT(159:159)</f>
        <v>0.82608695652173914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4.37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2.65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8.8192219679633865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21617628.75</v>
      </c>
      <c r="C36" s="178">
        <f>STDEV(C97:F97)</f>
        <v>2186270.5780394422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26.785</v>
      </c>
      <c r="C37" s="180">
        <f>STDEV(C152:F152)</f>
        <v>1.4723337483962886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10.675000000000001</v>
      </c>
      <c r="C38" s="180">
        <f>STDEV(C153:F153)</f>
        <v>0.51571956203606117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15.734999999999999</v>
      </c>
      <c r="C39" s="181">
        <f>STDEV(C165:F165)</f>
        <v>2.173560826539422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4.37</v>
      </c>
      <c r="C40" s="183">
        <f>STDEV(B69:E69)</f>
        <v>0.48846698967279212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-0.41818181818181821</v>
      </c>
      <c r="C44" s="186">
        <f>(C46-C49)/C49</f>
        <v>-9.890109890109898E-2</v>
      </c>
      <c r="D44" s="186">
        <f>(D46-D49)/D49</f>
        <v>-0.21367521367521358</v>
      </c>
      <c r="E44" s="186">
        <f>(E46-E49)/E49</f>
        <v>-0.31868131868131871</v>
      </c>
      <c r="G44" s="86" t="s">
        <v>175</v>
      </c>
      <c r="H44" s="186">
        <f>(H47-H50)/H50</f>
        <v>-0.20505617977528082</v>
      </c>
      <c r="I44" s="186">
        <f>(I47-I50)/I50</f>
        <v>-0.14119601328903655</v>
      </c>
      <c r="J44" s="186">
        <f>(J47-J50)/J50</f>
        <v>2.5402201524131643E-3</v>
      </c>
      <c r="K44" s="186">
        <f>(K47-K50)/K50</f>
        <v>0.16903225806451613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0.64</v>
      </c>
      <c r="C46" s="152">
        <f>HLOOKUP(C45,$81:$82,2,FALSE)</f>
        <v>0.82</v>
      </c>
      <c r="D46" s="152">
        <f>HLOOKUP(D45,$81:$82,2,FALSE)</f>
        <v>0.92</v>
      </c>
      <c r="E46" s="152">
        <f>HLOOKUP(E45,$81:$82,2,FALSE)</f>
        <v>0.62</v>
      </c>
      <c r="G46" s="86" t="s">
        <v>164</v>
      </c>
      <c r="H46" s="145">
        <f>HLOOKUP(H45,$145:$147,2,FALSE)/100</f>
        <v>0.25819999999999999</v>
      </c>
      <c r="I46" s="145">
        <f>HLOOKUP(I45,$145:$147,2,FALSE)/100</f>
        <v>0.27160000000000001</v>
      </c>
      <c r="J46" s="145">
        <f>HLOOKUP(J45,$145:$147,2,FALSE)/100</f>
        <v>0.29320000000000002</v>
      </c>
      <c r="K46" s="145">
        <f>HLOOKUP(K45,$145:$147,2,FALSE)/100</f>
        <v>0.28399999999999997</v>
      </c>
    </row>
    <row r="47" spans="1:14" x14ac:dyDescent="0.25">
      <c r="A47" s="188" t="s">
        <v>165</v>
      </c>
      <c r="B47" s="189">
        <f>HLOOKUP(B45,$157:$159,3,FALSE)</f>
        <v>2.38</v>
      </c>
      <c r="C47" s="189">
        <f>HLOOKUP(C45,$157:$159,3,FALSE)</f>
        <v>2.98</v>
      </c>
      <c r="D47" s="189">
        <f>HLOOKUP(D45,$157:$159,3,FALSE)</f>
        <v>3.19</v>
      </c>
      <c r="E47" s="189">
        <f>HLOOKUP(E45,$157:$159,3,FALSE)</f>
        <v>2.21</v>
      </c>
      <c r="G47" s="190" t="s">
        <v>166</v>
      </c>
      <c r="H47" s="145">
        <f>HLOOKUP(H45,$145:$147,3,FALSE)/100</f>
        <v>8.4900000000000003E-2</v>
      </c>
      <c r="I47" s="145">
        <f>HLOOKUP(I45,$145:$147,3,FALSE)/100</f>
        <v>0.10339999999999999</v>
      </c>
      <c r="J47" s="145">
        <f>HLOOKUP(J45,$145:$147,3,FALSE)/100</f>
        <v>0.11840000000000001</v>
      </c>
      <c r="K47" s="145">
        <f>HLOOKUP(K45,$145:$147,3,FALSE)/100</f>
        <v>9.06E-2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1.1000000000000001</v>
      </c>
      <c r="C49" s="152">
        <f>HLOOKUP(C48,$81:$82,2,FALSE)</f>
        <v>0.91</v>
      </c>
      <c r="D49" s="152">
        <f>HLOOKUP(D48,$81:$82,2,FALSE)</f>
        <v>1.17</v>
      </c>
      <c r="E49" s="152">
        <f>HLOOKUP(E48,$81:$82,2,FALSE)</f>
        <v>0.91</v>
      </c>
      <c r="G49" s="86" t="s">
        <v>164</v>
      </c>
      <c r="H49" s="145">
        <f>HLOOKUP(H48,$145:$147,2,FALSE)/100</f>
        <v>0.29100000000000004</v>
      </c>
      <c r="I49" s="145">
        <f>HLOOKUP(I48,$145:$147,2,FALSE)/100</f>
        <v>0.30309999999999998</v>
      </c>
      <c r="J49" s="145">
        <f>HLOOKUP(J48,$145:$147,2,FALSE)/100</f>
        <v>0.2757</v>
      </c>
      <c r="K49" s="145">
        <f>HLOOKUP(K48,$145:$147,2,FALSE)/100</f>
        <v>0.26579999999999998</v>
      </c>
    </row>
    <row r="50" spans="1:15" x14ac:dyDescent="0.25">
      <c r="A50" s="188" t="s">
        <v>165</v>
      </c>
      <c r="B50" s="189">
        <f>HLOOKUP(B48,$157:$159,3,FALSE)</f>
        <v>3.91</v>
      </c>
      <c r="C50" s="189">
        <f>HLOOKUP(C48,$157:$159,3,FALSE)</f>
        <v>3.13</v>
      </c>
      <c r="D50" s="189">
        <f>HLOOKUP(D48,$157:$159,3,FALSE)</f>
        <v>3.95</v>
      </c>
      <c r="E50" s="189">
        <f>HLOOKUP(E48,$157:$159,3,FALSE)</f>
        <v>3.06</v>
      </c>
      <c r="G50" s="190" t="s">
        <v>166</v>
      </c>
      <c r="H50" s="145">
        <f>HLOOKUP(H48,$145:$147,3,FALSE)/100</f>
        <v>0.10679999999999999</v>
      </c>
      <c r="I50" s="145">
        <f>HLOOKUP(I48,$145:$147,3,FALSE)/100</f>
        <v>0.12039999999999999</v>
      </c>
      <c r="J50" s="145">
        <f>HLOOKUP(J48,$145:$147,3,FALSE)/100</f>
        <v>0.11810000000000001</v>
      </c>
      <c r="K50" s="145">
        <f>HLOOKUP(K48,$145:$147,3,FALSE)/100</f>
        <v>7.7499999999999999E-2</v>
      </c>
    </row>
    <row r="51" spans="1:15" x14ac:dyDescent="0.25">
      <c r="A51" s="86" t="s">
        <v>351</v>
      </c>
      <c r="B51" s="186">
        <f>(B47-B50)/B50</f>
        <v>-0.39130434782608703</v>
      </c>
      <c r="C51" s="186">
        <f>(C47-C50)/C50</f>
        <v>-4.7923322683706041E-2</v>
      </c>
      <c r="D51" s="186">
        <f>(D47-D50)/D50</f>
        <v>-0.19240506329113929</v>
      </c>
      <c r="E51" s="186">
        <f>(E47-E50)/E50</f>
        <v>-0.27777777777777779</v>
      </c>
      <c r="G51" s="235" t="s">
        <v>174</v>
      </c>
      <c r="H51" s="186">
        <f>(H46-H49)/H49</f>
        <v>-0.11271477663230257</v>
      </c>
      <c r="I51" s="186">
        <f>(I46-I49)/I49</f>
        <v>-0.10392609699769045</v>
      </c>
      <c r="J51" s="186">
        <f>(J46-J49)/J49</f>
        <v>6.3474791439971034E-2</v>
      </c>
      <c r="K51" s="186">
        <f>(K46-K49)/K49</f>
        <v>6.8472535741158747E-2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2.9053181093352807</v>
      </c>
      <c r="B53" s="193">
        <f>B46</f>
        <v>0.64</v>
      </c>
      <c r="C53" s="193">
        <f>E46/HLOOKUP(E45,$87:$94,5,FALSE)*HLOOKUP(E45,$87:$94,4,FALSE)*($B$25/HLOOKUP(E45,$87:$94,4,FALSE)+SUM($B$57:$D$57)/SUM($B58:$D$58)*$G$69/100/K46)</f>
        <v>0.65518259658076283</v>
      </c>
      <c r="D53" s="193">
        <f>D46/HLOOKUP(D45,$87:$94,5,FALSE)*HLOOKUP(D45,$87:$94,4,FALSE)*($B$25/HLOOKUP(D45,$87:$94,4,FALSE)+SUM($B$57:$D$57)/SUM($B58:$D$58)*$G$69/100/J46)</f>
        <v>0.85393809686792788</v>
      </c>
      <c r="E53" s="193">
        <f>C46/HLOOKUP(C45,$87:$94,5,FALSE)*HLOOKUP(C45,$87:$94,4,FALSE)*($B$25/HLOOKUP(C45,$87:$94,4,FALSE)+SUM($B$57:$D$57)/SUM($B58:$D$58)*$G$69/100/I46)</f>
        <v>0.75619741588658984</v>
      </c>
    </row>
    <row r="54" spans="1:15" x14ac:dyDescent="0.25">
      <c r="A54" s="278">
        <f>SUM(B54:E54)</f>
        <v>3.46</v>
      </c>
      <c r="B54" s="277">
        <f t="shared" ref="B54:D54" si="0">HLOOKUP(B52-10,81:82,2,FALSE)</f>
        <v>1.1000000000000001</v>
      </c>
      <c r="C54" s="277">
        <f t="shared" si="0"/>
        <v>0.62</v>
      </c>
      <c r="D54" s="277">
        <f t="shared" si="0"/>
        <v>0.92</v>
      </c>
      <c r="E54" s="277">
        <f>HLOOKUP(E52-10,81:82,2,FALSE)</f>
        <v>0.82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1240794</v>
      </c>
      <c r="C57" s="196">
        <f>HLOOKUP(C56,78:79,2,FALSE)</f>
        <v>1339893</v>
      </c>
      <c r="D57" s="196">
        <f>HLOOKUP(D56,78:79,2,FALSE)</f>
        <v>1552070</v>
      </c>
      <c r="E57" s="196">
        <f>HLOOKUP(E56,78:79,2,FALSE)</f>
        <v>1378461</v>
      </c>
      <c r="F57" s="196">
        <f>HLOOKUP(F56,78:79,2,FALSE)</f>
        <v>1551020</v>
      </c>
      <c r="G57" s="196">
        <f t="shared" ref="G57:M57" si="2">HLOOKUP(G56,78:79,2,FALSE)</f>
        <v>1635033</v>
      </c>
      <c r="H57" s="196">
        <f t="shared" si="2"/>
        <v>1453867</v>
      </c>
      <c r="I57" s="196">
        <f t="shared" si="2"/>
        <v>1304168</v>
      </c>
      <c r="J57" s="196">
        <f t="shared" si="2"/>
        <v>1429428</v>
      </c>
      <c r="K57" s="196">
        <f t="shared" si="2"/>
        <v>1416536</v>
      </c>
      <c r="L57" s="196">
        <f t="shared" si="2"/>
        <v>1788930</v>
      </c>
      <c r="M57" s="196">
        <f t="shared" si="2"/>
        <v>1564130</v>
      </c>
      <c r="N57" s="197"/>
    </row>
    <row r="58" spans="1:15" x14ac:dyDescent="0.25">
      <c r="A58" s="198" t="s">
        <v>253</v>
      </c>
      <c r="B58" s="196">
        <f>HLOOKUP(B56-100,78:79,2,FALSE)</f>
        <v>1450943</v>
      </c>
      <c r="C58" s="196">
        <f>HLOOKUP(C56-100,78:79,2,FALSE)</f>
        <v>1471991</v>
      </c>
      <c r="D58" s="196">
        <f>HLOOKUP(D56-100,78:79,2,FALSE)</f>
        <v>1581236</v>
      </c>
      <c r="E58" s="196">
        <f>HLOOKUP(E56-100,78:79,2,FALSE)</f>
        <v>1611280</v>
      </c>
      <c r="F58" s="196">
        <f>HLOOKUP(F56-100,78:79,2,FALSE)</f>
        <v>1564801</v>
      </c>
      <c r="G58" s="196">
        <f t="shared" ref="G58:M58" si="3">HLOOKUP(G56-100,78:79,2,FALSE)</f>
        <v>1685019</v>
      </c>
      <c r="H58" s="196">
        <f t="shared" si="3"/>
        <v>1762182</v>
      </c>
      <c r="I58" s="196">
        <f t="shared" si="3"/>
        <v>1790701</v>
      </c>
      <c r="J58" s="196">
        <f t="shared" si="3"/>
        <v>1442847</v>
      </c>
      <c r="K58" s="196">
        <f t="shared" si="3"/>
        <v>1843760</v>
      </c>
      <c r="L58" s="196">
        <f t="shared" si="3"/>
        <v>1704936</v>
      </c>
      <c r="M58" s="196">
        <f t="shared" si="3"/>
        <v>1906937</v>
      </c>
      <c r="N58" s="197"/>
    </row>
    <row r="59" spans="1:15" x14ac:dyDescent="0.25">
      <c r="A59" s="199" t="s">
        <v>254</v>
      </c>
      <c r="B59" s="165">
        <f>IF(B57&lt;&gt;"",(B57-B58)/B58,"")</f>
        <v>-0.14483615138568504</v>
      </c>
      <c r="C59" s="165">
        <f>IF(C57&lt;&gt;"",(C57-C58)/C58,"")</f>
        <v>-8.9741037818845362E-2</v>
      </c>
      <c r="D59" s="165">
        <f>IF(D57&lt;&gt;"",(D57-D58)/D58,"")</f>
        <v>-1.8445064493851644E-2</v>
      </c>
      <c r="E59" s="165">
        <f>IF(E57&lt;&gt;"",(E57-E58)/E58,"")</f>
        <v>-0.14449319795442134</v>
      </c>
      <c r="F59" s="165">
        <f>IF(F57&lt;&gt;"",(F57-F58)/F58,"")</f>
        <v>-8.8068706500059758E-3</v>
      </c>
      <c r="G59" s="165">
        <f t="shared" ref="G59:M59" si="4">IF(G57&lt;&gt;"",(G57-G58)/G58,"")</f>
        <v>-2.966494739821925E-2</v>
      </c>
      <c r="H59" s="165">
        <f t="shared" si="4"/>
        <v>-0.1749620640773768</v>
      </c>
      <c r="I59" s="165">
        <f t="shared" si="4"/>
        <v>-0.27169974216801129</v>
      </c>
      <c r="J59" s="165">
        <f t="shared" si="4"/>
        <v>-9.3003624084882185E-3</v>
      </c>
      <c r="K59" s="165">
        <f t="shared" si="4"/>
        <v>-0.23171345511346378</v>
      </c>
      <c r="L59" s="165">
        <f t="shared" si="4"/>
        <v>4.9265192359126679E-2</v>
      </c>
      <c r="M59" s="165">
        <f t="shared" si="4"/>
        <v>-0.17976839297784877</v>
      </c>
    </row>
    <row r="60" spans="1:15" x14ac:dyDescent="0.25">
      <c r="A60" s="195" t="s">
        <v>255</v>
      </c>
      <c r="B60" s="196">
        <f>SUM(B57:M57)</f>
        <v>17654330</v>
      </c>
    </row>
    <row r="61" spans="1:15" x14ac:dyDescent="0.25">
      <c r="A61" s="198" t="s">
        <v>256</v>
      </c>
      <c r="B61" s="196">
        <f>SUM(B58:M58)</f>
        <v>19816633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0.89088444035876324</v>
      </c>
      <c r="D62" s="152">
        <f>SUM(B46:E46)</f>
        <v>3</v>
      </c>
      <c r="E62" s="152">
        <f>SUM(B49:E49)</f>
        <v>4.09</v>
      </c>
      <c r="G62" s="126">
        <f>SUM(B47:E47)</f>
        <v>10.759999999999998</v>
      </c>
      <c r="H62" s="126">
        <f>SUM(B50:E50)</f>
        <v>14.05</v>
      </c>
      <c r="J62" s="200">
        <f>AVERAGE(H46:K46)</f>
        <v>0.27675</v>
      </c>
      <c r="K62" s="200">
        <f>AVERAGE(H49:K49)</f>
        <v>0.28390000000000004</v>
      </c>
      <c r="M62" s="200">
        <f>AVERAGE(H47:K47)</f>
        <v>9.9324999999999997E-2</v>
      </c>
      <c r="N62" s="200">
        <f>AVERAGE(H50:K50)</f>
        <v>0.1057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0.83</v>
      </c>
      <c r="C65" s="205">
        <f t="shared" si="5"/>
        <v>1.07</v>
      </c>
      <c r="D65" s="205">
        <f t="shared" si="5"/>
        <v>1.21</v>
      </c>
      <c r="E65" s="205">
        <f t="shared" si="5"/>
        <v>1.17</v>
      </c>
      <c r="F65" s="206">
        <f>IF(ISNA(HLOOKUP(F$64*10+$A65,$81:$82,2,FALSE)),(HLOOKUP(E$64*10+$A65,$87:$94,4,FALSE)*$G65+$B$25)/HLOOKUP(E$64*10+$A65,$87:$94,5,FALSE)*$E65,HLOOKUP(F$64*10+$A65,$81:$82,2,FALSE))</f>
        <v>0.92</v>
      </c>
      <c r="G65" s="101">
        <f>MIN(130%,SUM($B$57:$D$57)/SUM($B$58:$D$58)*$G$69/HLOOKUP(E$64*10+$A65,$145:$146,2,FALSE))</f>
        <v>0.94621168641020104</v>
      </c>
      <c r="H65" s="204">
        <v>1</v>
      </c>
      <c r="I65" s="208">
        <f t="shared" ref="I65:M68" si="6">IF(ISNA(HLOOKUP(I$64*10+$H65,$145:$147,3,FALSE)),"",HLOOKUP(I$64*10+$H65,$145:$147,3,FALSE)/100)</f>
        <v>0.10619999999999999</v>
      </c>
      <c r="J65" s="208">
        <f t="shared" si="6"/>
        <v>0.1082</v>
      </c>
      <c r="K65" s="208">
        <f t="shared" si="6"/>
        <v>0.1125</v>
      </c>
      <c r="L65" s="208">
        <f t="shared" si="6"/>
        <v>0.11810000000000001</v>
      </c>
      <c r="M65" s="209">
        <f t="shared" si="6"/>
        <v>0.11840000000000001</v>
      </c>
      <c r="N65" s="256">
        <f t="shared" ref="N65:O68" si="7">HLOOKUP(E$64*10+$A65,$87:$94,8,FALSE)</f>
        <v>29008</v>
      </c>
      <c r="O65" s="256">
        <f t="shared" si="7"/>
        <v>12684</v>
      </c>
      <c r="P65" s="210"/>
    </row>
    <row r="66" spans="1:71" x14ac:dyDescent="0.25">
      <c r="A66" s="204">
        <v>2</v>
      </c>
      <c r="B66" s="205">
        <f t="shared" si="5"/>
        <v>0.77</v>
      </c>
      <c r="C66" s="205">
        <f t="shared" si="5"/>
        <v>1.1000000000000001</v>
      </c>
      <c r="D66" s="205">
        <f t="shared" si="5"/>
        <v>1.1000000000000001</v>
      </c>
      <c r="E66" s="205">
        <f t="shared" si="5"/>
        <v>0.91</v>
      </c>
      <c r="F66" s="206">
        <f>IF(ISNA(HLOOKUP(F$64*10+$A66,$81:$82,2,FALSE)),(HLOOKUP(E$64*10+$A66,$87:$94,4,FALSE)*$G66+$B$25)/HLOOKUP(E$64*10+$A66,$87:$94,5,FALSE)*$E66,HLOOKUP(F$64*10+$A66,$81:$82,2,FALSE))</f>
        <v>0.82</v>
      </c>
      <c r="G66" s="101">
        <f>MIN(130%,SUM($B$57:$D$57)/SUM($B$58:$D$58)*$G$69/HLOOKUP(E$64*10+$A66,$145:$146,2,FALSE))</f>
        <v>0.86067489918605222</v>
      </c>
      <c r="H66" s="204">
        <v>2</v>
      </c>
      <c r="I66" s="208">
        <f t="shared" si="6"/>
        <v>9.7699999999999995E-2</v>
      </c>
      <c r="J66" s="208">
        <f t="shared" si="6"/>
        <v>0.1153</v>
      </c>
      <c r="K66" s="208">
        <f t="shared" si="6"/>
        <v>0.1051</v>
      </c>
      <c r="L66" s="208">
        <f t="shared" si="6"/>
        <v>0.12039999999999999</v>
      </c>
      <c r="M66" s="209">
        <f t="shared" si="6"/>
        <v>0.10339999999999999</v>
      </c>
      <c r="N66" s="256">
        <f t="shared" si="7"/>
        <v>11613</v>
      </c>
      <c r="O66" s="256">
        <f t="shared" si="7"/>
        <v>53103</v>
      </c>
      <c r="P66" s="210"/>
    </row>
    <row r="67" spans="1:71" x14ac:dyDescent="0.25">
      <c r="A67" s="204">
        <v>3</v>
      </c>
      <c r="B67" s="205">
        <f t="shared" si="5"/>
        <v>1.19</v>
      </c>
      <c r="C67" s="205">
        <f t="shared" si="5"/>
        <v>1.72</v>
      </c>
      <c r="D67" s="205">
        <f t="shared" si="5"/>
        <v>1.31</v>
      </c>
      <c r="E67" s="205">
        <f t="shared" si="5"/>
        <v>1.1000000000000001</v>
      </c>
      <c r="F67" s="206">
        <f>IF(ISNA(HLOOKUP(F$64*10+$A67,$81:$82,2,FALSE)),(HLOOKUP(E$64*10+$A67,$87:$94,4,FALSE)*$G67+$B$25)/HLOOKUP(E$64*10+$A67,$87:$94,5,FALSE)*$E67,HLOOKUP(F$64*10+$A67,$81:$82,2,FALSE))</f>
        <v>0.64</v>
      </c>
      <c r="G67" s="101">
        <f>MIN(130%,SUM($B$57:$D$57)/SUM($B$58:$D$58)*$G$69/HLOOKUP(E$64*10+$A67,$145:$146,2,FALSE))</f>
        <v>0.89646241217626255</v>
      </c>
      <c r="H67" s="204">
        <v>3</v>
      </c>
      <c r="I67" s="208">
        <f t="shared" si="6"/>
        <v>9.7599999999999992E-2</v>
      </c>
      <c r="J67" s="208">
        <f t="shared" si="6"/>
        <v>0.1242</v>
      </c>
      <c r="K67" s="208">
        <f t="shared" si="6"/>
        <v>0.10710000000000001</v>
      </c>
      <c r="L67" s="208">
        <f t="shared" si="6"/>
        <v>0.10679999999999999</v>
      </c>
      <c r="M67" s="209">
        <f t="shared" si="6"/>
        <v>8.4900000000000003E-2</v>
      </c>
      <c r="N67" s="256">
        <f t="shared" si="7"/>
        <v>34712</v>
      </c>
      <c r="O67" s="256">
        <f t="shared" si="7"/>
        <v>17573</v>
      </c>
      <c r="P67" s="210"/>
    </row>
    <row r="68" spans="1:71" x14ac:dyDescent="0.25">
      <c r="A68" s="204">
        <v>4</v>
      </c>
      <c r="B68" s="205">
        <f>HLOOKUP(B$64*10+$A68,$81:$82,2,FALSE)</f>
        <v>1.41</v>
      </c>
      <c r="C68" s="205">
        <f>HLOOKUP(C$64*10+$A68,$81:$82,2,FALSE)</f>
        <v>1.06</v>
      </c>
      <c r="D68" s="205">
        <f>HLOOKUP(D$64*10+$A68,$81:$82,2,FALSE)</f>
        <v>0.91</v>
      </c>
      <c r="E68" s="206">
        <f>IF(ISNA(HLOOKUP(E$64*10+$A68,$81:$82,2,FALSE)),D68*(1-$N68)*#REF!*(1+$B$25)/(1+$E$4),HLOOKUP(E$64*10+$A68,$81:$82,2,FALSE))</f>
        <v>0.62</v>
      </c>
      <c r="F68" s="206">
        <f>IF(ISNA(HLOOKUP(F$64*10+$A68,$81:$82,2,FALSE)),(HLOOKUP(E$64*10+$A68,$87:$94,4,FALSE)*$G68+$B$25)/HLOOKUP(E$64*10+$A68,$87:$94,5,FALSE)*$E68,HLOOKUP(F$64*10+$A68,$81:$82,2,FALSE))</f>
        <v>0.65518259658076283</v>
      </c>
      <c r="G68" s="101">
        <f>MIN(130%,SUM($B$57:$D$57)/SUM($B$58:$D$58)*$G$69/HLOOKUP(E$64*10+$A68,$145:$146,2,FALSE))</f>
        <v>0.91855831670173393</v>
      </c>
      <c r="H68" s="204">
        <v>4</v>
      </c>
      <c r="I68" s="208">
        <f t="shared" si="6"/>
        <v>0.1139</v>
      </c>
      <c r="J68" s="208">
        <f t="shared" si="6"/>
        <v>0.10210000000000001</v>
      </c>
      <c r="K68" s="208">
        <f t="shared" si="6"/>
        <v>7.7499999999999999E-2</v>
      </c>
      <c r="L68" s="208">
        <f t="shared" si="6"/>
        <v>9.06E-2</v>
      </c>
      <c r="M68" s="209" t="str">
        <f t="shared" si="6"/>
        <v/>
      </c>
      <c r="N68" s="256">
        <f t="shared" si="7"/>
        <v>-28151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4.2</v>
      </c>
      <c r="C69" s="213">
        <f>SUM(C65:C68)</f>
        <v>4.9499999999999993</v>
      </c>
      <c r="D69" s="213">
        <f>SUM(D65:D68)</f>
        <v>4.53</v>
      </c>
      <c r="E69" s="213">
        <f>SUM(E65:E68)</f>
        <v>3.8000000000000003</v>
      </c>
      <c r="F69" s="213">
        <f>SUM(F65:F68)</f>
        <v>3.0351825965807628</v>
      </c>
      <c r="G69" s="257">
        <f>_xlfn.FORECAST.ETS(23,B146:W146,{1,2,3,4,5,6,7,8,9,10,11,12,13,14,15,16,17,18,19,20,21,22})</f>
        <v>28.43151336960096</v>
      </c>
      <c r="H69" s="214" t="s">
        <v>19</v>
      </c>
      <c r="I69" s="215">
        <f>HLOOKUP(I64,151:155,3,FALSE)/100</f>
        <v>0.1042</v>
      </c>
      <c r="J69" s="215">
        <f>HLOOKUP(J64,151:155,3,FALSE)/100</f>
        <v>0.11259999999999999</v>
      </c>
      <c r="K69" s="215">
        <f>HLOOKUP(K64,151:155,3,FALSE)/100</f>
        <v>0.10099999999999999</v>
      </c>
      <c r="L69" s="215">
        <f>IF(ISNA(HLOOKUP(L64,151:155,3,FALSE)/100),AVERAGE(L65:L68),HLOOKUP(L64,151:155,3,FALSE)/100)</f>
        <v>0.10920000000000001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3.17</v>
      </c>
      <c r="C72" s="205">
        <f t="shared" si="8"/>
        <v>4.17</v>
      </c>
      <c r="D72" s="205">
        <f t="shared" si="8"/>
        <v>4.17</v>
      </c>
      <c r="E72" s="205">
        <f t="shared" si="8"/>
        <v>3.95</v>
      </c>
      <c r="F72" s="205">
        <f t="shared" si="8"/>
        <v>3.19</v>
      </c>
    </row>
    <row r="73" spans="1:71" s="135" customFormat="1" x14ac:dyDescent="0.25">
      <c r="A73" s="204">
        <v>2</v>
      </c>
      <c r="B73" s="205">
        <f t="shared" si="8"/>
        <v>3.34</v>
      </c>
      <c r="C73" s="205">
        <f t="shared" si="8"/>
        <v>4.34</v>
      </c>
      <c r="D73" s="205">
        <f t="shared" si="8"/>
        <v>3.87</v>
      </c>
      <c r="E73" s="205">
        <f t="shared" si="8"/>
        <v>3.13</v>
      </c>
      <c r="F73" s="205">
        <f t="shared" si="8"/>
        <v>2.98</v>
      </c>
    </row>
    <row r="74" spans="1:71" s="135" customFormat="1" x14ac:dyDescent="0.25">
      <c r="A74" s="204">
        <v>3</v>
      </c>
      <c r="B74" s="205">
        <f t="shared" si="8"/>
        <v>5.19</v>
      </c>
      <c r="C74" s="205">
        <f t="shared" si="8"/>
        <v>6.68</v>
      </c>
      <c r="D74" s="205">
        <f t="shared" si="8"/>
        <v>4.68</v>
      </c>
      <c r="E74" s="205">
        <f t="shared" si="8"/>
        <v>3.91</v>
      </c>
      <c r="F74" s="205">
        <f t="shared" si="8"/>
        <v>2.38</v>
      </c>
    </row>
    <row r="75" spans="1:71" s="135" customFormat="1" x14ac:dyDescent="0.25">
      <c r="A75" s="204">
        <v>4</v>
      </c>
      <c r="B75" s="205">
        <f t="shared" si="8"/>
        <v>5.76</v>
      </c>
      <c r="C75" s="205">
        <f t="shared" si="8"/>
        <v>3.81</v>
      </c>
      <c r="D75" s="205">
        <f t="shared" si="8"/>
        <v>3.06</v>
      </c>
      <c r="E75" s="205">
        <f t="shared" si="8"/>
        <v>2.21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17.46</v>
      </c>
      <c r="C76" s="213">
        <f>SUM(C72:C75)</f>
        <v>19</v>
      </c>
      <c r="D76" s="213">
        <f>SUM(D72:D75)</f>
        <v>15.78</v>
      </c>
      <c r="E76" s="213">
        <f>AVERAGE(E72:E75)*4</f>
        <v>13.2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784636</v>
      </c>
      <c r="C79" s="270">
        <v>1268863</v>
      </c>
      <c r="D79" s="270">
        <v>1573166</v>
      </c>
      <c r="E79" s="270">
        <v>1458243</v>
      </c>
      <c r="F79" s="270">
        <v>1552502</v>
      </c>
      <c r="G79" s="270">
        <v>1734728</v>
      </c>
      <c r="H79" s="270">
        <v>1896259</v>
      </c>
      <c r="I79" s="270">
        <v>1933532</v>
      </c>
      <c r="J79" s="270">
        <v>1855617</v>
      </c>
      <c r="K79" s="270">
        <v>1714210</v>
      </c>
      <c r="L79" s="270">
        <v>1613716</v>
      </c>
      <c r="M79" s="270">
        <v>1534405</v>
      </c>
      <c r="N79" s="270">
        <v>1490101</v>
      </c>
      <c r="O79" s="270">
        <v>1293576</v>
      </c>
      <c r="P79" s="270">
        <v>1356704</v>
      </c>
      <c r="Q79" s="270">
        <v>1546043</v>
      </c>
      <c r="R79" s="270">
        <v>1681994</v>
      </c>
      <c r="S79" s="270">
        <v>1635458</v>
      </c>
      <c r="T79" s="270">
        <v>1754456</v>
      </c>
      <c r="U79" s="270">
        <v>1679437</v>
      </c>
      <c r="V79" s="270">
        <v>1651683</v>
      </c>
      <c r="W79" s="270">
        <v>1721635</v>
      </c>
      <c r="X79" s="270">
        <v>1954011</v>
      </c>
      <c r="Y79" s="270">
        <v>2185541</v>
      </c>
      <c r="Z79" s="270">
        <v>1789206</v>
      </c>
      <c r="AA79" s="270">
        <v>1439464</v>
      </c>
      <c r="AB79" s="270">
        <v>1776577</v>
      </c>
      <c r="AC79" s="270">
        <v>1772957</v>
      </c>
      <c r="AD79" s="270">
        <v>1746014</v>
      </c>
      <c r="AE79" s="270">
        <v>1963554</v>
      </c>
      <c r="AF79" s="270">
        <v>2122749</v>
      </c>
      <c r="AG79" s="270">
        <v>2180880</v>
      </c>
      <c r="AH79" s="270">
        <v>2372692</v>
      </c>
      <c r="AI79" s="270">
        <v>2034681</v>
      </c>
      <c r="AJ79" s="270">
        <v>2357059</v>
      </c>
      <c r="AK79" s="270">
        <v>2386560</v>
      </c>
      <c r="AL79" s="270">
        <v>2418720</v>
      </c>
      <c r="AM79" s="270">
        <v>1592700</v>
      </c>
      <c r="AN79" s="270">
        <v>1830200</v>
      </c>
      <c r="AO79" s="270">
        <v>1726082</v>
      </c>
      <c r="AP79" s="270">
        <v>1811750</v>
      </c>
      <c r="AQ79" s="270">
        <v>1909371</v>
      </c>
      <c r="AR79" s="270">
        <v>2105205</v>
      </c>
      <c r="AS79" s="270">
        <v>2084281</v>
      </c>
      <c r="AT79" s="270">
        <v>2222373</v>
      </c>
      <c r="AU79" s="270">
        <v>1791678</v>
      </c>
      <c r="AV79" s="270">
        <v>1906937</v>
      </c>
      <c r="AW79" s="270">
        <v>1704936</v>
      </c>
      <c r="AX79" s="270">
        <v>1843760</v>
      </c>
      <c r="AY79" s="270">
        <v>1442847</v>
      </c>
      <c r="AZ79" s="270">
        <v>1790701</v>
      </c>
      <c r="BA79" s="270">
        <v>1762182</v>
      </c>
      <c r="BB79" s="270">
        <v>1685019</v>
      </c>
      <c r="BC79" s="270">
        <v>1564801</v>
      </c>
      <c r="BD79" s="270">
        <v>1611280</v>
      </c>
      <c r="BE79" s="270">
        <v>1581236</v>
      </c>
      <c r="BF79" s="270">
        <v>1471991</v>
      </c>
      <c r="BG79" s="270">
        <v>1450943</v>
      </c>
      <c r="BH79" s="270">
        <v>1564130</v>
      </c>
      <c r="BI79" s="270">
        <v>1788930</v>
      </c>
      <c r="BJ79" s="270">
        <v>1416536</v>
      </c>
      <c r="BK79" s="270">
        <v>1429428</v>
      </c>
      <c r="BL79" s="270">
        <v>1304168</v>
      </c>
      <c r="BM79" s="270">
        <v>1453867</v>
      </c>
      <c r="BN79" s="270">
        <v>1635033</v>
      </c>
      <c r="BO79" s="270">
        <v>1551020</v>
      </c>
      <c r="BP79" s="270">
        <v>1378461</v>
      </c>
      <c r="BQ79" s="270">
        <v>1552070</v>
      </c>
      <c r="BR79" s="270">
        <v>1339893</v>
      </c>
      <c r="BS79" s="270">
        <v>1240794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0.66</v>
      </c>
      <c r="C82" s="72">
        <v>0.9</v>
      </c>
      <c r="D82" s="72">
        <v>1.26</v>
      </c>
      <c r="E82" s="72">
        <v>0.98</v>
      </c>
      <c r="F82" s="72">
        <v>0.83</v>
      </c>
      <c r="G82" s="72">
        <v>0.77</v>
      </c>
      <c r="H82" s="72">
        <v>1.19</v>
      </c>
      <c r="I82" s="72">
        <v>1.41</v>
      </c>
      <c r="J82" s="72">
        <v>1.07</v>
      </c>
      <c r="K82" s="72">
        <v>1.1000000000000001</v>
      </c>
      <c r="L82" s="72">
        <v>1.72</v>
      </c>
      <c r="M82" s="72">
        <v>1.06</v>
      </c>
      <c r="N82" s="72">
        <v>1.21</v>
      </c>
      <c r="O82" s="72">
        <v>1.1000000000000001</v>
      </c>
      <c r="P82" s="72">
        <v>1.31</v>
      </c>
      <c r="Q82" s="72">
        <v>0.91</v>
      </c>
      <c r="R82" s="72">
        <v>1.17</v>
      </c>
      <c r="S82" s="72">
        <v>0.91</v>
      </c>
      <c r="T82" s="72">
        <v>1.1000000000000001</v>
      </c>
      <c r="U82" s="72">
        <v>0.62</v>
      </c>
      <c r="V82" s="72">
        <v>0.92</v>
      </c>
      <c r="W82" s="72">
        <v>0.82</v>
      </c>
      <c r="X82" s="72">
        <v>0.64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27.41</v>
      </c>
      <c r="C85" s="72">
        <v>26.22</v>
      </c>
      <c r="D85" s="72">
        <v>27.1</v>
      </c>
      <c r="E85" s="72">
        <v>28.01</v>
      </c>
      <c r="F85" s="72">
        <v>23.52</v>
      </c>
      <c r="G85" s="72">
        <v>22.38</v>
      </c>
      <c r="H85" s="72">
        <v>23.45</v>
      </c>
      <c r="I85" s="72">
        <v>25.09</v>
      </c>
      <c r="J85" s="72">
        <v>26.41</v>
      </c>
      <c r="K85" s="72">
        <v>24.65</v>
      </c>
      <c r="L85" s="72">
        <v>26.75</v>
      </c>
      <c r="M85" s="72">
        <v>28.58</v>
      </c>
      <c r="N85" s="72">
        <v>29.47</v>
      </c>
      <c r="O85" s="72">
        <v>27.33</v>
      </c>
      <c r="P85" s="72">
        <v>29.24</v>
      </c>
      <c r="Q85" s="72">
        <v>29.45</v>
      </c>
      <c r="R85" s="72">
        <v>30.28</v>
      </c>
      <c r="S85" s="72">
        <v>27.98</v>
      </c>
      <c r="T85" s="72">
        <v>28.31</v>
      </c>
      <c r="U85" s="72">
        <v>28.71</v>
      </c>
      <c r="V85" s="72">
        <v>28.43</v>
      </c>
      <c r="W85" s="72">
        <v>27.25</v>
      </c>
      <c r="X85" s="72">
        <v>28.19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3769586</v>
      </c>
      <c r="C88" s="273">
        <v>4631426</v>
      </c>
      <c r="D88" s="273">
        <v>5885172</v>
      </c>
      <c r="E88" s="273">
        <v>4527299</v>
      </c>
      <c r="F88" s="273">
        <v>4135404</v>
      </c>
      <c r="G88" s="273">
        <v>4796925</v>
      </c>
      <c r="H88" s="273">
        <v>5107200</v>
      </c>
      <c r="I88" s="273">
        <v>5874812</v>
      </c>
      <c r="J88" s="273">
        <v>4981765</v>
      </c>
      <c r="K88" s="273">
        <v>5499427</v>
      </c>
      <c r="L88" s="273">
        <v>6708578</v>
      </c>
      <c r="M88" s="273">
        <v>6686012</v>
      </c>
      <c r="N88" s="273">
        <v>5813506</v>
      </c>
      <c r="O88" s="273">
        <v>5462646</v>
      </c>
      <c r="P88" s="273">
        <v>6405606</v>
      </c>
      <c r="Q88" s="273">
        <v>5416982</v>
      </c>
      <c r="R88" s="273">
        <v>5082552</v>
      </c>
      <c r="S88" s="273">
        <v>5002622</v>
      </c>
      <c r="T88" s="273">
        <v>4668513</v>
      </c>
      <c r="U88" s="273">
        <v>4827965</v>
      </c>
      <c r="V88" s="273">
        <v>4149684</v>
      </c>
      <c r="W88" s="273">
        <v>4619654</v>
      </c>
      <c r="X88" s="273">
        <v>4296098</v>
      </c>
    </row>
    <row r="89" spans="1:25" ht="14.25" thickBot="1" x14ac:dyDescent="0.3">
      <c r="A89" s="250" t="s">
        <v>4</v>
      </c>
      <c r="B89" s="275">
        <v>871370</v>
      </c>
      <c r="C89" s="275">
        <v>1236077</v>
      </c>
      <c r="D89" s="275">
        <v>1491363</v>
      </c>
      <c r="E89" s="275">
        <v>1272942</v>
      </c>
      <c r="F89" s="275">
        <v>1086685</v>
      </c>
      <c r="G89" s="275">
        <v>1176516</v>
      </c>
      <c r="H89" s="275">
        <v>1262455</v>
      </c>
      <c r="I89" s="275">
        <v>1566345</v>
      </c>
      <c r="J89" s="275">
        <v>1298910</v>
      </c>
      <c r="K89" s="275">
        <v>1458102</v>
      </c>
      <c r="L89" s="275">
        <v>1722380</v>
      </c>
      <c r="M89" s="275">
        <v>1701188</v>
      </c>
      <c r="N89" s="275">
        <v>1568017</v>
      </c>
      <c r="O89" s="275">
        <v>1484035</v>
      </c>
      <c r="P89" s="275">
        <v>1707567</v>
      </c>
      <c r="Q89" s="275">
        <v>1439781</v>
      </c>
      <c r="R89" s="275">
        <v>1401360</v>
      </c>
      <c r="S89" s="275">
        <v>1516413</v>
      </c>
      <c r="T89" s="275">
        <v>1358772</v>
      </c>
      <c r="U89" s="275">
        <v>1371096</v>
      </c>
      <c r="V89" s="275">
        <v>1216705</v>
      </c>
      <c r="W89" s="275">
        <v>1254760</v>
      </c>
      <c r="X89" s="275">
        <v>1109152</v>
      </c>
    </row>
    <row r="90" spans="1:25" ht="14.25" thickBot="1" x14ac:dyDescent="0.3">
      <c r="A90" s="251" t="s">
        <v>5</v>
      </c>
      <c r="B90" s="273">
        <v>349926</v>
      </c>
      <c r="C90" s="273">
        <v>490464</v>
      </c>
      <c r="D90" s="273">
        <v>667702</v>
      </c>
      <c r="E90" s="273">
        <v>487452</v>
      </c>
      <c r="F90" s="273">
        <v>439212</v>
      </c>
      <c r="G90" s="273">
        <v>468516</v>
      </c>
      <c r="H90" s="273">
        <v>498405</v>
      </c>
      <c r="I90" s="273">
        <v>668983</v>
      </c>
      <c r="J90" s="273">
        <v>539154</v>
      </c>
      <c r="K90" s="273">
        <v>634160</v>
      </c>
      <c r="L90" s="273">
        <v>832990</v>
      </c>
      <c r="M90" s="273">
        <v>682647</v>
      </c>
      <c r="N90" s="273">
        <v>653897</v>
      </c>
      <c r="O90" s="273">
        <v>574258</v>
      </c>
      <c r="P90" s="273">
        <v>686152</v>
      </c>
      <c r="Q90" s="273">
        <v>419597</v>
      </c>
      <c r="R90" s="273">
        <v>600011</v>
      </c>
      <c r="S90" s="273">
        <v>602265</v>
      </c>
      <c r="T90" s="273">
        <v>498441</v>
      </c>
      <c r="U90" s="273">
        <v>437252</v>
      </c>
      <c r="V90" s="273">
        <v>491481</v>
      </c>
      <c r="W90" s="273">
        <v>477678</v>
      </c>
      <c r="X90" s="273">
        <v>364951</v>
      </c>
    </row>
    <row r="91" spans="1:25" ht="14.25" thickBot="1" x14ac:dyDescent="0.3">
      <c r="A91" s="250" t="s">
        <v>6</v>
      </c>
      <c r="B91" s="275">
        <v>358591</v>
      </c>
      <c r="C91" s="275">
        <v>530049</v>
      </c>
      <c r="D91" s="275">
        <v>663055</v>
      </c>
      <c r="E91" s="275">
        <v>511745</v>
      </c>
      <c r="F91" s="275">
        <v>463441</v>
      </c>
      <c r="G91" s="275">
        <v>480935</v>
      </c>
      <c r="H91" s="275">
        <v>602801</v>
      </c>
      <c r="I91" s="275">
        <v>694499</v>
      </c>
      <c r="J91" s="275">
        <v>576891</v>
      </c>
      <c r="K91" s="275">
        <v>659424</v>
      </c>
      <c r="L91" s="275">
        <v>897094</v>
      </c>
      <c r="M91" s="275">
        <v>735485</v>
      </c>
      <c r="N91" s="275">
        <v>672530</v>
      </c>
      <c r="O91" s="275">
        <v>596707</v>
      </c>
      <c r="P91" s="275">
        <v>765313</v>
      </c>
      <c r="Q91" s="275">
        <v>459925</v>
      </c>
      <c r="R91" s="275">
        <v>629019</v>
      </c>
      <c r="S91" s="275">
        <v>613878</v>
      </c>
      <c r="T91" s="275">
        <v>533153</v>
      </c>
      <c r="U91" s="275">
        <v>409101</v>
      </c>
      <c r="V91" s="275">
        <v>504165</v>
      </c>
      <c r="W91" s="275">
        <v>530781</v>
      </c>
      <c r="X91" s="275">
        <v>382524</v>
      </c>
    </row>
    <row r="92" spans="1:25" ht="14.25" thickBot="1" x14ac:dyDescent="0.3">
      <c r="A92" s="251" t="s">
        <v>7</v>
      </c>
      <c r="B92" s="273">
        <v>273937</v>
      </c>
      <c r="C92" s="273">
        <v>369375</v>
      </c>
      <c r="D92" s="273">
        <v>513215</v>
      </c>
      <c r="E92" s="273">
        <v>396219</v>
      </c>
      <c r="F92" s="273">
        <v>338042</v>
      </c>
      <c r="G92" s="273">
        <v>317995</v>
      </c>
      <c r="H92" s="273">
        <v>493770</v>
      </c>
      <c r="I92" s="273">
        <v>579753</v>
      </c>
      <c r="J92" s="273">
        <v>445609</v>
      </c>
      <c r="K92" s="273">
        <v>459924</v>
      </c>
      <c r="L92" s="273">
        <v>712257</v>
      </c>
      <c r="M92" s="273">
        <v>437047</v>
      </c>
      <c r="N92" s="273">
        <v>501965</v>
      </c>
      <c r="O92" s="273">
        <v>455927</v>
      </c>
      <c r="P92" s="273">
        <v>548953</v>
      </c>
      <c r="Q92" s="273">
        <v>371945</v>
      </c>
      <c r="R92" s="273">
        <v>488863</v>
      </c>
      <c r="S92" s="273">
        <v>377974</v>
      </c>
      <c r="T92" s="273">
        <v>456767</v>
      </c>
      <c r="U92" s="273">
        <v>260885</v>
      </c>
      <c r="V92" s="273">
        <v>377976</v>
      </c>
      <c r="W92" s="273">
        <v>344449</v>
      </c>
      <c r="X92" s="273">
        <v>273098</v>
      </c>
    </row>
    <row r="93" spans="1:25" ht="26.25" thickBot="1" x14ac:dyDescent="0.3">
      <c r="A93" s="252" t="s">
        <v>8</v>
      </c>
      <c r="B93" s="276">
        <v>269375</v>
      </c>
      <c r="C93" s="276">
        <v>366021</v>
      </c>
      <c r="D93" s="276">
        <v>515188</v>
      </c>
      <c r="E93" s="276">
        <v>399128</v>
      </c>
      <c r="F93" s="276">
        <v>337555</v>
      </c>
      <c r="G93" s="276">
        <v>314367</v>
      </c>
      <c r="H93" s="276">
        <v>486613</v>
      </c>
      <c r="I93" s="276">
        <v>574962</v>
      </c>
      <c r="J93" s="276">
        <v>437932</v>
      </c>
      <c r="K93" s="276">
        <v>448601</v>
      </c>
      <c r="L93" s="276">
        <v>702285</v>
      </c>
      <c r="M93" s="276">
        <v>432880</v>
      </c>
      <c r="N93" s="276">
        <v>492589</v>
      </c>
      <c r="O93" s="276">
        <v>449820</v>
      </c>
      <c r="P93" s="276">
        <v>536335</v>
      </c>
      <c r="Q93" s="276">
        <v>370927</v>
      </c>
      <c r="R93" s="276">
        <v>477972</v>
      </c>
      <c r="S93" s="276">
        <v>370793</v>
      </c>
      <c r="T93" s="276">
        <v>452571</v>
      </c>
      <c r="U93" s="276">
        <v>253659</v>
      </c>
      <c r="V93" s="276">
        <v>374708</v>
      </c>
      <c r="W93" s="276">
        <v>336461</v>
      </c>
      <c r="X93" s="276">
        <v>263348</v>
      </c>
    </row>
    <row r="94" spans="1:25" x14ac:dyDescent="0.25">
      <c r="A94" s="233" t="s">
        <v>365</v>
      </c>
      <c r="B94" s="253">
        <f>IF(B91="","",B91-B90)</f>
        <v>8665</v>
      </c>
      <c r="C94" s="253">
        <f>IF(C91="","",C91-C90)</f>
        <v>39585</v>
      </c>
      <c r="D94" s="253">
        <f t="shared" ref="D94:Y94" si="9">IF(D91="","",D91-D90)</f>
        <v>-4647</v>
      </c>
      <c r="E94" s="253">
        <f t="shared" si="9"/>
        <v>24293</v>
      </c>
      <c r="F94" s="253">
        <f t="shared" si="9"/>
        <v>24229</v>
      </c>
      <c r="G94" s="253">
        <f t="shared" si="9"/>
        <v>12419</v>
      </c>
      <c r="H94" s="253">
        <f t="shared" si="9"/>
        <v>104396</v>
      </c>
      <c r="I94" s="253">
        <f t="shared" si="9"/>
        <v>25516</v>
      </c>
      <c r="J94" s="253">
        <f t="shared" si="9"/>
        <v>37737</v>
      </c>
      <c r="K94" s="253">
        <f t="shared" si="9"/>
        <v>25264</v>
      </c>
      <c r="L94" s="253">
        <f t="shared" si="9"/>
        <v>64104</v>
      </c>
      <c r="M94" s="253">
        <f t="shared" si="9"/>
        <v>52838</v>
      </c>
      <c r="N94" s="253">
        <f t="shared" si="9"/>
        <v>18633</v>
      </c>
      <c r="O94" s="253">
        <f t="shared" si="9"/>
        <v>22449</v>
      </c>
      <c r="P94" s="253">
        <f t="shared" si="9"/>
        <v>79161</v>
      </c>
      <c r="Q94" s="253">
        <f t="shared" si="9"/>
        <v>40328</v>
      </c>
      <c r="R94" s="253">
        <f t="shared" si="9"/>
        <v>29008</v>
      </c>
      <c r="S94" s="253">
        <f t="shared" si="9"/>
        <v>11613</v>
      </c>
      <c r="T94" s="253">
        <f t="shared" si="9"/>
        <v>34712</v>
      </c>
      <c r="U94" s="253">
        <f t="shared" si="9"/>
        <v>-28151</v>
      </c>
      <c r="V94" s="253">
        <f t="shared" si="9"/>
        <v>12684</v>
      </c>
      <c r="W94" s="253">
        <f t="shared" si="9"/>
        <v>53103</v>
      </c>
      <c r="X94" s="253">
        <f t="shared" si="9"/>
        <v>17573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18813483</v>
      </c>
      <c r="C97" s="273">
        <v>19914341</v>
      </c>
      <c r="D97" s="273">
        <v>23875782</v>
      </c>
      <c r="E97" s="273">
        <v>23098740</v>
      </c>
      <c r="F97" s="273">
        <v>19581652</v>
      </c>
    </row>
    <row r="98" spans="1:24" ht="14.25" thickBot="1" x14ac:dyDescent="0.3">
      <c r="A98" s="225" t="s">
        <v>4</v>
      </c>
      <c r="B98" s="275">
        <v>4871752</v>
      </c>
      <c r="C98" s="275">
        <v>5092001</v>
      </c>
      <c r="D98" s="275">
        <v>6180580</v>
      </c>
      <c r="E98" s="275">
        <v>6199400</v>
      </c>
      <c r="F98" s="275">
        <v>5647641</v>
      </c>
    </row>
    <row r="99" spans="1:24" ht="14.25" thickBot="1" x14ac:dyDescent="0.3">
      <c r="A99" s="224" t="s">
        <v>5</v>
      </c>
      <c r="B99" s="273">
        <v>1995544</v>
      </c>
      <c r="C99" s="273">
        <v>2075116</v>
      </c>
      <c r="D99" s="273">
        <v>2688951</v>
      </c>
      <c r="E99" s="273">
        <v>2333904</v>
      </c>
      <c r="F99" s="273">
        <v>2137969</v>
      </c>
    </row>
    <row r="100" spans="1:24" ht="14.25" thickBot="1" x14ac:dyDescent="0.3">
      <c r="A100" s="225" t="s">
        <v>6</v>
      </c>
      <c r="B100" s="275">
        <v>2063440</v>
      </c>
      <c r="C100" s="275">
        <v>2241676</v>
      </c>
      <c r="D100" s="275">
        <v>2868894</v>
      </c>
      <c r="E100" s="275">
        <v>2494475</v>
      </c>
      <c r="F100" s="275">
        <v>2185151</v>
      </c>
    </row>
    <row r="101" spans="1:24" ht="14.25" thickBot="1" x14ac:dyDescent="0.3">
      <c r="A101" s="224" t="s">
        <v>7</v>
      </c>
      <c r="B101" s="273">
        <v>1552746</v>
      </c>
      <c r="C101" s="273">
        <v>1729560</v>
      </c>
      <c r="D101" s="273">
        <v>2054837</v>
      </c>
      <c r="E101" s="273">
        <v>1878790</v>
      </c>
      <c r="F101" s="273">
        <v>1584489</v>
      </c>
    </row>
    <row r="102" spans="1:24" ht="14.25" thickBot="1" x14ac:dyDescent="0.3">
      <c r="A102" s="227" t="s">
        <v>8</v>
      </c>
      <c r="B102" s="276">
        <v>1549712</v>
      </c>
      <c r="C102" s="276">
        <v>1713497</v>
      </c>
      <c r="D102" s="276">
        <v>2021698</v>
      </c>
      <c r="E102" s="276">
        <v>1849671</v>
      </c>
      <c r="F102" s="276">
        <v>1554995</v>
      </c>
    </row>
    <row r="103" spans="1:24" x14ac:dyDescent="0.25">
      <c r="A103" s="233" t="s">
        <v>262</v>
      </c>
      <c r="B103" s="234">
        <f>IF(OR(B102="",B102="無"),"",B102/B101)</f>
        <v>0.99804604230183169</v>
      </c>
      <c r="C103" s="234">
        <f>IF(OR(C102="",C102="無"),"",C102/C101)</f>
        <v>0.99071266680543024</v>
      </c>
      <c r="D103" s="234">
        <f>IF(OR(D102="",D102="無"),"",D102/D101)</f>
        <v>0.98387268673865613</v>
      </c>
      <c r="E103" s="234">
        <f>IF(OR(E102="",E102="無"),"",E102/E101)</f>
        <v>0.9845011949180057</v>
      </c>
      <c r="F103" s="234">
        <f>IF(OR(F102="",F102="無"),"",F102/F101)</f>
        <v>0.98138579693516337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2755886</v>
      </c>
      <c r="C106" s="273">
        <v>3597742</v>
      </c>
      <c r="D106" s="273">
        <v>2942250</v>
      </c>
      <c r="E106" s="273">
        <v>3460022</v>
      </c>
      <c r="F106" s="273">
        <v>3042690</v>
      </c>
      <c r="G106" s="273">
        <v>4243014</v>
      </c>
      <c r="H106" s="273">
        <v>3322082</v>
      </c>
      <c r="I106" s="273">
        <v>4237478</v>
      </c>
      <c r="J106" s="273">
        <v>3484781</v>
      </c>
      <c r="K106" s="273">
        <v>4198885</v>
      </c>
      <c r="L106" s="273">
        <v>3633999</v>
      </c>
      <c r="M106" s="273">
        <v>5061153</v>
      </c>
      <c r="N106" s="273">
        <v>3449481</v>
      </c>
      <c r="O106" s="273">
        <v>4746042</v>
      </c>
      <c r="P106" s="273">
        <v>3554440</v>
      </c>
      <c r="Q106" s="273">
        <v>4431513</v>
      </c>
      <c r="R106" s="273">
        <v>3743653</v>
      </c>
      <c r="S106" s="273">
        <v>4194572</v>
      </c>
      <c r="T106" s="273">
        <v>3601903</v>
      </c>
      <c r="U106" s="273">
        <v>4361037</v>
      </c>
      <c r="V106" s="273">
        <v>3411118</v>
      </c>
      <c r="W106" s="273">
        <v>3348422</v>
      </c>
      <c r="X106" s="273">
        <v>2491073</v>
      </c>
    </row>
    <row r="107" spans="1:24" ht="14.25" thickBot="1" x14ac:dyDescent="0.3">
      <c r="A107" s="225" t="s">
        <v>22</v>
      </c>
      <c r="B107" s="275">
        <v>63460</v>
      </c>
      <c r="C107" s="275">
        <v>62454</v>
      </c>
      <c r="D107" s="275">
        <v>712443</v>
      </c>
      <c r="E107" s="275">
        <v>63376</v>
      </c>
      <c r="F107" s="275">
        <v>208208</v>
      </c>
      <c r="G107" s="275">
        <v>297894</v>
      </c>
      <c r="H107" s="275">
        <v>520682</v>
      </c>
      <c r="I107" s="275">
        <v>274111</v>
      </c>
      <c r="J107" s="275">
        <v>610952</v>
      </c>
      <c r="K107" s="275">
        <v>646702</v>
      </c>
      <c r="L107" s="275">
        <v>1266562</v>
      </c>
      <c r="M107" s="275">
        <v>230121</v>
      </c>
      <c r="N107" s="275">
        <v>475304</v>
      </c>
      <c r="O107" s="275">
        <v>511300</v>
      </c>
      <c r="P107" s="275">
        <v>630351</v>
      </c>
      <c r="Q107" s="275">
        <v>319520</v>
      </c>
      <c r="R107" s="275">
        <v>259522</v>
      </c>
      <c r="S107" s="275">
        <v>933610</v>
      </c>
      <c r="T107" s="275">
        <v>719979</v>
      </c>
      <c r="U107" s="275">
        <v>406969</v>
      </c>
      <c r="V107" s="275">
        <v>842038</v>
      </c>
      <c r="W107" s="275">
        <v>1028477</v>
      </c>
      <c r="X107" s="275">
        <v>1534082</v>
      </c>
    </row>
    <row r="108" spans="1:24" ht="14.25" thickBot="1" x14ac:dyDescent="0.3">
      <c r="A108" s="224" t="s">
        <v>263</v>
      </c>
      <c r="B108" s="273">
        <v>4782279</v>
      </c>
      <c r="C108" s="273">
        <v>5477491</v>
      </c>
      <c r="D108" s="273">
        <v>5859974</v>
      </c>
      <c r="E108" s="273">
        <v>5587035</v>
      </c>
      <c r="F108" s="273">
        <v>3153257</v>
      </c>
      <c r="G108" s="273">
        <v>3498253</v>
      </c>
      <c r="H108" s="273">
        <v>4262084</v>
      </c>
      <c r="I108" s="273">
        <v>4010786</v>
      </c>
      <c r="J108" s="273">
        <v>4204617</v>
      </c>
      <c r="K108" s="273">
        <v>4340280</v>
      </c>
      <c r="L108" s="273">
        <v>4718541</v>
      </c>
      <c r="M108" s="273">
        <v>4462037</v>
      </c>
      <c r="N108" s="273">
        <v>5009916</v>
      </c>
      <c r="O108" s="273">
        <v>5323360</v>
      </c>
      <c r="P108" s="273">
        <v>6222515</v>
      </c>
      <c r="Q108" s="273">
        <v>5442368</v>
      </c>
      <c r="R108" s="273">
        <v>5293812</v>
      </c>
      <c r="S108" s="273">
        <v>5067434</v>
      </c>
      <c r="T108" s="273">
        <v>4920480</v>
      </c>
      <c r="U108" s="273">
        <v>4576878</v>
      </c>
      <c r="V108" s="273">
        <v>4184944</v>
      </c>
      <c r="W108" s="273">
        <v>4064850</v>
      </c>
      <c r="X108" s="273">
        <v>3866570</v>
      </c>
    </row>
    <row r="109" spans="1:24" ht="14.25" thickBot="1" x14ac:dyDescent="0.3">
      <c r="A109" s="225" t="s">
        <v>264</v>
      </c>
      <c r="B109" s="275">
        <v>3001797</v>
      </c>
      <c r="C109" s="275">
        <v>3016116</v>
      </c>
      <c r="D109" s="275">
        <v>3330453</v>
      </c>
      <c r="E109" s="275">
        <v>3653949</v>
      </c>
      <c r="F109" s="275">
        <v>9561465</v>
      </c>
      <c r="G109" s="275">
        <v>10505054</v>
      </c>
      <c r="H109" s="275">
        <v>11283642</v>
      </c>
      <c r="I109" s="275">
        <v>11250803</v>
      </c>
      <c r="J109" s="275">
        <v>10677560</v>
      </c>
      <c r="K109" s="275">
        <v>10932534</v>
      </c>
      <c r="L109" s="275">
        <v>10855417</v>
      </c>
      <c r="M109" s="275">
        <v>10810542</v>
      </c>
      <c r="N109" s="275">
        <v>9515230</v>
      </c>
      <c r="O109" s="275">
        <v>9847890</v>
      </c>
      <c r="P109" s="275">
        <v>9872700</v>
      </c>
      <c r="Q109" s="275">
        <v>9333808</v>
      </c>
      <c r="R109" s="275">
        <v>8501027</v>
      </c>
      <c r="S109" s="275">
        <v>8332018</v>
      </c>
      <c r="T109" s="275">
        <v>8271893</v>
      </c>
      <c r="U109" s="275">
        <v>7972356</v>
      </c>
      <c r="V109" s="275">
        <v>7075060</v>
      </c>
      <c r="W109" s="275">
        <v>6818824</v>
      </c>
      <c r="X109" s="275">
        <v>6671401</v>
      </c>
    </row>
    <row r="110" spans="1:24" ht="14.25" thickBot="1" x14ac:dyDescent="0.3">
      <c r="A110" s="224" t="s">
        <v>23</v>
      </c>
      <c r="B110" s="273">
        <v>1258996</v>
      </c>
      <c r="C110" s="273">
        <v>992763</v>
      </c>
      <c r="D110" s="273">
        <v>929942</v>
      </c>
      <c r="E110" s="273">
        <v>903072</v>
      </c>
      <c r="F110" s="273">
        <v>1162879</v>
      </c>
      <c r="G110" s="273">
        <v>1060200</v>
      </c>
      <c r="H110" s="273">
        <v>1169229</v>
      </c>
      <c r="I110" s="273">
        <v>1298033</v>
      </c>
      <c r="J110" s="273">
        <v>1233447</v>
      </c>
      <c r="K110" s="273">
        <v>1158137</v>
      </c>
      <c r="L110" s="273">
        <v>1338599</v>
      </c>
      <c r="M110" s="273">
        <v>1563788</v>
      </c>
      <c r="N110" s="273">
        <v>1418762</v>
      </c>
      <c r="O110" s="273">
        <v>1308265</v>
      </c>
      <c r="P110" s="273">
        <v>1318553</v>
      </c>
      <c r="Q110" s="273">
        <v>1260199</v>
      </c>
      <c r="R110" s="273">
        <v>1226417</v>
      </c>
      <c r="S110" s="273">
        <v>1194566</v>
      </c>
      <c r="T110" s="273">
        <v>1225531</v>
      </c>
      <c r="U110" s="273">
        <v>1136119</v>
      </c>
      <c r="V110" s="273">
        <v>991004</v>
      </c>
      <c r="W110" s="273">
        <v>1093167</v>
      </c>
      <c r="X110" s="273">
        <v>985929</v>
      </c>
    </row>
    <row r="111" spans="1:24" ht="14.25" thickBot="1" x14ac:dyDescent="0.3">
      <c r="A111" s="225" t="s">
        <v>24</v>
      </c>
      <c r="B111" s="275">
        <v>11862418</v>
      </c>
      <c r="C111" s="275">
        <v>13146566</v>
      </c>
      <c r="D111" s="275">
        <v>13775062</v>
      </c>
      <c r="E111" s="275">
        <v>13667454</v>
      </c>
      <c r="F111" s="275">
        <v>17128499</v>
      </c>
      <c r="G111" s="275">
        <v>19604415</v>
      </c>
      <c r="H111" s="275">
        <v>20557719</v>
      </c>
      <c r="I111" s="275">
        <v>21071211</v>
      </c>
      <c r="J111" s="275">
        <v>20211357</v>
      </c>
      <c r="K111" s="275">
        <v>21276538</v>
      </c>
      <c r="L111" s="275">
        <v>21813118</v>
      </c>
      <c r="M111" s="275">
        <v>22127641</v>
      </c>
      <c r="N111" s="275">
        <v>19868693</v>
      </c>
      <c r="O111" s="275">
        <v>21736857</v>
      </c>
      <c r="P111" s="275">
        <v>21598559</v>
      </c>
      <c r="Q111" s="275">
        <v>20787408</v>
      </c>
      <c r="R111" s="275">
        <v>19024431</v>
      </c>
      <c r="S111" s="275">
        <v>19722200</v>
      </c>
      <c r="T111" s="275">
        <v>18739786</v>
      </c>
      <c r="U111" s="275">
        <v>18453359</v>
      </c>
      <c r="V111" s="275">
        <v>16504164</v>
      </c>
      <c r="W111" s="275">
        <v>16353740</v>
      </c>
      <c r="X111" s="275">
        <v>15549055</v>
      </c>
    </row>
    <row r="112" spans="1:24" ht="14.25" thickBot="1" x14ac:dyDescent="0.3">
      <c r="A112" s="224" t="s">
        <v>25</v>
      </c>
      <c r="B112" s="273">
        <v>615297</v>
      </c>
      <c r="C112" s="273">
        <v>591987</v>
      </c>
      <c r="D112" s="273">
        <v>588702</v>
      </c>
      <c r="E112" s="273">
        <v>613008</v>
      </c>
      <c r="F112" s="273">
        <v>616322</v>
      </c>
      <c r="G112" s="273">
        <v>629353</v>
      </c>
      <c r="H112" s="273">
        <v>633189</v>
      </c>
      <c r="I112" s="273">
        <v>640691</v>
      </c>
      <c r="J112" s="273">
        <v>645195</v>
      </c>
      <c r="K112" s="273">
        <v>636760</v>
      </c>
      <c r="L112" s="273">
        <v>641435</v>
      </c>
      <c r="M112" s="273">
        <v>659930</v>
      </c>
      <c r="N112" s="273">
        <v>647382</v>
      </c>
      <c r="O112" s="273">
        <v>649094</v>
      </c>
      <c r="P112" s="273">
        <v>682464</v>
      </c>
      <c r="Q112" s="273">
        <v>692767</v>
      </c>
      <c r="R112" s="273">
        <v>703681</v>
      </c>
      <c r="S112" s="273">
        <v>707616</v>
      </c>
      <c r="T112" s="273">
        <v>708662</v>
      </c>
      <c r="U112" s="273">
        <v>710367</v>
      </c>
      <c r="V112" s="273">
        <v>693891</v>
      </c>
      <c r="W112" s="273">
        <v>495485</v>
      </c>
      <c r="X112" s="273">
        <v>473907</v>
      </c>
    </row>
    <row r="113" spans="1:24" ht="14.25" thickBot="1" x14ac:dyDescent="0.3">
      <c r="A113" s="225" t="s">
        <v>26</v>
      </c>
      <c r="B113" s="275">
        <v>4310757</v>
      </c>
      <c r="C113" s="275">
        <v>4508681</v>
      </c>
      <c r="D113" s="275">
        <v>4497646</v>
      </c>
      <c r="E113" s="275">
        <v>4628275</v>
      </c>
      <c r="F113" s="275">
        <v>5122082</v>
      </c>
      <c r="G113" s="275">
        <v>5195850</v>
      </c>
      <c r="H113" s="275">
        <v>5157905</v>
      </c>
      <c r="I113" s="275">
        <v>5225427</v>
      </c>
      <c r="J113" s="275">
        <v>5348882</v>
      </c>
      <c r="K113" s="275">
        <v>5319696</v>
      </c>
      <c r="L113" s="275">
        <v>5329937</v>
      </c>
      <c r="M113" s="275">
        <v>5602806</v>
      </c>
      <c r="N113" s="275">
        <v>5718888</v>
      </c>
      <c r="O113" s="275">
        <v>5757439</v>
      </c>
      <c r="P113" s="275">
        <v>5854244</v>
      </c>
      <c r="Q113" s="275">
        <v>5914132</v>
      </c>
      <c r="R113" s="275">
        <v>5902945</v>
      </c>
      <c r="S113" s="275">
        <v>6078350</v>
      </c>
      <c r="T113" s="275">
        <v>6106058</v>
      </c>
      <c r="U113" s="275">
        <v>6138314</v>
      </c>
      <c r="V113" s="275">
        <v>5808579</v>
      </c>
      <c r="W113" s="275">
        <v>5807987</v>
      </c>
      <c r="X113" s="275">
        <v>5850125</v>
      </c>
    </row>
    <row r="114" spans="1:24" ht="14.25" thickBot="1" x14ac:dyDescent="0.3">
      <c r="A114" s="224" t="s">
        <v>27</v>
      </c>
      <c r="B114" s="273">
        <v>1918237</v>
      </c>
      <c r="C114" s="273">
        <v>1918164</v>
      </c>
      <c r="D114" s="273">
        <v>1889589</v>
      </c>
      <c r="E114" s="273">
        <v>1883696</v>
      </c>
      <c r="F114" s="273">
        <v>2658095</v>
      </c>
      <c r="G114" s="273">
        <v>2802495</v>
      </c>
      <c r="H114" s="273">
        <v>2890526</v>
      </c>
      <c r="I114" s="273">
        <v>2946562</v>
      </c>
      <c r="J114" s="273">
        <v>2893713</v>
      </c>
      <c r="K114" s="273">
        <v>2955491</v>
      </c>
      <c r="L114" s="273">
        <v>2872804</v>
      </c>
      <c r="M114" s="273">
        <v>2969268</v>
      </c>
      <c r="N114" s="273">
        <v>2806210</v>
      </c>
      <c r="O114" s="273">
        <v>2932321</v>
      </c>
      <c r="P114" s="273">
        <v>3123275</v>
      </c>
      <c r="Q114" s="273">
        <v>3107264</v>
      </c>
      <c r="R114" s="273">
        <v>3157036</v>
      </c>
      <c r="S114" s="273">
        <v>3045691</v>
      </c>
      <c r="T114" s="273">
        <v>2716064</v>
      </c>
      <c r="U114" s="273">
        <v>2594028</v>
      </c>
      <c r="V114" s="273">
        <v>2438756</v>
      </c>
      <c r="W114" s="273">
        <v>2298877</v>
      </c>
      <c r="X114" s="273">
        <v>2207033</v>
      </c>
    </row>
    <row r="115" spans="1:24" ht="14.25" thickBot="1" x14ac:dyDescent="0.3">
      <c r="A115" s="225" t="s">
        <v>265</v>
      </c>
      <c r="B115" s="276">
        <v>18706709</v>
      </c>
      <c r="C115" s="276">
        <v>20165398</v>
      </c>
      <c r="D115" s="276">
        <v>20750999</v>
      </c>
      <c r="E115" s="276">
        <v>20792433</v>
      </c>
      <c r="F115" s="276">
        <v>25524998</v>
      </c>
      <c r="G115" s="276">
        <v>28232113</v>
      </c>
      <c r="H115" s="276">
        <v>29239339</v>
      </c>
      <c r="I115" s="276">
        <v>29883891</v>
      </c>
      <c r="J115" s="276">
        <v>29099147</v>
      </c>
      <c r="K115" s="276">
        <v>30188485</v>
      </c>
      <c r="L115" s="276">
        <v>30657294</v>
      </c>
      <c r="M115" s="276">
        <v>31359645</v>
      </c>
      <c r="N115" s="276">
        <v>29041173</v>
      </c>
      <c r="O115" s="276">
        <v>31075711</v>
      </c>
      <c r="P115" s="276">
        <v>31258542</v>
      </c>
      <c r="Q115" s="276">
        <v>30501571</v>
      </c>
      <c r="R115" s="276">
        <v>28788093</v>
      </c>
      <c r="S115" s="276">
        <v>29553857</v>
      </c>
      <c r="T115" s="276">
        <v>28270570</v>
      </c>
      <c r="U115" s="276">
        <v>27896068</v>
      </c>
      <c r="V115" s="276">
        <v>25445390</v>
      </c>
      <c r="W115" s="276">
        <v>24956089</v>
      </c>
      <c r="X115" s="276">
        <v>24080120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273">
        <v>21752</v>
      </c>
      <c r="E118" s="68">
        <v>0</v>
      </c>
      <c r="F118" s="273">
        <v>5372</v>
      </c>
      <c r="G118" s="273">
        <v>5372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2395285</v>
      </c>
      <c r="C120" s="273">
        <v>2701313</v>
      </c>
      <c r="D120" s="273">
        <v>3430213</v>
      </c>
      <c r="E120" s="273">
        <v>3409176</v>
      </c>
      <c r="F120" s="273">
        <v>2553725</v>
      </c>
      <c r="G120" s="273">
        <v>3403236</v>
      </c>
      <c r="H120" s="273">
        <v>3485020</v>
      </c>
      <c r="I120" s="273">
        <v>3670917</v>
      </c>
      <c r="J120" s="273">
        <v>2539604</v>
      </c>
      <c r="K120" s="273">
        <v>3083312</v>
      </c>
      <c r="L120" s="273">
        <v>3106471</v>
      </c>
      <c r="M120" s="273">
        <v>3769198</v>
      </c>
      <c r="N120" s="273">
        <v>2343726</v>
      </c>
      <c r="O120" s="273">
        <v>3475629</v>
      </c>
      <c r="P120" s="273">
        <v>3312228</v>
      </c>
      <c r="Q120" s="273">
        <v>3278660</v>
      </c>
      <c r="R120" s="273">
        <v>2077178</v>
      </c>
      <c r="S120" s="273">
        <v>2686318</v>
      </c>
      <c r="T120" s="273">
        <v>2597464</v>
      </c>
      <c r="U120" s="273">
        <v>2923267</v>
      </c>
      <c r="V120" s="273">
        <v>1764686</v>
      </c>
      <c r="W120" s="273">
        <v>2193325</v>
      </c>
      <c r="X120" s="273">
        <v>2047470</v>
      </c>
    </row>
    <row r="121" spans="1:24" ht="14.25" thickBot="1" x14ac:dyDescent="0.3">
      <c r="A121" s="225" t="s">
        <v>267</v>
      </c>
      <c r="B121" s="275">
        <v>3112875</v>
      </c>
      <c r="C121" s="275">
        <v>3408857</v>
      </c>
      <c r="D121" s="275">
        <v>3592002</v>
      </c>
      <c r="E121" s="275">
        <v>3136792</v>
      </c>
      <c r="F121" s="275">
        <v>10382451</v>
      </c>
      <c r="G121" s="275">
        <v>11592315</v>
      </c>
      <c r="H121" s="275">
        <v>12871339</v>
      </c>
      <c r="I121" s="275">
        <v>12468353</v>
      </c>
      <c r="J121" s="275">
        <v>12558595</v>
      </c>
      <c r="K121" s="275">
        <v>12782786</v>
      </c>
      <c r="L121" s="275">
        <v>13055559</v>
      </c>
      <c r="M121" s="275">
        <v>12225289</v>
      </c>
      <c r="N121" s="275">
        <v>11380408</v>
      </c>
      <c r="O121" s="275">
        <v>11690115</v>
      </c>
      <c r="P121" s="275">
        <v>12109645</v>
      </c>
      <c r="Q121" s="275">
        <v>11337173</v>
      </c>
      <c r="R121" s="275">
        <v>10850564</v>
      </c>
      <c r="S121" s="275">
        <v>10710666</v>
      </c>
      <c r="T121" s="275">
        <v>10460169</v>
      </c>
      <c r="U121" s="275">
        <v>9737717</v>
      </c>
      <c r="V121" s="275">
        <v>8969223</v>
      </c>
      <c r="W121" s="275">
        <v>8324375</v>
      </c>
      <c r="X121" s="275">
        <v>8102583</v>
      </c>
    </row>
    <row r="122" spans="1:24" ht="14.25" thickBot="1" x14ac:dyDescent="0.3">
      <c r="A122" s="224" t="s">
        <v>30</v>
      </c>
      <c r="B122" s="273">
        <v>30000</v>
      </c>
      <c r="C122" s="273">
        <v>30000</v>
      </c>
      <c r="D122" s="273">
        <v>30000</v>
      </c>
      <c r="E122" s="273">
        <v>30000</v>
      </c>
      <c r="F122" s="273">
        <v>30000</v>
      </c>
      <c r="G122" s="273">
        <v>30000</v>
      </c>
      <c r="H122" s="273">
        <v>25000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750952</v>
      </c>
      <c r="C123" s="275">
        <v>2109564</v>
      </c>
      <c r="D123" s="275">
        <v>1375925</v>
      </c>
      <c r="E123" s="275">
        <v>1506311</v>
      </c>
      <c r="F123" s="275">
        <v>1100599</v>
      </c>
      <c r="G123" s="275">
        <v>2226340</v>
      </c>
      <c r="H123" s="275">
        <v>1428366</v>
      </c>
      <c r="I123" s="275">
        <v>1545646</v>
      </c>
      <c r="J123" s="275">
        <v>1303562</v>
      </c>
      <c r="K123" s="275">
        <v>2386262</v>
      </c>
      <c r="L123" s="275">
        <v>1629143</v>
      </c>
      <c r="M123" s="275">
        <v>1686857</v>
      </c>
      <c r="N123" s="275">
        <v>1303614</v>
      </c>
      <c r="O123" s="275">
        <v>2778194</v>
      </c>
      <c r="P123" s="275">
        <v>1790073</v>
      </c>
      <c r="Q123" s="275">
        <v>1758730</v>
      </c>
      <c r="R123" s="275">
        <v>1495939</v>
      </c>
      <c r="S123" s="275">
        <v>2745279</v>
      </c>
      <c r="T123" s="275">
        <v>1661791</v>
      </c>
      <c r="U123" s="275">
        <v>1539781</v>
      </c>
      <c r="V123" s="275">
        <v>1392303</v>
      </c>
      <c r="W123" s="275">
        <v>2256980</v>
      </c>
      <c r="X123" s="275">
        <v>1295825</v>
      </c>
    </row>
    <row r="124" spans="1:24" ht="14.25" thickBot="1" x14ac:dyDescent="0.3">
      <c r="A124" s="224" t="s">
        <v>268</v>
      </c>
      <c r="B124" s="273">
        <v>6289112</v>
      </c>
      <c r="C124" s="273">
        <v>8249734</v>
      </c>
      <c r="D124" s="273">
        <v>8449892</v>
      </c>
      <c r="E124" s="273">
        <v>8082279</v>
      </c>
      <c r="F124" s="273">
        <v>14072147</v>
      </c>
      <c r="G124" s="273">
        <v>17257263</v>
      </c>
      <c r="H124" s="273">
        <v>17809725</v>
      </c>
      <c r="I124" s="273">
        <v>17684916</v>
      </c>
      <c r="J124" s="273">
        <v>16401761</v>
      </c>
      <c r="K124" s="273">
        <v>18252360</v>
      </c>
      <c r="L124" s="273">
        <v>17791173</v>
      </c>
      <c r="M124" s="273">
        <v>17681344</v>
      </c>
      <c r="N124" s="273">
        <v>15027748</v>
      </c>
      <c r="O124" s="273">
        <v>17943938</v>
      </c>
      <c r="P124" s="273">
        <v>17211946</v>
      </c>
      <c r="Q124" s="273">
        <v>16374563</v>
      </c>
      <c r="R124" s="273">
        <v>14423681</v>
      </c>
      <c r="S124" s="273">
        <v>16142263</v>
      </c>
      <c r="T124" s="273">
        <v>14719424</v>
      </c>
      <c r="U124" s="273">
        <v>14200765</v>
      </c>
      <c r="V124" s="273">
        <v>12126212</v>
      </c>
      <c r="W124" s="273">
        <v>12774680</v>
      </c>
      <c r="X124" s="273">
        <v>11445878</v>
      </c>
    </row>
    <row r="125" spans="1:24" ht="14.25" thickBot="1" x14ac:dyDescent="0.3">
      <c r="A125" s="225" t="s">
        <v>32</v>
      </c>
      <c r="B125" s="275">
        <v>70856</v>
      </c>
      <c r="C125" s="275">
        <v>33211</v>
      </c>
      <c r="D125" s="275">
        <v>25596</v>
      </c>
      <c r="E125" s="275">
        <v>18047</v>
      </c>
      <c r="F125" s="275">
        <v>1700429</v>
      </c>
      <c r="G125" s="275">
        <v>1685659</v>
      </c>
      <c r="H125" s="275">
        <v>1694453</v>
      </c>
      <c r="I125" s="275">
        <v>1789972</v>
      </c>
      <c r="J125" s="275">
        <v>1740416</v>
      </c>
      <c r="K125" s="275">
        <v>1700588</v>
      </c>
      <c r="L125" s="275">
        <v>1762306</v>
      </c>
      <c r="M125" s="275">
        <v>1826158</v>
      </c>
      <c r="N125" s="275">
        <v>1787744</v>
      </c>
      <c r="O125" s="275">
        <v>1801895</v>
      </c>
      <c r="P125" s="275">
        <v>1924366</v>
      </c>
      <c r="Q125" s="275">
        <v>1917718</v>
      </c>
      <c r="R125" s="275">
        <v>1805281</v>
      </c>
      <c r="S125" s="275">
        <v>1807670</v>
      </c>
      <c r="T125" s="275">
        <v>1809189</v>
      </c>
      <c r="U125" s="275">
        <v>1784798</v>
      </c>
      <c r="V125" s="275">
        <v>1518588</v>
      </c>
      <c r="W125" s="275">
        <v>881793</v>
      </c>
      <c r="X125" s="275">
        <v>940746</v>
      </c>
    </row>
    <row r="126" spans="1:24" ht="14.25" thickBot="1" x14ac:dyDescent="0.3">
      <c r="A126" s="224" t="s">
        <v>33</v>
      </c>
      <c r="B126" s="273">
        <v>984717</v>
      </c>
      <c r="C126" s="273">
        <v>1018078</v>
      </c>
      <c r="D126" s="273">
        <v>1046887</v>
      </c>
      <c r="E126" s="273">
        <v>1093692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7344685</v>
      </c>
      <c r="C127" s="275">
        <v>9301023</v>
      </c>
      <c r="D127" s="275">
        <v>9522375</v>
      </c>
      <c r="E127" s="275">
        <v>9194018</v>
      </c>
      <c r="F127" s="275">
        <v>15772576</v>
      </c>
      <c r="G127" s="275">
        <v>18942922</v>
      </c>
      <c r="H127" s="275">
        <v>19504178</v>
      </c>
      <c r="I127" s="275">
        <v>19474888</v>
      </c>
      <c r="J127" s="275">
        <v>18142177</v>
      </c>
      <c r="K127" s="275">
        <v>19952948</v>
      </c>
      <c r="L127" s="275">
        <v>19553479</v>
      </c>
      <c r="M127" s="275">
        <v>19507502</v>
      </c>
      <c r="N127" s="275">
        <v>16815492</v>
      </c>
      <c r="O127" s="275">
        <v>19745833</v>
      </c>
      <c r="P127" s="275">
        <v>19136312</v>
      </c>
      <c r="Q127" s="275">
        <v>18292281</v>
      </c>
      <c r="R127" s="275">
        <v>16228962</v>
      </c>
      <c r="S127" s="275">
        <v>17949933</v>
      </c>
      <c r="T127" s="275">
        <v>16528613</v>
      </c>
      <c r="U127" s="275">
        <v>15985563</v>
      </c>
      <c r="V127" s="275">
        <v>13644800</v>
      </c>
      <c r="W127" s="275">
        <v>13656473</v>
      </c>
      <c r="X127" s="275">
        <v>12386624</v>
      </c>
    </row>
    <row r="128" spans="1:24" ht="14.25" thickBot="1" x14ac:dyDescent="0.3">
      <c r="A128" s="224" t="s">
        <v>34</v>
      </c>
      <c r="B128" s="273">
        <v>11362024</v>
      </c>
      <c r="C128" s="273">
        <v>10864375</v>
      </c>
      <c r="D128" s="273">
        <v>11228624</v>
      </c>
      <c r="E128" s="273">
        <v>11598415</v>
      </c>
      <c r="F128" s="273">
        <v>9752422</v>
      </c>
      <c r="G128" s="273">
        <v>9289191</v>
      </c>
      <c r="H128" s="273">
        <v>9735161</v>
      </c>
      <c r="I128" s="273">
        <v>10409003</v>
      </c>
      <c r="J128" s="273">
        <v>10956970</v>
      </c>
      <c r="K128" s="273">
        <v>10235537</v>
      </c>
      <c r="L128" s="273">
        <v>11103815</v>
      </c>
      <c r="M128" s="273">
        <v>11852143</v>
      </c>
      <c r="N128" s="273">
        <v>12225681</v>
      </c>
      <c r="O128" s="273">
        <v>11329878</v>
      </c>
      <c r="P128" s="273">
        <v>12122230</v>
      </c>
      <c r="Q128" s="273">
        <v>12209290</v>
      </c>
      <c r="R128" s="273">
        <v>12559131</v>
      </c>
      <c r="S128" s="273">
        <v>11603924</v>
      </c>
      <c r="T128" s="273">
        <v>11741957</v>
      </c>
      <c r="U128" s="273">
        <v>11910505</v>
      </c>
      <c r="V128" s="273">
        <v>11800590</v>
      </c>
      <c r="W128" s="273">
        <v>11299616</v>
      </c>
      <c r="X128" s="273">
        <v>11693496</v>
      </c>
    </row>
    <row r="129" spans="1:24" ht="14.25" thickBot="1" x14ac:dyDescent="0.3">
      <c r="A129" s="225" t="s">
        <v>35</v>
      </c>
      <c r="B129" s="276">
        <v>18706709</v>
      </c>
      <c r="C129" s="276">
        <v>20165398</v>
      </c>
      <c r="D129" s="276">
        <v>20750999</v>
      </c>
      <c r="E129" s="276">
        <v>20792433</v>
      </c>
      <c r="F129" s="276">
        <v>25524998</v>
      </c>
      <c r="G129" s="276">
        <v>28232113</v>
      </c>
      <c r="H129" s="276">
        <v>29239339</v>
      </c>
      <c r="I129" s="276">
        <v>29883891</v>
      </c>
      <c r="J129" s="276">
        <v>29099147</v>
      </c>
      <c r="K129" s="276">
        <v>30188485</v>
      </c>
      <c r="L129" s="276">
        <v>30657294</v>
      </c>
      <c r="M129" s="276">
        <v>31359645</v>
      </c>
      <c r="N129" s="276">
        <v>29041173</v>
      </c>
      <c r="O129" s="276">
        <v>31075711</v>
      </c>
      <c r="P129" s="276">
        <v>31258542</v>
      </c>
      <c r="Q129" s="276">
        <v>30501571</v>
      </c>
      <c r="R129" s="276">
        <v>28788093</v>
      </c>
      <c r="S129" s="276">
        <v>29553857</v>
      </c>
      <c r="T129" s="276">
        <v>28270570</v>
      </c>
      <c r="U129" s="276">
        <v>27896068</v>
      </c>
      <c r="V129" s="276">
        <v>25445390</v>
      </c>
      <c r="W129" s="276">
        <v>24956089</v>
      </c>
      <c r="X129" s="276">
        <v>24080120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5.62</v>
      </c>
      <c r="C132" s="68">
        <v>5.62</v>
      </c>
      <c r="D132" s="68">
        <v>5.55</v>
      </c>
      <c r="E132" s="68">
        <v>3.84</v>
      </c>
      <c r="F132" s="68">
        <v>5.2</v>
      </c>
    </row>
    <row r="133" spans="1:24" ht="14.25" thickBot="1" x14ac:dyDescent="0.3">
      <c r="A133" s="225" t="s">
        <v>37</v>
      </c>
      <c r="B133" s="274">
        <v>-1.94</v>
      </c>
      <c r="C133" s="274">
        <v>-2.04</v>
      </c>
      <c r="D133" s="274">
        <v>-1.18</v>
      </c>
      <c r="E133" s="274">
        <v>-2.04</v>
      </c>
      <c r="F133" s="274">
        <v>-1.91</v>
      </c>
    </row>
    <row r="134" spans="1:24" ht="14.25" thickBot="1" x14ac:dyDescent="0.3">
      <c r="A134" s="224" t="s">
        <v>38</v>
      </c>
      <c r="B134" s="68">
        <v>-2.21</v>
      </c>
      <c r="C134" s="68">
        <v>-1.92</v>
      </c>
      <c r="D134" s="68">
        <v>-2.67</v>
      </c>
      <c r="E134" s="68">
        <v>-3.16</v>
      </c>
      <c r="F134" s="68">
        <v>-2.87</v>
      </c>
    </row>
    <row r="135" spans="1:24" ht="14.25" thickBot="1" x14ac:dyDescent="0.3">
      <c r="A135" s="225" t="s">
        <v>270</v>
      </c>
      <c r="B135" s="274">
        <v>3.68</v>
      </c>
      <c r="C135" s="274">
        <v>3.57</v>
      </c>
      <c r="D135" s="274">
        <v>4.37</v>
      </c>
      <c r="E135" s="274">
        <v>1.8</v>
      </c>
      <c r="F135" s="274">
        <v>3.29</v>
      </c>
    </row>
    <row r="136" spans="1:24" ht="14.25" thickBot="1" x14ac:dyDescent="0.3">
      <c r="A136" s="229" t="s">
        <v>39</v>
      </c>
      <c r="B136" s="72">
        <v>1.47</v>
      </c>
      <c r="C136" s="72">
        <v>1.65</v>
      </c>
      <c r="D136" s="72">
        <v>1.7</v>
      </c>
      <c r="E136" s="72">
        <v>-1.36</v>
      </c>
      <c r="F136" s="72">
        <v>0.42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2.2999999999999998</v>
      </c>
      <c r="C140" s="68">
        <v>2.5</v>
      </c>
      <c r="D140" s="68">
        <v>3</v>
      </c>
      <c r="E140" s="68">
        <v>2.7</v>
      </c>
      <c r="F140" s="68">
        <v>2.4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0.60526315789473673</v>
      </c>
      <c r="C142" s="234">
        <f>IF(C140&lt;&gt;"無",IF(ISNA(HLOOKUP(C139,$B$64:$F$69,6,FALSE)),"",C140/HLOOKUP(C139,$B$64:$F$69,6,FALSE)),"")</f>
        <v>0.59523809523809523</v>
      </c>
      <c r="D142" s="234">
        <f>IF(D140&lt;&gt;"無",IF(ISNA(HLOOKUP(D139,$B$64:$F$69,6,FALSE)),"",D140/HLOOKUP(D139,$B$64:$F$69,6,FALSE)),"")</f>
        <v>0.60606060606060619</v>
      </c>
      <c r="E142" s="234">
        <f>IF(E140&lt;&gt;"無",IF(ISNA(HLOOKUP(E139,$B$64:$F$69,6,FALSE)),"",E140/HLOOKUP(E139,$B$64:$F$69,6,FALSE)),"")</f>
        <v>0.59602649006622521</v>
      </c>
      <c r="F142" s="234">
        <f>IF(F140&lt;&gt;"無",IF(ISNA(HLOOKUP(F139,$B$64:$F$69,6,FALSE)),"",F140/HLOOKUP(F139,$B$64:$F$69,6,FALSE)),"")</f>
        <v>0.63157894736842102</v>
      </c>
    </row>
    <row r="143" spans="1:24" x14ac:dyDescent="0.25">
      <c r="A143" s="233" t="s">
        <v>216</v>
      </c>
      <c r="B143" s="234">
        <f>IF(OR(B140=0,B140="無"),"",B135/B140)</f>
        <v>1.6</v>
      </c>
      <c r="C143" s="234">
        <f>IF(OR(C140=0,C140="無"),"",C135/C140)</f>
        <v>1.4279999999999999</v>
      </c>
      <c r="D143" s="234">
        <f>IF(OR(D140=0,D140="無"),"",D135/D140)</f>
        <v>1.4566666666666668</v>
      </c>
      <c r="E143" s="234">
        <f>IF(OR(E140=0,E140="無"),"",E135/E140)</f>
        <v>0.66666666666666663</v>
      </c>
      <c r="F143" s="234">
        <f>IF(OR(F140=0,F140="無"),"",F135/F140)</f>
        <v>1.3708333333333333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23.12</v>
      </c>
      <c r="C146" s="68">
        <v>26.69</v>
      </c>
      <c r="D146" s="68">
        <v>25.34</v>
      </c>
      <c r="E146" s="68">
        <v>28.12</v>
      </c>
      <c r="F146" s="68">
        <v>26.28</v>
      </c>
      <c r="G146" s="68">
        <v>24.53</v>
      </c>
      <c r="H146" s="68">
        <v>24.72</v>
      </c>
      <c r="I146" s="68">
        <v>26.66</v>
      </c>
      <c r="J146" s="68">
        <v>26.07</v>
      </c>
      <c r="K146" s="68">
        <v>26.51</v>
      </c>
      <c r="L146" s="68">
        <v>25.67</v>
      </c>
      <c r="M146" s="68">
        <v>25.44</v>
      </c>
      <c r="N146" s="68">
        <v>26.97</v>
      </c>
      <c r="O146" s="68">
        <v>27.17</v>
      </c>
      <c r="P146" s="68">
        <v>26.66</v>
      </c>
      <c r="Q146" s="68">
        <v>26.58</v>
      </c>
      <c r="R146" s="68">
        <v>27.57</v>
      </c>
      <c r="S146" s="68">
        <v>30.31</v>
      </c>
      <c r="T146" s="68">
        <v>29.1</v>
      </c>
      <c r="U146" s="68">
        <v>28.4</v>
      </c>
      <c r="V146" s="68">
        <v>29.32</v>
      </c>
      <c r="W146" s="68">
        <v>27.16</v>
      </c>
      <c r="X146" s="68">
        <v>25.82</v>
      </c>
    </row>
    <row r="147" spans="1:24" s="93" customFormat="1" ht="14.25" thickBot="1" x14ac:dyDescent="0.3">
      <c r="A147" s="225" t="s">
        <v>19</v>
      </c>
      <c r="B147" s="274">
        <v>9.2799999999999994</v>
      </c>
      <c r="C147" s="274">
        <v>10.59</v>
      </c>
      <c r="D147" s="274">
        <v>11.35</v>
      </c>
      <c r="E147" s="274">
        <v>10.77</v>
      </c>
      <c r="F147" s="274">
        <v>10.62</v>
      </c>
      <c r="G147" s="274">
        <v>9.77</v>
      </c>
      <c r="H147" s="274">
        <v>9.76</v>
      </c>
      <c r="I147" s="274">
        <v>11.39</v>
      </c>
      <c r="J147" s="274">
        <v>10.82</v>
      </c>
      <c r="K147" s="274">
        <v>11.53</v>
      </c>
      <c r="L147" s="274">
        <v>12.42</v>
      </c>
      <c r="M147" s="274">
        <v>10.210000000000001</v>
      </c>
      <c r="N147" s="274">
        <v>11.25</v>
      </c>
      <c r="O147" s="274">
        <v>10.51</v>
      </c>
      <c r="P147" s="274">
        <v>10.71</v>
      </c>
      <c r="Q147" s="274">
        <v>7.75</v>
      </c>
      <c r="R147" s="274">
        <v>11.81</v>
      </c>
      <c r="S147" s="274">
        <v>12.04</v>
      </c>
      <c r="T147" s="274">
        <v>10.68</v>
      </c>
      <c r="U147" s="274">
        <v>9.06</v>
      </c>
      <c r="V147" s="274">
        <v>11.84</v>
      </c>
      <c r="W147" s="274">
        <v>10.34</v>
      </c>
      <c r="X147" s="274">
        <v>8.49</v>
      </c>
    </row>
    <row r="148" spans="1:24" s="93" customFormat="1" ht="14.25" thickBot="1" x14ac:dyDescent="0.3">
      <c r="A148" s="224" t="s">
        <v>41</v>
      </c>
      <c r="B148" s="68">
        <v>9.51</v>
      </c>
      <c r="C148" s="68">
        <v>11.44</v>
      </c>
      <c r="D148" s="68">
        <v>11.27</v>
      </c>
      <c r="E148" s="68">
        <v>11.3</v>
      </c>
      <c r="F148" s="68">
        <v>11.21</v>
      </c>
      <c r="G148" s="68">
        <v>10.029999999999999</v>
      </c>
      <c r="H148" s="68">
        <v>11.8</v>
      </c>
      <c r="I148" s="68">
        <v>11.82</v>
      </c>
      <c r="J148" s="68">
        <v>11.58</v>
      </c>
      <c r="K148" s="68">
        <v>11.99</v>
      </c>
      <c r="L148" s="68">
        <v>13.37</v>
      </c>
      <c r="M148" s="68">
        <v>11</v>
      </c>
      <c r="N148" s="68">
        <v>11.57</v>
      </c>
      <c r="O148" s="68">
        <v>10.92</v>
      </c>
      <c r="P148" s="68">
        <v>11.95</v>
      </c>
      <c r="Q148" s="68">
        <v>8.49</v>
      </c>
      <c r="R148" s="68">
        <v>12.38</v>
      </c>
      <c r="S148" s="68">
        <v>12.27</v>
      </c>
      <c r="T148" s="68">
        <v>11.42</v>
      </c>
      <c r="U148" s="68">
        <v>8.4700000000000006</v>
      </c>
      <c r="V148" s="68">
        <v>12.15</v>
      </c>
      <c r="W148" s="68">
        <v>11.49</v>
      </c>
      <c r="X148" s="68">
        <v>8.9</v>
      </c>
    </row>
    <row r="149" spans="1:24" s="93" customFormat="1" ht="14.25" thickBot="1" x14ac:dyDescent="0.3">
      <c r="A149" s="225" t="s">
        <v>13</v>
      </c>
      <c r="B149" s="73">
        <v>7.27</v>
      </c>
      <c r="C149" s="73">
        <v>7.98</v>
      </c>
      <c r="D149" s="73">
        <v>8.7200000000000006</v>
      </c>
      <c r="E149" s="73">
        <v>8.75</v>
      </c>
      <c r="F149" s="73">
        <v>8.17</v>
      </c>
      <c r="G149" s="73">
        <v>6.63</v>
      </c>
      <c r="H149" s="73">
        <v>9.67</v>
      </c>
      <c r="I149" s="73">
        <v>9.8699999999999992</v>
      </c>
      <c r="J149" s="73">
        <v>8.94</v>
      </c>
      <c r="K149" s="73">
        <v>8.36</v>
      </c>
      <c r="L149" s="73">
        <v>10.62</v>
      </c>
      <c r="M149" s="73">
        <v>6.54</v>
      </c>
      <c r="N149" s="73">
        <v>8.6300000000000008</v>
      </c>
      <c r="O149" s="73">
        <v>8.35</v>
      </c>
      <c r="P149" s="73">
        <v>8.57</v>
      </c>
      <c r="Q149" s="73">
        <v>6.87</v>
      </c>
      <c r="R149" s="73">
        <v>9.6199999999999992</v>
      </c>
      <c r="S149" s="73">
        <v>7.56</v>
      </c>
      <c r="T149" s="73">
        <v>9.7799999999999994</v>
      </c>
      <c r="U149" s="73">
        <v>5.4</v>
      </c>
      <c r="V149" s="73">
        <v>9.11</v>
      </c>
      <c r="W149" s="73">
        <v>7.46</v>
      </c>
      <c r="X149" s="73">
        <v>6.36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25.9</v>
      </c>
      <c r="C152" s="68">
        <v>25.57</v>
      </c>
      <c r="D152" s="68">
        <v>25.89</v>
      </c>
      <c r="E152" s="68">
        <v>26.84</v>
      </c>
      <c r="F152" s="68">
        <v>28.84</v>
      </c>
    </row>
    <row r="153" spans="1:24" s="93" customFormat="1" ht="14.25" thickBot="1" x14ac:dyDescent="0.3">
      <c r="A153" s="225" t="s">
        <v>19</v>
      </c>
      <c r="B153" s="274">
        <v>10.61</v>
      </c>
      <c r="C153" s="274">
        <v>10.42</v>
      </c>
      <c r="D153" s="274">
        <v>11.26</v>
      </c>
      <c r="E153" s="274">
        <v>10.1</v>
      </c>
      <c r="F153" s="274">
        <v>10.92</v>
      </c>
    </row>
    <row r="154" spans="1:24" s="93" customFormat="1" ht="14.25" thickBot="1" x14ac:dyDescent="0.3">
      <c r="A154" s="224" t="s">
        <v>41</v>
      </c>
      <c r="B154" s="68">
        <v>10.97</v>
      </c>
      <c r="C154" s="68">
        <v>11.26</v>
      </c>
      <c r="D154" s="68">
        <v>12.02</v>
      </c>
      <c r="E154" s="68">
        <v>10.8</v>
      </c>
      <c r="F154" s="68">
        <v>11.16</v>
      </c>
    </row>
    <row r="155" spans="1:24" s="93" customFormat="1" ht="14.25" thickBot="1" x14ac:dyDescent="0.3">
      <c r="A155" s="225" t="s">
        <v>13</v>
      </c>
      <c r="B155" s="73">
        <v>8.25</v>
      </c>
      <c r="C155" s="73">
        <v>8.69</v>
      </c>
      <c r="D155" s="73">
        <v>8.61</v>
      </c>
      <c r="E155" s="73">
        <v>8.1300000000000008</v>
      </c>
      <c r="F155" s="73">
        <v>8.09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1.47</v>
      </c>
      <c r="C158" s="68">
        <v>1.9</v>
      </c>
      <c r="D158" s="68">
        <v>2.5299999999999998</v>
      </c>
      <c r="E158" s="68">
        <v>1.89</v>
      </c>
      <c r="F158" s="68">
        <v>1.46</v>
      </c>
      <c r="G158" s="68">
        <v>1.18</v>
      </c>
      <c r="H158" s="68">
        <v>1.72</v>
      </c>
      <c r="I158" s="68">
        <v>1.96</v>
      </c>
      <c r="J158" s="68">
        <v>1.51</v>
      </c>
      <c r="K158" s="68">
        <v>1.55</v>
      </c>
      <c r="L158" s="68">
        <v>2.34</v>
      </c>
      <c r="M158" s="68">
        <v>1.41</v>
      </c>
      <c r="N158" s="68">
        <v>1.66</v>
      </c>
      <c r="O158" s="68">
        <v>1.52</v>
      </c>
      <c r="P158" s="68">
        <v>1.76</v>
      </c>
      <c r="Q158" s="68">
        <v>1.2</v>
      </c>
      <c r="R158" s="68">
        <v>1.65</v>
      </c>
      <c r="S158" s="68">
        <v>1.3</v>
      </c>
      <c r="T158" s="68">
        <v>1.58</v>
      </c>
      <c r="U158" s="68">
        <v>0.93</v>
      </c>
      <c r="V158" s="68">
        <v>1.42</v>
      </c>
      <c r="W158" s="68">
        <v>1.37</v>
      </c>
      <c r="X158" s="68">
        <v>1.1100000000000001</v>
      </c>
    </row>
    <row r="159" spans="1:24" s="93" customFormat="1" ht="14.25" thickBot="1" x14ac:dyDescent="0.3">
      <c r="A159" s="225" t="s">
        <v>45</v>
      </c>
      <c r="B159" s="73">
        <v>2.42</v>
      </c>
      <c r="C159" s="73">
        <v>3.32</v>
      </c>
      <c r="D159" s="73">
        <v>4.6500000000000004</v>
      </c>
      <c r="E159" s="73">
        <v>3.47</v>
      </c>
      <c r="F159" s="73">
        <v>3.17</v>
      </c>
      <c r="G159" s="73">
        <v>3.34</v>
      </c>
      <c r="H159" s="73">
        <v>5.19</v>
      </c>
      <c r="I159" s="73">
        <v>5.76</v>
      </c>
      <c r="J159" s="73">
        <v>4.17</v>
      </c>
      <c r="K159" s="73">
        <v>4.34</v>
      </c>
      <c r="L159" s="73">
        <v>6.68</v>
      </c>
      <c r="M159" s="73">
        <v>3.81</v>
      </c>
      <c r="N159" s="73">
        <v>4.17</v>
      </c>
      <c r="O159" s="73">
        <v>3.87</v>
      </c>
      <c r="P159" s="73">
        <v>4.68</v>
      </c>
      <c r="Q159" s="73">
        <v>3.06</v>
      </c>
      <c r="R159" s="73">
        <v>3.95</v>
      </c>
      <c r="S159" s="73">
        <v>3.13</v>
      </c>
      <c r="T159" s="73">
        <v>3.91</v>
      </c>
      <c r="U159" s="73">
        <v>2.21</v>
      </c>
      <c r="V159" s="73">
        <v>3.19</v>
      </c>
      <c r="W159" s="73">
        <v>2.98</v>
      </c>
      <c r="X159" s="73">
        <v>2.38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8.25</v>
      </c>
      <c r="C162" s="68">
        <v>8.69</v>
      </c>
      <c r="D162" s="68">
        <v>8.61</v>
      </c>
      <c r="E162" s="68">
        <v>8.1300000000000008</v>
      </c>
      <c r="F162" s="68">
        <v>8.09</v>
      </c>
    </row>
    <row r="163" spans="1:72" s="93" customFormat="1" ht="14.25" thickBot="1" x14ac:dyDescent="0.3">
      <c r="A163" s="225" t="s">
        <v>18</v>
      </c>
      <c r="B163" s="274">
        <v>0.9</v>
      </c>
      <c r="C163" s="274">
        <v>0.67</v>
      </c>
      <c r="D163" s="274">
        <v>0.76</v>
      </c>
      <c r="E163" s="274">
        <v>0.76</v>
      </c>
      <c r="F163" s="274">
        <v>0.7</v>
      </c>
    </row>
    <row r="164" spans="1:72" s="93" customFormat="1" ht="14.25" thickBot="1" x14ac:dyDescent="0.3">
      <c r="A164" s="224" t="s">
        <v>15</v>
      </c>
      <c r="B164" s="68">
        <v>1.79</v>
      </c>
      <c r="C164" s="68">
        <v>2.87</v>
      </c>
      <c r="D164" s="68">
        <v>2.65</v>
      </c>
      <c r="E164" s="68">
        <v>2.5</v>
      </c>
      <c r="F164" s="68">
        <v>2.34</v>
      </c>
    </row>
    <row r="165" spans="1:72" s="93" customFormat="1" ht="14.25" thickBot="1" x14ac:dyDescent="0.3">
      <c r="A165" s="225" t="s">
        <v>45</v>
      </c>
      <c r="B165" s="73">
        <v>13.58</v>
      </c>
      <c r="C165" s="73">
        <v>15.72</v>
      </c>
      <c r="D165" s="73">
        <v>18.46</v>
      </c>
      <c r="E165" s="73">
        <v>15.62</v>
      </c>
      <c r="F165" s="73">
        <v>13.14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116.88</v>
      </c>
      <c r="C168" s="68">
        <v>100</v>
      </c>
      <c r="D168" s="68">
        <v>86.54</v>
      </c>
      <c r="E168" s="68">
        <v>113.92</v>
      </c>
      <c r="F168" s="68">
        <v>94.74</v>
      </c>
      <c r="G168" s="68">
        <v>62.5</v>
      </c>
      <c r="H168" s="68">
        <v>68.180000000000007</v>
      </c>
      <c r="I168" s="68">
        <v>63.38</v>
      </c>
      <c r="J168" s="68">
        <v>74.38</v>
      </c>
      <c r="K168" s="68">
        <v>69.77</v>
      </c>
      <c r="L168" s="68">
        <v>60.81</v>
      </c>
      <c r="M168" s="68">
        <v>61.64</v>
      </c>
      <c r="N168" s="68">
        <v>73.17</v>
      </c>
      <c r="O168" s="68">
        <v>84.91</v>
      </c>
      <c r="P168" s="68">
        <v>81.08</v>
      </c>
      <c r="Q168" s="68">
        <v>96.77</v>
      </c>
      <c r="R168" s="68">
        <v>94.74</v>
      </c>
      <c r="S168" s="68">
        <v>92.78</v>
      </c>
      <c r="T168" s="68">
        <v>96.77</v>
      </c>
      <c r="U168" s="68">
        <v>88.24</v>
      </c>
      <c r="V168" s="68">
        <v>94.74</v>
      </c>
      <c r="W168" s="68">
        <v>80.36</v>
      </c>
      <c r="X168" s="68">
        <v>83.33</v>
      </c>
    </row>
    <row r="169" spans="1:72" s="93" customFormat="1" ht="14.25" thickBot="1" x14ac:dyDescent="0.3">
      <c r="A169" s="225" t="s">
        <v>17</v>
      </c>
      <c r="B169" s="274">
        <v>97.83</v>
      </c>
      <c r="C169" s="274">
        <v>79.650000000000006</v>
      </c>
      <c r="D169" s="274">
        <v>65.22</v>
      </c>
      <c r="E169" s="274">
        <v>96.77</v>
      </c>
      <c r="F169" s="274">
        <v>195.65</v>
      </c>
      <c r="G169" s="274">
        <v>250</v>
      </c>
      <c r="H169" s="274">
        <v>257.14</v>
      </c>
      <c r="I169" s="274">
        <v>236.84</v>
      </c>
      <c r="J169" s="274">
        <v>264.70999999999998</v>
      </c>
      <c r="K169" s="274">
        <v>243.24</v>
      </c>
      <c r="L169" s="274">
        <v>195.65</v>
      </c>
      <c r="M169" s="274">
        <v>195.65</v>
      </c>
      <c r="N169" s="274">
        <v>214.29</v>
      </c>
      <c r="O169" s="274">
        <v>219.51</v>
      </c>
      <c r="P169" s="274">
        <v>187.5</v>
      </c>
      <c r="Q169" s="274">
        <v>219.51</v>
      </c>
      <c r="R169" s="274">
        <v>219.51</v>
      </c>
      <c r="S169" s="274">
        <v>219.51</v>
      </c>
      <c r="T169" s="274">
        <v>225</v>
      </c>
      <c r="U169" s="274">
        <v>209.3</v>
      </c>
      <c r="V169" s="274">
        <v>230.77</v>
      </c>
      <c r="W169" s="274">
        <v>187.5</v>
      </c>
      <c r="X169" s="274">
        <v>191.49</v>
      </c>
    </row>
    <row r="170" spans="1:72" s="93" customFormat="1" ht="14.25" thickBot="1" x14ac:dyDescent="0.3">
      <c r="A170" s="224" t="s">
        <v>42</v>
      </c>
      <c r="B170" s="72">
        <v>214.71</v>
      </c>
      <c r="C170" s="72">
        <v>179.65</v>
      </c>
      <c r="D170" s="72">
        <v>151.76</v>
      </c>
      <c r="E170" s="72">
        <v>210.7</v>
      </c>
      <c r="F170" s="72">
        <v>290.39</v>
      </c>
      <c r="G170" s="72">
        <v>312.5</v>
      </c>
      <c r="H170" s="72">
        <v>325.32</v>
      </c>
      <c r="I170" s="72">
        <v>300.22000000000003</v>
      </c>
      <c r="J170" s="72">
        <v>339.09</v>
      </c>
      <c r="K170" s="72">
        <v>313.01</v>
      </c>
      <c r="L170" s="72">
        <v>256.45999999999998</v>
      </c>
      <c r="M170" s="72">
        <v>257.3</v>
      </c>
      <c r="N170" s="72">
        <v>287.45999999999998</v>
      </c>
      <c r="O170" s="72">
        <v>304.42</v>
      </c>
      <c r="P170" s="72">
        <v>268.58</v>
      </c>
      <c r="Q170" s="72">
        <v>316.29000000000002</v>
      </c>
      <c r="R170" s="72">
        <v>314.25</v>
      </c>
      <c r="S170" s="72">
        <v>312.3</v>
      </c>
      <c r="T170" s="72">
        <v>321.77</v>
      </c>
      <c r="U170" s="72">
        <v>297.54000000000002</v>
      </c>
      <c r="V170" s="72">
        <v>325.51</v>
      </c>
      <c r="W170" s="72">
        <v>267.86</v>
      </c>
      <c r="X170" s="72">
        <v>274.82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147.5</v>
      </c>
      <c r="C173" s="72">
        <v>132.41999999999999</v>
      </c>
      <c r="D173" s="72">
        <v>110.31</v>
      </c>
      <c r="E173" s="72">
        <v>83.35</v>
      </c>
      <c r="F173" s="72">
        <v>134.4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13.05</v>
      </c>
      <c r="C176" s="72">
        <v>12.94</v>
      </c>
      <c r="D176" s="72">
        <v>13.38</v>
      </c>
      <c r="E176" s="72">
        <v>13.09</v>
      </c>
      <c r="F176" s="72">
        <v>13.79</v>
      </c>
      <c r="G176" s="72">
        <v>13.77</v>
      </c>
      <c r="H176" s="72">
        <v>13.85</v>
      </c>
      <c r="I176" s="72">
        <v>15.12</v>
      </c>
      <c r="J176" s="72">
        <v>16.440000000000001</v>
      </c>
      <c r="K176" s="72">
        <v>16.95</v>
      </c>
      <c r="L176" s="72">
        <v>15.79</v>
      </c>
      <c r="M176" s="72">
        <v>14.55</v>
      </c>
      <c r="N176" s="72">
        <v>15.21</v>
      </c>
      <c r="O176" s="72">
        <v>16.02</v>
      </c>
      <c r="P176" s="72">
        <v>15.94</v>
      </c>
      <c r="Q176" s="72">
        <v>16.97</v>
      </c>
      <c r="R176" s="72">
        <v>17.100000000000001</v>
      </c>
      <c r="S176" s="72">
        <v>15.45</v>
      </c>
      <c r="T176" s="72">
        <v>16.809999999999999</v>
      </c>
      <c r="U176" s="72">
        <v>18.32</v>
      </c>
      <c r="V176" s="72">
        <v>19.649999999999999</v>
      </c>
      <c r="W176" s="72">
        <v>21.38</v>
      </c>
      <c r="X176" s="72">
        <v>22.96</v>
      </c>
      <c r="Y176" s="72">
        <v>23.64</v>
      </c>
      <c r="Z176" s="72">
        <v>22.17</v>
      </c>
      <c r="AA176" s="72">
        <v>23.08</v>
      </c>
      <c r="AB176" s="72">
        <v>20.71</v>
      </c>
      <c r="AC176" s="72">
        <v>21.14</v>
      </c>
      <c r="AD176" s="72">
        <v>18.09</v>
      </c>
      <c r="AE176" s="72">
        <v>16.03</v>
      </c>
      <c r="AF176" s="72">
        <v>15.48</v>
      </c>
      <c r="AG176" s="72">
        <v>15.51</v>
      </c>
      <c r="AH176" s="72">
        <v>14.25</v>
      </c>
      <c r="AI176" s="72">
        <v>14.13</v>
      </c>
      <c r="AJ176" s="72">
        <v>13</v>
      </c>
      <c r="AK176" s="72">
        <v>13.76</v>
      </c>
      <c r="AL176" s="72">
        <v>14.04</v>
      </c>
      <c r="AM176" s="72">
        <v>13.74</v>
      </c>
      <c r="AN176" s="72">
        <v>14.82</v>
      </c>
      <c r="AO176" s="72">
        <v>14.05</v>
      </c>
      <c r="AP176" s="72">
        <v>13.27</v>
      </c>
      <c r="AQ176" s="72">
        <v>12.02</v>
      </c>
      <c r="AR176" s="72">
        <v>10.71</v>
      </c>
      <c r="AS176" s="72">
        <v>9.14</v>
      </c>
      <c r="AT176" s="72">
        <v>10.27</v>
      </c>
      <c r="AU176" s="72">
        <v>10.51</v>
      </c>
      <c r="AV176" s="72">
        <v>11.18</v>
      </c>
      <c r="AW176" s="72">
        <v>10.210000000000001</v>
      </c>
      <c r="AX176" s="72">
        <v>9.52</v>
      </c>
      <c r="AY176" s="72">
        <v>9.5399999999999991</v>
      </c>
      <c r="AZ176" s="72">
        <v>10.49</v>
      </c>
      <c r="BA176" s="72">
        <v>10.17</v>
      </c>
      <c r="BB176" s="72">
        <v>10.56</v>
      </c>
      <c r="BC176" s="72">
        <v>10.39</v>
      </c>
      <c r="BD176" s="72">
        <v>9.92</v>
      </c>
      <c r="BE176" s="72">
        <v>10.33</v>
      </c>
      <c r="BF176" s="72">
        <v>10.72</v>
      </c>
      <c r="BG176" s="72">
        <v>10.77</v>
      </c>
      <c r="BH176" s="72">
        <v>10.83</v>
      </c>
      <c r="BI176" s="72">
        <v>11.12</v>
      </c>
      <c r="BJ176" s="72">
        <v>10.98</v>
      </c>
      <c r="BK176" s="72">
        <v>11.61</v>
      </c>
      <c r="BL176" s="72">
        <v>13.32</v>
      </c>
      <c r="BM176" s="72">
        <v>13.17</v>
      </c>
      <c r="BN176" s="72">
        <v>13.87</v>
      </c>
      <c r="BO176" s="72">
        <v>14.66</v>
      </c>
      <c r="BP176" s="72">
        <v>13.98</v>
      </c>
      <c r="BQ176" s="72">
        <v>14.87</v>
      </c>
      <c r="BR176" s="72">
        <v>16.52</v>
      </c>
      <c r="BS176" s="72">
        <v>16.93</v>
      </c>
      <c r="BT176" s="72">
        <v>18.66</v>
      </c>
    </row>
  </sheetData>
  <phoneticPr fontId="3" type="noConversion"/>
  <conditionalFormatting sqref="E4">
    <cfRule type="cellIs" dxfId="7271" priority="101" operator="greaterThan">
      <formula>0.2</formula>
    </cfRule>
    <cfRule type="cellIs" dxfId="7270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7269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7268" priority="95" operator="greaterThan">
      <formula>$B$19</formula>
    </cfRule>
  </conditionalFormatting>
  <conditionalFormatting sqref="D33:D34">
    <cfRule type="cellIs" dxfId="7267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7266" priority="89" operator="lessThan">
      <formula>$H$62</formula>
    </cfRule>
    <cfRule type="cellIs" dxfId="7265" priority="90" operator="greaterThan">
      <formula>$H$62</formula>
    </cfRule>
  </conditionalFormatting>
  <conditionalFormatting sqref="J62">
    <cfRule type="cellIs" dxfId="7264" priority="87" operator="lessThan">
      <formula>$K$62</formula>
    </cfRule>
    <cfRule type="cellIs" dxfId="7263" priority="88" operator="greaterThan">
      <formula>$K$62</formula>
    </cfRule>
  </conditionalFormatting>
  <conditionalFormatting sqref="M62">
    <cfRule type="cellIs" dxfId="7262" priority="85" operator="lessThan">
      <formula>$N$62</formula>
    </cfRule>
    <cfRule type="cellIs" dxfId="7261" priority="86" operator="greaterThan">
      <formula>$N$62</formula>
    </cfRule>
  </conditionalFormatting>
  <conditionalFormatting sqref="B44:E44">
    <cfRule type="cellIs" dxfId="7260" priority="83" operator="greaterThan">
      <formula>0</formula>
    </cfRule>
    <cfRule type="cellIs" dxfId="7259" priority="84" operator="lessThan">
      <formula>0</formula>
    </cfRule>
  </conditionalFormatting>
  <conditionalFormatting sqref="F72">
    <cfRule type="cellIs" dxfId="7258" priority="82" operator="lessThan">
      <formula>$E$72*90%</formula>
    </cfRule>
  </conditionalFormatting>
  <conditionalFormatting sqref="F73">
    <cfRule type="cellIs" dxfId="7257" priority="81" operator="lessThan">
      <formula>$E$73*90%</formula>
    </cfRule>
  </conditionalFormatting>
  <conditionalFormatting sqref="F74">
    <cfRule type="cellIs" dxfId="7256" priority="80" operator="lessThan">
      <formula>$E$74*90%</formula>
    </cfRule>
  </conditionalFormatting>
  <conditionalFormatting sqref="F75">
    <cfRule type="cellIs" dxfId="7255" priority="79" operator="lessThan">
      <formula>$E$75*90%</formula>
    </cfRule>
  </conditionalFormatting>
  <conditionalFormatting sqref="H44:K44">
    <cfRule type="cellIs" dxfId="7254" priority="77" operator="greaterThan">
      <formula>0</formula>
    </cfRule>
    <cfRule type="cellIs" dxfId="7253" priority="78" operator="lessThan">
      <formula>0</formula>
    </cfRule>
  </conditionalFormatting>
  <conditionalFormatting sqref="H51:K51">
    <cfRule type="cellIs" dxfId="7252" priority="75" operator="greaterThan">
      <formula>0</formula>
    </cfRule>
    <cfRule type="cellIs" dxfId="7251" priority="76" operator="lessThan">
      <formula>0</formula>
    </cfRule>
  </conditionalFormatting>
  <conditionalFormatting sqref="B51:E51">
    <cfRule type="cellIs" dxfId="7250" priority="73" operator="greaterThan">
      <formula>0</formula>
    </cfRule>
    <cfRule type="cellIs" dxfId="7249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7248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7247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7246" priority="56" operator="lessThan">
      <formula>0</formula>
    </cfRule>
  </conditionalFormatting>
  <conditionalFormatting sqref="A25 E25 C25">
    <cfRule type="cellIs" dxfId="7245" priority="57" operator="lessThan">
      <formula>0</formula>
    </cfRule>
  </conditionalFormatting>
  <conditionalFormatting sqref="F25">
    <cfRule type="cellIs" dxfId="7244" priority="55" operator="lessThan">
      <formula>0</formula>
    </cfRule>
  </conditionalFormatting>
  <conditionalFormatting sqref="E1">
    <cfRule type="containsText" dxfId="7243" priority="54" operator="containsText" text="本季業外損益/平均=-">
      <formula>NOT(ISERROR(SEARCH("本季業外損益/平均=-",E1)))</formula>
    </cfRule>
  </conditionalFormatting>
  <conditionalFormatting sqref="M65">
    <cfRule type="cellIs" dxfId="7242" priority="53" operator="lessThan">
      <formula>$L$65*90%</formula>
    </cfRule>
  </conditionalFormatting>
  <conditionalFormatting sqref="M66">
    <cfRule type="cellIs" dxfId="7241" priority="52" operator="lessThan">
      <formula>$L$66*90%</formula>
    </cfRule>
  </conditionalFormatting>
  <conditionalFormatting sqref="M67">
    <cfRule type="cellIs" dxfId="7240" priority="51" operator="lessThan">
      <formula>$L$67*90%</formula>
    </cfRule>
  </conditionalFormatting>
  <conditionalFormatting sqref="M68">
    <cfRule type="cellIs" dxfId="7239" priority="50" operator="lessThan">
      <formula>$L$68*90%</formula>
    </cfRule>
  </conditionalFormatting>
  <conditionalFormatting sqref="B60">
    <cfRule type="cellIs" dxfId="7238" priority="49" operator="lessThan">
      <formula>0</formula>
    </cfRule>
  </conditionalFormatting>
  <conditionalFormatting sqref="B59:F59">
    <cfRule type="cellIs" dxfId="7237" priority="48" operator="lessThanOrEqual">
      <formula>0</formula>
    </cfRule>
  </conditionalFormatting>
  <conditionalFormatting sqref="D62">
    <cfRule type="cellIs" dxfId="7236" priority="46" operator="lessThan">
      <formula>$E$62</formula>
    </cfRule>
    <cfRule type="cellIs" dxfId="7235" priority="47" operator="greaterThan">
      <formula>$E$62</formula>
    </cfRule>
  </conditionalFormatting>
  <conditionalFormatting sqref="F69">
    <cfRule type="cellIs" dxfId="7234" priority="44" operator="lessThan">
      <formula>0</formula>
    </cfRule>
  </conditionalFormatting>
  <conditionalFormatting sqref="B65:E67 B69:E69 B68:D68">
    <cfRule type="cellIs" dxfId="7233" priority="45" operator="lessThan">
      <formula>0</formula>
    </cfRule>
  </conditionalFormatting>
  <conditionalFormatting sqref="E68">
    <cfRule type="cellIs" dxfId="7232" priority="43" operator="lessThan">
      <formula>0</formula>
    </cfRule>
  </conditionalFormatting>
  <conditionalFormatting sqref="F65:F68">
    <cfRule type="cellIs" dxfId="7231" priority="42" operator="lessThan">
      <formula>0</formula>
    </cfRule>
  </conditionalFormatting>
  <conditionalFormatting sqref="F65:F68">
    <cfRule type="cellIs" dxfId="7230" priority="41" operator="lessThan">
      <formula>$E$65*0.9</formula>
    </cfRule>
  </conditionalFormatting>
  <conditionalFormatting sqref="F66">
    <cfRule type="cellIs" dxfId="7229" priority="40" operator="lessThan">
      <formula>$E$66*0.9</formula>
    </cfRule>
  </conditionalFormatting>
  <conditionalFormatting sqref="F67:F68">
    <cfRule type="cellIs" dxfId="7228" priority="39" operator="lessThan">
      <formula>$E$67*0.9</formula>
    </cfRule>
  </conditionalFormatting>
  <conditionalFormatting sqref="F68">
    <cfRule type="cellIs" dxfId="7227" priority="38" operator="lessThan">
      <formula>$E$68*0.9</formula>
    </cfRule>
  </conditionalFormatting>
  <conditionalFormatting sqref="B13:F13">
    <cfRule type="cellIs" dxfId="7226" priority="27" operator="greaterThan">
      <formula>$I$16</formula>
    </cfRule>
    <cfRule type="cellIs" dxfId="7225" priority="28" operator="lessThanOrEqual">
      <formula>$I$16</formula>
    </cfRule>
  </conditionalFormatting>
  <conditionalFormatting sqref="B10:F10">
    <cfRule type="cellIs" dxfId="7224" priority="29" operator="greaterThan">
      <formula>15</formula>
    </cfRule>
    <cfRule type="cellIs" dxfId="7223" priority="36" operator="lessThan">
      <formula>$I$9</formula>
    </cfRule>
    <cfRule type="cellIs" dxfId="7222" priority="37" operator="greaterThan">
      <formula>$I$9</formula>
    </cfRule>
  </conditionalFormatting>
  <conditionalFormatting sqref="B16:F16">
    <cfRule type="cellIs" dxfId="7221" priority="34" operator="greaterThan">
      <formula>$I$16</formula>
    </cfRule>
    <cfRule type="cellIs" dxfId="7220" priority="35" operator="lessThanOrEqual">
      <formula>$I$16</formula>
    </cfRule>
  </conditionalFormatting>
  <conditionalFormatting sqref="B15:F15">
    <cfRule type="cellIs" dxfId="7219" priority="32" operator="lessThanOrEqual">
      <formula>$I$16</formula>
    </cfRule>
    <cfRule type="cellIs" dxfId="7218" priority="33" operator="greaterThan">
      <formula>$I$16</formula>
    </cfRule>
  </conditionalFormatting>
  <conditionalFormatting sqref="B14:F14">
    <cfRule type="cellIs" dxfId="7217" priority="30" operator="greaterThan">
      <formula>$I$16</formula>
    </cfRule>
    <cfRule type="cellIs" dxfId="7216" priority="31" operator="lessThanOrEqual">
      <formula>$I$16</formula>
    </cfRule>
  </conditionalFormatting>
  <conditionalFormatting sqref="K6">
    <cfRule type="containsText" dxfId="7215" priority="25" operator="containsText" text="衰退">
      <formula>NOT(ISERROR(SEARCH("衰退",K6)))</formula>
    </cfRule>
    <cfRule type="containsText" dxfId="7214" priority="26" operator="containsText" text="成長">
      <formula>NOT(ISERROR(SEARCH("成長",K6)))</formula>
    </cfRule>
  </conditionalFormatting>
  <conditionalFormatting sqref="I4:K4">
    <cfRule type="cellIs" dxfId="7213" priority="23" operator="lessThan">
      <formula>0</formula>
    </cfRule>
    <cfRule type="cellIs" dxfId="7212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7211" priority="20" operator="lessThanOrEqual">
      <formula>$I$16</formula>
    </cfRule>
    <cfRule type="cellIs" dxfId="7210" priority="21" operator="greaterThan">
      <formula>$I$16</formula>
    </cfRule>
  </conditionalFormatting>
  <conditionalFormatting sqref="I6">
    <cfRule type="containsText" dxfId="7209" priority="18" operator="containsText" text="衰退">
      <formula>NOT(ISERROR(SEARCH("衰退",I6)))</formula>
    </cfRule>
    <cfRule type="containsText" dxfId="7208" priority="19" operator="containsText" text="成長">
      <formula>NOT(ISERROR(SEARCH("成長",I6)))</formula>
    </cfRule>
  </conditionalFormatting>
  <conditionalFormatting sqref="M9">
    <cfRule type="cellIs" dxfId="7207" priority="17" operator="lessThan">
      <formula>$I$9</formula>
    </cfRule>
  </conditionalFormatting>
  <conditionalFormatting sqref="M10">
    <cfRule type="cellIs" dxfId="7206" priority="16" operator="greaterThan">
      <formula>$I$9</formula>
    </cfRule>
  </conditionalFormatting>
  <conditionalFormatting sqref="M11">
    <cfRule type="cellIs" dxfId="7205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7204" priority="12" operator="lessThan">
      <formula>0</formula>
    </cfRule>
    <cfRule type="cellIs" dxfId="7203" priority="13" operator="greaterThan">
      <formula>0.5</formula>
    </cfRule>
  </conditionalFormatting>
  <conditionalFormatting sqref="N14">
    <cfRule type="cellIs" dxfId="7202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7201" priority="8" operator="lessThan">
      <formula>0.1</formula>
    </cfRule>
  </conditionalFormatting>
  <conditionalFormatting sqref="I14">
    <cfRule type="cellIs" dxfId="7200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7199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7198" priority="1" operator="lessThan">
      <formula>$N$5*0.9</formula>
    </cfRule>
    <cfRule type="cellIs" dxfId="7197" priority="2" operator="greaterThan">
      <formula>$N$5*1.1</formula>
    </cfRule>
  </conditionalFormatting>
  <hyperlinks>
    <hyperlink ref="L1" location="儀表板!A1" display="(回首頁)" xr:uid="{00000000-0004-0000-0700-00000000000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176"/>
  <sheetViews>
    <sheetView workbookViewId="0">
      <selection activeCell="L1" sqref="L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201801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5.04 ~ 10.91</v>
      </c>
      <c r="L1" s="83" t="s">
        <v>176</v>
      </c>
      <c r="M1" s="84" t="str">
        <f ca="1">VLOOKUP(_xlfn.NUMBERVALUE(N1),儀表板!A:B,2,FALSE)</f>
        <v>大億</v>
      </c>
      <c r="N1" s="85" t="str">
        <f ca="1">MID(CELL("filename",L1),FIND("]",CELL("filename",L1))+1,255)</f>
        <v>1521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0.14260345746102296</v>
      </c>
    </row>
    <row r="3" spans="1:15" s="93" customFormat="1" x14ac:dyDescent="0.25">
      <c r="A3" s="81" t="s">
        <v>179</v>
      </c>
      <c r="B3" s="94">
        <f>SUM(F19:F22,F24:F27,J19)</f>
        <v>83.90545015331557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92.007327462778335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93.584204162960077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97.629235698208902</v>
      </c>
      <c r="L3" s="100"/>
      <c r="M3" s="79" t="s">
        <v>385</v>
      </c>
      <c r="N3" s="92">
        <f>(F69-E69)/E69</f>
        <v>3.711216348592291E-2</v>
      </c>
    </row>
    <row r="4" spans="1:15" s="93" customFormat="1" x14ac:dyDescent="0.25">
      <c r="A4" s="81" t="s">
        <v>182</v>
      </c>
      <c r="B4" s="96">
        <f>SUM(G36:G40)*2</f>
        <v>88</v>
      </c>
      <c r="C4" s="101"/>
      <c r="D4" s="102">
        <f>F4*(1+F141/10)</f>
        <v>7.62</v>
      </c>
      <c r="E4" s="82">
        <f>(D4-F4)/F4</f>
        <v>0</v>
      </c>
      <c r="F4" s="103">
        <v>7.62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6.7619713059282169</v>
      </c>
    </row>
    <row r="5" spans="1:15" s="93" customFormat="1" x14ac:dyDescent="0.25">
      <c r="A5" s="81" t="s">
        <v>184</v>
      </c>
      <c r="B5" s="107">
        <f>SUM(F30:F34)*2</f>
        <v>88.318150890346757</v>
      </c>
      <c r="C5" s="87"/>
      <c r="D5" s="87"/>
      <c r="E5" s="87"/>
      <c r="F5" s="86"/>
      <c r="G5" s="88"/>
      <c r="M5" s="79" t="s">
        <v>386</v>
      </c>
      <c r="N5" s="152">
        <f>D62</f>
        <v>6.9499999999999993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連2季成長</v>
      </c>
      <c r="L6" s="112"/>
      <c r="M6" s="79" t="s">
        <v>190</v>
      </c>
      <c r="N6" s="152">
        <f>A53</f>
        <v>6.3820280474941322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19.48</v>
      </c>
      <c r="N9" s="129"/>
    </row>
    <row r="10" spans="1:15" s="93" customFormat="1" x14ac:dyDescent="0.25">
      <c r="A10" s="123" t="s">
        <v>194</v>
      </c>
      <c r="B10" s="126">
        <f>PERCENTILE(176:176,B9)</f>
        <v>12.83</v>
      </c>
      <c r="C10" s="126">
        <f>PERCENTILE(176:176,C9)</f>
        <v>13.42</v>
      </c>
      <c r="D10" s="126">
        <f>PERCENTILE(176:176,D9)</f>
        <v>13.65</v>
      </c>
      <c r="E10" s="126">
        <f>PERCENTILE(176:176,E9)</f>
        <v>14.24</v>
      </c>
      <c r="F10" s="126">
        <f>PERCENTILE(176:176,F9)</f>
        <v>15.97</v>
      </c>
      <c r="G10" s="95"/>
      <c r="H10" s="135"/>
      <c r="I10" s="135"/>
      <c r="J10" s="135"/>
      <c r="K10" s="135"/>
      <c r="L10" s="136" t="s">
        <v>374</v>
      </c>
      <c r="M10" s="130">
        <f>MIN(176:176)</f>
        <v>10.79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24.03</v>
      </c>
      <c r="L11" s="272" t="s">
        <v>193</v>
      </c>
      <c r="M11" s="128">
        <f>STDEV(176:176)</f>
        <v>2.013011248283135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63.725490196078439</v>
      </c>
      <c r="C13" s="141">
        <f>$B$34/5.88%</f>
        <v>77.38095238095238</v>
      </c>
      <c r="D13" s="141">
        <f>$B$34/5%</f>
        <v>90.999999999999986</v>
      </c>
      <c r="E13" s="141">
        <f>$B$34/4.35%</f>
        <v>104.59770114942529</v>
      </c>
      <c r="F13" s="141">
        <f>$B$34/3.85%</f>
        <v>118.18181818181817</v>
      </c>
      <c r="G13" s="138" t="str">
        <f>"$"&amp;ROUND(B34,2)&amp;"/"&amp;IF(STDEV(C140:F140)/AVERAGE(C140:F140)&lt;15%,"高",IF(STDEV(C140:F140)/AVERAGE(C140:F140)&lt;30%,"中","低"))</f>
        <v>$4.55/中</v>
      </c>
      <c r="H13" s="142" t="s">
        <v>199</v>
      </c>
      <c r="I13" s="143">
        <f>MAX(0,1-J15)</f>
        <v>0.20245398773006129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68.448049999999995</v>
      </c>
      <c r="C14" s="141">
        <f>$B$33*C10</f>
        <v>71.595699999999994</v>
      </c>
      <c r="D14" s="141">
        <f>$B$33*D10</f>
        <v>72.822749999999985</v>
      </c>
      <c r="E14" s="141">
        <f>$B$33*E10</f>
        <v>75.970399999999984</v>
      </c>
      <c r="F14" s="141">
        <f>$B$33*F10</f>
        <v>85.199949999999987</v>
      </c>
      <c r="G14" s="138" t="str">
        <f>"$"&amp;ROUND(B33,2)&amp;"/"&amp;IF(STDEV(B69:E69)/AVERAGE(B69:E69)&lt;15%,"高",IF(STDEV(B69:E69)/AVERAGE(B69:E69)&lt;30%,"中","低"))</f>
        <v>$5.34/中</v>
      </c>
      <c r="H14" s="142" t="s">
        <v>203</v>
      </c>
      <c r="I14" s="145">
        <f>G62/100*I13</f>
        <v>5.8650920245398759E-2</v>
      </c>
      <c r="J14" s="76" t="s">
        <v>204</v>
      </c>
      <c r="K14" s="146"/>
      <c r="L14" s="147">
        <f>(HLOOKUP($C$1,$105:$106,2,FALSE)-HLOOKUP($C$1,$117:$127,9,FALSE))/(HLOOKUP($C$1,$117:$128,12,FALSE)/K11)</f>
        <v>-2.1772302140013786</v>
      </c>
      <c r="M14" s="148">
        <f>E135/E69</f>
        <v>0.77760736196319025</v>
      </c>
      <c r="N14" s="149">
        <f>F173/100</f>
        <v>0.97699999999999998</v>
      </c>
    </row>
    <row r="15" spans="1:15" s="93" customFormat="1" x14ac:dyDescent="0.25">
      <c r="A15" s="140" t="s">
        <v>375</v>
      </c>
      <c r="B15" s="141">
        <f>$D$62*B10</f>
        <v>89.168499999999995</v>
      </c>
      <c r="C15" s="141">
        <f>$D$62*C10</f>
        <v>93.268999999999991</v>
      </c>
      <c r="D15" s="141">
        <f>$D$62*D10</f>
        <v>94.867499999999993</v>
      </c>
      <c r="E15" s="141">
        <f>$D$62*E10</f>
        <v>98.967999999999989</v>
      </c>
      <c r="F15" s="141">
        <f>$D$62*F10</f>
        <v>110.99149999999999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0.79754601226993871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86.756091855059026</v>
      </c>
      <c r="C16" s="141">
        <f>$F$69*C10</f>
        <v>90.745654925556664</v>
      </c>
      <c r="D16" s="141">
        <f>$F$69*D10</f>
        <v>92.300908325920162</v>
      </c>
      <c r="E16" s="141">
        <f>$F$69*E10</f>
        <v>96.290471396417814</v>
      </c>
      <c r="F16" s="141">
        <f>$F$69*F10</f>
        <v>107.98868175567362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134</v>
      </c>
      <c r="J17" s="92">
        <f ca="1">IF(I17&lt;=0,"",IF(I17&lt;=MIN($B$13:$F$16),(I17-MIN($B$13:$F$16))/MIN($B$13:$F$16),IF(I17&gt;=MAX($B$13:$F$16),I17/MAX($B$13:$F$16),PERCENTRANK($B$13:$F$16,I17))))</f>
        <v>1.1338461538461539</v>
      </c>
      <c r="K17" s="78" t="s">
        <v>206</v>
      </c>
      <c r="L17" s="153">
        <f ca="1">VLOOKUP(_xlfn.NUMBERVALUE(N1),儀表板!A:G,6,FALSE)</f>
        <v>82.48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3.6074999999999999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14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0.79285714285714293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4</v>
      </c>
      <c r="G20" s="88" t="s">
        <v>213</v>
      </c>
      <c r="H20" s="123" t="s">
        <v>219</v>
      </c>
      <c r="I20" s="237">
        <f>HLOOKUP($C$1,$117:$127,11,FALSE)*(1-N22)/HLOOKUP($C$1,$105:$115,11,FALSE)</f>
        <v>0.22835906095743819</v>
      </c>
      <c r="J20" s="171">
        <f>HLOOKUP($C$1,$117:$127,11,FALSE)/HLOOKUP($C$1,$105:$115,11,FALSE)</f>
        <v>0.49182043512655593</v>
      </c>
      <c r="K20" s="163"/>
    </row>
    <row r="21" spans="1:14" s="93" customFormat="1" x14ac:dyDescent="0.25">
      <c r="A21" s="151" t="s">
        <v>201</v>
      </c>
      <c r="B21" s="161">
        <f>AVERAGE(C173:F173)/100</f>
        <v>1.0834999999999999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1.3824097414348049</v>
      </c>
      <c r="J21" s="78"/>
      <c r="K21" s="164" t="s">
        <v>356</v>
      </c>
      <c r="L21" s="165">
        <f>HLOOKUP($C$1,$105:$115,7,FALSE)/HLOOKUP($C$1,$105:$115,11,FALSE)</f>
        <v>0.580173549125098</v>
      </c>
      <c r="M21" s="123" t="s">
        <v>268</v>
      </c>
      <c r="N21" s="165">
        <f>HLOOKUP($C$1,$117:$127,8,FALSE)/HLOOKUP($C$1,$117:$127,11,FALSE)</f>
        <v>0.8533251969840614</v>
      </c>
    </row>
    <row r="22" spans="1:14" s="93" customFormat="1" x14ac:dyDescent="0.25">
      <c r="A22" s="140" t="s">
        <v>222</v>
      </c>
      <c r="B22" s="161">
        <f>(-1)*SUM(C133:F133)/SUM(C132:F132)</f>
        <v>0.36559612846458428</v>
      </c>
      <c r="C22" s="157"/>
      <c r="D22" s="166"/>
      <c r="E22" s="140"/>
      <c r="F22" s="159">
        <f>IF(B22&lt;=0,10,IF(B22&gt;=100%,0,(1-B22)*10))</f>
        <v>6.3440387153541566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0.91525747467684304</v>
      </c>
      <c r="J22" s="78"/>
      <c r="K22" s="142" t="s">
        <v>357</v>
      </c>
      <c r="L22" s="165">
        <f>HLOOKUP($C$1,$105:$115,4,FALSE)/HLOOKUP($C$1,$105:$115,11,FALSE)</f>
        <v>0.28786831480271297</v>
      </c>
      <c r="M22" s="123" t="s">
        <v>353</v>
      </c>
      <c r="N22" s="165">
        <f>HLOOKUP($C$1,$117:$127,4,FALSE)/HLOOKUP($C$1,$117:$127,11,FALSE)</f>
        <v>0.53568610686402951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1.9678083675974611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0.19605575717767981</v>
      </c>
      <c r="M23" s="123" t="s">
        <v>354</v>
      </c>
      <c r="N23" s="165">
        <f>IF(HLOOKUP($C$1,$117:$127,5,FALSE)="無",0,HLOOKUP($C$1,$117:$127,5,FALSE))/HLOOKUP($C$1,$117:$127,11,FALSE)</f>
        <v>0.13137233780362559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58.82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1.9141496569958314E-2</v>
      </c>
      <c r="M24" s="123" t="s">
        <v>355</v>
      </c>
      <c r="N24" s="165">
        <f>HLOOKUP($C$1,$117:$127,9,FALSE)/HLOOKUP($C$1,$117:$127,11,FALSE)</f>
        <v>0.14667480301593863</v>
      </c>
    </row>
    <row r="25" spans="1:14" s="93" customFormat="1" x14ac:dyDescent="0.25">
      <c r="A25" s="151" t="s">
        <v>366</v>
      </c>
      <c r="B25" s="255">
        <f>AVERAGE(94:94)</f>
        <v>21967.347826086956</v>
      </c>
      <c r="C25" s="254">
        <f>STDEV(94:94)/AVERAGE(94:94)</f>
        <v>0.43858856203859753</v>
      </c>
      <c r="D25" s="76" t="str">
        <f>IF(C25&lt;=1,"高",IF(C25&lt;=2,"中","低"))</f>
        <v>高</v>
      </c>
      <c r="E25" s="149"/>
      <c r="F25" s="160">
        <f>MAX(0,10-ABS(C25))</f>
        <v>9.5614114379614019</v>
      </c>
      <c r="G25" s="88" t="s">
        <v>213</v>
      </c>
      <c r="H25" s="123" t="s">
        <v>232</v>
      </c>
      <c r="I25" s="170">
        <f>IF(HLOOKUP(C1,167:170,3,FALSE)="無",0,HLOOKUP(C1,167:170,3,FALSE))</f>
        <v>45.92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64.887391304347815</v>
      </c>
      <c r="C26" s="172">
        <f>IF(COUNTIF(168:168,"&gt;0")=0,0,STDEV(168:168))</f>
        <v>7.7405204296443637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50.3204347826087</v>
      </c>
      <c r="C27" s="172">
        <f>IF(COUNTIF(169:169,"&gt;0")=0,0,STDEV(169:169))</f>
        <v>5.187179543890152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0.17069999999999999</v>
      </c>
      <c r="C30" s="157" t="s">
        <v>217</v>
      </c>
      <c r="D30" s="174">
        <f>COUNTIF(146:146,"&gt;20")/COUNT(146:146)</f>
        <v>0</v>
      </c>
      <c r="E30" s="140" t="s">
        <v>239</v>
      </c>
      <c r="F30" s="159">
        <f>MIN(B30/25%*10,10)</f>
        <v>6.8279999999999994</v>
      </c>
      <c r="G30" s="175"/>
      <c r="H30" s="176"/>
    </row>
    <row r="31" spans="1:14" x14ac:dyDescent="0.25">
      <c r="A31" s="164" t="s">
        <v>240</v>
      </c>
      <c r="B31" s="173">
        <f>AVERAGE(C155:F155)/100</f>
        <v>7.7725000000000002E-2</v>
      </c>
      <c r="C31" s="157" t="s">
        <v>217</v>
      </c>
      <c r="D31" s="174">
        <f>COUNTIF(149:149,"&gt;8")/COUNT(149:149)</f>
        <v>0.34782608695652173</v>
      </c>
      <c r="E31" s="140" t="s">
        <v>241</v>
      </c>
      <c r="F31" s="159">
        <f>MIN(B31/10%*10,10)</f>
        <v>7.7725</v>
      </c>
      <c r="G31" s="175"/>
    </row>
    <row r="32" spans="1:14" x14ac:dyDescent="0.25">
      <c r="A32" s="155" t="s">
        <v>47</v>
      </c>
      <c r="B32" s="177">
        <f>AVERAGE(C165:F165)</f>
        <v>23.692499999999995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5.3349999999999991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4.55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9.5585754451733838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5199462</v>
      </c>
      <c r="C36" s="178">
        <f>STDEV(C97:F97)</f>
        <v>779344.10064318404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17.07</v>
      </c>
      <c r="C37" s="180">
        <f>STDEV(C152:F152)</f>
        <v>0.80800165016333192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7.4399999999999995</v>
      </c>
      <c r="C38" s="180">
        <f>STDEV(C153:F153)</f>
        <v>0.67512961718472997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23.692499999999995</v>
      </c>
      <c r="C39" s="181">
        <f>STDEV(C165:F165)</f>
        <v>3.7312497906197937</v>
      </c>
      <c r="D39" s="76" t="str">
        <f>IF(C39/B39&lt;15%,"高",IF(C39/B39&lt;30%,"中","低"))</f>
        <v>中</v>
      </c>
      <c r="E39" s="107">
        <f>IF(F165&gt;E165,1,0)+IF(E165&gt;D165,1,0)+IF(D165&gt;C165,1,0)</f>
        <v>3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5.3349999999999991</v>
      </c>
      <c r="C40" s="183">
        <f>STDEV(B69:E69)</f>
        <v>1.101801555030067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0.5145631067961165</v>
      </c>
      <c r="C44" s="186">
        <f>(C46-C49)/C49</f>
        <v>8.66666666666666E-2</v>
      </c>
      <c r="D44" s="186">
        <f>(D46-D49)/D49</f>
        <v>-0.1121951219512194</v>
      </c>
      <c r="E44" s="186">
        <f>(E46-E49)/E49</f>
        <v>0.92079207920792072</v>
      </c>
      <c r="G44" s="86" t="s">
        <v>175</v>
      </c>
      <c r="H44" s="186">
        <f>(H47-H50)/H50</f>
        <v>0.38858195211786378</v>
      </c>
      <c r="I44" s="186">
        <f>(I47-I50)/I50</f>
        <v>-0.12210012210012204</v>
      </c>
      <c r="J44" s="186">
        <f>(J47-J50)/J50</f>
        <v>5.353319057815999E-3</v>
      </c>
      <c r="K44" s="186">
        <f>(K47-K50)/K50</f>
        <v>0.59797979797979794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1.56</v>
      </c>
      <c r="C46" s="152">
        <f>HLOOKUP(C45,$81:$82,2,FALSE)</f>
        <v>1.63</v>
      </c>
      <c r="D46" s="152">
        <f>HLOOKUP(D45,$81:$82,2,FALSE)</f>
        <v>1.82</v>
      </c>
      <c r="E46" s="152">
        <f>HLOOKUP(E45,$81:$82,2,FALSE)</f>
        <v>1.94</v>
      </c>
      <c r="G46" s="86" t="s">
        <v>164</v>
      </c>
      <c r="H46" s="145">
        <f>HLOOKUP(H45,$145:$147,2,FALSE)/100</f>
        <v>0.1666</v>
      </c>
      <c r="I46" s="145">
        <f>HLOOKUP(I45,$145:$147,2,FALSE)/100</f>
        <v>0.15970000000000001</v>
      </c>
      <c r="J46" s="145">
        <f>HLOOKUP(J45,$145:$147,2,FALSE)/100</f>
        <v>0.19239999999999999</v>
      </c>
      <c r="K46" s="145">
        <f>HLOOKUP(K45,$145:$147,2,FALSE)/100</f>
        <v>0.16719999999999999</v>
      </c>
    </row>
    <row r="47" spans="1:14" x14ac:dyDescent="0.25">
      <c r="A47" s="188" t="s">
        <v>165</v>
      </c>
      <c r="B47" s="189">
        <f>HLOOKUP(B45,$157:$159,3,FALSE)</f>
        <v>6.7</v>
      </c>
      <c r="C47" s="189">
        <f>HLOOKUP(C45,$157:$159,3,FALSE)</f>
        <v>6.76</v>
      </c>
      <c r="D47" s="189">
        <f>HLOOKUP(D45,$157:$159,3,FALSE)</f>
        <v>7.25</v>
      </c>
      <c r="E47" s="189">
        <f>HLOOKUP(E45,$157:$159,3,FALSE)</f>
        <v>8.26</v>
      </c>
      <c r="G47" s="190" t="s">
        <v>166</v>
      </c>
      <c r="H47" s="145">
        <f>HLOOKUP(H45,$145:$147,3,FALSE)/100</f>
        <v>7.5399999999999995E-2</v>
      </c>
      <c r="I47" s="145">
        <f>HLOOKUP(I45,$145:$147,3,FALSE)/100</f>
        <v>7.1900000000000006E-2</v>
      </c>
      <c r="J47" s="145">
        <f>HLOOKUP(J45,$145:$147,3,FALSE)/100</f>
        <v>9.3900000000000011E-2</v>
      </c>
      <c r="K47" s="145">
        <f>HLOOKUP(K45,$145:$147,3,FALSE)/100</f>
        <v>7.9100000000000004E-2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1.03</v>
      </c>
      <c r="C49" s="152">
        <f>HLOOKUP(C48,$81:$82,2,FALSE)</f>
        <v>1.5</v>
      </c>
      <c r="D49" s="152">
        <f>HLOOKUP(D48,$81:$82,2,FALSE)</f>
        <v>2.0499999999999998</v>
      </c>
      <c r="E49" s="152">
        <f>HLOOKUP(E48,$81:$82,2,FALSE)</f>
        <v>1.01</v>
      </c>
      <c r="G49" s="86" t="s">
        <v>164</v>
      </c>
      <c r="H49" s="145">
        <f>HLOOKUP(H48,$145:$147,2,FALSE)/100</f>
        <v>0.15890000000000001</v>
      </c>
      <c r="I49" s="145">
        <f>HLOOKUP(I48,$145:$147,2,FALSE)/100</f>
        <v>0.17800000000000002</v>
      </c>
      <c r="J49" s="145">
        <f>HLOOKUP(J48,$145:$147,2,FALSE)/100</f>
        <v>0.18890000000000001</v>
      </c>
      <c r="K49" s="145">
        <f>HLOOKUP(K48,$145:$147,2,FALSE)/100</f>
        <v>0.15229999999999999</v>
      </c>
    </row>
    <row r="50" spans="1:15" x14ac:dyDescent="0.25">
      <c r="A50" s="188" t="s">
        <v>165</v>
      </c>
      <c r="B50" s="189">
        <f>HLOOKUP(B48,$157:$159,3,FALSE)</f>
        <v>4.62</v>
      </c>
      <c r="C50" s="189">
        <f>HLOOKUP(C48,$157:$159,3,FALSE)</f>
        <v>6.37</v>
      </c>
      <c r="D50" s="189">
        <f>HLOOKUP(D48,$157:$159,3,FALSE)</f>
        <v>8.39</v>
      </c>
      <c r="E50" s="189">
        <f>HLOOKUP(E48,$157:$159,3,FALSE)</f>
        <v>4.3899999999999997</v>
      </c>
      <c r="G50" s="190" t="s">
        <v>166</v>
      </c>
      <c r="H50" s="145">
        <f>HLOOKUP(H48,$145:$147,3,FALSE)/100</f>
        <v>5.4299999999999994E-2</v>
      </c>
      <c r="I50" s="145">
        <f>HLOOKUP(I48,$145:$147,3,FALSE)/100</f>
        <v>8.1900000000000001E-2</v>
      </c>
      <c r="J50" s="145">
        <f>HLOOKUP(J48,$145:$147,3,FALSE)/100</f>
        <v>9.3399999999999997E-2</v>
      </c>
      <c r="K50" s="145">
        <f>HLOOKUP(K48,$145:$147,3,FALSE)/100</f>
        <v>4.9500000000000002E-2</v>
      </c>
    </row>
    <row r="51" spans="1:15" x14ac:dyDescent="0.25">
      <c r="A51" s="86" t="s">
        <v>351</v>
      </c>
      <c r="B51" s="186">
        <f>(B47-B50)/B50</f>
        <v>0.45021645021645024</v>
      </c>
      <c r="C51" s="186">
        <f>(C47-C50)/C50</f>
        <v>6.1224489795918317E-2</v>
      </c>
      <c r="D51" s="186">
        <f>(D47-D50)/D50</f>
        <v>-0.13587604290822414</v>
      </c>
      <c r="E51" s="186">
        <f>(E47-E50)/E50</f>
        <v>0.88154897494305251</v>
      </c>
      <c r="G51" s="235" t="s">
        <v>174</v>
      </c>
      <c r="H51" s="186">
        <f>(H46-H49)/H49</f>
        <v>4.8458149779735581E-2</v>
      </c>
      <c r="I51" s="186">
        <f>(I46-I49)/I49</f>
        <v>-0.102808988764045</v>
      </c>
      <c r="J51" s="186">
        <f>(J46-J49)/J49</f>
        <v>1.8528321863419666E-2</v>
      </c>
      <c r="K51" s="186">
        <f>(K46-K49)/K49</f>
        <v>9.7833223900196969E-2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6.3820280474941322</v>
      </c>
      <c r="B53" s="193">
        <f>B46</f>
        <v>1.56</v>
      </c>
      <c r="C53" s="193">
        <f>E46/HLOOKUP(E45,$87:$94,5,FALSE)*HLOOKUP(E45,$87:$94,4,FALSE)*($B$25/HLOOKUP(E45,$87:$94,4,FALSE)+SUM($B$57:$D$57)/SUM($B58:$D$58)*$G$69/100/K46)</f>
        <v>1.7519713059282171</v>
      </c>
      <c r="D53" s="193">
        <f>D46/HLOOKUP(D45,$87:$94,5,FALSE)*HLOOKUP(D45,$87:$94,4,FALSE)*($B$25/HLOOKUP(D45,$87:$94,4,FALSE)+SUM($B$57:$D$57)/SUM($B58:$D$58)*$G$69/100/J46)</f>
        <v>1.5958347658855041</v>
      </c>
      <c r="E53" s="193">
        <f>C46/HLOOKUP(C45,$87:$94,5,FALSE)*HLOOKUP(C45,$87:$94,4,FALSE)*($B$25/HLOOKUP(C45,$87:$94,4,FALSE)+SUM($B$57:$D$57)/SUM($B58:$D$58)*$G$69/100/I46)</f>
        <v>1.4742219756804109</v>
      </c>
    </row>
    <row r="54" spans="1:15" x14ac:dyDescent="0.25">
      <c r="A54" s="278">
        <f>SUM(B54:E54)</f>
        <v>6.42</v>
      </c>
      <c r="B54" s="277">
        <f t="shared" ref="B54:D54" si="0">HLOOKUP(B52-10,81:82,2,FALSE)</f>
        <v>1.03</v>
      </c>
      <c r="C54" s="277">
        <f t="shared" si="0"/>
        <v>1.94</v>
      </c>
      <c r="D54" s="277">
        <f t="shared" si="0"/>
        <v>1.82</v>
      </c>
      <c r="E54" s="277">
        <f>HLOOKUP(E52-10,81:82,2,FALSE)</f>
        <v>1.63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201801</v>
      </c>
      <c r="C56" s="194">
        <f>IF(B56-ROUNDDOWN(B56/100,0)*100-1=0,(ROUNDDOWN(B56/100,0)-1)*100+12,B56-1)</f>
        <v>201712</v>
      </c>
      <c r="D56" s="194">
        <f>IF(C56-ROUNDDOWN(C56/100,0)*100-1=0,(ROUNDDOWN(C56/100,0)-1)*100+12,C56-1)</f>
        <v>201711</v>
      </c>
      <c r="E56" s="194">
        <f>IF(D56-ROUNDDOWN(D56/100,0)*100-1=0,(ROUNDDOWN(D56/100,0)-1)*100+12,D56-1)</f>
        <v>201710</v>
      </c>
      <c r="F56" s="194">
        <f>IF(E56-ROUNDDOWN(E56/100,0)*100-1=0,(ROUNDDOWN(E56/100,0)-1)*100+12,E56-1)</f>
        <v>201709</v>
      </c>
      <c r="G56" s="194">
        <f t="shared" ref="G56:M56" si="1">IF(F56-ROUNDDOWN(F56/100,0)*100-1=0,(ROUNDDOWN(F56/100,0)-1)*100+12,F56-1)</f>
        <v>201708</v>
      </c>
      <c r="H56" s="194">
        <f t="shared" si="1"/>
        <v>201707</v>
      </c>
      <c r="I56" s="194">
        <f t="shared" si="1"/>
        <v>201706</v>
      </c>
      <c r="J56" s="194">
        <f t="shared" si="1"/>
        <v>201705</v>
      </c>
      <c r="K56" s="194">
        <f t="shared" si="1"/>
        <v>201704</v>
      </c>
      <c r="L56" s="194">
        <f t="shared" si="1"/>
        <v>201703</v>
      </c>
      <c r="M56" s="194">
        <f t="shared" si="1"/>
        <v>201702</v>
      </c>
      <c r="N56" s="138"/>
    </row>
    <row r="57" spans="1:15" x14ac:dyDescent="0.25">
      <c r="A57" s="195" t="s">
        <v>252</v>
      </c>
      <c r="B57" s="196">
        <f>HLOOKUP(B56,78:79,2,FALSE)</f>
        <v>484690</v>
      </c>
      <c r="C57" s="196">
        <f>HLOOKUP(C56,78:79,2,FALSE)</f>
        <v>506572</v>
      </c>
      <c r="D57" s="196">
        <f>HLOOKUP(D56,78:79,2,FALSE)</f>
        <v>539832</v>
      </c>
      <c r="E57" s="196">
        <f>HLOOKUP(E56,78:79,2,FALSE)</f>
        <v>536965</v>
      </c>
      <c r="F57" s="196">
        <f>HLOOKUP(F56,78:79,2,FALSE)</f>
        <v>541028</v>
      </c>
      <c r="G57" s="196">
        <f t="shared" ref="G57:M57" si="2">HLOOKUP(G56,78:79,2,FALSE)</f>
        <v>568609</v>
      </c>
      <c r="H57" s="196">
        <f t="shared" si="2"/>
        <v>505556</v>
      </c>
      <c r="I57" s="196">
        <f t="shared" si="2"/>
        <v>525156</v>
      </c>
      <c r="J57" s="196">
        <f t="shared" si="2"/>
        <v>587059</v>
      </c>
      <c r="K57" s="196">
        <f t="shared" si="2"/>
        <v>510593</v>
      </c>
      <c r="L57" s="196">
        <f t="shared" si="2"/>
        <v>544011</v>
      </c>
      <c r="M57" s="196">
        <f t="shared" si="2"/>
        <v>401382</v>
      </c>
      <c r="N57" s="197"/>
    </row>
    <row r="58" spans="1:15" x14ac:dyDescent="0.25">
      <c r="A58" s="198" t="s">
        <v>253</v>
      </c>
      <c r="B58" s="196">
        <f>HLOOKUP(B56-100,78:79,2,FALSE)</f>
        <v>430627</v>
      </c>
      <c r="C58" s="196">
        <f>HLOOKUP(C56-100,78:79,2,FALSE)</f>
        <v>640588</v>
      </c>
      <c r="D58" s="196">
        <f>HLOOKUP(D56-100,78:79,2,FALSE)</f>
        <v>657222</v>
      </c>
      <c r="E58" s="196">
        <f>HLOOKUP(E56-100,78:79,2,FALSE)</f>
        <v>539902</v>
      </c>
      <c r="F58" s="196">
        <f>HLOOKUP(F56-100,78:79,2,FALSE)</f>
        <v>441061</v>
      </c>
      <c r="G58" s="196">
        <f t="shared" ref="G58:M58" si="3">HLOOKUP(G56-100,78:79,2,FALSE)</f>
        <v>384468</v>
      </c>
      <c r="H58" s="196">
        <f t="shared" si="3"/>
        <v>477385</v>
      </c>
      <c r="I58" s="196">
        <f t="shared" si="3"/>
        <v>443048</v>
      </c>
      <c r="J58" s="196">
        <f t="shared" si="3"/>
        <v>473598</v>
      </c>
      <c r="K58" s="196">
        <f t="shared" si="3"/>
        <v>410469</v>
      </c>
      <c r="L58" s="196">
        <f t="shared" si="3"/>
        <v>495794</v>
      </c>
      <c r="M58" s="196">
        <f t="shared" si="3"/>
        <v>406884</v>
      </c>
      <c r="N58" s="197"/>
    </row>
    <row r="59" spans="1:15" x14ac:dyDescent="0.25">
      <c r="A59" s="199" t="s">
        <v>254</v>
      </c>
      <c r="B59" s="165">
        <f>IF(B57&lt;&gt;"",(B57-B58)/B58,"")</f>
        <v>0.12554484507473987</v>
      </c>
      <c r="C59" s="165">
        <f>IF(C57&lt;&gt;"",(C57-C58)/C58,"")</f>
        <v>-0.20920779034262271</v>
      </c>
      <c r="D59" s="165">
        <f>IF(D57&lt;&gt;"",(D57-D58)/D58,"")</f>
        <v>-0.17861544500944887</v>
      </c>
      <c r="E59" s="165">
        <f>IF(E57&lt;&gt;"",(E57-E58)/E58,"")</f>
        <v>-5.4398761256672507E-3</v>
      </c>
      <c r="F59" s="165">
        <f>IF(F57&lt;&gt;"",(F57-F58)/F58,"")</f>
        <v>0.22665118883782515</v>
      </c>
      <c r="G59" s="165">
        <f t="shared" ref="G59:M59" si="4">IF(G57&lt;&gt;"",(G57-G58)/G58,"")</f>
        <v>0.47895013369123046</v>
      </c>
      <c r="H59" s="165">
        <f t="shared" si="4"/>
        <v>5.9011070729076111E-2</v>
      </c>
      <c r="I59" s="165">
        <f t="shared" si="4"/>
        <v>0.18532529206767664</v>
      </c>
      <c r="J59" s="165">
        <f t="shared" si="4"/>
        <v>0.23957237995092884</v>
      </c>
      <c r="K59" s="165">
        <f t="shared" si="4"/>
        <v>0.24392585067325426</v>
      </c>
      <c r="L59" s="165">
        <f t="shared" si="4"/>
        <v>9.7252084535109334E-2</v>
      </c>
      <c r="M59" s="165">
        <f t="shared" si="4"/>
        <v>-1.3522281534786327E-2</v>
      </c>
    </row>
    <row r="60" spans="1:15" x14ac:dyDescent="0.25">
      <c r="A60" s="195" t="s">
        <v>255</v>
      </c>
      <c r="B60" s="196">
        <f>SUM(B57:M57)</f>
        <v>6251453</v>
      </c>
    </row>
    <row r="61" spans="1:15" x14ac:dyDescent="0.25">
      <c r="A61" s="198" t="s">
        <v>256</v>
      </c>
      <c r="B61" s="196">
        <f>SUM(B58:M58)</f>
        <v>5801046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1.0776423769092678</v>
      </c>
      <c r="D62" s="152">
        <f>SUM(B46:E46)</f>
        <v>6.9499999999999993</v>
      </c>
      <c r="E62" s="152">
        <f>SUM(B49:E49)</f>
        <v>5.59</v>
      </c>
      <c r="G62" s="126">
        <f>SUM(B47:E47)</f>
        <v>28.97</v>
      </c>
      <c r="H62" s="126">
        <f>SUM(B50:E50)</f>
        <v>23.770000000000003</v>
      </c>
      <c r="J62" s="200">
        <f>AVERAGE(H46:K46)</f>
        <v>0.17147500000000002</v>
      </c>
      <c r="K62" s="200">
        <f>AVERAGE(H49:K49)</f>
        <v>0.16952500000000001</v>
      </c>
      <c r="M62" s="200">
        <f>AVERAGE(H47:K47)</f>
        <v>8.0075000000000007E-2</v>
      </c>
      <c r="N62" s="200">
        <f>AVERAGE(H50:K50)</f>
        <v>6.977499999999999E-2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2" x14ac:dyDescent="0.25">
      <c r="A65" s="204">
        <v>1</v>
      </c>
      <c r="B65" s="205">
        <f t="shared" ref="B65:E67" si="5">HLOOKUP(B$64*10+$A65,$81:$82,2,FALSE)</f>
        <v>0.71</v>
      </c>
      <c r="C65" s="205">
        <f t="shared" si="5"/>
        <v>1.35</v>
      </c>
      <c r="D65" s="205">
        <f t="shared" si="5"/>
        <v>2.2400000000000002</v>
      </c>
      <c r="E65" s="205">
        <f t="shared" si="5"/>
        <v>2.0499999999999998</v>
      </c>
      <c r="F65" s="206">
        <f>IF(ISNA(HLOOKUP(F$64*10+$A65,$81:$82,2,FALSE)),(HLOOKUP(E$64*10+$A65,$87:$94,4,FALSE)*$G65+$B$25)/HLOOKUP(E$64*10+$A65,$87:$94,5,FALSE)*$E65,HLOOKUP(F$64*10+$A65,$81:$82,2,FALSE))</f>
        <v>1.82</v>
      </c>
      <c r="G65" s="101">
        <f>MIN(130%,SUM($B$57:$D$57)/SUM($B$58:$D$58)*$G$69/HLOOKUP(E$64*10+$A65,$145:$146,2,FALSE))</f>
        <v>0.84365826040811165</v>
      </c>
      <c r="H65" s="204">
        <v>1</v>
      </c>
      <c r="I65" s="208">
        <f t="shared" ref="I65:M68" si="6">IF(ISNA(HLOOKUP(I$64*10+$H65,$145:$147,3,FALSE)),"",HLOOKUP(I$64*10+$H65,$145:$147,3,FALSE)/100)</f>
        <v>3.5900000000000001E-2</v>
      </c>
      <c r="J65" s="208">
        <f t="shared" si="6"/>
        <v>9.3399999999999997E-2</v>
      </c>
      <c r="K65" s="208">
        <f t="shared" si="6"/>
        <v>0.1119</v>
      </c>
      <c r="L65" s="208">
        <f t="shared" si="6"/>
        <v>9.3399999999999997E-2</v>
      </c>
      <c r="M65" s="209">
        <f t="shared" si="6"/>
        <v>9.3900000000000011E-2</v>
      </c>
      <c r="N65" s="256">
        <f t="shared" ref="N65:O68" si="7">HLOOKUP(E$64*10+$A65,$87:$94,8,FALSE)</f>
        <v>38472</v>
      </c>
      <c r="O65" s="256">
        <f t="shared" si="7"/>
        <v>17900</v>
      </c>
      <c r="P65" s="210"/>
    </row>
    <row r="66" spans="1:72" x14ac:dyDescent="0.25">
      <c r="A66" s="204">
        <v>2</v>
      </c>
      <c r="B66" s="205">
        <f t="shared" si="5"/>
        <v>0.81</v>
      </c>
      <c r="C66" s="205">
        <f t="shared" si="5"/>
        <v>1.21</v>
      </c>
      <c r="D66" s="205">
        <f t="shared" si="5"/>
        <v>1.22</v>
      </c>
      <c r="E66" s="205">
        <f t="shared" si="5"/>
        <v>1.5</v>
      </c>
      <c r="F66" s="206">
        <f>IF(ISNA(HLOOKUP(F$64*10+$A66,$81:$82,2,FALSE)),(HLOOKUP(E$64*10+$A66,$87:$94,4,FALSE)*$G66+$B$25)/HLOOKUP(E$64*10+$A66,$87:$94,5,FALSE)*$E66,HLOOKUP(F$64*10+$A66,$81:$82,2,FALSE))</f>
        <v>1.63</v>
      </c>
      <c r="G66" s="101">
        <f>MIN(130%,SUM($B$57:$D$57)/SUM($B$58:$D$58)*$G$69/HLOOKUP(E$64*10+$A66,$145:$146,2,FALSE))</f>
        <v>0.89532047972523754</v>
      </c>
      <c r="H66" s="204">
        <v>2</v>
      </c>
      <c r="I66" s="208">
        <f t="shared" si="6"/>
        <v>6.1699999999999998E-2</v>
      </c>
      <c r="J66" s="208">
        <f t="shared" si="6"/>
        <v>8.2299999999999998E-2</v>
      </c>
      <c r="K66" s="208">
        <f t="shared" si="6"/>
        <v>7.6100000000000001E-2</v>
      </c>
      <c r="L66" s="208">
        <f t="shared" si="6"/>
        <v>8.1900000000000001E-2</v>
      </c>
      <c r="M66" s="209">
        <f t="shared" si="6"/>
        <v>7.1900000000000006E-2</v>
      </c>
      <c r="N66" s="256">
        <f t="shared" si="7"/>
        <v>28202</v>
      </c>
      <c r="O66" s="256">
        <f t="shared" si="7"/>
        <v>36344</v>
      </c>
      <c r="P66" s="210"/>
    </row>
    <row r="67" spans="1:72" x14ac:dyDescent="0.25">
      <c r="A67" s="204">
        <v>3</v>
      </c>
      <c r="B67" s="205">
        <f t="shared" si="5"/>
        <v>0.98</v>
      </c>
      <c r="C67" s="205">
        <f t="shared" si="5"/>
        <v>1.2</v>
      </c>
      <c r="D67" s="205">
        <f t="shared" si="5"/>
        <v>1.43</v>
      </c>
      <c r="E67" s="205">
        <f t="shared" si="5"/>
        <v>1.03</v>
      </c>
      <c r="F67" s="206">
        <f>IF(ISNA(HLOOKUP(F$64*10+$A67,$81:$82,2,FALSE)),(HLOOKUP(E$64*10+$A67,$87:$94,4,FALSE)*$G67+$B$25)/HLOOKUP(E$64*10+$A67,$87:$94,5,FALSE)*$E67,HLOOKUP(F$64*10+$A67,$81:$82,2,FALSE))</f>
        <v>1.56</v>
      </c>
      <c r="G67" s="101">
        <f>MIN(130%,SUM($B$57:$D$57)/SUM($B$58:$D$58)*$G$69/HLOOKUP(E$64*10+$A67,$145:$146,2,FALSE))</f>
        <v>1.0029392409760369</v>
      </c>
      <c r="H67" s="204">
        <v>3</v>
      </c>
      <c r="I67" s="208">
        <f t="shared" si="6"/>
        <v>6.6500000000000004E-2</v>
      </c>
      <c r="J67" s="208">
        <f t="shared" si="6"/>
        <v>7.5199999999999989E-2</v>
      </c>
      <c r="K67" s="208">
        <f t="shared" si="6"/>
        <v>6.6299999999999998E-2</v>
      </c>
      <c r="L67" s="208">
        <f t="shared" si="6"/>
        <v>5.4299999999999994E-2</v>
      </c>
      <c r="M67" s="209">
        <f t="shared" si="6"/>
        <v>7.5399999999999995E-2</v>
      </c>
      <c r="N67" s="256">
        <f t="shared" si="7"/>
        <v>22395</v>
      </c>
      <c r="O67" s="256">
        <f t="shared" si="7"/>
        <v>22553</v>
      </c>
      <c r="P67" s="210"/>
    </row>
    <row r="68" spans="1:72" x14ac:dyDescent="0.25">
      <c r="A68" s="204">
        <v>4</v>
      </c>
      <c r="B68" s="205">
        <f>HLOOKUP(B$64*10+$A68,$81:$82,2,FALSE)</f>
        <v>1.52</v>
      </c>
      <c r="C68" s="205">
        <f>HLOOKUP(C$64*10+$A68,$81:$82,2,FALSE)</f>
        <v>1.1399999999999999</v>
      </c>
      <c r="D68" s="205">
        <f>HLOOKUP(D$64*10+$A68,$81:$82,2,FALSE)</f>
        <v>1.01</v>
      </c>
      <c r="E68" s="206">
        <f>IF(ISNA(HLOOKUP(E$64*10+$A68,$81:$82,2,FALSE)),D68*(1-$N68)*#REF!*(1+$B$25)/(1+$E$4),HLOOKUP(E$64*10+$A68,$81:$82,2,FALSE))</f>
        <v>1.94</v>
      </c>
      <c r="F68" s="206">
        <f>IF(ISNA(HLOOKUP(F$64*10+$A68,$81:$82,2,FALSE)),(HLOOKUP(E$64*10+$A68,$87:$94,4,FALSE)*$G68+$B$25)/HLOOKUP(E$64*10+$A68,$87:$94,5,FALSE)*$E68,HLOOKUP(F$64*10+$A68,$81:$82,2,FALSE))</f>
        <v>1.7519713059282167</v>
      </c>
      <c r="G68" s="101">
        <f>MIN(130%,SUM($B$57:$D$57)/SUM($B$58:$D$58)*$G$69/HLOOKUP(E$64*10+$A68,$145:$146,2,FALSE))</f>
        <v>0.95315218535342283</v>
      </c>
      <c r="H68" s="204">
        <v>4</v>
      </c>
      <c r="I68" s="208">
        <f t="shared" si="6"/>
        <v>8.539999999999999E-2</v>
      </c>
      <c r="J68" s="208">
        <f t="shared" si="6"/>
        <v>6.4399999999999999E-2</v>
      </c>
      <c r="K68" s="208">
        <f t="shared" si="6"/>
        <v>4.9500000000000002E-2</v>
      </c>
      <c r="L68" s="208">
        <f t="shared" si="6"/>
        <v>7.9100000000000004E-2</v>
      </c>
      <c r="M68" s="209" t="str">
        <f t="shared" si="6"/>
        <v/>
      </c>
      <c r="N68" s="256">
        <f t="shared" si="7"/>
        <v>32386</v>
      </c>
      <c r="O68" s="256" t="e">
        <f t="shared" si="7"/>
        <v>#N/A</v>
      </c>
    </row>
    <row r="69" spans="1:72" x14ac:dyDescent="0.25">
      <c r="A69" s="212" t="s">
        <v>162</v>
      </c>
      <c r="B69" s="213">
        <f>SUM(B65:B68)</f>
        <v>4.0199999999999996</v>
      </c>
      <c r="C69" s="213">
        <f>SUM(C65:C68)</f>
        <v>4.8999999999999995</v>
      </c>
      <c r="D69" s="213">
        <f>SUM(D65:D68)</f>
        <v>5.8999999999999995</v>
      </c>
      <c r="E69" s="213">
        <f>SUM(E65:E68)</f>
        <v>6.52</v>
      </c>
      <c r="F69" s="213">
        <f>SUM(F65:F68)</f>
        <v>6.7619713059282169</v>
      </c>
      <c r="G69" s="257">
        <f>_xlfn.FORECAST.ETS(23,B146:W146,{1,2,3,4,5,6,7,8,9,10,11,12,13,14,15,16,17,18,19,20,21,22})</f>
        <v>17.990789450853011</v>
      </c>
      <c r="H69" s="214" t="s">
        <v>19</v>
      </c>
      <c r="I69" s="215">
        <f>HLOOKUP(I64,151:155,3,FALSE)/100</f>
        <v>6.4299999999999996E-2</v>
      </c>
      <c r="J69" s="215">
        <f>HLOOKUP(J64,151:155,3,FALSE)/100</f>
        <v>7.8399999999999997E-2</v>
      </c>
      <c r="K69" s="215">
        <f>HLOOKUP(K64,151:155,3,FALSE)/100</f>
        <v>7.7199999999999991E-2</v>
      </c>
      <c r="L69" s="215">
        <f>IF(ISNA(HLOOKUP(L64,151:155,3,FALSE)/100),AVERAGE(L65:L68),HLOOKUP(L64,151:155,3,FALSE)/100)</f>
        <v>7.7699999999999991E-2</v>
      </c>
      <c r="M69" s="215"/>
      <c r="N69" s="216"/>
    </row>
    <row r="70" spans="1:72" s="135" customFormat="1" x14ac:dyDescent="0.25">
      <c r="A70" s="217"/>
      <c r="B70" s="218"/>
      <c r="C70" s="218"/>
      <c r="D70" s="218"/>
      <c r="E70" s="218"/>
      <c r="F70" s="218"/>
    </row>
    <row r="71" spans="1:72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2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3.32</v>
      </c>
      <c r="C72" s="205">
        <f t="shared" si="8"/>
        <v>6.21</v>
      </c>
      <c r="D72" s="205">
        <f t="shared" si="8"/>
        <v>9.6199999999999992</v>
      </c>
      <c r="E72" s="205">
        <f t="shared" si="8"/>
        <v>8.39</v>
      </c>
      <c r="F72" s="205">
        <f t="shared" si="8"/>
        <v>7.25</v>
      </c>
    </row>
    <row r="73" spans="1:72" s="135" customFormat="1" x14ac:dyDescent="0.25">
      <c r="A73" s="204">
        <v>2</v>
      </c>
      <c r="B73" s="205">
        <f t="shared" si="8"/>
        <v>4.0199999999999996</v>
      </c>
      <c r="C73" s="205">
        <f t="shared" si="8"/>
        <v>5.75</v>
      </c>
      <c r="D73" s="205">
        <f t="shared" si="8"/>
        <v>5.38</v>
      </c>
      <c r="E73" s="205">
        <f t="shared" si="8"/>
        <v>6.37</v>
      </c>
      <c r="F73" s="205">
        <f t="shared" si="8"/>
        <v>6.76</v>
      </c>
    </row>
    <row r="74" spans="1:72" s="135" customFormat="1" x14ac:dyDescent="0.25">
      <c r="A74" s="204">
        <v>3</v>
      </c>
      <c r="B74" s="205">
        <f t="shared" si="8"/>
        <v>5.07</v>
      </c>
      <c r="C74" s="205">
        <f t="shared" si="8"/>
        <v>5.87</v>
      </c>
      <c r="D74" s="205">
        <f t="shared" si="8"/>
        <v>6.51</v>
      </c>
      <c r="E74" s="205">
        <f t="shared" si="8"/>
        <v>4.62</v>
      </c>
      <c r="F74" s="205">
        <f t="shared" si="8"/>
        <v>6.7</v>
      </c>
    </row>
    <row r="75" spans="1:72" s="135" customFormat="1" x14ac:dyDescent="0.25">
      <c r="A75" s="204">
        <v>4</v>
      </c>
      <c r="B75" s="205">
        <f t="shared" si="8"/>
        <v>7.46</v>
      </c>
      <c r="C75" s="205">
        <f t="shared" si="8"/>
        <v>5.27</v>
      </c>
      <c r="D75" s="205">
        <f t="shared" si="8"/>
        <v>4.3899999999999997</v>
      </c>
      <c r="E75" s="205">
        <f t="shared" si="8"/>
        <v>8.26</v>
      </c>
      <c r="F75" s="205" t="str">
        <f t="shared" si="8"/>
        <v/>
      </c>
    </row>
    <row r="76" spans="1:72" s="135" customFormat="1" x14ac:dyDescent="0.25">
      <c r="A76" s="212" t="s">
        <v>165</v>
      </c>
      <c r="B76" s="213">
        <f>SUM(B72:B75)</f>
        <v>19.87</v>
      </c>
      <c r="C76" s="213">
        <f>SUM(C72:C75)</f>
        <v>23.1</v>
      </c>
      <c r="D76" s="213">
        <f>SUM(D72:D75)</f>
        <v>25.9</v>
      </c>
      <c r="E76" s="213">
        <f>AVERAGE(E72:E75)*4</f>
        <v>27.64</v>
      </c>
      <c r="F76" s="213"/>
    </row>
    <row r="77" spans="1:72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2" s="135" customFormat="1" ht="14.25" thickBot="1" x14ac:dyDescent="0.3">
      <c r="A78" s="217"/>
      <c r="B78" s="69">
        <v>201301</v>
      </c>
      <c r="C78" s="70">
        <v>201302</v>
      </c>
      <c r="D78" s="70">
        <v>201303</v>
      </c>
      <c r="E78" s="70">
        <v>201304</v>
      </c>
      <c r="F78" s="70">
        <v>201305</v>
      </c>
      <c r="G78" s="70">
        <v>201306</v>
      </c>
      <c r="H78" s="70">
        <v>201307</v>
      </c>
      <c r="I78" s="70">
        <v>201308</v>
      </c>
      <c r="J78" s="70">
        <v>201309</v>
      </c>
      <c r="K78" s="70">
        <v>201310</v>
      </c>
      <c r="L78" s="70">
        <v>201311</v>
      </c>
      <c r="M78" s="70">
        <v>201312</v>
      </c>
      <c r="N78" s="70">
        <v>201401</v>
      </c>
      <c r="O78" s="70">
        <v>201402</v>
      </c>
      <c r="P78" s="70">
        <v>201403</v>
      </c>
      <c r="Q78" s="70">
        <v>201404</v>
      </c>
      <c r="R78" s="70">
        <v>201405</v>
      </c>
      <c r="S78" s="70">
        <v>201406</v>
      </c>
      <c r="T78" s="70">
        <v>201407</v>
      </c>
      <c r="U78" s="70">
        <v>201408</v>
      </c>
      <c r="V78" s="70">
        <v>201409</v>
      </c>
      <c r="W78" s="70">
        <v>201410</v>
      </c>
      <c r="X78" s="70">
        <v>201411</v>
      </c>
      <c r="Y78" s="70">
        <v>201412</v>
      </c>
      <c r="Z78" s="70">
        <v>201501</v>
      </c>
      <c r="AA78" s="70">
        <v>201502</v>
      </c>
      <c r="AB78" s="70">
        <v>201503</v>
      </c>
      <c r="AC78" s="70">
        <v>201504</v>
      </c>
      <c r="AD78" s="70">
        <v>201505</v>
      </c>
      <c r="AE78" s="70">
        <v>201506</v>
      </c>
      <c r="AF78" s="70">
        <v>201507</v>
      </c>
      <c r="AG78" s="70">
        <v>201508</v>
      </c>
      <c r="AH78" s="70">
        <v>201509</v>
      </c>
      <c r="AI78" s="70">
        <v>201510</v>
      </c>
      <c r="AJ78" s="70">
        <v>201511</v>
      </c>
      <c r="AK78" s="70">
        <v>201512</v>
      </c>
      <c r="AL78" s="70">
        <v>201601</v>
      </c>
      <c r="AM78" s="70">
        <v>201602</v>
      </c>
      <c r="AN78" s="70">
        <v>201603</v>
      </c>
      <c r="AO78" s="70">
        <v>201604</v>
      </c>
      <c r="AP78" s="70">
        <v>201605</v>
      </c>
      <c r="AQ78" s="70">
        <v>201606</v>
      </c>
      <c r="AR78" s="70">
        <v>201607</v>
      </c>
      <c r="AS78" s="70">
        <v>201608</v>
      </c>
      <c r="AT78" s="70">
        <v>201609</v>
      </c>
      <c r="AU78" s="70">
        <v>201610</v>
      </c>
      <c r="AV78" s="70">
        <v>201611</v>
      </c>
      <c r="AW78" s="70">
        <v>201612</v>
      </c>
      <c r="AX78" s="70">
        <v>201701</v>
      </c>
      <c r="AY78" s="70">
        <v>201702</v>
      </c>
      <c r="AZ78" s="70">
        <v>201703</v>
      </c>
      <c r="BA78" s="70">
        <v>201704</v>
      </c>
      <c r="BB78" s="70">
        <v>201705</v>
      </c>
      <c r="BC78" s="70">
        <v>201706</v>
      </c>
      <c r="BD78" s="70">
        <v>201707</v>
      </c>
      <c r="BE78" s="70">
        <v>201708</v>
      </c>
      <c r="BF78" s="70">
        <v>201709</v>
      </c>
      <c r="BG78" s="70">
        <v>201710</v>
      </c>
      <c r="BH78" s="70">
        <v>201711</v>
      </c>
      <c r="BI78" s="70">
        <v>201712</v>
      </c>
      <c r="BJ78" s="71">
        <v>201801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0">
        <v>201710</v>
      </c>
      <c r="BT78" s="71">
        <v>201711</v>
      </c>
    </row>
    <row r="79" spans="1:72" ht="14.25" thickBot="1" x14ac:dyDescent="0.3">
      <c r="A79" s="222" t="s">
        <v>9</v>
      </c>
      <c r="B79" s="270">
        <v>333313</v>
      </c>
      <c r="C79" s="270">
        <v>292397</v>
      </c>
      <c r="D79" s="270">
        <v>334087</v>
      </c>
      <c r="E79" s="270">
        <v>300267</v>
      </c>
      <c r="F79" s="270">
        <v>302021</v>
      </c>
      <c r="G79" s="270">
        <v>300125</v>
      </c>
      <c r="H79" s="270">
        <v>353347</v>
      </c>
      <c r="I79" s="270">
        <v>337541</v>
      </c>
      <c r="J79" s="270">
        <v>363315</v>
      </c>
      <c r="K79" s="270">
        <v>489690</v>
      </c>
      <c r="L79" s="270">
        <v>389000</v>
      </c>
      <c r="M79" s="270">
        <v>408513</v>
      </c>
      <c r="N79" s="270">
        <v>383834</v>
      </c>
      <c r="O79" s="270">
        <v>316595</v>
      </c>
      <c r="P79" s="270">
        <v>470369</v>
      </c>
      <c r="Q79" s="270">
        <v>376710</v>
      </c>
      <c r="R79" s="270">
        <v>468697</v>
      </c>
      <c r="S79" s="270">
        <v>379050</v>
      </c>
      <c r="T79" s="270">
        <v>415993</v>
      </c>
      <c r="U79" s="270">
        <v>384112</v>
      </c>
      <c r="V79" s="270">
        <v>453572</v>
      </c>
      <c r="W79" s="270">
        <v>460159</v>
      </c>
      <c r="X79" s="270">
        <v>413332</v>
      </c>
      <c r="Y79" s="270">
        <v>440000</v>
      </c>
      <c r="Z79" s="270">
        <v>546165</v>
      </c>
      <c r="AA79" s="270">
        <v>492901</v>
      </c>
      <c r="AB79" s="270">
        <v>571329</v>
      </c>
      <c r="AC79" s="270">
        <v>448942</v>
      </c>
      <c r="AD79" s="270">
        <v>449076</v>
      </c>
      <c r="AE79" s="270">
        <v>443029</v>
      </c>
      <c r="AF79" s="270">
        <v>500413</v>
      </c>
      <c r="AG79" s="270">
        <v>391643</v>
      </c>
      <c r="AH79" s="270">
        <v>457279</v>
      </c>
      <c r="AI79" s="270">
        <v>498596</v>
      </c>
      <c r="AJ79" s="270">
        <v>450399</v>
      </c>
      <c r="AK79" s="270">
        <v>481781</v>
      </c>
      <c r="AL79" s="270">
        <v>529837</v>
      </c>
      <c r="AM79" s="270">
        <v>406884</v>
      </c>
      <c r="AN79" s="270">
        <v>495794</v>
      </c>
      <c r="AO79" s="270">
        <v>410469</v>
      </c>
      <c r="AP79" s="270">
        <v>473598</v>
      </c>
      <c r="AQ79" s="270">
        <v>443048</v>
      </c>
      <c r="AR79" s="270">
        <v>477385</v>
      </c>
      <c r="AS79" s="270">
        <v>384468</v>
      </c>
      <c r="AT79" s="270">
        <v>441061</v>
      </c>
      <c r="AU79" s="270">
        <v>539902</v>
      </c>
      <c r="AV79" s="270">
        <v>657222</v>
      </c>
      <c r="AW79" s="270">
        <v>640588</v>
      </c>
      <c r="AX79" s="270">
        <v>430627</v>
      </c>
      <c r="AY79" s="270">
        <v>401382</v>
      </c>
      <c r="AZ79" s="270">
        <v>544011</v>
      </c>
      <c r="BA79" s="270">
        <v>510593</v>
      </c>
      <c r="BB79" s="270">
        <v>587059</v>
      </c>
      <c r="BC79" s="270">
        <v>525156</v>
      </c>
      <c r="BD79" s="270">
        <v>505556</v>
      </c>
      <c r="BE79" s="270">
        <v>568609</v>
      </c>
      <c r="BF79" s="270">
        <v>541028</v>
      </c>
      <c r="BG79" s="270">
        <v>536965</v>
      </c>
      <c r="BH79" s="270">
        <v>539832</v>
      </c>
      <c r="BI79" s="270">
        <v>506572</v>
      </c>
      <c r="BJ79" s="270">
        <v>484690</v>
      </c>
      <c r="BK79" s="270">
        <v>401382</v>
      </c>
      <c r="BL79" s="270">
        <v>544011</v>
      </c>
      <c r="BM79" s="270">
        <v>510593</v>
      </c>
      <c r="BN79" s="270">
        <v>587059</v>
      </c>
      <c r="BO79" s="270">
        <v>525156</v>
      </c>
      <c r="BP79" s="270">
        <v>505556</v>
      </c>
      <c r="BQ79" s="270">
        <v>568609</v>
      </c>
      <c r="BR79" s="270">
        <v>541028</v>
      </c>
      <c r="BS79" s="270">
        <v>536965</v>
      </c>
      <c r="BT79" s="270">
        <v>539832</v>
      </c>
    </row>
    <row r="80" spans="1:72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0.95</v>
      </c>
      <c r="C82" s="72">
        <v>1.1499999999999999</v>
      </c>
      <c r="D82" s="72">
        <v>0.63</v>
      </c>
      <c r="E82" s="72">
        <v>0.94</v>
      </c>
      <c r="F82" s="72">
        <v>0.71</v>
      </c>
      <c r="G82" s="72">
        <v>0.81</v>
      </c>
      <c r="H82" s="72">
        <v>0.98</v>
      </c>
      <c r="I82" s="72">
        <v>1.52</v>
      </c>
      <c r="J82" s="72">
        <v>1.35</v>
      </c>
      <c r="K82" s="72">
        <v>1.21</v>
      </c>
      <c r="L82" s="72">
        <v>1.2</v>
      </c>
      <c r="M82" s="72">
        <v>1.1399999999999999</v>
      </c>
      <c r="N82" s="72">
        <v>2.2400000000000002</v>
      </c>
      <c r="O82" s="72">
        <v>1.22</v>
      </c>
      <c r="P82" s="72">
        <v>1.43</v>
      </c>
      <c r="Q82" s="72">
        <v>1.01</v>
      </c>
      <c r="R82" s="72">
        <v>2.0499999999999998</v>
      </c>
      <c r="S82" s="72">
        <v>1.5</v>
      </c>
      <c r="T82" s="72">
        <v>1.03</v>
      </c>
      <c r="U82" s="72">
        <v>1.94</v>
      </c>
      <c r="V82" s="72">
        <v>1.82</v>
      </c>
      <c r="W82" s="72">
        <v>1.63</v>
      </c>
      <c r="X82" s="72">
        <v>1.56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22.9</v>
      </c>
      <c r="C85" s="72">
        <v>20.07</v>
      </c>
      <c r="D85" s="72">
        <v>20.64</v>
      </c>
      <c r="E85" s="72">
        <v>21.54</v>
      </c>
      <c r="F85" s="72">
        <v>21.43</v>
      </c>
      <c r="G85" s="72">
        <v>18.809999999999999</v>
      </c>
      <c r="H85" s="72">
        <v>19.75</v>
      </c>
      <c r="I85" s="72">
        <v>20.98</v>
      </c>
      <c r="J85" s="72">
        <v>22.35</v>
      </c>
      <c r="K85" s="72">
        <v>19.78</v>
      </c>
      <c r="L85" s="72">
        <v>21.05</v>
      </c>
      <c r="M85" s="72">
        <v>22.18</v>
      </c>
      <c r="N85" s="72">
        <v>24.28</v>
      </c>
      <c r="O85" s="72">
        <v>21.16</v>
      </c>
      <c r="P85" s="72">
        <v>22.68</v>
      </c>
      <c r="Q85" s="72">
        <v>23.45</v>
      </c>
      <c r="R85" s="72">
        <v>25.43</v>
      </c>
      <c r="S85" s="72">
        <v>21.83</v>
      </c>
      <c r="T85" s="72">
        <v>22.71</v>
      </c>
      <c r="U85" s="72">
        <v>24.31</v>
      </c>
      <c r="V85" s="72">
        <v>25.88</v>
      </c>
      <c r="W85" s="72">
        <v>22.41</v>
      </c>
      <c r="X85" s="72">
        <v>24.03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1027688</v>
      </c>
      <c r="C88" s="273">
        <v>1133420</v>
      </c>
      <c r="D88" s="273">
        <v>956341</v>
      </c>
      <c r="E88" s="273">
        <v>1102751</v>
      </c>
      <c r="F88" s="273">
        <v>959797</v>
      </c>
      <c r="G88" s="273">
        <v>902413</v>
      </c>
      <c r="H88" s="273">
        <v>1054204</v>
      </c>
      <c r="I88" s="273">
        <v>1287202</v>
      </c>
      <c r="J88" s="273">
        <v>1170798</v>
      </c>
      <c r="K88" s="273">
        <v>1224457</v>
      </c>
      <c r="L88" s="273">
        <v>1253677</v>
      </c>
      <c r="M88" s="273">
        <v>1313490</v>
      </c>
      <c r="N88" s="273">
        <v>1610395</v>
      </c>
      <c r="O88" s="273">
        <v>1341047</v>
      </c>
      <c r="P88" s="273">
        <v>1349334</v>
      </c>
      <c r="Q88" s="273">
        <v>1430777</v>
      </c>
      <c r="R88" s="273">
        <v>1432515</v>
      </c>
      <c r="S88" s="273">
        <v>1327114</v>
      </c>
      <c r="T88" s="273">
        <v>1302914</v>
      </c>
      <c r="U88" s="273">
        <v>1837714</v>
      </c>
      <c r="V88" s="273">
        <v>1376020</v>
      </c>
      <c r="W88" s="273">
        <v>1622808</v>
      </c>
      <c r="X88" s="273">
        <v>1615194</v>
      </c>
    </row>
    <row r="89" spans="1:25" ht="14.25" thickBot="1" x14ac:dyDescent="0.3">
      <c r="A89" s="250" t="s">
        <v>4</v>
      </c>
      <c r="B89" s="275">
        <v>166165</v>
      </c>
      <c r="C89" s="275">
        <v>177282</v>
      </c>
      <c r="D89" s="275">
        <v>146492</v>
      </c>
      <c r="E89" s="275">
        <v>170384</v>
      </c>
      <c r="F89" s="275">
        <v>132311</v>
      </c>
      <c r="G89" s="275">
        <v>147048</v>
      </c>
      <c r="H89" s="275">
        <v>167417</v>
      </c>
      <c r="I89" s="275">
        <v>226036</v>
      </c>
      <c r="J89" s="275">
        <v>229206</v>
      </c>
      <c r="K89" s="275">
        <v>224586</v>
      </c>
      <c r="L89" s="275">
        <v>207495</v>
      </c>
      <c r="M89" s="275">
        <v>232617</v>
      </c>
      <c r="N89" s="275">
        <v>308966</v>
      </c>
      <c r="O89" s="275">
        <v>234086</v>
      </c>
      <c r="P89" s="275">
        <v>215289</v>
      </c>
      <c r="Q89" s="275">
        <v>217846</v>
      </c>
      <c r="R89" s="275">
        <v>270614</v>
      </c>
      <c r="S89" s="275">
        <v>236269</v>
      </c>
      <c r="T89" s="275">
        <v>207026</v>
      </c>
      <c r="U89" s="275">
        <v>307333</v>
      </c>
      <c r="V89" s="275">
        <v>264769</v>
      </c>
      <c r="W89" s="275">
        <v>259165</v>
      </c>
      <c r="X89" s="275">
        <v>269105</v>
      </c>
    </row>
    <row r="90" spans="1:25" ht="14.25" thickBot="1" x14ac:dyDescent="0.3">
      <c r="A90" s="251" t="s">
        <v>5</v>
      </c>
      <c r="B90" s="273">
        <v>66116</v>
      </c>
      <c r="C90" s="273">
        <v>76861</v>
      </c>
      <c r="D90" s="273">
        <v>55903</v>
      </c>
      <c r="E90" s="273">
        <v>67903</v>
      </c>
      <c r="F90" s="273">
        <v>34426</v>
      </c>
      <c r="G90" s="273">
        <v>55676</v>
      </c>
      <c r="H90" s="273">
        <v>70077</v>
      </c>
      <c r="I90" s="273">
        <v>109956</v>
      </c>
      <c r="J90" s="273">
        <v>109303</v>
      </c>
      <c r="K90" s="273">
        <v>100787</v>
      </c>
      <c r="L90" s="273">
        <v>94217</v>
      </c>
      <c r="M90" s="273">
        <v>84543</v>
      </c>
      <c r="N90" s="273">
        <v>180191</v>
      </c>
      <c r="O90" s="273">
        <v>102042</v>
      </c>
      <c r="P90" s="273">
        <v>89527</v>
      </c>
      <c r="Q90" s="273">
        <v>70791</v>
      </c>
      <c r="R90" s="273">
        <v>133778</v>
      </c>
      <c r="S90" s="273">
        <v>108710</v>
      </c>
      <c r="T90" s="273">
        <v>70699</v>
      </c>
      <c r="U90" s="273">
        <v>145379</v>
      </c>
      <c r="V90" s="273">
        <v>129264</v>
      </c>
      <c r="W90" s="273">
        <v>116632</v>
      </c>
      <c r="X90" s="273">
        <v>121798</v>
      </c>
    </row>
    <row r="91" spans="1:25" ht="14.25" thickBot="1" x14ac:dyDescent="0.3">
      <c r="A91" s="250" t="s">
        <v>6</v>
      </c>
      <c r="B91" s="275">
        <v>73538</v>
      </c>
      <c r="C91" s="275">
        <v>104731</v>
      </c>
      <c r="D91" s="275">
        <v>57769</v>
      </c>
      <c r="E91" s="275">
        <v>86052</v>
      </c>
      <c r="F91" s="275">
        <v>65512</v>
      </c>
      <c r="G91" s="275">
        <v>73593</v>
      </c>
      <c r="H91" s="275">
        <v>88352</v>
      </c>
      <c r="I91" s="275">
        <v>139849</v>
      </c>
      <c r="J91" s="275">
        <v>128266</v>
      </c>
      <c r="K91" s="275">
        <v>109258</v>
      </c>
      <c r="L91" s="275">
        <v>109970</v>
      </c>
      <c r="M91" s="275">
        <v>105491</v>
      </c>
      <c r="N91" s="275">
        <v>204324</v>
      </c>
      <c r="O91" s="275">
        <v>111438</v>
      </c>
      <c r="P91" s="275">
        <v>124299</v>
      </c>
      <c r="Q91" s="275">
        <v>92874</v>
      </c>
      <c r="R91" s="275">
        <v>172250</v>
      </c>
      <c r="S91" s="275">
        <v>136912</v>
      </c>
      <c r="T91" s="275">
        <v>93094</v>
      </c>
      <c r="U91" s="275">
        <v>177765</v>
      </c>
      <c r="V91" s="275">
        <v>147164</v>
      </c>
      <c r="W91" s="275">
        <v>152976</v>
      </c>
      <c r="X91" s="275">
        <v>144351</v>
      </c>
    </row>
    <row r="92" spans="1:25" ht="14.25" thickBot="1" x14ac:dyDescent="0.3">
      <c r="A92" s="251" t="s">
        <v>7</v>
      </c>
      <c r="B92" s="273">
        <v>72147</v>
      </c>
      <c r="C92" s="273">
        <v>87318</v>
      </c>
      <c r="D92" s="273">
        <v>48219</v>
      </c>
      <c r="E92" s="273">
        <v>71374</v>
      </c>
      <c r="F92" s="273">
        <v>54379</v>
      </c>
      <c r="G92" s="273">
        <v>61594</v>
      </c>
      <c r="H92" s="273">
        <v>74575</v>
      </c>
      <c r="I92" s="273">
        <v>115832</v>
      </c>
      <c r="J92" s="273">
        <v>102545</v>
      </c>
      <c r="K92" s="273">
        <v>92395</v>
      </c>
      <c r="L92" s="273">
        <v>91275</v>
      </c>
      <c r="M92" s="273">
        <v>86896</v>
      </c>
      <c r="N92" s="273">
        <v>170396</v>
      </c>
      <c r="O92" s="273">
        <v>93127</v>
      </c>
      <c r="P92" s="273">
        <v>108816</v>
      </c>
      <c r="Q92" s="273">
        <v>77273</v>
      </c>
      <c r="R92" s="273">
        <v>156243</v>
      </c>
      <c r="S92" s="273">
        <v>114666</v>
      </c>
      <c r="T92" s="273">
        <v>78436</v>
      </c>
      <c r="U92" s="273">
        <v>147963</v>
      </c>
      <c r="V92" s="273">
        <v>138742</v>
      </c>
      <c r="W92" s="273">
        <v>124467</v>
      </c>
      <c r="X92" s="273">
        <v>118589</v>
      </c>
    </row>
    <row r="93" spans="1:25" ht="26.25" thickBot="1" x14ac:dyDescent="0.3">
      <c r="A93" s="252" t="s">
        <v>8</v>
      </c>
      <c r="B93" s="276">
        <v>72147</v>
      </c>
      <c r="C93" s="276">
        <v>87318</v>
      </c>
      <c r="D93" s="276">
        <v>48219</v>
      </c>
      <c r="E93" s="276">
        <v>71374</v>
      </c>
      <c r="F93" s="276">
        <v>54379</v>
      </c>
      <c r="G93" s="276">
        <v>61594</v>
      </c>
      <c r="H93" s="276">
        <v>74575</v>
      </c>
      <c r="I93" s="276">
        <v>115832</v>
      </c>
      <c r="J93" s="276">
        <v>102545</v>
      </c>
      <c r="K93" s="276">
        <v>92395</v>
      </c>
      <c r="L93" s="276">
        <v>91275</v>
      </c>
      <c r="M93" s="276">
        <v>86896</v>
      </c>
      <c r="N93" s="276">
        <v>170396</v>
      </c>
      <c r="O93" s="276">
        <v>93127</v>
      </c>
      <c r="P93" s="276">
        <v>108816</v>
      </c>
      <c r="Q93" s="276">
        <v>77273</v>
      </c>
      <c r="R93" s="276">
        <v>156243</v>
      </c>
      <c r="S93" s="276">
        <v>114666</v>
      </c>
      <c r="T93" s="276">
        <v>78436</v>
      </c>
      <c r="U93" s="276">
        <v>147963</v>
      </c>
      <c r="V93" s="276">
        <v>138742</v>
      </c>
      <c r="W93" s="276">
        <v>124467</v>
      </c>
      <c r="X93" s="276">
        <v>118589</v>
      </c>
    </row>
    <row r="94" spans="1:25" x14ac:dyDescent="0.25">
      <c r="A94" s="233" t="s">
        <v>365</v>
      </c>
      <c r="B94" s="253">
        <f>IF(B91="","",B91-B90)</f>
        <v>7422</v>
      </c>
      <c r="C94" s="253">
        <f>IF(C91="","",C91-C90)</f>
        <v>27870</v>
      </c>
      <c r="D94" s="253">
        <f t="shared" ref="D94:Y94" si="9">IF(D91="","",D91-D90)</f>
        <v>1866</v>
      </c>
      <c r="E94" s="253">
        <f t="shared" si="9"/>
        <v>18149</v>
      </c>
      <c r="F94" s="253">
        <f t="shared" si="9"/>
        <v>31086</v>
      </c>
      <c r="G94" s="253">
        <f t="shared" si="9"/>
        <v>17917</v>
      </c>
      <c r="H94" s="253">
        <f t="shared" si="9"/>
        <v>18275</v>
      </c>
      <c r="I94" s="253">
        <f t="shared" si="9"/>
        <v>29893</v>
      </c>
      <c r="J94" s="253">
        <f t="shared" si="9"/>
        <v>18963</v>
      </c>
      <c r="K94" s="253">
        <f t="shared" si="9"/>
        <v>8471</v>
      </c>
      <c r="L94" s="253">
        <f t="shared" si="9"/>
        <v>15753</v>
      </c>
      <c r="M94" s="253">
        <f t="shared" si="9"/>
        <v>20948</v>
      </c>
      <c r="N94" s="253">
        <f t="shared" si="9"/>
        <v>24133</v>
      </c>
      <c r="O94" s="253">
        <f t="shared" si="9"/>
        <v>9396</v>
      </c>
      <c r="P94" s="253">
        <f t="shared" si="9"/>
        <v>34772</v>
      </c>
      <c r="Q94" s="253">
        <f t="shared" si="9"/>
        <v>22083</v>
      </c>
      <c r="R94" s="253">
        <f t="shared" si="9"/>
        <v>38472</v>
      </c>
      <c r="S94" s="253">
        <f t="shared" si="9"/>
        <v>28202</v>
      </c>
      <c r="T94" s="253">
        <f t="shared" si="9"/>
        <v>22395</v>
      </c>
      <c r="U94" s="253">
        <f t="shared" si="9"/>
        <v>32386</v>
      </c>
      <c r="V94" s="253">
        <f t="shared" si="9"/>
        <v>17900</v>
      </c>
      <c r="W94" s="253">
        <f t="shared" si="9"/>
        <v>36344</v>
      </c>
      <c r="X94" s="253">
        <f t="shared" si="9"/>
        <v>22553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4220200</v>
      </c>
      <c r="C97" s="273">
        <v>4203616</v>
      </c>
      <c r="D97" s="273">
        <v>4962422</v>
      </c>
      <c r="E97" s="273">
        <v>5731553</v>
      </c>
      <c r="F97" s="273">
        <v>5900257</v>
      </c>
    </row>
    <row r="98" spans="1:24" ht="14.25" thickBot="1" x14ac:dyDescent="0.3">
      <c r="A98" s="225" t="s">
        <v>4</v>
      </c>
      <c r="B98" s="275">
        <v>660323</v>
      </c>
      <c r="C98" s="275">
        <v>673320</v>
      </c>
      <c r="D98" s="275">
        <v>891017</v>
      </c>
      <c r="E98" s="275">
        <v>973896</v>
      </c>
      <c r="F98" s="275">
        <v>1021242</v>
      </c>
    </row>
    <row r="99" spans="1:24" ht="14.25" thickBot="1" x14ac:dyDescent="0.3">
      <c r="A99" s="224" t="s">
        <v>5</v>
      </c>
      <c r="B99" s="273">
        <v>266783</v>
      </c>
      <c r="C99" s="273">
        <v>270135</v>
      </c>
      <c r="D99" s="273">
        <v>389261</v>
      </c>
      <c r="E99" s="273">
        <v>442551</v>
      </c>
      <c r="F99" s="273">
        <v>458566</v>
      </c>
    </row>
    <row r="100" spans="1:24" ht="14.25" thickBot="1" x14ac:dyDescent="0.3">
      <c r="A100" s="225" t="s">
        <v>6</v>
      </c>
      <c r="B100" s="275">
        <v>322090</v>
      </c>
      <c r="C100" s="275">
        <v>367306</v>
      </c>
      <c r="D100" s="275">
        <v>453396</v>
      </c>
      <c r="E100" s="275">
        <v>532935</v>
      </c>
      <c r="F100" s="275">
        <v>580021</v>
      </c>
    </row>
    <row r="101" spans="1:24" ht="14.25" thickBot="1" x14ac:dyDescent="0.3">
      <c r="A101" s="224" t="s">
        <v>7</v>
      </c>
      <c r="B101" s="273">
        <v>279058</v>
      </c>
      <c r="C101" s="273">
        <v>306380</v>
      </c>
      <c r="D101" s="273">
        <v>373453</v>
      </c>
      <c r="E101" s="273">
        <v>449612</v>
      </c>
      <c r="F101" s="273">
        <v>497308</v>
      </c>
    </row>
    <row r="102" spans="1:24" ht="14.25" thickBot="1" x14ac:dyDescent="0.3">
      <c r="A102" s="227" t="s">
        <v>8</v>
      </c>
      <c r="B102" s="276">
        <v>279058</v>
      </c>
      <c r="C102" s="276">
        <v>306380</v>
      </c>
      <c r="D102" s="276">
        <v>373453</v>
      </c>
      <c r="E102" s="276">
        <v>449612</v>
      </c>
      <c r="F102" s="276">
        <v>497308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140601</v>
      </c>
      <c r="C106" s="273">
        <v>205098</v>
      </c>
      <c r="D106" s="273">
        <v>111891</v>
      </c>
      <c r="E106" s="273">
        <v>220281</v>
      </c>
      <c r="F106" s="273">
        <v>217755</v>
      </c>
      <c r="G106" s="273">
        <v>236267</v>
      </c>
      <c r="H106" s="273">
        <v>149700</v>
      </c>
      <c r="I106" s="273">
        <v>232148</v>
      </c>
      <c r="J106" s="273">
        <v>315914</v>
      </c>
      <c r="K106" s="273">
        <v>351720</v>
      </c>
      <c r="L106" s="273">
        <v>181087</v>
      </c>
      <c r="M106" s="273">
        <v>155360</v>
      </c>
      <c r="N106" s="273">
        <v>256512</v>
      </c>
      <c r="O106" s="273">
        <v>441740</v>
      </c>
      <c r="P106" s="273">
        <v>93581</v>
      </c>
      <c r="Q106" s="273">
        <v>215318</v>
      </c>
      <c r="R106" s="273">
        <v>387196</v>
      </c>
      <c r="S106" s="273">
        <v>344235</v>
      </c>
      <c r="T106" s="273">
        <v>102403</v>
      </c>
      <c r="U106" s="273">
        <v>63706</v>
      </c>
      <c r="V106" s="273">
        <v>99972</v>
      </c>
      <c r="W106" s="273">
        <v>298931</v>
      </c>
      <c r="X106" s="273">
        <v>94075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5">
        <v>60051</v>
      </c>
      <c r="H107" s="275">
        <v>4993</v>
      </c>
      <c r="I107" s="275">
        <v>8590</v>
      </c>
      <c r="J107" s="275">
        <v>4908</v>
      </c>
      <c r="K107" s="275">
        <v>24166</v>
      </c>
      <c r="L107" s="275">
        <v>24841</v>
      </c>
      <c r="M107" s="274">
        <v>0</v>
      </c>
      <c r="N107" s="274">
        <v>0</v>
      </c>
      <c r="O107" s="275">
        <v>10010</v>
      </c>
      <c r="P107" s="274">
        <v>0</v>
      </c>
      <c r="Q107" s="274">
        <v>0</v>
      </c>
      <c r="R107" s="275">
        <v>10000</v>
      </c>
      <c r="S107" s="275">
        <v>10000</v>
      </c>
      <c r="T107" s="275">
        <v>10000</v>
      </c>
      <c r="U107" s="275">
        <v>10000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772888</v>
      </c>
      <c r="C108" s="273">
        <v>986958</v>
      </c>
      <c r="D108" s="273">
        <v>839960</v>
      </c>
      <c r="E108" s="273">
        <v>765657</v>
      </c>
      <c r="F108" s="273">
        <v>735896</v>
      </c>
      <c r="G108" s="273">
        <v>730649</v>
      </c>
      <c r="H108" s="273">
        <v>800293</v>
      </c>
      <c r="I108" s="273">
        <v>905402</v>
      </c>
      <c r="J108" s="273">
        <v>858467</v>
      </c>
      <c r="K108" s="273">
        <v>893668</v>
      </c>
      <c r="L108" s="273">
        <v>860066</v>
      </c>
      <c r="M108" s="273">
        <v>996110</v>
      </c>
      <c r="N108" s="273">
        <v>1110664</v>
      </c>
      <c r="O108" s="273">
        <v>1052987</v>
      </c>
      <c r="P108" s="273">
        <v>1042930</v>
      </c>
      <c r="Q108" s="273">
        <v>1120870</v>
      </c>
      <c r="R108" s="273">
        <v>833747</v>
      </c>
      <c r="S108" s="273">
        <v>937347</v>
      </c>
      <c r="T108" s="273">
        <v>767270</v>
      </c>
      <c r="U108" s="273">
        <v>1067610</v>
      </c>
      <c r="V108" s="273">
        <v>968892</v>
      </c>
      <c r="W108" s="273">
        <v>1078090</v>
      </c>
      <c r="X108" s="273">
        <v>1037824</v>
      </c>
    </row>
    <row r="109" spans="1:24" ht="14.25" thickBot="1" x14ac:dyDescent="0.3">
      <c r="A109" s="225" t="s">
        <v>264</v>
      </c>
      <c r="B109" s="275">
        <v>512017</v>
      </c>
      <c r="C109" s="275">
        <v>441219</v>
      </c>
      <c r="D109" s="275">
        <v>515129</v>
      </c>
      <c r="E109" s="275">
        <v>475274</v>
      </c>
      <c r="F109" s="275">
        <v>483657</v>
      </c>
      <c r="G109" s="275">
        <v>508065</v>
      </c>
      <c r="H109" s="275">
        <v>481488</v>
      </c>
      <c r="I109" s="275">
        <v>546996</v>
      </c>
      <c r="J109" s="275">
        <v>563860</v>
      </c>
      <c r="K109" s="275">
        <v>589048</v>
      </c>
      <c r="L109" s="275">
        <v>568091</v>
      </c>
      <c r="M109" s="275">
        <v>635324</v>
      </c>
      <c r="N109" s="275">
        <v>571754</v>
      </c>
      <c r="O109" s="275">
        <v>624943</v>
      </c>
      <c r="P109" s="275">
        <v>683930</v>
      </c>
      <c r="Q109" s="275">
        <v>725713</v>
      </c>
      <c r="R109" s="275">
        <v>657272</v>
      </c>
      <c r="S109" s="275">
        <v>695173</v>
      </c>
      <c r="T109" s="275">
        <v>734589</v>
      </c>
      <c r="U109" s="275">
        <v>598751</v>
      </c>
      <c r="V109" s="275">
        <v>696108</v>
      </c>
      <c r="W109" s="275">
        <v>667909</v>
      </c>
      <c r="X109" s="275">
        <v>706821</v>
      </c>
    </row>
    <row r="110" spans="1:24" ht="14.25" thickBot="1" x14ac:dyDescent="0.3">
      <c r="A110" s="224" t="s">
        <v>23</v>
      </c>
      <c r="B110" s="273">
        <v>128158</v>
      </c>
      <c r="C110" s="273">
        <v>145565</v>
      </c>
      <c r="D110" s="273">
        <v>176057</v>
      </c>
      <c r="E110" s="273">
        <v>150575</v>
      </c>
      <c r="F110" s="273">
        <v>168363</v>
      </c>
      <c r="G110" s="273">
        <v>197331</v>
      </c>
      <c r="H110" s="273">
        <v>166867</v>
      </c>
      <c r="I110" s="273">
        <v>156013</v>
      </c>
      <c r="J110" s="273">
        <v>190374</v>
      </c>
      <c r="K110" s="273">
        <v>217960</v>
      </c>
      <c r="L110" s="273">
        <v>205553</v>
      </c>
      <c r="M110" s="273">
        <v>193980</v>
      </c>
      <c r="N110" s="273">
        <v>124657</v>
      </c>
      <c r="O110" s="273">
        <v>133407</v>
      </c>
      <c r="P110" s="273">
        <v>122754</v>
      </c>
      <c r="Q110" s="273">
        <v>160093</v>
      </c>
      <c r="R110" s="273">
        <v>191118</v>
      </c>
      <c r="S110" s="273">
        <v>300205</v>
      </c>
      <c r="T110" s="273">
        <v>370708</v>
      </c>
      <c r="U110" s="273">
        <v>321328</v>
      </c>
      <c r="V110" s="273">
        <v>357016</v>
      </c>
      <c r="W110" s="273">
        <v>304132</v>
      </c>
      <c r="X110" s="273">
        <v>252924</v>
      </c>
    </row>
    <row r="111" spans="1:24" ht="14.25" thickBot="1" x14ac:dyDescent="0.3">
      <c r="A111" s="225" t="s">
        <v>24</v>
      </c>
      <c r="B111" s="275">
        <v>1553664</v>
      </c>
      <c r="C111" s="275">
        <v>1778840</v>
      </c>
      <c r="D111" s="275">
        <v>1643037</v>
      </c>
      <c r="E111" s="275">
        <v>1611787</v>
      </c>
      <c r="F111" s="275">
        <v>1605671</v>
      </c>
      <c r="G111" s="275">
        <v>1732363</v>
      </c>
      <c r="H111" s="275">
        <v>1603341</v>
      </c>
      <c r="I111" s="275">
        <v>1849149</v>
      </c>
      <c r="J111" s="275">
        <v>1933523</v>
      </c>
      <c r="K111" s="275">
        <v>2076562</v>
      </c>
      <c r="L111" s="275">
        <v>1839638</v>
      </c>
      <c r="M111" s="275">
        <v>1980774</v>
      </c>
      <c r="N111" s="275">
        <v>2063587</v>
      </c>
      <c r="O111" s="275">
        <v>2263087</v>
      </c>
      <c r="P111" s="275">
        <v>1943195</v>
      </c>
      <c r="Q111" s="275">
        <v>2221994</v>
      </c>
      <c r="R111" s="275">
        <v>2079333</v>
      </c>
      <c r="S111" s="275">
        <v>2286960</v>
      </c>
      <c r="T111" s="275">
        <v>1984970</v>
      </c>
      <c r="U111" s="275">
        <v>2061395</v>
      </c>
      <c r="V111" s="275">
        <v>2121988</v>
      </c>
      <c r="W111" s="275">
        <v>2349062</v>
      </c>
      <c r="X111" s="275">
        <v>2091644</v>
      </c>
    </row>
    <row r="112" spans="1:24" ht="14.25" thickBot="1" x14ac:dyDescent="0.3">
      <c r="A112" s="224" t="s">
        <v>25</v>
      </c>
      <c r="B112" s="273">
        <v>287153</v>
      </c>
      <c r="C112" s="273">
        <v>277961</v>
      </c>
      <c r="D112" s="273">
        <v>268805</v>
      </c>
      <c r="E112" s="273">
        <v>290088</v>
      </c>
      <c r="F112" s="273">
        <v>313738</v>
      </c>
      <c r="G112" s="273">
        <v>318526</v>
      </c>
      <c r="H112" s="273">
        <v>312609</v>
      </c>
      <c r="I112" s="273">
        <v>329415</v>
      </c>
      <c r="J112" s="273">
        <v>337895</v>
      </c>
      <c r="K112" s="273">
        <v>323052</v>
      </c>
      <c r="L112" s="273">
        <v>327498</v>
      </c>
      <c r="M112" s="273">
        <v>344954</v>
      </c>
      <c r="N112" s="273">
        <v>354820</v>
      </c>
      <c r="O112" s="273">
        <v>352451</v>
      </c>
      <c r="P112" s="273">
        <v>365356</v>
      </c>
      <c r="Q112" s="273">
        <v>378596</v>
      </c>
      <c r="R112" s="273">
        <v>389265</v>
      </c>
      <c r="S112" s="273">
        <v>380071</v>
      </c>
      <c r="T112" s="273">
        <v>385549</v>
      </c>
      <c r="U112" s="273">
        <v>404770</v>
      </c>
      <c r="V112" s="273">
        <v>403432</v>
      </c>
      <c r="W112" s="273">
        <v>414277</v>
      </c>
      <c r="X112" s="273">
        <v>424374</v>
      </c>
    </row>
    <row r="113" spans="1:24" ht="14.25" thickBot="1" x14ac:dyDescent="0.3">
      <c r="A113" s="225" t="s">
        <v>26</v>
      </c>
      <c r="B113" s="275">
        <v>888829</v>
      </c>
      <c r="C113" s="275">
        <v>870641</v>
      </c>
      <c r="D113" s="275">
        <v>867329</v>
      </c>
      <c r="E113" s="275">
        <v>870463</v>
      </c>
      <c r="F113" s="275">
        <v>912826</v>
      </c>
      <c r="G113" s="275">
        <v>932318</v>
      </c>
      <c r="H113" s="275">
        <v>922289</v>
      </c>
      <c r="I113" s="275">
        <v>944655</v>
      </c>
      <c r="J113" s="275">
        <v>927113</v>
      </c>
      <c r="K113" s="275">
        <v>935053</v>
      </c>
      <c r="L113" s="275">
        <v>932988</v>
      </c>
      <c r="M113" s="275">
        <v>998574</v>
      </c>
      <c r="N113" s="275">
        <v>996382</v>
      </c>
      <c r="O113" s="275">
        <v>995639</v>
      </c>
      <c r="P113" s="275">
        <v>985701</v>
      </c>
      <c r="Q113" s="275">
        <v>982411</v>
      </c>
      <c r="R113" s="275">
        <v>968046</v>
      </c>
      <c r="S113" s="275">
        <v>1001591</v>
      </c>
      <c r="T113" s="275">
        <v>983164</v>
      </c>
      <c r="U113" s="275">
        <v>1028495</v>
      </c>
      <c r="V113" s="275">
        <v>1081646</v>
      </c>
      <c r="W113" s="275">
        <v>1050251</v>
      </c>
      <c r="X113" s="275">
        <v>1020177</v>
      </c>
    </row>
    <row r="114" spans="1:24" ht="14.25" thickBot="1" x14ac:dyDescent="0.3">
      <c r="A114" s="224" t="s">
        <v>27</v>
      </c>
      <c r="B114" s="273">
        <v>64663</v>
      </c>
      <c r="C114" s="273">
        <v>57983</v>
      </c>
      <c r="D114" s="273">
        <v>53025</v>
      </c>
      <c r="E114" s="273">
        <v>60383</v>
      </c>
      <c r="F114" s="273">
        <v>76412</v>
      </c>
      <c r="G114" s="273">
        <v>60707</v>
      </c>
      <c r="H114" s="273">
        <v>81369</v>
      </c>
      <c r="I114" s="273">
        <v>63216</v>
      </c>
      <c r="J114" s="273">
        <v>89359</v>
      </c>
      <c r="K114" s="273">
        <v>85561</v>
      </c>
      <c r="L114" s="273">
        <v>101877</v>
      </c>
      <c r="M114" s="273">
        <v>87847</v>
      </c>
      <c r="N114" s="273">
        <v>84240</v>
      </c>
      <c r="O114" s="273">
        <v>72403</v>
      </c>
      <c r="P114" s="273">
        <v>68312</v>
      </c>
      <c r="Q114" s="273">
        <v>72899</v>
      </c>
      <c r="R114" s="273">
        <v>81925</v>
      </c>
      <c r="S114" s="273">
        <v>89366</v>
      </c>
      <c r="T114" s="273">
        <v>126515</v>
      </c>
      <c r="U114" s="273">
        <v>145884</v>
      </c>
      <c r="V114" s="273">
        <v>61982</v>
      </c>
      <c r="W114" s="273">
        <v>62323</v>
      </c>
      <c r="X114" s="273">
        <v>69009</v>
      </c>
    </row>
    <row r="115" spans="1:24" ht="14.25" thickBot="1" x14ac:dyDescent="0.3">
      <c r="A115" s="225" t="s">
        <v>265</v>
      </c>
      <c r="B115" s="276">
        <v>2794309</v>
      </c>
      <c r="C115" s="276">
        <v>2985425</v>
      </c>
      <c r="D115" s="276">
        <v>2832196</v>
      </c>
      <c r="E115" s="276">
        <v>2832721</v>
      </c>
      <c r="F115" s="276">
        <v>2908647</v>
      </c>
      <c r="G115" s="276">
        <v>3043914</v>
      </c>
      <c r="H115" s="276">
        <v>2919608</v>
      </c>
      <c r="I115" s="276">
        <v>3186435</v>
      </c>
      <c r="J115" s="276">
        <v>3287890</v>
      </c>
      <c r="K115" s="276">
        <v>3420228</v>
      </c>
      <c r="L115" s="276">
        <v>3202001</v>
      </c>
      <c r="M115" s="276">
        <v>3412149</v>
      </c>
      <c r="N115" s="276">
        <v>3499029</v>
      </c>
      <c r="O115" s="276">
        <v>3683580</v>
      </c>
      <c r="P115" s="276">
        <v>3362564</v>
      </c>
      <c r="Q115" s="276">
        <v>3655900</v>
      </c>
      <c r="R115" s="276">
        <v>3518569</v>
      </c>
      <c r="S115" s="276">
        <v>3757988</v>
      </c>
      <c r="T115" s="276">
        <v>3480198</v>
      </c>
      <c r="U115" s="276">
        <v>3640544</v>
      </c>
      <c r="V115" s="276">
        <v>3669048</v>
      </c>
      <c r="W115" s="276">
        <v>3875913</v>
      </c>
      <c r="X115" s="276">
        <v>3605204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273">
        <v>91320</v>
      </c>
      <c r="H118" s="273">
        <v>108864</v>
      </c>
      <c r="I118" s="68">
        <v>0</v>
      </c>
      <c r="J118" s="273">
        <v>103705</v>
      </c>
      <c r="K118" s="273">
        <v>88350</v>
      </c>
      <c r="L118" s="273">
        <v>99575</v>
      </c>
      <c r="M118" s="68">
        <v>0</v>
      </c>
      <c r="N118" s="273">
        <v>91070</v>
      </c>
      <c r="O118" s="273">
        <v>113715</v>
      </c>
      <c r="P118" s="273">
        <v>68750</v>
      </c>
      <c r="Q118" s="68">
        <v>0</v>
      </c>
      <c r="R118" s="273">
        <v>57200</v>
      </c>
      <c r="S118" s="68">
        <v>0</v>
      </c>
      <c r="T118" s="273">
        <v>62140</v>
      </c>
      <c r="U118" s="68">
        <v>0</v>
      </c>
      <c r="V118" s="273">
        <v>185650</v>
      </c>
      <c r="W118" s="273">
        <v>43488</v>
      </c>
      <c r="X118" s="273">
        <v>5382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5">
        <v>29997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682585</v>
      </c>
      <c r="C120" s="273">
        <v>713864</v>
      </c>
      <c r="D120" s="273">
        <v>769537</v>
      </c>
      <c r="E120" s="273">
        <v>710430</v>
      </c>
      <c r="F120" s="273">
        <v>714716</v>
      </c>
      <c r="G120" s="273">
        <v>637349</v>
      </c>
      <c r="H120" s="273">
        <v>682269</v>
      </c>
      <c r="I120" s="273">
        <v>864931</v>
      </c>
      <c r="J120" s="273">
        <v>808046</v>
      </c>
      <c r="K120" s="273">
        <v>815941</v>
      </c>
      <c r="L120" s="273">
        <v>833179</v>
      </c>
      <c r="M120" s="273">
        <v>996315</v>
      </c>
      <c r="N120" s="273">
        <v>928777</v>
      </c>
      <c r="O120" s="273">
        <v>957056</v>
      </c>
      <c r="P120" s="273">
        <v>973103</v>
      </c>
      <c r="Q120" s="273">
        <v>987141</v>
      </c>
      <c r="R120" s="273">
        <v>838834</v>
      </c>
      <c r="S120" s="273">
        <v>915177</v>
      </c>
      <c r="T120" s="273">
        <v>883668</v>
      </c>
      <c r="U120" s="273">
        <v>953020</v>
      </c>
      <c r="V120" s="273">
        <v>870004</v>
      </c>
      <c r="W120" s="273">
        <v>933279</v>
      </c>
      <c r="X120" s="273">
        <v>949832</v>
      </c>
    </row>
    <row r="121" spans="1:24" ht="14.25" thickBot="1" x14ac:dyDescent="0.3">
      <c r="A121" s="225" t="s">
        <v>267</v>
      </c>
      <c r="B121" s="275">
        <v>69031</v>
      </c>
      <c r="C121" s="275">
        <v>115506</v>
      </c>
      <c r="D121" s="275">
        <v>180450</v>
      </c>
      <c r="E121" s="275">
        <v>142804</v>
      </c>
      <c r="F121" s="275">
        <v>162233</v>
      </c>
      <c r="G121" s="275">
        <v>193583</v>
      </c>
      <c r="H121" s="275">
        <v>221055</v>
      </c>
      <c r="I121" s="275">
        <v>168842</v>
      </c>
      <c r="J121" s="275">
        <v>216768</v>
      </c>
      <c r="K121" s="275">
        <v>211976</v>
      </c>
      <c r="L121" s="275">
        <v>141264</v>
      </c>
      <c r="M121" s="275">
        <v>126615</v>
      </c>
      <c r="N121" s="275">
        <v>86773</v>
      </c>
      <c r="O121" s="275">
        <v>106293</v>
      </c>
      <c r="P121" s="275">
        <v>64479</v>
      </c>
      <c r="Q121" s="275">
        <v>249909</v>
      </c>
      <c r="R121" s="275">
        <v>214900</v>
      </c>
      <c r="S121" s="275">
        <v>236917</v>
      </c>
      <c r="T121" s="275">
        <v>284672</v>
      </c>
      <c r="U121" s="275">
        <v>133866</v>
      </c>
      <c r="V121" s="275">
        <v>134490</v>
      </c>
      <c r="W121" s="275">
        <v>198472</v>
      </c>
      <c r="X121" s="275">
        <v>232938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130195</v>
      </c>
      <c r="C123" s="275">
        <v>459188</v>
      </c>
      <c r="D123" s="275">
        <v>143642</v>
      </c>
      <c r="E123" s="275">
        <v>168350</v>
      </c>
      <c r="F123" s="275">
        <v>148670</v>
      </c>
      <c r="G123" s="275">
        <v>441923</v>
      </c>
      <c r="H123" s="275">
        <v>165396</v>
      </c>
      <c r="I123" s="275">
        <v>280749</v>
      </c>
      <c r="J123" s="275">
        <v>186762</v>
      </c>
      <c r="K123" s="275">
        <v>533420</v>
      </c>
      <c r="L123" s="275">
        <v>230660</v>
      </c>
      <c r="M123" s="275">
        <v>313970</v>
      </c>
      <c r="N123" s="275">
        <v>260886</v>
      </c>
      <c r="O123" s="275">
        <v>617104</v>
      </c>
      <c r="P123" s="275">
        <v>249070</v>
      </c>
      <c r="Q123" s="275">
        <v>335694</v>
      </c>
      <c r="R123" s="275">
        <v>207138</v>
      </c>
      <c r="S123" s="275">
        <v>681241</v>
      </c>
      <c r="T123" s="275">
        <v>258142</v>
      </c>
      <c r="U123" s="275">
        <v>408530</v>
      </c>
      <c r="V123" s="275">
        <v>248013</v>
      </c>
      <c r="W123" s="275">
        <v>732431</v>
      </c>
      <c r="X123" s="275">
        <v>324890</v>
      </c>
    </row>
    <row r="124" spans="1:24" ht="14.25" thickBot="1" x14ac:dyDescent="0.3">
      <c r="A124" s="224" t="s">
        <v>268</v>
      </c>
      <c r="B124" s="273">
        <v>881811</v>
      </c>
      <c r="C124" s="273">
        <v>1288558</v>
      </c>
      <c r="D124" s="273">
        <v>1093629</v>
      </c>
      <c r="E124" s="273">
        <v>1021584</v>
      </c>
      <c r="F124" s="273">
        <v>1025619</v>
      </c>
      <c r="G124" s="273">
        <v>1364175</v>
      </c>
      <c r="H124" s="273">
        <v>1177584</v>
      </c>
      <c r="I124" s="273">
        <v>1314522</v>
      </c>
      <c r="J124" s="273">
        <v>1315281</v>
      </c>
      <c r="K124" s="273">
        <v>1649687</v>
      </c>
      <c r="L124" s="273">
        <v>1334675</v>
      </c>
      <c r="M124" s="273">
        <v>1436900</v>
      </c>
      <c r="N124" s="273">
        <v>1367506</v>
      </c>
      <c r="O124" s="273">
        <v>1794168</v>
      </c>
      <c r="P124" s="273">
        <v>1355402</v>
      </c>
      <c r="Q124" s="273">
        <v>1572744</v>
      </c>
      <c r="R124" s="273">
        <v>1318072</v>
      </c>
      <c r="S124" s="273">
        <v>1833335</v>
      </c>
      <c r="T124" s="273">
        <v>1488622</v>
      </c>
      <c r="U124" s="273">
        <v>1495416</v>
      </c>
      <c r="V124" s="273">
        <v>1438157</v>
      </c>
      <c r="W124" s="273">
        <v>1907670</v>
      </c>
      <c r="X124" s="273">
        <v>1513042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249057</v>
      </c>
      <c r="G125" s="275">
        <v>245932</v>
      </c>
      <c r="H125" s="275">
        <v>236128</v>
      </c>
      <c r="I125" s="275">
        <v>272654</v>
      </c>
      <c r="J125" s="275">
        <v>269230</v>
      </c>
      <c r="K125" s="275">
        <v>262474</v>
      </c>
      <c r="L125" s="275">
        <v>262841</v>
      </c>
      <c r="M125" s="275">
        <v>284220</v>
      </c>
      <c r="N125" s="275">
        <v>280782</v>
      </c>
      <c r="O125" s="275">
        <v>276103</v>
      </c>
      <c r="P125" s="275">
        <v>277924</v>
      </c>
      <c r="Q125" s="275">
        <v>295784</v>
      </c>
      <c r="R125" s="275">
        <v>261982</v>
      </c>
      <c r="S125" s="275">
        <v>260361</v>
      </c>
      <c r="T125" s="275">
        <v>260666</v>
      </c>
      <c r="U125" s="275">
        <v>291826</v>
      </c>
      <c r="V125" s="275">
        <v>258233</v>
      </c>
      <c r="W125" s="275">
        <v>260139</v>
      </c>
      <c r="X125" s="275">
        <v>260071</v>
      </c>
    </row>
    <row r="126" spans="1:24" ht="14.25" thickBot="1" x14ac:dyDescent="0.3">
      <c r="A126" s="224" t="s">
        <v>33</v>
      </c>
      <c r="B126" s="273">
        <v>166624</v>
      </c>
      <c r="C126" s="273">
        <v>166983</v>
      </c>
      <c r="D126" s="273">
        <v>165216</v>
      </c>
      <c r="E126" s="273">
        <v>169027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1048435</v>
      </c>
      <c r="C127" s="275">
        <v>1455541</v>
      </c>
      <c r="D127" s="275">
        <v>1258845</v>
      </c>
      <c r="E127" s="275">
        <v>1190611</v>
      </c>
      <c r="F127" s="275">
        <v>1274676</v>
      </c>
      <c r="G127" s="275">
        <v>1610107</v>
      </c>
      <c r="H127" s="275">
        <v>1413712</v>
      </c>
      <c r="I127" s="275">
        <v>1587176</v>
      </c>
      <c r="J127" s="275">
        <v>1584511</v>
      </c>
      <c r="K127" s="275">
        <v>1912161</v>
      </c>
      <c r="L127" s="275">
        <v>1597516</v>
      </c>
      <c r="M127" s="275">
        <v>1721120</v>
      </c>
      <c r="N127" s="275">
        <v>1648288</v>
      </c>
      <c r="O127" s="275">
        <v>2070271</v>
      </c>
      <c r="P127" s="275">
        <v>1633326</v>
      </c>
      <c r="Q127" s="275">
        <v>1868528</v>
      </c>
      <c r="R127" s="275">
        <v>1580054</v>
      </c>
      <c r="S127" s="275">
        <v>2093696</v>
      </c>
      <c r="T127" s="275">
        <v>1749288</v>
      </c>
      <c r="U127" s="275">
        <v>1787242</v>
      </c>
      <c r="V127" s="275">
        <v>1696390</v>
      </c>
      <c r="W127" s="275">
        <v>2167809</v>
      </c>
      <c r="X127" s="275">
        <v>1773113</v>
      </c>
    </row>
    <row r="128" spans="1:24" ht="14.25" thickBot="1" x14ac:dyDescent="0.3">
      <c r="A128" s="224" t="s">
        <v>34</v>
      </c>
      <c r="B128" s="273">
        <v>1745874</v>
      </c>
      <c r="C128" s="273">
        <v>1529884</v>
      </c>
      <c r="D128" s="273">
        <v>1573351</v>
      </c>
      <c r="E128" s="273">
        <v>1642110</v>
      </c>
      <c r="F128" s="273">
        <v>1633971</v>
      </c>
      <c r="G128" s="273">
        <v>1433807</v>
      </c>
      <c r="H128" s="273">
        <v>1505896</v>
      </c>
      <c r="I128" s="273">
        <v>1599259</v>
      </c>
      <c r="J128" s="273">
        <v>1703379</v>
      </c>
      <c r="K128" s="273">
        <v>1508067</v>
      </c>
      <c r="L128" s="273">
        <v>1604485</v>
      </c>
      <c r="M128" s="273">
        <v>1691029</v>
      </c>
      <c r="N128" s="273">
        <v>1850741</v>
      </c>
      <c r="O128" s="273">
        <v>1613309</v>
      </c>
      <c r="P128" s="273">
        <v>1729238</v>
      </c>
      <c r="Q128" s="273">
        <v>1787372</v>
      </c>
      <c r="R128" s="273">
        <v>1938515</v>
      </c>
      <c r="S128" s="273">
        <v>1664292</v>
      </c>
      <c r="T128" s="273">
        <v>1730910</v>
      </c>
      <c r="U128" s="273">
        <v>1853302</v>
      </c>
      <c r="V128" s="273">
        <v>1972658</v>
      </c>
      <c r="W128" s="273">
        <v>1708104</v>
      </c>
      <c r="X128" s="273">
        <v>1832091</v>
      </c>
    </row>
    <row r="129" spans="1:24" ht="14.25" thickBot="1" x14ac:dyDescent="0.3">
      <c r="A129" s="225" t="s">
        <v>35</v>
      </c>
      <c r="B129" s="276">
        <v>2794309</v>
      </c>
      <c r="C129" s="276">
        <v>2985425</v>
      </c>
      <c r="D129" s="276">
        <v>2832196</v>
      </c>
      <c r="E129" s="276">
        <v>2832721</v>
      </c>
      <c r="F129" s="276">
        <v>2908647</v>
      </c>
      <c r="G129" s="276">
        <v>3043914</v>
      </c>
      <c r="H129" s="276">
        <v>2919608</v>
      </c>
      <c r="I129" s="276">
        <v>3186435</v>
      </c>
      <c r="J129" s="276">
        <v>3287890</v>
      </c>
      <c r="K129" s="276">
        <v>3420228</v>
      </c>
      <c r="L129" s="276">
        <v>3202001</v>
      </c>
      <c r="M129" s="276">
        <v>3412149</v>
      </c>
      <c r="N129" s="276">
        <v>3499029</v>
      </c>
      <c r="O129" s="276">
        <v>3683580</v>
      </c>
      <c r="P129" s="276">
        <v>3362564</v>
      </c>
      <c r="Q129" s="276">
        <v>3655900</v>
      </c>
      <c r="R129" s="276">
        <v>3518569</v>
      </c>
      <c r="S129" s="276">
        <v>3757988</v>
      </c>
      <c r="T129" s="276">
        <v>3480198</v>
      </c>
      <c r="U129" s="276">
        <v>3640544</v>
      </c>
      <c r="V129" s="276">
        <v>3669048</v>
      </c>
      <c r="W129" s="276">
        <v>3875913</v>
      </c>
      <c r="X129" s="276">
        <v>3605204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5.19</v>
      </c>
      <c r="C132" s="68">
        <v>5.19</v>
      </c>
      <c r="D132" s="68">
        <v>4.87</v>
      </c>
      <c r="E132" s="68">
        <v>6.3</v>
      </c>
      <c r="F132" s="68">
        <v>6.37</v>
      </c>
    </row>
    <row r="133" spans="1:24" ht="14.25" thickBot="1" x14ac:dyDescent="0.3">
      <c r="A133" s="225" t="s">
        <v>37</v>
      </c>
      <c r="B133" s="274">
        <v>-0.86</v>
      </c>
      <c r="C133" s="274">
        <v>-1.54</v>
      </c>
      <c r="D133" s="274">
        <v>-2.1800000000000002</v>
      </c>
      <c r="E133" s="274">
        <v>-1.23</v>
      </c>
      <c r="F133" s="274">
        <v>-3.36</v>
      </c>
    </row>
    <row r="134" spans="1:24" ht="14.25" thickBot="1" x14ac:dyDescent="0.3">
      <c r="A134" s="224" t="s">
        <v>38</v>
      </c>
      <c r="B134" s="68">
        <v>-4.0599999999999996</v>
      </c>
      <c r="C134" s="68">
        <v>-3.5</v>
      </c>
      <c r="D134" s="68">
        <v>-3.7</v>
      </c>
      <c r="E134" s="68">
        <v>-4.28</v>
      </c>
      <c r="F134" s="68">
        <v>-5</v>
      </c>
    </row>
    <row r="135" spans="1:24" ht="14.25" thickBot="1" x14ac:dyDescent="0.3">
      <c r="A135" s="225" t="s">
        <v>270</v>
      </c>
      <c r="B135" s="274">
        <v>4.33</v>
      </c>
      <c r="C135" s="274">
        <v>3.66</v>
      </c>
      <c r="D135" s="274">
        <v>2.69</v>
      </c>
      <c r="E135" s="274">
        <v>5.07</v>
      </c>
      <c r="F135" s="274">
        <v>3.01</v>
      </c>
    </row>
    <row r="136" spans="1:24" ht="14.25" thickBot="1" x14ac:dyDescent="0.3">
      <c r="A136" s="229" t="s">
        <v>39</v>
      </c>
      <c r="B136" s="72">
        <v>0.27</v>
      </c>
      <c r="C136" s="72">
        <v>0.16</v>
      </c>
      <c r="D136" s="72">
        <v>-1.01</v>
      </c>
      <c r="E136" s="72">
        <v>0.78</v>
      </c>
      <c r="F136" s="72">
        <v>-1.99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3.5</v>
      </c>
      <c r="C140" s="68">
        <v>3.7</v>
      </c>
      <c r="D140" s="68">
        <v>4.3</v>
      </c>
      <c r="E140" s="68">
        <v>5</v>
      </c>
      <c r="F140" s="68">
        <v>5.2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0.95367847411444151</v>
      </c>
      <c r="C142" s="234">
        <f>IF(C140&lt;&gt;"無",IF(ISNA(HLOOKUP(C139,$B$64:$F$69,6,FALSE)),"",C140/HLOOKUP(C139,$B$64:$F$69,6,FALSE)),"")</f>
        <v>0.9203980099502489</v>
      </c>
      <c r="D142" s="234">
        <f>IF(D140&lt;&gt;"無",IF(ISNA(HLOOKUP(D139,$B$64:$F$69,6,FALSE)),"",D140/HLOOKUP(D139,$B$64:$F$69,6,FALSE)),"")</f>
        <v>0.87755102040816335</v>
      </c>
      <c r="E142" s="234">
        <f>IF(E140&lt;&gt;"無",IF(ISNA(HLOOKUP(E139,$B$64:$F$69,6,FALSE)),"",E140/HLOOKUP(E139,$B$64:$F$69,6,FALSE)),"")</f>
        <v>0.84745762711864414</v>
      </c>
      <c r="F142" s="234">
        <f>IF(F140&lt;&gt;"無",IF(ISNA(HLOOKUP(F139,$B$64:$F$69,6,FALSE)),"",F140/HLOOKUP(F139,$B$64:$F$69,6,FALSE)),"")</f>
        <v>0.79754601226993871</v>
      </c>
    </row>
    <row r="143" spans="1:24" x14ac:dyDescent="0.25">
      <c r="A143" s="233" t="s">
        <v>216</v>
      </c>
      <c r="B143" s="234">
        <f>IF(OR(B140=0,B140="無"),"",B135/B140)</f>
        <v>1.2371428571428571</v>
      </c>
      <c r="C143" s="234">
        <f>IF(OR(C140=0,C140="無"),"",C135/C140)</f>
        <v>0.98918918918918919</v>
      </c>
      <c r="D143" s="234">
        <f>IF(OR(D140=0,D140="無"),"",D135/D140)</f>
        <v>0.62558139534883728</v>
      </c>
      <c r="E143" s="234">
        <f>IF(OR(E140=0,E140="無"),"",E135/E140)</f>
        <v>1.014</v>
      </c>
      <c r="F143" s="234">
        <f>IF(OR(F140=0,F140="無"),"",F135/F140)</f>
        <v>0.57884615384615379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16.170000000000002</v>
      </c>
      <c r="C146" s="68">
        <v>15.64</v>
      </c>
      <c r="D146" s="68">
        <v>15.32</v>
      </c>
      <c r="E146" s="68">
        <v>15.45</v>
      </c>
      <c r="F146" s="68">
        <v>13.79</v>
      </c>
      <c r="G146" s="68">
        <v>16.3</v>
      </c>
      <c r="H146" s="68">
        <v>15.88</v>
      </c>
      <c r="I146" s="68">
        <v>17.559999999999999</v>
      </c>
      <c r="J146" s="68">
        <v>19.579999999999998</v>
      </c>
      <c r="K146" s="68">
        <v>18.34</v>
      </c>
      <c r="L146" s="68">
        <v>16.55</v>
      </c>
      <c r="M146" s="68">
        <v>17.71</v>
      </c>
      <c r="N146" s="68">
        <v>19.190000000000001</v>
      </c>
      <c r="O146" s="68">
        <v>17.46</v>
      </c>
      <c r="P146" s="68">
        <v>15.96</v>
      </c>
      <c r="Q146" s="68">
        <v>15.23</v>
      </c>
      <c r="R146" s="68">
        <v>18.89</v>
      </c>
      <c r="S146" s="68">
        <v>17.8</v>
      </c>
      <c r="T146" s="68">
        <v>15.89</v>
      </c>
      <c r="U146" s="68">
        <v>16.72</v>
      </c>
      <c r="V146" s="68">
        <v>19.239999999999998</v>
      </c>
      <c r="W146" s="68">
        <v>15.97</v>
      </c>
      <c r="X146" s="68">
        <v>16.66</v>
      </c>
    </row>
    <row r="147" spans="1:24" s="93" customFormat="1" ht="14.25" thickBot="1" x14ac:dyDescent="0.3">
      <c r="A147" s="225" t="s">
        <v>19</v>
      </c>
      <c r="B147" s="274">
        <v>6.43</v>
      </c>
      <c r="C147" s="274">
        <v>6.78</v>
      </c>
      <c r="D147" s="274">
        <v>5.85</v>
      </c>
      <c r="E147" s="274">
        <v>6.16</v>
      </c>
      <c r="F147" s="274">
        <v>3.59</v>
      </c>
      <c r="G147" s="274">
        <v>6.17</v>
      </c>
      <c r="H147" s="274">
        <v>6.65</v>
      </c>
      <c r="I147" s="274">
        <v>8.5399999999999991</v>
      </c>
      <c r="J147" s="274">
        <v>9.34</v>
      </c>
      <c r="K147" s="274">
        <v>8.23</v>
      </c>
      <c r="L147" s="274">
        <v>7.52</v>
      </c>
      <c r="M147" s="274">
        <v>6.44</v>
      </c>
      <c r="N147" s="274">
        <v>11.19</v>
      </c>
      <c r="O147" s="274">
        <v>7.61</v>
      </c>
      <c r="P147" s="274">
        <v>6.63</v>
      </c>
      <c r="Q147" s="274">
        <v>4.95</v>
      </c>
      <c r="R147" s="274">
        <v>9.34</v>
      </c>
      <c r="S147" s="274">
        <v>8.19</v>
      </c>
      <c r="T147" s="274">
        <v>5.43</v>
      </c>
      <c r="U147" s="274">
        <v>7.91</v>
      </c>
      <c r="V147" s="274">
        <v>9.39</v>
      </c>
      <c r="W147" s="274">
        <v>7.19</v>
      </c>
      <c r="X147" s="274">
        <v>7.54</v>
      </c>
    </row>
    <row r="148" spans="1:24" s="93" customFormat="1" ht="14.25" thickBot="1" x14ac:dyDescent="0.3">
      <c r="A148" s="224" t="s">
        <v>41</v>
      </c>
      <c r="B148" s="68">
        <v>7.16</v>
      </c>
      <c r="C148" s="68">
        <v>9.24</v>
      </c>
      <c r="D148" s="68">
        <v>6.04</v>
      </c>
      <c r="E148" s="68">
        <v>7.8</v>
      </c>
      <c r="F148" s="68">
        <v>6.83</v>
      </c>
      <c r="G148" s="68">
        <v>8.16</v>
      </c>
      <c r="H148" s="68">
        <v>8.3800000000000008</v>
      </c>
      <c r="I148" s="68">
        <v>10.86</v>
      </c>
      <c r="J148" s="68">
        <v>10.96</v>
      </c>
      <c r="K148" s="68">
        <v>8.92</v>
      </c>
      <c r="L148" s="68">
        <v>8.77</v>
      </c>
      <c r="M148" s="68">
        <v>8.0299999999999994</v>
      </c>
      <c r="N148" s="68">
        <v>12.69</v>
      </c>
      <c r="O148" s="68">
        <v>8.31</v>
      </c>
      <c r="P148" s="68">
        <v>9.2100000000000009</v>
      </c>
      <c r="Q148" s="68">
        <v>6.49</v>
      </c>
      <c r="R148" s="68">
        <v>12.02</v>
      </c>
      <c r="S148" s="68">
        <v>10.32</v>
      </c>
      <c r="T148" s="68">
        <v>7.15</v>
      </c>
      <c r="U148" s="68">
        <v>9.67</v>
      </c>
      <c r="V148" s="68">
        <v>10.69</v>
      </c>
      <c r="W148" s="68">
        <v>9.43</v>
      </c>
      <c r="X148" s="68">
        <v>8.94</v>
      </c>
    </row>
    <row r="149" spans="1:24" s="93" customFormat="1" ht="14.25" thickBot="1" x14ac:dyDescent="0.3">
      <c r="A149" s="225" t="s">
        <v>13</v>
      </c>
      <c r="B149" s="73">
        <v>7.02</v>
      </c>
      <c r="C149" s="73">
        <v>7.7</v>
      </c>
      <c r="D149" s="73">
        <v>5.04</v>
      </c>
      <c r="E149" s="73">
        <v>6.47</v>
      </c>
      <c r="F149" s="73">
        <v>5.67</v>
      </c>
      <c r="G149" s="73">
        <v>6.83</v>
      </c>
      <c r="H149" s="73">
        <v>7.07</v>
      </c>
      <c r="I149" s="73">
        <v>9</v>
      </c>
      <c r="J149" s="73">
        <v>8.76</v>
      </c>
      <c r="K149" s="73">
        <v>7.55</v>
      </c>
      <c r="L149" s="73">
        <v>7.28</v>
      </c>
      <c r="M149" s="73">
        <v>6.62</v>
      </c>
      <c r="N149" s="73">
        <v>10.58</v>
      </c>
      <c r="O149" s="73">
        <v>6.94</v>
      </c>
      <c r="P149" s="73">
        <v>8.06</v>
      </c>
      <c r="Q149" s="73">
        <v>5.4</v>
      </c>
      <c r="R149" s="73">
        <v>10.91</v>
      </c>
      <c r="S149" s="73">
        <v>8.64</v>
      </c>
      <c r="T149" s="73">
        <v>6.02</v>
      </c>
      <c r="U149" s="73">
        <v>8.0500000000000007</v>
      </c>
      <c r="V149" s="73">
        <v>10.08</v>
      </c>
      <c r="W149" s="73">
        <v>7.67</v>
      </c>
      <c r="X149" s="73">
        <v>7.34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15.65</v>
      </c>
      <c r="C152" s="68">
        <v>16.02</v>
      </c>
      <c r="D152" s="68">
        <v>17.96</v>
      </c>
      <c r="E152" s="68">
        <v>16.989999999999998</v>
      </c>
      <c r="F152" s="68">
        <v>17.309999999999999</v>
      </c>
    </row>
    <row r="153" spans="1:24" s="93" customFormat="1" ht="14.25" thickBot="1" x14ac:dyDescent="0.3">
      <c r="A153" s="225" t="s">
        <v>19</v>
      </c>
      <c r="B153" s="274">
        <v>6.32</v>
      </c>
      <c r="C153" s="274">
        <v>6.43</v>
      </c>
      <c r="D153" s="274">
        <v>7.84</v>
      </c>
      <c r="E153" s="274">
        <v>7.72</v>
      </c>
      <c r="F153" s="274">
        <v>7.77</v>
      </c>
    </row>
    <row r="154" spans="1:24" s="93" customFormat="1" ht="14.25" thickBot="1" x14ac:dyDescent="0.3">
      <c r="A154" s="224" t="s">
        <v>41</v>
      </c>
      <c r="B154" s="68">
        <v>7.63</v>
      </c>
      <c r="C154" s="68">
        <v>8.74</v>
      </c>
      <c r="D154" s="68">
        <v>9.14</v>
      </c>
      <c r="E154" s="68">
        <v>9.3000000000000007</v>
      </c>
      <c r="F154" s="68">
        <v>9.83</v>
      </c>
    </row>
    <row r="155" spans="1:24" s="93" customFormat="1" ht="14.25" thickBot="1" x14ac:dyDescent="0.3">
      <c r="A155" s="225" t="s">
        <v>13</v>
      </c>
      <c r="B155" s="73">
        <v>6.61</v>
      </c>
      <c r="C155" s="73">
        <v>7.29</v>
      </c>
      <c r="D155" s="73">
        <v>7.53</v>
      </c>
      <c r="E155" s="73">
        <v>7.84</v>
      </c>
      <c r="F155" s="73">
        <v>8.43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2.5299999999999998</v>
      </c>
      <c r="C158" s="68">
        <v>3.03</v>
      </c>
      <c r="D158" s="68">
        <v>1.67</v>
      </c>
      <c r="E158" s="68">
        <v>2.5299999999999998</v>
      </c>
      <c r="F158" s="68">
        <v>1.9</v>
      </c>
      <c r="G158" s="68">
        <v>2.08</v>
      </c>
      <c r="H158" s="68">
        <v>2.5099999999999998</v>
      </c>
      <c r="I158" s="68">
        <v>3.8</v>
      </c>
      <c r="J158" s="68">
        <v>3.17</v>
      </c>
      <c r="K158" s="68">
        <v>2.76</v>
      </c>
      <c r="L158" s="68">
        <v>2.76</v>
      </c>
      <c r="M158" s="68">
        <v>2.63</v>
      </c>
      <c r="N158" s="68">
        <v>4.93</v>
      </c>
      <c r="O158" s="68">
        <v>2.6</v>
      </c>
      <c r="P158" s="68">
        <v>3.1</v>
      </c>
      <c r="Q158" s="68">
        <v>2.21</v>
      </c>
      <c r="R158" s="68">
        <v>4.3600000000000003</v>
      </c>
      <c r="S158" s="68">
        <v>3.15</v>
      </c>
      <c r="T158" s="68">
        <v>2.17</v>
      </c>
      <c r="U158" s="68">
        <v>4.16</v>
      </c>
      <c r="V158" s="68">
        <v>3.81</v>
      </c>
      <c r="W158" s="68">
        <v>3.3</v>
      </c>
      <c r="X158" s="68">
        <v>3.18</v>
      </c>
    </row>
    <row r="159" spans="1:24" s="93" customFormat="1" ht="14.25" thickBot="1" x14ac:dyDescent="0.3">
      <c r="A159" s="225" t="s">
        <v>45</v>
      </c>
      <c r="B159" s="73">
        <v>4.21</v>
      </c>
      <c r="C159" s="73">
        <v>5.33</v>
      </c>
      <c r="D159" s="73">
        <v>3.11</v>
      </c>
      <c r="E159" s="73">
        <v>4.4400000000000004</v>
      </c>
      <c r="F159" s="73">
        <v>3.32</v>
      </c>
      <c r="G159" s="73">
        <v>4.0199999999999996</v>
      </c>
      <c r="H159" s="73">
        <v>5.07</v>
      </c>
      <c r="I159" s="73">
        <v>7.46</v>
      </c>
      <c r="J159" s="73">
        <v>6.21</v>
      </c>
      <c r="K159" s="73">
        <v>5.75</v>
      </c>
      <c r="L159" s="73">
        <v>5.87</v>
      </c>
      <c r="M159" s="73">
        <v>5.27</v>
      </c>
      <c r="N159" s="73">
        <v>9.6199999999999992</v>
      </c>
      <c r="O159" s="73">
        <v>5.38</v>
      </c>
      <c r="P159" s="73">
        <v>6.51</v>
      </c>
      <c r="Q159" s="73">
        <v>4.3899999999999997</v>
      </c>
      <c r="R159" s="73">
        <v>8.39</v>
      </c>
      <c r="S159" s="73">
        <v>6.37</v>
      </c>
      <c r="T159" s="73">
        <v>4.62</v>
      </c>
      <c r="U159" s="73">
        <v>8.26</v>
      </c>
      <c r="V159" s="73">
        <v>7.25</v>
      </c>
      <c r="W159" s="73">
        <v>6.76</v>
      </c>
      <c r="X159" s="73">
        <v>6.7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6.61</v>
      </c>
      <c r="C162" s="68">
        <v>7.29</v>
      </c>
      <c r="D162" s="68">
        <v>7.53</v>
      </c>
      <c r="E162" s="68">
        <v>7.84</v>
      </c>
      <c r="F162" s="68">
        <v>8.43</v>
      </c>
    </row>
    <row r="163" spans="1:72" s="93" customFormat="1" ht="14.25" thickBot="1" x14ac:dyDescent="0.3">
      <c r="A163" s="225" t="s">
        <v>18</v>
      </c>
      <c r="B163" s="274">
        <v>1.49</v>
      </c>
      <c r="C163" s="274">
        <v>1.32</v>
      </c>
      <c r="D163" s="274">
        <v>1.45</v>
      </c>
      <c r="E163" s="274">
        <v>1.57</v>
      </c>
      <c r="F163" s="274">
        <v>1.62</v>
      </c>
    </row>
    <row r="164" spans="1:72" s="93" customFormat="1" ht="14.25" thickBot="1" x14ac:dyDescent="0.3">
      <c r="A164" s="224" t="s">
        <v>15</v>
      </c>
      <c r="B164" s="68">
        <v>1.73</v>
      </c>
      <c r="C164" s="68">
        <v>1.99</v>
      </c>
      <c r="D164" s="68">
        <v>2.02</v>
      </c>
      <c r="E164" s="68">
        <v>2.0499999999999998</v>
      </c>
      <c r="F164" s="68">
        <v>1.96</v>
      </c>
    </row>
    <row r="165" spans="1:72" s="93" customFormat="1" ht="14.25" thickBot="1" x14ac:dyDescent="0.3">
      <c r="A165" s="225" t="s">
        <v>45</v>
      </c>
      <c r="B165" s="73">
        <v>16.8</v>
      </c>
      <c r="C165" s="73">
        <v>18.899999999999999</v>
      </c>
      <c r="D165" s="73">
        <v>22.7</v>
      </c>
      <c r="E165" s="73">
        <v>25.85</v>
      </c>
      <c r="F165" s="73">
        <v>27.32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68.180000000000007</v>
      </c>
      <c r="C168" s="68">
        <v>69.77</v>
      </c>
      <c r="D168" s="68">
        <v>85.71</v>
      </c>
      <c r="E168" s="68">
        <v>65.69</v>
      </c>
      <c r="F168" s="68">
        <v>70.31</v>
      </c>
      <c r="G168" s="68">
        <v>73.17</v>
      </c>
      <c r="H168" s="68">
        <v>65.22</v>
      </c>
      <c r="I168" s="68">
        <v>59.6</v>
      </c>
      <c r="J168" s="68">
        <v>67.67</v>
      </c>
      <c r="K168" s="68">
        <v>64.290000000000006</v>
      </c>
      <c r="L168" s="68">
        <v>62.94</v>
      </c>
      <c r="M168" s="68">
        <v>63.38</v>
      </c>
      <c r="N168" s="68">
        <v>58.82</v>
      </c>
      <c r="O168" s="68">
        <v>72.58</v>
      </c>
      <c r="P168" s="68">
        <v>69.77</v>
      </c>
      <c r="Q168" s="68">
        <v>68.180000000000007</v>
      </c>
      <c r="R168" s="68">
        <v>61.22</v>
      </c>
      <c r="S168" s="68">
        <v>60</v>
      </c>
      <c r="T168" s="68">
        <v>58.82</v>
      </c>
      <c r="U168" s="68">
        <v>45</v>
      </c>
      <c r="V168" s="68">
        <v>66.67</v>
      </c>
      <c r="W168" s="68">
        <v>56.6</v>
      </c>
      <c r="X168" s="68">
        <v>58.82</v>
      </c>
    </row>
    <row r="169" spans="1:72" s="93" customFormat="1" ht="14.25" thickBot="1" x14ac:dyDescent="0.3">
      <c r="A169" s="225" t="s">
        <v>17</v>
      </c>
      <c r="B169" s="274">
        <v>56.25</v>
      </c>
      <c r="C169" s="274">
        <v>44.78</v>
      </c>
      <c r="D169" s="274">
        <v>53.25</v>
      </c>
      <c r="E169" s="274">
        <v>47.87</v>
      </c>
      <c r="F169" s="274">
        <v>52.02</v>
      </c>
      <c r="G169" s="274">
        <v>59.21</v>
      </c>
      <c r="H169" s="274">
        <v>50.28</v>
      </c>
      <c r="I169" s="274">
        <v>43.69</v>
      </c>
      <c r="J169" s="274">
        <v>52.94</v>
      </c>
      <c r="K169" s="274">
        <v>52.02</v>
      </c>
      <c r="L169" s="274">
        <v>49.72</v>
      </c>
      <c r="M169" s="274">
        <v>50</v>
      </c>
      <c r="N169" s="274">
        <v>41.67</v>
      </c>
      <c r="O169" s="274">
        <v>48.65</v>
      </c>
      <c r="P169" s="274">
        <v>52.02</v>
      </c>
      <c r="Q169" s="274">
        <v>52.33</v>
      </c>
      <c r="R169" s="274">
        <v>53.57</v>
      </c>
      <c r="S169" s="274">
        <v>55.9</v>
      </c>
      <c r="T169" s="274">
        <v>58.82</v>
      </c>
      <c r="U169" s="274">
        <v>39.130000000000003</v>
      </c>
      <c r="V169" s="274">
        <v>52.33</v>
      </c>
      <c r="W169" s="274">
        <v>45</v>
      </c>
      <c r="X169" s="274">
        <v>45.92</v>
      </c>
    </row>
    <row r="170" spans="1:72" s="93" customFormat="1" ht="14.25" thickBot="1" x14ac:dyDescent="0.3">
      <c r="A170" s="224" t="s">
        <v>42</v>
      </c>
      <c r="B170" s="72">
        <v>124.43</v>
      </c>
      <c r="C170" s="72">
        <v>114.54</v>
      </c>
      <c r="D170" s="72">
        <v>138.97</v>
      </c>
      <c r="E170" s="72">
        <v>113.57</v>
      </c>
      <c r="F170" s="72">
        <v>122.34</v>
      </c>
      <c r="G170" s="72">
        <v>132.38</v>
      </c>
      <c r="H170" s="72">
        <v>115.5</v>
      </c>
      <c r="I170" s="72">
        <v>103.29</v>
      </c>
      <c r="J170" s="72">
        <v>120.61</v>
      </c>
      <c r="K170" s="72">
        <v>116.31</v>
      </c>
      <c r="L170" s="72">
        <v>112.66</v>
      </c>
      <c r="M170" s="72">
        <v>113.38</v>
      </c>
      <c r="N170" s="72">
        <v>100.49</v>
      </c>
      <c r="O170" s="72">
        <v>121.23</v>
      </c>
      <c r="P170" s="72">
        <v>121.79</v>
      </c>
      <c r="Q170" s="72">
        <v>120.51</v>
      </c>
      <c r="R170" s="72">
        <v>114.8</v>
      </c>
      <c r="S170" s="72">
        <v>115.9</v>
      </c>
      <c r="T170" s="72">
        <v>117.65</v>
      </c>
      <c r="U170" s="72">
        <v>84.13</v>
      </c>
      <c r="V170" s="72">
        <v>118.99</v>
      </c>
      <c r="W170" s="72">
        <v>101.6</v>
      </c>
      <c r="X170" s="72">
        <v>104.74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141.19999999999999</v>
      </c>
      <c r="C173" s="72">
        <v>129.15</v>
      </c>
      <c r="D173" s="72">
        <v>99.42</v>
      </c>
      <c r="E173" s="72">
        <v>107.13</v>
      </c>
      <c r="F173" s="72">
        <v>97.7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12.83</v>
      </c>
      <c r="C176" s="72">
        <v>14.64</v>
      </c>
      <c r="D176" s="72">
        <v>13.67</v>
      </c>
      <c r="E176" s="72">
        <v>13.1</v>
      </c>
      <c r="F176" s="72">
        <v>14.31</v>
      </c>
      <c r="G176" s="72">
        <v>14.18</v>
      </c>
      <c r="H176" s="72">
        <v>13.64</v>
      </c>
      <c r="I176" s="72">
        <v>12.18</v>
      </c>
      <c r="J176" s="72">
        <v>11.66</v>
      </c>
      <c r="K176" s="72">
        <v>11.08</v>
      </c>
      <c r="L176" s="72">
        <v>10.79</v>
      </c>
      <c r="M176" s="72">
        <v>11.05</v>
      </c>
      <c r="N176" s="72">
        <v>11.71</v>
      </c>
      <c r="O176" s="72">
        <v>12.13</v>
      </c>
      <c r="P176" s="72">
        <v>12.55</v>
      </c>
      <c r="Q176" s="72">
        <v>14.1</v>
      </c>
      <c r="R176" s="72">
        <v>14.26</v>
      </c>
      <c r="S176" s="72">
        <v>13.6</v>
      </c>
      <c r="T176" s="72">
        <v>13.15</v>
      </c>
      <c r="U176" s="72">
        <v>14.69</v>
      </c>
      <c r="V176" s="72">
        <v>16.43</v>
      </c>
      <c r="W176" s="72">
        <v>18.41</v>
      </c>
      <c r="X176" s="72">
        <v>16.559999999999999</v>
      </c>
      <c r="Y176" s="72">
        <v>18.579999999999998</v>
      </c>
      <c r="Z176" s="72">
        <v>17.190000000000001</v>
      </c>
      <c r="AA176" s="72">
        <v>19.48</v>
      </c>
      <c r="AB176" s="72">
        <v>18.27</v>
      </c>
      <c r="AC176" s="72">
        <v>18.91</v>
      </c>
      <c r="AD176" s="72">
        <v>17.71</v>
      </c>
      <c r="AE176" s="72">
        <v>18.329999999999998</v>
      </c>
      <c r="AF176" s="72">
        <v>16.690000000000001</v>
      </c>
      <c r="AG176" s="72">
        <v>13.89</v>
      </c>
      <c r="AH176" s="72">
        <v>14.33</v>
      </c>
      <c r="AI176" s="72">
        <v>14.22</v>
      </c>
      <c r="AJ176" s="72">
        <v>13.23</v>
      </c>
      <c r="AK176" s="72">
        <v>13.44</v>
      </c>
      <c r="AL176" s="72">
        <v>13.06</v>
      </c>
      <c r="AM176" s="72">
        <v>13.53</v>
      </c>
      <c r="AN176" s="72">
        <v>16.559999999999999</v>
      </c>
      <c r="AO176" s="72">
        <v>18.02</v>
      </c>
      <c r="AP176" s="72">
        <v>15.97</v>
      </c>
      <c r="AQ176" s="72">
        <v>16.87</v>
      </c>
      <c r="AR176" s="72">
        <v>15.13</v>
      </c>
      <c r="AS176" s="72">
        <v>13.34</v>
      </c>
      <c r="AT176" s="72">
        <v>13.35</v>
      </c>
      <c r="AU176" s="72">
        <v>15.21</v>
      </c>
      <c r="AV176" s="72">
        <v>13.62</v>
      </c>
      <c r="AW176" s="72">
        <v>13.65</v>
      </c>
      <c r="AX176" s="72">
        <v>13.71</v>
      </c>
      <c r="AY176" s="72">
        <v>13.64</v>
      </c>
      <c r="AZ176" s="72">
        <v>14.16</v>
      </c>
      <c r="BA176" s="72">
        <v>13.45</v>
      </c>
      <c r="BB176" s="72">
        <v>13.36</v>
      </c>
      <c r="BC176" s="72">
        <v>14.01</v>
      </c>
      <c r="BD176" s="72">
        <v>13.54</v>
      </c>
      <c r="BE176" s="72">
        <v>13.46</v>
      </c>
      <c r="BF176" s="72">
        <v>13.77</v>
      </c>
      <c r="BG176" s="72">
        <v>13.47</v>
      </c>
      <c r="BH176" s="72">
        <v>13.93</v>
      </c>
      <c r="BI176" s="72">
        <v>14.57</v>
      </c>
      <c r="BJ176" s="72">
        <v>14.61</v>
      </c>
      <c r="BK176" s="72">
        <v>14.52</v>
      </c>
      <c r="BL176" s="72">
        <v>12.38</v>
      </c>
      <c r="BM176" s="72">
        <v>12.37</v>
      </c>
      <c r="BN176" s="72">
        <v>12.92</v>
      </c>
      <c r="BO176" s="72">
        <v>13.4</v>
      </c>
      <c r="BP176" s="72">
        <v>13.3</v>
      </c>
      <c r="BQ176" s="72">
        <v>12.78</v>
      </c>
      <c r="BR176" s="72">
        <v>12.76</v>
      </c>
      <c r="BS176" s="72">
        <v>12.76</v>
      </c>
      <c r="BT176" s="72">
        <v>11.58</v>
      </c>
    </row>
  </sheetData>
  <phoneticPr fontId="3" type="noConversion"/>
  <conditionalFormatting sqref="E4">
    <cfRule type="cellIs" dxfId="7196" priority="103" operator="greaterThan">
      <formula>0.2</formula>
    </cfRule>
    <cfRule type="cellIs" dxfId="7195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7194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7193" priority="97" operator="greaterThan">
      <formula>$B$19</formula>
    </cfRule>
  </conditionalFormatting>
  <conditionalFormatting sqref="D33:D34">
    <cfRule type="cellIs" dxfId="7192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7191" priority="91" operator="lessThan">
      <formula>$H$62</formula>
    </cfRule>
    <cfRule type="cellIs" dxfId="7190" priority="92" operator="greaterThan">
      <formula>$H$62</formula>
    </cfRule>
  </conditionalFormatting>
  <conditionalFormatting sqref="J62">
    <cfRule type="cellIs" dxfId="7189" priority="89" operator="lessThan">
      <formula>$K$62</formula>
    </cfRule>
    <cfRule type="cellIs" dxfId="7188" priority="90" operator="greaterThan">
      <formula>$K$62</formula>
    </cfRule>
  </conditionalFormatting>
  <conditionalFormatting sqref="M62">
    <cfRule type="cellIs" dxfId="7187" priority="87" operator="lessThan">
      <formula>$N$62</formula>
    </cfRule>
    <cfRule type="cellIs" dxfId="7186" priority="88" operator="greaterThan">
      <formula>$N$62</formula>
    </cfRule>
  </conditionalFormatting>
  <conditionalFormatting sqref="B44:E44">
    <cfRule type="cellIs" dxfId="7185" priority="85" operator="greaterThan">
      <formula>0</formula>
    </cfRule>
    <cfRule type="cellIs" dxfId="7184" priority="86" operator="lessThan">
      <formula>0</formula>
    </cfRule>
  </conditionalFormatting>
  <conditionalFormatting sqref="F72">
    <cfRule type="cellIs" dxfId="7183" priority="84" operator="lessThan">
      <formula>$E$72*90%</formula>
    </cfRule>
  </conditionalFormatting>
  <conditionalFormatting sqref="F73">
    <cfRule type="cellIs" dxfId="7182" priority="83" operator="lessThan">
      <formula>$E$73*90%</formula>
    </cfRule>
  </conditionalFormatting>
  <conditionalFormatting sqref="F74">
    <cfRule type="cellIs" dxfId="7181" priority="82" operator="lessThan">
      <formula>$E$74*90%</formula>
    </cfRule>
  </conditionalFormatting>
  <conditionalFormatting sqref="F75">
    <cfRule type="cellIs" dxfId="7180" priority="81" operator="lessThan">
      <formula>$E$75*90%</formula>
    </cfRule>
  </conditionalFormatting>
  <conditionalFormatting sqref="H44:K44">
    <cfRule type="cellIs" dxfId="7179" priority="79" operator="greaterThan">
      <formula>0</formula>
    </cfRule>
    <cfRule type="cellIs" dxfId="7178" priority="80" operator="lessThan">
      <formula>0</formula>
    </cfRule>
  </conditionalFormatting>
  <conditionalFormatting sqref="H51:K51">
    <cfRule type="cellIs" dxfId="7177" priority="77" operator="greaterThan">
      <formula>0</formula>
    </cfRule>
    <cfRule type="cellIs" dxfId="7176" priority="78" operator="lessThan">
      <formula>0</formula>
    </cfRule>
  </conditionalFormatting>
  <conditionalFormatting sqref="B51:E51">
    <cfRule type="cellIs" dxfId="7175" priority="75" operator="greaterThan">
      <formula>0</formula>
    </cfRule>
    <cfRule type="cellIs" dxfId="7174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7173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7172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7171" priority="58" operator="lessThan">
      <formula>0</formula>
    </cfRule>
  </conditionalFormatting>
  <conditionalFormatting sqref="A25 E25 C25">
    <cfRule type="cellIs" dxfId="7170" priority="59" operator="lessThan">
      <formula>0</formula>
    </cfRule>
  </conditionalFormatting>
  <conditionalFormatting sqref="F25">
    <cfRule type="cellIs" dxfId="7169" priority="57" operator="lessThan">
      <formula>0</formula>
    </cfRule>
  </conditionalFormatting>
  <conditionalFormatting sqref="E1">
    <cfRule type="containsText" dxfId="7168" priority="56" operator="containsText" text="本季業外損益/平均=-">
      <formula>NOT(ISERROR(SEARCH("本季業外損益/平均=-",E1)))</formula>
    </cfRule>
  </conditionalFormatting>
  <conditionalFormatting sqref="M65">
    <cfRule type="cellIs" dxfId="7167" priority="55" operator="lessThan">
      <formula>$L$65*90%</formula>
    </cfRule>
  </conditionalFormatting>
  <conditionalFormatting sqref="M66">
    <cfRule type="cellIs" dxfId="7166" priority="54" operator="lessThan">
      <formula>$L$66*90%</formula>
    </cfRule>
  </conditionalFormatting>
  <conditionalFormatting sqref="M67">
    <cfRule type="cellIs" dxfId="7165" priority="53" operator="lessThan">
      <formula>$L$67*90%</formula>
    </cfRule>
  </conditionalFormatting>
  <conditionalFormatting sqref="M68">
    <cfRule type="cellIs" dxfId="7164" priority="52" operator="lessThan">
      <formula>$L$68*90%</formula>
    </cfRule>
  </conditionalFormatting>
  <conditionalFormatting sqref="B60">
    <cfRule type="cellIs" dxfId="7163" priority="51" operator="lessThan">
      <formula>0</formula>
    </cfRule>
  </conditionalFormatting>
  <conditionalFormatting sqref="B59:F59">
    <cfRule type="cellIs" dxfId="7162" priority="50" operator="lessThanOrEqual">
      <formula>0</formula>
    </cfRule>
  </conditionalFormatting>
  <conditionalFormatting sqref="D62">
    <cfRule type="cellIs" dxfId="7161" priority="48" operator="lessThan">
      <formula>$E$62</formula>
    </cfRule>
    <cfRule type="cellIs" dxfId="7160" priority="49" operator="greaterThan">
      <formula>$E$62</formula>
    </cfRule>
  </conditionalFormatting>
  <conditionalFormatting sqref="F69">
    <cfRule type="cellIs" dxfId="7159" priority="46" operator="lessThan">
      <formula>0</formula>
    </cfRule>
  </conditionalFormatting>
  <conditionalFormatting sqref="B65:E67 B69:E69 B68:D68">
    <cfRule type="cellIs" dxfId="7158" priority="47" operator="lessThan">
      <formula>0</formula>
    </cfRule>
  </conditionalFormatting>
  <conditionalFormatting sqref="E68">
    <cfRule type="cellIs" dxfId="7157" priority="45" operator="lessThan">
      <formula>0</formula>
    </cfRule>
  </conditionalFormatting>
  <conditionalFormatting sqref="F65:F68">
    <cfRule type="cellIs" dxfId="7156" priority="44" operator="lessThan">
      <formula>0</formula>
    </cfRule>
  </conditionalFormatting>
  <conditionalFormatting sqref="F65:F68">
    <cfRule type="cellIs" dxfId="7155" priority="43" operator="lessThan">
      <formula>$E$65*0.9</formula>
    </cfRule>
  </conditionalFormatting>
  <conditionalFormatting sqref="F66">
    <cfRule type="cellIs" dxfId="7154" priority="42" operator="lessThan">
      <formula>$E$66*0.9</formula>
    </cfRule>
  </conditionalFormatting>
  <conditionalFormatting sqref="F67:F68">
    <cfRule type="cellIs" dxfId="7153" priority="41" operator="lessThan">
      <formula>$E$67*0.9</formula>
    </cfRule>
  </conditionalFormatting>
  <conditionalFormatting sqref="F68">
    <cfRule type="cellIs" dxfId="7152" priority="40" operator="lessThan">
      <formula>$E$68*0.9</formula>
    </cfRule>
  </conditionalFormatting>
  <conditionalFormatting sqref="B13:F13">
    <cfRule type="cellIs" dxfId="7151" priority="29" operator="greaterThan">
      <formula>$I$16</formula>
    </cfRule>
    <cfRule type="cellIs" dxfId="7150" priority="30" operator="lessThanOrEqual">
      <formula>$I$16</formula>
    </cfRule>
  </conditionalFormatting>
  <conditionalFormatting sqref="B10:F10">
    <cfRule type="cellIs" dxfId="7149" priority="31" operator="greaterThan">
      <formula>15</formula>
    </cfRule>
    <cfRule type="cellIs" dxfId="7148" priority="38" operator="lessThan">
      <formula>$I$9</formula>
    </cfRule>
    <cfRule type="cellIs" dxfId="7147" priority="39" operator="greaterThan">
      <formula>$I$9</formula>
    </cfRule>
  </conditionalFormatting>
  <conditionalFormatting sqref="B16:F16">
    <cfRule type="cellIs" dxfId="7146" priority="36" operator="greaterThan">
      <formula>$I$16</formula>
    </cfRule>
    <cfRule type="cellIs" dxfId="7145" priority="37" operator="lessThanOrEqual">
      <formula>$I$16</formula>
    </cfRule>
  </conditionalFormatting>
  <conditionalFormatting sqref="B15:F15">
    <cfRule type="cellIs" dxfId="7144" priority="34" operator="lessThanOrEqual">
      <formula>$I$16</formula>
    </cfRule>
    <cfRule type="cellIs" dxfId="7143" priority="35" operator="greaterThan">
      <formula>$I$16</formula>
    </cfRule>
  </conditionalFormatting>
  <conditionalFormatting sqref="B14:F14">
    <cfRule type="cellIs" dxfId="7142" priority="32" operator="greaterThan">
      <formula>$I$16</formula>
    </cfRule>
    <cfRule type="cellIs" dxfId="7141" priority="33" operator="lessThanOrEqual">
      <formula>$I$16</formula>
    </cfRule>
  </conditionalFormatting>
  <conditionalFormatting sqref="K6">
    <cfRule type="containsText" dxfId="7140" priority="27" operator="containsText" text="衰退">
      <formula>NOT(ISERROR(SEARCH("衰退",K6)))</formula>
    </cfRule>
    <cfRule type="containsText" dxfId="7139" priority="28" operator="containsText" text="成長">
      <formula>NOT(ISERROR(SEARCH("成長",K6)))</formula>
    </cfRule>
  </conditionalFormatting>
  <conditionalFormatting sqref="I4:K4">
    <cfRule type="cellIs" dxfId="7138" priority="25" operator="lessThan">
      <formula>0</formula>
    </cfRule>
    <cfRule type="cellIs" dxfId="7137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7136" priority="22" operator="lessThanOrEqual">
      <formula>$I$16</formula>
    </cfRule>
    <cfRule type="cellIs" dxfId="7135" priority="23" operator="greaterThan">
      <formula>$I$16</formula>
    </cfRule>
  </conditionalFormatting>
  <conditionalFormatting sqref="I6">
    <cfRule type="containsText" dxfId="7134" priority="20" operator="containsText" text="衰退">
      <formula>NOT(ISERROR(SEARCH("衰退",I6)))</formula>
    </cfRule>
    <cfRule type="containsText" dxfId="7133" priority="21" operator="containsText" text="成長">
      <formula>NOT(ISERROR(SEARCH("成長",I6)))</formula>
    </cfRule>
  </conditionalFormatting>
  <conditionalFormatting sqref="M9">
    <cfRule type="cellIs" dxfId="7132" priority="19" operator="lessThan">
      <formula>$I$9</formula>
    </cfRule>
  </conditionalFormatting>
  <conditionalFormatting sqref="M10">
    <cfRule type="cellIs" dxfId="7131" priority="18" operator="greaterThan">
      <formula>$I$9</formula>
    </cfRule>
  </conditionalFormatting>
  <conditionalFormatting sqref="M11">
    <cfRule type="cellIs" dxfId="7130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7129" priority="14" operator="lessThan">
      <formula>0</formula>
    </cfRule>
    <cfRule type="cellIs" dxfId="7128" priority="15" operator="greaterThan">
      <formula>0.5</formula>
    </cfRule>
  </conditionalFormatting>
  <conditionalFormatting sqref="N14">
    <cfRule type="cellIs" dxfId="7127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7126" priority="10" operator="lessThan">
      <formula>0.1</formula>
    </cfRule>
  </conditionalFormatting>
  <conditionalFormatting sqref="I14">
    <cfRule type="cellIs" dxfId="7125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7124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7123" priority="1" operator="lessThan">
      <formula>$N$5*0.9</formula>
    </cfRule>
    <cfRule type="cellIs" dxfId="7122" priority="2" operator="greaterThan">
      <formula>$N$5*1.1</formula>
    </cfRule>
  </conditionalFormatting>
  <hyperlinks>
    <hyperlink ref="L1" location="儀表板!A1" display="(回首頁)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-8.41 ~ 21.53</v>
      </c>
      <c r="L1" s="83" t="s">
        <v>176</v>
      </c>
      <c r="M1" s="84" t="str">
        <f ca="1">VLOOKUP(_xlfn.NUMBERVALUE(N1),儀表板!A:B,2,FALSE)</f>
        <v>伸興</v>
      </c>
      <c r="N1" s="85" t="str">
        <f ca="1">MID(CELL("filename",L1),FIND("]",CELL("filename",L1))+1,255)</f>
        <v>1558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0.22495881867127596</v>
      </c>
    </row>
    <row r="3" spans="1:15" s="93" customFormat="1" x14ac:dyDescent="0.25">
      <c r="A3" s="81" t="s">
        <v>179</v>
      </c>
      <c r="B3" s="94">
        <f>SUM(F19:F22,F24:F27,J19)</f>
        <v>85.926120253584543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99.727602439805338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107.6470078641741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116.0880507715851</v>
      </c>
      <c r="L3" s="100"/>
      <c r="M3" s="79" t="s">
        <v>385</v>
      </c>
      <c r="N3" s="92">
        <f>(F69-E69)/E69</f>
        <v>-0.33496660558354924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6.06</v>
      </c>
      <c r="E4" s="82">
        <f>(D4-F4)/F4</f>
        <v>0</v>
      </c>
      <c r="F4" s="103">
        <v>6.06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9.3570198594394611</v>
      </c>
    </row>
    <row r="5" spans="1:15" s="93" customFormat="1" x14ac:dyDescent="0.25">
      <c r="A5" s="81" t="s">
        <v>184</v>
      </c>
      <c r="B5" s="107">
        <f>SUM(F30:F34)*2</f>
        <v>97.330463168850827</v>
      </c>
      <c r="C5" s="87"/>
      <c r="D5" s="87"/>
      <c r="E5" s="87"/>
      <c r="F5" s="86"/>
      <c r="G5" s="88"/>
      <c r="M5" s="79" t="s">
        <v>386</v>
      </c>
      <c r="N5" s="152">
        <f>D62</f>
        <v>10.629999999999999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12.060424386003486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14.16</v>
      </c>
      <c r="N9" s="129"/>
    </row>
    <row r="10" spans="1:15" s="93" customFormat="1" x14ac:dyDescent="0.25">
      <c r="A10" s="123" t="s">
        <v>194</v>
      </c>
      <c r="B10" s="126">
        <f>PERCENTILE(176:176,B9)</f>
        <v>9.4499999999999993</v>
      </c>
      <c r="C10" s="126">
        <f>PERCENTILE(176:176,C9)</f>
        <v>10.515000000000001</v>
      </c>
      <c r="D10" s="126">
        <f>PERCENTILE(176:176,D9)</f>
        <v>11.35</v>
      </c>
      <c r="E10" s="126">
        <f>PERCENTILE(176:176,E9)</f>
        <v>12.24</v>
      </c>
      <c r="F10" s="126">
        <f>PERCENTILE(176:176,F9)</f>
        <v>12.91</v>
      </c>
      <c r="G10" s="95"/>
      <c r="H10" s="135"/>
      <c r="I10" s="135"/>
      <c r="J10" s="135"/>
      <c r="K10" s="135"/>
      <c r="L10" s="136" t="s">
        <v>374</v>
      </c>
      <c r="M10" s="130">
        <f>MIN(176:176)</f>
        <v>7.41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70.38</v>
      </c>
      <c r="L11" s="272" t="s">
        <v>193</v>
      </c>
      <c r="M11" s="128">
        <f>STDEV(176:176)</f>
        <v>1.7973913580978906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129.55182072829135</v>
      </c>
      <c r="C13" s="141">
        <f>$B$34/5.88%</f>
        <v>157.31292517006804</v>
      </c>
      <c r="D13" s="141">
        <f>$B$34/5%</f>
        <v>185</v>
      </c>
      <c r="E13" s="141">
        <f>$B$34/4.35%</f>
        <v>212.64367816091956</v>
      </c>
      <c r="F13" s="141">
        <f>$B$34/3.85%</f>
        <v>240.25974025974025</v>
      </c>
      <c r="G13" s="138" t="str">
        <f>"$"&amp;ROUND(B34,2)&amp;"/"&amp;IF(STDEV(C140:F140)/AVERAGE(C140:F140)&lt;15%,"高",IF(STDEV(C140:F140)/AVERAGE(C140:F140)&lt;30%,"中","低"))</f>
        <v>$9.25/高</v>
      </c>
      <c r="H13" s="142" t="s">
        <v>199</v>
      </c>
      <c r="I13" s="143">
        <f>MAX(0,1-J15)</f>
        <v>0.32480454868514563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130.26824999999999</v>
      </c>
      <c r="C14" s="141">
        <f>$B$33*C10</f>
        <v>144.949275</v>
      </c>
      <c r="D14" s="141">
        <f>$B$33*D10</f>
        <v>156.45974999999999</v>
      </c>
      <c r="E14" s="141">
        <f>$B$33*E10</f>
        <v>168.72839999999999</v>
      </c>
      <c r="F14" s="141">
        <f>$B$33*F10</f>
        <v>177.96435</v>
      </c>
      <c r="G14" s="138" t="str">
        <f>"$"&amp;ROUND(B33,2)&amp;"/"&amp;IF(STDEV(B69:E69)/AVERAGE(B69:E69)&lt;15%,"高",IF(STDEV(B69:E69)/AVERAGE(B69:E69)&lt;30%,"中","低"))</f>
        <v>$13.79/高</v>
      </c>
      <c r="H14" s="142" t="s">
        <v>203</v>
      </c>
      <c r="I14" s="145">
        <f>G62/100*I13</f>
        <v>4.9565174129353219E-2</v>
      </c>
      <c r="J14" s="76" t="s">
        <v>204</v>
      </c>
      <c r="K14" s="146"/>
      <c r="L14" s="147">
        <f>(HLOOKUP($C$1,$105:$106,2,FALSE)-HLOOKUP($C$1,$117:$127,9,FALSE))/(HLOOKUP($C$1,$117:$128,12,FALSE)/K11)</f>
        <v>28.152153979679685</v>
      </c>
      <c r="M14" s="148">
        <f>E135/E69</f>
        <v>1.218905472636816</v>
      </c>
      <c r="N14" s="149">
        <f>F173/100</f>
        <v>1.0523</v>
      </c>
    </row>
    <row r="15" spans="1:15" s="93" customFormat="1" x14ac:dyDescent="0.25">
      <c r="A15" s="140" t="s">
        <v>375</v>
      </c>
      <c r="B15" s="141">
        <f>$D$62*B10</f>
        <v>100.45349999999998</v>
      </c>
      <c r="C15" s="141">
        <f>$D$62*C10</f>
        <v>111.77445</v>
      </c>
      <c r="D15" s="141">
        <f>$D$62*D10</f>
        <v>120.65049999999998</v>
      </c>
      <c r="E15" s="141">
        <f>$D$62*E10</f>
        <v>130.1112</v>
      </c>
      <c r="F15" s="141">
        <f>$D$62*F10</f>
        <v>137.23329999999999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0.67519545131485437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88.423837671702898</v>
      </c>
      <c r="C16" s="141">
        <f>$F$69*C10</f>
        <v>98.389063822005937</v>
      </c>
      <c r="D16" s="141">
        <f>$F$69*D10</f>
        <v>106.20217540463788</v>
      </c>
      <c r="E16" s="141">
        <f>$F$69*E10</f>
        <v>114.529923079539</v>
      </c>
      <c r="F16" s="141">
        <f>$F$69*F10</f>
        <v>120.79912638536345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111</v>
      </c>
      <c r="J17" s="92">
        <f ca="1">IF(I17&lt;=0,"",IF(I17&lt;=MIN($B$13:$F$16),(I17-MIN($B$13:$F$16))/MIN($B$13:$F$16),IF(I17&gt;=MAX($B$13:$F$16),I17/MAX($B$13:$F$16),PERCENTRANK($B$13:$F$16,I17))))</f>
        <v>0.20300000000000001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11.104999999999999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1.2005405405405405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0.19465933801765409</v>
      </c>
      <c r="J20" s="171">
        <f>HLOOKUP($C$1,$117:$127,11,FALSE)/HLOOKUP($C$1,$105:$115,11,FALSE)</f>
        <v>0.31417799556852338</v>
      </c>
      <c r="K20" s="163"/>
    </row>
    <row r="21" spans="1:14" s="93" customFormat="1" x14ac:dyDescent="0.25">
      <c r="A21" s="151" t="s">
        <v>201</v>
      </c>
      <c r="B21" s="161">
        <f>AVERAGE(C173:F173)/100</f>
        <v>1.2289750000000002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2.520979922119432</v>
      </c>
      <c r="J21" s="78"/>
      <c r="K21" s="164" t="s">
        <v>356</v>
      </c>
      <c r="L21" s="165">
        <f>HLOOKUP($C$1,$105:$115,7,FALSE)/HLOOKUP($C$1,$105:$115,11,FALSE)</f>
        <v>0.71511201841292737</v>
      </c>
      <c r="M21" s="123" t="s">
        <v>268</v>
      </c>
      <c r="N21" s="165">
        <f>HLOOKUP($C$1,$117:$127,8,FALSE)/HLOOKUP($C$1,$117:$127,11,FALSE)</f>
        <v>0.90287769784172667</v>
      </c>
    </row>
    <row r="22" spans="1:14" s="93" customFormat="1" x14ac:dyDescent="0.25">
      <c r="A22" s="140" t="s">
        <v>222</v>
      </c>
      <c r="B22" s="161">
        <f>(-1)*SUM(C133:F133)/SUM(C132:F132)</f>
        <v>0.34862923325025663</v>
      </c>
      <c r="C22" s="157"/>
      <c r="D22" s="166"/>
      <c r="E22" s="140"/>
      <c r="F22" s="159">
        <f>IF(B22&lt;=0,10,IF(B22&gt;=100%,0,(1-B22)*10))</f>
        <v>6.5137076674974335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2.1985858824588651</v>
      </c>
      <c r="J22" s="78"/>
      <c r="K22" s="142" t="s">
        <v>357</v>
      </c>
      <c r="L22" s="165">
        <f>HLOOKUP($C$1,$105:$115,4,FALSE)/HLOOKUP($C$1,$105:$115,11,FALSE)</f>
        <v>0.29577592262969393</v>
      </c>
      <c r="M22" s="123" t="s">
        <v>353</v>
      </c>
      <c r="N22" s="165">
        <f>HLOOKUP($C$1,$117:$127,4,FALSE)/HLOOKUP($C$1,$117:$127,11,FALSE)</f>
        <v>0.38041702231435193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1.4581042800295776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9.145168130975817E-2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0.98890212145248335</v>
      </c>
      <c r="C24" s="169">
        <f>STDEV(C103:F103)</f>
        <v>3.0435860679000224E-3</v>
      </c>
      <c r="D24" s="76" t="str">
        <f>IF(C24/B24&lt;15%,"高",IF(C24/B24&lt;30%,"中","低"))</f>
        <v>高</v>
      </c>
      <c r="E24" s="149"/>
      <c r="F24" s="160">
        <f>MIN(100%,B24)*5</f>
        <v>4.9445106072624165</v>
      </c>
      <c r="G24" s="88" t="s">
        <v>229</v>
      </c>
      <c r="H24" s="123" t="s">
        <v>16</v>
      </c>
      <c r="I24" s="170">
        <f>HLOOKUP(C1,167:170,2,FALSE)</f>
        <v>87.38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5.8080565017257731E-2</v>
      </c>
      <c r="M24" s="123" t="s">
        <v>355</v>
      </c>
      <c r="N24" s="165">
        <f>HLOOKUP($C$1,$117:$127,9,FALSE)/HLOOKUP($C$1,$117:$127,11,FALSE)</f>
        <v>9.7122302158273388E-2</v>
      </c>
    </row>
    <row r="25" spans="1:14" s="93" customFormat="1" x14ac:dyDescent="0.25">
      <c r="A25" s="151" t="s">
        <v>366</v>
      </c>
      <c r="B25" s="255">
        <f>AVERAGE(94:94)</f>
        <v>13695.173913043478</v>
      </c>
      <c r="C25" s="254">
        <f>STDEV(94:94)/AVERAGE(94:94)</f>
        <v>4.5320980211753001</v>
      </c>
      <c r="D25" s="76" t="str">
        <f>IF(C25&lt;=1,"高",IF(C25&lt;=2,"中","低"))</f>
        <v>低</v>
      </c>
      <c r="E25" s="149"/>
      <c r="F25" s="160">
        <f>MAX(0,10-ABS(C25))</f>
        <v>5.4679019788246999</v>
      </c>
      <c r="G25" s="88" t="s">
        <v>213</v>
      </c>
      <c r="H25" s="123" t="s">
        <v>232</v>
      </c>
      <c r="I25" s="170">
        <f>IF(HLOOKUP(C1,167:170,3,FALSE)="無",0,HLOOKUP(C1,167:170,3,FALSE))</f>
        <v>43.9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82.492173913043487</v>
      </c>
      <c r="C26" s="172">
        <f>IF(COUNTIF(168:168,"&gt;0")=0,0,STDEV(168:168))</f>
        <v>14.331445704058497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47.058260869565224</v>
      </c>
      <c r="C27" s="172">
        <f>IF(COUNTIF(169:169,"&gt;0")=0,0,STDEV(169:169))</f>
        <v>8.2294728938535737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0.25655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0.13750000000000001</v>
      </c>
      <c r="C31" s="157" t="s">
        <v>217</v>
      </c>
      <c r="D31" s="174">
        <f>COUNTIF(149:149,"&gt;8")/COUNT(149:149)</f>
        <v>0.86956521739130432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20.9375</v>
      </c>
      <c r="C32" s="157" t="s">
        <v>217</v>
      </c>
      <c r="D32" s="174">
        <f>COUNTIF(159:159,"&gt;3")/COUNT(159:159)</f>
        <v>0.86956521739130432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13.785</v>
      </c>
      <c r="C33" s="157" t="s">
        <v>217</v>
      </c>
      <c r="D33" s="174">
        <f>COUNTIF(82:82,"&gt;0")/COUNT(82:82)</f>
        <v>0.95652173913043481</v>
      </c>
      <c r="E33" s="140" t="s">
        <v>243</v>
      </c>
      <c r="F33" s="159">
        <f>MIN(B33,2)+D33*8</f>
        <v>9.6521739130434785</v>
      </c>
      <c r="G33" s="135"/>
    </row>
    <row r="34" spans="1:14" x14ac:dyDescent="0.25">
      <c r="A34" s="155" t="s">
        <v>244</v>
      </c>
      <c r="B34" s="156">
        <f>AVERAGE(C140:F140)</f>
        <v>9.25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9.0130576713819366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5964555</v>
      </c>
      <c r="C36" s="178">
        <f>STDEV(C97:F97)</f>
        <v>291821.70577940223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25.655000000000001</v>
      </c>
      <c r="C37" s="180">
        <f>STDEV(C152:F152)</f>
        <v>1.5056892109595525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15.905000000000001</v>
      </c>
      <c r="C38" s="180">
        <f>STDEV(C153:F153)</f>
        <v>1.0950038051684263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20.9375</v>
      </c>
      <c r="C39" s="181">
        <f>STDEV(C165:F165)</f>
        <v>1.4580209189171458</v>
      </c>
      <c r="D39" s="76" t="str">
        <f>IF(C39/B39&lt;15%,"高",IF(C39/B39&lt;30%,"中","低"))</f>
        <v>高</v>
      </c>
      <c r="E39" s="107">
        <f>IF(F165&gt;E165,1,0)+IF(E165&gt;D165,1,0)+IF(D165&gt;C165,1,0)</f>
        <v>0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13.785</v>
      </c>
      <c r="C40" s="183">
        <f>STDEV(B69:E69)</f>
        <v>0.45405579686495234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-0.11032863849765252</v>
      </c>
      <c r="C44" s="186">
        <f>(C46-C49)/C49</f>
        <v>-3.2941176470588161E-2</v>
      </c>
      <c r="D44" s="186">
        <f>(D46-D49)/D49</f>
        <v>-1.9383561643835618</v>
      </c>
      <c r="E44" s="186">
        <f>(E46-E49)/E49</f>
        <v>0.39931740614334449</v>
      </c>
      <c r="G44" s="86" t="s">
        <v>175</v>
      </c>
      <c r="H44" s="186">
        <f>(H47-H50)/H50</f>
        <v>-0.18908568693154609</v>
      </c>
      <c r="I44" s="186">
        <f>(I47-I50)/I50</f>
        <v>-8.9776855215360579E-2</v>
      </c>
      <c r="J44" s="186">
        <f>(J47-J50)/J50</f>
        <v>-0.51107934238741959</v>
      </c>
      <c r="K44" s="186">
        <f>(K47-K50)/K50</f>
        <v>2.3965141612200418E-2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3.79</v>
      </c>
      <c r="C46" s="152">
        <f>HLOOKUP(C45,$81:$82,2,FALSE)</f>
        <v>4.1100000000000003</v>
      </c>
      <c r="D46" s="152">
        <f>HLOOKUP(D45,$81:$82,2,FALSE)</f>
        <v>-1.37</v>
      </c>
      <c r="E46" s="152">
        <f>HLOOKUP(E45,$81:$82,2,FALSE)</f>
        <v>4.0999999999999996</v>
      </c>
      <c r="G46" s="86" t="s">
        <v>164</v>
      </c>
      <c r="H46" s="145">
        <f>HLOOKUP(H45,$145:$147,2,FALSE)/100</f>
        <v>0.26550000000000001</v>
      </c>
      <c r="I46" s="145">
        <f>HLOOKUP(I45,$145:$147,2,FALSE)/100</f>
        <v>0.2621</v>
      </c>
      <c r="J46" s="145">
        <f>HLOOKUP(J45,$145:$147,2,FALSE)/100</f>
        <v>0.2409</v>
      </c>
      <c r="K46" s="145">
        <f>HLOOKUP(K45,$145:$147,2,FALSE)/100</f>
        <v>0.27260000000000001</v>
      </c>
    </row>
    <row r="47" spans="1:14" x14ac:dyDescent="0.25">
      <c r="A47" s="188" t="s">
        <v>165</v>
      </c>
      <c r="B47" s="189">
        <f>HLOOKUP(B45,$157:$159,3,FALSE)</f>
        <v>5.63</v>
      </c>
      <c r="C47" s="189">
        <f>HLOOKUP(C45,$157:$159,3,FALSE)</f>
        <v>5.82</v>
      </c>
      <c r="D47" s="189">
        <f>HLOOKUP(D45,$157:$159,3,FALSE)</f>
        <v>-1.81</v>
      </c>
      <c r="E47" s="189">
        <f>HLOOKUP(E45,$157:$159,3,FALSE)</f>
        <v>5.62</v>
      </c>
      <c r="G47" s="190" t="s">
        <v>166</v>
      </c>
      <c r="H47" s="145">
        <f>HLOOKUP(H45,$145:$147,3,FALSE)/100</f>
        <v>0.16940000000000002</v>
      </c>
      <c r="I47" s="145">
        <f>HLOOKUP(I45,$145:$147,3,FALSE)/100</f>
        <v>0.1754</v>
      </c>
      <c r="J47" s="145">
        <f>HLOOKUP(J45,$145:$147,3,FALSE)/100</f>
        <v>6.8400000000000002E-2</v>
      </c>
      <c r="K47" s="145">
        <f>HLOOKUP(K45,$145:$147,3,FALSE)/100</f>
        <v>0.14099999999999999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4.26</v>
      </c>
      <c r="C49" s="152">
        <f>HLOOKUP(C48,$81:$82,2,FALSE)</f>
        <v>4.25</v>
      </c>
      <c r="D49" s="152">
        <f>HLOOKUP(D48,$81:$82,2,FALSE)</f>
        <v>1.46</v>
      </c>
      <c r="E49" s="152">
        <f>HLOOKUP(E48,$81:$82,2,FALSE)</f>
        <v>2.93</v>
      </c>
      <c r="G49" s="86" t="s">
        <v>164</v>
      </c>
      <c r="H49" s="145">
        <f>HLOOKUP(H48,$145:$147,2,FALSE)/100</f>
        <v>0.27989999999999998</v>
      </c>
      <c r="I49" s="145">
        <f>HLOOKUP(I48,$145:$147,2,FALSE)/100</f>
        <v>0.2848</v>
      </c>
      <c r="J49" s="145">
        <f>HLOOKUP(J48,$145:$147,2,FALSE)/100</f>
        <v>0.26769999999999999</v>
      </c>
      <c r="K49" s="145">
        <f>HLOOKUP(K48,$145:$147,2,FALSE)/100</f>
        <v>0.25980000000000003</v>
      </c>
    </row>
    <row r="50" spans="1:15" x14ac:dyDescent="0.25">
      <c r="A50" s="188" t="s">
        <v>165</v>
      </c>
      <c r="B50" s="189">
        <f>HLOOKUP(B48,$157:$159,3,FALSE)</f>
        <v>6.11</v>
      </c>
      <c r="C50" s="189">
        <f>HLOOKUP(C48,$157:$159,3,FALSE)</f>
        <v>6.04</v>
      </c>
      <c r="D50" s="189">
        <f>HLOOKUP(D48,$157:$159,3,FALSE)</f>
        <v>2.06</v>
      </c>
      <c r="E50" s="189">
        <f>HLOOKUP(E48,$157:$159,3,FALSE)</f>
        <v>4.1900000000000004</v>
      </c>
      <c r="G50" s="190" t="s">
        <v>166</v>
      </c>
      <c r="H50" s="145">
        <f>HLOOKUP(H48,$145:$147,3,FALSE)/100</f>
        <v>0.2089</v>
      </c>
      <c r="I50" s="145">
        <f>HLOOKUP(I48,$145:$147,3,FALSE)/100</f>
        <v>0.19269999999999998</v>
      </c>
      <c r="J50" s="145">
        <f>HLOOKUP(J48,$145:$147,3,FALSE)/100</f>
        <v>0.1399</v>
      </c>
      <c r="K50" s="145">
        <f>HLOOKUP(K48,$145:$147,3,FALSE)/100</f>
        <v>0.13769999999999999</v>
      </c>
    </row>
    <row r="51" spans="1:15" x14ac:dyDescent="0.25">
      <c r="A51" s="86" t="s">
        <v>351</v>
      </c>
      <c r="B51" s="186">
        <f>(B47-B50)/B50</f>
        <v>-7.8559738134206289E-2</v>
      </c>
      <c r="C51" s="186">
        <f>(C47-C50)/C50</f>
        <v>-3.6423841059602606E-2</v>
      </c>
      <c r="D51" s="186">
        <f>(D47-D50)/D50</f>
        <v>-1.8786407766990292</v>
      </c>
      <c r="E51" s="186">
        <f>(E47-E50)/E50</f>
        <v>0.34128878281622904</v>
      </c>
      <c r="G51" s="235" t="s">
        <v>174</v>
      </c>
      <c r="H51" s="186">
        <f>(H46-H49)/H49</f>
        <v>-5.1446945337620467E-2</v>
      </c>
      <c r="I51" s="186">
        <f>(I46-I49)/I49</f>
        <v>-7.9705056179775274E-2</v>
      </c>
      <c r="J51" s="186">
        <f>(J46-J49)/J49</f>
        <v>-0.10011206574523718</v>
      </c>
      <c r="K51" s="186">
        <f>(K46-K49)/K49</f>
        <v>4.9268668206312455E-2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12.060424386003486</v>
      </c>
      <c r="B53" s="193">
        <f>B46</f>
        <v>3.79</v>
      </c>
      <c r="C53" s="193">
        <f>E46/HLOOKUP(E45,$87:$94,5,FALSE)*HLOOKUP(E45,$87:$94,4,FALSE)*($B$25/HLOOKUP(E45,$87:$94,4,FALSE)+SUM($B$57:$D$57)/SUM($B58:$D$58)*$G$69/100/K46)</f>
        <v>2.8270198594394604</v>
      </c>
      <c r="D53" s="193">
        <f>D46/HLOOKUP(D45,$87:$94,5,FALSE)*HLOOKUP(D45,$87:$94,4,FALSE)*($B$25/HLOOKUP(D45,$87:$94,4,FALSE)+SUM($B$57:$D$57)/SUM($B58:$D$58)*$G$69/100/J46)</f>
        <v>1.4197545667434255</v>
      </c>
      <c r="E53" s="193">
        <f>C46/HLOOKUP(C45,$87:$94,5,FALSE)*HLOOKUP(C45,$87:$94,4,FALSE)*($B$25/HLOOKUP(C45,$87:$94,4,FALSE)+SUM($B$57:$D$57)/SUM($B58:$D$58)*$G$69/100/I46)</f>
        <v>4.0236499598205997</v>
      </c>
    </row>
    <row r="54" spans="1:15" x14ac:dyDescent="0.25">
      <c r="A54" s="278">
        <f>SUM(B54:E54)</f>
        <v>11.1</v>
      </c>
      <c r="B54" s="277">
        <f t="shared" ref="B54:D54" si="0">HLOOKUP(B52-10,81:82,2,FALSE)</f>
        <v>4.26</v>
      </c>
      <c r="C54" s="277">
        <f t="shared" si="0"/>
        <v>4.0999999999999996</v>
      </c>
      <c r="D54" s="277">
        <f t="shared" si="0"/>
        <v>-1.37</v>
      </c>
      <c r="E54" s="277">
        <f>HLOOKUP(E52-10,81:82,2,FALSE)</f>
        <v>4.1100000000000003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468019</v>
      </c>
      <c r="C57" s="196">
        <f>HLOOKUP(C56,78:79,2,FALSE)</f>
        <v>433809</v>
      </c>
      <c r="D57" s="196">
        <f>HLOOKUP(D56,78:79,2,FALSE)</f>
        <v>683565</v>
      </c>
      <c r="E57" s="196">
        <f>HLOOKUP(E56,78:79,2,FALSE)</f>
        <v>665966</v>
      </c>
      <c r="F57" s="196">
        <f>HLOOKUP(F56,78:79,2,FALSE)</f>
        <v>728976</v>
      </c>
      <c r="G57" s="196">
        <f t="shared" ref="G57:M57" si="2">HLOOKUP(G56,78:79,2,FALSE)</f>
        <v>475697</v>
      </c>
      <c r="H57" s="196">
        <f t="shared" si="2"/>
        <v>478867</v>
      </c>
      <c r="I57" s="196">
        <f t="shared" si="2"/>
        <v>360873</v>
      </c>
      <c r="J57" s="196">
        <f t="shared" si="2"/>
        <v>296245</v>
      </c>
      <c r="K57" s="196">
        <f t="shared" si="2"/>
        <v>316407</v>
      </c>
      <c r="L57" s="196">
        <f t="shared" si="2"/>
        <v>469241</v>
      </c>
      <c r="M57" s="196">
        <f t="shared" si="2"/>
        <v>452499</v>
      </c>
      <c r="N57" s="197"/>
    </row>
    <row r="58" spans="1:15" x14ac:dyDescent="0.25">
      <c r="A58" s="198" t="s">
        <v>253</v>
      </c>
      <c r="B58" s="196">
        <f>HLOOKUP(B56-100,78:79,2,FALSE)</f>
        <v>446853</v>
      </c>
      <c r="C58" s="196">
        <f>HLOOKUP(C56-100,78:79,2,FALSE)</f>
        <v>560514</v>
      </c>
      <c r="D58" s="196">
        <f>HLOOKUP(D56-100,78:79,2,FALSE)</f>
        <v>580708</v>
      </c>
      <c r="E58" s="196">
        <f>HLOOKUP(E56-100,78:79,2,FALSE)</f>
        <v>706782</v>
      </c>
      <c r="F58" s="196">
        <f>HLOOKUP(F56-100,78:79,2,FALSE)</f>
        <v>556166</v>
      </c>
      <c r="G58" s="196">
        <f t="shared" ref="G58:M58" si="3">HLOOKUP(G56-100,78:79,2,FALSE)</f>
        <v>543489</v>
      </c>
      <c r="H58" s="196">
        <f t="shared" si="3"/>
        <v>497559</v>
      </c>
      <c r="I58" s="196">
        <f t="shared" si="3"/>
        <v>400764</v>
      </c>
      <c r="J58" s="196">
        <f t="shared" si="3"/>
        <v>436402</v>
      </c>
      <c r="K58" s="196">
        <f t="shared" si="3"/>
        <v>388359</v>
      </c>
      <c r="L58" s="196">
        <f t="shared" si="3"/>
        <v>411244</v>
      </c>
      <c r="M58" s="196">
        <f t="shared" si="3"/>
        <v>470991</v>
      </c>
      <c r="N58" s="197"/>
    </row>
    <row r="59" spans="1:15" x14ac:dyDescent="0.25">
      <c r="A59" s="199" t="s">
        <v>254</v>
      </c>
      <c r="B59" s="165">
        <f>IF(B57&lt;&gt;"",(B57-B58)/B58,"")</f>
        <v>4.7366807428841251E-2</v>
      </c>
      <c r="C59" s="165">
        <f>IF(C57&lt;&gt;"",(C57-C58)/C58,"")</f>
        <v>-0.2260514456373971</v>
      </c>
      <c r="D59" s="165">
        <f>IF(D57&lt;&gt;"",(D57-D58)/D58,"")</f>
        <v>0.17712344241856492</v>
      </c>
      <c r="E59" s="165">
        <f>IF(E57&lt;&gt;"",(E57-E58)/E58,"")</f>
        <v>-5.7749065482708951E-2</v>
      </c>
      <c r="F59" s="165">
        <f>IF(F57&lt;&gt;"",(F57-F58)/F58,"")</f>
        <v>0.31071658461682305</v>
      </c>
      <c r="G59" s="165">
        <f t="shared" ref="G59:M59" si="4">IF(G57&lt;&gt;"",(G57-G58)/G58,"")</f>
        <v>-0.12473481524005085</v>
      </c>
      <c r="H59" s="165">
        <f t="shared" si="4"/>
        <v>-3.7567404066653404E-2</v>
      </c>
      <c r="I59" s="165">
        <f t="shared" si="4"/>
        <v>-9.9537383597329096E-2</v>
      </c>
      <c r="J59" s="165">
        <f t="shared" si="4"/>
        <v>-0.32116488925348646</v>
      </c>
      <c r="K59" s="165">
        <f t="shared" si="4"/>
        <v>-0.18527187473445961</v>
      </c>
      <c r="L59" s="165">
        <f t="shared" si="4"/>
        <v>0.14102819737187655</v>
      </c>
      <c r="M59" s="165">
        <f t="shared" si="4"/>
        <v>-3.9261896724141224E-2</v>
      </c>
    </row>
    <row r="60" spans="1:15" x14ac:dyDescent="0.25">
      <c r="A60" s="195" t="s">
        <v>255</v>
      </c>
      <c r="B60" s="196">
        <f>SUM(B57:M57)</f>
        <v>5830164</v>
      </c>
    </row>
    <row r="61" spans="1:15" x14ac:dyDescent="0.25">
      <c r="A61" s="198" t="s">
        <v>256</v>
      </c>
      <c r="B61" s="196">
        <f>SUM(B58:M58)</f>
        <v>5999831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0.97172137015192595</v>
      </c>
      <c r="D62" s="152">
        <f>SUM(B46:E46)</f>
        <v>10.629999999999999</v>
      </c>
      <c r="E62" s="152">
        <f>SUM(B49:E49)</f>
        <v>12.899999999999999</v>
      </c>
      <c r="G62" s="126">
        <f>SUM(B47:E47)</f>
        <v>15.259999999999998</v>
      </c>
      <c r="H62" s="126">
        <f>SUM(B50:E50)</f>
        <v>18.400000000000002</v>
      </c>
      <c r="J62" s="200">
        <f>AVERAGE(H46:K46)</f>
        <v>0.26027500000000003</v>
      </c>
      <c r="K62" s="200">
        <f>AVERAGE(H49:K49)</f>
        <v>0.27305000000000001</v>
      </c>
      <c r="M62" s="200">
        <f>AVERAGE(H47:K47)</f>
        <v>0.13855000000000001</v>
      </c>
      <c r="N62" s="200">
        <f>AVERAGE(H50:K50)</f>
        <v>0.16980000000000001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2.76</v>
      </c>
      <c r="C65" s="205">
        <f t="shared" si="5"/>
        <v>2.4500000000000002</v>
      </c>
      <c r="D65" s="205">
        <f t="shared" si="5"/>
        <v>1.91</v>
      </c>
      <c r="E65" s="205">
        <f t="shared" si="5"/>
        <v>1.46</v>
      </c>
      <c r="F65" s="206">
        <f>IF(ISNA(HLOOKUP(F$64*10+$A65,$81:$82,2,FALSE)),(HLOOKUP(E$64*10+$A65,$87:$94,4,FALSE)*$G65+$B$25)/HLOOKUP(E$64*10+$A65,$87:$94,5,FALSE)*$E65,HLOOKUP(F$64*10+$A65,$81:$82,2,FALSE))</f>
        <v>-1.37</v>
      </c>
      <c r="G65" s="101">
        <f>MIN(130%,SUM($B$57:$D$57)/SUM($B$58:$D$58)*$G$69/HLOOKUP(E$64*10+$A65,$145:$146,2,FALSE))</f>
        <v>1.0044185380131738</v>
      </c>
      <c r="H65" s="204">
        <v>1</v>
      </c>
      <c r="I65" s="208">
        <f t="shared" ref="I65:M68" si="6">IF(ISNA(HLOOKUP(I$64*10+$H65,$145:$147,3,FALSE)),"",HLOOKUP(I$64*10+$H65,$145:$147,3,FALSE)/100)</f>
        <v>0.12529999999999999</v>
      </c>
      <c r="J65" s="208">
        <f t="shared" si="6"/>
        <v>0.1153</v>
      </c>
      <c r="K65" s="208">
        <f t="shared" si="6"/>
        <v>0.1216</v>
      </c>
      <c r="L65" s="208">
        <f t="shared" si="6"/>
        <v>0.1399</v>
      </c>
      <c r="M65" s="209">
        <f t="shared" si="6"/>
        <v>6.8400000000000002E-2</v>
      </c>
      <c r="N65" s="256">
        <f t="shared" ref="N65:O68" si="7">HLOOKUP(E$64*10+$A65,$87:$94,8,FALSE)</f>
        <v>-47766</v>
      </c>
      <c r="O65" s="256">
        <f t="shared" si="7"/>
        <v>-151509</v>
      </c>
      <c r="P65" s="210"/>
    </row>
    <row r="66" spans="1:71" x14ac:dyDescent="0.25">
      <c r="A66" s="204">
        <v>2</v>
      </c>
      <c r="B66" s="205">
        <f t="shared" si="5"/>
        <v>3.42</v>
      </c>
      <c r="C66" s="205">
        <f t="shared" si="5"/>
        <v>2.76</v>
      </c>
      <c r="D66" s="205">
        <f t="shared" si="5"/>
        <v>3.2</v>
      </c>
      <c r="E66" s="205">
        <f t="shared" si="5"/>
        <v>4.25</v>
      </c>
      <c r="F66" s="206">
        <f>IF(ISNA(HLOOKUP(F$64*10+$A66,$81:$82,2,FALSE)),(HLOOKUP(E$64*10+$A66,$87:$94,4,FALSE)*$G66+$B$25)/HLOOKUP(E$64*10+$A66,$87:$94,5,FALSE)*$E66,HLOOKUP(F$64*10+$A66,$81:$82,2,FALSE))</f>
        <v>4.1100000000000003</v>
      </c>
      <c r="G66" s="101">
        <f>MIN(130%,SUM($B$57:$D$57)/SUM($B$58:$D$58)*$G$69/HLOOKUP(E$64*10+$A66,$145:$146,2,FALSE))</f>
        <v>0.94411110472656823</v>
      </c>
      <c r="H66" s="204">
        <v>2</v>
      </c>
      <c r="I66" s="208">
        <f t="shared" si="6"/>
        <v>0.17469999999999999</v>
      </c>
      <c r="J66" s="208">
        <f t="shared" si="6"/>
        <v>0.1595</v>
      </c>
      <c r="K66" s="208">
        <f t="shared" si="6"/>
        <v>0.16839999999999999</v>
      </c>
      <c r="L66" s="208">
        <f t="shared" si="6"/>
        <v>0.19269999999999998</v>
      </c>
      <c r="M66" s="209">
        <f t="shared" si="6"/>
        <v>0.1754</v>
      </c>
      <c r="N66" s="256">
        <f t="shared" si="7"/>
        <v>51259</v>
      </c>
      <c r="O66" s="256">
        <f t="shared" si="7"/>
        <v>28166</v>
      </c>
      <c r="P66" s="210"/>
    </row>
    <row r="67" spans="1:71" x14ac:dyDescent="0.25">
      <c r="A67" s="204">
        <v>3</v>
      </c>
      <c r="B67" s="205">
        <f t="shared" si="5"/>
        <v>4.54</v>
      </c>
      <c r="C67" s="205">
        <f t="shared" si="5"/>
        <v>4.88</v>
      </c>
      <c r="D67" s="205">
        <f t="shared" si="5"/>
        <v>6.15</v>
      </c>
      <c r="E67" s="205">
        <f t="shared" si="5"/>
        <v>4.26</v>
      </c>
      <c r="F67" s="206">
        <f>IF(ISNA(HLOOKUP(F$64*10+$A67,$81:$82,2,FALSE)),(HLOOKUP(E$64*10+$A67,$87:$94,4,FALSE)*$G67+$B$25)/HLOOKUP(E$64*10+$A67,$87:$94,5,FALSE)*$E67,HLOOKUP(F$64*10+$A67,$81:$82,2,FALSE))</f>
        <v>3.79</v>
      </c>
      <c r="G67" s="101">
        <f>MIN(130%,SUM($B$57:$D$57)/SUM($B$58:$D$58)*$G$69/HLOOKUP(E$64*10+$A67,$145:$146,2,FALSE))</f>
        <v>0.96063895186183157</v>
      </c>
      <c r="H67" s="204">
        <v>3</v>
      </c>
      <c r="I67" s="208">
        <f t="shared" si="6"/>
        <v>0.18789999999999998</v>
      </c>
      <c r="J67" s="208">
        <f t="shared" si="6"/>
        <v>0.18210000000000001</v>
      </c>
      <c r="K67" s="208">
        <f t="shared" si="6"/>
        <v>0.18390000000000001</v>
      </c>
      <c r="L67" s="208">
        <f t="shared" si="6"/>
        <v>0.2089</v>
      </c>
      <c r="M67" s="209">
        <f t="shared" si="6"/>
        <v>0.16940000000000002</v>
      </c>
      <c r="N67" s="256">
        <f t="shared" si="7"/>
        <v>-56704</v>
      </c>
      <c r="O67" s="256">
        <f t="shared" si="7"/>
        <v>-6102</v>
      </c>
      <c r="P67" s="210"/>
    </row>
    <row r="68" spans="1:71" x14ac:dyDescent="0.25">
      <c r="A68" s="204">
        <v>4</v>
      </c>
      <c r="B68" s="205">
        <f>HLOOKUP(B$64*10+$A68,$81:$82,2,FALSE)</f>
        <v>2.46</v>
      </c>
      <c r="C68" s="205">
        <f>HLOOKUP(C$64*10+$A68,$81:$82,2,FALSE)</f>
        <v>3.61</v>
      </c>
      <c r="D68" s="205">
        <f>HLOOKUP(D$64*10+$A68,$81:$82,2,FALSE)</f>
        <v>2.93</v>
      </c>
      <c r="E68" s="206">
        <f>IF(ISNA(HLOOKUP(E$64*10+$A68,$81:$82,2,FALSE)),D68*(1-$N68)*#REF!*(1+$B$25)/(1+$E$4),HLOOKUP(E$64*10+$A68,$81:$82,2,FALSE))</f>
        <v>4.0999999999999996</v>
      </c>
      <c r="F68" s="206">
        <f>IF(ISNA(HLOOKUP(F$64*10+$A68,$81:$82,2,FALSE)),(HLOOKUP(E$64*10+$A68,$87:$94,4,FALSE)*$G68+$B$25)/HLOOKUP(E$64*10+$A68,$87:$94,5,FALSE)*$E68,HLOOKUP(F$64*10+$A68,$81:$82,2,FALSE))</f>
        <v>2.8270198594394604</v>
      </c>
      <c r="G68" s="101">
        <f>MIN(130%,SUM($B$57:$D$57)/SUM($B$58:$D$58)*$G$69/HLOOKUP(E$64*10+$A68,$145:$146,2,FALSE))</f>
        <v>0.98636405952357531</v>
      </c>
      <c r="H68" s="204">
        <v>4</v>
      </c>
      <c r="I68" s="208">
        <f t="shared" si="6"/>
        <v>0.10880000000000001</v>
      </c>
      <c r="J68" s="208">
        <f t="shared" si="6"/>
        <v>0.13320000000000001</v>
      </c>
      <c r="K68" s="208">
        <f t="shared" si="6"/>
        <v>0.13769999999999999</v>
      </c>
      <c r="L68" s="208">
        <f t="shared" si="6"/>
        <v>0.14099999999999999</v>
      </c>
      <c r="M68" s="209" t="str">
        <f t="shared" si="6"/>
        <v/>
      </c>
      <c r="N68" s="256">
        <f t="shared" si="7"/>
        <v>102925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13.18</v>
      </c>
      <c r="C69" s="213">
        <f>SUM(C65:C68)</f>
        <v>13.7</v>
      </c>
      <c r="D69" s="213">
        <f>SUM(D65:D68)</f>
        <v>14.190000000000001</v>
      </c>
      <c r="E69" s="213">
        <f>SUM(E65:E68)</f>
        <v>14.069999999999999</v>
      </c>
      <c r="F69" s="213">
        <f>SUM(F65:F68)</f>
        <v>9.3570198594394611</v>
      </c>
      <c r="G69" s="257">
        <f>_xlfn.FORECAST.ETS(23,B146:W146,{1,2,3,4,5,6,7,8,9,10,11,12,13,14,15,16,17,18,19,20,21,22})</f>
        <v>26.933771014725441</v>
      </c>
      <c r="H69" s="214" t="s">
        <v>19</v>
      </c>
      <c r="I69" s="215">
        <f>HLOOKUP(I64,151:155,3,FALSE)/100</f>
        <v>0.1542</v>
      </c>
      <c r="J69" s="215">
        <f>HLOOKUP(J64,151:155,3,FALSE)/100</f>
        <v>0.151</v>
      </c>
      <c r="K69" s="215">
        <f>HLOOKUP(K64,151:155,3,FALSE)/100</f>
        <v>0.15579999999999999</v>
      </c>
      <c r="L69" s="215">
        <f>IF(ISNA(HLOOKUP(L64,151:155,3,FALSE)/100),AVERAGE(L65:L68),HLOOKUP(L64,151:155,3,FALSE)/100)</f>
        <v>0.17519999999999999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5.38</v>
      </c>
      <c r="C72" s="205">
        <f t="shared" si="8"/>
        <v>3.93</v>
      </c>
      <c r="D72" s="205">
        <f t="shared" si="8"/>
        <v>2.85</v>
      </c>
      <c r="E72" s="205">
        <f t="shared" si="8"/>
        <v>2.06</v>
      </c>
      <c r="F72" s="205">
        <f t="shared" si="8"/>
        <v>-1.81</v>
      </c>
    </row>
    <row r="73" spans="1:71" s="135" customFormat="1" x14ac:dyDescent="0.25">
      <c r="A73" s="204">
        <v>2</v>
      </c>
      <c r="B73" s="205">
        <f t="shared" si="8"/>
        <v>7.11</v>
      </c>
      <c r="C73" s="205">
        <f t="shared" si="8"/>
        <v>4.58</v>
      </c>
      <c r="D73" s="205">
        <f t="shared" si="8"/>
        <v>4.8899999999999997</v>
      </c>
      <c r="E73" s="205">
        <f t="shared" si="8"/>
        <v>6.04</v>
      </c>
      <c r="F73" s="205">
        <f t="shared" si="8"/>
        <v>5.82</v>
      </c>
    </row>
    <row r="74" spans="1:71" s="135" customFormat="1" x14ac:dyDescent="0.25">
      <c r="A74" s="204">
        <v>3</v>
      </c>
      <c r="B74" s="205">
        <f t="shared" si="8"/>
        <v>9.35</v>
      </c>
      <c r="C74" s="205">
        <f t="shared" si="8"/>
        <v>8.1300000000000008</v>
      </c>
      <c r="D74" s="205">
        <f t="shared" si="8"/>
        <v>9.31</v>
      </c>
      <c r="E74" s="205">
        <f t="shared" si="8"/>
        <v>6.11</v>
      </c>
      <c r="F74" s="205">
        <f t="shared" si="8"/>
        <v>5.63</v>
      </c>
    </row>
    <row r="75" spans="1:71" s="135" customFormat="1" x14ac:dyDescent="0.25">
      <c r="A75" s="204">
        <v>4</v>
      </c>
      <c r="B75" s="205">
        <f t="shared" si="8"/>
        <v>4.21</v>
      </c>
      <c r="C75" s="205">
        <f t="shared" si="8"/>
        <v>5.58</v>
      </c>
      <c r="D75" s="205">
        <f t="shared" si="8"/>
        <v>4.1900000000000004</v>
      </c>
      <c r="E75" s="205">
        <f t="shared" si="8"/>
        <v>5.62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26.05</v>
      </c>
      <c r="C76" s="213">
        <f>SUM(C72:C75)</f>
        <v>22.22</v>
      </c>
      <c r="D76" s="213">
        <f>SUM(D72:D75)</f>
        <v>21.240000000000002</v>
      </c>
      <c r="E76" s="213">
        <f>AVERAGE(E72:E75)*4</f>
        <v>19.830000000000002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280380</v>
      </c>
      <c r="C79" s="270">
        <v>332577</v>
      </c>
      <c r="D79" s="270">
        <v>337712</v>
      </c>
      <c r="E79" s="270">
        <v>494448</v>
      </c>
      <c r="F79" s="270">
        <v>392375</v>
      </c>
      <c r="G79" s="270">
        <v>403788</v>
      </c>
      <c r="H79" s="270">
        <v>483938</v>
      </c>
      <c r="I79" s="270">
        <v>456101</v>
      </c>
      <c r="J79" s="270">
        <v>482572</v>
      </c>
      <c r="K79" s="270">
        <v>456852</v>
      </c>
      <c r="L79" s="270">
        <v>346301</v>
      </c>
      <c r="M79" s="270">
        <v>280431</v>
      </c>
      <c r="N79" s="270">
        <v>385764</v>
      </c>
      <c r="O79" s="270">
        <v>318250</v>
      </c>
      <c r="P79" s="270">
        <v>414042</v>
      </c>
      <c r="Q79" s="270">
        <v>413421</v>
      </c>
      <c r="R79" s="270">
        <v>416489</v>
      </c>
      <c r="S79" s="270">
        <v>485445</v>
      </c>
      <c r="T79" s="270">
        <v>662354</v>
      </c>
      <c r="U79" s="270">
        <v>504757</v>
      </c>
      <c r="V79" s="270">
        <v>692279</v>
      </c>
      <c r="W79" s="270">
        <v>536694</v>
      </c>
      <c r="X79" s="270">
        <v>438085</v>
      </c>
      <c r="Y79" s="270">
        <v>291181</v>
      </c>
      <c r="Z79" s="270">
        <v>458317</v>
      </c>
      <c r="AA79" s="270">
        <v>313654</v>
      </c>
      <c r="AB79" s="270">
        <v>465310</v>
      </c>
      <c r="AC79" s="270">
        <v>469101</v>
      </c>
      <c r="AD79" s="270">
        <v>463841</v>
      </c>
      <c r="AE79" s="270">
        <v>552351</v>
      </c>
      <c r="AF79" s="270">
        <v>643674</v>
      </c>
      <c r="AG79" s="270">
        <v>601492</v>
      </c>
      <c r="AH79" s="270">
        <v>684719</v>
      </c>
      <c r="AI79" s="270">
        <v>549348</v>
      </c>
      <c r="AJ79" s="270">
        <v>561560</v>
      </c>
      <c r="AK79" s="270">
        <v>484405</v>
      </c>
      <c r="AL79" s="270">
        <v>471929</v>
      </c>
      <c r="AM79" s="270">
        <v>425799</v>
      </c>
      <c r="AN79" s="270">
        <v>386138</v>
      </c>
      <c r="AO79" s="270">
        <v>449152</v>
      </c>
      <c r="AP79" s="270">
        <v>477332</v>
      </c>
      <c r="AQ79" s="270">
        <v>668924</v>
      </c>
      <c r="AR79" s="270">
        <v>479482</v>
      </c>
      <c r="AS79" s="270">
        <v>576727</v>
      </c>
      <c r="AT79" s="270">
        <v>682400</v>
      </c>
      <c r="AU79" s="270">
        <v>517325</v>
      </c>
      <c r="AV79" s="270">
        <v>470991</v>
      </c>
      <c r="AW79" s="270">
        <v>411244</v>
      </c>
      <c r="AX79" s="270">
        <v>388359</v>
      </c>
      <c r="AY79" s="270">
        <v>436402</v>
      </c>
      <c r="AZ79" s="270">
        <v>400764</v>
      </c>
      <c r="BA79" s="270">
        <v>497559</v>
      </c>
      <c r="BB79" s="270">
        <v>543489</v>
      </c>
      <c r="BC79" s="270">
        <v>556166</v>
      </c>
      <c r="BD79" s="270">
        <v>706782</v>
      </c>
      <c r="BE79" s="270">
        <v>580708</v>
      </c>
      <c r="BF79" s="270">
        <v>560514</v>
      </c>
      <c r="BG79" s="270">
        <v>446853</v>
      </c>
      <c r="BH79" s="270">
        <v>452499</v>
      </c>
      <c r="BI79" s="270">
        <v>469241</v>
      </c>
      <c r="BJ79" s="270">
        <v>316407</v>
      </c>
      <c r="BK79" s="270">
        <v>296245</v>
      </c>
      <c r="BL79" s="270">
        <v>360873</v>
      </c>
      <c r="BM79" s="270">
        <v>478867</v>
      </c>
      <c r="BN79" s="270">
        <v>475697</v>
      </c>
      <c r="BO79" s="270">
        <v>728976</v>
      </c>
      <c r="BP79" s="270">
        <v>665966</v>
      </c>
      <c r="BQ79" s="270">
        <v>683565</v>
      </c>
      <c r="BR79" s="270">
        <v>433809</v>
      </c>
      <c r="BS79" s="270">
        <v>468019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1.44</v>
      </c>
      <c r="C82" s="72">
        <v>3.72</v>
      </c>
      <c r="D82" s="72">
        <v>4.34</v>
      </c>
      <c r="E82" s="72">
        <v>2.37</v>
      </c>
      <c r="F82" s="72">
        <v>2.76</v>
      </c>
      <c r="G82" s="72">
        <v>3.42</v>
      </c>
      <c r="H82" s="72">
        <v>4.54</v>
      </c>
      <c r="I82" s="72">
        <v>2.46</v>
      </c>
      <c r="J82" s="72">
        <v>2.4500000000000002</v>
      </c>
      <c r="K82" s="72">
        <v>2.76</v>
      </c>
      <c r="L82" s="72">
        <v>4.88</v>
      </c>
      <c r="M82" s="72">
        <v>3.61</v>
      </c>
      <c r="N82" s="72">
        <v>1.91</v>
      </c>
      <c r="O82" s="72">
        <v>3.2</v>
      </c>
      <c r="P82" s="72">
        <v>6.15</v>
      </c>
      <c r="Q82" s="72">
        <v>2.93</v>
      </c>
      <c r="R82" s="72">
        <v>1.46</v>
      </c>
      <c r="S82" s="72">
        <v>4.25</v>
      </c>
      <c r="T82" s="72">
        <v>4.26</v>
      </c>
      <c r="U82" s="72">
        <v>4.0999999999999996</v>
      </c>
      <c r="V82" s="72">
        <v>-1.37</v>
      </c>
      <c r="W82" s="72">
        <v>4.1100000000000003</v>
      </c>
      <c r="X82" s="72">
        <v>3.79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43.76</v>
      </c>
      <c r="C85" s="72">
        <v>43.17</v>
      </c>
      <c r="D85" s="72">
        <v>47.24</v>
      </c>
      <c r="E85" s="72">
        <v>49.77</v>
      </c>
      <c r="F85" s="72">
        <v>52.38</v>
      </c>
      <c r="G85" s="72">
        <v>48.72</v>
      </c>
      <c r="H85" s="72">
        <v>50.98</v>
      </c>
      <c r="I85" s="72">
        <v>61.35</v>
      </c>
      <c r="J85" s="72">
        <v>63.7</v>
      </c>
      <c r="K85" s="72">
        <v>57.28</v>
      </c>
      <c r="L85" s="72">
        <v>62.47</v>
      </c>
      <c r="M85" s="72">
        <v>66.760000000000005</v>
      </c>
      <c r="N85" s="72">
        <v>68.59</v>
      </c>
      <c r="O85" s="72">
        <v>62.67</v>
      </c>
      <c r="P85" s="72">
        <v>69.209999999999994</v>
      </c>
      <c r="Q85" s="72">
        <v>71.72</v>
      </c>
      <c r="R85" s="72">
        <v>72.930000000000007</v>
      </c>
      <c r="S85" s="72">
        <v>67.349999999999994</v>
      </c>
      <c r="T85" s="72">
        <v>71.260000000000005</v>
      </c>
      <c r="U85" s="72">
        <v>75.209999999999994</v>
      </c>
      <c r="V85" s="72">
        <v>73.150000000000006</v>
      </c>
      <c r="W85" s="72">
        <v>67.97</v>
      </c>
      <c r="X85" s="72">
        <v>70.38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1019843</v>
      </c>
      <c r="C88" s="273">
        <v>1367324</v>
      </c>
      <c r="D88" s="273">
        <v>1513551</v>
      </c>
      <c r="E88" s="273">
        <v>1150896</v>
      </c>
      <c r="F88" s="273">
        <v>1117902</v>
      </c>
      <c r="G88" s="273">
        <v>1315400</v>
      </c>
      <c r="H88" s="273">
        <v>1859498</v>
      </c>
      <c r="I88" s="273">
        <v>1262276</v>
      </c>
      <c r="J88" s="273">
        <v>1237281</v>
      </c>
      <c r="K88" s="273">
        <v>1489637</v>
      </c>
      <c r="L88" s="273">
        <v>1925540</v>
      </c>
      <c r="M88" s="273">
        <v>1593908</v>
      </c>
      <c r="N88" s="273">
        <v>1283866</v>
      </c>
      <c r="O88" s="273">
        <v>1595408</v>
      </c>
      <c r="P88" s="273">
        <v>1738608</v>
      </c>
      <c r="Q88" s="273">
        <v>1399560</v>
      </c>
      <c r="R88" s="273">
        <v>1225525</v>
      </c>
      <c r="S88" s="273">
        <v>1597213</v>
      </c>
      <c r="T88" s="273">
        <v>1848005</v>
      </c>
      <c r="U88" s="273">
        <v>1368593</v>
      </c>
      <c r="V88" s="273">
        <v>973525</v>
      </c>
      <c r="W88" s="273">
        <v>1687803</v>
      </c>
      <c r="X88" s="273">
        <v>1779076</v>
      </c>
    </row>
    <row r="89" spans="1:25" ht="14.25" thickBot="1" x14ac:dyDescent="0.3">
      <c r="A89" s="250" t="s">
        <v>4</v>
      </c>
      <c r="B89" s="275">
        <v>232445</v>
      </c>
      <c r="C89" s="275">
        <v>332356</v>
      </c>
      <c r="D89" s="275">
        <v>384531</v>
      </c>
      <c r="E89" s="275">
        <v>283509</v>
      </c>
      <c r="F89" s="275">
        <v>253586</v>
      </c>
      <c r="G89" s="275">
        <v>333665</v>
      </c>
      <c r="H89" s="275">
        <v>485177</v>
      </c>
      <c r="I89" s="275">
        <v>313886</v>
      </c>
      <c r="J89" s="275">
        <v>277227</v>
      </c>
      <c r="K89" s="275">
        <v>368589</v>
      </c>
      <c r="L89" s="275">
        <v>503479</v>
      </c>
      <c r="M89" s="275">
        <v>363181</v>
      </c>
      <c r="N89" s="275">
        <v>298695</v>
      </c>
      <c r="O89" s="275">
        <v>418429</v>
      </c>
      <c r="P89" s="275">
        <v>467873</v>
      </c>
      <c r="Q89" s="275">
        <v>363669</v>
      </c>
      <c r="R89" s="275">
        <v>328111</v>
      </c>
      <c r="S89" s="275">
        <v>454907</v>
      </c>
      <c r="T89" s="275">
        <v>517276</v>
      </c>
      <c r="U89" s="275">
        <v>373011</v>
      </c>
      <c r="V89" s="275">
        <v>234546</v>
      </c>
      <c r="W89" s="275">
        <v>442326</v>
      </c>
      <c r="X89" s="275">
        <v>472325</v>
      </c>
    </row>
    <row r="90" spans="1:25" ht="14.25" thickBot="1" x14ac:dyDescent="0.3">
      <c r="A90" s="251" t="s">
        <v>5</v>
      </c>
      <c r="B90" s="273">
        <v>118991</v>
      </c>
      <c r="C90" s="273">
        <v>201369</v>
      </c>
      <c r="D90" s="273">
        <v>268166</v>
      </c>
      <c r="E90" s="273">
        <v>145542</v>
      </c>
      <c r="F90" s="273">
        <v>140121</v>
      </c>
      <c r="G90" s="273">
        <v>229749</v>
      </c>
      <c r="H90" s="273">
        <v>349335</v>
      </c>
      <c r="I90" s="273">
        <v>137313</v>
      </c>
      <c r="J90" s="273">
        <v>142664</v>
      </c>
      <c r="K90" s="273">
        <v>237532</v>
      </c>
      <c r="L90" s="273">
        <v>350614</v>
      </c>
      <c r="M90" s="273">
        <v>212296</v>
      </c>
      <c r="N90" s="273">
        <v>156135</v>
      </c>
      <c r="O90" s="273">
        <v>268597</v>
      </c>
      <c r="P90" s="273">
        <v>319759</v>
      </c>
      <c r="Q90" s="273">
        <v>192782</v>
      </c>
      <c r="R90" s="273">
        <v>171400</v>
      </c>
      <c r="S90" s="273">
        <v>307842</v>
      </c>
      <c r="T90" s="273">
        <v>386010</v>
      </c>
      <c r="U90" s="273">
        <v>192939</v>
      </c>
      <c r="V90" s="273">
        <v>66582</v>
      </c>
      <c r="W90" s="273">
        <v>296001</v>
      </c>
      <c r="X90" s="273">
        <v>301393</v>
      </c>
    </row>
    <row r="91" spans="1:25" ht="14.25" thickBot="1" x14ac:dyDescent="0.3">
      <c r="A91" s="250" t="s">
        <v>6</v>
      </c>
      <c r="B91" s="275">
        <v>85198</v>
      </c>
      <c r="C91" s="275">
        <v>238962</v>
      </c>
      <c r="D91" s="275">
        <v>259680</v>
      </c>
      <c r="E91" s="275">
        <v>145324</v>
      </c>
      <c r="F91" s="275">
        <v>177593</v>
      </c>
      <c r="G91" s="275">
        <v>245137</v>
      </c>
      <c r="H91" s="275">
        <v>321847</v>
      </c>
      <c r="I91" s="275">
        <v>177918</v>
      </c>
      <c r="J91" s="275">
        <v>187301</v>
      </c>
      <c r="K91" s="275">
        <v>228011</v>
      </c>
      <c r="L91" s="275">
        <v>374678</v>
      </c>
      <c r="M91" s="275">
        <v>286789</v>
      </c>
      <c r="N91" s="275">
        <v>153496</v>
      </c>
      <c r="O91" s="275">
        <v>261262</v>
      </c>
      <c r="P91" s="275">
        <v>493942</v>
      </c>
      <c r="Q91" s="275">
        <v>228547</v>
      </c>
      <c r="R91" s="275">
        <v>123634</v>
      </c>
      <c r="S91" s="275">
        <v>359101</v>
      </c>
      <c r="T91" s="275">
        <v>329306</v>
      </c>
      <c r="U91" s="275">
        <v>295864</v>
      </c>
      <c r="V91" s="275">
        <v>-84927</v>
      </c>
      <c r="W91" s="275">
        <v>324167</v>
      </c>
      <c r="X91" s="275">
        <v>295291</v>
      </c>
    </row>
    <row r="92" spans="1:25" ht="14.25" thickBot="1" x14ac:dyDescent="0.3">
      <c r="A92" s="251" t="s">
        <v>7</v>
      </c>
      <c r="B92" s="273">
        <v>69324</v>
      </c>
      <c r="C92" s="273">
        <v>179643</v>
      </c>
      <c r="D92" s="273">
        <v>216624</v>
      </c>
      <c r="E92" s="273">
        <v>119652</v>
      </c>
      <c r="F92" s="273">
        <v>143743</v>
      </c>
      <c r="G92" s="273">
        <v>187794</v>
      </c>
      <c r="H92" s="273">
        <v>249834</v>
      </c>
      <c r="I92" s="273">
        <v>137808</v>
      </c>
      <c r="J92" s="273">
        <v>150335</v>
      </c>
      <c r="K92" s="273">
        <v>169430</v>
      </c>
      <c r="L92" s="273">
        <v>297318</v>
      </c>
      <c r="M92" s="273">
        <v>220227</v>
      </c>
      <c r="N92" s="273">
        <v>117991</v>
      </c>
      <c r="O92" s="273">
        <v>196009</v>
      </c>
      <c r="P92" s="273">
        <v>374361</v>
      </c>
      <c r="Q92" s="273">
        <v>180244</v>
      </c>
      <c r="R92" s="273">
        <v>91106</v>
      </c>
      <c r="S92" s="273">
        <v>258568</v>
      </c>
      <c r="T92" s="273">
        <v>258310</v>
      </c>
      <c r="U92" s="273">
        <v>250688</v>
      </c>
      <c r="V92" s="273">
        <v>-81845</v>
      </c>
      <c r="W92" s="273">
        <v>250201</v>
      </c>
      <c r="X92" s="273">
        <v>237515</v>
      </c>
    </row>
    <row r="93" spans="1:25" ht="26.25" thickBot="1" x14ac:dyDescent="0.3">
      <c r="A93" s="252" t="s">
        <v>8</v>
      </c>
      <c r="B93" s="276">
        <v>67970</v>
      </c>
      <c r="C93" s="276">
        <v>181414</v>
      </c>
      <c r="D93" s="276">
        <v>215982</v>
      </c>
      <c r="E93" s="276">
        <v>118997</v>
      </c>
      <c r="F93" s="276">
        <v>142691</v>
      </c>
      <c r="G93" s="276">
        <v>185444</v>
      </c>
      <c r="H93" s="276">
        <v>246228</v>
      </c>
      <c r="I93" s="276">
        <v>133769</v>
      </c>
      <c r="J93" s="276">
        <v>148599</v>
      </c>
      <c r="K93" s="276">
        <v>167159</v>
      </c>
      <c r="L93" s="276">
        <v>295160</v>
      </c>
      <c r="M93" s="276">
        <v>218428</v>
      </c>
      <c r="N93" s="276">
        <v>115891</v>
      </c>
      <c r="O93" s="276">
        <v>193352</v>
      </c>
      <c r="P93" s="276">
        <v>372352</v>
      </c>
      <c r="Q93" s="276">
        <v>177380</v>
      </c>
      <c r="R93" s="276">
        <v>88506</v>
      </c>
      <c r="S93" s="276">
        <v>256872</v>
      </c>
      <c r="T93" s="276">
        <v>257745</v>
      </c>
      <c r="U93" s="276">
        <v>248308</v>
      </c>
      <c r="V93" s="276">
        <v>-82756</v>
      </c>
      <c r="W93" s="276">
        <v>248638</v>
      </c>
      <c r="X93" s="276">
        <v>229498</v>
      </c>
    </row>
    <row r="94" spans="1:25" x14ac:dyDescent="0.25">
      <c r="A94" s="233" t="s">
        <v>365</v>
      </c>
      <c r="B94" s="253">
        <f>IF(B91="","",B91-B90)</f>
        <v>-33793</v>
      </c>
      <c r="C94" s="253">
        <f>IF(C91="","",C91-C90)</f>
        <v>37593</v>
      </c>
      <c r="D94" s="253">
        <f t="shared" ref="D94:Y94" si="9">IF(D91="","",D91-D90)</f>
        <v>-8486</v>
      </c>
      <c r="E94" s="253">
        <f t="shared" si="9"/>
        <v>-218</v>
      </c>
      <c r="F94" s="253">
        <f t="shared" si="9"/>
        <v>37472</v>
      </c>
      <c r="G94" s="253">
        <f t="shared" si="9"/>
        <v>15388</v>
      </c>
      <c r="H94" s="253">
        <f t="shared" si="9"/>
        <v>-27488</v>
      </c>
      <c r="I94" s="253">
        <f t="shared" si="9"/>
        <v>40605</v>
      </c>
      <c r="J94" s="253">
        <f t="shared" si="9"/>
        <v>44637</v>
      </c>
      <c r="K94" s="253">
        <f t="shared" si="9"/>
        <v>-9521</v>
      </c>
      <c r="L94" s="253">
        <f t="shared" si="9"/>
        <v>24064</v>
      </c>
      <c r="M94" s="253">
        <f t="shared" si="9"/>
        <v>74493</v>
      </c>
      <c r="N94" s="253">
        <f t="shared" si="9"/>
        <v>-2639</v>
      </c>
      <c r="O94" s="253">
        <f t="shared" si="9"/>
        <v>-7335</v>
      </c>
      <c r="P94" s="253">
        <f t="shared" si="9"/>
        <v>174183</v>
      </c>
      <c r="Q94" s="253">
        <f t="shared" si="9"/>
        <v>35765</v>
      </c>
      <c r="R94" s="253">
        <f t="shared" si="9"/>
        <v>-47766</v>
      </c>
      <c r="S94" s="253">
        <f t="shared" si="9"/>
        <v>51259</v>
      </c>
      <c r="T94" s="253">
        <f t="shared" si="9"/>
        <v>-56704</v>
      </c>
      <c r="U94" s="253">
        <f t="shared" si="9"/>
        <v>102925</v>
      </c>
      <c r="V94" s="253">
        <f t="shared" si="9"/>
        <v>-151509</v>
      </c>
      <c r="W94" s="253">
        <f t="shared" si="9"/>
        <v>28166</v>
      </c>
      <c r="X94" s="253">
        <f t="shared" si="9"/>
        <v>-6102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5051614</v>
      </c>
      <c r="C97" s="273">
        <v>5555076</v>
      </c>
      <c r="D97" s="273">
        <v>6246366</v>
      </c>
      <c r="E97" s="273">
        <v>6017442</v>
      </c>
      <c r="F97" s="273">
        <v>6039336</v>
      </c>
    </row>
    <row r="98" spans="1:24" ht="14.25" thickBot="1" x14ac:dyDescent="0.3">
      <c r="A98" s="225" t="s">
        <v>4</v>
      </c>
      <c r="B98" s="275">
        <v>1232841</v>
      </c>
      <c r="C98" s="275">
        <v>1386314</v>
      </c>
      <c r="D98" s="275">
        <v>1512476</v>
      </c>
      <c r="E98" s="275">
        <v>1548666</v>
      </c>
      <c r="F98" s="275">
        <v>1673305</v>
      </c>
    </row>
    <row r="99" spans="1:24" ht="14.25" thickBot="1" x14ac:dyDescent="0.3">
      <c r="A99" s="224" t="s">
        <v>5</v>
      </c>
      <c r="B99" s="273">
        <v>734068</v>
      </c>
      <c r="C99" s="273">
        <v>856518</v>
      </c>
      <c r="D99" s="273">
        <v>943106</v>
      </c>
      <c r="E99" s="273">
        <v>937273</v>
      </c>
      <c r="F99" s="273">
        <v>1058191</v>
      </c>
    </row>
    <row r="100" spans="1:24" ht="14.25" thickBot="1" x14ac:dyDescent="0.3">
      <c r="A100" s="225" t="s">
        <v>6</v>
      </c>
      <c r="B100" s="275">
        <v>729164</v>
      </c>
      <c r="C100" s="275">
        <v>922495</v>
      </c>
      <c r="D100" s="275">
        <v>1076779</v>
      </c>
      <c r="E100" s="275">
        <v>1137247</v>
      </c>
      <c r="F100" s="275">
        <v>1107905</v>
      </c>
    </row>
    <row r="101" spans="1:24" ht="14.25" thickBot="1" x14ac:dyDescent="0.3">
      <c r="A101" s="224" t="s">
        <v>7</v>
      </c>
      <c r="B101" s="273">
        <v>585243</v>
      </c>
      <c r="C101" s="273">
        <v>719179</v>
      </c>
      <c r="D101" s="273">
        <v>837310</v>
      </c>
      <c r="E101" s="273">
        <v>868605</v>
      </c>
      <c r="F101" s="273">
        <v>858672</v>
      </c>
    </row>
    <row r="102" spans="1:24" ht="14.25" thickBot="1" x14ac:dyDescent="0.3">
      <c r="A102" s="227" t="s">
        <v>8</v>
      </c>
      <c r="B102" s="276">
        <v>584363</v>
      </c>
      <c r="C102" s="276">
        <v>708132</v>
      </c>
      <c r="D102" s="276">
        <v>829346</v>
      </c>
      <c r="E102" s="276">
        <v>858975</v>
      </c>
      <c r="F102" s="276">
        <v>851431</v>
      </c>
    </row>
    <row r="103" spans="1:24" x14ac:dyDescent="0.25">
      <c r="A103" s="233" t="s">
        <v>262</v>
      </c>
      <c r="B103" s="234">
        <f>IF(OR(B102="",B102="無"),"",B102/B101)</f>
        <v>0.99849635108835133</v>
      </c>
      <c r="C103" s="234">
        <f>IF(OR(C102="",C102="無"),"",C102/C101)</f>
        <v>0.98463942912682378</v>
      </c>
      <c r="D103" s="234">
        <f>IF(OR(D102="",D102="無"),"",D102/D101)</f>
        <v>0.9904885884558885</v>
      </c>
      <c r="E103" s="234">
        <f>IF(OR(E102="",E102="無"),"",E102/E101)</f>
        <v>0.98891325746455527</v>
      </c>
      <c r="F103" s="234">
        <f>IF(OR(F102="",F102="無"),"",F102/F101)</f>
        <v>0.99156721076266607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761652</v>
      </c>
      <c r="C106" s="273">
        <v>964005</v>
      </c>
      <c r="D106" s="273">
        <v>1164864</v>
      </c>
      <c r="E106" s="273">
        <v>873340</v>
      </c>
      <c r="F106" s="273">
        <v>976255</v>
      </c>
      <c r="G106" s="273">
        <v>1053815</v>
      </c>
      <c r="H106" s="273">
        <v>971487</v>
      </c>
      <c r="I106" s="273">
        <v>2164306</v>
      </c>
      <c r="J106" s="273">
        <v>1821069</v>
      </c>
      <c r="K106" s="273">
        <v>1609786</v>
      </c>
      <c r="L106" s="273">
        <v>949717</v>
      </c>
      <c r="M106" s="273">
        <v>1587267</v>
      </c>
      <c r="N106" s="273">
        <v>1603665</v>
      </c>
      <c r="O106" s="273">
        <v>1527415</v>
      </c>
      <c r="P106" s="273">
        <v>1712664</v>
      </c>
      <c r="Q106" s="273">
        <v>2297958</v>
      </c>
      <c r="R106" s="273">
        <v>2604439</v>
      </c>
      <c r="S106" s="273">
        <v>2328927</v>
      </c>
      <c r="T106" s="273">
        <v>1996202</v>
      </c>
      <c r="U106" s="273">
        <v>2406498</v>
      </c>
      <c r="V106" s="273">
        <v>2392003</v>
      </c>
      <c r="W106" s="273">
        <v>2222966</v>
      </c>
      <c r="X106" s="273">
        <v>1909765</v>
      </c>
    </row>
    <row r="107" spans="1:24" ht="14.25" thickBot="1" x14ac:dyDescent="0.3">
      <c r="A107" s="225" t="s">
        <v>22</v>
      </c>
      <c r="B107" s="275">
        <v>1283</v>
      </c>
      <c r="C107" s="275">
        <v>80519</v>
      </c>
      <c r="D107" s="274">
        <v>0</v>
      </c>
      <c r="E107" s="275">
        <v>33005</v>
      </c>
      <c r="F107" s="275">
        <v>164017</v>
      </c>
      <c r="G107" s="275">
        <v>113853</v>
      </c>
      <c r="H107" s="275">
        <v>8740</v>
      </c>
      <c r="I107" s="275">
        <v>2423</v>
      </c>
      <c r="J107" s="275">
        <v>115344</v>
      </c>
      <c r="K107" s="275">
        <v>206198</v>
      </c>
      <c r="L107" s="275">
        <v>9112</v>
      </c>
      <c r="M107" s="275">
        <v>67992</v>
      </c>
      <c r="N107" s="275">
        <v>1941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139</v>
      </c>
      <c r="U107" s="275">
        <v>22308</v>
      </c>
      <c r="V107" s="275">
        <v>5722</v>
      </c>
      <c r="W107" s="275">
        <v>60341</v>
      </c>
      <c r="X107" s="275">
        <v>51141</v>
      </c>
    </row>
    <row r="108" spans="1:24" ht="14.25" thickBot="1" x14ac:dyDescent="0.3">
      <c r="A108" s="224" t="s">
        <v>263</v>
      </c>
      <c r="B108" s="273">
        <v>872874</v>
      </c>
      <c r="C108" s="273">
        <v>1060483</v>
      </c>
      <c r="D108" s="273">
        <v>1186731</v>
      </c>
      <c r="E108" s="273">
        <v>1162808</v>
      </c>
      <c r="F108" s="273">
        <v>823318</v>
      </c>
      <c r="G108" s="273">
        <v>988206</v>
      </c>
      <c r="H108" s="273">
        <v>1594870</v>
      </c>
      <c r="I108" s="273">
        <v>1191800</v>
      </c>
      <c r="J108" s="273">
        <v>961933</v>
      </c>
      <c r="K108" s="273">
        <v>1202013</v>
      </c>
      <c r="L108" s="273">
        <v>1898256</v>
      </c>
      <c r="M108" s="273">
        <v>1423242</v>
      </c>
      <c r="N108" s="273">
        <v>1254950</v>
      </c>
      <c r="O108" s="273">
        <v>1625286</v>
      </c>
      <c r="P108" s="273">
        <v>1871626</v>
      </c>
      <c r="Q108" s="273">
        <v>1252482</v>
      </c>
      <c r="R108" s="273">
        <v>1020343</v>
      </c>
      <c r="S108" s="273">
        <v>1511123</v>
      </c>
      <c r="T108" s="273">
        <v>1846536</v>
      </c>
      <c r="U108" s="273">
        <v>1409769</v>
      </c>
      <c r="V108" s="273">
        <v>929195</v>
      </c>
      <c r="W108" s="273">
        <v>1601310</v>
      </c>
      <c r="X108" s="273">
        <v>1852956</v>
      </c>
    </row>
    <row r="109" spans="1:24" ht="14.25" thickBot="1" x14ac:dyDescent="0.3">
      <c r="A109" s="225" t="s">
        <v>264</v>
      </c>
      <c r="B109" s="275">
        <v>557193</v>
      </c>
      <c r="C109" s="275">
        <v>528034</v>
      </c>
      <c r="D109" s="275">
        <v>519632</v>
      </c>
      <c r="E109" s="275">
        <v>467546</v>
      </c>
      <c r="F109" s="275">
        <v>523338</v>
      </c>
      <c r="G109" s="275">
        <v>657347</v>
      </c>
      <c r="H109" s="275">
        <v>478720</v>
      </c>
      <c r="I109" s="275">
        <v>546499</v>
      </c>
      <c r="J109" s="275">
        <v>518585</v>
      </c>
      <c r="K109" s="275">
        <v>598775</v>
      </c>
      <c r="L109" s="275">
        <v>588098</v>
      </c>
      <c r="M109" s="275">
        <v>526529</v>
      </c>
      <c r="N109" s="275">
        <v>660701</v>
      </c>
      <c r="O109" s="275">
        <v>536665</v>
      </c>
      <c r="P109" s="275">
        <v>469204</v>
      </c>
      <c r="Q109" s="275">
        <v>469037</v>
      </c>
      <c r="R109" s="275">
        <v>615491</v>
      </c>
      <c r="S109" s="275">
        <v>585943</v>
      </c>
      <c r="T109" s="275">
        <v>469240</v>
      </c>
      <c r="U109" s="275">
        <v>461371</v>
      </c>
      <c r="V109" s="275">
        <v>707572</v>
      </c>
      <c r="W109" s="275">
        <v>702464</v>
      </c>
      <c r="X109" s="275">
        <v>572920</v>
      </c>
    </row>
    <row r="110" spans="1:24" ht="14.25" thickBot="1" x14ac:dyDescent="0.3">
      <c r="A110" s="224" t="s">
        <v>23</v>
      </c>
      <c r="B110" s="273">
        <v>81613</v>
      </c>
      <c r="C110" s="273">
        <v>95897</v>
      </c>
      <c r="D110" s="273">
        <v>112141</v>
      </c>
      <c r="E110" s="273">
        <v>105736</v>
      </c>
      <c r="F110" s="273">
        <v>97006</v>
      </c>
      <c r="G110" s="273">
        <v>91002</v>
      </c>
      <c r="H110" s="273">
        <v>120798</v>
      </c>
      <c r="I110" s="273">
        <v>87879</v>
      </c>
      <c r="J110" s="273">
        <v>112965</v>
      </c>
      <c r="K110" s="273">
        <v>151229</v>
      </c>
      <c r="L110" s="273">
        <v>148917</v>
      </c>
      <c r="M110" s="273">
        <v>177338</v>
      </c>
      <c r="N110" s="273">
        <v>131128</v>
      </c>
      <c r="O110" s="273">
        <v>150126</v>
      </c>
      <c r="P110" s="273">
        <v>167422</v>
      </c>
      <c r="Q110" s="273">
        <v>137669</v>
      </c>
      <c r="R110" s="273">
        <v>97856</v>
      </c>
      <c r="S110" s="273">
        <v>127816</v>
      </c>
      <c r="T110" s="273">
        <v>121445</v>
      </c>
      <c r="U110" s="273">
        <v>127949</v>
      </c>
      <c r="V110" s="273">
        <v>123202</v>
      </c>
      <c r="W110" s="273">
        <v>164722</v>
      </c>
      <c r="X110" s="273">
        <v>93201</v>
      </c>
    </row>
    <row r="111" spans="1:24" ht="14.25" thickBot="1" x14ac:dyDescent="0.3">
      <c r="A111" s="225" t="s">
        <v>24</v>
      </c>
      <c r="B111" s="275">
        <v>2274615</v>
      </c>
      <c r="C111" s="275">
        <v>2728938</v>
      </c>
      <c r="D111" s="275">
        <v>2983368</v>
      </c>
      <c r="E111" s="275">
        <v>2642435</v>
      </c>
      <c r="F111" s="275">
        <v>2583934</v>
      </c>
      <c r="G111" s="275">
        <v>2904223</v>
      </c>
      <c r="H111" s="275">
        <v>3174615</v>
      </c>
      <c r="I111" s="275">
        <v>3992907</v>
      </c>
      <c r="J111" s="275">
        <v>3529896</v>
      </c>
      <c r="K111" s="275">
        <v>3768001</v>
      </c>
      <c r="L111" s="275">
        <v>3594100</v>
      </c>
      <c r="M111" s="275">
        <v>3782368</v>
      </c>
      <c r="N111" s="275">
        <v>3652385</v>
      </c>
      <c r="O111" s="275">
        <v>3839492</v>
      </c>
      <c r="P111" s="275">
        <v>4220916</v>
      </c>
      <c r="Q111" s="275">
        <v>4157146</v>
      </c>
      <c r="R111" s="275">
        <v>4338129</v>
      </c>
      <c r="S111" s="275">
        <v>4553809</v>
      </c>
      <c r="T111" s="275">
        <v>4433562</v>
      </c>
      <c r="U111" s="275">
        <v>4427895</v>
      </c>
      <c r="V111" s="275">
        <v>4157694</v>
      </c>
      <c r="W111" s="275">
        <v>4751803</v>
      </c>
      <c r="X111" s="275">
        <v>4479983</v>
      </c>
    </row>
    <row r="112" spans="1:24" ht="14.25" thickBot="1" x14ac:dyDescent="0.3">
      <c r="A112" s="224" t="s">
        <v>25</v>
      </c>
      <c r="B112" s="273">
        <v>12157</v>
      </c>
      <c r="C112" s="273">
        <v>5440</v>
      </c>
      <c r="D112" s="273">
        <v>5440</v>
      </c>
      <c r="E112" s="68">
        <v>630</v>
      </c>
      <c r="F112" s="273">
        <v>2789</v>
      </c>
      <c r="G112" s="273">
        <v>1823</v>
      </c>
      <c r="H112" s="273">
        <v>2344</v>
      </c>
      <c r="I112" s="273">
        <v>2375</v>
      </c>
      <c r="J112" s="68">
        <v>850</v>
      </c>
      <c r="K112" s="68">
        <v>210</v>
      </c>
      <c r="L112" s="68">
        <v>210</v>
      </c>
      <c r="M112" s="273">
        <v>1668</v>
      </c>
      <c r="N112" s="273">
        <v>1654</v>
      </c>
      <c r="O112" s="68">
        <v>200</v>
      </c>
      <c r="P112" s="273">
        <v>19296</v>
      </c>
      <c r="Q112" s="273">
        <v>19296</v>
      </c>
      <c r="R112" s="273">
        <v>19296</v>
      </c>
      <c r="S112" s="273">
        <v>19296</v>
      </c>
      <c r="T112" s="273">
        <v>80765</v>
      </c>
      <c r="U112" s="273">
        <v>63902</v>
      </c>
      <c r="V112" s="273">
        <v>78318</v>
      </c>
      <c r="W112" s="273">
        <v>77131</v>
      </c>
      <c r="X112" s="273">
        <v>76384</v>
      </c>
    </row>
    <row r="113" spans="1:24" ht="14.25" thickBot="1" x14ac:dyDescent="0.3">
      <c r="A113" s="225" t="s">
        <v>26</v>
      </c>
      <c r="B113" s="275">
        <v>907520</v>
      </c>
      <c r="C113" s="275">
        <v>973547</v>
      </c>
      <c r="D113" s="275">
        <v>1004179</v>
      </c>
      <c r="E113" s="275">
        <v>911033</v>
      </c>
      <c r="F113" s="275">
        <v>966370</v>
      </c>
      <c r="G113" s="275">
        <v>1059855</v>
      </c>
      <c r="H113" s="275">
        <v>1135639</v>
      </c>
      <c r="I113" s="275">
        <v>1148443</v>
      </c>
      <c r="J113" s="275">
        <v>1290593</v>
      </c>
      <c r="K113" s="275">
        <v>1369262</v>
      </c>
      <c r="L113" s="275">
        <v>1441609</v>
      </c>
      <c r="M113" s="275">
        <v>1431470</v>
      </c>
      <c r="N113" s="275">
        <v>1500627</v>
      </c>
      <c r="O113" s="275">
        <v>1480206</v>
      </c>
      <c r="P113" s="275">
        <v>1441594</v>
      </c>
      <c r="Q113" s="275">
        <v>1420644</v>
      </c>
      <c r="R113" s="275">
        <v>1416557</v>
      </c>
      <c r="S113" s="275">
        <v>1408218</v>
      </c>
      <c r="T113" s="275">
        <v>1381231</v>
      </c>
      <c r="U113" s="275">
        <v>1381370</v>
      </c>
      <c r="V113" s="275">
        <v>1377594</v>
      </c>
      <c r="W113" s="275">
        <v>1408636</v>
      </c>
      <c r="X113" s="275">
        <v>1344503</v>
      </c>
    </row>
    <row r="114" spans="1:24" ht="14.25" thickBot="1" x14ac:dyDescent="0.3">
      <c r="A114" s="224" t="s">
        <v>27</v>
      </c>
      <c r="B114" s="273">
        <v>80265</v>
      </c>
      <c r="C114" s="273">
        <v>80843</v>
      </c>
      <c r="D114" s="273">
        <v>79601</v>
      </c>
      <c r="E114" s="273">
        <v>192557</v>
      </c>
      <c r="F114" s="273">
        <v>239539</v>
      </c>
      <c r="G114" s="273">
        <v>232199</v>
      </c>
      <c r="H114" s="273">
        <v>223266</v>
      </c>
      <c r="I114" s="273">
        <v>227185</v>
      </c>
      <c r="J114" s="273">
        <v>244355</v>
      </c>
      <c r="K114" s="273">
        <v>248852</v>
      </c>
      <c r="L114" s="273">
        <v>276243</v>
      </c>
      <c r="M114" s="273">
        <v>267351</v>
      </c>
      <c r="N114" s="273">
        <v>277004</v>
      </c>
      <c r="O114" s="273">
        <v>267821</v>
      </c>
      <c r="P114" s="273">
        <v>282791</v>
      </c>
      <c r="Q114" s="273">
        <v>290086</v>
      </c>
      <c r="R114" s="273">
        <v>303626</v>
      </c>
      <c r="S114" s="273">
        <v>348004</v>
      </c>
      <c r="T114" s="273">
        <v>365321</v>
      </c>
      <c r="U114" s="273">
        <v>370601</v>
      </c>
      <c r="V114" s="273">
        <v>406199</v>
      </c>
      <c r="W114" s="273">
        <v>373741</v>
      </c>
      <c r="X114" s="273">
        <v>363859</v>
      </c>
    </row>
    <row r="115" spans="1:24" ht="14.25" thickBot="1" x14ac:dyDescent="0.3">
      <c r="A115" s="225" t="s">
        <v>265</v>
      </c>
      <c r="B115" s="276">
        <v>3274557</v>
      </c>
      <c r="C115" s="276">
        <v>3788768</v>
      </c>
      <c r="D115" s="276">
        <v>4072588</v>
      </c>
      <c r="E115" s="276">
        <v>3746655</v>
      </c>
      <c r="F115" s="276">
        <v>3792632</v>
      </c>
      <c r="G115" s="276">
        <v>4198100</v>
      </c>
      <c r="H115" s="276">
        <v>4535864</v>
      </c>
      <c r="I115" s="276">
        <v>5370910</v>
      </c>
      <c r="J115" s="276">
        <v>5065694</v>
      </c>
      <c r="K115" s="276">
        <v>5386325</v>
      </c>
      <c r="L115" s="276">
        <v>5312162</v>
      </c>
      <c r="M115" s="276">
        <v>5482857</v>
      </c>
      <c r="N115" s="276">
        <v>5431670</v>
      </c>
      <c r="O115" s="276">
        <v>5587719</v>
      </c>
      <c r="P115" s="276">
        <v>5964597</v>
      </c>
      <c r="Q115" s="276">
        <v>5887172</v>
      </c>
      <c r="R115" s="276">
        <v>6077608</v>
      </c>
      <c r="S115" s="276">
        <v>6329327</v>
      </c>
      <c r="T115" s="276">
        <v>6260879</v>
      </c>
      <c r="U115" s="276">
        <v>6243768</v>
      </c>
      <c r="V115" s="276">
        <v>6019805</v>
      </c>
      <c r="W115" s="276">
        <v>6611311</v>
      </c>
      <c r="X115" s="276">
        <v>6264729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44295</v>
      </c>
      <c r="C118" s="273">
        <v>29900</v>
      </c>
      <c r="D118" s="273">
        <v>249342</v>
      </c>
      <c r="E118" s="273">
        <v>155000</v>
      </c>
      <c r="F118" s="68">
        <v>0</v>
      </c>
      <c r="G118" s="68">
        <v>0</v>
      </c>
      <c r="H118" s="273">
        <v>270000</v>
      </c>
      <c r="I118" s="273">
        <v>280000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273">
        <v>400000</v>
      </c>
      <c r="Q118" s="273">
        <v>230000</v>
      </c>
      <c r="R118" s="273">
        <v>270000</v>
      </c>
      <c r="S118" s="273">
        <v>208083</v>
      </c>
      <c r="T118" s="273">
        <v>436895</v>
      </c>
      <c r="U118" s="273">
        <v>311395</v>
      </c>
      <c r="V118" s="273">
        <v>281680</v>
      </c>
      <c r="W118" s="273">
        <v>372450</v>
      </c>
      <c r="X118" s="273">
        <v>465959</v>
      </c>
    </row>
    <row r="119" spans="1:24" ht="14.25" thickBot="1" x14ac:dyDescent="0.3">
      <c r="A119" s="225" t="s">
        <v>29</v>
      </c>
      <c r="B119" s="275">
        <v>100000</v>
      </c>
      <c r="C119" s="274">
        <v>0</v>
      </c>
      <c r="D119" s="275">
        <v>150000</v>
      </c>
      <c r="E119" s="274">
        <v>0</v>
      </c>
      <c r="F119" s="274">
        <v>0</v>
      </c>
      <c r="G119" s="274">
        <v>0</v>
      </c>
      <c r="H119" s="275">
        <v>110000</v>
      </c>
      <c r="I119" s="275">
        <v>100000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5">
        <v>30000</v>
      </c>
      <c r="Q119" s="274">
        <v>0</v>
      </c>
      <c r="R119" s="275">
        <v>80000</v>
      </c>
      <c r="S119" s="275">
        <v>180000</v>
      </c>
      <c r="T119" s="275">
        <v>180000</v>
      </c>
      <c r="U119" s="275">
        <v>80000</v>
      </c>
      <c r="V119" s="275">
        <v>100000</v>
      </c>
      <c r="W119" s="275">
        <v>210000</v>
      </c>
      <c r="X119" s="275">
        <v>230000</v>
      </c>
    </row>
    <row r="120" spans="1:24" ht="14.25" thickBot="1" x14ac:dyDescent="0.3">
      <c r="A120" s="224" t="s">
        <v>266</v>
      </c>
      <c r="B120" s="273">
        <v>701470</v>
      </c>
      <c r="C120" s="273">
        <v>716664</v>
      </c>
      <c r="D120" s="273">
        <v>835526</v>
      </c>
      <c r="E120" s="273">
        <v>565060</v>
      </c>
      <c r="F120" s="273">
        <v>586954</v>
      </c>
      <c r="G120" s="273">
        <v>791349</v>
      </c>
      <c r="H120" s="273">
        <v>854953</v>
      </c>
      <c r="I120" s="273">
        <v>691409</v>
      </c>
      <c r="J120" s="273">
        <v>624683</v>
      </c>
      <c r="K120" s="273">
        <v>779011</v>
      </c>
      <c r="L120" s="273">
        <v>920995</v>
      </c>
      <c r="M120" s="273">
        <v>774907</v>
      </c>
      <c r="N120" s="273">
        <v>682394</v>
      </c>
      <c r="O120" s="273">
        <v>696605</v>
      </c>
      <c r="P120" s="273">
        <v>762121</v>
      </c>
      <c r="Q120" s="273">
        <v>651320</v>
      </c>
      <c r="R120" s="273">
        <v>670169</v>
      </c>
      <c r="S120" s="273">
        <v>674290</v>
      </c>
      <c r="T120" s="273">
        <v>749465</v>
      </c>
      <c r="U120" s="273">
        <v>648701</v>
      </c>
      <c r="V120" s="273">
        <v>642145</v>
      </c>
      <c r="W120" s="273">
        <v>799734</v>
      </c>
      <c r="X120" s="273">
        <v>748752</v>
      </c>
    </row>
    <row r="121" spans="1:24" ht="14.25" thickBot="1" x14ac:dyDescent="0.3">
      <c r="A121" s="225" t="s">
        <v>267</v>
      </c>
      <c r="B121" s="275">
        <v>14670</v>
      </c>
      <c r="C121" s="274">
        <v>0</v>
      </c>
      <c r="D121" s="274">
        <v>0</v>
      </c>
      <c r="E121" s="275">
        <v>20251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223004</v>
      </c>
      <c r="C123" s="275">
        <v>660844</v>
      </c>
      <c r="D123" s="275">
        <v>238351</v>
      </c>
      <c r="E123" s="275">
        <v>276482</v>
      </c>
      <c r="F123" s="275">
        <v>279787</v>
      </c>
      <c r="G123" s="275">
        <v>662724</v>
      </c>
      <c r="H123" s="275">
        <v>295266</v>
      </c>
      <c r="I123" s="275">
        <v>349674</v>
      </c>
      <c r="J123" s="275">
        <v>346135</v>
      </c>
      <c r="K123" s="275">
        <v>902517</v>
      </c>
      <c r="L123" s="275">
        <v>354427</v>
      </c>
      <c r="M123" s="275">
        <v>417675</v>
      </c>
      <c r="N123" s="275">
        <v>379111</v>
      </c>
      <c r="O123" s="275">
        <v>880049</v>
      </c>
      <c r="P123" s="275">
        <v>338781</v>
      </c>
      <c r="Q123" s="275">
        <v>406143</v>
      </c>
      <c r="R123" s="275">
        <v>383785</v>
      </c>
      <c r="S123" s="275">
        <v>929967</v>
      </c>
      <c r="T123" s="275">
        <v>319446</v>
      </c>
      <c r="U123" s="275">
        <v>408102</v>
      </c>
      <c r="V123" s="275">
        <v>331260</v>
      </c>
      <c r="W123" s="275">
        <v>873833</v>
      </c>
      <c r="X123" s="275">
        <v>332369</v>
      </c>
    </row>
    <row r="124" spans="1:24" ht="14.25" thickBot="1" x14ac:dyDescent="0.3">
      <c r="A124" s="224" t="s">
        <v>268</v>
      </c>
      <c r="B124" s="273">
        <v>1083439</v>
      </c>
      <c r="C124" s="273">
        <v>1407408</v>
      </c>
      <c r="D124" s="273">
        <v>1473219</v>
      </c>
      <c r="E124" s="273">
        <v>1016793</v>
      </c>
      <c r="F124" s="273">
        <v>866741</v>
      </c>
      <c r="G124" s="273">
        <v>1454073</v>
      </c>
      <c r="H124" s="273">
        <v>1530219</v>
      </c>
      <c r="I124" s="273">
        <v>1421083</v>
      </c>
      <c r="J124" s="273">
        <v>970818</v>
      </c>
      <c r="K124" s="273">
        <v>1681528</v>
      </c>
      <c r="L124" s="273">
        <v>1275422</v>
      </c>
      <c r="M124" s="273">
        <v>1192582</v>
      </c>
      <c r="N124" s="273">
        <v>1061505</v>
      </c>
      <c r="O124" s="273">
        <v>1576654</v>
      </c>
      <c r="P124" s="273">
        <v>1530902</v>
      </c>
      <c r="Q124" s="273">
        <v>1287463</v>
      </c>
      <c r="R124" s="273">
        <v>1403954</v>
      </c>
      <c r="S124" s="273">
        <v>1992340</v>
      </c>
      <c r="T124" s="273">
        <v>1685806</v>
      </c>
      <c r="U124" s="273">
        <v>1448198</v>
      </c>
      <c r="V124" s="273">
        <v>1355085</v>
      </c>
      <c r="W124" s="273">
        <v>2256017</v>
      </c>
      <c r="X124" s="273">
        <v>1777080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187865</v>
      </c>
      <c r="G125" s="275">
        <v>197265</v>
      </c>
      <c r="H125" s="275">
        <v>206521</v>
      </c>
      <c r="I125" s="275">
        <v>197736</v>
      </c>
      <c r="J125" s="275">
        <v>198593</v>
      </c>
      <c r="K125" s="275">
        <v>204831</v>
      </c>
      <c r="L125" s="275">
        <v>220481</v>
      </c>
      <c r="M125" s="275">
        <v>212465</v>
      </c>
      <c r="N125" s="275">
        <v>179581</v>
      </c>
      <c r="O125" s="275">
        <v>187755</v>
      </c>
      <c r="P125" s="275">
        <v>213276</v>
      </c>
      <c r="Q125" s="275">
        <v>224528</v>
      </c>
      <c r="R125" s="275">
        <v>222526</v>
      </c>
      <c r="S125" s="275">
        <v>230553</v>
      </c>
      <c r="T125" s="275">
        <v>231649</v>
      </c>
      <c r="U125" s="275">
        <v>210664</v>
      </c>
      <c r="V125" s="275">
        <v>203396</v>
      </c>
      <c r="W125" s="275">
        <v>212830</v>
      </c>
      <c r="X125" s="275">
        <v>191160</v>
      </c>
    </row>
    <row r="126" spans="1:24" ht="14.25" thickBot="1" x14ac:dyDescent="0.3">
      <c r="A126" s="224" t="s">
        <v>33</v>
      </c>
      <c r="B126" s="273">
        <v>116515</v>
      </c>
      <c r="C126" s="273">
        <v>121906</v>
      </c>
      <c r="D126" s="273">
        <v>128661</v>
      </c>
      <c r="E126" s="273">
        <v>127970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1199954</v>
      </c>
      <c r="C127" s="275">
        <v>1529314</v>
      </c>
      <c r="D127" s="275">
        <v>1601880</v>
      </c>
      <c r="E127" s="275">
        <v>1144763</v>
      </c>
      <c r="F127" s="275">
        <v>1054606</v>
      </c>
      <c r="G127" s="275">
        <v>1651338</v>
      </c>
      <c r="H127" s="275">
        <v>1736740</v>
      </c>
      <c r="I127" s="275">
        <v>1618819</v>
      </c>
      <c r="J127" s="275">
        <v>1169411</v>
      </c>
      <c r="K127" s="275">
        <v>1886359</v>
      </c>
      <c r="L127" s="275">
        <v>1495903</v>
      </c>
      <c r="M127" s="275">
        <v>1405047</v>
      </c>
      <c r="N127" s="275">
        <v>1241086</v>
      </c>
      <c r="O127" s="275">
        <v>1764409</v>
      </c>
      <c r="P127" s="275">
        <v>1744178</v>
      </c>
      <c r="Q127" s="275">
        <v>1511991</v>
      </c>
      <c r="R127" s="275">
        <v>1626480</v>
      </c>
      <c r="S127" s="275">
        <v>2222893</v>
      </c>
      <c r="T127" s="275">
        <v>1917455</v>
      </c>
      <c r="U127" s="275">
        <v>1658862</v>
      </c>
      <c r="V127" s="275">
        <v>1558481</v>
      </c>
      <c r="W127" s="275">
        <v>2468847</v>
      </c>
      <c r="X127" s="275">
        <v>1968240</v>
      </c>
    </row>
    <row r="128" spans="1:24" ht="14.25" thickBot="1" x14ac:dyDescent="0.3">
      <c r="A128" s="224" t="s">
        <v>34</v>
      </c>
      <c r="B128" s="273">
        <v>2074603</v>
      </c>
      <c r="C128" s="273">
        <v>2259454</v>
      </c>
      <c r="D128" s="273">
        <v>2470708</v>
      </c>
      <c r="E128" s="273">
        <v>2601892</v>
      </c>
      <c r="F128" s="273">
        <v>2738026</v>
      </c>
      <c r="G128" s="273">
        <v>2546762</v>
      </c>
      <c r="H128" s="273">
        <v>2799124</v>
      </c>
      <c r="I128" s="273">
        <v>3752091</v>
      </c>
      <c r="J128" s="273">
        <v>3896283</v>
      </c>
      <c r="K128" s="273">
        <v>3499966</v>
      </c>
      <c r="L128" s="273">
        <v>3816259</v>
      </c>
      <c r="M128" s="273">
        <v>4077810</v>
      </c>
      <c r="N128" s="273">
        <v>4190584</v>
      </c>
      <c r="O128" s="273">
        <v>3823310</v>
      </c>
      <c r="P128" s="273">
        <v>4220419</v>
      </c>
      <c r="Q128" s="273">
        <v>4375181</v>
      </c>
      <c r="R128" s="273">
        <v>4451128</v>
      </c>
      <c r="S128" s="273">
        <v>4106434</v>
      </c>
      <c r="T128" s="273">
        <v>4343424</v>
      </c>
      <c r="U128" s="273">
        <v>4584906</v>
      </c>
      <c r="V128" s="273">
        <v>4461324</v>
      </c>
      <c r="W128" s="273">
        <v>4142464</v>
      </c>
      <c r="X128" s="273">
        <v>4296489</v>
      </c>
    </row>
    <row r="129" spans="1:24" ht="14.25" thickBot="1" x14ac:dyDescent="0.3">
      <c r="A129" s="225" t="s">
        <v>35</v>
      </c>
      <c r="B129" s="276">
        <v>3274557</v>
      </c>
      <c r="C129" s="276">
        <v>3788768</v>
      </c>
      <c r="D129" s="276">
        <v>4072588</v>
      </c>
      <c r="E129" s="276">
        <v>3746655</v>
      </c>
      <c r="F129" s="276">
        <v>3792632</v>
      </c>
      <c r="G129" s="276">
        <v>4198100</v>
      </c>
      <c r="H129" s="276">
        <v>4535864</v>
      </c>
      <c r="I129" s="276">
        <v>5370910</v>
      </c>
      <c r="J129" s="276">
        <v>5065694</v>
      </c>
      <c r="K129" s="276">
        <v>5386325</v>
      </c>
      <c r="L129" s="276">
        <v>5312162</v>
      </c>
      <c r="M129" s="276">
        <v>5482857</v>
      </c>
      <c r="N129" s="276">
        <v>5431670</v>
      </c>
      <c r="O129" s="276">
        <v>5587719</v>
      </c>
      <c r="P129" s="276">
        <v>5964597</v>
      </c>
      <c r="Q129" s="276">
        <v>5887172</v>
      </c>
      <c r="R129" s="276">
        <v>6077608</v>
      </c>
      <c r="S129" s="276">
        <v>6329327</v>
      </c>
      <c r="T129" s="276">
        <v>6260879</v>
      </c>
      <c r="U129" s="276">
        <v>6243768</v>
      </c>
      <c r="V129" s="276">
        <v>6019805</v>
      </c>
      <c r="W129" s="276">
        <v>6611311</v>
      </c>
      <c r="X129" s="276">
        <v>6264729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13.49</v>
      </c>
      <c r="C132" s="68">
        <v>19.53</v>
      </c>
      <c r="D132" s="68">
        <v>13.26</v>
      </c>
      <c r="E132" s="68">
        <v>20.5</v>
      </c>
      <c r="F132" s="68">
        <v>14.92</v>
      </c>
    </row>
    <row r="133" spans="1:24" ht="14.25" thickBot="1" x14ac:dyDescent="0.3">
      <c r="A133" s="225" t="s">
        <v>37</v>
      </c>
      <c r="B133" s="274">
        <v>-5.73</v>
      </c>
      <c r="C133" s="274">
        <v>-7.69</v>
      </c>
      <c r="D133" s="274">
        <v>-7.65</v>
      </c>
      <c r="E133" s="274">
        <v>-3.34</v>
      </c>
      <c r="F133" s="274">
        <v>-5.0999999999999996</v>
      </c>
    </row>
    <row r="134" spans="1:24" ht="14.25" thickBot="1" x14ac:dyDescent="0.3">
      <c r="A134" s="224" t="s">
        <v>38</v>
      </c>
      <c r="B134" s="68">
        <v>-5.0599999999999996</v>
      </c>
      <c r="C134" s="68">
        <v>11.7</v>
      </c>
      <c r="D134" s="68">
        <v>-15.49</v>
      </c>
      <c r="E134" s="68">
        <v>-5.4</v>
      </c>
      <c r="F134" s="68">
        <v>-7.04</v>
      </c>
    </row>
    <row r="135" spans="1:24" ht="14.25" thickBot="1" x14ac:dyDescent="0.3">
      <c r="A135" s="225" t="s">
        <v>270</v>
      </c>
      <c r="B135" s="274">
        <v>7.76</v>
      </c>
      <c r="C135" s="274">
        <v>11.84</v>
      </c>
      <c r="D135" s="274">
        <v>5.61</v>
      </c>
      <c r="E135" s="274">
        <v>17.149999999999999</v>
      </c>
      <c r="F135" s="274">
        <v>9.82</v>
      </c>
    </row>
    <row r="136" spans="1:24" ht="14.25" thickBot="1" x14ac:dyDescent="0.3">
      <c r="A136" s="229" t="s">
        <v>39</v>
      </c>
      <c r="B136" s="72">
        <v>2.69</v>
      </c>
      <c r="C136" s="72">
        <v>23.54</v>
      </c>
      <c r="D136" s="72">
        <v>-9.8699999999999992</v>
      </c>
      <c r="E136" s="72">
        <v>11.75</v>
      </c>
      <c r="F136" s="72">
        <v>2.78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7.5</v>
      </c>
      <c r="C140" s="68">
        <v>9</v>
      </c>
      <c r="D140" s="68">
        <v>9</v>
      </c>
      <c r="E140" s="68">
        <v>9.5</v>
      </c>
      <c r="F140" s="68">
        <v>9.5</v>
      </c>
    </row>
    <row r="141" spans="1:24" ht="14.25" thickBot="1" x14ac:dyDescent="0.3">
      <c r="A141" s="227" t="s">
        <v>1</v>
      </c>
      <c r="B141" s="73">
        <v>0.5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0.63184498736310024</v>
      </c>
      <c r="C142" s="234">
        <f>IF(C140&lt;&gt;"無",IF(ISNA(HLOOKUP(C139,$B$64:$F$69,6,FALSE)),"",C140/HLOOKUP(C139,$B$64:$F$69,6,FALSE)),"")</f>
        <v>0.6828528072837633</v>
      </c>
      <c r="D142" s="234">
        <f>IF(D140&lt;&gt;"無",IF(ISNA(HLOOKUP(D139,$B$64:$F$69,6,FALSE)),"",D140/HLOOKUP(D139,$B$64:$F$69,6,FALSE)),"")</f>
        <v>0.65693430656934315</v>
      </c>
      <c r="E142" s="234">
        <f>IF(E140&lt;&gt;"無",IF(ISNA(HLOOKUP(E139,$B$64:$F$69,6,FALSE)),"",E140/HLOOKUP(E139,$B$64:$F$69,6,FALSE)),"")</f>
        <v>0.6694855532064834</v>
      </c>
      <c r="F142" s="234">
        <f>IF(F140&lt;&gt;"無",IF(ISNA(HLOOKUP(F139,$B$64:$F$69,6,FALSE)),"",F140/HLOOKUP(F139,$B$64:$F$69,6,FALSE)),"")</f>
        <v>0.67519545131485437</v>
      </c>
    </row>
    <row r="143" spans="1:24" x14ac:dyDescent="0.25">
      <c r="A143" s="233" t="s">
        <v>216</v>
      </c>
      <c r="B143" s="234">
        <f>IF(OR(B140=0,B140="無"),"",B135/B140)</f>
        <v>1.0346666666666666</v>
      </c>
      <c r="C143" s="234">
        <f>IF(OR(C140=0,C140="無"),"",C135/C140)</f>
        <v>1.3155555555555556</v>
      </c>
      <c r="D143" s="234">
        <f>IF(OR(D140=0,D140="無"),"",D135/D140)</f>
        <v>0.62333333333333341</v>
      </c>
      <c r="E143" s="234">
        <f>IF(OR(E140=0,E140="無"),"",E135/E140)</f>
        <v>1.8052631578947367</v>
      </c>
      <c r="F143" s="234">
        <f>IF(OR(F140=0,F140="無"),"",F135/F140)</f>
        <v>1.0336842105263158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22.79</v>
      </c>
      <c r="C146" s="68">
        <v>24.31</v>
      </c>
      <c r="D146" s="68">
        <v>25.41</v>
      </c>
      <c r="E146" s="68">
        <v>24.63</v>
      </c>
      <c r="F146" s="68">
        <v>22.68</v>
      </c>
      <c r="G146" s="68">
        <v>25.37</v>
      </c>
      <c r="H146" s="68">
        <v>26.09</v>
      </c>
      <c r="I146" s="68">
        <v>24.87</v>
      </c>
      <c r="J146" s="68">
        <v>22.41</v>
      </c>
      <c r="K146" s="68">
        <v>24.74</v>
      </c>
      <c r="L146" s="68">
        <v>26.15</v>
      </c>
      <c r="M146" s="68">
        <v>22.79</v>
      </c>
      <c r="N146" s="68">
        <v>23.27</v>
      </c>
      <c r="O146" s="68">
        <v>26.23</v>
      </c>
      <c r="P146" s="68">
        <v>26.91</v>
      </c>
      <c r="Q146" s="68">
        <v>25.98</v>
      </c>
      <c r="R146" s="68">
        <v>26.77</v>
      </c>
      <c r="S146" s="68">
        <v>28.48</v>
      </c>
      <c r="T146" s="68">
        <v>27.99</v>
      </c>
      <c r="U146" s="68">
        <v>27.26</v>
      </c>
      <c r="V146" s="68">
        <v>24.09</v>
      </c>
      <c r="W146" s="68">
        <v>26.21</v>
      </c>
      <c r="X146" s="68">
        <v>26.55</v>
      </c>
    </row>
    <row r="147" spans="1:24" s="93" customFormat="1" ht="14.25" thickBot="1" x14ac:dyDescent="0.3">
      <c r="A147" s="225" t="s">
        <v>19</v>
      </c>
      <c r="B147" s="274">
        <v>11.67</v>
      </c>
      <c r="C147" s="274">
        <v>14.73</v>
      </c>
      <c r="D147" s="274">
        <v>17.72</v>
      </c>
      <c r="E147" s="274">
        <v>12.65</v>
      </c>
      <c r="F147" s="274">
        <v>12.53</v>
      </c>
      <c r="G147" s="274">
        <v>17.47</v>
      </c>
      <c r="H147" s="274">
        <v>18.79</v>
      </c>
      <c r="I147" s="274">
        <v>10.88</v>
      </c>
      <c r="J147" s="274">
        <v>11.53</v>
      </c>
      <c r="K147" s="274">
        <v>15.95</v>
      </c>
      <c r="L147" s="274">
        <v>18.21</v>
      </c>
      <c r="M147" s="274">
        <v>13.32</v>
      </c>
      <c r="N147" s="274">
        <v>12.16</v>
      </c>
      <c r="O147" s="274">
        <v>16.84</v>
      </c>
      <c r="P147" s="274">
        <v>18.39</v>
      </c>
      <c r="Q147" s="274">
        <v>13.77</v>
      </c>
      <c r="R147" s="274">
        <v>13.99</v>
      </c>
      <c r="S147" s="274">
        <v>19.27</v>
      </c>
      <c r="T147" s="274">
        <v>20.89</v>
      </c>
      <c r="U147" s="274">
        <v>14.1</v>
      </c>
      <c r="V147" s="274">
        <v>6.84</v>
      </c>
      <c r="W147" s="274">
        <v>17.54</v>
      </c>
      <c r="X147" s="274">
        <v>16.940000000000001</v>
      </c>
    </row>
    <row r="148" spans="1:24" s="93" customFormat="1" ht="14.25" thickBot="1" x14ac:dyDescent="0.3">
      <c r="A148" s="224" t="s">
        <v>41</v>
      </c>
      <c r="B148" s="68">
        <v>8.35</v>
      </c>
      <c r="C148" s="68">
        <v>17.48</v>
      </c>
      <c r="D148" s="68">
        <v>17.16</v>
      </c>
      <c r="E148" s="68">
        <v>12.63</v>
      </c>
      <c r="F148" s="68">
        <v>15.89</v>
      </c>
      <c r="G148" s="68">
        <v>18.64</v>
      </c>
      <c r="H148" s="68">
        <v>17.309999999999999</v>
      </c>
      <c r="I148" s="68">
        <v>14.1</v>
      </c>
      <c r="J148" s="68">
        <v>15.14</v>
      </c>
      <c r="K148" s="68">
        <v>15.31</v>
      </c>
      <c r="L148" s="68">
        <v>19.46</v>
      </c>
      <c r="M148" s="68">
        <v>17.989999999999998</v>
      </c>
      <c r="N148" s="68">
        <v>11.96</v>
      </c>
      <c r="O148" s="68">
        <v>16.38</v>
      </c>
      <c r="P148" s="68">
        <v>28.41</v>
      </c>
      <c r="Q148" s="68">
        <v>16.329999999999998</v>
      </c>
      <c r="R148" s="68">
        <v>10.09</v>
      </c>
      <c r="S148" s="68">
        <v>22.48</v>
      </c>
      <c r="T148" s="68">
        <v>17.82</v>
      </c>
      <c r="U148" s="68">
        <v>21.62</v>
      </c>
      <c r="V148" s="68">
        <v>-8.7200000000000006</v>
      </c>
      <c r="W148" s="68">
        <v>19.21</v>
      </c>
      <c r="X148" s="68">
        <v>16.600000000000001</v>
      </c>
    </row>
    <row r="149" spans="1:24" s="93" customFormat="1" ht="14.25" thickBot="1" x14ac:dyDescent="0.3">
      <c r="A149" s="225" t="s">
        <v>13</v>
      </c>
      <c r="B149" s="73">
        <v>6.8</v>
      </c>
      <c r="C149" s="73">
        <v>13.14</v>
      </c>
      <c r="D149" s="73">
        <v>14.31</v>
      </c>
      <c r="E149" s="73">
        <v>10.4</v>
      </c>
      <c r="F149" s="73">
        <v>12.86</v>
      </c>
      <c r="G149" s="73">
        <v>14.28</v>
      </c>
      <c r="H149" s="73">
        <v>13.44</v>
      </c>
      <c r="I149" s="73">
        <v>10.92</v>
      </c>
      <c r="J149" s="73">
        <v>12.15</v>
      </c>
      <c r="K149" s="73">
        <v>11.37</v>
      </c>
      <c r="L149" s="73">
        <v>15.44</v>
      </c>
      <c r="M149" s="73">
        <v>13.82</v>
      </c>
      <c r="N149" s="73">
        <v>9.19</v>
      </c>
      <c r="O149" s="73">
        <v>12.29</v>
      </c>
      <c r="P149" s="73">
        <v>21.53</v>
      </c>
      <c r="Q149" s="73">
        <v>12.88</v>
      </c>
      <c r="R149" s="73">
        <v>7.43</v>
      </c>
      <c r="S149" s="73">
        <v>16.190000000000001</v>
      </c>
      <c r="T149" s="73">
        <v>13.98</v>
      </c>
      <c r="U149" s="73">
        <v>18.32</v>
      </c>
      <c r="V149" s="73">
        <v>-8.41</v>
      </c>
      <c r="W149" s="73">
        <v>14.82</v>
      </c>
      <c r="X149" s="73">
        <v>13.35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24.4</v>
      </c>
      <c r="C152" s="68">
        <v>24.96</v>
      </c>
      <c r="D152" s="68">
        <v>24.21</v>
      </c>
      <c r="E152" s="68">
        <v>25.74</v>
      </c>
      <c r="F152" s="68">
        <v>27.71</v>
      </c>
    </row>
    <row r="153" spans="1:24" s="93" customFormat="1" ht="14.25" thickBot="1" x14ac:dyDescent="0.3">
      <c r="A153" s="225" t="s">
        <v>19</v>
      </c>
      <c r="B153" s="274">
        <v>14.53</v>
      </c>
      <c r="C153" s="274">
        <v>15.42</v>
      </c>
      <c r="D153" s="274">
        <v>15.1</v>
      </c>
      <c r="E153" s="274">
        <v>15.58</v>
      </c>
      <c r="F153" s="274">
        <v>17.52</v>
      </c>
    </row>
    <row r="154" spans="1:24" s="93" customFormat="1" ht="14.25" thickBot="1" x14ac:dyDescent="0.3">
      <c r="A154" s="224" t="s">
        <v>41</v>
      </c>
      <c r="B154" s="68">
        <v>14.43</v>
      </c>
      <c r="C154" s="68">
        <v>16.61</v>
      </c>
      <c r="D154" s="68">
        <v>17.239999999999998</v>
      </c>
      <c r="E154" s="68">
        <v>18.899999999999999</v>
      </c>
      <c r="F154" s="68">
        <v>18.34</v>
      </c>
    </row>
    <row r="155" spans="1:24" s="93" customFormat="1" ht="14.25" thickBot="1" x14ac:dyDescent="0.3">
      <c r="A155" s="225" t="s">
        <v>13</v>
      </c>
      <c r="B155" s="73">
        <v>11.59</v>
      </c>
      <c r="C155" s="73">
        <v>12.95</v>
      </c>
      <c r="D155" s="73">
        <v>13.4</v>
      </c>
      <c r="E155" s="73">
        <v>14.43</v>
      </c>
      <c r="F155" s="73">
        <v>14.22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2.11</v>
      </c>
      <c r="C158" s="68">
        <v>5.09</v>
      </c>
      <c r="D158" s="68">
        <v>5.53</v>
      </c>
      <c r="E158" s="68">
        <v>3.07</v>
      </c>
      <c r="F158" s="68">
        <v>3.82</v>
      </c>
      <c r="G158" s="68">
        <v>4.7</v>
      </c>
      <c r="H158" s="68">
        <v>5.73</v>
      </c>
      <c r="I158" s="68">
        <v>2.8</v>
      </c>
      <c r="J158" s="68">
        <v>2.88</v>
      </c>
      <c r="K158" s="68">
        <v>3.24</v>
      </c>
      <c r="L158" s="68">
        <v>5.56</v>
      </c>
      <c r="M158" s="68">
        <v>4.08</v>
      </c>
      <c r="N158" s="68">
        <v>2.16</v>
      </c>
      <c r="O158" s="68">
        <v>3.56</v>
      </c>
      <c r="P158" s="68">
        <v>6.49</v>
      </c>
      <c r="Q158" s="68">
        <v>3.05</v>
      </c>
      <c r="R158" s="68">
        <v>1.53</v>
      </c>
      <c r="S158" s="68">
        <v>4.18</v>
      </c>
      <c r="T158" s="68">
        <v>4.12</v>
      </c>
      <c r="U158" s="68">
        <v>4.03</v>
      </c>
      <c r="V158" s="68">
        <v>-1.31</v>
      </c>
      <c r="W158" s="68">
        <v>3.98</v>
      </c>
      <c r="X158" s="68">
        <v>3.72</v>
      </c>
    </row>
    <row r="159" spans="1:24" s="93" customFormat="1" ht="14.25" thickBot="1" x14ac:dyDescent="0.3">
      <c r="A159" s="225" t="s">
        <v>45</v>
      </c>
      <c r="B159" s="73">
        <v>3.39</v>
      </c>
      <c r="C159" s="73">
        <v>8.2899999999999991</v>
      </c>
      <c r="D159" s="73">
        <v>9.16</v>
      </c>
      <c r="E159" s="73">
        <v>4.72</v>
      </c>
      <c r="F159" s="73">
        <v>5.38</v>
      </c>
      <c r="G159" s="73">
        <v>7.11</v>
      </c>
      <c r="H159" s="73">
        <v>9.35</v>
      </c>
      <c r="I159" s="73">
        <v>4.21</v>
      </c>
      <c r="J159" s="73">
        <v>3.93</v>
      </c>
      <c r="K159" s="73">
        <v>4.58</v>
      </c>
      <c r="L159" s="73">
        <v>8.1300000000000008</v>
      </c>
      <c r="M159" s="73">
        <v>5.58</v>
      </c>
      <c r="N159" s="73">
        <v>2.85</v>
      </c>
      <c r="O159" s="73">
        <v>4.8899999999999997</v>
      </c>
      <c r="P159" s="73">
        <v>9.31</v>
      </c>
      <c r="Q159" s="73">
        <v>4.1900000000000004</v>
      </c>
      <c r="R159" s="73">
        <v>2.06</v>
      </c>
      <c r="S159" s="73">
        <v>6.04</v>
      </c>
      <c r="T159" s="73">
        <v>6.11</v>
      </c>
      <c r="U159" s="73">
        <v>5.62</v>
      </c>
      <c r="V159" s="73">
        <v>-1.81</v>
      </c>
      <c r="W159" s="73">
        <v>5.82</v>
      </c>
      <c r="X159" s="73">
        <v>5.63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11.59</v>
      </c>
      <c r="C162" s="68">
        <v>12.95</v>
      </c>
      <c r="D162" s="68">
        <v>13.4</v>
      </c>
      <c r="E162" s="68">
        <v>14.43</v>
      </c>
      <c r="F162" s="68">
        <v>14.22</v>
      </c>
    </row>
    <row r="163" spans="1:72" s="93" customFormat="1" ht="14.25" thickBot="1" x14ac:dyDescent="0.3">
      <c r="A163" s="225" t="s">
        <v>18</v>
      </c>
      <c r="B163" s="274">
        <v>1.35</v>
      </c>
      <c r="C163" s="274">
        <v>1.03</v>
      </c>
      <c r="D163" s="274">
        <v>1.1399999999999999</v>
      </c>
      <c r="E163" s="274">
        <v>1.02</v>
      </c>
      <c r="F163" s="274">
        <v>0.97</v>
      </c>
    </row>
    <row r="164" spans="1:72" s="93" customFormat="1" ht="14.25" thickBot="1" x14ac:dyDescent="0.3">
      <c r="A164" s="224" t="s">
        <v>15</v>
      </c>
      <c r="B164" s="68">
        <v>1.44</v>
      </c>
      <c r="C164" s="68">
        <v>1.43</v>
      </c>
      <c r="D164" s="68">
        <v>1.34</v>
      </c>
      <c r="E164" s="68">
        <v>1.35</v>
      </c>
      <c r="F164" s="68">
        <v>1.36</v>
      </c>
    </row>
    <row r="165" spans="1:72" s="93" customFormat="1" ht="14.25" thickBot="1" x14ac:dyDescent="0.3">
      <c r="A165" s="225" t="s">
        <v>45</v>
      </c>
      <c r="B165" s="73">
        <v>25.33</v>
      </c>
      <c r="C165" s="73">
        <v>22.64</v>
      </c>
      <c r="D165" s="73">
        <v>21.39</v>
      </c>
      <c r="E165" s="73">
        <v>20.55</v>
      </c>
      <c r="F165" s="73">
        <v>19.170000000000002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89.11</v>
      </c>
      <c r="C168" s="68">
        <v>63.83</v>
      </c>
      <c r="D168" s="68">
        <v>66.67</v>
      </c>
      <c r="E168" s="68">
        <v>91.84</v>
      </c>
      <c r="F168" s="68">
        <v>79.650000000000006</v>
      </c>
      <c r="G168" s="68">
        <v>62.07</v>
      </c>
      <c r="H168" s="68">
        <v>62.5</v>
      </c>
      <c r="I168" s="68">
        <v>98.9</v>
      </c>
      <c r="J168" s="68">
        <v>78.260000000000005</v>
      </c>
      <c r="K168" s="68">
        <v>65.22</v>
      </c>
      <c r="L168" s="68">
        <v>72.58</v>
      </c>
      <c r="M168" s="68">
        <v>93.75</v>
      </c>
      <c r="N168" s="68">
        <v>93.75</v>
      </c>
      <c r="O168" s="68">
        <v>81.08</v>
      </c>
      <c r="P168" s="68">
        <v>90.91</v>
      </c>
      <c r="Q168" s="68">
        <v>100</v>
      </c>
      <c r="R168" s="68">
        <v>83.33</v>
      </c>
      <c r="S168" s="68">
        <v>71.430000000000007</v>
      </c>
      <c r="T168" s="68">
        <v>81.819999999999993</v>
      </c>
      <c r="U168" s="68">
        <v>107.14</v>
      </c>
      <c r="V168" s="68">
        <v>108.43</v>
      </c>
      <c r="W168" s="68">
        <v>67.67</v>
      </c>
      <c r="X168" s="68">
        <v>87.38</v>
      </c>
    </row>
    <row r="169" spans="1:72" s="93" customFormat="1" ht="14.25" thickBot="1" x14ac:dyDescent="0.3">
      <c r="A169" s="225" t="s">
        <v>17</v>
      </c>
      <c r="B169" s="274">
        <v>55.56</v>
      </c>
      <c r="C169" s="274">
        <v>47.12</v>
      </c>
      <c r="D169" s="274">
        <v>41.67</v>
      </c>
      <c r="E169" s="274">
        <v>51.14</v>
      </c>
      <c r="F169" s="274">
        <v>51.72</v>
      </c>
      <c r="G169" s="274">
        <v>54.22</v>
      </c>
      <c r="H169" s="274">
        <v>37.19</v>
      </c>
      <c r="I169" s="274">
        <v>48.65</v>
      </c>
      <c r="J169" s="274">
        <v>50</v>
      </c>
      <c r="K169" s="274">
        <v>44.78</v>
      </c>
      <c r="L169" s="274">
        <v>37.5</v>
      </c>
      <c r="M169" s="274">
        <v>40.72</v>
      </c>
      <c r="N169" s="274">
        <v>54.22</v>
      </c>
      <c r="O169" s="274">
        <v>45.69</v>
      </c>
      <c r="P169" s="274">
        <v>35.57</v>
      </c>
      <c r="Q169" s="274">
        <v>40.72</v>
      </c>
      <c r="R169" s="274">
        <v>54.55</v>
      </c>
      <c r="S169" s="274">
        <v>47.37</v>
      </c>
      <c r="T169" s="274">
        <v>35.71</v>
      </c>
      <c r="U169" s="274">
        <v>42.06</v>
      </c>
      <c r="V169" s="274">
        <v>71.430000000000007</v>
      </c>
      <c r="W169" s="274">
        <v>50.85</v>
      </c>
      <c r="X169" s="274">
        <v>43.9</v>
      </c>
    </row>
    <row r="170" spans="1:72" s="93" customFormat="1" ht="14.25" thickBot="1" x14ac:dyDescent="0.3">
      <c r="A170" s="224" t="s">
        <v>42</v>
      </c>
      <c r="B170" s="72">
        <v>144.66</v>
      </c>
      <c r="C170" s="72">
        <v>110.95</v>
      </c>
      <c r="D170" s="72">
        <v>108.33</v>
      </c>
      <c r="E170" s="72">
        <v>142.97</v>
      </c>
      <c r="F170" s="72">
        <v>131.37</v>
      </c>
      <c r="G170" s="72">
        <v>116.29</v>
      </c>
      <c r="H170" s="72">
        <v>99.69</v>
      </c>
      <c r="I170" s="72">
        <v>147.55000000000001</v>
      </c>
      <c r="J170" s="72">
        <v>128.26</v>
      </c>
      <c r="K170" s="72">
        <v>109.99</v>
      </c>
      <c r="L170" s="72">
        <v>110.08</v>
      </c>
      <c r="M170" s="72">
        <v>134.47</v>
      </c>
      <c r="N170" s="72">
        <v>147.97</v>
      </c>
      <c r="O170" s="72">
        <v>126.77</v>
      </c>
      <c r="P170" s="72">
        <v>126.48</v>
      </c>
      <c r="Q170" s="72">
        <v>140.72</v>
      </c>
      <c r="R170" s="72">
        <v>137.88</v>
      </c>
      <c r="S170" s="72">
        <v>118.8</v>
      </c>
      <c r="T170" s="72">
        <v>117.53</v>
      </c>
      <c r="U170" s="72">
        <v>149.19999999999999</v>
      </c>
      <c r="V170" s="72">
        <v>179.86</v>
      </c>
      <c r="W170" s="72">
        <v>118.52</v>
      </c>
      <c r="X170" s="72">
        <v>131.28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115.75</v>
      </c>
      <c r="C173" s="72">
        <v>147.68</v>
      </c>
      <c r="D173" s="72">
        <v>95.82</v>
      </c>
      <c r="E173" s="72">
        <v>142.86000000000001</v>
      </c>
      <c r="F173" s="72">
        <v>105.23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9.18</v>
      </c>
      <c r="C176" s="72">
        <v>10.48</v>
      </c>
      <c r="D176" s="72">
        <v>11.35</v>
      </c>
      <c r="E176" s="72">
        <v>8.44</v>
      </c>
      <c r="F176" s="72">
        <v>8.5</v>
      </c>
      <c r="G176" s="72">
        <v>8.35</v>
      </c>
      <c r="H176" s="72">
        <v>8.35</v>
      </c>
      <c r="I176" s="72">
        <v>7.41</v>
      </c>
      <c r="J176" s="72">
        <v>7.48</v>
      </c>
      <c r="K176" s="72">
        <v>7.44</v>
      </c>
      <c r="L176" s="72">
        <v>8.3800000000000008</v>
      </c>
      <c r="M176" s="72">
        <v>8.48</v>
      </c>
      <c r="N176" s="72">
        <v>8.7200000000000006</v>
      </c>
      <c r="O176" s="72">
        <v>9.33</v>
      </c>
      <c r="P176" s="72">
        <v>9.94</v>
      </c>
      <c r="Q176" s="72">
        <v>11.14</v>
      </c>
      <c r="R176" s="72">
        <v>10.61</v>
      </c>
      <c r="S176" s="72">
        <v>10.31</v>
      </c>
      <c r="T176" s="72">
        <v>11.23</v>
      </c>
      <c r="U176" s="72">
        <v>12.17</v>
      </c>
      <c r="V176" s="72">
        <v>11.55</v>
      </c>
      <c r="W176" s="72">
        <v>13.03</v>
      </c>
      <c r="X176" s="72">
        <v>13.42</v>
      </c>
      <c r="Y176" s="72">
        <v>13.3</v>
      </c>
      <c r="Z176" s="72">
        <v>12.43</v>
      </c>
      <c r="AA176" s="72">
        <v>12.99</v>
      </c>
      <c r="AB176" s="72">
        <v>12.89</v>
      </c>
      <c r="AC176" s="72">
        <v>12.89</v>
      </c>
      <c r="AD176" s="72">
        <v>14.16</v>
      </c>
      <c r="AE176" s="72">
        <v>13.98</v>
      </c>
      <c r="AF176" s="72">
        <v>13.81</v>
      </c>
      <c r="AG176" s="72">
        <v>13.63</v>
      </c>
      <c r="AH176" s="72">
        <v>13.66</v>
      </c>
      <c r="AI176" s="72">
        <v>13.06</v>
      </c>
      <c r="AJ176" s="72">
        <v>12.39</v>
      </c>
      <c r="AK176" s="72">
        <v>13.06</v>
      </c>
      <c r="AL176" s="72">
        <v>12.91</v>
      </c>
      <c r="AM176" s="72">
        <v>13.08</v>
      </c>
      <c r="AN176" s="72">
        <v>12.85</v>
      </c>
      <c r="AO176" s="72">
        <v>13.26</v>
      </c>
      <c r="AP176" s="72">
        <v>13.17</v>
      </c>
      <c r="AQ176" s="72">
        <v>12.46</v>
      </c>
      <c r="AR176" s="72">
        <v>11.91</v>
      </c>
      <c r="AS176" s="72">
        <v>9.8000000000000007</v>
      </c>
      <c r="AT176" s="72">
        <v>9.48</v>
      </c>
      <c r="AU176" s="72">
        <v>10.08</v>
      </c>
      <c r="AV176" s="72">
        <v>9.7100000000000009</v>
      </c>
      <c r="AW176" s="72">
        <v>9.34</v>
      </c>
      <c r="AX176" s="72">
        <v>9.17</v>
      </c>
      <c r="AY176" s="72">
        <v>9.4499999999999993</v>
      </c>
      <c r="AZ176" s="72">
        <v>10.69</v>
      </c>
      <c r="BA176" s="72">
        <v>10.37</v>
      </c>
      <c r="BB176" s="72">
        <v>10.55</v>
      </c>
      <c r="BC176" s="72">
        <v>10.72</v>
      </c>
      <c r="BD176" s="72">
        <v>10.3</v>
      </c>
      <c r="BE176" s="72">
        <v>10.34</v>
      </c>
      <c r="BF176" s="72">
        <v>10.77</v>
      </c>
      <c r="BG176" s="72">
        <v>10.64</v>
      </c>
      <c r="BH176" s="72">
        <v>11.62</v>
      </c>
      <c r="BI176" s="72">
        <v>12.03</v>
      </c>
      <c r="BJ176" s="72">
        <v>12.54</v>
      </c>
      <c r="BK176" s="72">
        <v>12.31</v>
      </c>
      <c r="BL176" s="72">
        <v>11.04</v>
      </c>
      <c r="BM176" s="72">
        <v>10.75</v>
      </c>
      <c r="BN176" s="72">
        <v>12.79</v>
      </c>
      <c r="BO176" s="72">
        <v>12.71</v>
      </c>
      <c r="BP176" s="72">
        <v>11.86</v>
      </c>
      <c r="BQ176" s="72">
        <v>11.58</v>
      </c>
      <c r="BR176" s="72">
        <v>11.83</v>
      </c>
      <c r="BS176" s="72">
        <v>11.53</v>
      </c>
      <c r="BT176" s="72">
        <v>11.9</v>
      </c>
    </row>
  </sheetData>
  <phoneticPr fontId="3" type="noConversion"/>
  <conditionalFormatting sqref="E4">
    <cfRule type="cellIs" dxfId="7121" priority="103" operator="greaterThan">
      <formula>0.2</formula>
    </cfRule>
    <cfRule type="cellIs" dxfId="7120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7119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7118" priority="97" operator="greaterThan">
      <formula>$B$19</formula>
    </cfRule>
  </conditionalFormatting>
  <conditionalFormatting sqref="D33:D34">
    <cfRule type="cellIs" dxfId="7117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7116" priority="91" operator="lessThan">
      <formula>$H$62</formula>
    </cfRule>
    <cfRule type="cellIs" dxfId="7115" priority="92" operator="greaterThan">
      <formula>$H$62</formula>
    </cfRule>
  </conditionalFormatting>
  <conditionalFormatting sqref="J62">
    <cfRule type="cellIs" dxfId="7114" priority="89" operator="lessThan">
      <formula>$K$62</formula>
    </cfRule>
    <cfRule type="cellIs" dxfId="7113" priority="90" operator="greaterThan">
      <formula>$K$62</formula>
    </cfRule>
  </conditionalFormatting>
  <conditionalFormatting sqref="M62">
    <cfRule type="cellIs" dxfId="7112" priority="87" operator="lessThan">
      <formula>$N$62</formula>
    </cfRule>
    <cfRule type="cellIs" dxfId="7111" priority="88" operator="greaterThan">
      <formula>$N$62</formula>
    </cfRule>
  </conditionalFormatting>
  <conditionalFormatting sqref="B44:E44">
    <cfRule type="cellIs" dxfId="7110" priority="85" operator="greaterThan">
      <formula>0</formula>
    </cfRule>
    <cfRule type="cellIs" dxfId="7109" priority="86" operator="lessThan">
      <formula>0</formula>
    </cfRule>
  </conditionalFormatting>
  <conditionalFormatting sqref="F72">
    <cfRule type="cellIs" dxfId="7108" priority="84" operator="lessThan">
      <formula>$E$72*90%</formula>
    </cfRule>
  </conditionalFormatting>
  <conditionalFormatting sqref="F73">
    <cfRule type="cellIs" dxfId="7107" priority="83" operator="lessThan">
      <formula>$E$73*90%</formula>
    </cfRule>
  </conditionalFormatting>
  <conditionalFormatting sqref="F74">
    <cfRule type="cellIs" dxfId="7106" priority="82" operator="lessThan">
      <formula>$E$74*90%</formula>
    </cfRule>
  </conditionalFormatting>
  <conditionalFormatting sqref="F75">
    <cfRule type="cellIs" dxfId="7105" priority="81" operator="lessThan">
      <formula>$E$75*90%</formula>
    </cfRule>
  </conditionalFormatting>
  <conditionalFormatting sqref="H44:K44">
    <cfRule type="cellIs" dxfId="7104" priority="79" operator="greaterThan">
      <formula>0</formula>
    </cfRule>
    <cfRule type="cellIs" dxfId="7103" priority="80" operator="lessThan">
      <formula>0</formula>
    </cfRule>
  </conditionalFormatting>
  <conditionalFormatting sqref="H51:K51">
    <cfRule type="cellIs" dxfId="7102" priority="77" operator="greaterThan">
      <formula>0</formula>
    </cfRule>
    <cfRule type="cellIs" dxfId="7101" priority="78" operator="lessThan">
      <formula>0</formula>
    </cfRule>
  </conditionalFormatting>
  <conditionalFormatting sqref="B51:E51">
    <cfRule type="cellIs" dxfId="7100" priority="75" operator="greaterThan">
      <formula>0</formula>
    </cfRule>
    <cfRule type="cellIs" dxfId="7099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7098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7097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7096" priority="58" operator="lessThan">
      <formula>0</formula>
    </cfRule>
  </conditionalFormatting>
  <conditionalFormatting sqref="A25 E25 C25">
    <cfRule type="cellIs" dxfId="7095" priority="59" operator="lessThan">
      <formula>0</formula>
    </cfRule>
  </conditionalFormatting>
  <conditionalFormatting sqref="F25">
    <cfRule type="cellIs" dxfId="7094" priority="57" operator="lessThan">
      <formula>0</formula>
    </cfRule>
  </conditionalFormatting>
  <conditionalFormatting sqref="E1">
    <cfRule type="containsText" dxfId="7093" priority="56" operator="containsText" text="本季業外損益/平均=-">
      <formula>NOT(ISERROR(SEARCH("本季業外損益/平均=-",E1)))</formula>
    </cfRule>
  </conditionalFormatting>
  <conditionalFormatting sqref="M65">
    <cfRule type="cellIs" dxfId="7092" priority="55" operator="lessThan">
      <formula>$L$65*90%</formula>
    </cfRule>
  </conditionalFormatting>
  <conditionalFormatting sqref="M66">
    <cfRule type="cellIs" dxfId="7091" priority="54" operator="lessThan">
      <formula>$L$66*90%</formula>
    </cfRule>
  </conditionalFormatting>
  <conditionalFormatting sqref="M67">
    <cfRule type="cellIs" dxfId="7090" priority="53" operator="lessThan">
      <formula>$L$67*90%</formula>
    </cfRule>
  </conditionalFormatting>
  <conditionalFormatting sqref="M68">
    <cfRule type="cellIs" dxfId="7089" priority="52" operator="lessThan">
      <formula>$L$68*90%</formula>
    </cfRule>
  </conditionalFormatting>
  <conditionalFormatting sqref="B60">
    <cfRule type="cellIs" dxfId="7088" priority="51" operator="lessThan">
      <formula>0</formula>
    </cfRule>
  </conditionalFormatting>
  <conditionalFormatting sqref="B59:F59">
    <cfRule type="cellIs" dxfId="7087" priority="50" operator="lessThanOrEqual">
      <formula>0</formula>
    </cfRule>
  </conditionalFormatting>
  <conditionalFormatting sqref="D62">
    <cfRule type="cellIs" dxfId="7086" priority="48" operator="lessThan">
      <formula>$E$62</formula>
    </cfRule>
    <cfRule type="cellIs" dxfId="7085" priority="49" operator="greaterThan">
      <formula>$E$62</formula>
    </cfRule>
  </conditionalFormatting>
  <conditionalFormatting sqref="F69">
    <cfRule type="cellIs" dxfId="7084" priority="46" operator="lessThan">
      <formula>0</formula>
    </cfRule>
  </conditionalFormatting>
  <conditionalFormatting sqref="B65:E67 B69:E69 B68:D68">
    <cfRule type="cellIs" dxfId="7083" priority="47" operator="lessThan">
      <formula>0</formula>
    </cfRule>
  </conditionalFormatting>
  <conditionalFormatting sqref="E68">
    <cfRule type="cellIs" dxfId="7082" priority="45" operator="lessThan">
      <formula>0</formula>
    </cfRule>
  </conditionalFormatting>
  <conditionalFormatting sqref="F65:F68">
    <cfRule type="cellIs" dxfId="7081" priority="44" operator="lessThan">
      <formula>0</formula>
    </cfRule>
  </conditionalFormatting>
  <conditionalFormatting sqref="F65:F68">
    <cfRule type="cellIs" dxfId="7080" priority="43" operator="lessThan">
      <formula>$E$65*0.9</formula>
    </cfRule>
  </conditionalFormatting>
  <conditionalFormatting sqref="F66">
    <cfRule type="cellIs" dxfId="7079" priority="42" operator="lessThan">
      <formula>$E$66*0.9</formula>
    </cfRule>
  </conditionalFormatting>
  <conditionalFormatting sqref="F67:F68">
    <cfRule type="cellIs" dxfId="7078" priority="41" operator="lessThan">
      <formula>$E$67*0.9</formula>
    </cfRule>
  </conditionalFormatting>
  <conditionalFormatting sqref="F68">
    <cfRule type="cellIs" dxfId="7077" priority="40" operator="lessThan">
      <formula>$E$68*0.9</formula>
    </cfRule>
  </conditionalFormatting>
  <conditionalFormatting sqref="B13:F13">
    <cfRule type="cellIs" dxfId="7076" priority="29" operator="greaterThan">
      <formula>$I$16</formula>
    </cfRule>
    <cfRule type="cellIs" dxfId="7075" priority="30" operator="lessThanOrEqual">
      <formula>$I$16</formula>
    </cfRule>
  </conditionalFormatting>
  <conditionalFormatting sqref="B10:F10">
    <cfRule type="cellIs" dxfId="7074" priority="31" operator="greaterThan">
      <formula>15</formula>
    </cfRule>
    <cfRule type="cellIs" dxfId="7073" priority="38" operator="lessThan">
      <formula>$I$9</formula>
    </cfRule>
    <cfRule type="cellIs" dxfId="7072" priority="39" operator="greaterThan">
      <formula>$I$9</formula>
    </cfRule>
  </conditionalFormatting>
  <conditionalFormatting sqref="B16:F16">
    <cfRule type="cellIs" dxfId="7071" priority="36" operator="greaterThan">
      <formula>$I$16</formula>
    </cfRule>
    <cfRule type="cellIs" dxfId="7070" priority="37" operator="lessThanOrEqual">
      <formula>$I$16</formula>
    </cfRule>
  </conditionalFormatting>
  <conditionalFormatting sqref="B15:F15">
    <cfRule type="cellIs" dxfId="7069" priority="34" operator="lessThanOrEqual">
      <formula>$I$16</formula>
    </cfRule>
    <cfRule type="cellIs" dxfId="7068" priority="35" operator="greaterThan">
      <formula>$I$16</formula>
    </cfRule>
  </conditionalFormatting>
  <conditionalFormatting sqref="B14:F14">
    <cfRule type="cellIs" dxfId="7067" priority="32" operator="greaterThan">
      <formula>$I$16</formula>
    </cfRule>
    <cfRule type="cellIs" dxfId="7066" priority="33" operator="lessThanOrEqual">
      <formula>$I$16</formula>
    </cfRule>
  </conditionalFormatting>
  <conditionalFormatting sqref="K6">
    <cfRule type="containsText" dxfId="7065" priority="27" operator="containsText" text="衰退">
      <formula>NOT(ISERROR(SEARCH("衰退",K6)))</formula>
    </cfRule>
    <cfRule type="containsText" dxfId="7064" priority="28" operator="containsText" text="成長">
      <formula>NOT(ISERROR(SEARCH("成長",K6)))</formula>
    </cfRule>
  </conditionalFormatting>
  <conditionalFormatting sqref="I4:K4">
    <cfRule type="cellIs" dxfId="7063" priority="25" operator="lessThan">
      <formula>0</formula>
    </cfRule>
    <cfRule type="cellIs" dxfId="7062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7061" priority="22" operator="lessThanOrEqual">
      <formula>$I$16</formula>
    </cfRule>
    <cfRule type="cellIs" dxfId="7060" priority="23" operator="greaterThan">
      <formula>$I$16</formula>
    </cfRule>
  </conditionalFormatting>
  <conditionalFormatting sqref="I6">
    <cfRule type="containsText" dxfId="7059" priority="20" operator="containsText" text="衰退">
      <formula>NOT(ISERROR(SEARCH("衰退",I6)))</formula>
    </cfRule>
    <cfRule type="containsText" dxfId="7058" priority="21" operator="containsText" text="成長">
      <formula>NOT(ISERROR(SEARCH("成長",I6)))</formula>
    </cfRule>
  </conditionalFormatting>
  <conditionalFormatting sqref="M9">
    <cfRule type="cellIs" dxfId="7057" priority="19" operator="lessThan">
      <formula>$I$9</formula>
    </cfRule>
  </conditionalFormatting>
  <conditionalFormatting sqref="M10">
    <cfRule type="cellIs" dxfId="7056" priority="18" operator="greaterThan">
      <formula>$I$9</formula>
    </cfRule>
  </conditionalFormatting>
  <conditionalFormatting sqref="M11">
    <cfRule type="cellIs" dxfId="7055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7054" priority="14" operator="lessThan">
      <formula>0</formula>
    </cfRule>
    <cfRule type="cellIs" dxfId="7053" priority="15" operator="greaterThan">
      <formula>0.5</formula>
    </cfRule>
  </conditionalFormatting>
  <conditionalFormatting sqref="N14">
    <cfRule type="cellIs" dxfId="7052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7051" priority="10" operator="lessThan">
      <formula>0.1</formula>
    </cfRule>
  </conditionalFormatting>
  <conditionalFormatting sqref="I14">
    <cfRule type="cellIs" dxfId="7050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7049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7048" priority="1" operator="lessThan">
      <formula>$N$5*0.9</formula>
    </cfRule>
    <cfRule type="cellIs" dxfId="7047" priority="2" operator="greaterThan">
      <formula>$N$5*1.1</formula>
    </cfRule>
  </conditionalFormatting>
  <hyperlinks>
    <hyperlink ref="L1" location="儀表板!A1" display="(回首頁)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6.97 ~ 15.4</v>
      </c>
      <c r="L1" s="83" t="s">
        <v>176</v>
      </c>
      <c r="M1" s="84" t="str">
        <f ca="1">VLOOKUP(_xlfn.NUMBERVALUE(N1),儀表板!A:B,2,FALSE)</f>
        <v>新麥企業</v>
      </c>
      <c r="N1" s="85" t="str">
        <f ca="1">MID(CELL("filename",L1),FIND("]",CELL("filename",L1))+1,255)</f>
        <v>1580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0.29154568723064161</v>
      </c>
    </row>
    <row r="3" spans="1:15" s="93" customFormat="1" x14ac:dyDescent="0.25">
      <c r="A3" s="81" t="s">
        <v>179</v>
      </c>
      <c r="B3" s="94">
        <f>SUM(F19:F22,F24:F27,J19)</f>
        <v>83.164653178996261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139.4975753876835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151.06566700519869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161.55633832500419</v>
      </c>
      <c r="L3" s="100"/>
      <c r="M3" s="79" t="s">
        <v>385</v>
      </c>
      <c r="N3" s="92">
        <f>(F69-E69)/E69</f>
        <v>2.8866533596424923E-3</v>
      </c>
    </row>
    <row r="4" spans="1:15" s="93" customFormat="1" x14ac:dyDescent="0.25">
      <c r="A4" s="81" t="s">
        <v>182</v>
      </c>
      <c r="B4" s="96">
        <f>SUM(G36:G40)*2</f>
        <v>90</v>
      </c>
      <c r="C4" s="101"/>
      <c r="D4" s="102">
        <f>F4*(1+F141/10)</f>
        <v>4.8499999999999996</v>
      </c>
      <c r="E4" s="82">
        <f>(D4-F4)/F4</f>
        <v>0</v>
      </c>
      <c r="F4" s="103">
        <v>4.8499999999999996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11.30253258336317</v>
      </c>
    </row>
    <row r="5" spans="1:15" s="93" customFormat="1" x14ac:dyDescent="0.25">
      <c r="A5" s="81" t="s">
        <v>184</v>
      </c>
      <c r="B5" s="107">
        <f>SUM(F30:F34)*2</f>
        <v>98.32692307692308</v>
      </c>
      <c r="C5" s="87"/>
      <c r="D5" s="87"/>
      <c r="E5" s="87"/>
      <c r="F5" s="86"/>
      <c r="G5" s="88"/>
      <c r="M5" s="79" t="s">
        <v>386</v>
      </c>
      <c r="N5" s="152">
        <f>D62</f>
        <v>11.379999999999999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11.855070329186692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17.88</v>
      </c>
      <c r="N9" s="129"/>
    </row>
    <row r="10" spans="1:15" s="93" customFormat="1" x14ac:dyDescent="0.25">
      <c r="A10" s="123" t="s">
        <v>194</v>
      </c>
      <c r="B10" s="126">
        <f>PERCENTILE(176:176,B9)</f>
        <v>11.79</v>
      </c>
      <c r="C10" s="126">
        <f>PERCENTILE(176:176,C9)</f>
        <v>12.3</v>
      </c>
      <c r="D10" s="126">
        <f>PERCENTILE(176:176,D9)</f>
        <v>13.32</v>
      </c>
      <c r="E10" s="126">
        <f>PERCENTILE(176:176,E9)</f>
        <v>14.245000000000001</v>
      </c>
      <c r="F10" s="126">
        <f>PERCENTILE(176:176,F9)</f>
        <v>15.47</v>
      </c>
      <c r="G10" s="95"/>
      <c r="H10" s="135"/>
      <c r="I10" s="135"/>
      <c r="J10" s="135"/>
      <c r="K10" s="135"/>
      <c r="L10" s="136" t="s">
        <v>374</v>
      </c>
      <c r="M10" s="130">
        <f>MIN(176:176)</f>
        <v>9.15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37.450000000000003</v>
      </c>
      <c r="L11" s="272" t="s">
        <v>193</v>
      </c>
      <c r="M11" s="128">
        <f>STDEV(176:176)</f>
        <v>2.02485813398784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110.29411764705884</v>
      </c>
      <c r="C13" s="141">
        <f>$B$34/5.88%</f>
        <v>133.92857142857144</v>
      </c>
      <c r="D13" s="141">
        <f>$B$34/5%</f>
        <v>157.5</v>
      </c>
      <c r="E13" s="141">
        <f>$B$34/4.35%</f>
        <v>181.0344827586207</v>
      </c>
      <c r="F13" s="141">
        <f>$B$34/3.85%</f>
        <v>204.54545454545456</v>
      </c>
      <c r="G13" s="138" t="str">
        <f>"$"&amp;ROUND(B34,2)&amp;"/"&amp;IF(STDEV(C140:F140)/AVERAGE(C140:F140)&lt;15%,"高",IF(STDEV(C140:F140)/AVERAGE(C140:F140)&lt;30%,"中","低"))</f>
        <v>$7.88/高</v>
      </c>
      <c r="H13" s="142" t="s">
        <v>199</v>
      </c>
      <c r="I13" s="143">
        <f>MAX(0,1-J15)</f>
        <v>0.24578527062999111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128.74679999999998</v>
      </c>
      <c r="C14" s="141">
        <f>$B$33*C10</f>
        <v>134.31599999999997</v>
      </c>
      <c r="D14" s="141">
        <f>$B$33*D10</f>
        <v>145.45439999999999</v>
      </c>
      <c r="E14" s="141">
        <f>$B$33*E10</f>
        <v>155.55539999999999</v>
      </c>
      <c r="F14" s="141">
        <f>$B$33*F10</f>
        <v>168.93239999999997</v>
      </c>
      <c r="G14" s="138" t="str">
        <f>"$"&amp;ROUND(B33,2)&amp;"/"&amp;IF(STDEV(B69:E69)/AVERAGE(B69:E69)&lt;15%,"高",IF(STDEV(B69:E69)/AVERAGE(B69:E69)&lt;30%,"中","低"))</f>
        <v>$10.92/高</v>
      </c>
      <c r="H14" s="142" t="s">
        <v>203</v>
      </c>
      <c r="I14" s="145">
        <f>G62/100*I13</f>
        <v>7.5923070097604253E-2</v>
      </c>
      <c r="J14" s="76" t="s">
        <v>204</v>
      </c>
      <c r="K14" s="146"/>
      <c r="L14" s="147">
        <f>(HLOOKUP($C$1,$105:$106,2,FALSE)-HLOOKUP($C$1,$117:$127,9,FALSE))/(HLOOKUP($C$1,$117:$128,12,FALSE)/K11)</f>
        <v>10.765901142021375</v>
      </c>
      <c r="M14" s="148">
        <f>E135/E69</f>
        <v>0.68145519077196093</v>
      </c>
      <c r="N14" s="149">
        <f>F173/100</f>
        <v>1.4687000000000001</v>
      </c>
    </row>
    <row r="15" spans="1:15" s="93" customFormat="1" x14ac:dyDescent="0.25">
      <c r="A15" s="140" t="s">
        <v>375</v>
      </c>
      <c r="B15" s="141">
        <f>$D$62*B10</f>
        <v>134.17019999999997</v>
      </c>
      <c r="C15" s="141">
        <f>$D$62*C10</f>
        <v>139.97399999999999</v>
      </c>
      <c r="D15" s="141">
        <f>$D$62*D10</f>
        <v>151.58159999999998</v>
      </c>
      <c r="E15" s="141">
        <f>$D$62*E10</f>
        <v>162.10810000000001</v>
      </c>
      <c r="F15" s="141">
        <f>$D$62*F10</f>
        <v>176.04859999999999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0.75421472937000889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133.25685915785178</v>
      </c>
      <c r="C16" s="141">
        <f>$F$69*C10</f>
        <v>139.021150775367</v>
      </c>
      <c r="D16" s="141">
        <f>$F$69*D10</f>
        <v>150.54973401039743</v>
      </c>
      <c r="E16" s="141">
        <f>$F$69*E10</f>
        <v>161.00457665000837</v>
      </c>
      <c r="F16" s="141">
        <f>$F$69*F10</f>
        <v>174.85017906462826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48</v>
      </c>
      <c r="J17" s="92">
        <f ca="1">IF(I17&lt;=0,"",IF(I17&lt;=MIN($B$13:$F$16),(I17-MIN($B$13:$F$16))/MIN($B$13:$F$16),IF(I17&gt;=MAX($B$13:$F$16),I17/MAX($B$13:$F$16),PERCENTRANK($B$13:$F$16,I17))))</f>
        <v>-0.56480000000000008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10.737500000000001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16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1.3634920634920635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0.27572750395834889</v>
      </c>
      <c r="J20" s="171">
        <f>HLOOKUP($C$1,$117:$127,11,FALSE)/HLOOKUP($C$1,$105:$115,11,FALSE)</f>
        <v>0.39984759915756202</v>
      </c>
      <c r="K20" s="163"/>
    </row>
    <row r="21" spans="1:14" s="93" customFormat="1" x14ac:dyDescent="0.25">
      <c r="A21" s="151" t="s">
        <v>201</v>
      </c>
      <c r="B21" s="161">
        <f>AVERAGE(C173:F173)/100</f>
        <v>1.2062999999999999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2.0832730593744739</v>
      </c>
      <c r="J21" s="78"/>
      <c r="K21" s="164" t="s">
        <v>356</v>
      </c>
      <c r="L21" s="165">
        <f>HLOOKUP($C$1,$105:$115,7,FALSE)/HLOOKUP($C$1,$105:$115,11,FALSE)</f>
        <v>0.71035020443585228</v>
      </c>
      <c r="M21" s="123" t="s">
        <v>268</v>
      </c>
      <c r="N21" s="165">
        <f>HLOOKUP($C$1,$117:$127,8,FALSE)/HLOOKUP($C$1,$117:$127,11,FALSE)</f>
        <v>0.85276981492859105</v>
      </c>
    </row>
    <row r="22" spans="1:14" s="93" customFormat="1" x14ac:dyDescent="0.25">
      <c r="A22" s="140" t="s">
        <v>222</v>
      </c>
      <c r="B22" s="161">
        <f>(-1)*SUM(C133:F133)/SUM(C132:F132)</f>
        <v>0.19895580831624091</v>
      </c>
      <c r="C22" s="157"/>
      <c r="D22" s="166"/>
      <c r="E22" s="140"/>
      <c r="F22" s="159">
        <f>IF(B22&lt;=0,10,IF(B22&gt;=100%,0,(1-B22)*10))</f>
        <v>8.0104419168375909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1.4101952500044677</v>
      </c>
      <c r="J22" s="78"/>
      <c r="K22" s="142" t="s">
        <v>357</v>
      </c>
      <c r="L22" s="165">
        <f>HLOOKUP($C$1,$105:$115,4,FALSE)/HLOOKUP($C$1,$105:$115,11,FALSE)</f>
        <v>0.22471234822053093</v>
      </c>
      <c r="M22" s="123" t="s">
        <v>353</v>
      </c>
      <c r="N22" s="165">
        <f>HLOOKUP($C$1,$117:$127,4,FALSE)/HLOOKUP($C$1,$117:$127,11,FALSE)</f>
        <v>0.310418508103391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1.6662434384937779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0.22950470046916496</v>
      </c>
      <c r="M23" s="123" t="s">
        <v>354</v>
      </c>
      <c r="N23" s="165">
        <f>IF(HLOOKUP($C$1,$117:$127,5,FALSE)="無",0,HLOOKUP($C$1,$117:$127,5,FALSE))/HLOOKUP($C$1,$117:$127,11,FALSE)</f>
        <v>6.809960521735503E-2</v>
      </c>
    </row>
    <row r="24" spans="1:14" s="93" customFormat="1" x14ac:dyDescent="0.25">
      <c r="A24" s="164" t="s">
        <v>228</v>
      </c>
      <c r="B24" s="127">
        <f>AVERAGE(C103:F103)</f>
        <v>0.97177289878799133</v>
      </c>
      <c r="C24" s="169">
        <f>STDEV(C103:F103)</f>
        <v>3.2125799407297247E-3</v>
      </c>
      <c r="D24" s="76" t="str">
        <f>IF(C24/B24&lt;15%,"高",IF(C24/B24&lt;30%,"中","低"))</f>
        <v>高</v>
      </c>
      <c r="E24" s="149"/>
      <c r="F24" s="160">
        <f>MIN(100%,B24)*5</f>
        <v>4.858864493939957</v>
      </c>
      <c r="G24" s="88" t="s">
        <v>229</v>
      </c>
      <c r="H24" s="123" t="s">
        <v>16</v>
      </c>
      <c r="I24" s="170">
        <f>HLOOKUP(C1,167:170,2,FALSE)</f>
        <v>47.37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6.4194364953194152E-2</v>
      </c>
      <c r="M24" s="123" t="s">
        <v>355</v>
      </c>
      <c r="N24" s="165">
        <f>HLOOKUP($C$1,$117:$127,9,FALSE)/HLOOKUP($C$1,$117:$127,11,FALSE)</f>
        <v>0.14723018507140898</v>
      </c>
    </row>
    <row r="25" spans="1:14" s="93" customFormat="1" x14ac:dyDescent="0.25">
      <c r="A25" s="151" t="s">
        <v>366</v>
      </c>
      <c r="B25" s="255">
        <f>AVERAGE(94:94)</f>
        <v>1069.8260869565217</v>
      </c>
      <c r="C25" s="254">
        <f>STDEV(94:94)/AVERAGE(94:94)</f>
        <v>5.7046532317812826</v>
      </c>
      <c r="D25" s="76" t="str">
        <f>IF(C25&lt;=1,"高",IF(C25&lt;=2,"中","低"))</f>
        <v>低</v>
      </c>
      <c r="E25" s="149"/>
      <c r="F25" s="160">
        <f>MAX(0,10-ABS(C25))</f>
        <v>4.2953467682187174</v>
      </c>
      <c r="G25" s="88" t="s">
        <v>213</v>
      </c>
      <c r="H25" s="123" t="s">
        <v>232</v>
      </c>
      <c r="I25" s="170">
        <f>IF(HLOOKUP(C1,167:170,3,FALSE)="無",0,HLOOKUP(C1,167:170,3,FALSE))</f>
        <v>83.33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66.994347826086965</v>
      </c>
      <c r="C26" s="172">
        <f>IF(COUNTIF(168:168,"&gt;0")=0,0,STDEV(168:168))</f>
        <v>15.613625118083901</v>
      </c>
      <c r="D26" s="76" t="str">
        <f>IF(C26&lt;=15,"高",IF(C26&lt;=30,"中","低"))</f>
        <v>中</v>
      </c>
      <c r="E26" s="149"/>
      <c r="F26" s="160">
        <f>IF(I24&lt;=60,4,IF(I24&lt;=90,3,IF(I24&lt;=120,2,IF(I24&lt;=150,1,0))))+IF(D26="高",6,IF(D26="中",4,2))</f>
        <v>8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101.60652173913044</v>
      </c>
      <c r="C27" s="172">
        <f>IF(COUNTIF(169:169,"&gt;0")=0,0,STDEV(169:169))</f>
        <v>19.279572469961607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7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0.40234999999999999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0.126225</v>
      </c>
      <c r="C31" s="157" t="s">
        <v>217</v>
      </c>
      <c r="D31" s="174">
        <f>COUNTIF(149:149,"&gt;8")/COUNT(149:149)</f>
        <v>0.91304347826086951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30.975000000000001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10.919999999999998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7.875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9.1634615384615383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4165453.5</v>
      </c>
      <c r="C36" s="178">
        <f>STDEV(C97:F97)</f>
        <v>169703.23377885291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40.234999999999999</v>
      </c>
      <c r="C37" s="180">
        <f>STDEV(C152:F152)</f>
        <v>1.3471575013090833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17.0425</v>
      </c>
      <c r="C38" s="180">
        <f>STDEV(C153:F153)</f>
        <v>0.7622936879357366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30.975000000000001</v>
      </c>
      <c r="C39" s="181">
        <f>STDEV(C165:F165)</f>
        <v>3.828250253052953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10.919999999999998</v>
      </c>
      <c r="C40" s="183">
        <f>STDEV(B69:E69)</f>
        <v>0.7557336391436692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3.3613445378151294E-2</v>
      </c>
      <c r="C44" s="186">
        <f>(C46-C49)/C49</f>
        <v>-0.10289389067524111</v>
      </c>
      <c r="D44" s="186">
        <f>(D46-D49)/D49</f>
        <v>0.2743362831858408</v>
      </c>
      <c r="E44" s="186">
        <f>(E46-E49)/E49</f>
        <v>3.5928143712574884E-2</v>
      </c>
      <c r="G44" s="86" t="s">
        <v>175</v>
      </c>
      <c r="H44" s="186">
        <f>(H47-H50)/H50</f>
        <v>-8.9707271010387113E-2</v>
      </c>
      <c r="I44" s="186">
        <f>(I47-I50)/I50</f>
        <v>-7.8184800437397381E-2</v>
      </c>
      <c r="J44" s="186">
        <f>(J47-J50)/J50</f>
        <v>0.15097402597402601</v>
      </c>
      <c r="K44" s="186">
        <f>(K47-K50)/K50</f>
        <v>-2.4755028365136801E-2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3.69</v>
      </c>
      <c r="C46" s="152">
        <f>HLOOKUP(C45,$81:$82,2,FALSE)</f>
        <v>2.79</v>
      </c>
      <c r="D46" s="152">
        <f>HLOOKUP(D45,$81:$82,2,FALSE)</f>
        <v>1.44</v>
      </c>
      <c r="E46" s="152">
        <f>HLOOKUP(E45,$81:$82,2,FALSE)</f>
        <v>3.46</v>
      </c>
      <c r="G46" s="86" t="s">
        <v>164</v>
      </c>
      <c r="H46" s="145">
        <f>HLOOKUP(H45,$145:$147,2,FALSE)/100</f>
        <v>0.41289999999999999</v>
      </c>
      <c r="I46" s="145">
        <f>HLOOKUP(I45,$145:$147,2,FALSE)/100</f>
        <v>0.40229999999999999</v>
      </c>
      <c r="J46" s="145">
        <f>HLOOKUP(J45,$145:$147,2,FALSE)/100</f>
        <v>0.41820000000000002</v>
      </c>
      <c r="K46" s="145">
        <f>HLOOKUP(K45,$145:$147,2,FALSE)/100</f>
        <v>0.42210000000000003</v>
      </c>
    </row>
    <row r="47" spans="1:14" x14ac:dyDescent="0.25">
      <c r="A47" s="188" t="s">
        <v>165</v>
      </c>
      <c r="B47" s="189">
        <f>HLOOKUP(B45,$157:$159,3,FALSE)</f>
        <v>10.29</v>
      </c>
      <c r="C47" s="189">
        <f>HLOOKUP(C45,$157:$159,3,FALSE)</f>
        <v>7.73</v>
      </c>
      <c r="D47" s="189">
        <f>HLOOKUP(D45,$157:$159,3,FALSE)</f>
        <v>3.72</v>
      </c>
      <c r="E47" s="189">
        <f>HLOOKUP(E45,$157:$159,3,FALSE)</f>
        <v>9.15</v>
      </c>
      <c r="G47" s="190" t="s">
        <v>166</v>
      </c>
      <c r="H47" s="145">
        <f>HLOOKUP(H45,$145:$147,3,FALSE)/100</f>
        <v>0.1928</v>
      </c>
      <c r="I47" s="145">
        <f>HLOOKUP(I45,$145:$147,3,FALSE)/100</f>
        <v>0.1686</v>
      </c>
      <c r="J47" s="145">
        <f>HLOOKUP(J45,$145:$147,3,FALSE)/100</f>
        <v>0.14180000000000001</v>
      </c>
      <c r="K47" s="145">
        <f>HLOOKUP(K45,$145:$147,3,FALSE)/100</f>
        <v>0.18909999999999999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3.57</v>
      </c>
      <c r="C49" s="152">
        <f>HLOOKUP(C48,$81:$82,2,FALSE)</f>
        <v>3.11</v>
      </c>
      <c r="D49" s="152">
        <f>HLOOKUP(D48,$81:$82,2,FALSE)</f>
        <v>1.1299999999999999</v>
      </c>
      <c r="E49" s="152">
        <f>HLOOKUP(E48,$81:$82,2,FALSE)</f>
        <v>3.34</v>
      </c>
      <c r="G49" s="86" t="s">
        <v>164</v>
      </c>
      <c r="H49" s="145">
        <f>HLOOKUP(H48,$145:$147,2,FALSE)/100</f>
        <v>0.42520000000000002</v>
      </c>
      <c r="I49" s="145">
        <f>HLOOKUP(I48,$145:$147,2,FALSE)/100</f>
        <v>0.4279</v>
      </c>
      <c r="J49" s="145">
        <f>HLOOKUP(J48,$145:$147,2,FALSE)/100</f>
        <v>0.40649999999999997</v>
      </c>
      <c r="K49" s="145">
        <f>HLOOKUP(K48,$145:$147,2,FALSE)/100</f>
        <v>0.40889999999999999</v>
      </c>
    </row>
    <row r="50" spans="1:15" x14ac:dyDescent="0.25">
      <c r="A50" s="188" t="s">
        <v>165</v>
      </c>
      <c r="B50" s="189">
        <f>HLOOKUP(B48,$157:$159,3,FALSE)</f>
        <v>10.23</v>
      </c>
      <c r="C50" s="189">
        <f>HLOOKUP(C48,$157:$159,3,FALSE)</f>
        <v>8.6199999999999992</v>
      </c>
      <c r="D50" s="189">
        <f>HLOOKUP(D48,$157:$159,3,FALSE)</f>
        <v>3.12</v>
      </c>
      <c r="E50" s="189">
        <f>HLOOKUP(E48,$157:$159,3,FALSE)</f>
        <v>9.25</v>
      </c>
      <c r="G50" s="190" t="s">
        <v>166</v>
      </c>
      <c r="H50" s="145">
        <f>HLOOKUP(H48,$145:$147,3,FALSE)/100</f>
        <v>0.21179999999999999</v>
      </c>
      <c r="I50" s="145">
        <f>HLOOKUP(I48,$145:$147,3,FALSE)/100</f>
        <v>0.18289999999999998</v>
      </c>
      <c r="J50" s="145">
        <f>HLOOKUP(J48,$145:$147,3,FALSE)/100</f>
        <v>0.1232</v>
      </c>
      <c r="K50" s="145">
        <f>HLOOKUP(K48,$145:$147,3,FALSE)/100</f>
        <v>0.19390000000000002</v>
      </c>
    </row>
    <row r="51" spans="1:15" x14ac:dyDescent="0.25">
      <c r="A51" s="86" t="s">
        <v>351</v>
      </c>
      <c r="B51" s="186">
        <f>(B47-B50)/B50</f>
        <v>5.8651026392960628E-3</v>
      </c>
      <c r="C51" s="186">
        <f>(C47-C50)/C50</f>
        <v>-0.10324825986078873</v>
      </c>
      <c r="D51" s="186">
        <f>(D47-D50)/D50</f>
        <v>0.19230769230769232</v>
      </c>
      <c r="E51" s="186">
        <f>(E47-E50)/E50</f>
        <v>-1.0810810810810773E-2</v>
      </c>
      <c r="G51" s="235" t="s">
        <v>174</v>
      </c>
      <c r="H51" s="186">
        <f>(H46-H49)/H49</f>
        <v>-2.8927563499529709E-2</v>
      </c>
      <c r="I51" s="186">
        <f>(I46-I49)/I49</f>
        <v>-5.9827062397756509E-2</v>
      </c>
      <c r="J51" s="186">
        <f>(J46-J49)/J49</f>
        <v>2.8782287822878339E-2</v>
      </c>
      <c r="K51" s="186">
        <f>(K46-K49)/K49</f>
        <v>3.2281731474688297E-2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11.855070329186692</v>
      </c>
      <c r="B53" s="193">
        <f>B46</f>
        <v>3.69</v>
      </c>
      <c r="C53" s="193">
        <f>E46/HLOOKUP(E45,$87:$94,5,FALSE)*HLOOKUP(E45,$87:$94,4,FALSE)*($B$25/HLOOKUP(E45,$87:$94,4,FALSE)+SUM($B$57:$D$57)/SUM($B58:$D$58)*$G$69/100/K46)</f>
        <v>3.3825325833631701</v>
      </c>
      <c r="D53" s="193">
        <f>D46/HLOOKUP(D45,$87:$94,5,FALSE)*HLOOKUP(D45,$87:$94,4,FALSE)*($B$25/HLOOKUP(D45,$87:$94,4,FALSE)+SUM($B$57:$D$57)/SUM($B58:$D$58)*$G$69/100/J46)</f>
        <v>1.7073866218900329</v>
      </c>
      <c r="E53" s="193">
        <f>C46/HLOOKUP(C45,$87:$94,5,FALSE)*HLOOKUP(C45,$87:$94,4,FALSE)*($B$25/HLOOKUP(C45,$87:$94,4,FALSE)+SUM($B$57:$D$57)/SUM($B58:$D$58)*$G$69/100/I46)</f>
        <v>3.0751511239334901</v>
      </c>
    </row>
    <row r="54" spans="1:15" x14ac:dyDescent="0.25">
      <c r="A54" s="278">
        <f>SUM(B54:E54)</f>
        <v>11.259999999999998</v>
      </c>
      <c r="B54" s="277">
        <f t="shared" ref="B54:D54" si="0">HLOOKUP(B52-10,81:82,2,FALSE)</f>
        <v>3.57</v>
      </c>
      <c r="C54" s="277">
        <f t="shared" si="0"/>
        <v>3.46</v>
      </c>
      <c r="D54" s="277">
        <f t="shared" si="0"/>
        <v>1.44</v>
      </c>
      <c r="E54" s="277">
        <f>HLOOKUP(E52-10,81:82,2,FALSE)</f>
        <v>2.79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377523</v>
      </c>
      <c r="C57" s="196">
        <f>HLOOKUP(C56,78:79,2,FALSE)</f>
        <v>452852</v>
      </c>
      <c r="D57" s="196">
        <f>HLOOKUP(D56,78:79,2,FALSE)</f>
        <v>435008</v>
      </c>
      <c r="E57" s="196">
        <f>HLOOKUP(E56,78:79,2,FALSE)</f>
        <v>372564</v>
      </c>
      <c r="F57" s="196">
        <f>HLOOKUP(F56,78:79,2,FALSE)</f>
        <v>399971</v>
      </c>
      <c r="G57" s="196">
        <f t="shared" ref="G57:M57" si="2">HLOOKUP(G56,78:79,2,FALSE)</f>
        <v>398225</v>
      </c>
      <c r="H57" s="196">
        <f t="shared" si="2"/>
        <v>416406</v>
      </c>
      <c r="I57" s="196">
        <f t="shared" si="2"/>
        <v>377679</v>
      </c>
      <c r="J57" s="196">
        <f t="shared" si="2"/>
        <v>202519</v>
      </c>
      <c r="K57" s="196">
        <f t="shared" si="2"/>
        <v>260900</v>
      </c>
      <c r="L57" s="196">
        <f t="shared" si="2"/>
        <v>467039</v>
      </c>
      <c r="M57" s="196">
        <f t="shared" si="2"/>
        <v>425749</v>
      </c>
      <c r="N57" s="197"/>
    </row>
    <row r="58" spans="1:15" x14ac:dyDescent="0.25">
      <c r="A58" s="198" t="s">
        <v>253</v>
      </c>
      <c r="B58" s="196">
        <f>HLOOKUP(B56-100,78:79,2,FALSE)</f>
        <v>334591</v>
      </c>
      <c r="C58" s="196">
        <f>HLOOKUP(C56-100,78:79,2,FALSE)</f>
        <v>395336</v>
      </c>
      <c r="D58" s="196">
        <f>HLOOKUP(D56-100,78:79,2,FALSE)</f>
        <v>431663</v>
      </c>
      <c r="E58" s="196">
        <f>HLOOKUP(E56-100,78:79,2,FALSE)</f>
        <v>392980</v>
      </c>
      <c r="F58" s="196">
        <f>HLOOKUP(F56-100,78:79,2,FALSE)</f>
        <v>392324</v>
      </c>
      <c r="G58" s="196">
        <f t="shared" ref="G58:M58" si="3">HLOOKUP(G56-100,78:79,2,FALSE)</f>
        <v>345616</v>
      </c>
      <c r="H58" s="196">
        <f t="shared" si="3"/>
        <v>361040</v>
      </c>
      <c r="I58" s="196">
        <f t="shared" si="3"/>
        <v>339209</v>
      </c>
      <c r="J58" s="196">
        <f t="shared" si="3"/>
        <v>165557</v>
      </c>
      <c r="K58" s="196">
        <f t="shared" si="3"/>
        <v>338688</v>
      </c>
      <c r="L58" s="196">
        <f t="shared" si="3"/>
        <v>424010</v>
      </c>
      <c r="M58" s="196">
        <f t="shared" si="3"/>
        <v>441830</v>
      </c>
      <c r="N58" s="197"/>
    </row>
    <row r="59" spans="1:15" x14ac:dyDescent="0.25">
      <c r="A59" s="199" t="s">
        <v>254</v>
      </c>
      <c r="B59" s="165">
        <f>IF(B57&lt;&gt;"",(B57-B58)/B58,"")</f>
        <v>0.12831187927947854</v>
      </c>
      <c r="C59" s="165">
        <f>IF(C57&lt;&gt;"",(C57-C58)/C58,"")</f>
        <v>0.14548637108687293</v>
      </c>
      <c r="D59" s="165">
        <f>IF(D57&lt;&gt;"",(D57-D58)/D58,"")</f>
        <v>7.7491005715106462E-3</v>
      </c>
      <c r="E59" s="165">
        <f>IF(E57&lt;&gt;"",(E57-E58)/E58,"")</f>
        <v>-5.1951753269886505E-2</v>
      </c>
      <c r="F59" s="165">
        <f>IF(F57&lt;&gt;"",(F57-F58)/F58,"")</f>
        <v>1.9491542704499341E-2</v>
      </c>
      <c r="G59" s="165">
        <f t="shared" ref="G59:M59" si="4">IF(G57&lt;&gt;"",(G57-G58)/G58,"")</f>
        <v>0.15221806860793483</v>
      </c>
      <c r="H59" s="165">
        <f t="shared" si="4"/>
        <v>0.15335142920452027</v>
      </c>
      <c r="I59" s="165">
        <f t="shared" si="4"/>
        <v>0.11341090596063194</v>
      </c>
      <c r="J59" s="165">
        <f t="shared" si="4"/>
        <v>0.22325845479200518</v>
      </c>
      <c r="K59" s="165">
        <f t="shared" si="4"/>
        <v>-0.22967450869236583</v>
      </c>
      <c r="L59" s="165">
        <f t="shared" si="4"/>
        <v>0.10148109714393529</v>
      </c>
      <c r="M59" s="165">
        <f t="shared" si="4"/>
        <v>-3.6396351537921826E-2</v>
      </c>
    </row>
    <row r="60" spans="1:15" x14ac:dyDescent="0.25">
      <c r="A60" s="195" t="s">
        <v>255</v>
      </c>
      <c r="B60" s="196">
        <f>SUM(B57:M57)</f>
        <v>4586435</v>
      </c>
    </row>
    <row r="61" spans="1:15" x14ac:dyDescent="0.25">
      <c r="A61" s="198" t="s">
        <v>256</v>
      </c>
      <c r="B61" s="196">
        <f>SUM(B58:M58)</f>
        <v>4362844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1.051248910114595</v>
      </c>
      <c r="D62" s="152">
        <f>SUM(B46:E46)</f>
        <v>11.379999999999999</v>
      </c>
      <c r="E62" s="152">
        <f>SUM(B49:E49)</f>
        <v>11.149999999999999</v>
      </c>
      <c r="G62" s="126">
        <f>SUM(B47:E47)</f>
        <v>30.89</v>
      </c>
      <c r="H62" s="126">
        <f>SUM(B50:E50)</f>
        <v>31.220000000000002</v>
      </c>
      <c r="J62" s="200">
        <f>AVERAGE(H46:K46)</f>
        <v>0.41387499999999999</v>
      </c>
      <c r="K62" s="200">
        <f>AVERAGE(H49:K49)</f>
        <v>0.41712499999999997</v>
      </c>
      <c r="M62" s="200">
        <f>AVERAGE(H47:K47)</f>
        <v>0.17307499999999998</v>
      </c>
      <c r="N62" s="200">
        <f>AVERAGE(H50:K50)</f>
        <v>0.17795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1.4</v>
      </c>
      <c r="C65" s="205">
        <f t="shared" si="5"/>
        <v>1.25</v>
      </c>
      <c r="D65" s="205">
        <f t="shared" si="5"/>
        <v>1.64</v>
      </c>
      <c r="E65" s="205">
        <f t="shared" si="5"/>
        <v>1.1299999999999999</v>
      </c>
      <c r="F65" s="206">
        <f>IF(ISNA(HLOOKUP(F$64*10+$A65,$81:$82,2,FALSE)),(HLOOKUP(E$64*10+$A65,$87:$94,4,FALSE)*$G65+$B$25)/HLOOKUP(E$64*10+$A65,$87:$94,5,FALSE)*$E65,HLOOKUP(F$64*10+$A65,$81:$82,2,FALSE))</f>
        <v>1.44</v>
      </c>
      <c r="G65" s="101">
        <f>MIN(130%,SUM($B$57:$D$57)/SUM($B$58:$D$58)*$G$69/HLOOKUP(E$64*10+$A65,$145:$146,2,FALSE))</f>
        <v>1.0812478499883913</v>
      </c>
      <c r="H65" s="204">
        <v>1</v>
      </c>
      <c r="I65" s="208">
        <f t="shared" ref="I65:M68" si="6">IF(ISNA(HLOOKUP(I$64*10+$H65,$145:$147,3,FALSE)),"",HLOOKUP(I$64*10+$H65,$145:$147,3,FALSE)/100)</f>
        <v>0.1245</v>
      </c>
      <c r="J65" s="208">
        <f t="shared" si="6"/>
        <v>0.1174</v>
      </c>
      <c r="K65" s="208">
        <f t="shared" si="6"/>
        <v>0.14980000000000002</v>
      </c>
      <c r="L65" s="208">
        <f t="shared" si="6"/>
        <v>0.1232</v>
      </c>
      <c r="M65" s="209">
        <f t="shared" si="6"/>
        <v>0.14180000000000001</v>
      </c>
      <c r="N65" s="256">
        <f t="shared" ref="N65:O68" si="7">HLOOKUP(E$64*10+$A65,$87:$94,8,FALSE)</f>
        <v>-5740</v>
      </c>
      <c r="O65" s="256">
        <f t="shared" si="7"/>
        <v>-12538</v>
      </c>
      <c r="P65" s="210"/>
    </row>
    <row r="66" spans="1:71" x14ac:dyDescent="0.25">
      <c r="A66" s="204">
        <v>2</v>
      </c>
      <c r="B66" s="205">
        <f t="shared" si="5"/>
        <v>2.58</v>
      </c>
      <c r="C66" s="205">
        <f t="shared" si="5"/>
        <v>3.15</v>
      </c>
      <c r="D66" s="205">
        <f t="shared" si="5"/>
        <v>2.0299999999999998</v>
      </c>
      <c r="E66" s="205">
        <f t="shared" si="5"/>
        <v>3.11</v>
      </c>
      <c r="F66" s="206">
        <f>IF(ISNA(HLOOKUP(F$64*10+$A66,$81:$82,2,FALSE)),(HLOOKUP(E$64*10+$A66,$87:$94,4,FALSE)*$G66+$B$25)/HLOOKUP(E$64*10+$A66,$87:$94,5,FALSE)*$E66,HLOOKUP(F$64*10+$A66,$81:$82,2,FALSE))</f>
        <v>2.79</v>
      </c>
      <c r="G66" s="101">
        <f>MIN(130%,SUM($B$57:$D$57)/SUM($B$58:$D$58)*$G$69/HLOOKUP(E$64*10+$A66,$145:$146,2,FALSE))</f>
        <v>1.0271728231369035</v>
      </c>
      <c r="H66" s="204">
        <v>2</v>
      </c>
      <c r="I66" s="208">
        <f t="shared" si="6"/>
        <v>0.16120000000000001</v>
      </c>
      <c r="J66" s="208">
        <f t="shared" si="6"/>
        <v>0.1807</v>
      </c>
      <c r="K66" s="208">
        <f t="shared" si="6"/>
        <v>0.15109999999999998</v>
      </c>
      <c r="L66" s="208">
        <f t="shared" si="6"/>
        <v>0.18289999999999998</v>
      </c>
      <c r="M66" s="209">
        <f t="shared" si="6"/>
        <v>0.1686</v>
      </c>
      <c r="N66" s="256">
        <f t="shared" si="7"/>
        <v>11641</v>
      </c>
      <c r="O66" s="256">
        <f t="shared" si="7"/>
        <v>-805</v>
      </c>
      <c r="P66" s="210"/>
    </row>
    <row r="67" spans="1:71" x14ac:dyDescent="0.25">
      <c r="A67" s="204">
        <v>3</v>
      </c>
      <c r="B67" s="205">
        <f t="shared" si="5"/>
        <v>3.67</v>
      </c>
      <c r="C67" s="205">
        <f t="shared" si="5"/>
        <v>3.27</v>
      </c>
      <c r="D67" s="205">
        <f t="shared" si="5"/>
        <v>2.78</v>
      </c>
      <c r="E67" s="205">
        <f t="shared" si="5"/>
        <v>3.57</v>
      </c>
      <c r="F67" s="206">
        <f>IF(ISNA(HLOOKUP(F$64*10+$A67,$81:$82,2,FALSE)),(HLOOKUP(E$64*10+$A67,$87:$94,4,FALSE)*$G67+$B$25)/HLOOKUP(E$64*10+$A67,$87:$94,5,FALSE)*$E67,HLOOKUP(F$64*10+$A67,$81:$82,2,FALSE))</f>
        <v>3.69</v>
      </c>
      <c r="G67" s="101">
        <f>MIN(130%,SUM($B$57:$D$57)/SUM($B$58:$D$58)*$G$69/HLOOKUP(E$64*10+$A67,$145:$146,2,FALSE))</f>
        <v>1.0336953222490146</v>
      </c>
      <c r="H67" s="204">
        <v>3</v>
      </c>
      <c r="I67" s="208">
        <f t="shared" si="6"/>
        <v>0.17399999999999999</v>
      </c>
      <c r="J67" s="208">
        <f t="shared" si="6"/>
        <v>0.1777</v>
      </c>
      <c r="K67" s="208">
        <f t="shared" si="6"/>
        <v>0.15479999999999999</v>
      </c>
      <c r="L67" s="208">
        <f t="shared" si="6"/>
        <v>0.21179999999999999</v>
      </c>
      <c r="M67" s="209">
        <f t="shared" si="6"/>
        <v>0.1928</v>
      </c>
      <c r="N67" s="256">
        <f t="shared" si="7"/>
        <v>-8079</v>
      </c>
      <c r="O67" s="256">
        <f t="shared" si="7"/>
        <v>-2626</v>
      </c>
      <c r="P67" s="210"/>
    </row>
    <row r="68" spans="1:71" x14ac:dyDescent="0.25">
      <c r="A68" s="204">
        <v>4</v>
      </c>
      <c r="B68" s="205">
        <f>HLOOKUP(B$64*10+$A68,$81:$82,2,FALSE)</f>
        <v>3.59</v>
      </c>
      <c r="C68" s="205">
        <f>HLOOKUP(C$64*10+$A68,$81:$82,2,FALSE)</f>
        <v>3.71</v>
      </c>
      <c r="D68" s="205">
        <f>HLOOKUP(D$64*10+$A68,$81:$82,2,FALSE)</f>
        <v>3.34</v>
      </c>
      <c r="E68" s="206">
        <f>IF(ISNA(HLOOKUP(E$64*10+$A68,$81:$82,2,FALSE)),D68*(1-$N68)*#REF!*(1+$B$25)/(1+$E$4),HLOOKUP(E$64*10+$A68,$81:$82,2,FALSE))</f>
        <v>3.46</v>
      </c>
      <c r="F68" s="206">
        <f>IF(ISNA(HLOOKUP(F$64*10+$A68,$81:$82,2,FALSE)),(HLOOKUP(E$64*10+$A68,$87:$94,4,FALSE)*$G68+$B$25)/HLOOKUP(E$64*10+$A68,$87:$94,5,FALSE)*$E68,HLOOKUP(F$64*10+$A68,$81:$82,2,FALSE))</f>
        <v>3.3825325833631696</v>
      </c>
      <c r="G68" s="101">
        <f>MIN(130%,SUM($B$57:$D$57)/SUM($B$58:$D$58)*$G$69/HLOOKUP(E$64*10+$A68,$145:$146,2,FALSE))</f>
        <v>1.0412870197116348</v>
      </c>
      <c r="H68" s="204">
        <v>4</v>
      </c>
      <c r="I68" s="208">
        <f t="shared" si="6"/>
        <v>0.18280000000000002</v>
      </c>
      <c r="J68" s="208">
        <f t="shared" si="6"/>
        <v>0.18890000000000001</v>
      </c>
      <c r="K68" s="208">
        <f t="shared" si="6"/>
        <v>0.19390000000000002</v>
      </c>
      <c r="L68" s="208">
        <f t="shared" si="6"/>
        <v>0.18909999999999999</v>
      </c>
      <c r="M68" s="209" t="str">
        <f t="shared" si="6"/>
        <v/>
      </c>
      <c r="N68" s="256">
        <f t="shared" si="7"/>
        <v>15664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11.24</v>
      </c>
      <c r="C69" s="213">
        <f>SUM(C65:C68)</f>
        <v>11.379999999999999</v>
      </c>
      <c r="D69" s="213">
        <f>SUM(D65:D68)</f>
        <v>9.7899999999999991</v>
      </c>
      <c r="E69" s="213">
        <f>SUM(E65:E68)</f>
        <v>11.27</v>
      </c>
      <c r="F69" s="213">
        <f>SUM(F65:F68)</f>
        <v>11.30253258336317</v>
      </c>
      <c r="G69" s="257">
        <f>_xlfn.FORECAST.ETS(23,B146:W146,{1,2,3,4,5,6,7,8,9,10,11,12,13,14,15,16,17,18,19,20,21,22})</f>
        <v>40.347504234895538</v>
      </c>
      <c r="H69" s="214" t="s">
        <v>19</v>
      </c>
      <c r="I69" s="215">
        <f>HLOOKUP(I64,151:155,3,FALSE)/100</f>
        <v>0.16539999999999999</v>
      </c>
      <c r="J69" s="215">
        <f>HLOOKUP(J64,151:155,3,FALSE)/100</f>
        <v>0.17120000000000002</v>
      </c>
      <c r="K69" s="215">
        <f>HLOOKUP(K64,151:155,3,FALSE)/100</f>
        <v>0.16420000000000001</v>
      </c>
      <c r="L69" s="215">
        <f>IF(ISNA(HLOOKUP(L64,151:155,3,FALSE)/100),AVERAGE(L65:L68),HLOOKUP(L64,151:155,3,FALSE)/100)</f>
        <v>0.18090000000000001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4.57</v>
      </c>
      <c r="C72" s="205">
        <f t="shared" si="8"/>
        <v>3.69</v>
      </c>
      <c r="D72" s="205">
        <f t="shared" si="8"/>
        <v>4.42</v>
      </c>
      <c r="E72" s="205">
        <f t="shared" si="8"/>
        <v>3.12</v>
      </c>
      <c r="F72" s="205">
        <f t="shared" si="8"/>
        <v>3.72</v>
      </c>
    </row>
    <row r="73" spans="1:71" s="135" customFormat="1" x14ac:dyDescent="0.25">
      <c r="A73" s="204">
        <v>2</v>
      </c>
      <c r="B73" s="205">
        <f t="shared" si="8"/>
        <v>8.69</v>
      </c>
      <c r="C73" s="205">
        <f t="shared" si="8"/>
        <v>9.57</v>
      </c>
      <c r="D73" s="205">
        <f t="shared" si="8"/>
        <v>5.86</v>
      </c>
      <c r="E73" s="205">
        <f t="shared" si="8"/>
        <v>8.6199999999999992</v>
      </c>
      <c r="F73" s="205">
        <f t="shared" si="8"/>
        <v>7.73</v>
      </c>
    </row>
    <row r="74" spans="1:71" s="135" customFormat="1" x14ac:dyDescent="0.25">
      <c r="A74" s="204">
        <v>3</v>
      </c>
      <c r="B74" s="205">
        <f t="shared" si="8"/>
        <v>13</v>
      </c>
      <c r="C74" s="205">
        <f t="shared" si="8"/>
        <v>10.69</v>
      </c>
      <c r="D74" s="205">
        <f t="shared" si="8"/>
        <v>8.4600000000000009</v>
      </c>
      <c r="E74" s="205">
        <f t="shared" si="8"/>
        <v>10.23</v>
      </c>
      <c r="F74" s="205">
        <f t="shared" si="8"/>
        <v>10.29</v>
      </c>
    </row>
    <row r="75" spans="1:71" s="135" customFormat="1" x14ac:dyDescent="0.25">
      <c r="A75" s="204">
        <v>4</v>
      </c>
      <c r="B75" s="205">
        <f t="shared" si="8"/>
        <v>11.2</v>
      </c>
      <c r="C75" s="205">
        <f t="shared" si="8"/>
        <v>10.6</v>
      </c>
      <c r="D75" s="205">
        <f t="shared" si="8"/>
        <v>9.25</v>
      </c>
      <c r="E75" s="205">
        <f t="shared" si="8"/>
        <v>9.15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37.459999999999994</v>
      </c>
      <c r="C76" s="213">
        <f>SUM(C72:C75)</f>
        <v>34.549999999999997</v>
      </c>
      <c r="D76" s="213">
        <f>SUM(D72:D75)</f>
        <v>27.990000000000002</v>
      </c>
      <c r="E76" s="213">
        <f>AVERAGE(E72:E75)*4</f>
        <v>31.119999999999997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170753</v>
      </c>
      <c r="C79" s="270">
        <v>170049</v>
      </c>
      <c r="D79" s="270">
        <v>292371</v>
      </c>
      <c r="E79" s="270">
        <v>297978</v>
      </c>
      <c r="F79" s="270">
        <v>308907</v>
      </c>
      <c r="G79" s="270">
        <v>304498</v>
      </c>
      <c r="H79" s="270">
        <v>294909</v>
      </c>
      <c r="I79" s="270">
        <v>377712</v>
      </c>
      <c r="J79" s="270">
        <v>307040</v>
      </c>
      <c r="K79" s="270">
        <v>255303</v>
      </c>
      <c r="L79" s="270">
        <v>358996</v>
      </c>
      <c r="M79" s="270">
        <v>324986</v>
      </c>
      <c r="N79" s="270">
        <v>296841</v>
      </c>
      <c r="O79" s="270">
        <v>114155</v>
      </c>
      <c r="P79" s="270">
        <v>235689</v>
      </c>
      <c r="Q79" s="270">
        <v>304727</v>
      </c>
      <c r="R79" s="270">
        <v>346497</v>
      </c>
      <c r="S79" s="270">
        <v>306847</v>
      </c>
      <c r="T79" s="270">
        <v>336416</v>
      </c>
      <c r="U79" s="270">
        <v>408489</v>
      </c>
      <c r="V79" s="270">
        <v>350477</v>
      </c>
      <c r="W79" s="270">
        <v>342496</v>
      </c>
      <c r="X79" s="270">
        <v>430458</v>
      </c>
      <c r="Y79" s="270">
        <v>449901</v>
      </c>
      <c r="Z79" s="270">
        <v>251362</v>
      </c>
      <c r="AA79" s="270">
        <v>176604</v>
      </c>
      <c r="AB79" s="270">
        <v>328658</v>
      </c>
      <c r="AC79" s="270">
        <v>372750</v>
      </c>
      <c r="AD79" s="270">
        <v>338092</v>
      </c>
      <c r="AE79" s="270">
        <v>345709</v>
      </c>
      <c r="AF79" s="270">
        <v>387935</v>
      </c>
      <c r="AG79" s="270">
        <v>424996</v>
      </c>
      <c r="AH79" s="270">
        <v>421616</v>
      </c>
      <c r="AI79" s="270">
        <v>362213</v>
      </c>
      <c r="AJ79" s="270">
        <v>433177</v>
      </c>
      <c r="AK79" s="270">
        <v>465186</v>
      </c>
      <c r="AL79" s="270">
        <v>384225</v>
      </c>
      <c r="AM79" s="270">
        <v>140713</v>
      </c>
      <c r="AN79" s="270">
        <v>319286</v>
      </c>
      <c r="AO79" s="270">
        <v>345048</v>
      </c>
      <c r="AP79" s="270">
        <v>316334</v>
      </c>
      <c r="AQ79" s="270">
        <v>368523</v>
      </c>
      <c r="AR79" s="270">
        <v>319433</v>
      </c>
      <c r="AS79" s="270">
        <v>357389</v>
      </c>
      <c r="AT79" s="270">
        <v>366978</v>
      </c>
      <c r="AU79" s="270">
        <v>320784</v>
      </c>
      <c r="AV79" s="270">
        <v>441830</v>
      </c>
      <c r="AW79" s="270">
        <v>424010</v>
      </c>
      <c r="AX79" s="270">
        <v>338688</v>
      </c>
      <c r="AY79" s="270">
        <v>165557</v>
      </c>
      <c r="AZ79" s="270">
        <v>339209</v>
      </c>
      <c r="BA79" s="270">
        <v>361040</v>
      </c>
      <c r="BB79" s="270">
        <v>345616</v>
      </c>
      <c r="BC79" s="270">
        <v>392324</v>
      </c>
      <c r="BD79" s="270">
        <v>392980</v>
      </c>
      <c r="BE79" s="270">
        <v>431663</v>
      </c>
      <c r="BF79" s="270">
        <v>395336</v>
      </c>
      <c r="BG79" s="270">
        <v>334591</v>
      </c>
      <c r="BH79" s="270">
        <v>425749</v>
      </c>
      <c r="BI79" s="270">
        <v>467039</v>
      </c>
      <c r="BJ79" s="270">
        <v>260900</v>
      </c>
      <c r="BK79" s="270">
        <v>202519</v>
      </c>
      <c r="BL79" s="270">
        <v>377679</v>
      </c>
      <c r="BM79" s="270">
        <v>416406</v>
      </c>
      <c r="BN79" s="270">
        <v>398225</v>
      </c>
      <c r="BO79" s="270">
        <v>399971</v>
      </c>
      <c r="BP79" s="270">
        <v>372564</v>
      </c>
      <c r="BQ79" s="270">
        <v>435008</v>
      </c>
      <c r="BR79" s="270">
        <v>452852</v>
      </c>
      <c r="BS79" s="270">
        <v>377523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1.64</v>
      </c>
      <c r="C82" s="72">
        <v>2.48</v>
      </c>
      <c r="D82" s="72">
        <v>2.46</v>
      </c>
      <c r="E82" s="72">
        <v>2.96</v>
      </c>
      <c r="F82" s="72">
        <v>1.4</v>
      </c>
      <c r="G82" s="72">
        <v>2.58</v>
      </c>
      <c r="H82" s="72">
        <v>3.67</v>
      </c>
      <c r="I82" s="72">
        <v>3.59</v>
      </c>
      <c r="J82" s="72">
        <v>1.25</v>
      </c>
      <c r="K82" s="72">
        <v>3.15</v>
      </c>
      <c r="L82" s="72">
        <v>3.27</v>
      </c>
      <c r="M82" s="72">
        <v>3.71</v>
      </c>
      <c r="N82" s="72">
        <v>1.64</v>
      </c>
      <c r="O82" s="72">
        <v>2.0299999999999998</v>
      </c>
      <c r="P82" s="72">
        <v>2.78</v>
      </c>
      <c r="Q82" s="72">
        <v>3.34</v>
      </c>
      <c r="R82" s="72">
        <v>1.1299999999999999</v>
      </c>
      <c r="S82" s="72">
        <v>3.11</v>
      </c>
      <c r="T82" s="72">
        <v>3.57</v>
      </c>
      <c r="U82" s="72">
        <v>3.46</v>
      </c>
      <c r="V82" s="72">
        <v>1.44</v>
      </c>
      <c r="W82" s="72">
        <v>2.79</v>
      </c>
      <c r="X82" s="72">
        <v>3.69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30.49</v>
      </c>
      <c r="C85" s="72">
        <v>26.08</v>
      </c>
      <c r="D85" s="72">
        <v>26.9</v>
      </c>
      <c r="E85" s="72">
        <v>29.81</v>
      </c>
      <c r="F85" s="72">
        <v>31.67</v>
      </c>
      <c r="G85" s="72">
        <v>27.67</v>
      </c>
      <c r="H85" s="72">
        <v>29.71</v>
      </c>
      <c r="I85" s="72">
        <v>33.700000000000003</v>
      </c>
      <c r="J85" s="72">
        <v>35.11</v>
      </c>
      <c r="K85" s="72">
        <v>30.21</v>
      </c>
      <c r="L85" s="72">
        <v>32.340000000000003</v>
      </c>
      <c r="M85" s="72">
        <v>36.869999999999997</v>
      </c>
      <c r="N85" s="72">
        <v>38.15</v>
      </c>
      <c r="O85" s="72">
        <v>31.18</v>
      </c>
      <c r="P85" s="72">
        <v>34.630000000000003</v>
      </c>
      <c r="Q85" s="72">
        <v>36.97</v>
      </c>
      <c r="R85" s="72">
        <v>37.979999999999997</v>
      </c>
      <c r="S85" s="72">
        <v>33.29</v>
      </c>
      <c r="T85" s="72">
        <v>35.880000000000003</v>
      </c>
      <c r="U85" s="72">
        <v>38.78</v>
      </c>
      <c r="V85" s="72">
        <v>38.68</v>
      </c>
      <c r="W85" s="72">
        <v>33.43</v>
      </c>
      <c r="X85" s="72">
        <v>37.450000000000003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643943</v>
      </c>
      <c r="C88" s="273">
        <v>911697</v>
      </c>
      <c r="D88" s="273">
        <v>979086</v>
      </c>
      <c r="E88" s="273">
        <v>928089</v>
      </c>
      <c r="F88" s="273">
        <v>650760</v>
      </c>
      <c r="G88" s="273">
        <v>968975</v>
      </c>
      <c r="H88" s="273">
        <v>1103944</v>
      </c>
      <c r="I88" s="273">
        <v>1226649</v>
      </c>
      <c r="J88" s="273">
        <v>755690</v>
      </c>
      <c r="K88" s="273">
        <v>1044174</v>
      </c>
      <c r="L88" s="273">
        <v>1223116</v>
      </c>
      <c r="M88" s="273">
        <v>1282029</v>
      </c>
      <c r="N88" s="273">
        <v>841821</v>
      </c>
      <c r="O88" s="273">
        <v>1019393</v>
      </c>
      <c r="P88" s="273">
        <v>1053105</v>
      </c>
      <c r="Q88" s="273">
        <v>1194613</v>
      </c>
      <c r="R88" s="273">
        <v>842560</v>
      </c>
      <c r="S88" s="273">
        <v>1086999</v>
      </c>
      <c r="T88" s="273">
        <v>1185023</v>
      </c>
      <c r="U88" s="273">
        <v>1182963</v>
      </c>
      <c r="V88" s="273">
        <v>834122</v>
      </c>
      <c r="W88" s="273">
        <v>1200797</v>
      </c>
      <c r="X88" s="273">
        <v>1279199</v>
      </c>
    </row>
    <row r="89" spans="1:25" ht="14.25" thickBot="1" x14ac:dyDescent="0.3">
      <c r="A89" s="250" t="s">
        <v>4</v>
      </c>
      <c r="B89" s="275">
        <v>265617</v>
      </c>
      <c r="C89" s="275">
        <v>355927</v>
      </c>
      <c r="D89" s="275">
        <v>392799</v>
      </c>
      <c r="E89" s="275">
        <v>369817</v>
      </c>
      <c r="F89" s="275">
        <v>253001</v>
      </c>
      <c r="G89" s="275">
        <v>368120</v>
      </c>
      <c r="H89" s="275">
        <v>431205</v>
      </c>
      <c r="I89" s="275">
        <v>486307</v>
      </c>
      <c r="J89" s="275">
        <v>293618</v>
      </c>
      <c r="K89" s="275">
        <v>411601</v>
      </c>
      <c r="L89" s="275">
        <v>477822</v>
      </c>
      <c r="M89" s="275">
        <v>532191</v>
      </c>
      <c r="N89" s="275">
        <v>348977</v>
      </c>
      <c r="O89" s="275">
        <v>394307</v>
      </c>
      <c r="P89" s="275">
        <v>412769</v>
      </c>
      <c r="Q89" s="275">
        <v>488429</v>
      </c>
      <c r="R89" s="275">
        <v>342502</v>
      </c>
      <c r="S89" s="275">
        <v>465089</v>
      </c>
      <c r="T89" s="275">
        <v>503835</v>
      </c>
      <c r="U89" s="275">
        <v>499287</v>
      </c>
      <c r="V89" s="275">
        <v>348791</v>
      </c>
      <c r="W89" s="275">
        <v>483092</v>
      </c>
      <c r="X89" s="275">
        <v>528166</v>
      </c>
    </row>
    <row r="90" spans="1:25" ht="14.25" thickBot="1" x14ac:dyDescent="0.3">
      <c r="A90" s="251" t="s">
        <v>5</v>
      </c>
      <c r="B90" s="273">
        <v>107798</v>
      </c>
      <c r="C90" s="273">
        <v>159186</v>
      </c>
      <c r="D90" s="273">
        <v>195170</v>
      </c>
      <c r="E90" s="273">
        <v>140537</v>
      </c>
      <c r="F90" s="273">
        <v>81049</v>
      </c>
      <c r="G90" s="273">
        <v>156185</v>
      </c>
      <c r="H90" s="273">
        <v>192077</v>
      </c>
      <c r="I90" s="273">
        <v>224216</v>
      </c>
      <c r="J90" s="273">
        <v>88722</v>
      </c>
      <c r="K90" s="273">
        <v>188705</v>
      </c>
      <c r="L90" s="273">
        <v>217406</v>
      </c>
      <c r="M90" s="273">
        <v>242160</v>
      </c>
      <c r="N90" s="273">
        <v>126084</v>
      </c>
      <c r="O90" s="273">
        <v>153997</v>
      </c>
      <c r="P90" s="273">
        <v>163001</v>
      </c>
      <c r="Q90" s="273">
        <v>231658</v>
      </c>
      <c r="R90" s="273">
        <v>103833</v>
      </c>
      <c r="S90" s="273">
        <v>198797</v>
      </c>
      <c r="T90" s="273">
        <v>250967</v>
      </c>
      <c r="U90" s="273">
        <v>223685</v>
      </c>
      <c r="V90" s="273">
        <v>118318</v>
      </c>
      <c r="W90" s="273">
        <v>202417</v>
      </c>
      <c r="X90" s="273">
        <v>246671</v>
      </c>
    </row>
    <row r="91" spans="1:25" ht="14.25" thickBot="1" x14ac:dyDescent="0.3">
      <c r="A91" s="250" t="s">
        <v>6</v>
      </c>
      <c r="B91" s="275">
        <v>104752</v>
      </c>
      <c r="C91" s="275">
        <v>160356</v>
      </c>
      <c r="D91" s="275">
        <v>196758</v>
      </c>
      <c r="E91" s="275">
        <v>135825</v>
      </c>
      <c r="F91" s="275">
        <v>84962</v>
      </c>
      <c r="G91" s="275">
        <v>158014</v>
      </c>
      <c r="H91" s="275">
        <v>192177</v>
      </c>
      <c r="I91" s="275">
        <v>229547</v>
      </c>
      <c r="J91" s="275">
        <v>90161</v>
      </c>
      <c r="K91" s="275">
        <v>194556</v>
      </c>
      <c r="L91" s="275">
        <v>220818</v>
      </c>
      <c r="M91" s="275">
        <v>246618</v>
      </c>
      <c r="N91" s="275">
        <v>129680</v>
      </c>
      <c r="O91" s="275">
        <v>156668</v>
      </c>
      <c r="P91" s="275">
        <v>158781</v>
      </c>
      <c r="Q91" s="275">
        <v>235367</v>
      </c>
      <c r="R91" s="275">
        <v>98093</v>
      </c>
      <c r="S91" s="275">
        <v>210438</v>
      </c>
      <c r="T91" s="275">
        <v>242888</v>
      </c>
      <c r="U91" s="275">
        <v>239349</v>
      </c>
      <c r="V91" s="275">
        <v>105780</v>
      </c>
      <c r="W91" s="275">
        <v>201612</v>
      </c>
      <c r="X91" s="275">
        <v>244045</v>
      </c>
    </row>
    <row r="92" spans="1:25" ht="14.25" thickBot="1" x14ac:dyDescent="0.3">
      <c r="A92" s="251" t="s">
        <v>7</v>
      </c>
      <c r="B92" s="273">
        <v>68972</v>
      </c>
      <c r="C92" s="273">
        <v>104452</v>
      </c>
      <c r="D92" s="273">
        <v>108779</v>
      </c>
      <c r="E92" s="273">
        <v>129138</v>
      </c>
      <c r="F92" s="273">
        <v>61965</v>
      </c>
      <c r="G92" s="273">
        <v>114086</v>
      </c>
      <c r="H92" s="273">
        <v>170025</v>
      </c>
      <c r="I92" s="273">
        <v>165208</v>
      </c>
      <c r="J92" s="273">
        <v>58824</v>
      </c>
      <c r="K92" s="273">
        <v>145251</v>
      </c>
      <c r="L92" s="273">
        <v>160465</v>
      </c>
      <c r="M92" s="273">
        <v>180371</v>
      </c>
      <c r="N92" s="273">
        <v>81245</v>
      </c>
      <c r="O92" s="273">
        <v>99986</v>
      </c>
      <c r="P92" s="273">
        <v>139042</v>
      </c>
      <c r="Q92" s="273">
        <v>166667</v>
      </c>
      <c r="R92" s="273">
        <v>58728</v>
      </c>
      <c r="S92" s="273">
        <v>154087</v>
      </c>
      <c r="T92" s="273">
        <v>176807</v>
      </c>
      <c r="U92" s="273">
        <v>170601</v>
      </c>
      <c r="V92" s="273">
        <v>72001</v>
      </c>
      <c r="W92" s="273">
        <v>139329</v>
      </c>
      <c r="X92" s="273">
        <v>182356</v>
      </c>
    </row>
    <row r="93" spans="1:25" ht="26.25" thickBot="1" x14ac:dyDescent="0.3">
      <c r="A93" s="252" t="s">
        <v>8</v>
      </c>
      <c r="B93" s="276">
        <v>66690</v>
      </c>
      <c r="C93" s="276">
        <v>101170</v>
      </c>
      <c r="D93" s="276">
        <v>105332</v>
      </c>
      <c r="E93" s="276">
        <v>126644</v>
      </c>
      <c r="F93" s="276">
        <v>59742</v>
      </c>
      <c r="G93" s="276">
        <v>110411</v>
      </c>
      <c r="H93" s="276">
        <v>164523</v>
      </c>
      <c r="I93" s="276">
        <v>161192</v>
      </c>
      <c r="J93" s="276">
        <v>56039</v>
      </c>
      <c r="K93" s="276">
        <v>141441</v>
      </c>
      <c r="L93" s="276">
        <v>155745</v>
      </c>
      <c r="M93" s="276">
        <v>176514</v>
      </c>
      <c r="N93" s="276">
        <v>78114</v>
      </c>
      <c r="O93" s="276">
        <v>96490</v>
      </c>
      <c r="P93" s="276">
        <v>135083</v>
      </c>
      <c r="Q93" s="276">
        <v>162130</v>
      </c>
      <c r="R93" s="276">
        <v>54721</v>
      </c>
      <c r="S93" s="276">
        <v>150982</v>
      </c>
      <c r="T93" s="276">
        <v>173470</v>
      </c>
      <c r="U93" s="276">
        <v>167685</v>
      </c>
      <c r="V93" s="276">
        <v>69875</v>
      </c>
      <c r="W93" s="276">
        <v>135209</v>
      </c>
      <c r="X93" s="276">
        <v>179248</v>
      </c>
    </row>
    <row r="94" spans="1:25" x14ac:dyDescent="0.25">
      <c r="A94" s="233" t="s">
        <v>365</v>
      </c>
      <c r="B94" s="253">
        <f>IF(B91="","",B91-B90)</f>
        <v>-3046</v>
      </c>
      <c r="C94" s="253">
        <f>IF(C91="","",C91-C90)</f>
        <v>1170</v>
      </c>
      <c r="D94" s="253">
        <f t="shared" ref="D94:Y94" si="9">IF(D91="","",D91-D90)</f>
        <v>1588</v>
      </c>
      <c r="E94" s="253">
        <f t="shared" si="9"/>
        <v>-4712</v>
      </c>
      <c r="F94" s="253">
        <f t="shared" si="9"/>
        <v>3913</v>
      </c>
      <c r="G94" s="253">
        <f t="shared" si="9"/>
        <v>1829</v>
      </c>
      <c r="H94" s="253">
        <f t="shared" si="9"/>
        <v>100</v>
      </c>
      <c r="I94" s="253">
        <f t="shared" si="9"/>
        <v>5331</v>
      </c>
      <c r="J94" s="253">
        <f t="shared" si="9"/>
        <v>1439</v>
      </c>
      <c r="K94" s="253">
        <f t="shared" si="9"/>
        <v>5851</v>
      </c>
      <c r="L94" s="253">
        <f t="shared" si="9"/>
        <v>3412</v>
      </c>
      <c r="M94" s="253">
        <f t="shared" si="9"/>
        <v>4458</v>
      </c>
      <c r="N94" s="253">
        <f t="shared" si="9"/>
        <v>3596</v>
      </c>
      <c r="O94" s="253">
        <f t="shared" si="9"/>
        <v>2671</v>
      </c>
      <c r="P94" s="253">
        <f t="shared" si="9"/>
        <v>-4220</v>
      </c>
      <c r="Q94" s="253">
        <f t="shared" si="9"/>
        <v>3709</v>
      </c>
      <c r="R94" s="253">
        <f t="shared" si="9"/>
        <v>-5740</v>
      </c>
      <c r="S94" s="253">
        <f t="shared" si="9"/>
        <v>11641</v>
      </c>
      <c r="T94" s="253">
        <f t="shared" si="9"/>
        <v>-8079</v>
      </c>
      <c r="U94" s="253">
        <f t="shared" si="9"/>
        <v>15664</v>
      </c>
      <c r="V94" s="253">
        <f t="shared" si="9"/>
        <v>-12538</v>
      </c>
      <c r="W94" s="253">
        <f t="shared" si="9"/>
        <v>-805</v>
      </c>
      <c r="X94" s="253">
        <f t="shared" si="9"/>
        <v>-2626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3462815</v>
      </c>
      <c r="C97" s="273">
        <v>3950328</v>
      </c>
      <c r="D97" s="273">
        <v>4305009</v>
      </c>
      <c r="E97" s="273">
        <v>4108932</v>
      </c>
      <c r="F97" s="273">
        <v>4297545</v>
      </c>
    </row>
    <row r="98" spans="1:24" ht="14.25" thickBot="1" x14ac:dyDescent="0.3">
      <c r="A98" s="225" t="s">
        <v>4</v>
      </c>
      <c r="B98" s="275">
        <v>1384160</v>
      </c>
      <c r="C98" s="275">
        <v>1538633</v>
      </c>
      <c r="D98" s="275">
        <v>1715232</v>
      </c>
      <c r="E98" s="275">
        <v>1644482</v>
      </c>
      <c r="F98" s="275">
        <v>1810713</v>
      </c>
    </row>
    <row r="99" spans="1:24" ht="14.25" thickBot="1" x14ac:dyDescent="0.3">
      <c r="A99" s="224" t="s">
        <v>5</v>
      </c>
      <c r="B99" s="273">
        <v>602691</v>
      </c>
      <c r="C99" s="273">
        <v>653527</v>
      </c>
      <c r="D99" s="273">
        <v>736993</v>
      </c>
      <c r="E99" s="273">
        <v>674740</v>
      </c>
      <c r="F99" s="273">
        <v>777282</v>
      </c>
    </row>
    <row r="100" spans="1:24" ht="14.25" thickBot="1" x14ac:dyDescent="0.3">
      <c r="A100" s="225" t="s">
        <v>6</v>
      </c>
      <c r="B100" s="275">
        <v>597691</v>
      </c>
      <c r="C100" s="275">
        <v>664700</v>
      </c>
      <c r="D100" s="275">
        <v>752153</v>
      </c>
      <c r="E100" s="275">
        <v>680496</v>
      </c>
      <c r="F100" s="275">
        <v>790768</v>
      </c>
    </row>
    <row r="101" spans="1:24" ht="14.25" thickBot="1" x14ac:dyDescent="0.3">
      <c r="A101" s="224" t="s">
        <v>7</v>
      </c>
      <c r="B101" s="273">
        <v>411341</v>
      </c>
      <c r="C101" s="273">
        <v>511284</v>
      </c>
      <c r="D101" s="273">
        <v>544911</v>
      </c>
      <c r="E101" s="273">
        <v>486940</v>
      </c>
      <c r="F101" s="273">
        <v>560223</v>
      </c>
    </row>
    <row r="102" spans="1:24" ht="14.25" thickBot="1" x14ac:dyDescent="0.3">
      <c r="A102" s="227" t="s">
        <v>8</v>
      </c>
      <c r="B102" s="276">
        <v>399836</v>
      </c>
      <c r="C102" s="276">
        <v>495868</v>
      </c>
      <c r="D102" s="276">
        <v>529739</v>
      </c>
      <c r="E102" s="276">
        <v>471817</v>
      </c>
      <c r="F102" s="276">
        <v>546858</v>
      </c>
    </row>
    <row r="103" spans="1:24" x14ac:dyDescent="0.25">
      <c r="A103" s="233" t="s">
        <v>262</v>
      </c>
      <c r="B103" s="234">
        <f>IF(OR(B102="",B102="無"),"",B102/B101)</f>
        <v>0.97203050510403777</v>
      </c>
      <c r="C103" s="234">
        <f>IF(OR(C102="",C102="無"),"",C102/C101)</f>
        <v>0.96984845995571933</v>
      </c>
      <c r="D103" s="234">
        <f>IF(OR(D102="",D102="無"),"",D102/D101)</f>
        <v>0.9721569210384815</v>
      </c>
      <c r="E103" s="234">
        <f>IF(OR(E102="",E102="無"),"",E102/E101)</f>
        <v>0.96894278555879576</v>
      </c>
      <c r="F103" s="234">
        <f>IF(OR(F102="",F102="無"),"",F102/F101)</f>
        <v>0.97614342859896863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350695</v>
      </c>
      <c r="C106" s="273">
        <v>515109</v>
      </c>
      <c r="D106" s="273">
        <v>348240</v>
      </c>
      <c r="E106" s="273">
        <v>484883</v>
      </c>
      <c r="F106" s="273">
        <v>480230</v>
      </c>
      <c r="G106" s="273">
        <v>639017</v>
      </c>
      <c r="H106" s="273">
        <v>454133</v>
      </c>
      <c r="I106" s="273">
        <v>659074</v>
      </c>
      <c r="J106" s="273">
        <v>673692</v>
      </c>
      <c r="K106" s="273">
        <v>811604</v>
      </c>
      <c r="L106" s="273">
        <v>592577</v>
      </c>
      <c r="M106" s="273">
        <v>867657</v>
      </c>
      <c r="N106" s="273">
        <v>767577</v>
      </c>
      <c r="O106" s="273">
        <v>1008862</v>
      </c>
      <c r="P106" s="273">
        <v>576503</v>
      </c>
      <c r="Q106" s="273">
        <v>427450</v>
      </c>
      <c r="R106" s="273">
        <v>367974</v>
      </c>
      <c r="S106" s="273">
        <v>642762</v>
      </c>
      <c r="T106" s="273">
        <v>526010</v>
      </c>
      <c r="U106" s="273">
        <v>755617</v>
      </c>
      <c r="V106" s="273">
        <v>649913</v>
      </c>
      <c r="W106" s="273">
        <v>731399</v>
      </c>
      <c r="X106" s="273">
        <v>721520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575841</v>
      </c>
      <c r="C108" s="273">
        <v>626420</v>
      </c>
      <c r="D108" s="273">
        <v>739866</v>
      </c>
      <c r="E108" s="273">
        <v>755868</v>
      </c>
      <c r="F108" s="273">
        <v>613059</v>
      </c>
      <c r="G108" s="273">
        <v>694209</v>
      </c>
      <c r="H108" s="273">
        <v>793189</v>
      </c>
      <c r="I108" s="273">
        <v>956891</v>
      </c>
      <c r="J108" s="273">
        <v>752436</v>
      </c>
      <c r="K108" s="273">
        <v>695931</v>
      </c>
      <c r="L108" s="273">
        <v>816973</v>
      </c>
      <c r="M108" s="273">
        <v>948445</v>
      </c>
      <c r="N108" s="273">
        <v>748835</v>
      </c>
      <c r="O108" s="273">
        <v>654135</v>
      </c>
      <c r="P108" s="273">
        <v>735366</v>
      </c>
      <c r="Q108" s="273">
        <v>857142</v>
      </c>
      <c r="R108" s="273">
        <v>731612</v>
      </c>
      <c r="S108" s="273">
        <v>697668</v>
      </c>
      <c r="T108" s="273">
        <v>719396</v>
      </c>
      <c r="U108" s="273">
        <v>750929</v>
      </c>
      <c r="V108" s="273">
        <v>558857</v>
      </c>
      <c r="W108" s="273">
        <v>643550</v>
      </c>
      <c r="X108" s="273">
        <v>700674</v>
      </c>
    </row>
    <row r="109" spans="1:24" ht="14.25" thickBot="1" x14ac:dyDescent="0.3">
      <c r="A109" s="225" t="s">
        <v>264</v>
      </c>
      <c r="B109" s="275">
        <v>593188</v>
      </c>
      <c r="C109" s="275">
        <v>593025</v>
      </c>
      <c r="D109" s="275">
        <v>603302</v>
      </c>
      <c r="E109" s="275">
        <v>574280</v>
      </c>
      <c r="F109" s="275">
        <v>679945</v>
      </c>
      <c r="G109" s="275">
        <v>660580</v>
      </c>
      <c r="H109" s="275">
        <v>632702</v>
      </c>
      <c r="I109" s="275">
        <v>592272</v>
      </c>
      <c r="J109" s="275">
        <v>694476</v>
      </c>
      <c r="K109" s="275">
        <v>712949</v>
      </c>
      <c r="L109" s="275">
        <v>740962</v>
      </c>
      <c r="M109" s="275">
        <v>677243</v>
      </c>
      <c r="N109" s="275">
        <v>745734</v>
      </c>
      <c r="O109" s="275">
        <v>693448</v>
      </c>
      <c r="P109" s="275">
        <v>718539</v>
      </c>
      <c r="Q109" s="275">
        <v>660917</v>
      </c>
      <c r="R109" s="275">
        <v>738753</v>
      </c>
      <c r="S109" s="275">
        <v>700777</v>
      </c>
      <c r="T109" s="275">
        <v>665583</v>
      </c>
      <c r="U109" s="275">
        <v>626997</v>
      </c>
      <c r="V109" s="275">
        <v>678619</v>
      </c>
      <c r="W109" s="275">
        <v>675836</v>
      </c>
      <c r="X109" s="275">
        <v>715617</v>
      </c>
    </row>
    <row r="110" spans="1:24" ht="14.25" thickBot="1" x14ac:dyDescent="0.3">
      <c r="A110" s="224" t="s">
        <v>23</v>
      </c>
      <c r="B110" s="273">
        <v>50843</v>
      </c>
      <c r="C110" s="273">
        <v>47767</v>
      </c>
      <c r="D110" s="273">
        <v>73135</v>
      </c>
      <c r="E110" s="273">
        <v>45711</v>
      </c>
      <c r="F110" s="273">
        <v>48921</v>
      </c>
      <c r="G110" s="273">
        <v>54599</v>
      </c>
      <c r="H110" s="273">
        <v>39532</v>
      </c>
      <c r="I110" s="273">
        <v>37669</v>
      </c>
      <c r="J110" s="273">
        <v>45039</v>
      </c>
      <c r="K110" s="273">
        <v>58468</v>
      </c>
      <c r="L110" s="273">
        <v>58359</v>
      </c>
      <c r="M110" s="273">
        <v>64017</v>
      </c>
      <c r="N110" s="273">
        <v>73539</v>
      </c>
      <c r="O110" s="273">
        <v>63641</v>
      </c>
      <c r="P110" s="273">
        <v>84261</v>
      </c>
      <c r="Q110" s="273">
        <v>68446</v>
      </c>
      <c r="R110" s="273">
        <v>57304</v>
      </c>
      <c r="S110" s="273">
        <v>45183</v>
      </c>
      <c r="T110" s="273">
        <v>69743</v>
      </c>
      <c r="U110" s="273">
        <v>72061</v>
      </c>
      <c r="V110" s="273">
        <v>136843</v>
      </c>
      <c r="W110" s="273">
        <v>130481</v>
      </c>
      <c r="X110" s="273">
        <v>77127</v>
      </c>
    </row>
    <row r="111" spans="1:24" ht="14.25" thickBot="1" x14ac:dyDescent="0.3">
      <c r="A111" s="225" t="s">
        <v>24</v>
      </c>
      <c r="B111" s="275">
        <v>1570567</v>
      </c>
      <c r="C111" s="275">
        <v>1782321</v>
      </c>
      <c r="D111" s="275">
        <v>1764543</v>
      </c>
      <c r="E111" s="275">
        <v>1860742</v>
      </c>
      <c r="F111" s="275">
        <v>1822155</v>
      </c>
      <c r="G111" s="275">
        <v>2048405</v>
      </c>
      <c r="H111" s="275">
        <v>1919556</v>
      </c>
      <c r="I111" s="275">
        <v>2245906</v>
      </c>
      <c r="J111" s="275">
        <v>2165643</v>
      </c>
      <c r="K111" s="275">
        <v>2278952</v>
      </c>
      <c r="L111" s="275">
        <v>2208871</v>
      </c>
      <c r="M111" s="275">
        <v>2557362</v>
      </c>
      <c r="N111" s="275">
        <v>2335685</v>
      </c>
      <c r="O111" s="275">
        <v>2420086</v>
      </c>
      <c r="P111" s="275">
        <v>2114669</v>
      </c>
      <c r="Q111" s="275">
        <v>2013955</v>
      </c>
      <c r="R111" s="275">
        <v>1895643</v>
      </c>
      <c r="S111" s="275">
        <v>2086390</v>
      </c>
      <c r="T111" s="275">
        <v>1980732</v>
      </c>
      <c r="U111" s="275">
        <v>2205604</v>
      </c>
      <c r="V111" s="275">
        <v>2024232</v>
      </c>
      <c r="W111" s="275">
        <v>2181266</v>
      </c>
      <c r="X111" s="275">
        <v>2214938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273">
        <v>15252</v>
      </c>
      <c r="K112" s="273">
        <v>14100</v>
      </c>
      <c r="L112" s="273">
        <v>14158</v>
      </c>
      <c r="M112" s="273">
        <v>13911</v>
      </c>
      <c r="N112" s="273">
        <v>50225</v>
      </c>
      <c r="O112" s="273">
        <v>45791</v>
      </c>
      <c r="P112" s="273">
        <v>69654</v>
      </c>
      <c r="Q112" s="273">
        <v>64343</v>
      </c>
      <c r="R112" s="273">
        <v>58999</v>
      </c>
      <c r="S112" s="273">
        <v>52521</v>
      </c>
      <c r="T112" s="273">
        <v>46948</v>
      </c>
      <c r="U112" s="273">
        <v>33910</v>
      </c>
      <c r="V112" s="273">
        <v>22398</v>
      </c>
      <c r="W112" s="273">
        <v>31433</v>
      </c>
      <c r="X112" s="273">
        <v>26587</v>
      </c>
    </row>
    <row r="113" spans="1:24" ht="14.25" thickBot="1" x14ac:dyDescent="0.3">
      <c r="A113" s="225" t="s">
        <v>26</v>
      </c>
      <c r="B113" s="275">
        <v>522102</v>
      </c>
      <c r="C113" s="275">
        <v>541409</v>
      </c>
      <c r="D113" s="275">
        <v>538237</v>
      </c>
      <c r="E113" s="275">
        <v>545492</v>
      </c>
      <c r="F113" s="275">
        <v>476657</v>
      </c>
      <c r="G113" s="275">
        <v>543807</v>
      </c>
      <c r="H113" s="275">
        <v>528516</v>
      </c>
      <c r="I113" s="275">
        <v>544148</v>
      </c>
      <c r="J113" s="275">
        <v>538680</v>
      </c>
      <c r="K113" s="275">
        <v>518613</v>
      </c>
      <c r="L113" s="275">
        <v>544936</v>
      </c>
      <c r="M113" s="275">
        <v>582189</v>
      </c>
      <c r="N113" s="275">
        <v>580340</v>
      </c>
      <c r="O113" s="275">
        <v>583405</v>
      </c>
      <c r="P113" s="275">
        <v>726554</v>
      </c>
      <c r="Q113" s="275">
        <v>718530</v>
      </c>
      <c r="R113" s="275">
        <v>705908</v>
      </c>
      <c r="S113" s="275">
        <v>701443</v>
      </c>
      <c r="T113" s="275">
        <v>688839</v>
      </c>
      <c r="U113" s="275">
        <v>688534</v>
      </c>
      <c r="V113" s="275">
        <v>653797</v>
      </c>
      <c r="W113" s="275">
        <v>665024</v>
      </c>
      <c r="X113" s="275">
        <v>676404</v>
      </c>
    </row>
    <row r="114" spans="1:24" ht="14.25" thickBot="1" x14ac:dyDescent="0.3">
      <c r="A114" s="224" t="s">
        <v>27</v>
      </c>
      <c r="B114" s="273">
        <v>65563</v>
      </c>
      <c r="C114" s="273">
        <v>70391</v>
      </c>
      <c r="D114" s="273">
        <v>68034</v>
      </c>
      <c r="E114" s="273">
        <v>70898</v>
      </c>
      <c r="F114" s="273">
        <v>155392</v>
      </c>
      <c r="G114" s="273">
        <v>97203</v>
      </c>
      <c r="H114" s="273">
        <v>112242</v>
      </c>
      <c r="I114" s="273">
        <v>111693</v>
      </c>
      <c r="J114" s="273">
        <v>115731</v>
      </c>
      <c r="K114" s="273">
        <v>116251</v>
      </c>
      <c r="L114" s="273">
        <v>139718</v>
      </c>
      <c r="M114" s="273">
        <v>175128</v>
      </c>
      <c r="N114" s="273">
        <v>136023</v>
      </c>
      <c r="O114" s="273">
        <v>133996</v>
      </c>
      <c r="P114" s="273">
        <v>152440</v>
      </c>
      <c r="Q114" s="273">
        <v>132082</v>
      </c>
      <c r="R114" s="273">
        <v>149875</v>
      </c>
      <c r="S114" s="273">
        <v>123419</v>
      </c>
      <c r="T114" s="273">
        <v>126851</v>
      </c>
      <c r="U114" s="273">
        <v>189255</v>
      </c>
      <c r="V114" s="273">
        <v>191913</v>
      </c>
      <c r="W114" s="273">
        <v>201623</v>
      </c>
      <c r="X114" s="273">
        <v>200164</v>
      </c>
    </row>
    <row r="115" spans="1:24" ht="14.25" thickBot="1" x14ac:dyDescent="0.3">
      <c r="A115" s="225" t="s">
        <v>265</v>
      </c>
      <c r="B115" s="276">
        <v>2158232</v>
      </c>
      <c r="C115" s="276">
        <v>2394121</v>
      </c>
      <c r="D115" s="276">
        <v>2370814</v>
      </c>
      <c r="E115" s="276">
        <v>2477132</v>
      </c>
      <c r="F115" s="276">
        <v>2454204</v>
      </c>
      <c r="G115" s="276">
        <v>2689415</v>
      </c>
      <c r="H115" s="276">
        <v>2560314</v>
      </c>
      <c r="I115" s="276">
        <v>2901747</v>
      </c>
      <c r="J115" s="276">
        <v>2835306</v>
      </c>
      <c r="K115" s="276">
        <v>2927916</v>
      </c>
      <c r="L115" s="276">
        <v>2907683</v>
      </c>
      <c r="M115" s="276">
        <v>3328590</v>
      </c>
      <c r="N115" s="276">
        <v>3102273</v>
      </c>
      <c r="O115" s="276">
        <v>3183278</v>
      </c>
      <c r="P115" s="276">
        <v>3063317</v>
      </c>
      <c r="Q115" s="276">
        <v>2928910</v>
      </c>
      <c r="R115" s="276">
        <v>2810425</v>
      </c>
      <c r="S115" s="276">
        <v>2963773</v>
      </c>
      <c r="T115" s="276">
        <v>2843370</v>
      </c>
      <c r="U115" s="276">
        <v>3117303</v>
      </c>
      <c r="V115" s="276">
        <v>2892340</v>
      </c>
      <c r="W115" s="276">
        <v>3079346</v>
      </c>
      <c r="X115" s="276">
        <v>3118093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313659</v>
      </c>
      <c r="C118" s="273">
        <v>324161</v>
      </c>
      <c r="D118" s="273">
        <v>457948</v>
      </c>
      <c r="E118" s="273">
        <v>468635</v>
      </c>
      <c r="F118" s="273">
        <v>437109</v>
      </c>
      <c r="G118" s="273">
        <v>429001</v>
      </c>
      <c r="H118" s="273">
        <v>490270</v>
      </c>
      <c r="I118" s="273">
        <v>509481</v>
      </c>
      <c r="J118" s="273">
        <v>518065</v>
      </c>
      <c r="K118" s="273">
        <v>430526</v>
      </c>
      <c r="L118" s="273">
        <v>486999</v>
      </c>
      <c r="M118" s="273">
        <v>559108</v>
      </c>
      <c r="N118" s="273">
        <v>494421</v>
      </c>
      <c r="O118" s="273">
        <v>425943</v>
      </c>
      <c r="P118" s="273">
        <v>443702</v>
      </c>
      <c r="Q118" s="273">
        <v>105000</v>
      </c>
      <c r="R118" s="273">
        <v>115000</v>
      </c>
      <c r="S118" s="273">
        <v>164395</v>
      </c>
      <c r="T118" s="273">
        <v>187720</v>
      </c>
      <c r="U118" s="273">
        <v>125000</v>
      </c>
      <c r="V118" s="273">
        <v>55000</v>
      </c>
      <c r="W118" s="273">
        <v>55000</v>
      </c>
      <c r="X118" s="273">
        <v>241023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218231</v>
      </c>
      <c r="C120" s="273">
        <v>286397</v>
      </c>
      <c r="D120" s="273">
        <v>309019</v>
      </c>
      <c r="E120" s="273">
        <v>279665</v>
      </c>
      <c r="F120" s="273">
        <v>230461</v>
      </c>
      <c r="G120" s="273">
        <v>288383</v>
      </c>
      <c r="H120" s="273">
        <v>295800</v>
      </c>
      <c r="I120" s="273">
        <v>324771</v>
      </c>
      <c r="J120" s="273">
        <v>225634</v>
      </c>
      <c r="K120" s="273">
        <v>292981</v>
      </c>
      <c r="L120" s="273">
        <v>319912</v>
      </c>
      <c r="M120" s="273">
        <v>360816</v>
      </c>
      <c r="N120" s="273">
        <v>220163</v>
      </c>
      <c r="O120" s="273">
        <v>271747</v>
      </c>
      <c r="P120" s="273">
        <v>326827</v>
      </c>
      <c r="Q120" s="273">
        <v>332020</v>
      </c>
      <c r="R120" s="273">
        <v>232441</v>
      </c>
      <c r="S120" s="273">
        <v>233369</v>
      </c>
      <c r="T120" s="273">
        <v>297348</v>
      </c>
      <c r="U120" s="273">
        <v>317519</v>
      </c>
      <c r="V120" s="273">
        <v>261758</v>
      </c>
      <c r="W120" s="273">
        <v>356576</v>
      </c>
      <c r="X120" s="273">
        <v>387018</v>
      </c>
    </row>
    <row r="121" spans="1:24" ht="14.25" thickBot="1" x14ac:dyDescent="0.3">
      <c r="A121" s="225" t="s">
        <v>267</v>
      </c>
      <c r="B121" s="275">
        <v>44942</v>
      </c>
      <c r="C121" s="275">
        <v>61060</v>
      </c>
      <c r="D121" s="275">
        <v>41811</v>
      </c>
      <c r="E121" s="275">
        <v>49384</v>
      </c>
      <c r="F121" s="275">
        <v>46993</v>
      </c>
      <c r="G121" s="275">
        <v>54251</v>
      </c>
      <c r="H121" s="275">
        <v>54924</v>
      </c>
      <c r="I121" s="275">
        <v>64047</v>
      </c>
      <c r="J121" s="275">
        <v>74796</v>
      </c>
      <c r="K121" s="275">
        <v>81924</v>
      </c>
      <c r="L121" s="275">
        <v>69652</v>
      </c>
      <c r="M121" s="275">
        <v>66899</v>
      </c>
      <c r="N121" s="275">
        <v>65832</v>
      </c>
      <c r="O121" s="275">
        <v>72292</v>
      </c>
      <c r="P121" s="275">
        <v>73099</v>
      </c>
      <c r="Q121" s="275">
        <v>66699</v>
      </c>
      <c r="R121" s="275">
        <v>64617</v>
      </c>
      <c r="S121" s="275">
        <v>72363</v>
      </c>
      <c r="T121" s="275">
        <v>58957</v>
      </c>
      <c r="U121" s="275">
        <v>77019</v>
      </c>
      <c r="V121" s="275">
        <v>91580</v>
      </c>
      <c r="W121" s="275">
        <v>77971</v>
      </c>
      <c r="X121" s="275">
        <v>84904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273">
        <v>1239</v>
      </c>
      <c r="Q122" s="273">
        <v>1438</v>
      </c>
      <c r="R122" s="273">
        <v>1436</v>
      </c>
      <c r="S122" s="273">
        <v>1458</v>
      </c>
      <c r="T122" s="273">
        <v>1623</v>
      </c>
      <c r="U122" s="273">
        <v>1683</v>
      </c>
      <c r="V122" s="273">
        <v>4960</v>
      </c>
      <c r="W122" s="273">
        <v>5795</v>
      </c>
      <c r="X122" s="273">
        <v>5863</v>
      </c>
    </row>
    <row r="123" spans="1:24" ht="14.25" thickBot="1" x14ac:dyDescent="0.3">
      <c r="A123" s="225" t="s">
        <v>31</v>
      </c>
      <c r="B123" s="275">
        <v>182678</v>
      </c>
      <c r="C123" s="275">
        <v>491800</v>
      </c>
      <c r="D123" s="275">
        <v>274081</v>
      </c>
      <c r="E123" s="275">
        <v>255830</v>
      </c>
      <c r="F123" s="275">
        <v>203521</v>
      </c>
      <c r="G123" s="275">
        <v>533229</v>
      </c>
      <c r="H123" s="275">
        <v>221482</v>
      </c>
      <c r="I123" s="275">
        <v>294813</v>
      </c>
      <c r="J123" s="275">
        <v>244600</v>
      </c>
      <c r="K123" s="275">
        <v>561177</v>
      </c>
      <c r="L123" s="275">
        <v>315836</v>
      </c>
      <c r="M123" s="275">
        <v>379097</v>
      </c>
      <c r="N123" s="275">
        <v>292404</v>
      </c>
      <c r="O123" s="275">
        <v>701060</v>
      </c>
      <c r="P123" s="275">
        <v>294566</v>
      </c>
      <c r="Q123" s="275">
        <v>362534</v>
      </c>
      <c r="R123" s="275">
        <v>289549</v>
      </c>
      <c r="S123" s="275">
        <v>633971</v>
      </c>
      <c r="T123" s="275">
        <v>348564</v>
      </c>
      <c r="U123" s="275">
        <v>475322</v>
      </c>
      <c r="V123" s="275">
        <v>341276</v>
      </c>
      <c r="W123" s="275">
        <v>709510</v>
      </c>
      <c r="X123" s="275">
        <v>344393</v>
      </c>
    </row>
    <row r="124" spans="1:24" ht="14.25" thickBot="1" x14ac:dyDescent="0.3">
      <c r="A124" s="224" t="s">
        <v>268</v>
      </c>
      <c r="B124" s="273">
        <v>759510</v>
      </c>
      <c r="C124" s="273">
        <v>1163418</v>
      </c>
      <c r="D124" s="273">
        <v>1082859</v>
      </c>
      <c r="E124" s="273">
        <v>1053514</v>
      </c>
      <c r="F124" s="273">
        <v>918084</v>
      </c>
      <c r="G124" s="273">
        <v>1304864</v>
      </c>
      <c r="H124" s="273">
        <v>1062476</v>
      </c>
      <c r="I124" s="273">
        <v>1193112</v>
      </c>
      <c r="J124" s="273">
        <v>1063095</v>
      </c>
      <c r="K124" s="273">
        <v>1366608</v>
      </c>
      <c r="L124" s="273">
        <v>1192399</v>
      </c>
      <c r="M124" s="273">
        <v>1365920</v>
      </c>
      <c r="N124" s="273">
        <v>1072820</v>
      </c>
      <c r="O124" s="273">
        <v>1471042</v>
      </c>
      <c r="P124" s="273">
        <v>1139433</v>
      </c>
      <c r="Q124" s="273">
        <v>867691</v>
      </c>
      <c r="R124" s="273">
        <v>703043</v>
      </c>
      <c r="S124" s="273">
        <v>1105556</v>
      </c>
      <c r="T124" s="273">
        <v>894212</v>
      </c>
      <c r="U124" s="273">
        <v>996543</v>
      </c>
      <c r="V124" s="273">
        <v>754574</v>
      </c>
      <c r="W124" s="273">
        <v>1204852</v>
      </c>
      <c r="X124" s="273">
        <v>1063201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139653</v>
      </c>
      <c r="G125" s="275">
        <v>155029</v>
      </c>
      <c r="H125" s="275">
        <v>112448</v>
      </c>
      <c r="I125" s="275">
        <v>142932</v>
      </c>
      <c r="J125" s="275">
        <v>146456</v>
      </c>
      <c r="K125" s="275">
        <v>152662</v>
      </c>
      <c r="L125" s="275">
        <v>122337</v>
      </c>
      <c r="M125" s="275">
        <v>153603</v>
      </c>
      <c r="N125" s="275">
        <v>159688</v>
      </c>
      <c r="O125" s="275">
        <v>171156</v>
      </c>
      <c r="P125" s="275">
        <v>178501</v>
      </c>
      <c r="Q125" s="275">
        <v>202947</v>
      </c>
      <c r="R125" s="275">
        <v>196985</v>
      </c>
      <c r="S125" s="275">
        <v>194453</v>
      </c>
      <c r="T125" s="275">
        <v>157590</v>
      </c>
      <c r="U125" s="275">
        <v>184777</v>
      </c>
      <c r="V125" s="275">
        <v>207909</v>
      </c>
      <c r="W125" s="275">
        <v>201299</v>
      </c>
      <c r="X125" s="275">
        <v>183561</v>
      </c>
    </row>
    <row r="126" spans="1:24" ht="14.25" thickBot="1" x14ac:dyDescent="0.3">
      <c r="A126" s="224" t="s">
        <v>33</v>
      </c>
      <c r="B126" s="273">
        <v>121373</v>
      </c>
      <c r="C126" s="273">
        <v>129083</v>
      </c>
      <c r="D126" s="273">
        <v>95554</v>
      </c>
      <c r="E126" s="273">
        <v>110244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880883</v>
      </c>
      <c r="C127" s="275">
        <v>1292501</v>
      </c>
      <c r="D127" s="275">
        <v>1178413</v>
      </c>
      <c r="E127" s="275">
        <v>1163758</v>
      </c>
      <c r="F127" s="275">
        <v>1057737</v>
      </c>
      <c r="G127" s="275">
        <v>1459893</v>
      </c>
      <c r="H127" s="275">
        <v>1174924</v>
      </c>
      <c r="I127" s="275">
        <v>1336044</v>
      </c>
      <c r="J127" s="275">
        <v>1209551</v>
      </c>
      <c r="K127" s="275">
        <v>1519270</v>
      </c>
      <c r="L127" s="275">
        <v>1314736</v>
      </c>
      <c r="M127" s="275">
        <v>1519523</v>
      </c>
      <c r="N127" s="275">
        <v>1232508</v>
      </c>
      <c r="O127" s="275">
        <v>1642198</v>
      </c>
      <c r="P127" s="275">
        <v>1317934</v>
      </c>
      <c r="Q127" s="275">
        <v>1070638</v>
      </c>
      <c r="R127" s="275">
        <v>900028</v>
      </c>
      <c r="S127" s="275">
        <v>1300009</v>
      </c>
      <c r="T127" s="275">
        <v>1051802</v>
      </c>
      <c r="U127" s="275">
        <v>1181320</v>
      </c>
      <c r="V127" s="275">
        <v>962483</v>
      </c>
      <c r="W127" s="275">
        <v>1406151</v>
      </c>
      <c r="X127" s="275">
        <v>1246762</v>
      </c>
    </row>
    <row r="128" spans="1:24" ht="14.25" thickBot="1" x14ac:dyDescent="0.3">
      <c r="A128" s="224" t="s">
        <v>34</v>
      </c>
      <c r="B128" s="273">
        <v>1277349</v>
      </c>
      <c r="C128" s="273">
        <v>1101620</v>
      </c>
      <c r="D128" s="273">
        <v>1192401</v>
      </c>
      <c r="E128" s="273">
        <v>1313374</v>
      </c>
      <c r="F128" s="273">
        <v>1396467</v>
      </c>
      <c r="G128" s="273">
        <v>1229522</v>
      </c>
      <c r="H128" s="273">
        <v>1385390</v>
      </c>
      <c r="I128" s="273">
        <v>1565703</v>
      </c>
      <c r="J128" s="273">
        <v>1625755</v>
      </c>
      <c r="K128" s="273">
        <v>1408646</v>
      </c>
      <c r="L128" s="273">
        <v>1592947</v>
      </c>
      <c r="M128" s="273">
        <v>1809067</v>
      </c>
      <c r="N128" s="273">
        <v>1869765</v>
      </c>
      <c r="O128" s="273">
        <v>1541080</v>
      </c>
      <c r="P128" s="273">
        <v>1745383</v>
      </c>
      <c r="Q128" s="273">
        <v>1858272</v>
      </c>
      <c r="R128" s="273">
        <v>1910397</v>
      </c>
      <c r="S128" s="273">
        <v>1663764</v>
      </c>
      <c r="T128" s="273">
        <v>1791568</v>
      </c>
      <c r="U128" s="273">
        <v>1935983</v>
      </c>
      <c r="V128" s="273">
        <v>1929857</v>
      </c>
      <c r="W128" s="273">
        <v>1673195</v>
      </c>
      <c r="X128" s="273">
        <v>1871331</v>
      </c>
    </row>
    <row r="129" spans="1:24" ht="14.25" thickBot="1" x14ac:dyDescent="0.3">
      <c r="A129" s="225" t="s">
        <v>35</v>
      </c>
      <c r="B129" s="276">
        <v>2158232</v>
      </c>
      <c r="C129" s="276">
        <v>2394121</v>
      </c>
      <c r="D129" s="276">
        <v>2370814</v>
      </c>
      <c r="E129" s="276">
        <v>2477132</v>
      </c>
      <c r="F129" s="276">
        <v>2454204</v>
      </c>
      <c r="G129" s="276">
        <v>2689415</v>
      </c>
      <c r="H129" s="276">
        <v>2560314</v>
      </c>
      <c r="I129" s="276">
        <v>2901747</v>
      </c>
      <c r="J129" s="276">
        <v>2835306</v>
      </c>
      <c r="K129" s="276">
        <v>2927916</v>
      </c>
      <c r="L129" s="276">
        <v>2907683</v>
      </c>
      <c r="M129" s="276">
        <v>3328590</v>
      </c>
      <c r="N129" s="276">
        <v>3102273</v>
      </c>
      <c r="O129" s="276">
        <v>3183278</v>
      </c>
      <c r="P129" s="276">
        <v>3063317</v>
      </c>
      <c r="Q129" s="276">
        <v>2928910</v>
      </c>
      <c r="R129" s="276">
        <v>2810425</v>
      </c>
      <c r="S129" s="276">
        <v>2963773</v>
      </c>
      <c r="T129" s="276">
        <v>2843370</v>
      </c>
      <c r="U129" s="276">
        <v>3117303</v>
      </c>
      <c r="V129" s="276">
        <v>2892340</v>
      </c>
      <c r="W129" s="276">
        <v>3079346</v>
      </c>
      <c r="X129" s="276">
        <v>3118093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10.73</v>
      </c>
      <c r="C132" s="68">
        <v>10.97</v>
      </c>
      <c r="D132" s="68">
        <v>13.6</v>
      </c>
      <c r="E132" s="68">
        <v>12.1</v>
      </c>
      <c r="F132" s="68">
        <v>16.96</v>
      </c>
    </row>
    <row r="133" spans="1:24" ht="14.25" thickBot="1" x14ac:dyDescent="0.3">
      <c r="A133" s="225" t="s">
        <v>37</v>
      </c>
      <c r="B133" s="274">
        <v>-2.72</v>
      </c>
      <c r="C133" s="274">
        <v>-1.29</v>
      </c>
      <c r="D133" s="274">
        <v>-2.96</v>
      </c>
      <c r="E133" s="274">
        <v>-4.42</v>
      </c>
      <c r="F133" s="274">
        <v>-2</v>
      </c>
    </row>
    <row r="134" spans="1:24" ht="14.25" thickBot="1" x14ac:dyDescent="0.3">
      <c r="A134" s="224" t="s">
        <v>38</v>
      </c>
      <c r="B134" s="68">
        <v>-4.96</v>
      </c>
      <c r="C134" s="68">
        <v>-6.4</v>
      </c>
      <c r="D134" s="68">
        <v>-6.88</v>
      </c>
      <c r="E134" s="68">
        <v>-16.47</v>
      </c>
      <c r="F134" s="68">
        <v>-7.15</v>
      </c>
    </row>
    <row r="135" spans="1:24" ht="14.25" thickBot="1" x14ac:dyDescent="0.3">
      <c r="A135" s="225" t="s">
        <v>270</v>
      </c>
      <c r="B135" s="274">
        <v>8.01</v>
      </c>
      <c r="C135" s="274">
        <v>9.68</v>
      </c>
      <c r="D135" s="274">
        <v>10.64</v>
      </c>
      <c r="E135" s="274">
        <v>7.68</v>
      </c>
      <c r="F135" s="274">
        <v>14.95</v>
      </c>
    </row>
    <row r="136" spans="1:24" ht="14.25" thickBot="1" x14ac:dyDescent="0.3">
      <c r="A136" s="229" t="s">
        <v>39</v>
      </c>
      <c r="B136" s="72">
        <v>3.05</v>
      </c>
      <c r="C136" s="72">
        <v>3.28</v>
      </c>
      <c r="D136" s="72">
        <v>3.76</v>
      </c>
      <c r="E136" s="72">
        <v>-8.7899999999999991</v>
      </c>
      <c r="F136" s="72">
        <v>7.81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7</v>
      </c>
      <c r="C140" s="68">
        <v>7.5</v>
      </c>
      <c r="D140" s="68">
        <v>8.5</v>
      </c>
      <c r="E140" s="68">
        <v>7</v>
      </c>
      <c r="F140" s="68">
        <v>8.5</v>
      </c>
    </row>
    <row r="141" spans="1:24" ht="14.25" thickBot="1" x14ac:dyDescent="0.3">
      <c r="A141" s="227" t="s">
        <v>1</v>
      </c>
      <c r="B141" s="73">
        <v>0.5</v>
      </c>
      <c r="C141" s="73">
        <v>0.6</v>
      </c>
      <c r="D141" s="73">
        <v>0.2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0.7337526205450734</v>
      </c>
      <c r="C142" s="234">
        <f>IF(C140&lt;&gt;"無",IF(ISNA(HLOOKUP(C139,$B$64:$F$69,6,FALSE)),"",C140/HLOOKUP(C139,$B$64:$F$69,6,FALSE)),"")</f>
        <v>0.66725978647686834</v>
      </c>
      <c r="D142" s="234">
        <f>IF(D140&lt;&gt;"無",IF(ISNA(HLOOKUP(D139,$B$64:$F$69,6,FALSE)),"",D140/HLOOKUP(D139,$B$64:$F$69,6,FALSE)),"")</f>
        <v>0.74692442882249566</v>
      </c>
      <c r="E142" s="234">
        <f>IF(E140&lt;&gt;"無",IF(ISNA(HLOOKUP(E139,$B$64:$F$69,6,FALSE)),"",E140/HLOOKUP(E139,$B$64:$F$69,6,FALSE)),"")</f>
        <v>0.71501532175689486</v>
      </c>
      <c r="F142" s="234">
        <f>IF(F140&lt;&gt;"無",IF(ISNA(HLOOKUP(F139,$B$64:$F$69,6,FALSE)),"",F140/HLOOKUP(F139,$B$64:$F$69,6,FALSE)),"")</f>
        <v>0.75421472937000889</v>
      </c>
    </row>
    <row r="143" spans="1:24" x14ac:dyDescent="0.25">
      <c r="A143" s="233" t="s">
        <v>216</v>
      </c>
      <c r="B143" s="234">
        <f>IF(OR(B140=0,B140="無"),"",B135/B140)</f>
        <v>1.1442857142857144</v>
      </c>
      <c r="C143" s="234">
        <f>IF(OR(C140=0,C140="無"),"",C135/C140)</f>
        <v>1.2906666666666666</v>
      </c>
      <c r="D143" s="234">
        <f>IF(OR(D140=0,D140="無"),"",D135/D140)</f>
        <v>1.2517647058823531</v>
      </c>
      <c r="E143" s="234">
        <f>IF(OR(E140=0,E140="無"),"",E135/E140)</f>
        <v>1.0971428571428572</v>
      </c>
      <c r="F143" s="234">
        <f>IF(OR(F140=0,F140="無"),"",F135/F140)</f>
        <v>1.7588235294117647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41.25</v>
      </c>
      <c r="C146" s="68">
        <v>39.04</v>
      </c>
      <c r="D146" s="68">
        <v>40.119999999999997</v>
      </c>
      <c r="E146" s="68">
        <v>39.85</v>
      </c>
      <c r="F146" s="68">
        <v>38.880000000000003</v>
      </c>
      <c r="G146" s="68">
        <v>37.99</v>
      </c>
      <c r="H146" s="68">
        <v>39.06</v>
      </c>
      <c r="I146" s="68">
        <v>39.65</v>
      </c>
      <c r="J146" s="68">
        <v>38.85</v>
      </c>
      <c r="K146" s="68">
        <v>39.42</v>
      </c>
      <c r="L146" s="68">
        <v>39.07</v>
      </c>
      <c r="M146" s="68">
        <v>41.51</v>
      </c>
      <c r="N146" s="68">
        <v>41.46</v>
      </c>
      <c r="O146" s="68">
        <v>38.68</v>
      </c>
      <c r="P146" s="68">
        <v>39.200000000000003</v>
      </c>
      <c r="Q146" s="68">
        <v>40.89</v>
      </c>
      <c r="R146" s="68">
        <v>40.65</v>
      </c>
      <c r="S146" s="68">
        <v>42.79</v>
      </c>
      <c r="T146" s="68">
        <v>42.52</v>
      </c>
      <c r="U146" s="68">
        <v>42.21</v>
      </c>
      <c r="V146" s="68">
        <v>41.82</v>
      </c>
      <c r="W146" s="68">
        <v>40.229999999999997</v>
      </c>
      <c r="X146" s="68">
        <v>41.29</v>
      </c>
    </row>
    <row r="147" spans="1:24" s="93" customFormat="1" ht="14.25" thickBot="1" x14ac:dyDescent="0.3">
      <c r="A147" s="225" t="s">
        <v>19</v>
      </c>
      <c r="B147" s="274">
        <v>16.739999999999998</v>
      </c>
      <c r="C147" s="274">
        <v>17.46</v>
      </c>
      <c r="D147" s="274">
        <v>19.93</v>
      </c>
      <c r="E147" s="274">
        <v>15.14</v>
      </c>
      <c r="F147" s="274">
        <v>12.45</v>
      </c>
      <c r="G147" s="274">
        <v>16.12</v>
      </c>
      <c r="H147" s="274">
        <v>17.399999999999999</v>
      </c>
      <c r="I147" s="274">
        <v>18.28</v>
      </c>
      <c r="J147" s="274">
        <v>11.74</v>
      </c>
      <c r="K147" s="274">
        <v>18.07</v>
      </c>
      <c r="L147" s="274">
        <v>17.77</v>
      </c>
      <c r="M147" s="274">
        <v>18.89</v>
      </c>
      <c r="N147" s="274">
        <v>14.98</v>
      </c>
      <c r="O147" s="274">
        <v>15.11</v>
      </c>
      <c r="P147" s="274">
        <v>15.48</v>
      </c>
      <c r="Q147" s="274">
        <v>19.39</v>
      </c>
      <c r="R147" s="274">
        <v>12.32</v>
      </c>
      <c r="S147" s="274">
        <v>18.29</v>
      </c>
      <c r="T147" s="274">
        <v>21.18</v>
      </c>
      <c r="U147" s="274">
        <v>18.91</v>
      </c>
      <c r="V147" s="274">
        <v>14.18</v>
      </c>
      <c r="W147" s="274">
        <v>16.86</v>
      </c>
      <c r="X147" s="274">
        <v>19.28</v>
      </c>
    </row>
    <row r="148" spans="1:24" s="93" customFormat="1" ht="14.25" thickBot="1" x14ac:dyDescent="0.3">
      <c r="A148" s="224" t="s">
        <v>41</v>
      </c>
      <c r="B148" s="68">
        <v>16.27</v>
      </c>
      <c r="C148" s="68">
        <v>17.59</v>
      </c>
      <c r="D148" s="68">
        <v>20.100000000000001</v>
      </c>
      <c r="E148" s="68">
        <v>14.63</v>
      </c>
      <c r="F148" s="68">
        <v>13.06</v>
      </c>
      <c r="G148" s="68">
        <v>16.309999999999999</v>
      </c>
      <c r="H148" s="68">
        <v>17.41</v>
      </c>
      <c r="I148" s="68">
        <v>18.71</v>
      </c>
      <c r="J148" s="68">
        <v>11.93</v>
      </c>
      <c r="K148" s="68">
        <v>18.63</v>
      </c>
      <c r="L148" s="68">
        <v>18.05</v>
      </c>
      <c r="M148" s="68">
        <v>19.239999999999998</v>
      </c>
      <c r="N148" s="68">
        <v>15.4</v>
      </c>
      <c r="O148" s="68">
        <v>15.37</v>
      </c>
      <c r="P148" s="68">
        <v>15.08</v>
      </c>
      <c r="Q148" s="68">
        <v>19.7</v>
      </c>
      <c r="R148" s="68">
        <v>11.64</v>
      </c>
      <c r="S148" s="68">
        <v>19.36</v>
      </c>
      <c r="T148" s="68">
        <v>20.5</v>
      </c>
      <c r="U148" s="68">
        <v>20.23</v>
      </c>
      <c r="V148" s="68">
        <v>12.68</v>
      </c>
      <c r="W148" s="68">
        <v>16.79</v>
      </c>
      <c r="X148" s="68">
        <v>19.079999999999998</v>
      </c>
    </row>
    <row r="149" spans="1:24" s="93" customFormat="1" ht="14.25" thickBot="1" x14ac:dyDescent="0.3">
      <c r="A149" s="225" t="s">
        <v>13</v>
      </c>
      <c r="B149" s="73">
        <v>10.71</v>
      </c>
      <c r="C149" s="73">
        <v>11.46</v>
      </c>
      <c r="D149" s="73">
        <v>11.11</v>
      </c>
      <c r="E149" s="73">
        <v>13.91</v>
      </c>
      <c r="F149" s="73">
        <v>9.52</v>
      </c>
      <c r="G149" s="73">
        <v>11.77</v>
      </c>
      <c r="H149" s="73">
        <v>15.4</v>
      </c>
      <c r="I149" s="73">
        <v>13.47</v>
      </c>
      <c r="J149" s="73">
        <v>7.78</v>
      </c>
      <c r="K149" s="73">
        <v>13.91</v>
      </c>
      <c r="L149" s="73">
        <v>13.12</v>
      </c>
      <c r="M149" s="73">
        <v>14.07</v>
      </c>
      <c r="N149" s="73">
        <v>9.65</v>
      </c>
      <c r="O149" s="73">
        <v>9.81</v>
      </c>
      <c r="P149" s="73">
        <v>13.2</v>
      </c>
      <c r="Q149" s="73">
        <v>13.95</v>
      </c>
      <c r="R149" s="73">
        <v>6.97</v>
      </c>
      <c r="S149" s="73">
        <v>14.18</v>
      </c>
      <c r="T149" s="73">
        <v>14.92</v>
      </c>
      <c r="U149" s="73">
        <v>14.42</v>
      </c>
      <c r="V149" s="73">
        <v>8.6300000000000008</v>
      </c>
      <c r="W149" s="73">
        <v>11.6</v>
      </c>
      <c r="X149" s="73">
        <v>14.26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39.97</v>
      </c>
      <c r="C152" s="68">
        <v>38.950000000000003</v>
      </c>
      <c r="D152" s="68">
        <v>39.840000000000003</v>
      </c>
      <c r="E152" s="68">
        <v>40.020000000000003</v>
      </c>
      <c r="F152" s="68">
        <v>42.13</v>
      </c>
    </row>
    <row r="153" spans="1:24" s="93" customFormat="1" ht="14.25" thickBot="1" x14ac:dyDescent="0.3">
      <c r="A153" s="225" t="s">
        <v>19</v>
      </c>
      <c r="B153" s="274">
        <v>17.399999999999999</v>
      </c>
      <c r="C153" s="274">
        <v>16.54</v>
      </c>
      <c r="D153" s="274">
        <v>17.12</v>
      </c>
      <c r="E153" s="274">
        <v>16.420000000000002</v>
      </c>
      <c r="F153" s="274">
        <v>18.09</v>
      </c>
    </row>
    <row r="154" spans="1:24" s="93" customFormat="1" ht="14.25" thickBot="1" x14ac:dyDescent="0.3">
      <c r="A154" s="224" t="s">
        <v>41</v>
      </c>
      <c r="B154" s="68">
        <v>17.260000000000002</v>
      </c>
      <c r="C154" s="68">
        <v>16.829999999999998</v>
      </c>
      <c r="D154" s="68">
        <v>17.47</v>
      </c>
      <c r="E154" s="68">
        <v>16.559999999999999</v>
      </c>
      <c r="F154" s="68">
        <v>18.399999999999999</v>
      </c>
    </row>
    <row r="155" spans="1:24" s="93" customFormat="1" ht="14.25" thickBot="1" x14ac:dyDescent="0.3">
      <c r="A155" s="225" t="s">
        <v>13</v>
      </c>
      <c r="B155" s="73">
        <v>11.88</v>
      </c>
      <c r="C155" s="73">
        <v>12.94</v>
      </c>
      <c r="D155" s="73">
        <v>12.66</v>
      </c>
      <c r="E155" s="73">
        <v>11.85</v>
      </c>
      <c r="F155" s="73">
        <v>13.04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3.15</v>
      </c>
      <c r="C158" s="68">
        <v>4.63</v>
      </c>
      <c r="D158" s="68">
        <v>4.59</v>
      </c>
      <c r="E158" s="68">
        <v>5.4</v>
      </c>
      <c r="F158" s="68">
        <v>2.56</v>
      </c>
      <c r="G158" s="68">
        <v>4.4800000000000004</v>
      </c>
      <c r="H158" s="68">
        <v>6.54</v>
      </c>
      <c r="I158" s="68">
        <v>6.1</v>
      </c>
      <c r="J158" s="68">
        <v>2.1</v>
      </c>
      <c r="K158" s="68">
        <v>5.09</v>
      </c>
      <c r="L158" s="68">
        <v>5.55</v>
      </c>
      <c r="M158" s="68">
        <v>5.84</v>
      </c>
      <c r="N158" s="68">
        <v>2.58</v>
      </c>
      <c r="O158" s="68">
        <v>3.23</v>
      </c>
      <c r="P158" s="68">
        <v>4.5199999999999996</v>
      </c>
      <c r="Q158" s="68">
        <v>5.64</v>
      </c>
      <c r="R158" s="68">
        <v>2.0699999999999998</v>
      </c>
      <c r="S158" s="68">
        <v>5.37</v>
      </c>
      <c r="T158" s="68">
        <v>6.13</v>
      </c>
      <c r="U158" s="68">
        <v>5.75</v>
      </c>
      <c r="V158" s="68">
        <v>2.42</v>
      </c>
      <c r="W158" s="68">
        <v>4.7</v>
      </c>
      <c r="X158" s="68">
        <v>5.93</v>
      </c>
    </row>
    <row r="159" spans="1:24" s="93" customFormat="1" ht="14.25" thickBot="1" x14ac:dyDescent="0.3">
      <c r="A159" s="225" t="s">
        <v>45</v>
      </c>
      <c r="B159" s="73">
        <v>5.5</v>
      </c>
      <c r="C159" s="73">
        <v>8.7799999999999994</v>
      </c>
      <c r="D159" s="73">
        <v>9.48</v>
      </c>
      <c r="E159" s="73">
        <v>10.31</v>
      </c>
      <c r="F159" s="73">
        <v>4.57</v>
      </c>
      <c r="G159" s="73">
        <v>8.69</v>
      </c>
      <c r="H159" s="73">
        <v>13</v>
      </c>
      <c r="I159" s="73">
        <v>11.2</v>
      </c>
      <c r="J159" s="73">
        <v>3.69</v>
      </c>
      <c r="K159" s="73">
        <v>9.57</v>
      </c>
      <c r="L159" s="73">
        <v>10.69</v>
      </c>
      <c r="M159" s="73">
        <v>10.6</v>
      </c>
      <c r="N159" s="73">
        <v>4.42</v>
      </c>
      <c r="O159" s="73">
        <v>5.86</v>
      </c>
      <c r="P159" s="73">
        <v>8.4600000000000009</v>
      </c>
      <c r="Q159" s="73">
        <v>9.25</v>
      </c>
      <c r="R159" s="73">
        <v>3.12</v>
      </c>
      <c r="S159" s="73">
        <v>8.6199999999999992</v>
      </c>
      <c r="T159" s="73">
        <v>10.23</v>
      </c>
      <c r="U159" s="73">
        <v>9.15</v>
      </c>
      <c r="V159" s="73">
        <v>3.72</v>
      </c>
      <c r="W159" s="73">
        <v>7.73</v>
      </c>
      <c r="X159" s="73">
        <v>10.29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11.88</v>
      </c>
      <c r="C162" s="68">
        <v>12.94</v>
      </c>
      <c r="D162" s="68">
        <v>12.66</v>
      </c>
      <c r="E162" s="68">
        <v>11.85</v>
      </c>
      <c r="F162" s="68">
        <v>13.04</v>
      </c>
    </row>
    <row r="163" spans="1:72" s="93" customFormat="1" ht="14.25" thickBot="1" x14ac:dyDescent="0.3">
      <c r="A163" s="225" t="s">
        <v>18</v>
      </c>
      <c r="B163" s="274">
        <v>1.4</v>
      </c>
      <c r="C163" s="274">
        <v>1.36</v>
      </c>
      <c r="D163" s="274">
        <v>1.29</v>
      </c>
      <c r="E163" s="274">
        <v>1.4</v>
      </c>
      <c r="F163" s="274">
        <v>1.38</v>
      </c>
    </row>
    <row r="164" spans="1:72" s="93" customFormat="1" ht="14.25" thickBot="1" x14ac:dyDescent="0.3">
      <c r="A164" s="224" t="s">
        <v>15</v>
      </c>
      <c r="B164" s="68">
        <v>1.89</v>
      </c>
      <c r="C164" s="68">
        <v>1.85</v>
      </c>
      <c r="D164" s="68">
        <v>1.84</v>
      </c>
      <c r="E164" s="68">
        <v>1.58</v>
      </c>
      <c r="F164" s="68">
        <v>1.61</v>
      </c>
    </row>
    <row r="165" spans="1:72" s="93" customFormat="1" ht="14.25" thickBot="1" x14ac:dyDescent="0.3">
      <c r="A165" s="225" t="s">
        <v>45</v>
      </c>
      <c r="B165" s="73">
        <v>32.340000000000003</v>
      </c>
      <c r="C165" s="73">
        <v>35.520000000000003</v>
      </c>
      <c r="D165" s="73">
        <v>32.29</v>
      </c>
      <c r="E165" s="73">
        <v>26.56</v>
      </c>
      <c r="F165" s="73">
        <v>29.53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93.75</v>
      </c>
      <c r="C168" s="68">
        <v>59.21</v>
      </c>
      <c r="D168" s="68">
        <v>62.94</v>
      </c>
      <c r="E168" s="68">
        <v>72.58</v>
      </c>
      <c r="F168" s="68">
        <v>94.74</v>
      </c>
      <c r="G168" s="68">
        <v>60.81</v>
      </c>
      <c r="H168" s="68">
        <v>60.81</v>
      </c>
      <c r="I168" s="68">
        <v>64.290000000000006</v>
      </c>
      <c r="J168" s="68">
        <v>102.27</v>
      </c>
      <c r="K168" s="68">
        <v>62.5</v>
      </c>
      <c r="L168" s="68">
        <v>55.56</v>
      </c>
      <c r="M168" s="68">
        <v>62.07</v>
      </c>
      <c r="N168" s="68">
        <v>90.91</v>
      </c>
      <c r="O168" s="68">
        <v>62.07</v>
      </c>
      <c r="P168" s="68">
        <v>59.21</v>
      </c>
      <c r="Q168" s="68">
        <v>60</v>
      </c>
      <c r="R168" s="68">
        <v>84.91</v>
      </c>
      <c r="S168" s="68">
        <v>59.21</v>
      </c>
      <c r="T168" s="68">
        <v>53.89</v>
      </c>
      <c r="U168" s="68">
        <v>55.9</v>
      </c>
      <c r="V168" s="68">
        <v>70.87</v>
      </c>
      <c r="W168" s="68">
        <v>45</v>
      </c>
      <c r="X168" s="68">
        <v>47.37</v>
      </c>
    </row>
    <row r="169" spans="1:72" s="93" customFormat="1" ht="14.25" thickBot="1" x14ac:dyDescent="0.3">
      <c r="A169" s="225" t="s">
        <v>17</v>
      </c>
      <c r="B169" s="274">
        <v>136.36000000000001</v>
      </c>
      <c r="C169" s="274">
        <v>95.74</v>
      </c>
      <c r="D169" s="274">
        <v>91.84</v>
      </c>
      <c r="E169" s="274">
        <v>94.74</v>
      </c>
      <c r="F169" s="274">
        <v>142.86000000000001</v>
      </c>
      <c r="G169" s="274">
        <v>100</v>
      </c>
      <c r="H169" s="274">
        <v>86.54</v>
      </c>
      <c r="I169" s="274">
        <v>74.38</v>
      </c>
      <c r="J169" s="274">
        <v>125</v>
      </c>
      <c r="K169" s="274">
        <v>100</v>
      </c>
      <c r="L169" s="274">
        <v>87.38</v>
      </c>
      <c r="M169" s="274">
        <v>84.91</v>
      </c>
      <c r="N169" s="274">
        <v>130.43</v>
      </c>
      <c r="O169" s="274">
        <v>103.45</v>
      </c>
      <c r="P169" s="274">
        <v>98.9</v>
      </c>
      <c r="Q169" s="274">
        <v>88.24</v>
      </c>
      <c r="R169" s="274">
        <v>126.76</v>
      </c>
      <c r="S169" s="274">
        <v>104.65</v>
      </c>
      <c r="T169" s="274">
        <v>90</v>
      </c>
      <c r="U169" s="274">
        <v>84.91</v>
      </c>
      <c r="V169" s="274">
        <v>121.62</v>
      </c>
      <c r="W169" s="274">
        <v>84.91</v>
      </c>
      <c r="X169" s="274">
        <v>83.33</v>
      </c>
    </row>
    <row r="170" spans="1:72" s="93" customFormat="1" ht="14.25" thickBot="1" x14ac:dyDescent="0.3">
      <c r="A170" s="224" t="s">
        <v>42</v>
      </c>
      <c r="B170" s="72">
        <v>230.11</v>
      </c>
      <c r="C170" s="72">
        <v>154.96</v>
      </c>
      <c r="D170" s="72">
        <v>154.77000000000001</v>
      </c>
      <c r="E170" s="72">
        <v>167.32</v>
      </c>
      <c r="F170" s="72">
        <v>237.59</v>
      </c>
      <c r="G170" s="72">
        <v>160.81</v>
      </c>
      <c r="H170" s="72">
        <v>147.35</v>
      </c>
      <c r="I170" s="72">
        <v>138.66999999999999</v>
      </c>
      <c r="J170" s="72">
        <v>227.27</v>
      </c>
      <c r="K170" s="72">
        <v>162.5</v>
      </c>
      <c r="L170" s="72">
        <v>142.93</v>
      </c>
      <c r="M170" s="72">
        <v>146.97</v>
      </c>
      <c r="N170" s="72">
        <v>221.34</v>
      </c>
      <c r="O170" s="72">
        <v>165.52</v>
      </c>
      <c r="P170" s="72">
        <v>158.11000000000001</v>
      </c>
      <c r="Q170" s="72">
        <v>148.24</v>
      </c>
      <c r="R170" s="72">
        <v>211.67</v>
      </c>
      <c r="S170" s="72">
        <v>163.86</v>
      </c>
      <c r="T170" s="72">
        <v>143.88999999999999</v>
      </c>
      <c r="U170" s="72">
        <v>140.81</v>
      </c>
      <c r="V170" s="72">
        <v>192.49</v>
      </c>
      <c r="W170" s="72">
        <v>129.91</v>
      </c>
      <c r="X170" s="72">
        <v>130.69999999999999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111.57</v>
      </c>
      <c r="C173" s="72">
        <v>96.3</v>
      </c>
      <c r="D173" s="72">
        <v>118.77</v>
      </c>
      <c r="E173" s="72">
        <v>120.58</v>
      </c>
      <c r="F173" s="72">
        <v>146.87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10.050000000000001</v>
      </c>
      <c r="C176" s="72">
        <v>11.47</v>
      </c>
      <c r="D176" s="72">
        <v>12.33</v>
      </c>
      <c r="E176" s="72">
        <v>10.4</v>
      </c>
      <c r="F176" s="72">
        <v>11.1</v>
      </c>
      <c r="G176" s="72">
        <v>11.34</v>
      </c>
      <c r="H176" s="72">
        <v>12.25</v>
      </c>
      <c r="I176" s="72">
        <v>12.24</v>
      </c>
      <c r="J176" s="72">
        <v>11.79</v>
      </c>
      <c r="K176" s="72">
        <v>12.27</v>
      </c>
      <c r="L176" s="72">
        <v>12.73</v>
      </c>
      <c r="M176" s="72">
        <v>13.11</v>
      </c>
      <c r="N176" s="72">
        <v>13.67</v>
      </c>
      <c r="O176" s="72">
        <v>14.28</v>
      </c>
      <c r="P176" s="72">
        <v>14.71</v>
      </c>
      <c r="Q176" s="72">
        <v>13.46</v>
      </c>
      <c r="R176" s="72">
        <v>12.8</v>
      </c>
      <c r="S176" s="72">
        <v>12.18</v>
      </c>
      <c r="T176" s="72">
        <v>13.32</v>
      </c>
      <c r="U176" s="72">
        <v>12.74</v>
      </c>
      <c r="V176" s="72">
        <v>13.15</v>
      </c>
      <c r="W176" s="72">
        <v>14.09</v>
      </c>
      <c r="X176" s="72">
        <v>13.74</v>
      </c>
      <c r="Y176" s="72">
        <v>15.17</v>
      </c>
      <c r="Z176" s="72">
        <v>15.15</v>
      </c>
      <c r="AA176" s="72">
        <v>16.04</v>
      </c>
      <c r="AB176" s="72">
        <v>16.079999999999998</v>
      </c>
      <c r="AC176" s="72">
        <v>15.81</v>
      </c>
      <c r="AD176" s="72">
        <v>15.72</v>
      </c>
      <c r="AE176" s="72">
        <v>15.21</v>
      </c>
      <c r="AF176" s="72">
        <v>15.5</v>
      </c>
      <c r="AG176" s="72">
        <v>15.69</v>
      </c>
      <c r="AH176" s="72">
        <v>15.47</v>
      </c>
      <c r="AI176" s="72">
        <v>15.62</v>
      </c>
      <c r="AJ176" s="72">
        <v>17.29</v>
      </c>
      <c r="AK176" s="72">
        <v>17.88</v>
      </c>
      <c r="AL176" s="72">
        <v>17.489999999999998</v>
      </c>
      <c r="AM176" s="72">
        <v>16.940000000000001</v>
      </c>
      <c r="AN176" s="72">
        <v>16.350000000000001</v>
      </c>
      <c r="AO176" s="72">
        <v>16.91</v>
      </c>
      <c r="AP176" s="72">
        <v>15.68</v>
      </c>
      <c r="AQ176" s="72">
        <v>14.77</v>
      </c>
      <c r="AR176" s="72">
        <v>14.87</v>
      </c>
      <c r="AS176" s="72">
        <v>12.15</v>
      </c>
      <c r="AT176" s="72">
        <v>10.61</v>
      </c>
      <c r="AU176" s="72">
        <v>10.94</v>
      </c>
      <c r="AV176" s="72">
        <v>11.31</v>
      </c>
      <c r="AW176" s="72">
        <v>10.81</v>
      </c>
      <c r="AX176" s="72">
        <v>9.34</v>
      </c>
      <c r="AY176" s="72">
        <v>9.15</v>
      </c>
      <c r="AZ176" s="72">
        <v>12</v>
      </c>
      <c r="BA176" s="72">
        <v>11.65</v>
      </c>
      <c r="BB176" s="72">
        <v>10.99</v>
      </c>
      <c r="BC176" s="72">
        <v>11.13</v>
      </c>
      <c r="BD176" s="72">
        <v>12.15</v>
      </c>
      <c r="BE176" s="72">
        <v>13.08</v>
      </c>
      <c r="BF176" s="72">
        <v>13.75</v>
      </c>
      <c r="BG176" s="72">
        <v>14.21</v>
      </c>
      <c r="BH176" s="72">
        <v>13.04</v>
      </c>
      <c r="BI176" s="72">
        <v>13.11</v>
      </c>
      <c r="BJ176" s="72">
        <v>12.87</v>
      </c>
      <c r="BK176" s="72">
        <v>12.27</v>
      </c>
      <c r="BL176" s="72">
        <v>12</v>
      </c>
      <c r="BM176" s="72">
        <v>12.25</v>
      </c>
      <c r="BN176" s="72">
        <v>13.53</v>
      </c>
      <c r="BO176" s="72">
        <v>14.89</v>
      </c>
      <c r="BP176" s="72">
        <v>15.2</v>
      </c>
      <c r="BQ176" s="72">
        <v>14.49</v>
      </c>
      <c r="BR176" s="72">
        <v>13.97</v>
      </c>
      <c r="BS176" s="72">
        <v>13.64</v>
      </c>
      <c r="BT176" s="72">
        <v>13.99</v>
      </c>
    </row>
  </sheetData>
  <phoneticPr fontId="3" type="noConversion"/>
  <conditionalFormatting sqref="E4">
    <cfRule type="cellIs" dxfId="7046" priority="103" operator="greaterThan">
      <formula>0.2</formula>
    </cfRule>
    <cfRule type="cellIs" dxfId="7045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7044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7043" priority="97" operator="greaterThan">
      <formula>$B$19</formula>
    </cfRule>
  </conditionalFormatting>
  <conditionalFormatting sqref="D33:D34">
    <cfRule type="cellIs" dxfId="7042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7041" priority="91" operator="lessThan">
      <formula>$H$62</formula>
    </cfRule>
    <cfRule type="cellIs" dxfId="7040" priority="92" operator="greaterThan">
      <formula>$H$62</formula>
    </cfRule>
  </conditionalFormatting>
  <conditionalFormatting sqref="J62">
    <cfRule type="cellIs" dxfId="7039" priority="89" operator="lessThan">
      <formula>$K$62</formula>
    </cfRule>
    <cfRule type="cellIs" dxfId="7038" priority="90" operator="greaterThan">
      <formula>$K$62</formula>
    </cfRule>
  </conditionalFormatting>
  <conditionalFormatting sqref="M62">
    <cfRule type="cellIs" dxfId="7037" priority="87" operator="lessThan">
      <formula>$N$62</formula>
    </cfRule>
    <cfRule type="cellIs" dxfId="7036" priority="88" operator="greaterThan">
      <formula>$N$62</formula>
    </cfRule>
  </conditionalFormatting>
  <conditionalFormatting sqref="B44:E44">
    <cfRule type="cellIs" dxfId="7035" priority="85" operator="greaterThan">
      <formula>0</formula>
    </cfRule>
    <cfRule type="cellIs" dxfId="7034" priority="86" operator="lessThan">
      <formula>0</formula>
    </cfRule>
  </conditionalFormatting>
  <conditionalFormatting sqref="F72">
    <cfRule type="cellIs" dxfId="7033" priority="84" operator="lessThan">
      <formula>$E$72*90%</formula>
    </cfRule>
  </conditionalFormatting>
  <conditionalFormatting sqref="F73">
    <cfRule type="cellIs" dxfId="7032" priority="83" operator="lessThan">
      <formula>$E$73*90%</formula>
    </cfRule>
  </conditionalFormatting>
  <conditionalFormatting sqref="F74">
    <cfRule type="cellIs" dxfId="7031" priority="82" operator="lessThan">
      <formula>$E$74*90%</formula>
    </cfRule>
  </conditionalFormatting>
  <conditionalFormatting sqref="F75">
    <cfRule type="cellIs" dxfId="7030" priority="81" operator="lessThan">
      <formula>$E$75*90%</formula>
    </cfRule>
  </conditionalFormatting>
  <conditionalFormatting sqref="H44:K44">
    <cfRule type="cellIs" dxfId="7029" priority="79" operator="greaterThan">
      <formula>0</formula>
    </cfRule>
    <cfRule type="cellIs" dxfId="7028" priority="80" operator="lessThan">
      <formula>0</formula>
    </cfRule>
  </conditionalFormatting>
  <conditionalFormatting sqref="H51:K51">
    <cfRule type="cellIs" dxfId="7027" priority="77" operator="greaterThan">
      <formula>0</formula>
    </cfRule>
    <cfRule type="cellIs" dxfId="7026" priority="78" operator="lessThan">
      <formula>0</formula>
    </cfRule>
  </conditionalFormatting>
  <conditionalFormatting sqref="B51:E51">
    <cfRule type="cellIs" dxfId="7025" priority="75" operator="greaterThan">
      <formula>0</formula>
    </cfRule>
    <cfRule type="cellIs" dxfId="7024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7023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7022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7021" priority="58" operator="lessThan">
      <formula>0</formula>
    </cfRule>
  </conditionalFormatting>
  <conditionalFormatting sqref="A25 E25 C25">
    <cfRule type="cellIs" dxfId="7020" priority="59" operator="lessThan">
      <formula>0</formula>
    </cfRule>
  </conditionalFormatting>
  <conditionalFormatting sqref="F25">
    <cfRule type="cellIs" dxfId="7019" priority="57" operator="lessThan">
      <formula>0</formula>
    </cfRule>
  </conditionalFormatting>
  <conditionalFormatting sqref="E1">
    <cfRule type="containsText" dxfId="7018" priority="56" operator="containsText" text="本季業外損益/平均=-">
      <formula>NOT(ISERROR(SEARCH("本季業外損益/平均=-",E1)))</formula>
    </cfRule>
  </conditionalFormatting>
  <conditionalFormatting sqref="M65">
    <cfRule type="cellIs" dxfId="7017" priority="55" operator="lessThan">
      <formula>$L$65*90%</formula>
    </cfRule>
  </conditionalFormatting>
  <conditionalFormatting sqref="M66">
    <cfRule type="cellIs" dxfId="7016" priority="54" operator="lessThan">
      <formula>$L$66*90%</formula>
    </cfRule>
  </conditionalFormatting>
  <conditionalFormatting sqref="M67">
    <cfRule type="cellIs" dxfId="7015" priority="53" operator="lessThan">
      <formula>$L$67*90%</formula>
    </cfRule>
  </conditionalFormatting>
  <conditionalFormatting sqref="M68">
    <cfRule type="cellIs" dxfId="7014" priority="52" operator="lessThan">
      <formula>$L$68*90%</formula>
    </cfRule>
  </conditionalFormatting>
  <conditionalFormatting sqref="B60">
    <cfRule type="cellIs" dxfId="7013" priority="51" operator="lessThan">
      <formula>0</formula>
    </cfRule>
  </conditionalFormatting>
  <conditionalFormatting sqref="B59:F59">
    <cfRule type="cellIs" dxfId="7012" priority="50" operator="lessThanOrEqual">
      <formula>0</formula>
    </cfRule>
  </conditionalFormatting>
  <conditionalFormatting sqref="D62">
    <cfRule type="cellIs" dxfId="7011" priority="48" operator="lessThan">
      <formula>$E$62</formula>
    </cfRule>
    <cfRule type="cellIs" dxfId="7010" priority="49" operator="greaterThan">
      <formula>$E$62</formula>
    </cfRule>
  </conditionalFormatting>
  <conditionalFormatting sqref="F69">
    <cfRule type="cellIs" dxfId="7009" priority="46" operator="lessThan">
      <formula>0</formula>
    </cfRule>
  </conditionalFormatting>
  <conditionalFormatting sqref="B65:E67 B69:E69 B68:D68">
    <cfRule type="cellIs" dxfId="7008" priority="47" operator="lessThan">
      <formula>0</formula>
    </cfRule>
  </conditionalFormatting>
  <conditionalFormatting sqref="E68">
    <cfRule type="cellIs" dxfId="7007" priority="45" operator="lessThan">
      <formula>0</formula>
    </cfRule>
  </conditionalFormatting>
  <conditionalFormatting sqref="F65:F68">
    <cfRule type="cellIs" dxfId="7006" priority="44" operator="lessThan">
      <formula>0</formula>
    </cfRule>
  </conditionalFormatting>
  <conditionalFormatting sqref="F65:F68">
    <cfRule type="cellIs" dxfId="7005" priority="43" operator="lessThan">
      <formula>$E$65*0.9</formula>
    </cfRule>
  </conditionalFormatting>
  <conditionalFormatting sqref="F66">
    <cfRule type="cellIs" dxfId="7004" priority="42" operator="lessThan">
      <formula>$E$66*0.9</formula>
    </cfRule>
  </conditionalFormatting>
  <conditionalFormatting sqref="F67:F68">
    <cfRule type="cellIs" dxfId="7003" priority="41" operator="lessThan">
      <formula>$E$67*0.9</formula>
    </cfRule>
  </conditionalFormatting>
  <conditionalFormatting sqref="F68">
    <cfRule type="cellIs" dxfId="7002" priority="40" operator="lessThan">
      <formula>$E$68*0.9</formula>
    </cfRule>
  </conditionalFormatting>
  <conditionalFormatting sqref="B13:F13">
    <cfRule type="cellIs" dxfId="7001" priority="29" operator="greaterThan">
      <formula>$I$16</formula>
    </cfRule>
    <cfRule type="cellIs" dxfId="7000" priority="30" operator="lessThanOrEqual">
      <formula>$I$16</formula>
    </cfRule>
  </conditionalFormatting>
  <conditionalFormatting sqref="B10:F10">
    <cfRule type="cellIs" dxfId="6999" priority="31" operator="greaterThan">
      <formula>15</formula>
    </cfRule>
    <cfRule type="cellIs" dxfId="6998" priority="38" operator="lessThan">
      <formula>$I$9</formula>
    </cfRule>
    <cfRule type="cellIs" dxfId="6997" priority="39" operator="greaterThan">
      <formula>$I$9</formula>
    </cfRule>
  </conditionalFormatting>
  <conditionalFormatting sqref="B16:F16">
    <cfRule type="cellIs" dxfId="6996" priority="36" operator="greaterThan">
      <formula>$I$16</formula>
    </cfRule>
    <cfRule type="cellIs" dxfId="6995" priority="37" operator="lessThanOrEqual">
      <formula>$I$16</formula>
    </cfRule>
  </conditionalFormatting>
  <conditionalFormatting sqref="B15:F15">
    <cfRule type="cellIs" dxfId="6994" priority="34" operator="lessThanOrEqual">
      <formula>$I$16</formula>
    </cfRule>
    <cfRule type="cellIs" dxfId="6993" priority="35" operator="greaterThan">
      <formula>$I$16</formula>
    </cfRule>
  </conditionalFormatting>
  <conditionalFormatting sqref="B14:F14">
    <cfRule type="cellIs" dxfId="6992" priority="32" operator="greaterThan">
      <formula>$I$16</formula>
    </cfRule>
    <cfRule type="cellIs" dxfId="6991" priority="33" operator="lessThanOrEqual">
      <formula>$I$16</formula>
    </cfRule>
  </conditionalFormatting>
  <conditionalFormatting sqref="K6">
    <cfRule type="containsText" dxfId="6990" priority="27" operator="containsText" text="衰退">
      <formula>NOT(ISERROR(SEARCH("衰退",K6)))</formula>
    </cfRule>
    <cfRule type="containsText" dxfId="6989" priority="28" operator="containsText" text="成長">
      <formula>NOT(ISERROR(SEARCH("成長",K6)))</formula>
    </cfRule>
  </conditionalFormatting>
  <conditionalFormatting sqref="I4:K4">
    <cfRule type="cellIs" dxfId="6988" priority="25" operator="lessThan">
      <formula>0</formula>
    </cfRule>
    <cfRule type="cellIs" dxfId="6987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986" priority="22" operator="lessThanOrEqual">
      <formula>$I$16</formula>
    </cfRule>
    <cfRule type="cellIs" dxfId="6985" priority="23" operator="greaterThan">
      <formula>$I$16</formula>
    </cfRule>
  </conditionalFormatting>
  <conditionalFormatting sqref="I6">
    <cfRule type="containsText" dxfId="6984" priority="20" operator="containsText" text="衰退">
      <formula>NOT(ISERROR(SEARCH("衰退",I6)))</formula>
    </cfRule>
    <cfRule type="containsText" dxfId="6983" priority="21" operator="containsText" text="成長">
      <formula>NOT(ISERROR(SEARCH("成長",I6)))</formula>
    </cfRule>
  </conditionalFormatting>
  <conditionalFormatting sqref="M9">
    <cfRule type="cellIs" dxfId="6982" priority="19" operator="lessThan">
      <formula>$I$9</formula>
    </cfRule>
  </conditionalFormatting>
  <conditionalFormatting sqref="M10">
    <cfRule type="cellIs" dxfId="6981" priority="18" operator="greaterThan">
      <formula>$I$9</formula>
    </cfRule>
  </conditionalFormatting>
  <conditionalFormatting sqref="M11">
    <cfRule type="cellIs" dxfId="6980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979" priority="14" operator="lessThan">
      <formula>0</formula>
    </cfRule>
    <cfRule type="cellIs" dxfId="6978" priority="15" operator="greaterThan">
      <formula>0.5</formula>
    </cfRule>
  </conditionalFormatting>
  <conditionalFormatting sqref="N14">
    <cfRule type="cellIs" dxfId="6977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976" priority="10" operator="lessThan">
      <formula>0.1</formula>
    </cfRule>
  </conditionalFormatting>
  <conditionalFormatting sqref="I14">
    <cfRule type="cellIs" dxfId="6975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974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973" priority="1" operator="lessThan">
      <formula>$N$5*0.9</formula>
    </cfRule>
    <cfRule type="cellIs" dxfId="6972" priority="2" operator="greaterThan">
      <formula>$N$5*1.1</formula>
    </cfRule>
  </conditionalFormatting>
  <hyperlinks>
    <hyperlink ref="L1" location="儀表板!A1" display="(回首頁)" xr:uid="{00000000-0004-0000-0A00-000000000000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6.36 ~ 11.67</v>
      </c>
      <c r="L1" s="83" t="s">
        <v>176</v>
      </c>
      <c r="M1" s="84" t="str">
        <f ca="1">VLOOKUP(_xlfn.NUMBERVALUE(N1),儀表板!A:B,2,FALSE)</f>
        <v>信錦</v>
      </c>
      <c r="N1" s="85" t="str">
        <f ca="1">MID(CELL("filename",L1),FIND("]",CELL("filename",L1))+1,255)</f>
        <v>1582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0.33359937674018408</v>
      </c>
    </row>
    <row r="3" spans="1:15" s="93" customFormat="1" x14ac:dyDescent="0.25">
      <c r="A3" s="81" t="s">
        <v>179</v>
      </c>
      <c r="B3" s="94">
        <f>SUM(F19:F22,F24:F27,J19)</f>
        <v>88.992276121951321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61.804740883693356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65.104561104034843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67.185528810556519</v>
      </c>
      <c r="L3" s="100"/>
      <c r="M3" s="79" t="s">
        <v>385</v>
      </c>
      <c r="N3" s="92">
        <f>(F69-E69)/E69</f>
        <v>-4.5758520727909785E-2</v>
      </c>
    </row>
    <row r="4" spans="1:15" s="93" customFormat="1" x14ac:dyDescent="0.25">
      <c r="A4" s="81" t="s">
        <v>182</v>
      </c>
      <c r="B4" s="96">
        <f>SUM(G36:G40)*2</f>
        <v>88</v>
      </c>
      <c r="C4" s="101"/>
      <c r="D4" s="102">
        <f>F4*(1+F141/10)</f>
        <v>15</v>
      </c>
      <c r="E4" s="82">
        <f>(D4-F4)/F4</f>
        <v>0</v>
      </c>
      <c r="F4" s="103">
        <v>15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5.7827033643888663</v>
      </c>
    </row>
    <row r="5" spans="1:15" s="93" customFormat="1" x14ac:dyDescent="0.25">
      <c r="A5" s="81" t="s">
        <v>184</v>
      </c>
      <c r="B5" s="107">
        <f>SUM(F30:F34)*2</f>
        <v>94.30403910614524</v>
      </c>
      <c r="C5" s="87"/>
      <c r="D5" s="87"/>
      <c r="E5" s="87"/>
      <c r="F5" s="86"/>
      <c r="G5" s="88"/>
      <c r="M5" s="79" t="s">
        <v>386</v>
      </c>
      <c r="N5" s="152">
        <f>D62</f>
        <v>6.1899999999999995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5.6952972562033279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16.11</v>
      </c>
      <c r="N9" s="129"/>
    </row>
    <row r="10" spans="1:15" s="93" customFormat="1" x14ac:dyDescent="0.25">
      <c r="A10" s="123" t="s">
        <v>194</v>
      </c>
      <c r="B10" s="126">
        <f>PERCENTILE(176:176,B9)</f>
        <v>9.81</v>
      </c>
      <c r="C10" s="126">
        <f>PERCENTILE(176:176,C9)</f>
        <v>10.395</v>
      </c>
      <c r="D10" s="126">
        <f>PERCENTILE(176:176,D9)</f>
        <v>10.95</v>
      </c>
      <c r="E10" s="126">
        <f>PERCENTILE(176:176,E9)</f>
        <v>11.3</v>
      </c>
      <c r="F10" s="126">
        <f>PERCENTILE(176:176,F9)</f>
        <v>12.06</v>
      </c>
      <c r="G10" s="95"/>
      <c r="H10" s="135"/>
      <c r="I10" s="135"/>
      <c r="J10" s="135"/>
      <c r="K10" s="135"/>
      <c r="L10" s="136" t="s">
        <v>374</v>
      </c>
      <c r="M10" s="130">
        <f>MIN(176:176)</f>
        <v>7.78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35.31</v>
      </c>
      <c r="L11" s="272" t="s">
        <v>193</v>
      </c>
      <c r="M11" s="128">
        <f>STDEV(176:176)</f>
        <v>1.5475459641207281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63.515406162464998</v>
      </c>
      <c r="C13" s="141">
        <f>$B$34/5.88%</f>
        <v>77.125850340136054</v>
      </c>
      <c r="D13" s="141">
        <f>$B$34/5%</f>
        <v>90.7</v>
      </c>
      <c r="E13" s="141">
        <f>$B$34/4.35%</f>
        <v>104.2528735632184</v>
      </c>
      <c r="F13" s="141">
        <f>$B$34/3.85%</f>
        <v>117.79220779220779</v>
      </c>
      <c r="G13" s="138" t="str">
        <f>"$"&amp;ROUND(B34,2)&amp;"/"&amp;IF(STDEV(C140:F140)/AVERAGE(C140:F140)&lt;15%,"高",IF(STDEV(C140:F140)/AVERAGE(C140:F140)&lt;30%,"中","低"))</f>
        <v>$4.54/中</v>
      </c>
      <c r="H13" s="142" t="s">
        <v>199</v>
      </c>
      <c r="I13" s="143">
        <f>MAX(0,1-J15)</f>
        <v>6.9306930693069257E-2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52.679700000000004</v>
      </c>
      <c r="C14" s="141">
        <f>$B$33*C10</f>
        <v>55.821149999999996</v>
      </c>
      <c r="D14" s="141">
        <f>$B$33*D10</f>
        <v>58.801499999999997</v>
      </c>
      <c r="E14" s="141">
        <f>$B$33*E10</f>
        <v>60.681000000000004</v>
      </c>
      <c r="F14" s="141">
        <f>$B$33*F10</f>
        <v>64.762200000000007</v>
      </c>
      <c r="G14" s="138" t="str">
        <f>"$"&amp;ROUND(B33,2)&amp;"/"&amp;IF(STDEV(B69:E69)/AVERAGE(B69:E69)&lt;15%,"高",IF(STDEV(B69:E69)/AVERAGE(B69:E69)&lt;30%,"中","低"))</f>
        <v>$5.37/高</v>
      </c>
      <c r="H14" s="142" t="s">
        <v>203</v>
      </c>
      <c r="I14" s="145">
        <f>G62/100*I13</f>
        <v>1.2163366336633655E-2</v>
      </c>
      <c r="J14" s="76" t="s">
        <v>204</v>
      </c>
      <c r="K14" s="146"/>
      <c r="L14" s="147">
        <f>(HLOOKUP($C$1,$105:$106,2,FALSE)-HLOOKUP($C$1,$117:$127,9,FALSE))/(HLOOKUP($C$1,$117:$128,12,FALSE)/K11)</f>
        <v>16.43536563940728</v>
      </c>
      <c r="M14" s="148">
        <f>E135/E69</f>
        <v>1.4009900990099011</v>
      </c>
      <c r="N14" s="149">
        <f>F173/100</f>
        <v>1.7030000000000001</v>
      </c>
    </row>
    <row r="15" spans="1:15" s="93" customFormat="1" x14ac:dyDescent="0.25">
      <c r="A15" s="140" t="s">
        <v>375</v>
      </c>
      <c r="B15" s="141">
        <f>$D$62*B10</f>
        <v>60.7239</v>
      </c>
      <c r="C15" s="141">
        <f>$D$62*C10</f>
        <v>64.345049999999986</v>
      </c>
      <c r="D15" s="141">
        <f>$D$62*D10</f>
        <v>67.780499999999989</v>
      </c>
      <c r="E15" s="141">
        <f>$D$62*E10</f>
        <v>69.947000000000003</v>
      </c>
      <c r="F15" s="141">
        <f>$D$62*F10</f>
        <v>74.651399999999995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0.93069306930693074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56.728320004654783</v>
      </c>
      <c r="C16" s="141">
        <f>$F$69*C10</f>
        <v>60.111201472822266</v>
      </c>
      <c r="D16" s="141">
        <f>$F$69*D10</f>
        <v>63.320601840058082</v>
      </c>
      <c r="E16" s="141">
        <f>$F$69*E10</f>
        <v>65.344548017594192</v>
      </c>
      <c r="F16" s="141">
        <f>$F$69*F10</f>
        <v>69.739402574529734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683</v>
      </c>
      <c r="J17" s="92">
        <f ca="1">IF(I17&lt;=0,"",IF(I17&lt;=MIN($B$13:$F$16),(I17-MIN($B$13:$F$16))/MIN($B$13:$F$16),IF(I17&gt;=MAX($B$13:$F$16),I17/MAX($B$13:$F$16),PERCENTRANK($B$13:$F$16,I17))))</f>
        <v>5.7983461962513783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6.3149999999999995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1.3925027563395809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0.10090305298660145</v>
      </c>
      <c r="J20" s="171">
        <f>HLOOKUP($C$1,$117:$127,11,FALSE)/HLOOKUP($C$1,$105:$115,11,FALSE)</f>
        <v>0.34036594993836644</v>
      </c>
      <c r="K20" s="163"/>
    </row>
    <row r="21" spans="1:14" s="93" customFormat="1" x14ac:dyDescent="0.25">
      <c r="A21" s="151" t="s">
        <v>201</v>
      </c>
      <c r="B21" s="161">
        <f>AVERAGE(C173:F173)/100</f>
        <v>1.1228500000000001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2.7904186690896124</v>
      </c>
      <c r="J21" s="78"/>
      <c r="K21" s="164" t="s">
        <v>356</v>
      </c>
      <c r="L21" s="165">
        <f>HLOOKUP($C$1,$105:$115,7,FALSE)/HLOOKUP($C$1,$105:$115,11,FALSE)</f>
        <v>0.85626389496797706</v>
      </c>
      <c r="M21" s="123" t="s">
        <v>268</v>
      </c>
      <c r="N21" s="165">
        <f>HLOOKUP($C$1,$117:$127,8,FALSE)/HLOOKUP($C$1,$117:$127,11,FALSE)</f>
        <v>0.90155485448638595</v>
      </c>
    </row>
    <row r="22" spans="1:14" s="93" customFormat="1" x14ac:dyDescent="0.25">
      <c r="A22" s="140" t="s">
        <v>222</v>
      </c>
      <c r="B22" s="161">
        <f>(-1)*SUM(C133:F133)/SUM(C132:F132)</f>
        <v>-5.9760956175298769E-3</v>
      </c>
      <c r="C22" s="157"/>
      <c r="D22" s="166"/>
      <c r="E22" s="140"/>
      <c r="F22" s="159">
        <f>IF(B22&lt;=0,10,IF(B22&gt;=100%,0,(1-B22)*10))</f>
        <v>10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2.595176243617713</v>
      </c>
      <c r="J22" s="78"/>
      <c r="K22" s="142" t="s">
        <v>357</v>
      </c>
      <c r="L22" s="165">
        <f>HLOOKUP($C$1,$105:$115,4,FALSE)/HLOOKUP($C$1,$105:$115,11,FALSE)</f>
        <v>0.41702196969766192</v>
      </c>
      <c r="M22" s="123" t="s">
        <v>353</v>
      </c>
      <c r="N22" s="165">
        <f>HLOOKUP($C$1,$117:$127,4,FALSE)/HLOOKUP($C$1,$117:$127,11,FALSE)</f>
        <v>0.70354539575749864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1.5159920866828569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5.9911812356138822E-2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130.43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6.2385493584899455E-2</v>
      </c>
      <c r="M24" s="123" t="s">
        <v>355</v>
      </c>
      <c r="N24" s="165">
        <f>HLOOKUP($C$1,$117:$127,9,FALSE)/HLOOKUP($C$1,$117:$127,11,FALSE)</f>
        <v>9.844514551361408E-2</v>
      </c>
    </row>
    <row r="25" spans="1:14" s="93" customFormat="1" x14ac:dyDescent="0.25">
      <c r="A25" s="151" t="s">
        <v>366</v>
      </c>
      <c r="B25" s="255">
        <f>AVERAGE(94:94)</f>
        <v>18457.391304347828</v>
      </c>
      <c r="C25" s="254">
        <f>STDEV(94:94)/AVERAGE(94:94)</f>
        <v>1.5077238780486839</v>
      </c>
      <c r="D25" s="76" t="str">
        <f>IF(C25&lt;=1,"高",IF(C25&lt;=2,"中","低"))</f>
        <v>中</v>
      </c>
      <c r="E25" s="149"/>
      <c r="F25" s="160">
        <f>MAX(0,10-ABS(C25))</f>
        <v>8.492276121951317</v>
      </c>
      <c r="G25" s="88" t="s">
        <v>213</v>
      </c>
      <c r="H25" s="123" t="s">
        <v>232</v>
      </c>
      <c r="I25" s="170">
        <f>IF(HLOOKUP(C1,167:170,3,FALSE)="無",0,HLOOKUP(C1,167:170,3,FALSE))</f>
        <v>25.28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142.51391304347823</v>
      </c>
      <c r="C26" s="172">
        <f>IF(COUNTIF(168:168,"&gt;0")=0,0,STDEV(168:168))</f>
        <v>14.897743495738744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7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30.028695652173912</v>
      </c>
      <c r="C27" s="172">
        <f>IF(COUNTIF(169:169,"&gt;0")=0,0,STDEV(169:169))</f>
        <v>3.3233776689438628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0.22777500000000001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9.1110000000000007</v>
      </c>
      <c r="G30" s="175"/>
      <c r="H30" s="176"/>
    </row>
    <row r="31" spans="1:14" x14ac:dyDescent="0.25">
      <c r="A31" s="164" t="s">
        <v>240</v>
      </c>
      <c r="B31" s="173">
        <f>AVERAGE(C155:F155)/100</f>
        <v>8.5074999999999998E-2</v>
      </c>
      <c r="C31" s="157" t="s">
        <v>217</v>
      </c>
      <c r="D31" s="174">
        <f>COUNTIF(149:149,"&gt;8")/COUNT(149:149)</f>
        <v>0.60869565217391308</v>
      </c>
      <c r="E31" s="140" t="s">
        <v>241</v>
      </c>
      <c r="F31" s="159">
        <f>MIN(B31/10%*10,10)</f>
        <v>8.5074999999999985</v>
      </c>
      <c r="G31" s="175"/>
    </row>
    <row r="32" spans="1:14" x14ac:dyDescent="0.25">
      <c r="A32" s="155" t="s">
        <v>47</v>
      </c>
      <c r="B32" s="177">
        <f>AVERAGE(C165:F165)</f>
        <v>15.237500000000001</v>
      </c>
      <c r="C32" s="157" t="s">
        <v>217</v>
      </c>
      <c r="D32" s="174">
        <f>COUNTIF(159:159,"&gt;3")/COUNT(159:159)</f>
        <v>0.82608695652173914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5.37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4.5350000000000001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9.533519553072626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9434724.25</v>
      </c>
      <c r="C36" s="178">
        <f>STDEV(C97:F97)</f>
        <v>452719.36910436029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22.7775</v>
      </c>
      <c r="C37" s="180">
        <f>STDEV(C152:F152)</f>
        <v>0.74388059077605639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11.7875</v>
      </c>
      <c r="C38" s="180">
        <f>STDEV(C153:F153)</f>
        <v>0.90852903090655268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15.237500000000001</v>
      </c>
      <c r="C39" s="181">
        <f>STDEV(C165:F165)</f>
        <v>1.2157405150771281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5.37</v>
      </c>
      <c r="C40" s="183">
        <f>STDEV(B69:E69)</f>
        <v>0.70318323832886043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-0.25</v>
      </c>
      <c r="C44" s="186">
        <f>(C46-C49)/C49</f>
        <v>0.2205882352941175</v>
      </c>
      <c r="D44" s="186">
        <f>(D46-D49)/D49</f>
        <v>0.32352941176470595</v>
      </c>
      <c r="E44" s="186">
        <f>(E46-E49)/E49</f>
        <v>0.37704918032786883</v>
      </c>
      <c r="G44" s="86" t="s">
        <v>175</v>
      </c>
      <c r="H44" s="186">
        <f>(H47-H50)/H50</f>
        <v>-0.14179104477611917</v>
      </c>
      <c r="I44" s="186">
        <f>(I47-I50)/I50</f>
        <v>0.53759398496240585</v>
      </c>
      <c r="J44" s="186">
        <f>(J47-J50)/J50</f>
        <v>0.21781305114638447</v>
      </c>
      <c r="K44" s="186">
        <f>(K47-K50)/K50</f>
        <v>0.21209386281588455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1.5</v>
      </c>
      <c r="C46" s="152">
        <f>HLOOKUP(C45,$81:$82,2,FALSE)</f>
        <v>1.66</v>
      </c>
      <c r="D46" s="152">
        <f>HLOOKUP(D45,$81:$82,2,FALSE)</f>
        <v>1.35</v>
      </c>
      <c r="E46" s="152">
        <f>HLOOKUP(E45,$81:$82,2,FALSE)</f>
        <v>1.68</v>
      </c>
      <c r="G46" s="86" t="s">
        <v>164</v>
      </c>
      <c r="H46" s="145">
        <f>HLOOKUP(H45,$145:$147,2,FALSE)/100</f>
        <v>0.222</v>
      </c>
      <c r="I46" s="145">
        <f>HLOOKUP(I45,$145:$147,2,FALSE)/100</f>
        <v>0.25379999999999997</v>
      </c>
      <c r="J46" s="145">
        <f>HLOOKUP(J45,$145:$147,2,FALSE)/100</f>
        <v>0.23879999999999998</v>
      </c>
      <c r="K46" s="145">
        <f>HLOOKUP(K45,$145:$147,2,FALSE)/100</f>
        <v>0.25069999999999998</v>
      </c>
    </row>
    <row r="47" spans="1:14" x14ac:dyDescent="0.25">
      <c r="A47" s="188" t="s">
        <v>165</v>
      </c>
      <c r="B47" s="189">
        <f>HLOOKUP(B45,$157:$159,3,FALSE)</f>
        <v>4.3600000000000003</v>
      </c>
      <c r="C47" s="189">
        <f>HLOOKUP(C45,$157:$159,3,FALSE)</f>
        <v>4.78</v>
      </c>
      <c r="D47" s="189">
        <f>HLOOKUP(D45,$157:$159,3,FALSE)</f>
        <v>3.72</v>
      </c>
      <c r="E47" s="189">
        <f>HLOOKUP(E45,$157:$159,3,FALSE)</f>
        <v>4.6900000000000004</v>
      </c>
      <c r="G47" s="190" t="s">
        <v>166</v>
      </c>
      <c r="H47" s="145">
        <f>HLOOKUP(H45,$145:$147,3,FALSE)/100</f>
        <v>0.13800000000000001</v>
      </c>
      <c r="I47" s="145">
        <f>HLOOKUP(I45,$145:$147,3,FALSE)/100</f>
        <v>0.1636</v>
      </c>
      <c r="J47" s="145">
        <f>HLOOKUP(J45,$145:$147,3,FALSE)/100</f>
        <v>0.1381</v>
      </c>
      <c r="K47" s="145">
        <f>HLOOKUP(K45,$145:$147,3,FALSE)/100</f>
        <v>0.1343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</v>
      </c>
      <c r="C49" s="152">
        <f>HLOOKUP(C48,$81:$82,2,FALSE)</f>
        <v>1.36</v>
      </c>
      <c r="D49" s="152">
        <f>HLOOKUP(D48,$81:$82,2,FALSE)</f>
        <v>1.02</v>
      </c>
      <c r="E49" s="152">
        <f>HLOOKUP(E48,$81:$82,2,FALSE)</f>
        <v>1.22</v>
      </c>
      <c r="G49" s="86" t="s">
        <v>164</v>
      </c>
      <c r="H49" s="145">
        <f>HLOOKUP(H48,$145:$147,2,FALSE)/100</f>
        <v>0.2437</v>
      </c>
      <c r="I49" s="145">
        <f>HLOOKUP(I48,$145:$147,2,FALSE)/100</f>
        <v>0.21109999999999998</v>
      </c>
      <c r="J49" s="145">
        <f>HLOOKUP(J48,$145:$147,2,FALSE)/100</f>
        <v>0.24640000000000001</v>
      </c>
      <c r="K49" s="145">
        <f>HLOOKUP(K48,$145:$147,2,FALSE)/100</f>
        <v>0.23010000000000003</v>
      </c>
    </row>
    <row r="50" spans="1:15" x14ac:dyDescent="0.25">
      <c r="A50" s="188" t="s">
        <v>165</v>
      </c>
      <c r="B50" s="189">
        <f>HLOOKUP(B48,$157:$159,3,FALSE)</f>
        <v>5.84</v>
      </c>
      <c r="C50" s="189">
        <f>HLOOKUP(C48,$157:$159,3,FALSE)</f>
        <v>3.8</v>
      </c>
      <c r="D50" s="189">
        <f>HLOOKUP(D48,$157:$159,3,FALSE)</f>
        <v>2.71</v>
      </c>
      <c r="E50" s="189">
        <f>HLOOKUP(E48,$157:$159,3,FALSE)</f>
        <v>3.27</v>
      </c>
      <c r="G50" s="190" t="s">
        <v>166</v>
      </c>
      <c r="H50" s="145">
        <f>HLOOKUP(H48,$145:$147,3,FALSE)/100</f>
        <v>0.16079999999999997</v>
      </c>
      <c r="I50" s="145">
        <f>HLOOKUP(I48,$145:$147,3,FALSE)/100</f>
        <v>0.10640000000000001</v>
      </c>
      <c r="J50" s="145">
        <f>HLOOKUP(J48,$145:$147,3,FALSE)/100</f>
        <v>0.1134</v>
      </c>
      <c r="K50" s="145">
        <f>HLOOKUP(K48,$145:$147,3,FALSE)/100</f>
        <v>0.1108</v>
      </c>
    </row>
    <row r="51" spans="1:15" x14ac:dyDescent="0.25">
      <c r="A51" s="86" t="s">
        <v>351</v>
      </c>
      <c r="B51" s="186">
        <f>(B47-B50)/B50</f>
        <v>-0.25342465753424648</v>
      </c>
      <c r="C51" s="186">
        <f>(C47-C50)/C50</f>
        <v>0.2578947368421054</v>
      </c>
      <c r="D51" s="186">
        <f>(D47-D50)/D50</f>
        <v>0.37269372693726949</v>
      </c>
      <c r="E51" s="186">
        <f>(E47-E50)/E50</f>
        <v>0.43425076452599398</v>
      </c>
      <c r="G51" s="235" t="s">
        <v>174</v>
      </c>
      <c r="H51" s="186">
        <f>(H46-H49)/H49</f>
        <v>-8.9043906442347137E-2</v>
      </c>
      <c r="I51" s="186">
        <f>(I46-I49)/I49</f>
        <v>0.20227380388441493</v>
      </c>
      <c r="J51" s="186">
        <f>(J46-J49)/J49</f>
        <v>-3.0844155844155938E-2</v>
      </c>
      <c r="K51" s="186">
        <f>(K46-K49)/K49</f>
        <v>8.9526292916123199E-2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5.6952972562033279</v>
      </c>
      <c r="B53" s="193">
        <f>B46</f>
        <v>1.5</v>
      </c>
      <c r="C53" s="193">
        <f>E46/HLOOKUP(E45,$87:$94,5,FALSE)*HLOOKUP(E45,$87:$94,4,FALSE)*($B$25/HLOOKUP(E45,$87:$94,4,FALSE)+SUM($B$57:$D$57)/SUM($B58:$D$58)*$G$69/100/K46)</f>
        <v>1.2727033643888663</v>
      </c>
      <c r="D53" s="193">
        <f>D46/HLOOKUP(D45,$87:$94,5,FALSE)*HLOOKUP(D45,$87:$94,4,FALSE)*($B$25/HLOOKUP(D45,$87:$94,4,FALSE)+SUM($B$57:$D$57)/SUM($B58:$D$58)*$G$69/100/J46)</f>
        <v>1.2768967122023784</v>
      </c>
      <c r="E53" s="193">
        <f>C46/HLOOKUP(C45,$87:$94,5,FALSE)*HLOOKUP(C45,$87:$94,4,FALSE)*($B$25/HLOOKUP(C45,$87:$94,4,FALSE)+SUM($B$57:$D$57)/SUM($B58:$D$58)*$G$69/100/I46)</f>
        <v>1.6456971796120827</v>
      </c>
    </row>
    <row r="54" spans="1:15" x14ac:dyDescent="0.25">
      <c r="A54" s="278">
        <f>SUM(B54:E54)</f>
        <v>6.6899999999999995</v>
      </c>
      <c r="B54" s="277">
        <f t="shared" ref="B54:D54" si="0">HLOOKUP(B52-10,81:82,2,FALSE)</f>
        <v>2</v>
      </c>
      <c r="C54" s="277">
        <f t="shared" si="0"/>
        <v>1.68</v>
      </c>
      <c r="D54" s="277">
        <f t="shared" si="0"/>
        <v>1.35</v>
      </c>
      <c r="E54" s="277">
        <f>HLOOKUP(E52-10,81:82,2,FALSE)</f>
        <v>1.66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704472</v>
      </c>
      <c r="C57" s="196">
        <f>HLOOKUP(C56,78:79,2,FALSE)</f>
        <v>809927</v>
      </c>
      <c r="D57" s="196">
        <f>HLOOKUP(D56,78:79,2,FALSE)</f>
        <v>842227</v>
      </c>
      <c r="E57" s="196">
        <f>HLOOKUP(E56,78:79,2,FALSE)</f>
        <v>794293</v>
      </c>
      <c r="F57" s="196">
        <f>HLOOKUP(F56,78:79,2,FALSE)</f>
        <v>761151</v>
      </c>
      <c r="G57" s="196">
        <f t="shared" ref="G57:M57" si="2">HLOOKUP(G56,78:79,2,FALSE)</f>
        <v>811114</v>
      </c>
      <c r="H57" s="196">
        <f t="shared" si="2"/>
        <v>752101</v>
      </c>
      <c r="I57" s="196">
        <f t="shared" si="2"/>
        <v>826879</v>
      </c>
      <c r="J57" s="196">
        <f t="shared" si="2"/>
        <v>603357</v>
      </c>
      <c r="K57" s="196">
        <f t="shared" si="2"/>
        <v>621992</v>
      </c>
      <c r="L57" s="196">
        <f t="shared" si="2"/>
        <v>766108</v>
      </c>
      <c r="M57" s="196">
        <f t="shared" si="2"/>
        <v>738892</v>
      </c>
      <c r="N57" s="197"/>
    </row>
    <row r="58" spans="1:15" x14ac:dyDescent="0.25">
      <c r="A58" s="198" t="s">
        <v>253</v>
      </c>
      <c r="B58" s="196">
        <f>HLOOKUP(B56-100,78:79,2,FALSE)</f>
        <v>690062</v>
      </c>
      <c r="C58" s="196">
        <f>HLOOKUP(C56-100,78:79,2,FALSE)</f>
        <v>876461</v>
      </c>
      <c r="D58" s="196">
        <f>HLOOKUP(D56-100,78:79,2,FALSE)</f>
        <v>872559</v>
      </c>
      <c r="E58" s="196">
        <f>HLOOKUP(E56-100,78:79,2,FALSE)</f>
        <v>825992</v>
      </c>
      <c r="F58" s="196">
        <f>HLOOKUP(F56-100,78:79,2,FALSE)</f>
        <v>761039</v>
      </c>
      <c r="G58" s="196">
        <f t="shared" ref="G58:M58" si="3">HLOOKUP(G56-100,78:79,2,FALSE)</f>
        <v>782794</v>
      </c>
      <c r="H58" s="196">
        <f t="shared" si="3"/>
        <v>762528</v>
      </c>
      <c r="I58" s="196">
        <f t="shared" si="3"/>
        <v>809257</v>
      </c>
      <c r="J58" s="196">
        <f t="shared" si="3"/>
        <v>487150</v>
      </c>
      <c r="K58" s="196">
        <f t="shared" si="3"/>
        <v>750576</v>
      </c>
      <c r="L58" s="196">
        <f t="shared" si="3"/>
        <v>745640</v>
      </c>
      <c r="M58" s="196">
        <f t="shared" si="3"/>
        <v>777809</v>
      </c>
      <c r="N58" s="197"/>
    </row>
    <row r="59" spans="1:15" x14ac:dyDescent="0.25">
      <c r="A59" s="199" t="s">
        <v>254</v>
      </c>
      <c r="B59" s="165">
        <f>IF(B57&lt;&gt;"",(B57-B58)/B58,"")</f>
        <v>2.0882181601073527E-2</v>
      </c>
      <c r="C59" s="165">
        <f>IF(C57&lt;&gt;"",(C57-C58)/C58,"")</f>
        <v>-7.5912105615652037E-2</v>
      </c>
      <c r="D59" s="165">
        <f>IF(D57&lt;&gt;"",(D57-D58)/D58,"")</f>
        <v>-3.4762119237782205E-2</v>
      </c>
      <c r="E59" s="165">
        <f>IF(E57&lt;&gt;"",(E57-E58)/E58,"")</f>
        <v>-3.8376885006150184E-2</v>
      </c>
      <c r="F59" s="165">
        <f>IF(F57&lt;&gt;"",(F57-F58)/F58,"")</f>
        <v>1.4716722796072213E-4</v>
      </c>
      <c r="G59" s="165">
        <f t="shared" ref="G59:M59" si="4">IF(G57&lt;&gt;"",(G57-G58)/G58,"")</f>
        <v>3.6178100496426904E-2</v>
      </c>
      <c r="H59" s="165">
        <f t="shared" si="4"/>
        <v>-1.367425196189517E-2</v>
      </c>
      <c r="I59" s="165">
        <f t="shared" si="4"/>
        <v>2.1775529899648691E-2</v>
      </c>
      <c r="J59" s="165">
        <f t="shared" si="4"/>
        <v>0.2385445961202915</v>
      </c>
      <c r="K59" s="165">
        <f t="shared" si="4"/>
        <v>-0.17131376436230308</v>
      </c>
      <c r="L59" s="165">
        <f t="shared" si="4"/>
        <v>2.7450244085617723E-2</v>
      </c>
      <c r="M59" s="165">
        <f t="shared" si="4"/>
        <v>-5.003413434403562E-2</v>
      </c>
    </row>
    <row r="60" spans="1:15" x14ac:dyDescent="0.25">
      <c r="A60" s="195" t="s">
        <v>255</v>
      </c>
      <c r="B60" s="196">
        <f>SUM(B57:M57)</f>
        <v>9032513</v>
      </c>
    </row>
    <row r="61" spans="1:15" x14ac:dyDescent="0.25">
      <c r="A61" s="198" t="s">
        <v>256</v>
      </c>
      <c r="B61" s="196">
        <f>SUM(B58:M58)</f>
        <v>9141867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0.9880381108147821</v>
      </c>
      <c r="D62" s="152">
        <f>SUM(B46:E46)</f>
        <v>6.1899999999999995</v>
      </c>
      <c r="E62" s="152">
        <f>SUM(B49:E49)</f>
        <v>5.6000000000000005</v>
      </c>
      <c r="G62" s="126">
        <f>SUM(B47:E47)</f>
        <v>17.55</v>
      </c>
      <c r="H62" s="126">
        <f>SUM(B50:E50)</f>
        <v>15.620000000000001</v>
      </c>
      <c r="J62" s="200">
        <f>AVERAGE(H46:K46)</f>
        <v>0.24132500000000001</v>
      </c>
      <c r="K62" s="200">
        <f>AVERAGE(H49:K49)</f>
        <v>0.232825</v>
      </c>
      <c r="M62" s="200">
        <f>AVERAGE(H47:K47)</f>
        <v>0.14349999999999999</v>
      </c>
      <c r="N62" s="200">
        <f>AVERAGE(H50:K50)</f>
        <v>0.12285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0.91</v>
      </c>
      <c r="C65" s="205">
        <f t="shared" si="5"/>
        <v>0.84</v>
      </c>
      <c r="D65" s="205">
        <f t="shared" si="5"/>
        <v>1.06</v>
      </c>
      <c r="E65" s="205">
        <f t="shared" si="5"/>
        <v>1.02</v>
      </c>
      <c r="F65" s="206">
        <f>IF(ISNA(HLOOKUP(F$64*10+$A65,$81:$82,2,FALSE)),(HLOOKUP(E$64*10+$A65,$87:$94,4,FALSE)*$G65+$B$25)/HLOOKUP(E$64*10+$A65,$87:$94,5,FALSE)*$E65,HLOOKUP(F$64*10+$A65,$81:$82,2,FALSE))</f>
        <v>1.35</v>
      </c>
      <c r="G65" s="101">
        <f>MIN(130%,SUM($B$57:$D$57)/SUM($B$58:$D$58)*$G$69/HLOOKUP(E$64*10+$A65,$145:$146,2,FALSE))</f>
        <v>0.93851757451918449</v>
      </c>
      <c r="H65" s="204">
        <v>1</v>
      </c>
      <c r="I65" s="208">
        <f t="shared" ref="I65:M68" si="6">IF(ISNA(HLOOKUP(I$64*10+$H65,$145:$147,3,FALSE)),"",HLOOKUP(I$64*10+$H65,$145:$147,3,FALSE)/100)</f>
        <v>0.1066</v>
      </c>
      <c r="J65" s="208">
        <f t="shared" si="6"/>
        <v>9.0500000000000011E-2</v>
      </c>
      <c r="K65" s="208">
        <f t="shared" si="6"/>
        <v>9.9600000000000008E-2</v>
      </c>
      <c r="L65" s="208">
        <f t="shared" si="6"/>
        <v>0.1134</v>
      </c>
      <c r="M65" s="209">
        <f t="shared" si="6"/>
        <v>0.1381</v>
      </c>
      <c r="N65" s="256">
        <f t="shared" ref="N65:O68" si="7">HLOOKUP(E$64*10+$A65,$87:$94,8,FALSE)</f>
        <v>-9423</v>
      </c>
      <c r="O65" s="256">
        <f t="shared" si="7"/>
        <v>26274</v>
      </c>
      <c r="P65" s="210"/>
    </row>
    <row r="66" spans="1:71" x14ac:dyDescent="0.25">
      <c r="A66" s="204">
        <v>2</v>
      </c>
      <c r="B66" s="205">
        <f t="shared" si="5"/>
        <v>1.08</v>
      </c>
      <c r="C66" s="205">
        <f t="shared" si="5"/>
        <v>1.58</v>
      </c>
      <c r="D66" s="205">
        <f t="shared" si="5"/>
        <v>1.1599999999999999</v>
      </c>
      <c r="E66" s="205">
        <f t="shared" si="5"/>
        <v>1.36</v>
      </c>
      <c r="F66" s="206">
        <f>IF(ISNA(HLOOKUP(F$64*10+$A66,$81:$82,2,FALSE)),(HLOOKUP(E$64*10+$A66,$87:$94,4,FALSE)*$G66+$B$25)/HLOOKUP(E$64*10+$A66,$87:$94,5,FALSE)*$E66,HLOOKUP(F$64*10+$A66,$81:$82,2,FALSE))</f>
        <v>1.66</v>
      </c>
      <c r="G66" s="101">
        <f>MIN(130%,SUM($B$57:$D$57)/SUM($B$58:$D$58)*$G$69/HLOOKUP(E$64*10+$A66,$145:$146,2,FALSE))</f>
        <v>1.0954558520204978</v>
      </c>
      <c r="H66" s="204">
        <v>2</v>
      </c>
      <c r="I66" s="208">
        <f t="shared" si="6"/>
        <v>0.10859999999999999</v>
      </c>
      <c r="J66" s="208">
        <f t="shared" si="6"/>
        <v>0.1241</v>
      </c>
      <c r="K66" s="208">
        <f t="shared" si="6"/>
        <v>0.1042</v>
      </c>
      <c r="L66" s="208">
        <f t="shared" si="6"/>
        <v>0.10640000000000001</v>
      </c>
      <c r="M66" s="209">
        <f t="shared" si="6"/>
        <v>0.1636</v>
      </c>
      <c r="N66" s="256">
        <f t="shared" si="7"/>
        <v>65314</v>
      </c>
      <c r="O66" s="256">
        <f t="shared" si="7"/>
        <v>-12252</v>
      </c>
      <c r="P66" s="210"/>
    </row>
    <row r="67" spans="1:71" x14ac:dyDescent="0.25">
      <c r="A67" s="204">
        <v>3</v>
      </c>
      <c r="B67" s="205">
        <f t="shared" si="5"/>
        <v>1.41</v>
      </c>
      <c r="C67" s="205">
        <f t="shared" si="5"/>
        <v>1.6</v>
      </c>
      <c r="D67" s="205">
        <f t="shared" si="5"/>
        <v>1.84</v>
      </c>
      <c r="E67" s="205">
        <f t="shared" si="5"/>
        <v>2</v>
      </c>
      <c r="F67" s="206">
        <f>IF(ISNA(HLOOKUP(F$64*10+$A67,$81:$82,2,FALSE)),(HLOOKUP(E$64*10+$A67,$87:$94,4,FALSE)*$G67+$B$25)/HLOOKUP(E$64*10+$A67,$87:$94,5,FALSE)*$E67,HLOOKUP(F$64*10+$A67,$81:$82,2,FALSE))</f>
        <v>1.5</v>
      </c>
      <c r="G67" s="101">
        <f>MIN(130%,SUM($B$57:$D$57)/SUM($B$58:$D$58)*$G$69/HLOOKUP(E$64*10+$A67,$145:$146,2,FALSE))</f>
        <v>0.94891559442563422</v>
      </c>
      <c r="H67" s="204">
        <v>3</v>
      </c>
      <c r="I67" s="208">
        <f t="shared" si="6"/>
        <v>0.114</v>
      </c>
      <c r="J67" s="208">
        <f t="shared" si="6"/>
        <v>0.124</v>
      </c>
      <c r="K67" s="208">
        <f t="shared" si="6"/>
        <v>0.13449999999999998</v>
      </c>
      <c r="L67" s="208">
        <f t="shared" si="6"/>
        <v>0.16079999999999997</v>
      </c>
      <c r="M67" s="209">
        <f t="shared" si="6"/>
        <v>0.13800000000000001</v>
      </c>
      <c r="N67" s="256">
        <f t="shared" si="7"/>
        <v>31615</v>
      </c>
      <c r="O67" s="256">
        <f t="shared" si="7"/>
        <v>-13463</v>
      </c>
      <c r="P67" s="210"/>
    </row>
    <row r="68" spans="1:71" x14ac:dyDescent="0.25">
      <c r="A68" s="204">
        <v>4</v>
      </c>
      <c r="B68" s="205">
        <f>HLOOKUP(B$64*10+$A68,$81:$82,2,FALSE)</f>
        <v>1.03</v>
      </c>
      <c r="C68" s="205">
        <f>HLOOKUP(C$64*10+$A68,$81:$82,2,FALSE)</f>
        <v>1.69</v>
      </c>
      <c r="D68" s="205">
        <f>HLOOKUP(D$64*10+$A68,$81:$82,2,FALSE)</f>
        <v>1.22</v>
      </c>
      <c r="E68" s="206">
        <f>IF(ISNA(HLOOKUP(E$64*10+$A68,$81:$82,2,FALSE)),D68*(1-$N68)*#REF!*(1+$B$25)/(1+$E$4),HLOOKUP(E$64*10+$A68,$81:$82,2,FALSE))</f>
        <v>1.68</v>
      </c>
      <c r="F68" s="206">
        <f>IF(ISNA(HLOOKUP(F$64*10+$A68,$81:$82,2,FALSE)),(HLOOKUP(E$64*10+$A68,$87:$94,4,FALSE)*$G68+$B$25)/HLOOKUP(E$64*10+$A68,$87:$94,5,FALSE)*$E68,HLOOKUP(F$64*10+$A68,$81:$82,2,FALSE))</f>
        <v>1.2727033643888663</v>
      </c>
      <c r="G68" s="101">
        <f>MIN(130%,SUM($B$57:$D$57)/SUM($B$58:$D$58)*$G$69/HLOOKUP(E$64*10+$A68,$145:$146,2,FALSE))</f>
        <v>0.92242014503999625</v>
      </c>
      <c r="H68" s="204">
        <v>4</v>
      </c>
      <c r="I68" s="208">
        <f t="shared" si="6"/>
        <v>0.10630000000000001</v>
      </c>
      <c r="J68" s="208">
        <f t="shared" si="6"/>
        <v>0.1308</v>
      </c>
      <c r="K68" s="208">
        <f t="shared" si="6"/>
        <v>0.1108</v>
      </c>
      <c r="L68" s="208">
        <f t="shared" si="6"/>
        <v>0.1343</v>
      </c>
      <c r="M68" s="209" t="str">
        <f t="shared" si="6"/>
        <v/>
      </c>
      <c r="N68" s="256">
        <f t="shared" si="7"/>
        <v>88962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4.4300000000000006</v>
      </c>
      <c r="C69" s="213">
        <f>SUM(C65:C68)</f>
        <v>5.7099999999999991</v>
      </c>
      <c r="D69" s="213">
        <f>SUM(D65:D68)</f>
        <v>5.2799999999999994</v>
      </c>
      <c r="E69" s="213">
        <f>SUM(E65:E68)</f>
        <v>6.06</v>
      </c>
      <c r="F69" s="213">
        <f>SUM(F65:F68)</f>
        <v>5.7827033643888663</v>
      </c>
      <c r="G69" s="257">
        <f>_xlfn.FORECAST.ETS(23,B146:W146,{1,2,3,4,5,6,7,8,9,10,11,12,13,14,15,16,17,18,19,20,21,22})</f>
        <v>23.934196343062247</v>
      </c>
      <c r="H69" s="214" t="s">
        <v>19</v>
      </c>
      <c r="I69" s="215">
        <f>HLOOKUP(I64,151:155,3,FALSE)/100</f>
        <v>0.1091</v>
      </c>
      <c r="J69" s="215">
        <f>HLOOKUP(J64,151:155,3,FALSE)/100</f>
        <v>0.1192</v>
      </c>
      <c r="K69" s="215">
        <f>HLOOKUP(K64,151:155,3,FALSE)/100</f>
        <v>0.11320000000000001</v>
      </c>
      <c r="L69" s="215">
        <f>IF(ISNA(HLOOKUP(L64,151:155,3,FALSE)/100),AVERAGE(L65:L68),HLOOKUP(L64,151:155,3,FALSE)/100)</f>
        <v>0.13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2.89</v>
      </c>
      <c r="C72" s="205">
        <f t="shared" si="8"/>
        <v>2.5099999999999998</v>
      </c>
      <c r="D72" s="205">
        <f t="shared" si="8"/>
        <v>2.83</v>
      </c>
      <c r="E72" s="205">
        <f t="shared" si="8"/>
        <v>2.71</v>
      </c>
      <c r="F72" s="205">
        <f t="shared" si="8"/>
        <v>3.72</v>
      </c>
    </row>
    <row r="73" spans="1:71" s="135" customFormat="1" x14ac:dyDescent="0.25">
      <c r="A73" s="204">
        <v>2</v>
      </c>
      <c r="B73" s="205">
        <f t="shared" si="8"/>
        <v>3.51</v>
      </c>
      <c r="C73" s="205">
        <f t="shared" si="8"/>
        <v>4.82</v>
      </c>
      <c r="D73" s="205">
        <f t="shared" si="8"/>
        <v>3.23</v>
      </c>
      <c r="E73" s="205">
        <f t="shared" si="8"/>
        <v>3.8</v>
      </c>
      <c r="F73" s="205">
        <f t="shared" si="8"/>
        <v>4.78</v>
      </c>
    </row>
    <row r="74" spans="1:71" s="135" customFormat="1" x14ac:dyDescent="0.25">
      <c r="A74" s="204">
        <v>3</v>
      </c>
      <c r="B74" s="205">
        <f t="shared" si="8"/>
        <v>4.57</v>
      </c>
      <c r="C74" s="205">
        <f t="shared" si="8"/>
        <v>4.9000000000000004</v>
      </c>
      <c r="D74" s="205">
        <f t="shared" si="8"/>
        <v>5.19</v>
      </c>
      <c r="E74" s="205">
        <f t="shared" si="8"/>
        <v>5.84</v>
      </c>
      <c r="F74" s="205">
        <f t="shared" si="8"/>
        <v>4.3600000000000003</v>
      </c>
    </row>
    <row r="75" spans="1:71" s="135" customFormat="1" x14ac:dyDescent="0.25">
      <c r="A75" s="204">
        <v>4</v>
      </c>
      <c r="B75" s="205">
        <f t="shared" si="8"/>
        <v>3.17</v>
      </c>
      <c r="C75" s="205">
        <f t="shared" si="8"/>
        <v>4.75</v>
      </c>
      <c r="D75" s="205">
        <f t="shared" si="8"/>
        <v>3.27</v>
      </c>
      <c r="E75" s="205">
        <f t="shared" si="8"/>
        <v>4.6900000000000004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14.14</v>
      </c>
      <c r="C76" s="213">
        <f>SUM(C72:C75)</f>
        <v>16.98</v>
      </c>
      <c r="D76" s="213">
        <f>SUM(D72:D75)</f>
        <v>14.52</v>
      </c>
      <c r="E76" s="213">
        <f>AVERAGE(E72:E75)*4</f>
        <v>17.04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562484</v>
      </c>
      <c r="C79" s="270">
        <v>750593</v>
      </c>
      <c r="D79" s="270">
        <v>785215</v>
      </c>
      <c r="E79" s="270">
        <v>714519</v>
      </c>
      <c r="F79" s="270">
        <v>761502</v>
      </c>
      <c r="G79" s="270">
        <v>679509</v>
      </c>
      <c r="H79" s="270">
        <v>690356</v>
      </c>
      <c r="I79" s="270">
        <v>740983</v>
      </c>
      <c r="J79" s="270">
        <v>755027</v>
      </c>
      <c r="K79" s="270">
        <v>641360</v>
      </c>
      <c r="L79" s="270">
        <v>671094</v>
      </c>
      <c r="M79" s="270">
        <v>661506</v>
      </c>
      <c r="N79" s="270">
        <v>700118</v>
      </c>
      <c r="O79" s="270">
        <v>461825</v>
      </c>
      <c r="P79" s="270">
        <v>790882</v>
      </c>
      <c r="Q79" s="270">
        <v>819022</v>
      </c>
      <c r="R79" s="270">
        <v>884225</v>
      </c>
      <c r="S79" s="270">
        <v>707045</v>
      </c>
      <c r="T79" s="270">
        <v>829551</v>
      </c>
      <c r="U79" s="270">
        <v>885233</v>
      </c>
      <c r="V79" s="270">
        <v>807192</v>
      </c>
      <c r="W79" s="270">
        <v>685555</v>
      </c>
      <c r="X79" s="270">
        <v>717558</v>
      </c>
      <c r="Y79" s="270">
        <v>765282</v>
      </c>
      <c r="Z79" s="270">
        <v>700005</v>
      </c>
      <c r="AA79" s="270">
        <v>512503</v>
      </c>
      <c r="AB79" s="270">
        <v>765718</v>
      </c>
      <c r="AC79" s="270">
        <v>910684</v>
      </c>
      <c r="AD79" s="270">
        <v>868909</v>
      </c>
      <c r="AE79" s="270">
        <v>878355</v>
      </c>
      <c r="AF79" s="270">
        <v>842381</v>
      </c>
      <c r="AG79" s="270">
        <v>926971</v>
      </c>
      <c r="AH79" s="270">
        <v>993254</v>
      </c>
      <c r="AI79" s="270">
        <v>907797</v>
      </c>
      <c r="AJ79" s="270">
        <v>890981</v>
      </c>
      <c r="AK79" s="270">
        <v>876503</v>
      </c>
      <c r="AL79" s="270">
        <v>813627</v>
      </c>
      <c r="AM79" s="270">
        <v>644815</v>
      </c>
      <c r="AN79" s="270">
        <v>701177</v>
      </c>
      <c r="AO79" s="270">
        <v>834752</v>
      </c>
      <c r="AP79" s="270">
        <v>783745</v>
      </c>
      <c r="AQ79" s="270">
        <v>736477</v>
      </c>
      <c r="AR79" s="270">
        <v>790777</v>
      </c>
      <c r="AS79" s="270">
        <v>882147</v>
      </c>
      <c r="AT79" s="270">
        <v>948441</v>
      </c>
      <c r="AU79" s="270">
        <v>804406</v>
      </c>
      <c r="AV79" s="270">
        <v>777809</v>
      </c>
      <c r="AW79" s="270">
        <v>745640</v>
      </c>
      <c r="AX79" s="270">
        <v>750576</v>
      </c>
      <c r="AY79" s="270">
        <v>487150</v>
      </c>
      <c r="AZ79" s="270">
        <v>809257</v>
      </c>
      <c r="BA79" s="270">
        <v>762528</v>
      </c>
      <c r="BB79" s="270">
        <v>782794</v>
      </c>
      <c r="BC79" s="270">
        <v>761039</v>
      </c>
      <c r="BD79" s="270">
        <v>825992</v>
      </c>
      <c r="BE79" s="270">
        <v>872559</v>
      </c>
      <c r="BF79" s="270">
        <v>876461</v>
      </c>
      <c r="BG79" s="270">
        <v>690062</v>
      </c>
      <c r="BH79" s="270">
        <v>738892</v>
      </c>
      <c r="BI79" s="270">
        <v>766108</v>
      </c>
      <c r="BJ79" s="270">
        <v>621992</v>
      </c>
      <c r="BK79" s="270">
        <v>603357</v>
      </c>
      <c r="BL79" s="270">
        <v>826879</v>
      </c>
      <c r="BM79" s="270">
        <v>752101</v>
      </c>
      <c r="BN79" s="270">
        <v>811114</v>
      </c>
      <c r="BO79" s="270">
        <v>761151</v>
      </c>
      <c r="BP79" s="270">
        <v>794293</v>
      </c>
      <c r="BQ79" s="270">
        <v>842227</v>
      </c>
      <c r="BR79" s="270">
        <v>809927</v>
      </c>
      <c r="BS79" s="270">
        <v>704472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1.38</v>
      </c>
      <c r="C82" s="72">
        <v>1.35</v>
      </c>
      <c r="D82" s="72">
        <v>1.53</v>
      </c>
      <c r="E82" s="72">
        <v>1.05</v>
      </c>
      <c r="F82" s="72">
        <v>0.91</v>
      </c>
      <c r="G82" s="72">
        <v>1.08</v>
      </c>
      <c r="H82" s="72">
        <v>1.41</v>
      </c>
      <c r="I82" s="72">
        <v>1.03</v>
      </c>
      <c r="J82" s="72">
        <v>0.84</v>
      </c>
      <c r="K82" s="72">
        <v>1.58</v>
      </c>
      <c r="L82" s="72">
        <v>1.6</v>
      </c>
      <c r="M82" s="72">
        <v>1.69</v>
      </c>
      <c r="N82" s="72">
        <v>1.06</v>
      </c>
      <c r="O82" s="72">
        <v>1.1599999999999999</v>
      </c>
      <c r="P82" s="72">
        <v>1.84</v>
      </c>
      <c r="Q82" s="72">
        <v>1.22</v>
      </c>
      <c r="R82" s="72">
        <v>1.02</v>
      </c>
      <c r="S82" s="72">
        <v>1.36</v>
      </c>
      <c r="T82" s="72">
        <v>2</v>
      </c>
      <c r="U82" s="72">
        <v>1.68</v>
      </c>
      <c r="V82" s="72">
        <v>1.35</v>
      </c>
      <c r="W82" s="72">
        <v>1.66</v>
      </c>
      <c r="X82" s="72">
        <v>1.5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29.39</v>
      </c>
      <c r="C85" s="72">
        <v>28.03</v>
      </c>
      <c r="D85" s="72">
        <v>29.16</v>
      </c>
      <c r="E85" s="72">
        <v>31.15</v>
      </c>
      <c r="F85" s="72">
        <v>33.369999999999997</v>
      </c>
      <c r="G85" s="72">
        <v>30.53</v>
      </c>
      <c r="H85" s="72">
        <v>31.58</v>
      </c>
      <c r="I85" s="72">
        <v>32.840000000000003</v>
      </c>
      <c r="J85" s="72">
        <v>34.19</v>
      </c>
      <c r="K85" s="72">
        <v>31.55</v>
      </c>
      <c r="L85" s="72">
        <v>33.78</v>
      </c>
      <c r="M85" s="72">
        <v>37.130000000000003</v>
      </c>
      <c r="N85" s="72">
        <v>37.78</v>
      </c>
      <c r="O85" s="72">
        <v>34.04</v>
      </c>
      <c r="P85" s="72">
        <v>36.94</v>
      </c>
      <c r="Q85" s="72">
        <v>37.409999999999997</v>
      </c>
      <c r="R85" s="72">
        <v>37.86</v>
      </c>
      <c r="S85" s="72">
        <v>33.97</v>
      </c>
      <c r="T85" s="72">
        <v>34.53</v>
      </c>
      <c r="U85" s="72">
        <v>37.24</v>
      </c>
      <c r="V85" s="72">
        <v>36.14</v>
      </c>
      <c r="W85" s="72">
        <v>33.22</v>
      </c>
      <c r="X85" s="72">
        <v>35.31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2098262</v>
      </c>
      <c r="C88" s="273">
        <v>2149686</v>
      </c>
      <c r="D88" s="273">
        <v>2204070</v>
      </c>
      <c r="E88" s="273">
        <v>1970319</v>
      </c>
      <c r="F88" s="273">
        <v>1955547</v>
      </c>
      <c r="G88" s="273">
        <v>2415307</v>
      </c>
      <c r="H88" s="273">
        <v>2526616</v>
      </c>
      <c r="I88" s="273">
        <v>2174043</v>
      </c>
      <c r="J88" s="273">
        <v>1980348</v>
      </c>
      <c r="K88" s="273">
        <v>2659881</v>
      </c>
      <c r="L88" s="273">
        <v>2764711</v>
      </c>
      <c r="M88" s="273">
        <v>2657626</v>
      </c>
      <c r="N88" s="273">
        <v>2161047</v>
      </c>
      <c r="O88" s="273">
        <v>2351950</v>
      </c>
      <c r="P88" s="273">
        <v>2632722</v>
      </c>
      <c r="Q88" s="273">
        <v>2320614</v>
      </c>
      <c r="R88" s="273">
        <v>2047307</v>
      </c>
      <c r="S88" s="273">
        <v>2312193</v>
      </c>
      <c r="T88" s="273">
        <v>2568518</v>
      </c>
      <c r="U88" s="273">
        <v>2210467</v>
      </c>
      <c r="V88" s="273">
        <v>2053905</v>
      </c>
      <c r="W88" s="273">
        <v>2331531</v>
      </c>
      <c r="X88" s="273">
        <v>2441555</v>
      </c>
    </row>
    <row r="89" spans="1:25" ht="14.25" thickBot="1" x14ac:dyDescent="0.3">
      <c r="A89" s="250" t="s">
        <v>4</v>
      </c>
      <c r="B89" s="275">
        <v>465371</v>
      </c>
      <c r="C89" s="275">
        <v>496102</v>
      </c>
      <c r="D89" s="275">
        <v>535351</v>
      </c>
      <c r="E89" s="275">
        <v>462363</v>
      </c>
      <c r="F89" s="275">
        <v>440995</v>
      </c>
      <c r="G89" s="275">
        <v>514258</v>
      </c>
      <c r="H89" s="275">
        <v>554740</v>
      </c>
      <c r="I89" s="275">
        <v>489530</v>
      </c>
      <c r="J89" s="275">
        <v>418180</v>
      </c>
      <c r="K89" s="275">
        <v>602453</v>
      </c>
      <c r="L89" s="275">
        <v>630890</v>
      </c>
      <c r="M89" s="275">
        <v>646525</v>
      </c>
      <c r="N89" s="275">
        <v>488382</v>
      </c>
      <c r="O89" s="275">
        <v>501852</v>
      </c>
      <c r="P89" s="275">
        <v>601134</v>
      </c>
      <c r="Q89" s="275">
        <v>533975</v>
      </c>
      <c r="R89" s="275">
        <v>504398</v>
      </c>
      <c r="S89" s="275">
        <v>488129</v>
      </c>
      <c r="T89" s="275">
        <v>626000</v>
      </c>
      <c r="U89" s="275">
        <v>554253</v>
      </c>
      <c r="V89" s="275">
        <v>490441</v>
      </c>
      <c r="W89" s="275">
        <v>591850</v>
      </c>
      <c r="X89" s="275">
        <v>541990</v>
      </c>
    </row>
    <row r="90" spans="1:25" ht="14.25" thickBot="1" x14ac:dyDescent="0.3">
      <c r="A90" s="251" t="s">
        <v>5</v>
      </c>
      <c r="B90" s="273">
        <v>247244</v>
      </c>
      <c r="C90" s="273">
        <v>270465</v>
      </c>
      <c r="D90" s="273">
        <v>291401</v>
      </c>
      <c r="E90" s="273">
        <v>235577</v>
      </c>
      <c r="F90" s="273">
        <v>208452</v>
      </c>
      <c r="G90" s="273">
        <v>262385</v>
      </c>
      <c r="H90" s="273">
        <v>287912</v>
      </c>
      <c r="I90" s="273">
        <v>231059</v>
      </c>
      <c r="J90" s="273">
        <v>179239</v>
      </c>
      <c r="K90" s="273">
        <v>330102</v>
      </c>
      <c r="L90" s="273">
        <v>342961</v>
      </c>
      <c r="M90" s="273">
        <v>347629</v>
      </c>
      <c r="N90" s="273">
        <v>215311</v>
      </c>
      <c r="O90" s="273">
        <v>245061</v>
      </c>
      <c r="P90" s="273">
        <v>354079</v>
      </c>
      <c r="Q90" s="273">
        <v>257196</v>
      </c>
      <c r="R90" s="273">
        <v>232193</v>
      </c>
      <c r="S90" s="273">
        <v>245974</v>
      </c>
      <c r="T90" s="273">
        <v>412963</v>
      </c>
      <c r="U90" s="273">
        <v>296841</v>
      </c>
      <c r="V90" s="273">
        <v>283702</v>
      </c>
      <c r="W90" s="273">
        <v>381449</v>
      </c>
      <c r="X90" s="273">
        <v>336947</v>
      </c>
    </row>
    <row r="91" spans="1:25" ht="14.25" thickBot="1" x14ac:dyDescent="0.3">
      <c r="A91" s="250" t="s">
        <v>6</v>
      </c>
      <c r="B91" s="275">
        <v>270732</v>
      </c>
      <c r="C91" s="275">
        <v>293556</v>
      </c>
      <c r="D91" s="275">
        <v>308452</v>
      </c>
      <c r="E91" s="275">
        <v>214776</v>
      </c>
      <c r="F91" s="275">
        <v>210563</v>
      </c>
      <c r="G91" s="275">
        <v>249490</v>
      </c>
      <c r="H91" s="275">
        <v>291167</v>
      </c>
      <c r="I91" s="275">
        <v>235229</v>
      </c>
      <c r="J91" s="275">
        <v>190590</v>
      </c>
      <c r="K91" s="275">
        <v>353152</v>
      </c>
      <c r="L91" s="275">
        <v>346730</v>
      </c>
      <c r="M91" s="275">
        <v>353509</v>
      </c>
      <c r="N91" s="275">
        <v>245028</v>
      </c>
      <c r="O91" s="275">
        <v>266221</v>
      </c>
      <c r="P91" s="275">
        <v>419017</v>
      </c>
      <c r="Q91" s="275">
        <v>305354</v>
      </c>
      <c r="R91" s="275">
        <v>222770</v>
      </c>
      <c r="S91" s="275">
        <v>311288</v>
      </c>
      <c r="T91" s="275">
        <v>444578</v>
      </c>
      <c r="U91" s="275">
        <v>385803</v>
      </c>
      <c r="V91" s="275">
        <v>309976</v>
      </c>
      <c r="W91" s="275">
        <v>369197</v>
      </c>
      <c r="X91" s="275">
        <v>323484</v>
      </c>
    </row>
    <row r="92" spans="1:25" ht="14.25" thickBot="1" x14ac:dyDescent="0.3">
      <c r="A92" s="251" t="s">
        <v>7</v>
      </c>
      <c r="B92" s="273">
        <v>191351</v>
      </c>
      <c r="C92" s="273">
        <v>187799</v>
      </c>
      <c r="D92" s="273">
        <v>208848</v>
      </c>
      <c r="E92" s="273">
        <v>145369</v>
      </c>
      <c r="F92" s="273">
        <v>130527</v>
      </c>
      <c r="G92" s="273">
        <v>162198</v>
      </c>
      <c r="H92" s="273">
        <v>209736</v>
      </c>
      <c r="I92" s="273">
        <v>152454</v>
      </c>
      <c r="J92" s="273">
        <v>125972</v>
      </c>
      <c r="K92" s="273">
        <v>237463</v>
      </c>
      <c r="L92" s="273">
        <v>239879</v>
      </c>
      <c r="M92" s="273">
        <v>252545</v>
      </c>
      <c r="N92" s="273">
        <v>158984</v>
      </c>
      <c r="O92" s="273">
        <v>173581</v>
      </c>
      <c r="P92" s="273">
        <v>276024</v>
      </c>
      <c r="Q92" s="273">
        <v>182149</v>
      </c>
      <c r="R92" s="273">
        <v>152747</v>
      </c>
      <c r="S92" s="273">
        <v>204349</v>
      </c>
      <c r="T92" s="273">
        <v>299764</v>
      </c>
      <c r="U92" s="273">
        <v>252403</v>
      </c>
      <c r="V92" s="273">
        <v>210340</v>
      </c>
      <c r="W92" s="273">
        <v>265245</v>
      </c>
      <c r="X92" s="273">
        <v>242977</v>
      </c>
    </row>
    <row r="93" spans="1:25" ht="26.25" thickBot="1" x14ac:dyDescent="0.3">
      <c r="A93" s="252" t="s">
        <v>8</v>
      </c>
      <c r="B93" s="276">
        <v>188318</v>
      </c>
      <c r="C93" s="276">
        <v>184589</v>
      </c>
      <c r="D93" s="276">
        <v>208848</v>
      </c>
      <c r="E93" s="276">
        <v>145369</v>
      </c>
      <c r="F93" s="276">
        <v>130527</v>
      </c>
      <c r="G93" s="276">
        <v>162198</v>
      </c>
      <c r="H93" s="276">
        <v>209736</v>
      </c>
      <c r="I93" s="276">
        <v>152454</v>
      </c>
      <c r="J93" s="276">
        <v>125972</v>
      </c>
      <c r="K93" s="276">
        <v>237463</v>
      </c>
      <c r="L93" s="276">
        <v>239879</v>
      </c>
      <c r="M93" s="276">
        <v>252545</v>
      </c>
      <c r="N93" s="276">
        <v>158984</v>
      </c>
      <c r="O93" s="276">
        <v>173581</v>
      </c>
      <c r="P93" s="276">
        <v>276024</v>
      </c>
      <c r="Q93" s="276">
        <v>182149</v>
      </c>
      <c r="R93" s="276">
        <v>152747</v>
      </c>
      <c r="S93" s="276">
        <v>204349</v>
      </c>
      <c r="T93" s="276">
        <v>299764</v>
      </c>
      <c r="U93" s="276">
        <v>252403</v>
      </c>
      <c r="V93" s="276">
        <v>210340</v>
      </c>
      <c r="W93" s="276">
        <v>265245</v>
      </c>
      <c r="X93" s="276">
        <v>242977</v>
      </c>
    </row>
    <row r="94" spans="1:25" x14ac:dyDescent="0.25">
      <c r="A94" s="233" t="s">
        <v>365</v>
      </c>
      <c r="B94" s="253">
        <f>IF(B91="","",B91-B90)</f>
        <v>23488</v>
      </c>
      <c r="C94" s="253">
        <f>IF(C91="","",C91-C90)</f>
        <v>23091</v>
      </c>
      <c r="D94" s="253">
        <f t="shared" ref="D94:Y94" si="9">IF(D91="","",D91-D90)</f>
        <v>17051</v>
      </c>
      <c r="E94" s="253">
        <f t="shared" si="9"/>
        <v>-20801</v>
      </c>
      <c r="F94" s="253">
        <f t="shared" si="9"/>
        <v>2111</v>
      </c>
      <c r="G94" s="253">
        <f t="shared" si="9"/>
        <v>-12895</v>
      </c>
      <c r="H94" s="253">
        <f t="shared" si="9"/>
        <v>3255</v>
      </c>
      <c r="I94" s="253">
        <f t="shared" si="9"/>
        <v>4170</v>
      </c>
      <c r="J94" s="253">
        <f t="shared" si="9"/>
        <v>11351</v>
      </c>
      <c r="K94" s="253">
        <f t="shared" si="9"/>
        <v>23050</v>
      </c>
      <c r="L94" s="253">
        <f t="shared" si="9"/>
        <v>3769</v>
      </c>
      <c r="M94" s="253">
        <f t="shared" si="9"/>
        <v>5880</v>
      </c>
      <c r="N94" s="253">
        <f t="shared" si="9"/>
        <v>29717</v>
      </c>
      <c r="O94" s="253">
        <f t="shared" si="9"/>
        <v>21160</v>
      </c>
      <c r="P94" s="253">
        <f t="shared" si="9"/>
        <v>64938</v>
      </c>
      <c r="Q94" s="253">
        <f t="shared" si="9"/>
        <v>48158</v>
      </c>
      <c r="R94" s="253">
        <f t="shared" si="9"/>
        <v>-9423</v>
      </c>
      <c r="S94" s="253">
        <f t="shared" si="9"/>
        <v>65314</v>
      </c>
      <c r="T94" s="253">
        <f t="shared" si="9"/>
        <v>31615</v>
      </c>
      <c r="U94" s="253">
        <f t="shared" si="9"/>
        <v>88962</v>
      </c>
      <c r="V94" s="253">
        <f t="shared" si="9"/>
        <v>26274</v>
      </c>
      <c r="W94" s="253">
        <f t="shared" si="9"/>
        <v>-12252</v>
      </c>
      <c r="X94" s="253">
        <f t="shared" si="9"/>
        <v>-13463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8422337</v>
      </c>
      <c r="C97" s="273">
        <v>9071513</v>
      </c>
      <c r="D97" s="273">
        <v>10062566</v>
      </c>
      <c r="E97" s="273">
        <v>9466333</v>
      </c>
      <c r="F97" s="273">
        <v>9138485</v>
      </c>
    </row>
    <row r="98" spans="1:24" ht="14.25" thickBot="1" x14ac:dyDescent="0.3">
      <c r="A98" s="225" t="s">
        <v>4</v>
      </c>
      <c r="B98" s="275">
        <v>1959187</v>
      </c>
      <c r="C98" s="275">
        <v>1999523</v>
      </c>
      <c r="D98" s="275">
        <v>2298048</v>
      </c>
      <c r="E98" s="275">
        <v>2125343</v>
      </c>
      <c r="F98" s="275">
        <v>2172780</v>
      </c>
    </row>
    <row r="99" spans="1:24" ht="14.25" thickBot="1" x14ac:dyDescent="0.3">
      <c r="A99" s="224" t="s">
        <v>5</v>
      </c>
      <c r="B99" s="273">
        <v>1044687</v>
      </c>
      <c r="C99" s="273">
        <v>989808</v>
      </c>
      <c r="D99" s="273">
        <v>1199931</v>
      </c>
      <c r="E99" s="273">
        <v>1071647</v>
      </c>
      <c r="F99" s="273">
        <v>1187971</v>
      </c>
    </row>
    <row r="100" spans="1:24" ht="14.25" thickBot="1" x14ac:dyDescent="0.3">
      <c r="A100" s="225" t="s">
        <v>6</v>
      </c>
      <c r="B100" s="275">
        <v>1087516</v>
      </c>
      <c r="C100" s="275">
        <v>986449</v>
      </c>
      <c r="D100" s="275">
        <v>1243981</v>
      </c>
      <c r="E100" s="275">
        <v>1235620</v>
      </c>
      <c r="F100" s="275">
        <v>1364439</v>
      </c>
    </row>
    <row r="101" spans="1:24" ht="14.25" thickBot="1" x14ac:dyDescent="0.3">
      <c r="A101" s="224" t="s">
        <v>7</v>
      </c>
      <c r="B101" s="273">
        <v>733367</v>
      </c>
      <c r="C101" s="273">
        <v>654915</v>
      </c>
      <c r="D101" s="273">
        <v>855859</v>
      </c>
      <c r="E101" s="273">
        <v>790738</v>
      </c>
      <c r="F101" s="273">
        <v>909263</v>
      </c>
    </row>
    <row r="102" spans="1:24" ht="14.25" thickBot="1" x14ac:dyDescent="0.3">
      <c r="A102" s="227" t="s">
        <v>8</v>
      </c>
      <c r="B102" s="276">
        <v>727124</v>
      </c>
      <c r="C102" s="276">
        <v>654915</v>
      </c>
      <c r="D102" s="276">
        <v>855859</v>
      </c>
      <c r="E102" s="276">
        <v>790738</v>
      </c>
      <c r="F102" s="276">
        <v>909263</v>
      </c>
    </row>
    <row r="103" spans="1:24" x14ac:dyDescent="0.25">
      <c r="A103" s="233" t="s">
        <v>262</v>
      </c>
      <c r="B103" s="234">
        <f>IF(OR(B102="",B102="無"),"",B102/B101)</f>
        <v>0.99148720899631426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2171302</v>
      </c>
      <c r="C106" s="273">
        <v>2079670</v>
      </c>
      <c r="D106" s="273">
        <v>1733099</v>
      </c>
      <c r="E106" s="273">
        <v>1781963</v>
      </c>
      <c r="F106" s="273">
        <v>1751705</v>
      </c>
      <c r="G106" s="273">
        <v>2134945</v>
      </c>
      <c r="H106" s="273">
        <v>2046546</v>
      </c>
      <c r="I106" s="273">
        <v>1881063</v>
      </c>
      <c r="J106" s="273">
        <v>2263073</v>
      </c>
      <c r="K106" s="273">
        <v>2391397</v>
      </c>
      <c r="L106" s="273">
        <v>2321842</v>
      </c>
      <c r="M106" s="273">
        <v>2714813</v>
      </c>
      <c r="N106" s="273">
        <v>2653680</v>
      </c>
      <c r="O106" s="273">
        <v>3203302</v>
      </c>
      <c r="P106" s="273">
        <v>2604080</v>
      </c>
      <c r="Q106" s="273">
        <v>2944659</v>
      </c>
      <c r="R106" s="273">
        <v>3418041</v>
      </c>
      <c r="S106" s="273">
        <v>3204463</v>
      </c>
      <c r="T106" s="273">
        <v>2931164</v>
      </c>
      <c r="U106" s="273">
        <v>3432768</v>
      </c>
      <c r="V106" s="273">
        <v>3442733</v>
      </c>
      <c r="W106" s="273">
        <v>3357704</v>
      </c>
      <c r="X106" s="273">
        <v>2981418</v>
      </c>
    </row>
    <row r="107" spans="1:24" ht="14.25" thickBot="1" x14ac:dyDescent="0.3">
      <c r="A107" s="225" t="s">
        <v>22</v>
      </c>
      <c r="B107" s="274">
        <v>0</v>
      </c>
      <c r="C107" s="275">
        <v>1118</v>
      </c>
      <c r="D107" s="274">
        <v>0</v>
      </c>
      <c r="E107" s="274">
        <v>0</v>
      </c>
      <c r="F107" s="275">
        <v>54687</v>
      </c>
      <c r="G107" s="275">
        <v>50455</v>
      </c>
      <c r="H107" s="275">
        <v>48233</v>
      </c>
      <c r="I107" s="275">
        <v>49092</v>
      </c>
      <c r="J107" s="275">
        <v>49000</v>
      </c>
      <c r="K107" s="275">
        <v>48110</v>
      </c>
      <c r="L107" s="275">
        <v>50718</v>
      </c>
      <c r="M107" s="275">
        <v>51246</v>
      </c>
      <c r="N107" s="275">
        <v>234991</v>
      </c>
      <c r="O107" s="275">
        <v>229263</v>
      </c>
      <c r="P107" s="275">
        <v>51760</v>
      </c>
      <c r="Q107" s="275">
        <v>49703</v>
      </c>
      <c r="R107" s="275">
        <v>54874</v>
      </c>
      <c r="S107" s="275">
        <v>300802</v>
      </c>
      <c r="T107" s="275">
        <v>69109</v>
      </c>
      <c r="U107" s="275">
        <v>53266</v>
      </c>
      <c r="V107" s="275">
        <v>85941</v>
      </c>
      <c r="W107" s="275">
        <v>359860</v>
      </c>
      <c r="X107" s="275">
        <v>48158</v>
      </c>
    </row>
    <row r="108" spans="1:24" ht="14.25" thickBot="1" x14ac:dyDescent="0.3">
      <c r="A108" s="224" t="s">
        <v>263</v>
      </c>
      <c r="B108" s="273">
        <v>3113530</v>
      </c>
      <c r="C108" s="273">
        <v>3138809</v>
      </c>
      <c r="D108" s="273">
        <v>3214527</v>
      </c>
      <c r="E108" s="273">
        <v>3228078</v>
      </c>
      <c r="F108" s="273">
        <v>3357607</v>
      </c>
      <c r="G108" s="273">
        <v>3379812</v>
      </c>
      <c r="H108" s="273">
        <v>3749970</v>
      </c>
      <c r="I108" s="273">
        <v>3863601</v>
      </c>
      <c r="J108" s="273">
        <v>3617134</v>
      </c>
      <c r="K108" s="273">
        <v>3932666</v>
      </c>
      <c r="L108" s="273">
        <v>4334318</v>
      </c>
      <c r="M108" s="273">
        <v>4419543</v>
      </c>
      <c r="N108" s="273">
        <v>3931959</v>
      </c>
      <c r="O108" s="273">
        <v>3685121</v>
      </c>
      <c r="P108" s="273">
        <v>4428161</v>
      </c>
      <c r="Q108" s="273">
        <v>4034458</v>
      </c>
      <c r="R108" s="273">
        <v>3445627</v>
      </c>
      <c r="S108" s="273">
        <v>3455744</v>
      </c>
      <c r="T108" s="273">
        <v>3726072</v>
      </c>
      <c r="U108" s="273">
        <v>3402168</v>
      </c>
      <c r="V108" s="273">
        <v>3115360</v>
      </c>
      <c r="W108" s="273">
        <v>3411667</v>
      </c>
      <c r="X108" s="273">
        <v>3651014</v>
      </c>
    </row>
    <row r="109" spans="1:24" ht="14.25" thickBot="1" x14ac:dyDescent="0.3">
      <c r="A109" s="225" t="s">
        <v>264</v>
      </c>
      <c r="B109" s="275">
        <v>649324</v>
      </c>
      <c r="C109" s="275">
        <v>526624</v>
      </c>
      <c r="D109" s="275">
        <v>546964</v>
      </c>
      <c r="E109" s="275">
        <v>542429</v>
      </c>
      <c r="F109" s="275">
        <v>615469</v>
      </c>
      <c r="G109" s="275">
        <v>615690</v>
      </c>
      <c r="H109" s="275">
        <v>570595</v>
      </c>
      <c r="I109" s="275">
        <v>584487</v>
      </c>
      <c r="J109" s="275">
        <v>574378</v>
      </c>
      <c r="K109" s="275">
        <v>559280</v>
      </c>
      <c r="L109" s="275">
        <v>613465</v>
      </c>
      <c r="M109" s="275">
        <v>630812</v>
      </c>
      <c r="N109" s="275">
        <v>711735</v>
      </c>
      <c r="O109" s="275">
        <v>630114</v>
      </c>
      <c r="P109" s="275">
        <v>649134</v>
      </c>
      <c r="Q109" s="275">
        <v>572001</v>
      </c>
      <c r="R109" s="275">
        <v>552922</v>
      </c>
      <c r="S109" s="275">
        <v>566022</v>
      </c>
      <c r="T109" s="275">
        <v>558636</v>
      </c>
      <c r="U109" s="275">
        <v>566083</v>
      </c>
      <c r="V109" s="275">
        <v>540996</v>
      </c>
      <c r="W109" s="275">
        <v>541367</v>
      </c>
      <c r="X109" s="275">
        <v>524526</v>
      </c>
    </row>
    <row r="110" spans="1:24" ht="14.25" thickBot="1" x14ac:dyDescent="0.3">
      <c r="A110" s="224" t="s">
        <v>23</v>
      </c>
      <c r="B110" s="273">
        <v>485453</v>
      </c>
      <c r="C110" s="273">
        <v>400129</v>
      </c>
      <c r="D110" s="273">
        <v>237873</v>
      </c>
      <c r="E110" s="273">
        <v>359715</v>
      </c>
      <c r="F110" s="273">
        <v>510016</v>
      </c>
      <c r="G110" s="273">
        <v>461351</v>
      </c>
      <c r="H110" s="273">
        <v>457663</v>
      </c>
      <c r="I110" s="273">
        <v>431932</v>
      </c>
      <c r="J110" s="273">
        <v>349247</v>
      </c>
      <c r="K110" s="273">
        <v>494278</v>
      </c>
      <c r="L110" s="273">
        <v>567163</v>
      </c>
      <c r="M110" s="273">
        <v>606493</v>
      </c>
      <c r="N110" s="273">
        <v>549775</v>
      </c>
      <c r="O110" s="273">
        <v>416909</v>
      </c>
      <c r="P110" s="273">
        <v>387821</v>
      </c>
      <c r="Q110" s="273">
        <v>337512</v>
      </c>
      <c r="R110" s="273">
        <v>435410</v>
      </c>
      <c r="S110" s="273">
        <v>531361</v>
      </c>
      <c r="T110" s="273">
        <v>406655</v>
      </c>
      <c r="U110" s="273">
        <v>342331</v>
      </c>
      <c r="V110" s="273">
        <v>341866</v>
      </c>
      <c r="W110" s="273">
        <v>319203</v>
      </c>
      <c r="X110" s="273">
        <v>291447</v>
      </c>
    </row>
    <row r="111" spans="1:24" ht="14.25" thickBot="1" x14ac:dyDescent="0.3">
      <c r="A111" s="225" t="s">
        <v>24</v>
      </c>
      <c r="B111" s="275">
        <v>6419609</v>
      </c>
      <c r="C111" s="275">
        <v>6146350</v>
      </c>
      <c r="D111" s="275">
        <v>5732463</v>
      </c>
      <c r="E111" s="275">
        <v>5912185</v>
      </c>
      <c r="F111" s="275">
        <v>6289484</v>
      </c>
      <c r="G111" s="275">
        <v>6642253</v>
      </c>
      <c r="H111" s="275">
        <v>6873007</v>
      </c>
      <c r="I111" s="275">
        <v>6810175</v>
      </c>
      <c r="J111" s="275">
        <v>6852832</v>
      </c>
      <c r="K111" s="275">
        <v>7425731</v>
      </c>
      <c r="L111" s="275">
        <v>7887506</v>
      </c>
      <c r="M111" s="275">
        <v>8422907</v>
      </c>
      <c r="N111" s="275">
        <v>8082140</v>
      </c>
      <c r="O111" s="275">
        <v>8164709</v>
      </c>
      <c r="P111" s="275">
        <v>8120956</v>
      </c>
      <c r="Q111" s="275">
        <v>7938333</v>
      </c>
      <c r="R111" s="275">
        <v>7906874</v>
      </c>
      <c r="S111" s="275">
        <v>8058392</v>
      </c>
      <c r="T111" s="275">
        <v>7691636</v>
      </c>
      <c r="U111" s="275">
        <v>7796616</v>
      </c>
      <c r="V111" s="275">
        <v>7526896</v>
      </c>
      <c r="W111" s="275">
        <v>7989801</v>
      </c>
      <c r="X111" s="275">
        <v>7496563</v>
      </c>
    </row>
    <row r="112" spans="1:24" ht="14.25" thickBot="1" x14ac:dyDescent="0.3">
      <c r="A112" s="224" t="s">
        <v>25</v>
      </c>
      <c r="B112" s="273">
        <v>34481</v>
      </c>
      <c r="C112" s="273">
        <v>65674</v>
      </c>
      <c r="D112" s="273">
        <v>67402</v>
      </c>
      <c r="E112" s="273">
        <v>50538</v>
      </c>
      <c r="F112" s="273">
        <v>37451</v>
      </c>
      <c r="G112" s="273">
        <v>40002</v>
      </c>
      <c r="H112" s="273">
        <v>45361</v>
      </c>
      <c r="I112" s="273">
        <v>71078</v>
      </c>
      <c r="J112" s="273">
        <v>79609</v>
      </c>
      <c r="K112" s="273">
        <v>46390</v>
      </c>
      <c r="L112" s="273">
        <v>44157</v>
      </c>
      <c r="M112" s="273">
        <v>70847</v>
      </c>
      <c r="N112" s="273">
        <v>84096</v>
      </c>
      <c r="O112" s="273">
        <v>103703</v>
      </c>
      <c r="P112" s="273">
        <v>108100</v>
      </c>
      <c r="Q112" s="273">
        <v>113288</v>
      </c>
      <c r="R112" s="273">
        <v>150117</v>
      </c>
      <c r="S112" s="273">
        <v>155718</v>
      </c>
      <c r="T112" s="273">
        <v>165137</v>
      </c>
      <c r="U112" s="273">
        <v>157620</v>
      </c>
      <c r="V112" s="273">
        <v>157123</v>
      </c>
      <c r="W112" s="273">
        <v>157851</v>
      </c>
      <c r="X112" s="273">
        <v>158995</v>
      </c>
    </row>
    <row r="113" spans="1:24" ht="14.25" thickBot="1" x14ac:dyDescent="0.3">
      <c r="A113" s="225" t="s">
        <v>26</v>
      </c>
      <c r="B113" s="275">
        <v>790530</v>
      </c>
      <c r="C113" s="275">
        <v>804825</v>
      </c>
      <c r="D113" s="275">
        <v>779145</v>
      </c>
      <c r="E113" s="275">
        <v>765849</v>
      </c>
      <c r="F113" s="275">
        <v>843164</v>
      </c>
      <c r="G113" s="275">
        <v>848762</v>
      </c>
      <c r="H113" s="275">
        <v>827169</v>
      </c>
      <c r="I113" s="275">
        <v>831047</v>
      </c>
      <c r="J113" s="275">
        <v>825151</v>
      </c>
      <c r="K113" s="275">
        <v>796999</v>
      </c>
      <c r="L113" s="275">
        <v>790816</v>
      </c>
      <c r="M113" s="275">
        <v>797689</v>
      </c>
      <c r="N113" s="275">
        <v>775918</v>
      </c>
      <c r="O113" s="275">
        <v>748195</v>
      </c>
      <c r="P113" s="275">
        <v>753786</v>
      </c>
      <c r="Q113" s="275">
        <v>715758</v>
      </c>
      <c r="R113" s="275">
        <v>660171</v>
      </c>
      <c r="S113" s="275">
        <v>647670</v>
      </c>
      <c r="T113" s="275">
        <v>622824</v>
      </c>
      <c r="U113" s="275">
        <v>611792</v>
      </c>
      <c r="V113" s="275">
        <v>562379</v>
      </c>
      <c r="W113" s="275">
        <v>570516</v>
      </c>
      <c r="X113" s="275">
        <v>553227</v>
      </c>
    </row>
    <row r="114" spans="1:24" ht="14.25" thickBot="1" x14ac:dyDescent="0.3">
      <c r="A114" s="224" t="s">
        <v>27</v>
      </c>
      <c r="B114" s="273">
        <v>524081</v>
      </c>
      <c r="C114" s="273">
        <v>543131</v>
      </c>
      <c r="D114" s="273">
        <v>548649</v>
      </c>
      <c r="E114" s="273">
        <v>539671</v>
      </c>
      <c r="F114" s="273">
        <v>498146</v>
      </c>
      <c r="G114" s="273">
        <v>489133</v>
      </c>
      <c r="H114" s="273">
        <v>504985</v>
      </c>
      <c r="I114" s="273">
        <v>512354</v>
      </c>
      <c r="J114" s="273">
        <v>517117</v>
      </c>
      <c r="K114" s="273">
        <v>522059</v>
      </c>
      <c r="L114" s="273">
        <v>518823</v>
      </c>
      <c r="M114" s="273">
        <v>580566</v>
      </c>
      <c r="N114" s="273">
        <v>636523</v>
      </c>
      <c r="O114" s="273">
        <v>639237</v>
      </c>
      <c r="P114" s="273">
        <v>573928</v>
      </c>
      <c r="Q114" s="273">
        <v>580258</v>
      </c>
      <c r="R114" s="273">
        <v>555379</v>
      </c>
      <c r="S114" s="273">
        <v>516719</v>
      </c>
      <c r="T114" s="273">
        <v>506878</v>
      </c>
      <c r="U114" s="273">
        <v>492659</v>
      </c>
      <c r="V114" s="273">
        <v>485677</v>
      </c>
      <c r="W114" s="273">
        <v>517021</v>
      </c>
      <c r="X114" s="273">
        <v>546183</v>
      </c>
    </row>
    <row r="115" spans="1:24" ht="14.25" thickBot="1" x14ac:dyDescent="0.3">
      <c r="A115" s="225" t="s">
        <v>265</v>
      </c>
      <c r="B115" s="276">
        <v>7768701</v>
      </c>
      <c r="C115" s="276">
        <v>7559980</v>
      </c>
      <c r="D115" s="276">
        <v>7127659</v>
      </c>
      <c r="E115" s="276">
        <v>7268243</v>
      </c>
      <c r="F115" s="276">
        <v>7668245</v>
      </c>
      <c r="G115" s="276">
        <v>8020150</v>
      </c>
      <c r="H115" s="276">
        <v>8250522</v>
      </c>
      <c r="I115" s="276">
        <v>8224654</v>
      </c>
      <c r="J115" s="276">
        <v>8274709</v>
      </c>
      <c r="K115" s="276">
        <v>8791179</v>
      </c>
      <c r="L115" s="276">
        <v>9241302</v>
      </c>
      <c r="M115" s="276">
        <v>9872009</v>
      </c>
      <c r="N115" s="276">
        <v>9578677</v>
      </c>
      <c r="O115" s="276">
        <v>9655844</v>
      </c>
      <c r="P115" s="276">
        <v>9556770</v>
      </c>
      <c r="Q115" s="276">
        <v>9347637</v>
      </c>
      <c r="R115" s="276">
        <v>9272541</v>
      </c>
      <c r="S115" s="276">
        <v>9378499</v>
      </c>
      <c r="T115" s="276">
        <v>8986475</v>
      </c>
      <c r="U115" s="276">
        <v>9058687</v>
      </c>
      <c r="V115" s="276">
        <v>8732075</v>
      </c>
      <c r="W115" s="276">
        <v>9235189</v>
      </c>
      <c r="X115" s="276">
        <v>8754968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304171</v>
      </c>
      <c r="C118" s="273">
        <v>144020</v>
      </c>
      <c r="D118" s="68">
        <v>0</v>
      </c>
      <c r="E118" s="273">
        <v>89921</v>
      </c>
      <c r="F118" s="273">
        <v>124196</v>
      </c>
      <c r="G118" s="273">
        <v>74794</v>
      </c>
      <c r="H118" s="273">
        <v>515448</v>
      </c>
      <c r="I118" s="273">
        <v>424071</v>
      </c>
      <c r="J118" s="273">
        <v>480679</v>
      </c>
      <c r="K118" s="273">
        <v>475012</v>
      </c>
      <c r="L118" s="273">
        <v>901477</v>
      </c>
      <c r="M118" s="273">
        <v>1025556</v>
      </c>
      <c r="N118" s="273">
        <v>205596</v>
      </c>
      <c r="O118" s="273">
        <v>122577</v>
      </c>
      <c r="P118" s="273">
        <v>58657</v>
      </c>
      <c r="Q118" s="273">
        <v>56503</v>
      </c>
      <c r="R118" s="273">
        <v>59532</v>
      </c>
      <c r="S118" s="273">
        <v>21864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1910702</v>
      </c>
      <c r="C120" s="273">
        <v>1696668</v>
      </c>
      <c r="D120" s="273">
        <v>1740735</v>
      </c>
      <c r="E120" s="273">
        <v>1623304</v>
      </c>
      <c r="F120" s="273">
        <v>1649429</v>
      </c>
      <c r="G120" s="273">
        <v>1781160</v>
      </c>
      <c r="H120" s="273">
        <v>2045481</v>
      </c>
      <c r="I120" s="273">
        <v>1870217</v>
      </c>
      <c r="J120" s="273">
        <v>1725126</v>
      </c>
      <c r="K120" s="273">
        <v>1941694</v>
      </c>
      <c r="L120" s="273">
        <v>2152294</v>
      </c>
      <c r="M120" s="273">
        <v>2248435</v>
      </c>
      <c r="N120" s="273">
        <v>1924772</v>
      </c>
      <c r="O120" s="273">
        <v>1911478</v>
      </c>
      <c r="P120" s="273">
        <v>2182054</v>
      </c>
      <c r="Q120" s="273">
        <v>1870160</v>
      </c>
      <c r="R120" s="273">
        <v>1710488</v>
      </c>
      <c r="S120" s="273">
        <v>1816279</v>
      </c>
      <c r="T120" s="273">
        <v>2111605</v>
      </c>
      <c r="U120" s="273">
        <v>1943161</v>
      </c>
      <c r="V120" s="273">
        <v>1756446</v>
      </c>
      <c r="W120" s="273">
        <v>1885931</v>
      </c>
      <c r="X120" s="273">
        <v>2096490</v>
      </c>
    </row>
    <row r="121" spans="1:24" ht="14.25" thickBot="1" x14ac:dyDescent="0.3">
      <c r="A121" s="225" t="s">
        <v>267</v>
      </c>
      <c r="B121" s="275">
        <v>14635</v>
      </c>
      <c r="C121" s="275">
        <v>23112</v>
      </c>
      <c r="D121" s="275">
        <v>9049</v>
      </c>
      <c r="E121" s="275">
        <v>12667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273">
        <v>122019</v>
      </c>
      <c r="G122" s="273">
        <v>50081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273">
        <v>333608</v>
      </c>
      <c r="W122" s="273">
        <v>171486</v>
      </c>
      <c r="X122" s="273">
        <v>69914</v>
      </c>
    </row>
    <row r="123" spans="1:24" ht="14.25" thickBot="1" x14ac:dyDescent="0.3">
      <c r="A123" s="225" t="s">
        <v>31</v>
      </c>
      <c r="B123" s="275">
        <v>514713</v>
      </c>
      <c r="C123" s="275">
        <v>913963</v>
      </c>
      <c r="D123" s="275">
        <v>498140</v>
      </c>
      <c r="E123" s="275">
        <v>523286</v>
      </c>
      <c r="F123" s="275">
        <v>609155</v>
      </c>
      <c r="G123" s="275">
        <v>1201801</v>
      </c>
      <c r="H123" s="275">
        <v>619606</v>
      </c>
      <c r="I123" s="275">
        <v>614925</v>
      </c>
      <c r="J123" s="275">
        <v>541676</v>
      </c>
      <c r="K123" s="275">
        <v>1219609</v>
      </c>
      <c r="L123" s="275">
        <v>749266</v>
      </c>
      <c r="M123" s="275">
        <v>633145</v>
      </c>
      <c r="N123" s="275">
        <v>594448</v>
      </c>
      <c r="O123" s="275">
        <v>1304308</v>
      </c>
      <c r="P123" s="275">
        <v>641486</v>
      </c>
      <c r="Q123" s="275">
        <v>660807</v>
      </c>
      <c r="R123" s="275">
        <v>697650</v>
      </c>
      <c r="S123" s="275">
        <v>1332072</v>
      </c>
      <c r="T123" s="275">
        <v>547046</v>
      </c>
      <c r="U123" s="275">
        <v>550379</v>
      </c>
      <c r="V123" s="275">
        <v>514993</v>
      </c>
      <c r="W123" s="275">
        <v>1466784</v>
      </c>
      <c r="X123" s="275">
        <v>520133</v>
      </c>
    </row>
    <row r="124" spans="1:24" ht="14.25" thickBot="1" x14ac:dyDescent="0.3">
      <c r="A124" s="224" t="s">
        <v>268</v>
      </c>
      <c r="B124" s="273">
        <v>2744221</v>
      </c>
      <c r="C124" s="273">
        <v>2777763</v>
      </c>
      <c r="D124" s="273">
        <v>2247924</v>
      </c>
      <c r="E124" s="273">
        <v>2249178</v>
      </c>
      <c r="F124" s="273">
        <v>2504799</v>
      </c>
      <c r="G124" s="273">
        <v>3107836</v>
      </c>
      <c r="H124" s="273">
        <v>3180535</v>
      </c>
      <c r="I124" s="273">
        <v>2909213</v>
      </c>
      <c r="J124" s="273">
        <v>2747481</v>
      </c>
      <c r="K124" s="273">
        <v>3636315</v>
      </c>
      <c r="L124" s="273">
        <v>3803037</v>
      </c>
      <c r="M124" s="273">
        <v>3907136</v>
      </c>
      <c r="N124" s="273">
        <v>2724816</v>
      </c>
      <c r="O124" s="273">
        <v>3338363</v>
      </c>
      <c r="P124" s="273">
        <v>2882197</v>
      </c>
      <c r="Q124" s="273">
        <v>2587470</v>
      </c>
      <c r="R124" s="273">
        <v>2467670</v>
      </c>
      <c r="S124" s="273">
        <v>3170215</v>
      </c>
      <c r="T124" s="273">
        <v>2658651</v>
      </c>
      <c r="U124" s="273">
        <v>2493540</v>
      </c>
      <c r="V124" s="273">
        <v>2605047</v>
      </c>
      <c r="W124" s="273">
        <v>3524201</v>
      </c>
      <c r="X124" s="273">
        <v>2686537</v>
      </c>
    </row>
    <row r="125" spans="1:24" ht="14.25" thickBot="1" x14ac:dyDescent="0.3">
      <c r="A125" s="225" t="s">
        <v>32</v>
      </c>
      <c r="B125" s="275">
        <v>534738</v>
      </c>
      <c r="C125" s="275">
        <v>539257</v>
      </c>
      <c r="D125" s="275">
        <v>495028</v>
      </c>
      <c r="E125" s="275">
        <v>313972</v>
      </c>
      <c r="F125" s="275">
        <v>416525</v>
      </c>
      <c r="G125" s="275">
        <v>428620</v>
      </c>
      <c r="H125" s="275">
        <v>377655</v>
      </c>
      <c r="I125" s="275">
        <v>394073</v>
      </c>
      <c r="J125" s="275">
        <v>404327</v>
      </c>
      <c r="K125" s="275">
        <v>427478</v>
      </c>
      <c r="L125" s="275">
        <v>376092</v>
      </c>
      <c r="M125" s="275">
        <v>400876</v>
      </c>
      <c r="N125" s="275">
        <v>1192615</v>
      </c>
      <c r="O125" s="275">
        <v>1216121</v>
      </c>
      <c r="P125" s="275">
        <v>1138422</v>
      </c>
      <c r="Q125" s="275">
        <v>1154648</v>
      </c>
      <c r="R125" s="275">
        <v>1131874</v>
      </c>
      <c r="S125" s="275">
        <v>1118165</v>
      </c>
      <c r="T125" s="275">
        <v>1152934</v>
      </c>
      <c r="U125" s="275">
        <v>984486</v>
      </c>
      <c r="V125" s="275">
        <v>398552</v>
      </c>
      <c r="W125" s="275">
        <v>344141</v>
      </c>
      <c r="X125" s="275">
        <v>293356</v>
      </c>
    </row>
    <row r="126" spans="1:24" ht="14.25" thickBot="1" x14ac:dyDescent="0.3">
      <c r="A126" s="224" t="s">
        <v>33</v>
      </c>
      <c r="B126" s="273">
        <v>412856</v>
      </c>
      <c r="C126" s="273">
        <v>412622</v>
      </c>
      <c r="D126" s="273">
        <v>399915</v>
      </c>
      <c r="E126" s="273">
        <v>411717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3691815</v>
      </c>
      <c r="C127" s="275">
        <v>3729642</v>
      </c>
      <c r="D127" s="275">
        <v>3142867</v>
      </c>
      <c r="E127" s="275">
        <v>2974867</v>
      </c>
      <c r="F127" s="275">
        <v>2921324</v>
      </c>
      <c r="G127" s="275">
        <v>3536456</v>
      </c>
      <c r="H127" s="275">
        <v>3558190</v>
      </c>
      <c r="I127" s="275">
        <v>3303286</v>
      </c>
      <c r="J127" s="275">
        <v>3151808</v>
      </c>
      <c r="K127" s="275">
        <v>4063793</v>
      </c>
      <c r="L127" s="275">
        <v>4179129</v>
      </c>
      <c r="M127" s="275">
        <v>4308012</v>
      </c>
      <c r="N127" s="275">
        <v>3917431</v>
      </c>
      <c r="O127" s="275">
        <v>4554484</v>
      </c>
      <c r="P127" s="275">
        <v>4020619</v>
      </c>
      <c r="Q127" s="275">
        <v>3742118</v>
      </c>
      <c r="R127" s="275">
        <v>3599544</v>
      </c>
      <c r="S127" s="275">
        <v>4288380</v>
      </c>
      <c r="T127" s="275">
        <v>3811585</v>
      </c>
      <c r="U127" s="275">
        <v>3478026</v>
      </c>
      <c r="V127" s="275">
        <v>3003599</v>
      </c>
      <c r="W127" s="275">
        <v>3868342</v>
      </c>
      <c r="X127" s="275">
        <v>2979893</v>
      </c>
    </row>
    <row r="128" spans="1:24" ht="14.25" thickBot="1" x14ac:dyDescent="0.3">
      <c r="A128" s="224" t="s">
        <v>34</v>
      </c>
      <c r="B128" s="273">
        <v>4076886</v>
      </c>
      <c r="C128" s="273">
        <v>3830338</v>
      </c>
      <c r="D128" s="273">
        <v>3984792</v>
      </c>
      <c r="E128" s="273">
        <v>4293376</v>
      </c>
      <c r="F128" s="273">
        <v>4746921</v>
      </c>
      <c r="G128" s="273">
        <v>4483694</v>
      </c>
      <c r="H128" s="273">
        <v>4692332</v>
      </c>
      <c r="I128" s="273">
        <v>4921368</v>
      </c>
      <c r="J128" s="273">
        <v>5122901</v>
      </c>
      <c r="K128" s="273">
        <v>4727386</v>
      </c>
      <c r="L128" s="273">
        <v>5062173</v>
      </c>
      <c r="M128" s="273">
        <v>5563997</v>
      </c>
      <c r="N128" s="273">
        <v>5661246</v>
      </c>
      <c r="O128" s="273">
        <v>5101360</v>
      </c>
      <c r="P128" s="273">
        <v>5536151</v>
      </c>
      <c r="Q128" s="273">
        <v>5605519</v>
      </c>
      <c r="R128" s="273">
        <v>5672997</v>
      </c>
      <c r="S128" s="273">
        <v>5090119</v>
      </c>
      <c r="T128" s="273">
        <v>5174890</v>
      </c>
      <c r="U128" s="273">
        <v>5580661</v>
      </c>
      <c r="V128" s="273">
        <v>5728476</v>
      </c>
      <c r="W128" s="273">
        <v>5366847</v>
      </c>
      <c r="X128" s="273">
        <v>5775075</v>
      </c>
    </row>
    <row r="129" spans="1:24" ht="14.25" thickBot="1" x14ac:dyDescent="0.3">
      <c r="A129" s="225" t="s">
        <v>35</v>
      </c>
      <c r="B129" s="276">
        <v>7768701</v>
      </c>
      <c r="C129" s="276">
        <v>7559980</v>
      </c>
      <c r="D129" s="276">
        <v>7127659</v>
      </c>
      <c r="E129" s="276">
        <v>7268243</v>
      </c>
      <c r="F129" s="276">
        <v>7668245</v>
      </c>
      <c r="G129" s="276">
        <v>8020150</v>
      </c>
      <c r="H129" s="276">
        <v>8250522</v>
      </c>
      <c r="I129" s="276">
        <v>8224654</v>
      </c>
      <c r="J129" s="276">
        <v>8274709</v>
      </c>
      <c r="K129" s="276">
        <v>8791179</v>
      </c>
      <c r="L129" s="276">
        <v>9241302</v>
      </c>
      <c r="M129" s="276">
        <v>9872009</v>
      </c>
      <c r="N129" s="276">
        <v>9578677</v>
      </c>
      <c r="O129" s="276">
        <v>9655844</v>
      </c>
      <c r="P129" s="276">
        <v>9556770</v>
      </c>
      <c r="Q129" s="276">
        <v>9347637</v>
      </c>
      <c r="R129" s="276">
        <v>9272541</v>
      </c>
      <c r="S129" s="276">
        <v>9378499</v>
      </c>
      <c r="T129" s="276">
        <v>8986475</v>
      </c>
      <c r="U129" s="276">
        <v>9058687</v>
      </c>
      <c r="V129" s="276">
        <v>8732075</v>
      </c>
      <c r="W129" s="276">
        <v>9235189</v>
      </c>
      <c r="X129" s="276">
        <v>8754968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5.45</v>
      </c>
      <c r="C132" s="68">
        <v>1.98</v>
      </c>
      <c r="D132" s="68">
        <v>5.34</v>
      </c>
      <c r="E132" s="68">
        <v>7.46</v>
      </c>
      <c r="F132" s="68">
        <v>10.32</v>
      </c>
    </row>
    <row r="133" spans="1:24" ht="14.25" thickBot="1" x14ac:dyDescent="0.3">
      <c r="A133" s="225" t="s">
        <v>37</v>
      </c>
      <c r="B133" s="274">
        <v>-0.43</v>
      </c>
      <c r="C133" s="274">
        <v>-0.78</v>
      </c>
      <c r="D133" s="274">
        <v>-1.1000000000000001</v>
      </c>
      <c r="E133" s="274">
        <v>1.03</v>
      </c>
      <c r="F133" s="274">
        <v>1</v>
      </c>
    </row>
    <row r="134" spans="1:24" ht="14.25" thickBot="1" x14ac:dyDescent="0.3">
      <c r="A134" s="224" t="s">
        <v>38</v>
      </c>
      <c r="B134" s="68">
        <v>-5.15</v>
      </c>
      <c r="C134" s="68">
        <v>-1.69</v>
      </c>
      <c r="D134" s="68">
        <v>0.4</v>
      </c>
      <c r="E134" s="68">
        <v>-5.71</v>
      </c>
      <c r="F134" s="68">
        <v>-4.87</v>
      </c>
    </row>
    <row r="135" spans="1:24" ht="14.25" thickBot="1" x14ac:dyDescent="0.3">
      <c r="A135" s="225" t="s">
        <v>270</v>
      </c>
      <c r="B135" s="274">
        <v>5.0199999999999996</v>
      </c>
      <c r="C135" s="274">
        <v>1.2</v>
      </c>
      <c r="D135" s="274">
        <v>4.24</v>
      </c>
      <c r="E135" s="274">
        <v>8.49</v>
      </c>
      <c r="F135" s="274">
        <v>11.33</v>
      </c>
    </row>
    <row r="136" spans="1:24" ht="14.25" thickBot="1" x14ac:dyDescent="0.3">
      <c r="A136" s="229" t="s">
        <v>39</v>
      </c>
      <c r="B136" s="72">
        <v>-0.13</v>
      </c>
      <c r="C136" s="72">
        <v>-0.5</v>
      </c>
      <c r="D136" s="72">
        <v>4.6399999999999997</v>
      </c>
      <c r="E136" s="72">
        <v>2.79</v>
      </c>
      <c r="F136" s="72">
        <v>6.46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4</v>
      </c>
      <c r="C140" s="68">
        <v>3.5</v>
      </c>
      <c r="D140" s="68">
        <v>4.5</v>
      </c>
      <c r="E140" s="68">
        <v>4.5</v>
      </c>
      <c r="F140" s="68">
        <v>5.64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0.75329566854990593</v>
      </c>
      <c r="C142" s="234">
        <f>IF(C140&lt;&gt;"無",IF(ISNA(HLOOKUP(C139,$B$64:$F$69,6,FALSE)),"",C140/HLOOKUP(C139,$B$64:$F$69,6,FALSE)),"")</f>
        <v>0.79006772009029336</v>
      </c>
      <c r="D142" s="234">
        <f>IF(D140&lt;&gt;"無",IF(ISNA(HLOOKUP(D139,$B$64:$F$69,6,FALSE)),"",D140/HLOOKUP(D139,$B$64:$F$69,6,FALSE)),"")</f>
        <v>0.78809106830122599</v>
      </c>
      <c r="E142" s="234">
        <f>IF(E140&lt;&gt;"無",IF(ISNA(HLOOKUP(E139,$B$64:$F$69,6,FALSE)),"",E140/HLOOKUP(E139,$B$64:$F$69,6,FALSE)),"")</f>
        <v>0.8522727272727274</v>
      </c>
      <c r="F142" s="234">
        <f>IF(F140&lt;&gt;"無",IF(ISNA(HLOOKUP(F139,$B$64:$F$69,6,FALSE)),"",F140/HLOOKUP(F139,$B$64:$F$69,6,FALSE)),"")</f>
        <v>0.93069306930693074</v>
      </c>
    </row>
    <row r="143" spans="1:24" x14ac:dyDescent="0.25">
      <c r="A143" s="233" t="s">
        <v>216</v>
      </c>
      <c r="B143" s="234">
        <f>IF(OR(B140=0,B140="無"),"",B135/B140)</f>
        <v>1.2549999999999999</v>
      </c>
      <c r="C143" s="234">
        <f>IF(OR(C140=0,C140="無"),"",C135/C140)</f>
        <v>0.34285714285714286</v>
      </c>
      <c r="D143" s="234">
        <f>IF(OR(D140=0,D140="無"),"",D135/D140)</f>
        <v>0.94222222222222229</v>
      </c>
      <c r="E143" s="234">
        <f>IF(OR(E140=0,E140="無"),"",E135/E140)</f>
        <v>1.8866666666666667</v>
      </c>
      <c r="F143" s="234">
        <f>IF(OR(F140=0,F140="無"),"",F135/F140)</f>
        <v>2.0088652482269507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22.18</v>
      </c>
      <c r="C146" s="68">
        <v>23.08</v>
      </c>
      <c r="D146" s="68">
        <v>24.29</v>
      </c>
      <c r="E146" s="68">
        <v>23.47</v>
      </c>
      <c r="F146" s="68">
        <v>22.55</v>
      </c>
      <c r="G146" s="68">
        <v>21.29</v>
      </c>
      <c r="H146" s="68">
        <v>21.96</v>
      </c>
      <c r="I146" s="68">
        <v>22.52</v>
      </c>
      <c r="J146" s="68">
        <v>21.12</v>
      </c>
      <c r="K146" s="68">
        <v>22.65</v>
      </c>
      <c r="L146" s="68">
        <v>22.82</v>
      </c>
      <c r="M146" s="68">
        <v>24.33</v>
      </c>
      <c r="N146" s="68">
        <v>22.6</v>
      </c>
      <c r="O146" s="68">
        <v>21.34</v>
      </c>
      <c r="P146" s="68">
        <v>22.83</v>
      </c>
      <c r="Q146" s="68">
        <v>23.01</v>
      </c>
      <c r="R146" s="68">
        <v>24.64</v>
      </c>
      <c r="S146" s="68">
        <v>21.11</v>
      </c>
      <c r="T146" s="68">
        <v>24.37</v>
      </c>
      <c r="U146" s="68">
        <v>25.07</v>
      </c>
      <c r="V146" s="68">
        <v>23.88</v>
      </c>
      <c r="W146" s="68">
        <v>25.38</v>
      </c>
      <c r="X146" s="68">
        <v>22.2</v>
      </c>
    </row>
    <row r="147" spans="1:24" s="93" customFormat="1" ht="14.25" thickBot="1" x14ac:dyDescent="0.3">
      <c r="A147" s="225" t="s">
        <v>19</v>
      </c>
      <c r="B147" s="274">
        <v>11.78</v>
      </c>
      <c r="C147" s="274">
        <v>12.58</v>
      </c>
      <c r="D147" s="274">
        <v>13.22</v>
      </c>
      <c r="E147" s="274">
        <v>11.96</v>
      </c>
      <c r="F147" s="274">
        <v>10.66</v>
      </c>
      <c r="G147" s="274">
        <v>10.86</v>
      </c>
      <c r="H147" s="274">
        <v>11.4</v>
      </c>
      <c r="I147" s="274">
        <v>10.63</v>
      </c>
      <c r="J147" s="274">
        <v>9.0500000000000007</v>
      </c>
      <c r="K147" s="274">
        <v>12.41</v>
      </c>
      <c r="L147" s="274">
        <v>12.4</v>
      </c>
      <c r="M147" s="274">
        <v>13.08</v>
      </c>
      <c r="N147" s="274">
        <v>9.9600000000000009</v>
      </c>
      <c r="O147" s="274">
        <v>10.42</v>
      </c>
      <c r="P147" s="274">
        <v>13.45</v>
      </c>
      <c r="Q147" s="274">
        <v>11.08</v>
      </c>
      <c r="R147" s="274">
        <v>11.34</v>
      </c>
      <c r="S147" s="274">
        <v>10.64</v>
      </c>
      <c r="T147" s="274">
        <v>16.079999999999998</v>
      </c>
      <c r="U147" s="274">
        <v>13.43</v>
      </c>
      <c r="V147" s="274">
        <v>13.81</v>
      </c>
      <c r="W147" s="274">
        <v>16.36</v>
      </c>
      <c r="X147" s="274">
        <v>13.8</v>
      </c>
    </row>
    <row r="148" spans="1:24" s="93" customFormat="1" ht="14.25" thickBot="1" x14ac:dyDescent="0.3">
      <c r="A148" s="224" t="s">
        <v>41</v>
      </c>
      <c r="B148" s="68">
        <v>12.9</v>
      </c>
      <c r="C148" s="68">
        <v>13.66</v>
      </c>
      <c r="D148" s="68">
        <v>13.99</v>
      </c>
      <c r="E148" s="68">
        <v>10.9</v>
      </c>
      <c r="F148" s="68">
        <v>10.77</v>
      </c>
      <c r="G148" s="68">
        <v>10.33</v>
      </c>
      <c r="H148" s="68">
        <v>11.52</v>
      </c>
      <c r="I148" s="68">
        <v>10.82</v>
      </c>
      <c r="J148" s="68">
        <v>9.6199999999999992</v>
      </c>
      <c r="K148" s="68">
        <v>13.28</v>
      </c>
      <c r="L148" s="68">
        <v>12.54</v>
      </c>
      <c r="M148" s="68">
        <v>13.3</v>
      </c>
      <c r="N148" s="68">
        <v>11.34</v>
      </c>
      <c r="O148" s="68">
        <v>11.32</v>
      </c>
      <c r="P148" s="68">
        <v>15.92</v>
      </c>
      <c r="Q148" s="68">
        <v>13.16</v>
      </c>
      <c r="R148" s="68">
        <v>10.88</v>
      </c>
      <c r="S148" s="68">
        <v>13.46</v>
      </c>
      <c r="T148" s="68">
        <v>17.309999999999999</v>
      </c>
      <c r="U148" s="68">
        <v>17.45</v>
      </c>
      <c r="V148" s="68">
        <v>15.09</v>
      </c>
      <c r="W148" s="68">
        <v>15.84</v>
      </c>
      <c r="X148" s="68">
        <v>13.25</v>
      </c>
    </row>
    <row r="149" spans="1:24" s="93" customFormat="1" ht="14.25" thickBot="1" x14ac:dyDescent="0.3">
      <c r="A149" s="225" t="s">
        <v>13</v>
      </c>
      <c r="B149" s="73">
        <v>9.1199999999999992</v>
      </c>
      <c r="C149" s="73">
        <v>8.74</v>
      </c>
      <c r="D149" s="73">
        <v>9.48</v>
      </c>
      <c r="E149" s="73">
        <v>7.38</v>
      </c>
      <c r="F149" s="73">
        <v>6.67</v>
      </c>
      <c r="G149" s="73">
        <v>6.72</v>
      </c>
      <c r="H149" s="73">
        <v>8.3000000000000007</v>
      </c>
      <c r="I149" s="73">
        <v>7.01</v>
      </c>
      <c r="J149" s="73">
        <v>6.36</v>
      </c>
      <c r="K149" s="73">
        <v>8.93</v>
      </c>
      <c r="L149" s="73">
        <v>8.68</v>
      </c>
      <c r="M149" s="73">
        <v>9.5</v>
      </c>
      <c r="N149" s="73">
        <v>7.36</v>
      </c>
      <c r="O149" s="73">
        <v>7.38</v>
      </c>
      <c r="P149" s="73">
        <v>10.48</v>
      </c>
      <c r="Q149" s="73">
        <v>7.85</v>
      </c>
      <c r="R149" s="73">
        <v>7.46</v>
      </c>
      <c r="S149" s="73">
        <v>8.84</v>
      </c>
      <c r="T149" s="73">
        <v>11.67</v>
      </c>
      <c r="U149" s="73">
        <v>11.42</v>
      </c>
      <c r="V149" s="73">
        <v>10.24</v>
      </c>
      <c r="W149" s="73">
        <v>11.38</v>
      </c>
      <c r="X149" s="73">
        <v>9.9499999999999993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23.26</v>
      </c>
      <c r="C152" s="68">
        <v>22.04</v>
      </c>
      <c r="D152" s="68">
        <v>22.84</v>
      </c>
      <c r="E152" s="68">
        <v>22.45</v>
      </c>
      <c r="F152" s="68">
        <v>23.78</v>
      </c>
    </row>
    <row r="153" spans="1:24" s="93" customFormat="1" ht="14.25" thickBot="1" x14ac:dyDescent="0.3">
      <c r="A153" s="225" t="s">
        <v>19</v>
      </c>
      <c r="B153" s="274">
        <v>12.4</v>
      </c>
      <c r="C153" s="274">
        <v>10.91</v>
      </c>
      <c r="D153" s="274">
        <v>11.92</v>
      </c>
      <c r="E153" s="274">
        <v>11.32</v>
      </c>
      <c r="F153" s="274">
        <v>13</v>
      </c>
    </row>
    <row r="154" spans="1:24" s="93" customFormat="1" ht="14.25" thickBot="1" x14ac:dyDescent="0.3">
      <c r="A154" s="224" t="s">
        <v>41</v>
      </c>
      <c r="B154" s="68">
        <v>12.91</v>
      </c>
      <c r="C154" s="68">
        <v>10.87</v>
      </c>
      <c r="D154" s="68">
        <v>12.36</v>
      </c>
      <c r="E154" s="68">
        <v>13.05</v>
      </c>
      <c r="F154" s="68">
        <v>14.93</v>
      </c>
    </row>
    <row r="155" spans="1:24" s="93" customFormat="1" ht="14.25" thickBot="1" x14ac:dyDescent="0.3">
      <c r="A155" s="225" t="s">
        <v>13</v>
      </c>
      <c r="B155" s="73">
        <v>8.7100000000000009</v>
      </c>
      <c r="C155" s="73">
        <v>7.22</v>
      </c>
      <c r="D155" s="73">
        <v>8.51</v>
      </c>
      <c r="E155" s="73">
        <v>8.35</v>
      </c>
      <c r="F155" s="73">
        <v>9.9499999999999993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2.52</v>
      </c>
      <c r="C158" s="68">
        <v>2.48</v>
      </c>
      <c r="D158" s="68">
        <v>2.96</v>
      </c>
      <c r="E158" s="68">
        <v>2.0299999999999998</v>
      </c>
      <c r="F158" s="68">
        <v>1.77</v>
      </c>
      <c r="G158" s="68">
        <v>2.09</v>
      </c>
      <c r="H158" s="68">
        <v>2.59</v>
      </c>
      <c r="I158" s="68">
        <v>1.85</v>
      </c>
      <c r="J158" s="68">
        <v>1.55</v>
      </c>
      <c r="K158" s="68">
        <v>2.8</v>
      </c>
      <c r="L158" s="68">
        <v>2.72</v>
      </c>
      <c r="M158" s="68">
        <v>2.68</v>
      </c>
      <c r="N158" s="68">
        <v>1.66</v>
      </c>
      <c r="O158" s="68">
        <v>1.84</v>
      </c>
      <c r="P158" s="68">
        <v>2.9</v>
      </c>
      <c r="Q158" s="68">
        <v>1.95</v>
      </c>
      <c r="R158" s="68">
        <v>1.67</v>
      </c>
      <c r="S158" s="68">
        <v>2.21</v>
      </c>
      <c r="T158" s="68">
        <v>3.29</v>
      </c>
      <c r="U158" s="68">
        <v>2.82</v>
      </c>
      <c r="V158" s="68">
        <v>2.38</v>
      </c>
      <c r="W158" s="68">
        <v>2.96</v>
      </c>
      <c r="X158" s="68">
        <v>2.71</v>
      </c>
    </row>
    <row r="159" spans="1:24" s="93" customFormat="1" ht="14.25" thickBot="1" x14ac:dyDescent="0.3">
      <c r="A159" s="225" t="s">
        <v>45</v>
      </c>
      <c r="B159" s="73">
        <v>4.74</v>
      </c>
      <c r="C159" s="73">
        <v>4.75</v>
      </c>
      <c r="D159" s="73">
        <v>5.34</v>
      </c>
      <c r="E159" s="73">
        <v>3.51</v>
      </c>
      <c r="F159" s="73">
        <v>2.89</v>
      </c>
      <c r="G159" s="73">
        <v>3.51</v>
      </c>
      <c r="H159" s="73">
        <v>4.57</v>
      </c>
      <c r="I159" s="73">
        <v>3.17</v>
      </c>
      <c r="J159" s="73">
        <v>2.5099999999999998</v>
      </c>
      <c r="K159" s="73">
        <v>4.82</v>
      </c>
      <c r="L159" s="73">
        <v>4.9000000000000004</v>
      </c>
      <c r="M159" s="73">
        <v>4.75</v>
      </c>
      <c r="N159" s="73">
        <v>2.83</v>
      </c>
      <c r="O159" s="73">
        <v>3.23</v>
      </c>
      <c r="P159" s="73">
        <v>5.19</v>
      </c>
      <c r="Q159" s="73">
        <v>3.27</v>
      </c>
      <c r="R159" s="73">
        <v>2.71</v>
      </c>
      <c r="S159" s="73">
        <v>3.8</v>
      </c>
      <c r="T159" s="73">
        <v>5.84</v>
      </c>
      <c r="U159" s="73">
        <v>4.6900000000000004</v>
      </c>
      <c r="V159" s="73">
        <v>3.72</v>
      </c>
      <c r="W159" s="73">
        <v>4.78</v>
      </c>
      <c r="X159" s="73">
        <v>4.3600000000000003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8.7100000000000009</v>
      </c>
      <c r="C162" s="68">
        <v>7.22</v>
      </c>
      <c r="D162" s="68">
        <v>8.51</v>
      </c>
      <c r="E162" s="68">
        <v>8.35</v>
      </c>
      <c r="F162" s="68">
        <v>9.9499999999999993</v>
      </c>
    </row>
    <row r="163" spans="1:72" s="93" customFormat="1" ht="14.25" thickBot="1" x14ac:dyDescent="0.3">
      <c r="A163" s="225" t="s">
        <v>18</v>
      </c>
      <c r="B163" s="274">
        <v>1.1599999999999999</v>
      </c>
      <c r="C163" s="274">
        <v>1.1000000000000001</v>
      </c>
      <c r="D163" s="274">
        <v>1.02</v>
      </c>
      <c r="E163" s="274">
        <v>1.01</v>
      </c>
      <c r="F163" s="274">
        <v>1.01</v>
      </c>
    </row>
    <row r="164" spans="1:72" s="93" customFormat="1" ht="14.25" thickBot="1" x14ac:dyDescent="0.3">
      <c r="A164" s="224" t="s">
        <v>15</v>
      </c>
      <c r="B164" s="68">
        <v>1.69</v>
      </c>
      <c r="C164" s="68">
        <v>1.67</v>
      </c>
      <c r="D164" s="68">
        <v>1.77</v>
      </c>
      <c r="E164" s="68">
        <v>1.67</v>
      </c>
      <c r="F164" s="68">
        <v>1.62</v>
      </c>
    </row>
    <row r="165" spans="1:72" s="93" customFormat="1" ht="14.25" thickBot="1" x14ac:dyDescent="0.3">
      <c r="A165" s="225" t="s">
        <v>45</v>
      </c>
      <c r="B165" s="73">
        <v>17.68</v>
      </c>
      <c r="C165" s="73">
        <v>14.21</v>
      </c>
      <c r="D165" s="73">
        <v>16.32</v>
      </c>
      <c r="E165" s="73">
        <v>14.16</v>
      </c>
      <c r="F165" s="73">
        <v>16.260000000000002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138.46</v>
      </c>
      <c r="C168" s="68">
        <v>130.43</v>
      </c>
      <c r="D168" s="68">
        <v>130.43</v>
      </c>
      <c r="E168" s="68">
        <v>147.54</v>
      </c>
      <c r="F168" s="68">
        <v>152.54</v>
      </c>
      <c r="G168" s="68">
        <v>125</v>
      </c>
      <c r="H168" s="68">
        <v>126.76</v>
      </c>
      <c r="I168" s="68">
        <v>157.88999999999999</v>
      </c>
      <c r="J168" s="68">
        <v>169.81</v>
      </c>
      <c r="K168" s="68">
        <v>128.57</v>
      </c>
      <c r="L168" s="68">
        <v>134.33000000000001</v>
      </c>
      <c r="M168" s="68">
        <v>147.54</v>
      </c>
      <c r="N168" s="68">
        <v>173.08</v>
      </c>
      <c r="O168" s="68">
        <v>145.16</v>
      </c>
      <c r="P168" s="68">
        <v>138.46</v>
      </c>
      <c r="Q168" s="68">
        <v>163.63999999999999</v>
      </c>
      <c r="R168" s="68">
        <v>163.63999999999999</v>
      </c>
      <c r="S168" s="68">
        <v>134.33000000000001</v>
      </c>
      <c r="T168" s="68">
        <v>125</v>
      </c>
      <c r="U168" s="68">
        <v>145.16</v>
      </c>
      <c r="V168" s="68">
        <v>142.86000000000001</v>
      </c>
      <c r="W168" s="68">
        <v>126.76</v>
      </c>
      <c r="X168" s="68">
        <v>130.43</v>
      </c>
    </row>
    <row r="169" spans="1:72" s="93" customFormat="1" ht="14.25" thickBot="1" x14ac:dyDescent="0.3">
      <c r="A169" s="225" t="s">
        <v>17</v>
      </c>
      <c r="B169" s="274">
        <v>35.020000000000003</v>
      </c>
      <c r="C169" s="274">
        <v>32.03</v>
      </c>
      <c r="D169" s="274">
        <v>28.94</v>
      </c>
      <c r="E169" s="274">
        <v>32.49</v>
      </c>
      <c r="F169" s="274">
        <v>34.35</v>
      </c>
      <c r="G169" s="274">
        <v>29.13</v>
      </c>
      <c r="H169" s="274">
        <v>27.11</v>
      </c>
      <c r="I169" s="274">
        <v>30.82</v>
      </c>
      <c r="J169" s="274">
        <v>33.33</v>
      </c>
      <c r="K169" s="274">
        <v>24.79</v>
      </c>
      <c r="L169" s="274">
        <v>24.73</v>
      </c>
      <c r="M169" s="274">
        <v>27.86</v>
      </c>
      <c r="N169" s="274">
        <v>36.14</v>
      </c>
      <c r="O169" s="274">
        <v>32.61</v>
      </c>
      <c r="P169" s="274">
        <v>28.3</v>
      </c>
      <c r="Q169" s="274">
        <v>30.72</v>
      </c>
      <c r="R169" s="274">
        <v>32.85</v>
      </c>
      <c r="S169" s="274">
        <v>27.61</v>
      </c>
      <c r="T169" s="274">
        <v>26.09</v>
      </c>
      <c r="U169" s="274">
        <v>30.51</v>
      </c>
      <c r="V169" s="274">
        <v>31.91</v>
      </c>
      <c r="W169" s="274">
        <v>28.04</v>
      </c>
      <c r="X169" s="274">
        <v>25.28</v>
      </c>
    </row>
    <row r="170" spans="1:72" s="93" customFormat="1" ht="14.25" thickBot="1" x14ac:dyDescent="0.3">
      <c r="A170" s="224" t="s">
        <v>42</v>
      </c>
      <c r="B170" s="72">
        <v>173.48</v>
      </c>
      <c r="C170" s="72">
        <v>162.46</v>
      </c>
      <c r="D170" s="72">
        <v>159.37</v>
      </c>
      <c r="E170" s="72">
        <v>180.03</v>
      </c>
      <c r="F170" s="72">
        <v>186.89</v>
      </c>
      <c r="G170" s="72">
        <v>154.13</v>
      </c>
      <c r="H170" s="72">
        <v>153.87</v>
      </c>
      <c r="I170" s="72">
        <v>188.72</v>
      </c>
      <c r="J170" s="72">
        <v>203.14</v>
      </c>
      <c r="K170" s="72">
        <v>153.36000000000001</v>
      </c>
      <c r="L170" s="72">
        <v>159.05000000000001</v>
      </c>
      <c r="M170" s="72">
        <v>175.4</v>
      </c>
      <c r="N170" s="72">
        <v>209.22</v>
      </c>
      <c r="O170" s="72">
        <v>177.77</v>
      </c>
      <c r="P170" s="72">
        <v>166.76</v>
      </c>
      <c r="Q170" s="72">
        <v>194.35</v>
      </c>
      <c r="R170" s="72">
        <v>196.48</v>
      </c>
      <c r="S170" s="72">
        <v>161.94</v>
      </c>
      <c r="T170" s="72">
        <v>151.09</v>
      </c>
      <c r="U170" s="72">
        <v>175.67</v>
      </c>
      <c r="V170" s="72">
        <v>174.77</v>
      </c>
      <c r="W170" s="72">
        <v>154.80000000000001</v>
      </c>
      <c r="X170" s="72">
        <v>155.72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102.83</v>
      </c>
      <c r="C173" s="72">
        <v>44.74</v>
      </c>
      <c r="D173" s="72">
        <v>93.27</v>
      </c>
      <c r="E173" s="72">
        <v>140.83000000000001</v>
      </c>
      <c r="F173" s="72">
        <v>170.3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10.18</v>
      </c>
      <c r="C176" s="72">
        <v>12.18</v>
      </c>
      <c r="D176" s="72">
        <v>12.66</v>
      </c>
      <c r="E176" s="72">
        <v>10.82</v>
      </c>
      <c r="F176" s="72">
        <v>10.52</v>
      </c>
      <c r="G176" s="72">
        <v>10.46</v>
      </c>
      <c r="H176" s="72">
        <v>11.05</v>
      </c>
      <c r="I176" s="72">
        <v>10.35</v>
      </c>
      <c r="J176" s="72">
        <v>10.81</v>
      </c>
      <c r="K176" s="72">
        <v>11.34</v>
      </c>
      <c r="L176" s="72">
        <v>9.32</v>
      </c>
      <c r="M176" s="72">
        <v>9.3800000000000008</v>
      </c>
      <c r="N176" s="72">
        <v>9.4499999999999993</v>
      </c>
      <c r="O176" s="72">
        <v>10.039999999999999</v>
      </c>
      <c r="P176" s="72">
        <v>10.220000000000001</v>
      </c>
      <c r="Q176" s="72">
        <v>10.6</v>
      </c>
      <c r="R176" s="72">
        <v>11.57</v>
      </c>
      <c r="S176" s="72">
        <v>11.12</v>
      </c>
      <c r="T176" s="72">
        <v>11.23</v>
      </c>
      <c r="U176" s="72">
        <v>11.82</v>
      </c>
      <c r="V176" s="72">
        <v>11.63</v>
      </c>
      <c r="W176" s="72">
        <v>11.62</v>
      </c>
      <c r="X176" s="72">
        <v>11.26</v>
      </c>
      <c r="Y176" s="72">
        <v>11.32</v>
      </c>
      <c r="Z176" s="72">
        <v>12.06</v>
      </c>
      <c r="AA176" s="72">
        <v>12.16</v>
      </c>
      <c r="AB176" s="72">
        <v>11.86</v>
      </c>
      <c r="AC176" s="72">
        <v>12.11</v>
      </c>
      <c r="AD176" s="72">
        <v>12.7</v>
      </c>
      <c r="AE176" s="72">
        <v>14.67</v>
      </c>
      <c r="AF176" s="72">
        <v>16.11</v>
      </c>
      <c r="AG176" s="72">
        <v>14.41</v>
      </c>
      <c r="AH176" s="72">
        <v>14.15</v>
      </c>
      <c r="AI176" s="72">
        <v>12.71</v>
      </c>
      <c r="AJ176" s="72">
        <v>11.61</v>
      </c>
      <c r="AK176" s="72">
        <v>12.22</v>
      </c>
      <c r="AL176" s="72">
        <v>13.01</v>
      </c>
      <c r="AM176" s="72">
        <v>13.23</v>
      </c>
      <c r="AN176" s="72">
        <v>12.13</v>
      </c>
      <c r="AO176" s="72">
        <v>11.93</v>
      </c>
      <c r="AP176" s="72">
        <v>10.57</v>
      </c>
      <c r="AQ176" s="72">
        <v>9.81</v>
      </c>
      <c r="AR176" s="72">
        <v>8.75</v>
      </c>
      <c r="AS176" s="72">
        <v>7.78</v>
      </c>
      <c r="AT176" s="72">
        <v>8.33</v>
      </c>
      <c r="AU176" s="72">
        <v>9.0399999999999991</v>
      </c>
      <c r="AV176" s="72">
        <v>8.99</v>
      </c>
      <c r="AW176" s="72">
        <v>8.61</v>
      </c>
      <c r="AX176" s="72">
        <v>7.87</v>
      </c>
      <c r="AY176" s="72">
        <v>8.31</v>
      </c>
      <c r="AZ176" s="72">
        <v>9.93</v>
      </c>
      <c r="BA176" s="72">
        <v>10.15</v>
      </c>
      <c r="BB176" s="72">
        <v>9.9499999999999993</v>
      </c>
      <c r="BC176" s="72">
        <v>10.09</v>
      </c>
      <c r="BD176" s="72">
        <v>10.33</v>
      </c>
      <c r="BE176" s="72">
        <v>9.75</v>
      </c>
      <c r="BF176" s="72">
        <v>9.8800000000000008</v>
      </c>
      <c r="BG176" s="72">
        <v>9.74</v>
      </c>
      <c r="BH176" s="72">
        <v>9.7100000000000009</v>
      </c>
      <c r="BI176" s="72">
        <v>11.19</v>
      </c>
      <c r="BJ176" s="72">
        <v>11.21</v>
      </c>
      <c r="BK176" s="72">
        <v>11.22</v>
      </c>
      <c r="BL176" s="72">
        <v>10.64</v>
      </c>
      <c r="BM176" s="72">
        <v>10.87</v>
      </c>
      <c r="BN176" s="72">
        <v>10.95</v>
      </c>
      <c r="BO176" s="72">
        <v>11.31</v>
      </c>
      <c r="BP176" s="72">
        <v>11.06</v>
      </c>
      <c r="BQ176" s="72">
        <v>10.44</v>
      </c>
      <c r="BR176" s="72">
        <v>10.92</v>
      </c>
      <c r="BS176" s="72">
        <v>11.02</v>
      </c>
      <c r="BT176" s="72">
        <v>11.29</v>
      </c>
    </row>
  </sheetData>
  <phoneticPr fontId="3" type="noConversion"/>
  <conditionalFormatting sqref="E4">
    <cfRule type="cellIs" dxfId="6971" priority="103" operator="greaterThan">
      <formula>0.2</formula>
    </cfRule>
    <cfRule type="cellIs" dxfId="6970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6969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968" priority="97" operator="greaterThan">
      <formula>$B$19</formula>
    </cfRule>
  </conditionalFormatting>
  <conditionalFormatting sqref="D33:D34">
    <cfRule type="cellIs" dxfId="6967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6966" priority="91" operator="lessThan">
      <formula>$H$62</formula>
    </cfRule>
    <cfRule type="cellIs" dxfId="6965" priority="92" operator="greaterThan">
      <formula>$H$62</formula>
    </cfRule>
  </conditionalFormatting>
  <conditionalFormatting sqref="J62">
    <cfRule type="cellIs" dxfId="6964" priority="89" operator="lessThan">
      <formula>$K$62</formula>
    </cfRule>
    <cfRule type="cellIs" dxfId="6963" priority="90" operator="greaterThan">
      <formula>$K$62</formula>
    </cfRule>
  </conditionalFormatting>
  <conditionalFormatting sqref="M62">
    <cfRule type="cellIs" dxfId="6962" priority="87" operator="lessThan">
      <formula>$N$62</formula>
    </cfRule>
    <cfRule type="cellIs" dxfId="6961" priority="88" operator="greaterThan">
      <formula>$N$62</formula>
    </cfRule>
  </conditionalFormatting>
  <conditionalFormatting sqref="B44:E44">
    <cfRule type="cellIs" dxfId="6960" priority="85" operator="greaterThan">
      <formula>0</formula>
    </cfRule>
    <cfRule type="cellIs" dxfId="6959" priority="86" operator="lessThan">
      <formula>0</formula>
    </cfRule>
  </conditionalFormatting>
  <conditionalFormatting sqref="F72">
    <cfRule type="cellIs" dxfId="6958" priority="84" operator="lessThan">
      <formula>$E$72*90%</formula>
    </cfRule>
  </conditionalFormatting>
  <conditionalFormatting sqref="F73">
    <cfRule type="cellIs" dxfId="6957" priority="83" operator="lessThan">
      <formula>$E$73*90%</formula>
    </cfRule>
  </conditionalFormatting>
  <conditionalFormatting sqref="F74">
    <cfRule type="cellIs" dxfId="6956" priority="82" operator="lessThan">
      <formula>$E$74*90%</formula>
    </cfRule>
  </conditionalFormatting>
  <conditionalFormatting sqref="F75">
    <cfRule type="cellIs" dxfId="6955" priority="81" operator="lessThan">
      <formula>$E$75*90%</formula>
    </cfRule>
  </conditionalFormatting>
  <conditionalFormatting sqref="H44:K44">
    <cfRule type="cellIs" dxfId="6954" priority="79" operator="greaterThan">
      <formula>0</formula>
    </cfRule>
    <cfRule type="cellIs" dxfId="6953" priority="80" operator="lessThan">
      <formula>0</formula>
    </cfRule>
  </conditionalFormatting>
  <conditionalFormatting sqref="H51:K51">
    <cfRule type="cellIs" dxfId="6952" priority="77" operator="greaterThan">
      <formula>0</formula>
    </cfRule>
    <cfRule type="cellIs" dxfId="6951" priority="78" operator="lessThan">
      <formula>0</formula>
    </cfRule>
  </conditionalFormatting>
  <conditionalFormatting sqref="B51:E51">
    <cfRule type="cellIs" dxfId="6950" priority="75" operator="greaterThan">
      <formula>0</formula>
    </cfRule>
    <cfRule type="cellIs" dxfId="6949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948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947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946" priority="58" operator="lessThan">
      <formula>0</formula>
    </cfRule>
  </conditionalFormatting>
  <conditionalFormatting sqref="A25 E25 C25">
    <cfRule type="cellIs" dxfId="6945" priority="59" operator="lessThan">
      <formula>0</formula>
    </cfRule>
  </conditionalFormatting>
  <conditionalFormatting sqref="F25">
    <cfRule type="cellIs" dxfId="6944" priority="57" operator="lessThan">
      <formula>0</formula>
    </cfRule>
  </conditionalFormatting>
  <conditionalFormatting sqref="E1">
    <cfRule type="containsText" dxfId="6943" priority="56" operator="containsText" text="本季業外損益/平均=-">
      <formula>NOT(ISERROR(SEARCH("本季業外損益/平均=-",E1)))</formula>
    </cfRule>
  </conditionalFormatting>
  <conditionalFormatting sqref="M65">
    <cfRule type="cellIs" dxfId="6942" priority="55" operator="lessThan">
      <formula>$L$65*90%</formula>
    </cfRule>
  </conditionalFormatting>
  <conditionalFormatting sqref="M66">
    <cfRule type="cellIs" dxfId="6941" priority="54" operator="lessThan">
      <formula>$L$66*90%</formula>
    </cfRule>
  </conditionalFormatting>
  <conditionalFormatting sqref="M67">
    <cfRule type="cellIs" dxfId="6940" priority="53" operator="lessThan">
      <formula>$L$67*90%</formula>
    </cfRule>
  </conditionalFormatting>
  <conditionalFormatting sqref="M68">
    <cfRule type="cellIs" dxfId="6939" priority="52" operator="lessThan">
      <formula>$L$68*90%</formula>
    </cfRule>
  </conditionalFormatting>
  <conditionalFormatting sqref="B60">
    <cfRule type="cellIs" dxfId="6938" priority="51" operator="lessThan">
      <formula>0</formula>
    </cfRule>
  </conditionalFormatting>
  <conditionalFormatting sqref="B59:F59">
    <cfRule type="cellIs" dxfId="6937" priority="50" operator="lessThanOrEqual">
      <formula>0</formula>
    </cfRule>
  </conditionalFormatting>
  <conditionalFormatting sqref="D62">
    <cfRule type="cellIs" dxfId="6936" priority="48" operator="lessThan">
      <formula>$E$62</formula>
    </cfRule>
    <cfRule type="cellIs" dxfId="6935" priority="49" operator="greaterThan">
      <formula>$E$62</formula>
    </cfRule>
  </conditionalFormatting>
  <conditionalFormatting sqref="F69">
    <cfRule type="cellIs" dxfId="6934" priority="46" operator="lessThan">
      <formula>0</formula>
    </cfRule>
  </conditionalFormatting>
  <conditionalFormatting sqref="B65:E67 B69:E69 B68:D68">
    <cfRule type="cellIs" dxfId="6933" priority="47" operator="lessThan">
      <formula>0</formula>
    </cfRule>
  </conditionalFormatting>
  <conditionalFormatting sqref="E68">
    <cfRule type="cellIs" dxfId="6932" priority="45" operator="lessThan">
      <formula>0</formula>
    </cfRule>
  </conditionalFormatting>
  <conditionalFormatting sqref="F65:F68">
    <cfRule type="cellIs" dxfId="6931" priority="44" operator="lessThan">
      <formula>0</formula>
    </cfRule>
  </conditionalFormatting>
  <conditionalFormatting sqref="F65:F68">
    <cfRule type="cellIs" dxfId="6930" priority="43" operator="lessThan">
      <formula>$E$65*0.9</formula>
    </cfRule>
  </conditionalFormatting>
  <conditionalFormatting sqref="F66">
    <cfRule type="cellIs" dxfId="6929" priority="42" operator="lessThan">
      <formula>$E$66*0.9</formula>
    </cfRule>
  </conditionalFormatting>
  <conditionalFormatting sqref="F67:F68">
    <cfRule type="cellIs" dxfId="6928" priority="41" operator="lessThan">
      <formula>$E$67*0.9</formula>
    </cfRule>
  </conditionalFormatting>
  <conditionalFormatting sqref="F68">
    <cfRule type="cellIs" dxfId="6927" priority="40" operator="lessThan">
      <formula>$E$68*0.9</formula>
    </cfRule>
  </conditionalFormatting>
  <conditionalFormatting sqref="B13:F13">
    <cfRule type="cellIs" dxfId="6926" priority="29" operator="greaterThan">
      <formula>$I$16</formula>
    </cfRule>
    <cfRule type="cellIs" dxfId="6925" priority="30" operator="lessThanOrEqual">
      <formula>$I$16</formula>
    </cfRule>
  </conditionalFormatting>
  <conditionalFormatting sqref="B10:F10">
    <cfRule type="cellIs" dxfId="6924" priority="31" operator="greaterThan">
      <formula>15</formula>
    </cfRule>
    <cfRule type="cellIs" dxfId="6923" priority="38" operator="lessThan">
      <formula>$I$9</formula>
    </cfRule>
    <cfRule type="cellIs" dxfId="6922" priority="39" operator="greaterThan">
      <formula>$I$9</formula>
    </cfRule>
  </conditionalFormatting>
  <conditionalFormatting sqref="B16:F16">
    <cfRule type="cellIs" dxfId="6921" priority="36" operator="greaterThan">
      <formula>$I$16</formula>
    </cfRule>
    <cfRule type="cellIs" dxfId="6920" priority="37" operator="lessThanOrEqual">
      <formula>$I$16</formula>
    </cfRule>
  </conditionalFormatting>
  <conditionalFormatting sqref="B15:F15">
    <cfRule type="cellIs" dxfId="6919" priority="34" operator="lessThanOrEqual">
      <formula>$I$16</formula>
    </cfRule>
    <cfRule type="cellIs" dxfId="6918" priority="35" operator="greaterThan">
      <formula>$I$16</formula>
    </cfRule>
  </conditionalFormatting>
  <conditionalFormatting sqref="B14:F14">
    <cfRule type="cellIs" dxfId="6917" priority="32" operator="greaterThan">
      <formula>$I$16</formula>
    </cfRule>
    <cfRule type="cellIs" dxfId="6916" priority="33" operator="lessThanOrEqual">
      <formula>$I$16</formula>
    </cfRule>
  </conditionalFormatting>
  <conditionalFormatting sqref="K6">
    <cfRule type="containsText" dxfId="6915" priority="27" operator="containsText" text="衰退">
      <formula>NOT(ISERROR(SEARCH("衰退",K6)))</formula>
    </cfRule>
    <cfRule type="containsText" dxfId="6914" priority="28" operator="containsText" text="成長">
      <formula>NOT(ISERROR(SEARCH("成長",K6)))</formula>
    </cfRule>
  </conditionalFormatting>
  <conditionalFormatting sqref="I4:K4">
    <cfRule type="cellIs" dxfId="6913" priority="25" operator="lessThan">
      <formula>0</formula>
    </cfRule>
    <cfRule type="cellIs" dxfId="6912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911" priority="22" operator="lessThanOrEqual">
      <formula>$I$16</formula>
    </cfRule>
    <cfRule type="cellIs" dxfId="6910" priority="23" operator="greaterThan">
      <formula>$I$16</formula>
    </cfRule>
  </conditionalFormatting>
  <conditionalFormatting sqref="I6">
    <cfRule type="containsText" dxfId="6909" priority="20" operator="containsText" text="衰退">
      <formula>NOT(ISERROR(SEARCH("衰退",I6)))</formula>
    </cfRule>
    <cfRule type="containsText" dxfId="6908" priority="21" operator="containsText" text="成長">
      <formula>NOT(ISERROR(SEARCH("成長",I6)))</formula>
    </cfRule>
  </conditionalFormatting>
  <conditionalFormatting sqref="M9">
    <cfRule type="cellIs" dxfId="6907" priority="19" operator="lessThan">
      <formula>$I$9</formula>
    </cfRule>
  </conditionalFormatting>
  <conditionalFormatting sqref="M10">
    <cfRule type="cellIs" dxfId="6906" priority="18" operator="greaterThan">
      <formula>$I$9</formula>
    </cfRule>
  </conditionalFormatting>
  <conditionalFormatting sqref="M11">
    <cfRule type="cellIs" dxfId="6905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904" priority="14" operator="lessThan">
      <formula>0</formula>
    </cfRule>
    <cfRule type="cellIs" dxfId="6903" priority="15" operator="greaterThan">
      <formula>0.5</formula>
    </cfRule>
  </conditionalFormatting>
  <conditionalFormatting sqref="N14">
    <cfRule type="cellIs" dxfId="6902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901" priority="10" operator="lessThan">
      <formula>0.1</formula>
    </cfRule>
  </conditionalFormatting>
  <conditionalFormatting sqref="I14">
    <cfRule type="cellIs" dxfId="6900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899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898" priority="1" operator="lessThan">
      <formula>$N$5*0.9</formula>
    </cfRule>
    <cfRule type="cellIs" dxfId="6897" priority="2" operator="greaterThan">
      <formula>$N$5*1.1</formula>
    </cfRule>
  </conditionalFormatting>
  <hyperlinks>
    <hyperlink ref="L1" location="儀表板!A1" display="(回首頁)" xr:uid="{00000000-0004-0000-0B00-000000000000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2.98 ~ 8.65</v>
      </c>
      <c r="L1" s="83" t="s">
        <v>176</v>
      </c>
      <c r="M1" s="84" t="str">
        <f ca="1">VLOOKUP(_xlfn.NUMBERVALUE(N1),儀表板!A:B,2,FALSE)</f>
        <v>南僑投控</v>
      </c>
      <c r="N1" s="85" t="str">
        <f ca="1">MID(CELL("filename",L1),FIND("]",CELL("filename",L1))+1,255)</f>
        <v>1702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0.35622176650112547</v>
      </c>
    </row>
    <row r="3" spans="1:15" s="93" customFormat="1" x14ac:dyDescent="0.25">
      <c r="A3" s="81" t="s">
        <v>179</v>
      </c>
      <c r="B3" s="94">
        <f>SUM(F19:F22,F24:F27,J19)</f>
        <v>68.041894659239304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62.097281641499009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64.992793935416614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67.950799300425956</v>
      </c>
      <c r="L3" s="100"/>
      <c r="M3" s="79" t="s">
        <v>385</v>
      </c>
      <c r="N3" s="92">
        <f>(F69-E69)/E69</f>
        <v>-0.10288171190744029</v>
      </c>
    </row>
    <row r="4" spans="1:15" s="93" customFormat="1" x14ac:dyDescent="0.25">
      <c r="A4" s="81" t="s">
        <v>182</v>
      </c>
      <c r="B4" s="96">
        <f>SUM(G36:G40)*2</f>
        <v>90</v>
      </c>
      <c r="C4" s="101"/>
      <c r="D4" s="102">
        <f>F4*(1+F141/10)</f>
        <v>29.4</v>
      </c>
      <c r="E4" s="82">
        <f>(D4-F4)/F4</f>
        <v>0</v>
      </c>
      <c r="F4" s="103">
        <v>29.4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4.3510236972489142</v>
      </c>
    </row>
    <row r="5" spans="1:15" s="93" customFormat="1" x14ac:dyDescent="0.25">
      <c r="A5" s="81" t="s">
        <v>184</v>
      </c>
      <c r="B5" s="107">
        <f>SUM(F30:F34)*2</f>
        <v>91.529602888086629</v>
      </c>
      <c r="C5" s="87"/>
      <c r="D5" s="87"/>
      <c r="E5" s="87"/>
      <c r="F5" s="86"/>
      <c r="G5" s="88"/>
      <c r="M5" s="79" t="s">
        <v>386</v>
      </c>
      <c r="N5" s="152">
        <f>D62</f>
        <v>4.12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連2月成長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4.463883570329882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23.05</v>
      </c>
      <c r="N9" s="129"/>
    </row>
    <row r="10" spans="1:15" s="93" customFormat="1" x14ac:dyDescent="0.25">
      <c r="A10" s="123" t="s">
        <v>194</v>
      </c>
      <c r="B10" s="126">
        <f>PERCENTILE(176:176,B9)</f>
        <v>14.17</v>
      </c>
      <c r="C10" s="126">
        <f>PERCENTILE(176:176,C9)</f>
        <v>14.904999999999999</v>
      </c>
      <c r="D10" s="126">
        <f>PERCENTILE(176:176,D9)</f>
        <v>15.6</v>
      </c>
      <c r="E10" s="126">
        <f>PERCENTILE(176:176,E9)</f>
        <v>16.309999999999999</v>
      </c>
      <c r="F10" s="126">
        <f>PERCENTILE(176:176,F9)</f>
        <v>17.05</v>
      </c>
      <c r="G10" s="95"/>
      <c r="H10" s="135"/>
      <c r="I10" s="135"/>
      <c r="J10" s="135"/>
      <c r="K10" s="135"/>
      <c r="L10" s="136" t="s">
        <v>374</v>
      </c>
      <c r="M10" s="130">
        <f>MIN(176:176)</f>
        <v>12.37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21.76</v>
      </c>
      <c r="L11" s="272" t="s">
        <v>193</v>
      </c>
      <c r="M11" s="128">
        <f>STDEV(176:176)</f>
        <v>2.5484628104363258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33.263305322128858</v>
      </c>
      <c r="C13" s="141">
        <f>$B$34/5.88%</f>
        <v>40.391156462585037</v>
      </c>
      <c r="D13" s="141">
        <f>$B$34/5%</f>
        <v>47.5</v>
      </c>
      <c r="E13" s="141">
        <f>$B$34/4.35%</f>
        <v>54.597701149425291</v>
      </c>
      <c r="F13" s="141">
        <f>$B$34/3.85%</f>
        <v>61.688311688311693</v>
      </c>
      <c r="G13" s="138" t="str">
        <f>"$"&amp;ROUND(B34,2)&amp;"/"&amp;IF(STDEV(C140:F140)/AVERAGE(C140:F140)&lt;15%,"高",IF(STDEV(C140:F140)/AVERAGE(C140:F140)&lt;30%,"中","低"))</f>
        <v>$2.38/中</v>
      </c>
      <c r="H13" s="142" t="s">
        <v>199</v>
      </c>
      <c r="I13" s="143">
        <f>MAX(0,1-J15)</f>
        <v>0.42268041237113396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58.876349999999988</v>
      </c>
      <c r="C14" s="141">
        <f>$B$33*C10</f>
        <v>61.930274999999988</v>
      </c>
      <c r="D14" s="141">
        <f>$B$33*D10</f>
        <v>64.817999999999984</v>
      </c>
      <c r="E14" s="141">
        <f>$B$33*E10</f>
        <v>67.768049999999988</v>
      </c>
      <c r="F14" s="141">
        <f>$B$33*F10</f>
        <v>70.842749999999995</v>
      </c>
      <c r="G14" s="138" t="str">
        <f>"$"&amp;ROUND(B33,2)&amp;"/"&amp;IF(STDEV(B69:E69)/AVERAGE(B69:E69)&lt;15%,"高",IF(STDEV(B69:E69)/AVERAGE(B69:E69)&lt;30%,"中","低"))</f>
        <v>$4.16/中</v>
      </c>
      <c r="H14" s="142" t="s">
        <v>203</v>
      </c>
      <c r="I14" s="145">
        <f>G62/100*I13</f>
        <v>7.6674226804123696E-2</v>
      </c>
      <c r="J14" s="76" t="s">
        <v>204</v>
      </c>
      <c r="K14" s="146"/>
      <c r="L14" s="147">
        <f>(HLOOKUP($C$1,$105:$106,2,FALSE)-HLOOKUP($C$1,$117:$127,9,FALSE))/(HLOOKUP($C$1,$117:$128,12,FALSE)/K11)</f>
        <v>-11.185320973681009</v>
      </c>
      <c r="M14" s="148">
        <f>E135/E69</f>
        <v>0.91752577319587636</v>
      </c>
      <c r="N14" s="149">
        <f>F173/100</f>
        <v>1.3653999999999999</v>
      </c>
    </row>
    <row r="15" spans="1:15" s="93" customFormat="1" x14ac:dyDescent="0.25">
      <c r="A15" s="140" t="s">
        <v>375</v>
      </c>
      <c r="B15" s="141">
        <f>$D$62*B10</f>
        <v>58.380400000000002</v>
      </c>
      <c r="C15" s="141">
        <f>$D$62*C10</f>
        <v>61.4086</v>
      </c>
      <c r="D15" s="141">
        <f>$D$62*D10</f>
        <v>64.272000000000006</v>
      </c>
      <c r="E15" s="141">
        <f>$D$62*E10</f>
        <v>67.197199999999995</v>
      </c>
      <c r="F15" s="141">
        <f>$D$62*F10</f>
        <v>70.246000000000009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0.57731958762886604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61.654005790017116</v>
      </c>
      <c r="C16" s="141">
        <f>$F$69*C10</f>
        <v>64.852008207495061</v>
      </c>
      <c r="D16" s="141">
        <f>$F$69*D10</f>
        <v>67.875969677083063</v>
      </c>
      <c r="E16" s="141">
        <f>$F$69*E10</f>
        <v>70.965196502129785</v>
      </c>
      <c r="F16" s="141">
        <f>$F$69*F10</f>
        <v>74.184954038093991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302</v>
      </c>
      <c r="J17" s="92">
        <f ca="1">IF(I17&lt;=0,"",IF(I17&lt;=MIN($B$13:$F$16),(I17-MIN($B$13:$F$16))/MIN($B$13:$F$16),IF(I17&gt;=MAX($B$13:$F$16),I17/MAX($B$13:$F$16),PERCENTRANK($B$13:$F$16,I17))))</f>
        <v>4.0709063436896233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0.24750000000000005</v>
      </c>
      <c r="C19" s="157" t="s">
        <v>211</v>
      </c>
      <c r="D19" s="158">
        <f>COUNTIF(C135:F135,"&gt;0")/COUNT(C135:F135)</f>
        <v>0.5</v>
      </c>
      <c r="E19" s="140" t="s">
        <v>212</v>
      </c>
      <c r="F19" s="159">
        <f>IF(B19&gt;0,2,0)+D19*8</f>
        <v>6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10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0.10421052631578949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4</v>
      </c>
      <c r="G20" s="88" t="s">
        <v>213</v>
      </c>
      <c r="H20" s="123" t="s">
        <v>219</v>
      </c>
      <c r="I20" s="237">
        <f>HLOOKUP($C$1,$117:$127,11,FALSE)*(1-N22)/HLOOKUP($C$1,$105:$115,11,FALSE)</f>
        <v>0.70397962720778662</v>
      </c>
      <c r="J20" s="171">
        <f>HLOOKUP($C$1,$117:$127,11,FALSE)/HLOOKUP($C$1,$105:$115,11,FALSE)</f>
        <v>0.75493620861578004</v>
      </c>
      <c r="K20" s="163"/>
    </row>
    <row r="21" spans="1:14" s="93" customFormat="1" x14ac:dyDescent="0.25">
      <c r="A21" s="151" t="s">
        <v>201</v>
      </c>
      <c r="B21" s="161">
        <f>AVERAGE(C173:F173)/100</f>
        <v>1.7906500000000001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1.102171057088857</v>
      </c>
      <c r="J21" s="78"/>
      <c r="K21" s="164" t="s">
        <v>356</v>
      </c>
      <c r="L21" s="165">
        <f>HLOOKUP($C$1,$105:$115,7,FALSE)/HLOOKUP($C$1,$105:$115,11,FALSE)</f>
        <v>0.44968070379561992</v>
      </c>
      <c r="M21" s="123" t="s">
        <v>268</v>
      </c>
      <c r="N21" s="165">
        <f>HLOOKUP($C$1,$117:$127,8,FALSE)/HLOOKUP($C$1,$117:$127,11,FALSE)</f>
        <v>0.54043689977655873</v>
      </c>
    </row>
    <row r="22" spans="1:14" s="93" customFormat="1" x14ac:dyDescent="0.25">
      <c r="A22" s="140" t="s">
        <v>222</v>
      </c>
      <c r="B22" s="161">
        <f>(-1)*SUM(C133:F133)/SUM(C132:F132)</f>
        <v>0.96843475431174753</v>
      </c>
      <c r="C22" s="157"/>
      <c r="D22" s="166"/>
      <c r="E22" s="140"/>
      <c r="F22" s="159">
        <f>IF(B22&lt;=0,10,IF(B22&gt;=100%,0,(1-B22)*10))</f>
        <v>0.31565245688252475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0.88907264747080461</v>
      </c>
      <c r="J22" s="78"/>
      <c r="K22" s="142" t="s">
        <v>357</v>
      </c>
      <c r="L22" s="165">
        <f>HLOOKUP($C$1,$105:$115,4,FALSE)/HLOOKUP($C$1,$105:$115,11,FALSE)</f>
        <v>9.780340969030267E-2</v>
      </c>
      <c r="M22" s="123" t="s">
        <v>353</v>
      </c>
      <c r="N22" s="165">
        <f>HLOOKUP($C$1,$117:$127,4,FALSE)/HLOOKUP($C$1,$117:$127,11,FALSE)</f>
        <v>6.7497863828024987E-2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4.0805701827740171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8.6943167486067938E-2</v>
      </c>
      <c r="M23" s="123" t="s">
        <v>354</v>
      </c>
      <c r="N23" s="165">
        <f>IF(HLOOKUP($C$1,$117:$127,5,FALSE)="無",0,HLOOKUP($C$1,$117:$127,5,FALSE))/HLOOKUP($C$1,$117:$127,11,FALSE)</f>
        <v>1.8277948380273003E-2</v>
      </c>
    </row>
    <row r="24" spans="1:14" s="93" customFormat="1" x14ac:dyDescent="0.25">
      <c r="A24" s="164" t="s">
        <v>228</v>
      </c>
      <c r="B24" s="127">
        <f>AVERAGE(C103:F103)</f>
        <v>0.9691308527402146</v>
      </c>
      <c r="C24" s="169">
        <f>STDEV(C103:F103)</f>
        <v>4.1246565562161601E-2</v>
      </c>
      <c r="D24" s="76" t="str">
        <f>IF(C24/B24&lt;15%,"高",IF(C24/B24&lt;30%,"中","低"))</f>
        <v>高</v>
      </c>
      <c r="E24" s="149"/>
      <c r="F24" s="160">
        <f>MIN(100%,B24)*5</f>
        <v>4.8456542637010731</v>
      </c>
      <c r="G24" s="88" t="s">
        <v>229</v>
      </c>
      <c r="H24" s="123" t="s">
        <v>16</v>
      </c>
      <c r="I24" s="170">
        <f>HLOOKUP(C1,167:170,2,FALSE)</f>
        <v>38.96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2.9118857037917618E-2</v>
      </c>
      <c r="M24" s="123" t="s">
        <v>355</v>
      </c>
      <c r="N24" s="165">
        <f>HLOOKUP($C$1,$117:$127,9,FALSE)/HLOOKUP($C$1,$117:$127,11,FALSE)</f>
        <v>0.45956310022344132</v>
      </c>
    </row>
    <row r="25" spans="1:14" s="93" customFormat="1" x14ac:dyDescent="0.25">
      <c r="A25" s="151" t="s">
        <v>366</v>
      </c>
      <c r="B25" s="255">
        <f>AVERAGE(94:94)</f>
        <v>-21086.217391304348</v>
      </c>
      <c r="C25" s="254">
        <f>STDEV(94:94)/AVERAGE(94:94)</f>
        <v>-2.1194120613442959</v>
      </c>
      <c r="D25" s="76" t="str">
        <f>IF(C25&lt;=1,"高",IF(C25&lt;=2,"中","低"))</f>
        <v>高</v>
      </c>
      <c r="E25" s="149"/>
      <c r="F25" s="160">
        <f>MAX(0,10-ABS(C25))</f>
        <v>7.8805879386557045</v>
      </c>
      <c r="G25" s="88" t="s">
        <v>213</v>
      </c>
      <c r="H25" s="123" t="s">
        <v>232</v>
      </c>
      <c r="I25" s="170">
        <f>IF(HLOOKUP(C1,167:170,3,FALSE)="無",0,HLOOKUP(C1,167:170,3,FALSE))</f>
        <v>57.69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43.710869565217401</v>
      </c>
      <c r="C26" s="172">
        <f>IF(COUNTIF(168:168,"&gt;0")=0,0,STDEV(168:168))</f>
        <v>6.0032429970985568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62.0017391304348</v>
      </c>
      <c r="C27" s="172">
        <f>IF(COUNTIF(169:169,"&gt;0")=0,0,STDEV(169:169))</f>
        <v>4.4531803264366987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0.34819999999999995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7.0499999999999993E-2</v>
      </c>
      <c r="C31" s="157" t="s">
        <v>217</v>
      </c>
      <c r="D31" s="174">
        <f>COUNTIF(149:149,"&gt;8")/COUNT(149:149)</f>
        <v>0.13043478260869565</v>
      </c>
      <c r="E31" s="140" t="s">
        <v>241</v>
      </c>
      <c r="F31" s="159">
        <f>MIN(B31/10%*10,10)</f>
        <v>7.0499999999999989</v>
      </c>
      <c r="G31" s="175"/>
    </row>
    <row r="32" spans="1:14" x14ac:dyDescent="0.25">
      <c r="A32" s="155" t="s">
        <v>47</v>
      </c>
      <c r="B32" s="177">
        <f>AVERAGE(C165:F165)</f>
        <v>20.794999999999998</v>
      </c>
      <c r="C32" s="157" t="s">
        <v>217</v>
      </c>
      <c r="D32" s="174">
        <f>COUNTIF(159:159,"&gt;3")/COUNT(159:159)</f>
        <v>0.91304347826086951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4.1549999999999994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2.375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8.7148014440433208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15009304.5</v>
      </c>
      <c r="C36" s="178">
        <f>STDEV(C97:F97)</f>
        <v>1214394.422020704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34.819999999999993</v>
      </c>
      <c r="C37" s="180">
        <f>STDEV(C152:F152)</f>
        <v>2.5577464039006435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11.502500000000001</v>
      </c>
      <c r="C38" s="180">
        <f>STDEV(C153:F153)</f>
        <v>1.1851125122395203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20.794999999999998</v>
      </c>
      <c r="C39" s="181">
        <f>STDEV(C165:F165)</f>
        <v>0.40319556875871804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4.1549999999999994</v>
      </c>
      <c r="C40" s="183">
        <f>STDEV(B69:E69)</f>
        <v>0.63542636604619596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-0.1393442622950819</v>
      </c>
      <c r="C44" s="186">
        <f>(C46-C49)/C49</f>
        <v>-0.18840579710144914</v>
      </c>
      <c r="D44" s="186">
        <f>(D46-D49)/D49</f>
        <v>-0.25862068965517238</v>
      </c>
      <c r="E44" s="186">
        <f>(E46-E49)/E49</f>
        <v>-7.6271186440677846E-2</v>
      </c>
      <c r="G44" s="86" t="s">
        <v>175</v>
      </c>
      <c r="H44" s="186">
        <f>(H47-H50)/H50</f>
        <v>-0.37749401436552271</v>
      </c>
      <c r="I44" s="186">
        <f>(I47-I50)/I50</f>
        <v>-0.35416666666666663</v>
      </c>
      <c r="J44" s="186">
        <f>(J47-J50)/J50</f>
        <v>-0.31157024793388427</v>
      </c>
      <c r="K44" s="186">
        <f>(K47-K50)/K50</f>
        <v>-0.18314176245210731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1.05</v>
      </c>
      <c r="C46" s="152">
        <f>HLOOKUP(C45,$81:$82,2,FALSE)</f>
        <v>1.1200000000000001</v>
      </c>
      <c r="D46" s="152">
        <f>HLOOKUP(D45,$81:$82,2,FALSE)</f>
        <v>0.86</v>
      </c>
      <c r="E46" s="152">
        <f>HLOOKUP(E45,$81:$82,2,FALSE)</f>
        <v>1.0900000000000001</v>
      </c>
      <c r="G46" s="86" t="s">
        <v>164</v>
      </c>
      <c r="H46" s="145">
        <f>HLOOKUP(H45,$145:$147,2,FALSE)/100</f>
        <v>0.3422</v>
      </c>
      <c r="I46" s="145">
        <f>HLOOKUP(I45,$145:$147,2,FALSE)/100</f>
        <v>0.33750000000000002</v>
      </c>
      <c r="J46" s="145">
        <f>HLOOKUP(J45,$145:$147,2,FALSE)/100</f>
        <v>0.33179999999999998</v>
      </c>
      <c r="K46" s="145">
        <f>HLOOKUP(K45,$145:$147,2,FALSE)/100</f>
        <v>0.39219999999999999</v>
      </c>
    </row>
    <row r="47" spans="1:14" x14ac:dyDescent="0.25">
      <c r="A47" s="188" t="s">
        <v>165</v>
      </c>
      <c r="B47" s="189">
        <f>HLOOKUP(B45,$157:$159,3,FALSE)</f>
        <v>5.01</v>
      </c>
      <c r="C47" s="189">
        <f>HLOOKUP(C45,$157:$159,3,FALSE)</f>
        <v>5.36</v>
      </c>
      <c r="D47" s="189">
        <f>HLOOKUP(D45,$157:$159,3,FALSE)</f>
        <v>3.79</v>
      </c>
      <c r="E47" s="189">
        <f>HLOOKUP(E45,$157:$159,3,FALSE)</f>
        <v>3.98</v>
      </c>
      <c r="G47" s="190" t="s">
        <v>166</v>
      </c>
      <c r="H47" s="145">
        <f>HLOOKUP(H45,$145:$147,3,FALSE)/100</f>
        <v>7.8E-2</v>
      </c>
      <c r="I47" s="145">
        <f>HLOOKUP(I45,$145:$147,3,FALSE)/100</f>
        <v>9.3000000000000013E-2</v>
      </c>
      <c r="J47" s="145">
        <f>HLOOKUP(J45,$145:$147,3,FALSE)/100</f>
        <v>8.3299999999999999E-2</v>
      </c>
      <c r="K47" s="145">
        <f>HLOOKUP(K45,$145:$147,3,FALSE)/100</f>
        <v>0.1066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1.22</v>
      </c>
      <c r="C49" s="152">
        <f>HLOOKUP(C48,$81:$82,2,FALSE)</f>
        <v>1.38</v>
      </c>
      <c r="D49" s="152">
        <f>HLOOKUP(D48,$81:$82,2,FALSE)</f>
        <v>1.1599999999999999</v>
      </c>
      <c r="E49" s="152">
        <f>HLOOKUP(E48,$81:$82,2,FALSE)</f>
        <v>1.18</v>
      </c>
      <c r="G49" s="86" t="s">
        <v>164</v>
      </c>
      <c r="H49" s="145">
        <f>HLOOKUP(H48,$145:$147,2,FALSE)/100</f>
        <v>0.3589</v>
      </c>
      <c r="I49" s="145">
        <f>HLOOKUP(I48,$145:$147,2,FALSE)/100</f>
        <v>0.3836</v>
      </c>
      <c r="J49" s="145">
        <f>HLOOKUP(J48,$145:$147,2,FALSE)/100</f>
        <v>0.37079999999999996</v>
      </c>
      <c r="K49" s="145">
        <f>HLOOKUP(K48,$145:$147,2,FALSE)/100</f>
        <v>0.37369999999999998</v>
      </c>
    </row>
    <row r="50" spans="1:15" x14ac:dyDescent="0.25">
      <c r="A50" s="188" t="s">
        <v>165</v>
      </c>
      <c r="B50" s="189">
        <f>HLOOKUP(B48,$157:$159,3,FALSE)</f>
        <v>5.64</v>
      </c>
      <c r="C50" s="189">
        <f>HLOOKUP(C48,$157:$159,3,FALSE)</f>
        <v>6.24</v>
      </c>
      <c r="D50" s="189">
        <f>HLOOKUP(D48,$157:$159,3,FALSE)</f>
        <v>4.8099999999999996</v>
      </c>
      <c r="E50" s="189">
        <f>HLOOKUP(E48,$157:$159,3,FALSE)</f>
        <v>5.46</v>
      </c>
      <c r="G50" s="190" t="s">
        <v>166</v>
      </c>
      <c r="H50" s="145">
        <f>HLOOKUP(H48,$145:$147,3,FALSE)/100</f>
        <v>0.12529999999999999</v>
      </c>
      <c r="I50" s="145">
        <f>HLOOKUP(I48,$145:$147,3,FALSE)/100</f>
        <v>0.14400000000000002</v>
      </c>
      <c r="J50" s="145">
        <f>HLOOKUP(J48,$145:$147,3,FALSE)/100</f>
        <v>0.121</v>
      </c>
      <c r="K50" s="145">
        <f>HLOOKUP(K48,$145:$147,3,FALSE)/100</f>
        <v>0.1305</v>
      </c>
    </row>
    <row r="51" spans="1:15" x14ac:dyDescent="0.25">
      <c r="A51" s="86" t="s">
        <v>351</v>
      </c>
      <c r="B51" s="186">
        <f>(B47-B50)/B50</f>
        <v>-0.11170212765957445</v>
      </c>
      <c r="C51" s="186">
        <f>(C47-C50)/C50</f>
        <v>-0.141025641025641</v>
      </c>
      <c r="D51" s="186">
        <f>(D47-D50)/D50</f>
        <v>-0.21205821205821199</v>
      </c>
      <c r="E51" s="186">
        <f>(E47-E50)/E50</f>
        <v>-0.27106227106227104</v>
      </c>
      <c r="G51" s="235" t="s">
        <v>174</v>
      </c>
      <c r="H51" s="186">
        <f>(H46-H49)/H49</f>
        <v>-4.653106714962383E-2</v>
      </c>
      <c r="I51" s="186">
        <f>(I46-I49)/I49</f>
        <v>-0.1201772679874869</v>
      </c>
      <c r="J51" s="186">
        <f>(J46-J49)/J49</f>
        <v>-0.10517799352750805</v>
      </c>
      <c r="K51" s="186">
        <f>(K46-K49)/K49</f>
        <v>4.9504950495049549E-2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4.463883570329882</v>
      </c>
      <c r="B53" s="193">
        <f>B46</f>
        <v>1.05</v>
      </c>
      <c r="C53" s="193">
        <f>E46/HLOOKUP(E45,$87:$94,5,FALSE)*HLOOKUP(E45,$87:$94,4,FALSE)*($B$25/HLOOKUP(E45,$87:$94,4,FALSE)+SUM($B$57:$D$57)/SUM($B58:$D$58)*$G$69/100/K46)</f>
        <v>1.321023697248914</v>
      </c>
      <c r="D53" s="193">
        <f>D46/HLOOKUP(D45,$87:$94,5,FALSE)*HLOOKUP(D45,$87:$94,4,FALSE)*($B$25/HLOOKUP(D45,$87:$94,4,FALSE)+SUM($B$57:$D$57)/SUM($B58:$D$58)*$G$69/100/J46)</f>
        <v>0.93143806011962549</v>
      </c>
      <c r="E53" s="193">
        <f>C46/HLOOKUP(C45,$87:$94,5,FALSE)*HLOOKUP(C45,$87:$94,4,FALSE)*($B$25/HLOOKUP(C45,$87:$94,4,FALSE)+SUM($B$57:$D$57)/SUM($B58:$D$58)*$G$69/100/I46)</f>
        <v>1.1614218129613429</v>
      </c>
    </row>
    <row r="54" spans="1:15" x14ac:dyDescent="0.25">
      <c r="A54" s="278">
        <f>SUM(B54:E54)</f>
        <v>4.29</v>
      </c>
      <c r="B54" s="277">
        <f t="shared" ref="B54:D54" si="0">HLOOKUP(B52-10,81:82,2,FALSE)</f>
        <v>1.22</v>
      </c>
      <c r="C54" s="277">
        <f t="shared" si="0"/>
        <v>1.0900000000000001</v>
      </c>
      <c r="D54" s="277">
        <f t="shared" si="0"/>
        <v>0.86</v>
      </c>
      <c r="E54" s="277">
        <f>HLOOKUP(E52-10,81:82,2,FALSE)</f>
        <v>1.1200000000000001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1482167</v>
      </c>
      <c r="C57" s="196">
        <f>HLOOKUP(C56,78:79,2,FALSE)</f>
        <v>1744264</v>
      </c>
      <c r="D57" s="196">
        <f>HLOOKUP(D56,78:79,2,FALSE)</f>
        <v>1421808</v>
      </c>
      <c r="E57" s="196">
        <f>HLOOKUP(E56,78:79,2,FALSE)</f>
        <v>1337197</v>
      </c>
      <c r="F57" s="196">
        <f>HLOOKUP(F56,78:79,2,FALSE)</f>
        <v>1502484</v>
      </c>
      <c r="G57" s="196">
        <f t="shared" ref="G57:M57" si="2">HLOOKUP(G56,78:79,2,FALSE)</f>
        <v>1383166</v>
      </c>
      <c r="H57" s="196">
        <f t="shared" si="2"/>
        <v>1347081</v>
      </c>
      <c r="I57" s="196">
        <f t="shared" si="2"/>
        <v>1287519</v>
      </c>
      <c r="J57" s="196">
        <f t="shared" si="2"/>
        <v>1042242</v>
      </c>
      <c r="K57" s="196">
        <f t="shared" si="2"/>
        <v>1456926</v>
      </c>
      <c r="L57" s="196">
        <f t="shared" si="2"/>
        <v>1583771</v>
      </c>
      <c r="M57" s="196">
        <f t="shared" si="2"/>
        <v>1376667</v>
      </c>
      <c r="N57" s="197"/>
    </row>
    <row r="58" spans="1:15" x14ac:dyDescent="0.25">
      <c r="A58" s="198" t="s">
        <v>253</v>
      </c>
      <c r="B58" s="196">
        <f>HLOOKUP(B56-100,78:79,2,FALSE)</f>
        <v>1312066</v>
      </c>
      <c r="C58" s="196">
        <f>HLOOKUP(C56-100,78:79,2,FALSE)</f>
        <v>1388798</v>
      </c>
      <c r="D58" s="196">
        <f>HLOOKUP(D56-100,78:79,2,FALSE)</f>
        <v>1441299</v>
      </c>
      <c r="E58" s="196">
        <f>HLOOKUP(E56-100,78:79,2,FALSE)</f>
        <v>1316773</v>
      </c>
      <c r="F58" s="196">
        <f>HLOOKUP(F56-100,78:79,2,FALSE)</f>
        <v>1435185</v>
      </c>
      <c r="G58" s="196">
        <f t="shared" ref="G58:M58" si="3">HLOOKUP(G56-100,78:79,2,FALSE)</f>
        <v>1387065</v>
      </c>
      <c r="H58" s="196">
        <f t="shared" si="3"/>
        <v>1321812</v>
      </c>
      <c r="I58" s="196">
        <f t="shared" si="3"/>
        <v>1282002</v>
      </c>
      <c r="J58" s="196">
        <f t="shared" si="3"/>
        <v>995051</v>
      </c>
      <c r="K58" s="196">
        <f t="shared" si="3"/>
        <v>1437843</v>
      </c>
      <c r="L58" s="196">
        <f t="shared" si="3"/>
        <v>1463182</v>
      </c>
      <c r="M58" s="196">
        <f t="shared" si="3"/>
        <v>1275104</v>
      </c>
      <c r="N58" s="197"/>
    </row>
    <row r="59" spans="1:15" x14ac:dyDescent="0.25">
      <c r="A59" s="199" t="s">
        <v>254</v>
      </c>
      <c r="B59" s="165">
        <f>IF(B57&lt;&gt;"",(B57-B58)/B58,"")</f>
        <v>0.12964363073199062</v>
      </c>
      <c r="C59" s="165">
        <f>IF(C57&lt;&gt;"",(C57-C58)/C58,"")</f>
        <v>0.25595226951651717</v>
      </c>
      <c r="D59" s="165">
        <f>IF(D57&lt;&gt;"",(D57-D58)/D58,"")</f>
        <v>-1.352321759745896E-2</v>
      </c>
      <c r="E59" s="165">
        <f>IF(E57&lt;&gt;"",(E57-E58)/E58,"")</f>
        <v>1.551064610225149E-2</v>
      </c>
      <c r="F59" s="165">
        <f>IF(F57&lt;&gt;"",(F57-F58)/F58,"")</f>
        <v>4.6892212502220969E-2</v>
      </c>
      <c r="G59" s="165">
        <f t="shared" ref="G59:M59" si="4">IF(G57&lt;&gt;"",(G57-G58)/G58,"")</f>
        <v>-2.810971367599932E-3</v>
      </c>
      <c r="H59" s="165">
        <f t="shared" si="4"/>
        <v>1.9116939473994787E-2</v>
      </c>
      <c r="I59" s="165">
        <f t="shared" si="4"/>
        <v>4.3034254236732862E-3</v>
      </c>
      <c r="J59" s="165">
        <f t="shared" si="4"/>
        <v>4.7425709837988203E-2</v>
      </c>
      <c r="K59" s="165">
        <f t="shared" si="4"/>
        <v>1.3271963628852385E-2</v>
      </c>
      <c r="L59" s="165">
        <f t="shared" si="4"/>
        <v>8.2415584664108768E-2</v>
      </c>
      <c r="M59" s="165">
        <f t="shared" si="4"/>
        <v>7.9650757898963531E-2</v>
      </c>
    </row>
    <row r="60" spans="1:15" x14ac:dyDescent="0.25">
      <c r="A60" s="195" t="s">
        <v>255</v>
      </c>
      <c r="B60" s="196">
        <f>SUM(B57:M57)</f>
        <v>16965292</v>
      </c>
    </row>
    <row r="61" spans="1:15" x14ac:dyDescent="0.25">
      <c r="A61" s="198" t="s">
        <v>256</v>
      </c>
      <c r="B61" s="196">
        <f>SUM(B58:M58)</f>
        <v>16056180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1.0566206906001303</v>
      </c>
      <c r="D62" s="152">
        <f>SUM(B46:E46)</f>
        <v>4.12</v>
      </c>
      <c r="E62" s="152">
        <f>SUM(B49:E49)</f>
        <v>4.9399999999999995</v>
      </c>
      <c r="G62" s="126">
        <f>SUM(B47:E47)</f>
        <v>18.14</v>
      </c>
      <c r="H62" s="126">
        <f>SUM(B50:E50)</f>
        <v>22.15</v>
      </c>
      <c r="J62" s="200">
        <f>AVERAGE(H46:K46)</f>
        <v>0.35092499999999993</v>
      </c>
      <c r="K62" s="200">
        <f>AVERAGE(H49:K49)</f>
        <v>0.37174999999999997</v>
      </c>
      <c r="M62" s="200">
        <f>AVERAGE(H47:K47)</f>
        <v>9.0225E-2</v>
      </c>
      <c r="N62" s="200">
        <f>AVERAGE(H50:K50)</f>
        <v>0.13019999999999998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0.6</v>
      </c>
      <c r="C65" s="205">
        <f t="shared" si="5"/>
        <v>0.84</v>
      </c>
      <c r="D65" s="205">
        <f t="shared" si="5"/>
        <v>1.17</v>
      </c>
      <c r="E65" s="205">
        <f t="shared" si="5"/>
        <v>1.1599999999999999</v>
      </c>
      <c r="F65" s="206">
        <f>IF(ISNA(HLOOKUP(F$64*10+$A65,$81:$82,2,FALSE)),(HLOOKUP(E$64*10+$A65,$87:$94,4,FALSE)*$G65+$B$25)/HLOOKUP(E$64*10+$A65,$87:$94,5,FALSE)*$E65,HLOOKUP(F$64*10+$A65,$81:$82,2,FALSE))</f>
        <v>0.86</v>
      </c>
      <c r="G65" s="101">
        <f>MIN(130%,SUM($B$57:$D$57)/SUM($B$58:$D$58)*$G$69/HLOOKUP(E$64*10+$A65,$145:$146,2,FALSE))</f>
        <v>1.032936525787735</v>
      </c>
      <c r="H65" s="204">
        <v>1</v>
      </c>
      <c r="I65" s="208">
        <f t="shared" ref="I65:M68" si="6">IF(ISNA(HLOOKUP(I$64*10+$H65,$145:$147,3,FALSE)),"",HLOOKUP(I$64*10+$H65,$145:$147,3,FALSE)/100)</f>
        <v>8.0299999999999996E-2</v>
      </c>
      <c r="J65" s="208">
        <f t="shared" si="6"/>
        <v>9.8000000000000004E-2</v>
      </c>
      <c r="K65" s="208">
        <f t="shared" si="6"/>
        <v>0.1115</v>
      </c>
      <c r="L65" s="208">
        <f t="shared" si="6"/>
        <v>0.121</v>
      </c>
      <c r="M65" s="209">
        <f t="shared" si="6"/>
        <v>8.3299999999999999E-2</v>
      </c>
      <c r="N65" s="256">
        <f t="shared" ref="N65:O68" si="7">HLOOKUP(E$64*10+$A65,$87:$94,8,FALSE)</f>
        <v>-25862</v>
      </c>
      <c r="O65" s="256">
        <f t="shared" si="7"/>
        <v>1313</v>
      </c>
      <c r="P65" s="210"/>
    </row>
    <row r="66" spans="1:71" x14ac:dyDescent="0.25">
      <c r="A66" s="204">
        <v>2</v>
      </c>
      <c r="B66" s="205">
        <f t="shared" si="5"/>
        <v>0.84</v>
      </c>
      <c r="C66" s="205">
        <f t="shared" si="5"/>
        <v>1.0900000000000001</v>
      </c>
      <c r="D66" s="205">
        <f t="shared" si="5"/>
        <v>1.24</v>
      </c>
      <c r="E66" s="205">
        <f t="shared" si="5"/>
        <v>1.38</v>
      </c>
      <c r="F66" s="206">
        <f>IF(ISNA(HLOOKUP(F$64*10+$A66,$81:$82,2,FALSE)),(HLOOKUP(E$64*10+$A66,$87:$94,4,FALSE)*$G66+$B$25)/HLOOKUP(E$64*10+$A66,$87:$94,5,FALSE)*$E66,HLOOKUP(F$64*10+$A66,$81:$82,2,FALSE))</f>
        <v>1.1200000000000001</v>
      </c>
      <c r="G66" s="101">
        <f>MIN(130%,SUM($B$57:$D$57)/SUM($B$58:$D$58)*$G$69/HLOOKUP(E$64*10+$A66,$145:$146,2,FALSE))</f>
        <v>0.99846940501066772</v>
      </c>
      <c r="H66" s="204">
        <v>2</v>
      </c>
      <c r="I66" s="208">
        <f t="shared" si="6"/>
        <v>0.1079</v>
      </c>
      <c r="J66" s="208">
        <f t="shared" si="6"/>
        <v>0.1191</v>
      </c>
      <c r="K66" s="208">
        <f t="shared" si="6"/>
        <v>0.12619999999999998</v>
      </c>
      <c r="L66" s="208">
        <f t="shared" si="6"/>
        <v>0.14400000000000002</v>
      </c>
      <c r="M66" s="209">
        <f t="shared" si="6"/>
        <v>9.3000000000000013E-2</v>
      </c>
      <c r="N66" s="256">
        <f t="shared" si="7"/>
        <v>-51488</v>
      </c>
      <c r="O66" s="256">
        <f t="shared" si="7"/>
        <v>16801</v>
      </c>
      <c r="P66" s="210"/>
    </row>
    <row r="67" spans="1:71" x14ac:dyDescent="0.25">
      <c r="A67" s="204">
        <v>3</v>
      </c>
      <c r="B67" s="205">
        <f t="shared" si="5"/>
        <v>1.05</v>
      </c>
      <c r="C67" s="205">
        <f t="shared" si="5"/>
        <v>0.95</v>
      </c>
      <c r="D67" s="205">
        <f t="shared" si="5"/>
        <v>0.91</v>
      </c>
      <c r="E67" s="205">
        <f t="shared" si="5"/>
        <v>1.22</v>
      </c>
      <c r="F67" s="206">
        <f>IF(ISNA(HLOOKUP(F$64*10+$A67,$81:$82,2,FALSE)),(HLOOKUP(E$64*10+$A67,$87:$94,4,FALSE)*$G67+$B$25)/HLOOKUP(E$64*10+$A67,$87:$94,5,FALSE)*$E67,HLOOKUP(F$64*10+$A67,$81:$82,2,FALSE))</f>
        <v>1.05</v>
      </c>
      <c r="G67" s="101">
        <f>MIN(130%,SUM($B$57:$D$57)/SUM($B$58:$D$58)*$G$69/HLOOKUP(E$64*10+$A67,$145:$146,2,FALSE))</f>
        <v>1.0671854660409366</v>
      </c>
      <c r="H67" s="204">
        <v>3</v>
      </c>
      <c r="I67" s="208">
        <f t="shared" si="6"/>
        <v>0.114</v>
      </c>
      <c r="J67" s="208">
        <f t="shared" si="6"/>
        <v>9.6999999999999989E-2</v>
      </c>
      <c r="K67" s="208">
        <f t="shared" si="6"/>
        <v>0.13519999999999999</v>
      </c>
      <c r="L67" s="208">
        <f t="shared" si="6"/>
        <v>0.12529999999999999</v>
      </c>
      <c r="M67" s="209">
        <f t="shared" si="6"/>
        <v>7.8E-2</v>
      </c>
      <c r="N67" s="256">
        <f t="shared" si="7"/>
        <v>-21953</v>
      </c>
      <c r="O67" s="256">
        <f t="shared" si="7"/>
        <v>61541</v>
      </c>
      <c r="P67" s="210"/>
    </row>
    <row r="68" spans="1:71" x14ac:dyDescent="0.25">
      <c r="A68" s="204">
        <v>4</v>
      </c>
      <c r="B68" s="205">
        <f>HLOOKUP(B$64*10+$A68,$81:$82,2,FALSE)</f>
        <v>0.96</v>
      </c>
      <c r="C68" s="205">
        <f>HLOOKUP(C$64*10+$A68,$81:$82,2,FALSE)</f>
        <v>0.94</v>
      </c>
      <c r="D68" s="205">
        <f>HLOOKUP(D$64*10+$A68,$81:$82,2,FALSE)</f>
        <v>1.18</v>
      </c>
      <c r="E68" s="206">
        <f>IF(ISNA(HLOOKUP(E$64*10+$A68,$81:$82,2,FALSE)),D68*(1-$N68)*#REF!*(1+$B$25)/(1+$E$4),HLOOKUP(E$64*10+$A68,$81:$82,2,FALSE))</f>
        <v>1.0900000000000001</v>
      </c>
      <c r="F68" s="206">
        <f>IF(ISNA(HLOOKUP(F$64*10+$A68,$81:$82,2,FALSE)),(HLOOKUP(E$64*10+$A68,$87:$94,4,FALSE)*$G68+$B$25)/HLOOKUP(E$64*10+$A68,$87:$94,5,FALSE)*$E68,HLOOKUP(F$64*10+$A68,$81:$82,2,FALSE))</f>
        <v>1.3210236972489138</v>
      </c>
      <c r="G68" s="101">
        <f>MIN(130%,SUM($B$57:$D$57)/SUM($B$58:$D$58)*$G$69/HLOOKUP(E$64*10+$A68,$145:$146,2,FALSE))</f>
        <v>0.97657537930161176</v>
      </c>
      <c r="H68" s="204">
        <v>4</v>
      </c>
      <c r="I68" s="208">
        <f t="shared" si="6"/>
        <v>0.107</v>
      </c>
      <c r="J68" s="208">
        <f t="shared" si="6"/>
        <v>0.11070000000000001</v>
      </c>
      <c r="K68" s="208">
        <f t="shared" si="6"/>
        <v>0.1305</v>
      </c>
      <c r="L68" s="208">
        <f t="shared" si="6"/>
        <v>0.1066</v>
      </c>
      <c r="M68" s="209" t="str">
        <f t="shared" si="6"/>
        <v/>
      </c>
      <c r="N68" s="256">
        <f t="shared" si="7"/>
        <v>-106185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3.45</v>
      </c>
      <c r="C69" s="213">
        <f>SUM(C65:C68)</f>
        <v>3.82</v>
      </c>
      <c r="D69" s="213">
        <f>SUM(D65:D68)</f>
        <v>4.5</v>
      </c>
      <c r="E69" s="213">
        <f>SUM(E65:E68)</f>
        <v>4.8499999999999996</v>
      </c>
      <c r="F69" s="213">
        <f>SUM(F65:F68)</f>
        <v>4.3510236972489142</v>
      </c>
      <c r="G69" s="257">
        <f>_xlfn.FORECAST.ETS(23,B146:W146,{1,2,3,4,5,6,7,8,9,10,11,12,13,14,15,16,17,18,19,20,21,22})</f>
        <v>34.131242236024846</v>
      </c>
      <c r="H69" s="214" t="s">
        <v>19</v>
      </c>
      <c r="I69" s="215">
        <f>HLOOKUP(I64,151:155,3,FALSE)/100</f>
        <v>0.1033</v>
      </c>
      <c r="J69" s="215">
        <f>HLOOKUP(J64,151:155,3,FALSE)/100</f>
        <v>0.10640000000000001</v>
      </c>
      <c r="K69" s="215">
        <f>HLOOKUP(K64,151:155,3,FALSE)/100</f>
        <v>0.1263</v>
      </c>
      <c r="L69" s="215">
        <f>IF(ISNA(HLOOKUP(L64,151:155,3,FALSE)/100),AVERAGE(L65:L68),HLOOKUP(L64,151:155,3,FALSE)/100)</f>
        <v>0.1241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3.54</v>
      </c>
      <c r="C72" s="205">
        <f t="shared" si="8"/>
        <v>4.54</v>
      </c>
      <c r="D72" s="205">
        <f t="shared" si="8"/>
        <v>5.39</v>
      </c>
      <c r="E72" s="205">
        <f t="shared" si="8"/>
        <v>4.8099999999999996</v>
      </c>
      <c r="F72" s="205">
        <f t="shared" si="8"/>
        <v>3.79</v>
      </c>
    </row>
    <row r="73" spans="1:71" s="135" customFormat="1" x14ac:dyDescent="0.25">
      <c r="A73" s="204">
        <v>2</v>
      </c>
      <c r="B73" s="205">
        <f t="shared" si="8"/>
        <v>5.32</v>
      </c>
      <c r="C73" s="205">
        <f t="shared" si="8"/>
        <v>6.2</v>
      </c>
      <c r="D73" s="205">
        <f t="shared" si="8"/>
        <v>6.22</v>
      </c>
      <c r="E73" s="205">
        <f t="shared" si="8"/>
        <v>6.24</v>
      </c>
      <c r="F73" s="205">
        <f t="shared" si="8"/>
        <v>5.36</v>
      </c>
    </row>
    <row r="74" spans="1:71" s="135" customFormat="1" x14ac:dyDescent="0.25">
      <c r="A74" s="204">
        <v>3</v>
      </c>
      <c r="B74" s="205">
        <f t="shared" si="8"/>
        <v>6.31</v>
      </c>
      <c r="C74" s="205">
        <f t="shared" si="8"/>
        <v>5.45</v>
      </c>
      <c r="D74" s="205">
        <f t="shared" si="8"/>
        <v>4.51</v>
      </c>
      <c r="E74" s="205">
        <f t="shared" si="8"/>
        <v>5.64</v>
      </c>
      <c r="F74" s="205">
        <f t="shared" si="8"/>
        <v>5.01</v>
      </c>
    </row>
    <row r="75" spans="1:71" s="135" customFormat="1" x14ac:dyDescent="0.25">
      <c r="A75" s="204">
        <v>4</v>
      </c>
      <c r="B75" s="205">
        <f t="shared" si="8"/>
        <v>5.5</v>
      </c>
      <c r="C75" s="205">
        <f t="shared" si="8"/>
        <v>4.8899999999999997</v>
      </c>
      <c r="D75" s="205">
        <f t="shared" si="8"/>
        <v>5.46</v>
      </c>
      <c r="E75" s="205">
        <f t="shared" si="8"/>
        <v>3.98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20.669999999999998</v>
      </c>
      <c r="C76" s="213">
        <f>SUM(C72:C75)</f>
        <v>21.080000000000002</v>
      </c>
      <c r="D76" s="213">
        <f>SUM(D72:D75)</f>
        <v>21.58</v>
      </c>
      <c r="E76" s="213">
        <f>AVERAGE(E72:E75)*4</f>
        <v>20.67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899846</v>
      </c>
      <c r="C79" s="270">
        <v>768298</v>
      </c>
      <c r="D79" s="270">
        <v>976794</v>
      </c>
      <c r="E79" s="270">
        <v>991101</v>
      </c>
      <c r="F79" s="270">
        <v>992178</v>
      </c>
      <c r="G79" s="270">
        <v>977516</v>
      </c>
      <c r="H79" s="270">
        <v>1003113</v>
      </c>
      <c r="I79" s="270">
        <v>1113148</v>
      </c>
      <c r="J79" s="270">
        <v>1162736</v>
      </c>
      <c r="K79" s="270">
        <v>984516</v>
      </c>
      <c r="L79" s="270">
        <v>1066123</v>
      </c>
      <c r="M79" s="270">
        <v>1127851</v>
      </c>
      <c r="N79" s="270">
        <v>1127371</v>
      </c>
      <c r="O79" s="270">
        <v>735402</v>
      </c>
      <c r="P79" s="270">
        <v>1055229</v>
      </c>
      <c r="Q79" s="270">
        <v>1093788</v>
      </c>
      <c r="R79" s="270">
        <v>1133656</v>
      </c>
      <c r="S79" s="270">
        <v>1187982</v>
      </c>
      <c r="T79" s="270">
        <v>1163292</v>
      </c>
      <c r="U79" s="270">
        <v>1216362</v>
      </c>
      <c r="V79" s="270">
        <v>1229422</v>
      </c>
      <c r="W79" s="270">
        <v>1088522</v>
      </c>
      <c r="X79" s="270">
        <v>1167826</v>
      </c>
      <c r="Y79" s="270">
        <v>1230345</v>
      </c>
      <c r="Z79" s="270">
        <v>1285937</v>
      </c>
      <c r="AA79" s="270">
        <v>907636</v>
      </c>
      <c r="AB79" s="270">
        <v>1168083</v>
      </c>
      <c r="AC79" s="270">
        <v>1192849</v>
      </c>
      <c r="AD79" s="270">
        <v>1313733</v>
      </c>
      <c r="AE79" s="270">
        <v>1279456</v>
      </c>
      <c r="AF79" s="270">
        <v>1208800</v>
      </c>
      <c r="AG79" s="270">
        <v>1355460</v>
      </c>
      <c r="AH79" s="270">
        <v>1333210</v>
      </c>
      <c r="AI79" s="270">
        <v>1212814</v>
      </c>
      <c r="AJ79" s="270">
        <v>1211243</v>
      </c>
      <c r="AK79" s="270">
        <v>1357623</v>
      </c>
      <c r="AL79" s="270">
        <v>1350107</v>
      </c>
      <c r="AM79" s="270">
        <v>1026051</v>
      </c>
      <c r="AN79" s="270">
        <v>1198066</v>
      </c>
      <c r="AO79" s="270">
        <v>1239604</v>
      </c>
      <c r="AP79" s="270">
        <v>1258946</v>
      </c>
      <c r="AQ79" s="270">
        <v>1311253</v>
      </c>
      <c r="AR79" s="270">
        <v>1276023</v>
      </c>
      <c r="AS79" s="270">
        <v>1394982</v>
      </c>
      <c r="AT79" s="270">
        <v>1418694</v>
      </c>
      <c r="AU79" s="270">
        <v>1283879</v>
      </c>
      <c r="AV79" s="270">
        <v>1275104</v>
      </c>
      <c r="AW79" s="270">
        <v>1463182</v>
      </c>
      <c r="AX79" s="270">
        <v>1437843</v>
      </c>
      <c r="AY79" s="270">
        <v>995051</v>
      </c>
      <c r="AZ79" s="270">
        <v>1282002</v>
      </c>
      <c r="BA79" s="270">
        <v>1321812</v>
      </c>
      <c r="BB79" s="270">
        <v>1387065</v>
      </c>
      <c r="BC79" s="270">
        <v>1435185</v>
      </c>
      <c r="BD79" s="270">
        <v>1316773</v>
      </c>
      <c r="BE79" s="270">
        <v>1441299</v>
      </c>
      <c r="BF79" s="270">
        <v>1388798</v>
      </c>
      <c r="BG79" s="270">
        <v>1312066</v>
      </c>
      <c r="BH79" s="270">
        <v>1376667</v>
      </c>
      <c r="BI79" s="270">
        <v>1583771</v>
      </c>
      <c r="BJ79" s="270">
        <v>1456926</v>
      </c>
      <c r="BK79" s="270">
        <v>1042242</v>
      </c>
      <c r="BL79" s="270">
        <v>1287519</v>
      </c>
      <c r="BM79" s="270">
        <v>1347081</v>
      </c>
      <c r="BN79" s="270">
        <v>1383166</v>
      </c>
      <c r="BO79" s="270">
        <v>1502484</v>
      </c>
      <c r="BP79" s="270">
        <v>1337197</v>
      </c>
      <c r="BQ79" s="270">
        <v>1421808</v>
      </c>
      <c r="BR79" s="270">
        <v>1744264</v>
      </c>
      <c r="BS79" s="270">
        <v>1482167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0.31</v>
      </c>
      <c r="C82" s="72">
        <v>0.35</v>
      </c>
      <c r="D82" s="72">
        <v>0.57999999999999996</v>
      </c>
      <c r="E82" s="72">
        <v>0.56999999999999995</v>
      </c>
      <c r="F82" s="72">
        <v>0.6</v>
      </c>
      <c r="G82" s="72">
        <v>0.84</v>
      </c>
      <c r="H82" s="72">
        <v>1.05</v>
      </c>
      <c r="I82" s="72">
        <v>0.96</v>
      </c>
      <c r="J82" s="72">
        <v>0.84</v>
      </c>
      <c r="K82" s="72">
        <v>1.0900000000000001</v>
      </c>
      <c r="L82" s="72">
        <v>0.95</v>
      </c>
      <c r="M82" s="72">
        <v>0.94</v>
      </c>
      <c r="N82" s="72">
        <v>1.17</v>
      </c>
      <c r="O82" s="72">
        <v>1.24</v>
      </c>
      <c r="P82" s="72">
        <v>0.91</v>
      </c>
      <c r="Q82" s="72">
        <v>1.18</v>
      </c>
      <c r="R82" s="72">
        <v>1.1599999999999999</v>
      </c>
      <c r="S82" s="72">
        <v>1.38</v>
      </c>
      <c r="T82" s="72">
        <v>1.22</v>
      </c>
      <c r="U82" s="72">
        <v>1.0900000000000001</v>
      </c>
      <c r="V82" s="72">
        <v>0.86</v>
      </c>
      <c r="W82" s="72">
        <v>1.1200000000000001</v>
      </c>
      <c r="X82" s="72">
        <v>1.05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15.54</v>
      </c>
      <c r="C85" s="72">
        <v>15.24</v>
      </c>
      <c r="D85" s="72">
        <v>15.84</v>
      </c>
      <c r="E85" s="72">
        <v>15.9</v>
      </c>
      <c r="F85" s="72">
        <v>16.63</v>
      </c>
      <c r="G85" s="72">
        <v>16.399999999999999</v>
      </c>
      <c r="H85" s="72">
        <v>17.21</v>
      </c>
      <c r="I85" s="72">
        <v>18.010000000000002</v>
      </c>
      <c r="J85" s="72">
        <v>18.940000000000001</v>
      </c>
      <c r="K85" s="72">
        <v>17.649999999999999</v>
      </c>
      <c r="L85" s="72">
        <v>19.010000000000002</v>
      </c>
      <c r="M85" s="72">
        <v>20.48</v>
      </c>
      <c r="N85" s="72">
        <v>21.46</v>
      </c>
      <c r="O85" s="72">
        <v>20.059999999999999</v>
      </c>
      <c r="P85" s="72">
        <v>21.79</v>
      </c>
      <c r="Q85" s="72">
        <v>22.17</v>
      </c>
      <c r="R85" s="72">
        <v>23.28</v>
      </c>
      <c r="S85" s="72">
        <v>21.6</v>
      </c>
      <c r="T85" s="72">
        <v>22.01</v>
      </c>
      <c r="U85" s="72">
        <v>22.45</v>
      </c>
      <c r="V85" s="72">
        <v>21.71</v>
      </c>
      <c r="W85" s="72">
        <v>20.399999999999999</v>
      </c>
      <c r="X85" s="72">
        <v>21.76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2646761</v>
      </c>
      <c r="C88" s="273">
        <v>2958400</v>
      </c>
      <c r="D88" s="273">
        <v>3268758</v>
      </c>
      <c r="E88" s="273">
        <v>3186918</v>
      </c>
      <c r="F88" s="273">
        <v>2917694</v>
      </c>
      <c r="G88" s="273">
        <v>3413818</v>
      </c>
      <c r="H88" s="273">
        <v>3610616</v>
      </c>
      <c r="I88" s="273">
        <v>3483987</v>
      </c>
      <c r="J88" s="273">
        <v>3362458</v>
      </c>
      <c r="K88" s="273">
        <v>3797079</v>
      </c>
      <c r="L88" s="273">
        <v>3864379</v>
      </c>
      <c r="M88" s="273">
        <v>3807930</v>
      </c>
      <c r="N88" s="273">
        <v>3574556</v>
      </c>
      <c r="O88" s="273">
        <v>3807228</v>
      </c>
      <c r="P88" s="273">
        <v>4091717</v>
      </c>
      <c r="Q88" s="273">
        <v>4006042</v>
      </c>
      <c r="R88" s="273">
        <v>3715766</v>
      </c>
      <c r="S88" s="273">
        <v>4146289</v>
      </c>
      <c r="T88" s="273">
        <v>4147015</v>
      </c>
      <c r="U88" s="273">
        <v>4290644</v>
      </c>
      <c r="V88" s="273">
        <v>3791746</v>
      </c>
      <c r="W88" s="273">
        <v>4229953</v>
      </c>
      <c r="X88" s="273">
        <v>4533219</v>
      </c>
    </row>
    <row r="89" spans="1:25" ht="14.25" thickBot="1" x14ac:dyDescent="0.3">
      <c r="A89" s="250" t="s">
        <v>4</v>
      </c>
      <c r="B89" s="275">
        <v>736668</v>
      </c>
      <c r="C89" s="275">
        <v>886875</v>
      </c>
      <c r="D89" s="275">
        <v>952514</v>
      </c>
      <c r="E89" s="275">
        <v>961033</v>
      </c>
      <c r="F89" s="275">
        <v>927865</v>
      </c>
      <c r="G89" s="275">
        <v>1106463</v>
      </c>
      <c r="H89" s="275">
        <v>1181278</v>
      </c>
      <c r="I89" s="275">
        <v>1109812</v>
      </c>
      <c r="J89" s="275">
        <v>1095967</v>
      </c>
      <c r="K89" s="275">
        <v>1280667</v>
      </c>
      <c r="L89" s="275">
        <v>1256845</v>
      </c>
      <c r="M89" s="275">
        <v>1284837</v>
      </c>
      <c r="N89" s="275">
        <v>1246700</v>
      </c>
      <c r="O89" s="275">
        <v>1373565</v>
      </c>
      <c r="P89" s="275">
        <v>1491111</v>
      </c>
      <c r="Q89" s="275">
        <v>1496874</v>
      </c>
      <c r="R89" s="275">
        <v>1377946</v>
      </c>
      <c r="S89" s="275">
        <v>1590600</v>
      </c>
      <c r="T89" s="275">
        <v>1488251</v>
      </c>
      <c r="U89" s="275">
        <v>1682891</v>
      </c>
      <c r="V89" s="275">
        <v>1258206</v>
      </c>
      <c r="W89" s="275">
        <v>1427509</v>
      </c>
      <c r="X89" s="275">
        <v>1551121</v>
      </c>
    </row>
    <row r="90" spans="1:25" ht="14.25" thickBot="1" x14ac:dyDescent="0.3">
      <c r="A90" s="251" t="s">
        <v>5</v>
      </c>
      <c r="B90" s="273">
        <v>127313</v>
      </c>
      <c r="C90" s="273">
        <v>219167</v>
      </c>
      <c r="D90" s="273">
        <v>236542</v>
      </c>
      <c r="E90" s="273">
        <v>231849</v>
      </c>
      <c r="F90" s="273">
        <v>234161</v>
      </c>
      <c r="G90" s="273">
        <v>368517</v>
      </c>
      <c r="H90" s="273">
        <v>411574</v>
      </c>
      <c r="I90" s="273">
        <v>372757</v>
      </c>
      <c r="J90" s="273">
        <v>329388</v>
      </c>
      <c r="K90" s="273">
        <v>452052</v>
      </c>
      <c r="L90" s="273">
        <v>374802</v>
      </c>
      <c r="M90" s="273">
        <v>421699</v>
      </c>
      <c r="N90" s="273">
        <v>398732</v>
      </c>
      <c r="O90" s="273">
        <v>480461</v>
      </c>
      <c r="P90" s="273">
        <v>553367</v>
      </c>
      <c r="Q90" s="273">
        <v>522859</v>
      </c>
      <c r="R90" s="273">
        <v>449614</v>
      </c>
      <c r="S90" s="273">
        <v>597001</v>
      </c>
      <c r="T90" s="273">
        <v>519583</v>
      </c>
      <c r="U90" s="273">
        <v>457166</v>
      </c>
      <c r="V90" s="273">
        <v>315768</v>
      </c>
      <c r="W90" s="273">
        <v>393470</v>
      </c>
      <c r="X90" s="273">
        <v>353472</v>
      </c>
    </row>
    <row r="91" spans="1:25" ht="14.25" thickBot="1" x14ac:dyDescent="0.3">
      <c r="A91" s="250" t="s">
        <v>6</v>
      </c>
      <c r="B91" s="275">
        <v>119348</v>
      </c>
      <c r="C91" s="275">
        <v>193600</v>
      </c>
      <c r="D91" s="275">
        <v>205853</v>
      </c>
      <c r="E91" s="275">
        <v>209548</v>
      </c>
      <c r="F91" s="275">
        <v>221942</v>
      </c>
      <c r="G91" s="275">
        <v>373574</v>
      </c>
      <c r="H91" s="275">
        <v>401246</v>
      </c>
      <c r="I91" s="275">
        <v>331335</v>
      </c>
      <c r="J91" s="275">
        <v>310955</v>
      </c>
      <c r="K91" s="275">
        <v>457420</v>
      </c>
      <c r="L91" s="275">
        <v>402202</v>
      </c>
      <c r="M91" s="275">
        <v>408026</v>
      </c>
      <c r="N91" s="275">
        <v>368199</v>
      </c>
      <c r="O91" s="275">
        <v>495449</v>
      </c>
      <c r="P91" s="275">
        <v>388250</v>
      </c>
      <c r="Q91" s="275">
        <v>489143</v>
      </c>
      <c r="R91" s="275">
        <v>423752</v>
      </c>
      <c r="S91" s="275">
        <v>545513</v>
      </c>
      <c r="T91" s="275">
        <v>497630</v>
      </c>
      <c r="U91" s="275">
        <v>350981</v>
      </c>
      <c r="V91" s="275">
        <v>317081</v>
      </c>
      <c r="W91" s="275">
        <v>410271</v>
      </c>
      <c r="X91" s="275">
        <v>415013</v>
      </c>
    </row>
    <row r="92" spans="1:25" ht="14.25" thickBot="1" x14ac:dyDescent="0.3">
      <c r="A92" s="251" t="s">
        <v>7</v>
      </c>
      <c r="B92" s="273">
        <v>78979</v>
      </c>
      <c r="C92" s="273">
        <v>106398</v>
      </c>
      <c r="D92" s="273">
        <v>149789</v>
      </c>
      <c r="E92" s="273">
        <v>142557</v>
      </c>
      <c r="F92" s="273">
        <v>148329</v>
      </c>
      <c r="G92" s="273">
        <v>226892</v>
      </c>
      <c r="H92" s="273">
        <v>274555</v>
      </c>
      <c r="I92" s="273">
        <v>249770</v>
      </c>
      <c r="J92" s="273">
        <v>215580</v>
      </c>
      <c r="K92" s="273">
        <v>290359</v>
      </c>
      <c r="L92" s="273">
        <v>255288</v>
      </c>
      <c r="M92" s="273">
        <v>247510</v>
      </c>
      <c r="N92" s="273">
        <v>289379</v>
      </c>
      <c r="O92" s="273">
        <v>329397</v>
      </c>
      <c r="P92" s="273">
        <v>240051</v>
      </c>
      <c r="Q92" s="273">
        <v>305134</v>
      </c>
      <c r="R92" s="273">
        <v>277797</v>
      </c>
      <c r="S92" s="273">
        <v>355926</v>
      </c>
      <c r="T92" s="273">
        <v>312999</v>
      </c>
      <c r="U92" s="273">
        <v>223587</v>
      </c>
      <c r="V92" s="273">
        <v>208778</v>
      </c>
      <c r="W92" s="273">
        <v>280496</v>
      </c>
      <c r="X92" s="273">
        <v>262170</v>
      </c>
    </row>
    <row r="93" spans="1:25" ht="26.25" thickBot="1" x14ac:dyDescent="0.3">
      <c r="A93" s="252" t="s">
        <v>8</v>
      </c>
      <c r="B93" s="276">
        <v>75726</v>
      </c>
      <c r="C93" s="276">
        <v>86561</v>
      </c>
      <c r="D93" s="276">
        <v>142930</v>
      </c>
      <c r="E93" s="276">
        <v>140995</v>
      </c>
      <c r="F93" s="276">
        <v>148081</v>
      </c>
      <c r="G93" s="276">
        <v>208621</v>
      </c>
      <c r="H93" s="276">
        <v>260490</v>
      </c>
      <c r="I93" s="276">
        <v>237174</v>
      </c>
      <c r="J93" s="276">
        <v>209263</v>
      </c>
      <c r="K93" s="276">
        <v>270734</v>
      </c>
      <c r="L93" s="276">
        <v>235190</v>
      </c>
      <c r="M93" s="276">
        <v>233447</v>
      </c>
      <c r="N93" s="276">
        <v>289175</v>
      </c>
      <c r="O93" s="276">
        <v>306851</v>
      </c>
      <c r="P93" s="276">
        <v>224837</v>
      </c>
      <c r="Q93" s="276">
        <v>291987</v>
      </c>
      <c r="R93" s="276">
        <v>288739</v>
      </c>
      <c r="S93" s="276">
        <v>343057</v>
      </c>
      <c r="T93" s="276">
        <v>303826</v>
      </c>
      <c r="U93" s="276">
        <v>270080</v>
      </c>
      <c r="V93" s="276">
        <v>213134</v>
      </c>
      <c r="W93" s="276">
        <v>277949</v>
      </c>
      <c r="X93" s="276">
        <v>260589</v>
      </c>
    </row>
    <row r="94" spans="1:25" x14ac:dyDescent="0.25">
      <c r="A94" s="233" t="s">
        <v>365</v>
      </c>
      <c r="B94" s="253">
        <f>IF(B91="","",B91-B90)</f>
        <v>-7965</v>
      </c>
      <c r="C94" s="253">
        <f>IF(C91="","",C91-C90)</f>
        <v>-25567</v>
      </c>
      <c r="D94" s="253">
        <f t="shared" ref="D94:Y94" si="9">IF(D91="","",D91-D90)</f>
        <v>-30689</v>
      </c>
      <c r="E94" s="253">
        <f t="shared" si="9"/>
        <v>-22301</v>
      </c>
      <c r="F94" s="253">
        <f t="shared" si="9"/>
        <v>-12219</v>
      </c>
      <c r="G94" s="253">
        <f t="shared" si="9"/>
        <v>5057</v>
      </c>
      <c r="H94" s="253">
        <f t="shared" si="9"/>
        <v>-10328</v>
      </c>
      <c r="I94" s="253">
        <f t="shared" si="9"/>
        <v>-41422</v>
      </c>
      <c r="J94" s="253">
        <f t="shared" si="9"/>
        <v>-18433</v>
      </c>
      <c r="K94" s="253">
        <f t="shared" si="9"/>
        <v>5368</v>
      </c>
      <c r="L94" s="253">
        <f t="shared" si="9"/>
        <v>27400</v>
      </c>
      <c r="M94" s="253">
        <f t="shared" si="9"/>
        <v>-13673</v>
      </c>
      <c r="N94" s="253">
        <f t="shared" si="9"/>
        <v>-30533</v>
      </c>
      <c r="O94" s="253">
        <f t="shared" si="9"/>
        <v>14988</v>
      </c>
      <c r="P94" s="253">
        <f t="shared" si="9"/>
        <v>-165117</v>
      </c>
      <c r="Q94" s="253">
        <f t="shared" si="9"/>
        <v>-33716</v>
      </c>
      <c r="R94" s="253">
        <f t="shared" si="9"/>
        <v>-25862</v>
      </c>
      <c r="S94" s="253">
        <f t="shared" si="9"/>
        <v>-51488</v>
      </c>
      <c r="T94" s="253">
        <f t="shared" si="9"/>
        <v>-21953</v>
      </c>
      <c r="U94" s="253">
        <f t="shared" si="9"/>
        <v>-106185</v>
      </c>
      <c r="V94" s="253">
        <f t="shared" si="9"/>
        <v>1313</v>
      </c>
      <c r="W94" s="253">
        <f t="shared" si="9"/>
        <v>16801</v>
      </c>
      <c r="X94" s="253">
        <f t="shared" si="9"/>
        <v>61541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12060837</v>
      </c>
      <c r="C97" s="273">
        <v>13426115</v>
      </c>
      <c r="D97" s="273">
        <v>14831846</v>
      </c>
      <c r="E97" s="273">
        <v>15479543</v>
      </c>
      <c r="F97" s="273">
        <v>16299714</v>
      </c>
    </row>
    <row r="98" spans="1:24" ht="14.25" thickBot="1" x14ac:dyDescent="0.3">
      <c r="A98" s="225" t="s">
        <v>4</v>
      </c>
      <c r="B98" s="275">
        <v>3537090</v>
      </c>
      <c r="C98" s="275">
        <v>4325418</v>
      </c>
      <c r="D98" s="275">
        <v>4918316</v>
      </c>
      <c r="E98" s="275">
        <v>5608250</v>
      </c>
      <c r="F98" s="275">
        <v>6139689</v>
      </c>
    </row>
    <row r="99" spans="1:24" ht="14.25" thickBot="1" x14ac:dyDescent="0.3">
      <c r="A99" s="224" t="s">
        <v>5</v>
      </c>
      <c r="B99" s="273">
        <v>814871</v>
      </c>
      <c r="C99" s="273">
        <v>1387009</v>
      </c>
      <c r="D99" s="273">
        <v>1577941</v>
      </c>
      <c r="E99" s="273">
        <v>1955419</v>
      </c>
      <c r="F99" s="273">
        <v>2023364</v>
      </c>
    </row>
    <row r="100" spans="1:24" ht="14.25" thickBot="1" x14ac:dyDescent="0.3">
      <c r="A100" s="225" t="s">
        <v>6</v>
      </c>
      <c r="B100" s="275">
        <v>728349</v>
      </c>
      <c r="C100" s="275">
        <v>1328097</v>
      </c>
      <c r="D100" s="275">
        <v>1578603</v>
      </c>
      <c r="E100" s="275">
        <v>1741041</v>
      </c>
      <c r="F100" s="275">
        <v>1817876</v>
      </c>
    </row>
    <row r="101" spans="1:24" ht="14.25" thickBot="1" x14ac:dyDescent="0.3">
      <c r="A101" s="224" t="s">
        <v>7</v>
      </c>
      <c r="B101" s="273">
        <v>477723</v>
      </c>
      <c r="C101" s="273">
        <v>899546</v>
      </c>
      <c r="D101" s="273">
        <v>1008737</v>
      </c>
      <c r="E101" s="273">
        <v>1163961</v>
      </c>
      <c r="F101" s="273">
        <v>1170309</v>
      </c>
    </row>
    <row r="102" spans="1:24" ht="14.25" thickBot="1" x14ac:dyDescent="0.3">
      <c r="A102" s="227" t="s">
        <v>8</v>
      </c>
      <c r="B102" s="276">
        <v>446212</v>
      </c>
      <c r="C102" s="276">
        <v>854366</v>
      </c>
      <c r="D102" s="276">
        <v>948634</v>
      </c>
      <c r="E102" s="276">
        <v>1112850</v>
      </c>
      <c r="F102" s="276">
        <v>1205702</v>
      </c>
    </row>
    <row r="103" spans="1:24" x14ac:dyDescent="0.25">
      <c r="A103" s="233" t="s">
        <v>262</v>
      </c>
      <c r="B103" s="234">
        <f>IF(OR(B102="",B102="無"),"",B102/B101)</f>
        <v>0.93403918170153</v>
      </c>
      <c r="C103" s="234">
        <f>IF(OR(C102="",C102="無"),"",C102/C101)</f>
        <v>0.94977466410833911</v>
      </c>
      <c r="D103" s="234">
        <f>IF(OR(D102="",D102="無"),"",D102/D101)</f>
        <v>0.9404175716762645</v>
      </c>
      <c r="E103" s="234">
        <f>IF(OR(E102="",E102="無"),"",E102/E101)</f>
        <v>0.95608873493184054</v>
      </c>
      <c r="F103" s="234">
        <f>IF(OR(F102="",F102="無"),"",F102/F101)</f>
        <v>1.0302424402444141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1220364</v>
      </c>
      <c r="C106" s="273">
        <v>1462245</v>
      </c>
      <c r="D106" s="273">
        <v>1720790</v>
      </c>
      <c r="E106" s="273">
        <v>1471048</v>
      </c>
      <c r="F106" s="273">
        <v>1701893</v>
      </c>
      <c r="G106" s="273">
        <v>1916502</v>
      </c>
      <c r="H106" s="273">
        <v>2122023</v>
      </c>
      <c r="I106" s="273">
        <v>2520975</v>
      </c>
      <c r="J106" s="273">
        <v>2865804</v>
      </c>
      <c r="K106" s="273">
        <v>3463937</v>
      </c>
      <c r="L106" s="273">
        <v>3634945</v>
      </c>
      <c r="M106" s="273">
        <v>4461887</v>
      </c>
      <c r="N106" s="273">
        <v>4919276</v>
      </c>
      <c r="O106" s="273">
        <v>5298974</v>
      </c>
      <c r="P106" s="273">
        <v>5532859</v>
      </c>
      <c r="Q106" s="273">
        <v>5330938</v>
      </c>
      <c r="R106" s="273">
        <v>3923623</v>
      </c>
      <c r="S106" s="273">
        <v>4023693</v>
      </c>
      <c r="T106" s="273">
        <v>3554290</v>
      </c>
      <c r="U106" s="273">
        <v>3161685</v>
      </c>
      <c r="V106" s="273">
        <v>2718894</v>
      </c>
      <c r="W106" s="273">
        <v>3593114</v>
      </c>
      <c r="X106" s="273">
        <v>4868361</v>
      </c>
    </row>
    <row r="107" spans="1:24" ht="14.25" thickBot="1" x14ac:dyDescent="0.3">
      <c r="A107" s="225" t="s">
        <v>22</v>
      </c>
      <c r="B107" s="275">
        <v>20552</v>
      </c>
      <c r="C107" s="275">
        <v>20073</v>
      </c>
      <c r="D107" s="275">
        <v>22331</v>
      </c>
      <c r="E107" s="275">
        <v>1374</v>
      </c>
      <c r="F107" s="275">
        <v>4761</v>
      </c>
      <c r="G107" s="274">
        <v>0</v>
      </c>
      <c r="H107" s="274">
        <v>950</v>
      </c>
      <c r="I107" s="274">
        <v>0</v>
      </c>
      <c r="J107" s="274">
        <v>707</v>
      </c>
      <c r="K107" s="274">
        <v>824</v>
      </c>
      <c r="L107" s="274">
        <v>0</v>
      </c>
      <c r="M107" s="274">
        <v>50</v>
      </c>
      <c r="N107" s="274">
        <v>442</v>
      </c>
      <c r="O107" s="274">
        <v>0</v>
      </c>
      <c r="P107" s="274">
        <v>0</v>
      </c>
      <c r="Q107" s="275">
        <v>249750</v>
      </c>
      <c r="R107" s="275">
        <v>666248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1607082</v>
      </c>
      <c r="C108" s="273">
        <v>1746984</v>
      </c>
      <c r="D108" s="273">
        <v>1888435</v>
      </c>
      <c r="E108" s="273">
        <v>1715071</v>
      </c>
      <c r="F108" s="273">
        <v>1572573</v>
      </c>
      <c r="G108" s="273">
        <v>1868679</v>
      </c>
      <c r="H108" s="273">
        <v>1878801</v>
      </c>
      <c r="I108" s="273">
        <v>1719991</v>
      </c>
      <c r="J108" s="273">
        <v>1578138</v>
      </c>
      <c r="K108" s="273">
        <v>1840422</v>
      </c>
      <c r="L108" s="273">
        <v>2121717</v>
      </c>
      <c r="M108" s="273">
        <v>1692745</v>
      </c>
      <c r="N108" s="273">
        <v>1680723</v>
      </c>
      <c r="O108" s="273">
        <v>1743922</v>
      </c>
      <c r="P108" s="273">
        <v>2055853</v>
      </c>
      <c r="Q108" s="273">
        <v>1718402</v>
      </c>
      <c r="R108" s="273">
        <v>1567057</v>
      </c>
      <c r="S108" s="273">
        <v>1812729</v>
      </c>
      <c r="T108" s="273">
        <v>1727757</v>
      </c>
      <c r="U108" s="273">
        <v>1730326</v>
      </c>
      <c r="V108" s="273">
        <v>1427170</v>
      </c>
      <c r="W108" s="273">
        <v>1765130</v>
      </c>
      <c r="X108" s="273">
        <v>2154779</v>
      </c>
    </row>
    <row r="109" spans="1:24" ht="14.25" thickBot="1" x14ac:dyDescent="0.3">
      <c r="A109" s="225" t="s">
        <v>264</v>
      </c>
      <c r="B109" s="275">
        <v>1402990</v>
      </c>
      <c r="C109" s="275">
        <v>1455025</v>
      </c>
      <c r="D109" s="275">
        <v>1376334</v>
      </c>
      <c r="E109" s="275">
        <v>1442271</v>
      </c>
      <c r="F109" s="275">
        <v>1478846</v>
      </c>
      <c r="G109" s="275">
        <v>1708732</v>
      </c>
      <c r="H109" s="275">
        <v>1687870</v>
      </c>
      <c r="I109" s="275">
        <v>1781691</v>
      </c>
      <c r="J109" s="275">
        <v>1618718</v>
      </c>
      <c r="K109" s="275">
        <v>1635990</v>
      </c>
      <c r="L109" s="275">
        <v>1851284</v>
      </c>
      <c r="M109" s="275">
        <v>1856898</v>
      </c>
      <c r="N109" s="275">
        <v>1792554</v>
      </c>
      <c r="O109" s="275">
        <v>1732230</v>
      </c>
      <c r="P109" s="275">
        <v>1636294</v>
      </c>
      <c r="Q109" s="275">
        <v>1603068</v>
      </c>
      <c r="R109" s="275">
        <v>1530208</v>
      </c>
      <c r="S109" s="275">
        <v>1666896</v>
      </c>
      <c r="T109" s="275">
        <v>1705910</v>
      </c>
      <c r="U109" s="275">
        <v>1949203</v>
      </c>
      <c r="V109" s="275">
        <v>1892251</v>
      </c>
      <c r="W109" s="275">
        <v>1912474</v>
      </c>
      <c r="X109" s="275">
        <v>1915509</v>
      </c>
    </row>
    <row r="110" spans="1:24" ht="14.25" thickBot="1" x14ac:dyDescent="0.3">
      <c r="A110" s="224" t="s">
        <v>23</v>
      </c>
      <c r="B110" s="273">
        <v>506423</v>
      </c>
      <c r="C110" s="273">
        <v>406270</v>
      </c>
      <c r="D110" s="273">
        <v>441982</v>
      </c>
      <c r="E110" s="273">
        <v>293028</v>
      </c>
      <c r="F110" s="273">
        <v>408080</v>
      </c>
      <c r="G110" s="273">
        <v>446541</v>
      </c>
      <c r="H110" s="273">
        <v>394575</v>
      </c>
      <c r="I110" s="273">
        <v>291028</v>
      </c>
      <c r="J110" s="273">
        <v>427446</v>
      </c>
      <c r="K110" s="273">
        <v>661638</v>
      </c>
      <c r="L110" s="273">
        <v>556565</v>
      </c>
      <c r="M110" s="273">
        <v>486973</v>
      </c>
      <c r="N110" s="273">
        <v>499774</v>
      </c>
      <c r="O110" s="273">
        <v>552945</v>
      </c>
      <c r="P110" s="273">
        <v>734918</v>
      </c>
      <c r="Q110" s="273">
        <v>489248</v>
      </c>
      <c r="R110" s="273">
        <v>658480</v>
      </c>
      <c r="S110" s="273">
        <v>643663</v>
      </c>
      <c r="T110" s="273">
        <v>561958</v>
      </c>
      <c r="U110" s="273">
        <v>635196</v>
      </c>
      <c r="V110" s="273">
        <v>873296</v>
      </c>
      <c r="W110" s="273">
        <v>940678</v>
      </c>
      <c r="X110" s="273">
        <v>968598</v>
      </c>
    </row>
    <row r="111" spans="1:24" ht="14.25" thickBot="1" x14ac:dyDescent="0.3">
      <c r="A111" s="225" t="s">
        <v>24</v>
      </c>
      <c r="B111" s="275">
        <v>4757411</v>
      </c>
      <c r="C111" s="275">
        <v>5090597</v>
      </c>
      <c r="D111" s="275">
        <v>5449872</v>
      </c>
      <c r="E111" s="275">
        <v>4922792</v>
      </c>
      <c r="F111" s="275">
        <v>5166153</v>
      </c>
      <c r="G111" s="275">
        <v>5940454</v>
      </c>
      <c r="H111" s="275">
        <v>6084219</v>
      </c>
      <c r="I111" s="275">
        <v>6313685</v>
      </c>
      <c r="J111" s="275">
        <v>6490813</v>
      </c>
      <c r="K111" s="275">
        <v>7602811</v>
      </c>
      <c r="L111" s="275">
        <v>8164511</v>
      </c>
      <c r="M111" s="275">
        <v>8498553</v>
      </c>
      <c r="N111" s="275">
        <v>8892769</v>
      </c>
      <c r="O111" s="275">
        <v>9328071</v>
      </c>
      <c r="P111" s="275">
        <v>9959924</v>
      </c>
      <c r="Q111" s="275">
        <v>9391406</v>
      </c>
      <c r="R111" s="275">
        <v>8345616</v>
      </c>
      <c r="S111" s="275">
        <v>8146981</v>
      </c>
      <c r="T111" s="275">
        <v>7549915</v>
      </c>
      <c r="U111" s="275">
        <v>7476410</v>
      </c>
      <c r="V111" s="275">
        <v>6911611</v>
      </c>
      <c r="W111" s="275">
        <v>8211396</v>
      </c>
      <c r="X111" s="275">
        <v>9907247</v>
      </c>
    </row>
    <row r="112" spans="1:24" ht="14.25" thickBot="1" x14ac:dyDescent="0.3">
      <c r="A112" s="224" t="s">
        <v>25</v>
      </c>
      <c r="B112" s="273">
        <v>91188</v>
      </c>
      <c r="C112" s="273">
        <v>89336</v>
      </c>
      <c r="D112" s="273">
        <v>90654</v>
      </c>
      <c r="E112" s="273">
        <v>89876</v>
      </c>
      <c r="F112" s="273">
        <v>89783</v>
      </c>
      <c r="G112" s="273">
        <v>89546</v>
      </c>
      <c r="H112" s="273">
        <v>89318</v>
      </c>
      <c r="I112" s="273">
        <v>90862</v>
      </c>
      <c r="J112" s="273">
        <v>90997</v>
      </c>
      <c r="K112" s="273">
        <v>91015</v>
      </c>
      <c r="L112" s="273">
        <v>40837</v>
      </c>
      <c r="M112" s="273">
        <v>41453</v>
      </c>
      <c r="N112" s="273">
        <v>41180</v>
      </c>
      <c r="O112" s="273">
        <v>40823</v>
      </c>
      <c r="P112" s="273">
        <v>39443</v>
      </c>
      <c r="Q112" s="273">
        <v>40715</v>
      </c>
      <c r="R112" s="273">
        <v>39170</v>
      </c>
      <c r="S112" s="273">
        <v>38404</v>
      </c>
      <c r="T112" s="273">
        <v>38322</v>
      </c>
      <c r="U112" s="273">
        <v>40414</v>
      </c>
      <c r="V112" s="273">
        <v>40906</v>
      </c>
      <c r="W112" s="273">
        <v>40824</v>
      </c>
      <c r="X112" s="273">
        <v>41111</v>
      </c>
    </row>
    <row r="113" spans="1:24" ht="14.25" thickBot="1" x14ac:dyDescent="0.3">
      <c r="A113" s="225" t="s">
        <v>26</v>
      </c>
      <c r="B113" s="275">
        <v>6466816</v>
      </c>
      <c r="C113" s="275">
        <v>6454611</v>
      </c>
      <c r="D113" s="275">
        <v>6366533</v>
      </c>
      <c r="E113" s="275">
        <v>6309229</v>
      </c>
      <c r="F113" s="275">
        <v>6261054</v>
      </c>
      <c r="G113" s="275">
        <v>6247567</v>
      </c>
      <c r="H113" s="275">
        <v>6188541</v>
      </c>
      <c r="I113" s="275">
        <v>6353212</v>
      </c>
      <c r="J113" s="275">
        <v>6402019</v>
      </c>
      <c r="K113" s="275">
        <v>6646412</v>
      </c>
      <c r="L113" s="275">
        <v>7351988</v>
      </c>
      <c r="M113" s="275">
        <v>7774260</v>
      </c>
      <c r="N113" s="275">
        <v>7794459</v>
      </c>
      <c r="O113" s="275">
        <v>7770183</v>
      </c>
      <c r="P113" s="275">
        <v>7941771</v>
      </c>
      <c r="Q113" s="275">
        <v>8152440</v>
      </c>
      <c r="R113" s="275">
        <v>8378564</v>
      </c>
      <c r="S113" s="275">
        <v>8676767</v>
      </c>
      <c r="T113" s="275">
        <v>9234445</v>
      </c>
      <c r="U113" s="275">
        <v>10388063</v>
      </c>
      <c r="V113" s="275">
        <v>10542172</v>
      </c>
      <c r="W113" s="275">
        <v>11097738</v>
      </c>
      <c r="X113" s="275">
        <v>11441840</v>
      </c>
    </row>
    <row r="114" spans="1:24" ht="14.25" thickBot="1" x14ac:dyDescent="0.3">
      <c r="A114" s="224" t="s">
        <v>27</v>
      </c>
      <c r="B114" s="273">
        <v>160916</v>
      </c>
      <c r="C114" s="273">
        <v>162044</v>
      </c>
      <c r="D114" s="273">
        <v>166417</v>
      </c>
      <c r="E114" s="273">
        <v>190981</v>
      </c>
      <c r="F114" s="273">
        <v>387486</v>
      </c>
      <c r="G114" s="273">
        <v>465411</v>
      </c>
      <c r="H114" s="273">
        <v>469207</v>
      </c>
      <c r="I114" s="273">
        <v>500792</v>
      </c>
      <c r="J114" s="273">
        <v>630077</v>
      </c>
      <c r="K114" s="273">
        <v>454656</v>
      </c>
      <c r="L114" s="273">
        <v>646288</v>
      </c>
      <c r="M114" s="273">
        <v>600048</v>
      </c>
      <c r="N114" s="273">
        <v>570057</v>
      </c>
      <c r="O114" s="273">
        <v>648936</v>
      </c>
      <c r="P114" s="273">
        <v>722964</v>
      </c>
      <c r="Q114" s="273">
        <v>814774</v>
      </c>
      <c r="R114" s="273">
        <v>949806</v>
      </c>
      <c r="S114" s="273">
        <v>1200113</v>
      </c>
      <c r="T114" s="273">
        <v>1507254</v>
      </c>
      <c r="U114" s="273">
        <v>672281</v>
      </c>
      <c r="V114" s="273">
        <v>601758</v>
      </c>
      <c r="W114" s="273">
        <v>625494</v>
      </c>
      <c r="X114" s="273">
        <v>641539</v>
      </c>
    </row>
    <row r="115" spans="1:24" ht="14.25" thickBot="1" x14ac:dyDescent="0.3">
      <c r="A115" s="225" t="s">
        <v>265</v>
      </c>
      <c r="B115" s="276">
        <v>11476331</v>
      </c>
      <c r="C115" s="276">
        <v>11796588</v>
      </c>
      <c r="D115" s="276">
        <v>12073476</v>
      </c>
      <c r="E115" s="276">
        <v>11512878</v>
      </c>
      <c r="F115" s="276">
        <v>11904476</v>
      </c>
      <c r="G115" s="276">
        <v>12742978</v>
      </c>
      <c r="H115" s="276">
        <v>12831285</v>
      </c>
      <c r="I115" s="276">
        <v>13258551</v>
      </c>
      <c r="J115" s="276">
        <v>13613906</v>
      </c>
      <c r="K115" s="276">
        <v>14794894</v>
      </c>
      <c r="L115" s="276">
        <v>16203624</v>
      </c>
      <c r="M115" s="276">
        <v>16914314</v>
      </c>
      <c r="N115" s="276">
        <v>17298465</v>
      </c>
      <c r="O115" s="276">
        <v>17788013</v>
      </c>
      <c r="P115" s="276">
        <v>18664102</v>
      </c>
      <c r="Q115" s="276">
        <v>18399335</v>
      </c>
      <c r="R115" s="276">
        <v>17713156</v>
      </c>
      <c r="S115" s="276">
        <v>18062265</v>
      </c>
      <c r="T115" s="276">
        <v>18329936</v>
      </c>
      <c r="U115" s="276">
        <v>18577168</v>
      </c>
      <c r="V115" s="276">
        <v>18096447</v>
      </c>
      <c r="W115" s="276">
        <v>19975452</v>
      </c>
      <c r="X115" s="276">
        <v>22031737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2473341</v>
      </c>
      <c r="C118" s="273">
        <v>2519712</v>
      </c>
      <c r="D118" s="273">
        <v>2364452</v>
      </c>
      <c r="E118" s="273">
        <v>1403575</v>
      </c>
      <c r="F118" s="273">
        <v>1317036</v>
      </c>
      <c r="G118" s="273">
        <v>1505505</v>
      </c>
      <c r="H118" s="273">
        <v>1712510</v>
      </c>
      <c r="I118" s="273">
        <v>1945686</v>
      </c>
      <c r="J118" s="273">
        <v>2134851</v>
      </c>
      <c r="K118" s="273">
        <v>2563932</v>
      </c>
      <c r="L118" s="273">
        <v>3923154</v>
      </c>
      <c r="M118" s="273">
        <v>3405688</v>
      </c>
      <c r="N118" s="273">
        <v>3620544</v>
      </c>
      <c r="O118" s="273">
        <v>3457295</v>
      </c>
      <c r="P118" s="273">
        <v>4102381</v>
      </c>
      <c r="Q118" s="273">
        <v>3612664</v>
      </c>
      <c r="R118" s="273">
        <v>2868922</v>
      </c>
      <c r="S118" s="273">
        <v>2394862</v>
      </c>
      <c r="T118" s="273">
        <v>1826998</v>
      </c>
      <c r="U118" s="273">
        <v>1624233</v>
      </c>
      <c r="V118" s="273">
        <v>1760161</v>
      </c>
      <c r="W118" s="273">
        <v>2493713</v>
      </c>
      <c r="X118" s="273">
        <v>3599875</v>
      </c>
    </row>
    <row r="119" spans="1:24" ht="14.25" thickBot="1" x14ac:dyDescent="0.3">
      <c r="A119" s="225" t="s">
        <v>29</v>
      </c>
      <c r="B119" s="275">
        <v>349804</v>
      </c>
      <c r="C119" s="275">
        <v>359834</v>
      </c>
      <c r="D119" s="275">
        <v>339817</v>
      </c>
      <c r="E119" s="275">
        <v>14997</v>
      </c>
      <c r="F119" s="275">
        <v>39995</v>
      </c>
      <c r="G119" s="275">
        <v>69993</v>
      </c>
      <c r="H119" s="275">
        <v>109969</v>
      </c>
      <c r="I119" s="275">
        <v>44951</v>
      </c>
      <c r="J119" s="275">
        <v>84960</v>
      </c>
      <c r="K119" s="275">
        <v>134975</v>
      </c>
      <c r="L119" s="275">
        <v>239929</v>
      </c>
      <c r="M119" s="275">
        <v>99994</v>
      </c>
      <c r="N119" s="275">
        <v>110000</v>
      </c>
      <c r="O119" s="275">
        <v>109994</v>
      </c>
      <c r="P119" s="275">
        <v>114988</v>
      </c>
      <c r="Q119" s="275">
        <v>149967</v>
      </c>
      <c r="R119" s="275">
        <v>199931</v>
      </c>
      <c r="S119" s="275">
        <v>244927</v>
      </c>
      <c r="T119" s="275">
        <v>354818</v>
      </c>
      <c r="U119" s="275">
        <v>289915</v>
      </c>
      <c r="V119" s="275">
        <v>329889</v>
      </c>
      <c r="W119" s="275">
        <v>287907</v>
      </c>
      <c r="X119" s="275">
        <v>234909</v>
      </c>
    </row>
    <row r="120" spans="1:24" ht="14.25" thickBot="1" x14ac:dyDescent="0.3">
      <c r="A120" s="224" t="s">
        <v>266</v>
      </c>
      <c r="B120" s="273">
        <v>705764</v>
      </c>
      <c r="C120" s="273">
        <v>549168</v>
      </c>
      <c r="D120" s="273">
        <v>524007</v>
      </c>
      <c r="E120" s="273">
        <v>504234</v>
      </c>
      <c r="F120" s="273">
        <v>557023</v>
      </c>
      <c r="G120" s="273">
        <v>757521</v>
      </c>
      <c r="H120" s="273">
        <v>681962</v>
      </c>
      <c r="I120" s="273">
        <v>646284</v>
      </c>
      <c r="J120" s="273">
        <v>718581</v>
      </c>
      <c r="K120" s="273">
        <v>702691</v>
      </c>
      <c r="L120" s="273">
        <v>777672</v>
      </c>
      <c r="M120" s="273">
        <v>665112</v>
      </c>
      <c r="N120" s="273">
        <v>630526</v>
      </c>
      <c r="O120" s="273">
        <v>790147</v>
      </c>
      <c r="P120" s="273">
        <v>725641</v>
      </c>
      <c r="Q120" s="273">
        <v>722074</v>
      </c>
      <c r="R120" s="273">
        <v>727230</v>
      </c>
      <c r="S120" s="273">
        <v>741844</v>
      </c>
      <c r="T120" s="273">
        <v>861186</v>
      </c>
      <c r="U120" s="273">
        <v>764886</v>
      </c>
      <c r="V120" s="273">
        <v>735518</v>
      </c>
      <c r="W120" s="273">
        <v>808901</v>
      </c>
      <c r="X120" s="273">
        <v>1122662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5">
        <v>223712</v>
      </c>
      <c r="G121" s="275">
        <v>203075</v>
      </c>
      <c r="H121" s="275">
        <v>203349</v>
      </c>
      <c r="I121" s="275">
        <v>241951</v>
      </c>
      <c r="J121" s="275">
        <v>273557</v>
      </c>
      <c r="K121" s="275">
        <v>270662</v>
      </c>
      <c r="L121" s="275">
        <v>255987</v>
      </c>
      <c r="M121" s="275">
        <v>282132</v>
      </c>
      <c r="N121" s="275">
        <v>306785</v>
      </c>
      <c r="O121" s="275">
        <v>289524</v>
      </c>
      <c r="P121" s="275">
        <v>321606</v>
      </c>
      <c r="Q121" s="275">
        <v>349410</v>
      </c>
      <c r="R121" s="275">
        <v>366112</v>
      </c>
      <c r="S121" s="275">
        <v>352864</v>
      </c>
      <c r="T121" s="275">
        <v>344865</v>
      </c>
      <c r="U121" s="275">
        <v>364333</v>
      </c>
      <c r="V121" s="275">
        <v>327340</v>
      </c>
      <c r="W121" s="275">
        <v>297340</v>
      </c>
      <c r="X121" s="275">
        <v>304009</v>
      </c>
    </row>
    <row r="122" spans="1:24" ht="14.25" thickBot="1" x14ac:dyDescent="0.3">
      <c r="A122" s="224" t="s">
        <v>30</v>
      </c>
      <c r="B122" s="273">
        <v>300530</v>
      </c>
      <c r="C122" s="273">
        <v>301640</v>
      </c>
      <c r="D122" s="273">
        <v>353885</v>
      </c>
      <c r="E122" s="273">
        <v>408528</v>
      </c>
      <c r="F122" s="273">
        <v>613488</v>
      </c>
      <c r="G122" s="273">
        <v>618974</v>
      </c>
      <c r="H122" s="273">
        <v>786945</v>
      </c>
      <c r="I122" s="273">
        <v>1107321</v>
      </c>
      <c r="J122" s="273">
        <v>959735</v>
      </c>
      <c r="K122" s="273">
        <v>850117</v>
      </c>
      <c r="L122" s="273">
        <v>697355</v>
      </c>
      <c r="M122" s="273">
        <v>466463</v>
      </c>
      <c r="N122" s="273">
        <v>270707</v>
      </c>
      <c r="O122" s="273">
        <v>223423</v>
      </c>
      <c r="P122" s="273">
        <v>506357</v>
      </c>
      <c r="Q122" s="273">
        <v>529086</v>
      </c>
      <c r="R122" s="273">
        <v>299159</v>
      </c>
      <c r="S122" s="273">
        <v>639809</v>
      </c>
      <c r="T122" s="273">
        <v>483495</v>
      </c>
      <c r="U122" s="273">
        <v>269791</v>
      </c>
      <c r="V122" s="273">
        <v>438472</v>
      </c>
      <c r="W122" s="273">
        <v>907752</v>
      </c>
      <c r="X122" s="273">
        <v>1821836</v>
      </c>
    </row>
    <row r="123" spans="1:24" ht="14.25" thickBot="1" x14ac:dyDescent="0.3">
      <c r="A123" s="225" t="s">
        <v>31</v>
      </c>
      <c r="B123" s="275">
        <v>805048</v>
      </c>
      <c r="C123" s="275">
        <v>1146907</v>
      </c>
      <c r="D123" s="275">
        <v>1079559</v>
      </c>
      <c r="E123" s="275">
        <v>1059400</v>
      </c>
      <c r="F123" s="275">
        <v>906199</v>
      </c>
      <c r="G123" s="275">
        <v>1379888</v>
      </c>
      <c r="H123" s="275">
        <v>1193487</v>
      </c>
      <c r="I123" s="275">
        <v>1136406</v>
      </c>
      <c r="J123" s="275">
        <v>944382</v>
      </c>
      <c r="K123" s="275">
        <v>1857569</v>
      </c>
      <c r="L123" s="275">
        <v>1324169</v>
      </c>
      <c r="M123" s="275">
        <v>1259324</v>
      </c>
      <c r="N123" s="275">
        <v>1206643</v>
      </c>
      <c r="O123" s="275">
        <v>2044501</v>
      </c>
      <c r="P123" s="275">
        <v>1601590</v>
      </c>
      <c r="Q123" s="275">
        <v>1508274</v>
      </c>
      <c r="R123" s="275">
        <v>1391833</v>
      </c>
      <c r="S123" s="275">
        <v>2369308</v>
      </c>
      <c r="T123" s="275">
        <v>1787849</v>
      </c>
      <c r="U123" s="275">
        <v>1878891</v>
      </c>
      <c r="V123" s="275">
        <v>1463614</v>
      </c>
      <c r="W123" s="275">
        <v>2376078</v>
      </c>
      <c r="X123" s="275">
        <v>1905556</v>
      </c>
    </row>
    <row r="124" spans="1:24" ht="14.25" thickBot="1" x14ac:dyDescent="0.3">
      <c r="A124" s="224" t="s">
        <v>268</v>
      </c>
      <c r="B124" s="273">
        <v>4634487</v>
      </c>
      <c r="C124" s="273">
        <v>4877261</v>
      </c>
      <c r="D124" s="273">
        <v>4661720</v>
      </c>
      <c r="E124" s="273">
        <v>3390734</v>
      </c>
      <c r="F124" s="273">
        <v>3657453</v>
      </c>
      <c r="G124" s="273">
        <v>4534956</v>
      </c>
      <c r="H124" s="273">
        <v>4688222</v>
      </c>
      <c r="I124" s="273">
        <v>5122599</v>
      </c>
      <c r="J124" s="273">
        <v>5116066</v>
      </c>
      <c r="K124" s="273">
        <v>6379946</v>
      </c>
      <c r="L124" s="273">
        <v>7218266</v>
      </c>
      <c r="M124" s="273">
        <v>6178713</v>
      </c>
      <c r="N124" s="273">
        <v>6145205</v>
      </c>
      <c r="O124" s="273">
        <v>6914884</v>
      </c>
      <c r="P124" s="273">
        <v>7372563</v>
      </c>
      <c r="Q124" s="273">
        <v>6871475</v>
      </c>
      <c r="R124" s="273">
        <v>5853187</v>
      </c>
      <c r="S124" s="273">
        <v>6743614</v>
      </c>
      <c r="T124" s="273">
        <v>5659211</v>
      </c>
      <c r="U124" s="273">
        <v>5192049</v>
      </c>
      <c r="V124" s="273">
        <v>5054994</v>
      </c>
      <c r="W124" s="273">
        <v>7171691</v>
      </c>
      <c r="X124" s="273">
        <v>8988847</v>
      </c>
    </row>
    <row r="125" spans="1:24" ht="14.25" thickBot="1" x14ac:dyDescent="0.3">
      <c r="A125" s="225" t="s">
        <v>32</v>
      </c>
      <c r="B125" s="275">
        <v>2035424</v>
      </c>
      <c r="C125" s="275">
        <v>2147748</v>
      </c>
      <c r="D125" s="275">
        <v>2510201</v>
      </c>
      <c r="E125" s="275">
        <v>3146144</v>
      </c>
      <c r="F125" s="275">
        <v>3966409</v>
      </c>
      <c r="G125" s="275">
        <v>3963460</v>
      </c>
      <c r="H125" s="275">
        <v>3684894</v>
      </c>
      <c r="I125" s="275">
        <v>3508300</v>
      </c>
      <c r="J125" s="275">
        <v>3634991</v>
      </c>
      <c r="K125" s="275">
        <v>3906149</v>
      </c>
      <c r="L125" s="275">
        <v>4117122</v>
      </c>
      <c r="M125" s="275">
        <v>5483023</v>
      </c>
      <c r="N125" s="275">
        <v>5659787</v>
      </c>
      <c r="O125" s="275">
        <v>5780326</v>
      </c>
      <c r="P125" s="275">
        <v>5749804</v>
      </c>
      <c r="Q125" s="275">
        <v>5883783</v>
      </c>
      <c r="R125" s="275">
        <v>5951107</v>
      </c>
      <c r="S125" s="275">
        <v>5817991</v>
      </c>
      <c r="T125" s="275">
        <v>7064402</v>
      </c>
      <c r="U125" s="275">
        <v>7762409</v>
      </c>
      <c r="V125" s="275">
        <v>7642086</v>
      </c>
      <c r="W125" s="275">
        <v>7727636</v>
      </c>
      <c r="X125" s="275">
        <v>7643709</v>
      </c>
    </row>
    <row r="126" spans="1:24" ht="14.25" thickBot="1" x14ac:dyDescent="0.3">
      <c r="A126" s="224" t="s">
        <v>33</v>
      </c>
      <c r="B126" s="273">
        <v>788842</v>
      </c>
      <c r="C126" s="273">
        <v>807285</v>
      </c>
      <c r="D126" s="273">
        <v>821541</v>
      </c>
      <c r="E126" s="273">
        <v>882356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7458753</v>
      </c>
      <c r="C127" s="275">
        <v>7832294</v>
      </c>
      <c r="D127" s="275">
        <v>7993462</v>
      </c>
      <c r="E127" s="275">
        <v>7419234</v>
      </c>
      <c r="F127" s="275">
        <v>7623862</v>
      </c>
      <c r="G127" s="275">
        <v>8498416</v>
      </c>
      <c r="H127" s="275">
        <v>8373116</v>
      </c>
      <c r="I127" s="275">
        <v>8630899</v>
      </c>
      <c r="J127" s="275">
        <v>8751057</v>
      </c>
      <c r="K127" s="275">
        <v>10286095</v>
      </c>
      <c r="L127" s="275">
        <v>11335388</v>
      </c>
      <c r="M127" s="275">
        <v>11661736</v>
      </c>
      <c r="N127" s="275">
        <v>11804992</v>
      </c>
      <c r="O127" s="275">
        <v>12695210</v>
      </c>
      <c r="P127" s="275">
        <v>13122367</v>
      </c>
      <c r="Q127" s="275">
        <v>12755258</v>
      </c>
      <c r="R127" s="275">
        <v>11804294</v>
      </c>
      <c r="S127" s="275">
        <v>12561605</v>
      </c>
      <c r="T127" s="275">
        <v>12723613</v>
      </c>
      <c r="U127" s="275">
        <v>12954458</v>
      </c>
      <c r="V127" s="275">
        <v>12697080</v>
      </c>
      <c r="W127" s="275">
        <v>14899327</v>
      </c>
      <c r="X127" s="275">
        <v>16632556</v>
      </c>
    </row>
    <row r="128" spans="1:24" ht="14.25" thickBot="1" x14ac:dyDescent="0.3">
      <c r="A128" s="224" t="s">
        <v>34</v>
      </c>
      <c r="B128" s="273">
        <v>4017578</v>
      </c>
      <c r="C128" s="273">
        <v>3964294</v>
      </c>
      <c r="D128" s="273">
        <v>4080014</v>
      </c>
      <c r="E128" s="273">
        <v>4093644</v>
      </c>
      <c r="F128" s="273">
        <v>4280614</v>
      </c>
      <c r="G128" s="273">
        <v>4244562</v>
      </c>
      <c r="H128" s="273">
        <v>4458169</v>
      </c>
      <c r="I128" s="273">
        <v>4627652</v>
      </c>
      <c r="J128" s="273">
        <v>4862849</v>
      </c>
      <c r="K128" s="273">
        <v>4508799</v>
      </c>
      <c r="L128" s="273">
        <v>4868236</v>
      </c>
      <c r="M128" s="273">
        <v>5252578</v>
      </c>
      <c r="N128" s="273">
        <v>5493473</v>
      </c>
      <c r="O128" s="273">
        <v>5092803</v>
      </c>
      <c r="P128" s="273">
        <v>5541735</v>
      </c>
      <c r="Q128" s="273">
        <v>5644077</v>
      </c>
      <c r="R128" s="273">
        <v>5908862</v>
      </c>
      <c r="S128" s="273">
        <v>5500660</v>
      </c>
      <c r="T128" s="273">
        <v>5606323</v>
      </c>
      <c r="U128" s="273">
        <v>5622710</v>
      </c>
      <c r="V128" s="273">
        <v>5399367</v>
      </c>
      <c r="W128" s="273">
        <v>5076125</v>
      </c>
      <c r="X128" s="273">
        <v>5399181</v>
      </c>
    </row>
    <row r="129" spans="1:24" ht="14.25" thickBot="1" x14ac:dyDescent="0.3">
      <c r="A129" s="225" t="s">
        <v>35</v>
      </c>
      <c r="B129" s="276">
        <v>11476331</v>
      </c>
      <c r="C129" s="276">
        <v>11796588</v>
      </c>
      <c r="D129" s="276">
        <v>12073476</v>
      </c>
      <c r="E129" s="276">
        <v>11512878</v>
      </c>
      <c r="F129" s="276">
        <v>11904476</v>
      </c>
      <c r="G129" s="276">
        <v>12742978</v>
      </c>
      <c r="H129" s="276">
        <v>12831285</v>
      </c>
      <c r="I129" s="276">
        <v>13258551</v>
      </c>
      <c r="J129" s="276">
        <v>13613906</v>
      </c>
      <c r="K129" s="276">
        <v>14794894</v>
      </c>
      <c r="L129" s="276">
        <v>16203624</v>
      </c>
      <c r="M129" s="276">
        <v>16914314</v>
      </c>
      <c r="N129" s="276">
        <v>17298465</v>
      </c>
      <c r="O129" s="276">
        <v>17788013</v>
      </c>
      <c r="P129" s="276">
        <v>18664102</v>
      </c>
      <c r="Q129" s="276">
        <v>18399335</v>
      </c>
      <c r="R129" s="276">
        <v>17713156</v>
      </c>
      <c r="S129" s="276">
        <v>18062265</v>
      </c>
      <c r="T129" s="276">
        <v>18329936</v>
      </c>
      <c r="U129" s="276">
        <v>18577168</v>
      </c>
      <c r="V129" s="276">
        <v>18096447</v>
      </c>
      <c r="W129" s="276">
        <v>19975452</v>
      </c>
      <c r="X129" s="276">
        <v>22031737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5.42</v>
      </c>
      <c r="C132" s="68">
        <v>6.47</v>
      </c>
      <c r="D132" s="68">
        <v>6.87</v>
      </c>
      <c r="E132" s="68">
        <v>10.95</v>
      </c>
      <c r="F132" s="68">
        <v>6.44</v>
      </c>
    </row>
    <row r="133" spans="1:24" ht="14.25" thickBot="1" x14ac:dyDescent="0.3">
      <c r="A133" s="225" t="s">
        <v>37</v>
      </c>
      <c r="B133" s="274">
        <v>-2.38</v>
      </c>
      <c r="C133" s="274">
        <v>-3.41</v>
      </c>
      <c r="D133" s="274">
        <v>-8.5500000000000007</v>
      </c>
      <c r="E133" s="274">
        <v>-6.5</v>
      </c>
      <c r="F133" s="274">
        <v>-11.3</v>
      </c>
    </row>
    <row r="134" spans="1:24" ht="14.25" thickBot="1" x14ac:dyDescent="0.3">
      <c r="A134" s="224" t="s">
        <v>38</v>
      </c>
      <c r="B134" s="68">
        <v>-2.06</v>
      </c>
      <c r="C134" s="68">
        <v>1.04</v>
      </c>
      <c r="D134" s="68">
        <v>8.5500000000000007</v>
      </c>
      <c r="E134" s="68">
        <v>-0.69</v>
      </c>
      <c r="F134" s="68">
        <v>-2.97</v>
      </c>
    </row>
    <row r="135" spans="1:24" ht="14.25" thickBot="1" x14ac:dyDescent="0.3">
      <c r="A135" s="225" t="s">
        <v>270</v>
      </c>
      <c r="B135" s="274">
        <v>3.05</v>
      </c>
      <c r="C135" s="274">
        <v>3.06</v>
      </c>
      <c r="D135" s="274">
        <v>-1.67</v>
      </c>
      <c r="E135" s="274">
        <v>4.45</v>
      </c>
      <c r="F135" s="274">
        <v>-4.8499999999999996</v>
      </c>
    </row>
    <row r="136" spans="1:24" ht="14.25" thickBot="1" x14ac:dyDescent="0.3">
      <c r="A136" s="229" t="s">
        <v>39</v>
      </c>
      <c r="B136" s="72">
        <v>0.99</v>
      </c>
      <c r="C136" s="72">
        <v>4.0999999999999996</v>
      </c>
      <c r="D136" s="72">
        <v>6.88</v>
      </c>
      <c r="E136" s="72">
        <v>3.76</v>
      </c>
      <c r="F136" s="72">
        <v>-7.83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</v>
      </c>
      <c r="C140" s="68">
        <v>2</v>
      </c>
      <c r="D140" s="68">
        <v>2.1</v>
      </c>
      <c r="E140" s="68">
        <v>2.6</v>
      </c>
      <c r="F140" s="68">
        <v>2.8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0.55248618784530401</v>
      </c>
      <c r="C142" s="234">
        <f>IF(C140&lt;&gt;"無",IF(ISNA(HLOOKUP(C139,$B$64:$F$69,6,FALSE)),"",C140/HLOOKUP(C139,$B$64:$F$69,6,FALSE)),"")</f>
        <v>0.57971014492753625</v>
      </c>
      <c r="D142" s="234">
        <f>IF(D140&lt;&gt;"無",IF(ISNA(HLOOKUP(D139,$B$64:$F$69,6,FALSE)),"",D140/HLOOKUP(D139,$B$64:$F$69,6,FALSE)),"")</f>
        <v>0.54973821989528804</v>
      </c>
      <c r="E142" s="234">
        <f>IF(E140&lt;&gt;"無",IF(ISNA(HLOOKUP(E139,$B$64:$F$69,6,FALSE)),"",E140/HLOOKUP(E139,$B$64:$F$69,6,FALSE)),"")</f>
        <v>0.57777777777777783</v>
      </c>
      <c r="F142" s="234">
        <f>IF(F140&lt;&gt;"無",IF(ISNA(HLOOKUP(F139,$B$64:$F$69,6,FALSE)),"",F140/HLOOKUP(F139,$B$64:$F$69,6,FALSE)),"")</f>
        <v>0.57731958762886604</v>
      </c>
    </row>
    <row r="143" spans="1:24" x14ac:dyDescent="0.25">
      <c r="A143" s="233" t="s">
        <v>216</v>
      </c>
      <c r="B143" s="234">
        <f>IF(OR(B140=0,B140="無"),"",B135/B140)</f>
        <v>3.05</v>
      </c>
      <c r="C143" s="234">
        <f>IF(OR(C140=0,C140="無"),"",C135/C140)</f>
        <v>1.53</v>
      </c>
      <c r="D143" s="234">
        <f>IF(OR(D140=0,D140="無"),"",D135/D140)</f>
        <v>-0.79523809523809519</v>
      </c>
      <c r="E143" s="234">
        <f>IF(OR(E140=0,E140="無"),"",E135/E140)</f>
        <v>1.7115384615384615</v>
      </c>
      <c r="F143" s="234">
        <f>IF(OR(F140=0,F140="無"),"",F135/F140)</f>
        <v>-1.7321428571428572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27.83</v>
      </c>
      <c r="C146" s="68">
        <v>29.98</v>
      </c>
      <c r="D146" s="68">
        <v>29.14</v>
      </c>
      <c r="E146" s="68">
        <v>30.16</v>
      </c>
      <c r="F146" s="68">
        <v>31.8</v>
      </c>
      <c r="G146" s="68">
        <v>32.409999999999997</v>
      </c>
      <c r="H146" s="68">
        <v>32.72</v>
      </c>
      <c r="I146" s="68">
        <v>31.85</v>
      </c>
      <c r="J146" s="68">
        <v>32.590000000000003</v>
      </c>
      <c r="K146" s="68">
        <v>33.729999999999997</v>
      </c>
      <c r="L146" s="68">
        <v>32.520000000000003</v>
      </c>
      <c r="M146" s="68">
        <v>33.74</v>
      </c>
      <c r="N146" s="68">
        <v>34.880000000000003</v>
      </c>
      <c r="O146" s="68">
        <v>36.08</v>
      </c>
      <c r="P146" s="68">
        <v>36.44</v>
      </c>
      <c r="Q146" s="68">
        <v>37.369999999999997</v>
      </c>
      <c r="R146" s="68">
        <v>37.08</v>
      </c>
      <c r="S146" s="68">
        <v>38.36</v>
      </c>
      <c r="T146" s="68">
        <v>35.89</v>
      </c>
      <c r="U146" s="68">
        <v>39.22</v>
      </c>
      <c r="V146" s="68">
        <v>33.18</v>
      </c>
      <c r="W146" s="68">
        <v>33.75</v>
      </c>
      <c r="X146" s="68">
        <v>34.22</v>
      </c>
    </row>
    <row r="147" spans="1:24" s="93" customFormat="1" ht="14.25" thickBot="1" x14ac:dyDescent="0.3">
      <c r="A147" s="225" t="s">
        <v>19</v>
      </c>
      <c r="B147" s="274">
        <v>4.8099999999999996</v>
      </c>
      <c r="C147" s="274">
        <v>7.41</v>
      </c>
      <c r="D147" s="274">
        <v>7.24</v>
      </c>
      <c r="E147" s="274">
        <v>7.28</v>
      </c>
      <c r="F147" s="274">
        <v>8.0299999999999994</v>
      </c>
      <c r="G147" s="274">
        <v>10.79</v>
      </c>
      <c r="H147" s="274">
        <v>11.4</v>
      </c>
      <c r="I147" s="274">
        <v>10.7</v>
      </c>
      <c r="J147" s="274">
        <v>9.8000000000000007</v>
      </c>
      <c r="K147" s="274">
        <v>11.91</v>
      </c>
      <c r="L147" s="274">
        <v>9.6999999999999993</v>
      </c>
      <c r="M147" s="274">
        <v>11.07</v>
      </c>
      <c r="N147" s="274">
        <v>11.15</v>
      </c>
      <c r="O147" s="274">
        <v>12.62</v>
      </c>
      <c r="P147" s="274">
        <v>13.52</v>
      </c>
      <c r="Q147" s="274">
        <v>13.05</v>
      </c>
      <c r="R147" s="274">
        <v>12.1</v>
      </c>
      <c r="S147" s="274">
        <v>14.4</v>
      </c>
      <c r="T147" s="274">
        <v>12.53</v>
      </c>
      <c r="U147" s="274">
        <v>10.66</v>
      </c>
      <c r="V147" s="274">
        <v>8.33</v>
      </c>
      <c r="W147" s="274">
        <v>9.3000000000000007</v>
      </c>
      <c r="X147" s="274">
        <v>7.8</v>
      </c>
    </row>
    <row r="148" spans="1:24" s="93" customFormat="1" ht="14.25" thickBot="1" x14ac:dyDescent="0.3">
      <c r="A148" s="224" t="s">
        <v>41</v>
      </c>
      <c r="B148" s="68">
        <v>4.51</v>
      </c>
      <c r="C148" s="68">
        <v>6.54</v>
      </c>
      <c r="D148" s="68">
        <v>6.3</v>
      </c>
      <c r="E148" s="68">
        <v>6.58</v>
      </c>
      <c r="F148" s="68">
        <v>7.61</v>
      </c>
      <c r="G148" s="68">
        <v>10.94</v>
      </c>
      <c r="H148" s="68">
        <v>11.11</v>
      </c>
      <c r="I148" s="68">
        <v>9.51</v>
      </c>
      <c r="J148" s="68">
        <v>9.25</v>
      </c>
      <c r="K148" s="68">
        <v>12.05</v>
      </c>
      <c r="L148" s="68">
        <v>10.41</v>
      </c>
      <c r="M148" s="68">
        <v>10.72</v>
      </c>
      <c r="N148" s="68">
        <v>10.3</v>
      </c>
      <c r="O148" s="68">
        <v>13.01</v>
      </c>
      <c r="P148" s="68">
        <v>9.49</v>
      </c>
      <c r="Q148" s="68">
        <v>12.21</v>
      </c>
      <c r="R148" s="68">
        <v>11.4</v>
      </c>
      <c r="S148" s="68">
        <v>13.16</v>
      </c>
      <c r="T148" s="68">
        <v>12</v>
      </c>
      <c r="U148" s="68">
        <v>8.18</v>
      </c>
      <c r="V148" s="68">
        <v>8.36</v>
      </c>
      <c r="W148" s="68">
        <v>9.6999999999999993</v>
      </c>
      <c r="X148" s="68">
        <v>9.15</v>
      </c>
    </row>
    <row r="149" spans="1:24" s="93" customFormat="1" ht="14.25" thickBot="1" x14ac:dyDescent="0.3">
      <c r="A149" s="225" t="s">
        <v>13</v>
      </c>
      <c r="B149" s="73">
        <v>2.98</v>
      </c>
      <c r="C149" s="73">
        <v>3.6</v>
      </c>
      <c r="D149" s="73">
        <v>4.58</v>
      </c>
      <c r="E149" s="73">
        <v>4.47</v>
      </c>
      <c r="F149" s="73">
        <v>5.08</v>
      </c>
      <c r="G149" s="73">
        <v>6.65</v>
      </c>
      <c r="H149" s="73">
        <v>7.6</v>
      </c>
      <c r="I149" s="73">
        <v>7.17</v>
      </c>
      <c r="J149" s="73">
        <v>6.41</v>
      </c>
      <c r="K149" s="73">
        <v>7.65</v>
      </c>
      <c r="L149" s="73">
        <v>6.61</v>
      </c>
      <c r="M149" s="73">
        <v>6.5</v>
      </c>
      <c r="N149" s="73">
        <v>8.1</v>
      </c>
      <c r="O149" s="73">
        <v>8.65</v>
      </c>
      <c r="P149" s="73">
        <v>5.87</v>
      </c>
      <c r="Q149" s="73">
        <v>7.62</v>
      </c>
      <c r="R149" s="73">
        <v>7.48</v>
      </c>
      <c r="S149" s="73">
        <v>8.58</v>
      </c>
      <c r="T149" s="73">
        <v>7.55</v>
      </c>
      <c r="U149" s="73">
        <v>5.21</v>
      </c>
      <c r="V149" s="73">
        <v>5.51</v>
      </c>
      <c r="W149" s="73">
        <v>6.63</v>
      </c>
      <c r="X149" s="73">
        <v>5.78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29.33</v>
      </c>
      <c r="C152" s="68">
        <v>32.22</v>
      </c>
      <c r="D152" s="68">
        <v>33.159999999999997</v>
      </c>
      <c r="E152" s="68">
        <v>36.229999999999997</v>
      </c>
      <c r="F152" s="68">
        <v>37.67</v>
      </c>
    </row>
    <row r="153" spans="1:24" s="93" customFormat="1" ht="14.25" thickBot="1" x14ac:dyDescent="0.3">
      <c r="A153" s="225" t="s">
        <v>19</v>
      </c>
      <c r="B153" s="274">
        <v>6.76</v>
      </c>
      <c r="C153" s="274">
        <v>10.33</v>
      </c>
      <c r="D153" s="274">
        <v>10.64</v>
      </c>
      <c r="E153" s="274">
        <v>12.63</v>
      </c>
      <c r="F153" s="274">
        <v>12.41</v>
      </c>
    </row>
    <row r="154" spans="1:24" s="93" customFormat="1" ht="14.25" thickBot="1" x14ac:dyDescent="0.3">
      <c r="A154" s="224" t="s">
        <v>41</v>
      </c>
      <c r="B154" s="68">
        <v>6.04</v>
      </c>
      <c r="C154" s="68">
        <v>9.89</v>
      </c>
      <c r="D154" s="68">
        <v>10.64</v>
      </c>
      <c r="E154" s="68">
        <v>11.25</v>
      </c>
      <c r="F154" s="68">
        <v>11.15</v>
      </c>
    </row>
    <row r="155" spans="1:24" s="93" customFormat="1" ht="14.25" thickBot="1" x14ac:dyDescent="0.3">
      <c r="A155" s="225" t="s">
        <v>13</v>
      </c>
      <c r="B155" s="73">
        <v>3.96</v>
      </c>
      <c r="C155" s="73">
        <v>6.7</v>
      </c>
      <c r="D155" s="73">
        <v>6.8</v>
      </c>
      <c r="E155" s="73">
        <v>7.52</v>
      </c>
      <c r="F155" s="73">
        <v>7.18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0.86</v>
      </c>
      <c r="C158" s="68">
        <v>1.04</v>
      </c>
      <c r="D158" s="68">
        <v>1.43</v>
      </c>
      <c r="E158" s="68">
        <v>1.36</v>
      </c>
      <c r="F158" s="68">
        <v>1.4</v>
      </c>
      <c r="G158" s="68">
        <v>1.95</v>
      </c>
      <c r="H158" s="68">
        <v>2.2799999999999998</v>
      </c>
      <c r="I158" s="68">
        <v>2.06</v>
      </c>
      <c r="J158" s="68">
        <v>1.74</v>
      </c>
      <c r="K158" s="68">
        <v>2.17</v>
      </c>
      <c r="L158" s="68">
        <v>1.81</v>
      </c>
      <c r="M158" s="68">
        <v>1.61</v>
      </c>
      <c r="N158" s="68">
        <v>1.86</v>
      </c>
      <c r="O158" s="68">
        <v>2.02</v>
      </c>
      <c r="P158" s="68">
        <v>1.44</v>
      </c>
      <c r="Q158" s="68">
        <v>1.78</v>
      </c>
      <c r="R158" s="68">
        <v>1.64</v>
      </c>
      <c r="S158" s="68">
        <v>2.09</v>
      </c>
      <c r="T158" s="68">
        <v>1.8</v>
      </c>
      <c r="U158" s="68">
        <v>1.51</v>
      </c>
      <c r="V158" s="68">
        <v>1.25</v>
      </c>
      <c r="W158" s="68">
        <v>1.57</v>
      </c>
      <c r="X158" s="68">
        <v>1.37</v>
      </c>
    </row>
    <row r="159" spans="1:24" s="93" customFormat="1" ht="14.25" thickBot="1" x14ac:dyDescent="0.3">
      <c r="A159" s="225" t="s">
        <v>45</v>
      </c>
      <c r="B159" s="73">
        <v>1.97</v>
      </c>
      <c r="C159" s="73">
        <v>2.67</v>
      </c>
      <c r="D159" s="73">
        <v>3.72</v>
      </c>
      <c r="E159" s="73">
        <v>3.49</v>
      </c>
      <c r="F159" s="73">
        <v>3.54</v>
      </c>
      <c r="G159" s="73">
        <v>5.32</v>
      </c>
      <c r="H159" s="73">
        <v>6.31</v>
      </c>
      <c r="I159" s="73">
        <v>5.5</v>
      </c>
      <c r="J159" s="73">
        <v>4.54</v>
      </c>
      <c r="K159" s="73">
        <v>6.2</v>
      </c>
      <c r="L159" s="73">
        <v>5.45</v>
      </c>
      <c r="M159" s="73">
        <v>4.8899999999999997</v>
      </c>
      <c r="N159" s="73">
        <v>5.39</v>
      </c>
      <c r="O159" s="73">
        <v>6.22</v>
      </c>
      <c r="P159" s="73">
        <v>4.51</v>
      </c>
      <c r="Q159" s="73">
        <v>5.46</v>
      </c>
      <c r="R159" s="73">
        <v>4.8099999999999996</v>
      </c>
      <c r="S159" s="73">
        <v>6.24</v>
      </c>
      <c r="T159" s="73">
        <v>5.64</v>
      </c>
      <c r="U159" s="73">
        <v>3.98</v>
      </c>
      <c r="V159" s="73">
        <v>3.79</v>
      </c>
      <c r="W159" s="73">
        <v>5.36</v>
      </c>
      <c r="X159" s="73">
        <v>5.01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3.96</v>
      </c>
      <c r="C162" s="68">
        <v>6.7</v>
      </c>
      <c r="D162" s="68">
        <v>6.8</v>
      </c>
      <c r="E162" s="68">
        <v>7.52</v>
      </c>
      <c r="F162" s="68">
        <v>7.18</v>
      </c>
    </row>
    <row r="163" spans="1:72" s="93" customFormat="1" ht="14.25" thickBot="1" x14ac:dyDescent="0.3">
      <c r="A163" s="225" t="s">
        <v>18</v>
      </c>
      <c r="B163" s="274">
        <v>1.05</v>
      </c>
      <c r="C163" s="274">
        <v>1.01</v>
      </c>
      <c r="D163" s="274">
        <v>0.88</v>
      </c>
      <c r="E163" s="274">
        <v>0.84</v>
      </c>
      <c r="F163" s="274">
        <v>0.88</v>
      </c>
    </row>
    <row r="164" spans="1:72" s="93" customFormat="1" ht="14.25" thickBot="1" x14ac:dyDescent="0.3">
      <c r="A164" s="224" t="s">
        <v>15</v>
      </c>
      <c r="B164" s="68">
        <v>2.81</v>
      </c>
      <c r="C164" s="68">
        <v>2.87</v>
      </c>
      <c r="D164" s="68">
        <v>3.22</v>
      </c>
      <c r="E164" s="68">
        <v>3.26</v>
      </c>
      <c r="F164" s="68">
        <v>3.3</v>
      </c>
    </row>
    <row r="165" spans="1:72" s="93" customFormat="1" ht="14.25" thickBot="1" x14ac:dyDescent="0.3">
      <c r="A165" s="225" t="s">
        <v>45</v>
      </c>
      <c r="B165" s="73">
        <v>11.81</v>
      </c>
      <c r="C165" s="73">
        <v>20.63</v>
      </c>
      <c r="D165" s="73">
        <v>20.420000000000002</v>
      </c>
      <c r="E165" s="73">
        <v>21.36</v>
      </c>
      <c r="F165" s="73">
        <v>20.77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59.21</v>
      </c>
      <c r="C168" s="68">
        <v>51.14</v>
      </c>
      <c r="D168" s="68">
        <v>50</v>
      </c>
      <c r="E168" s="68">
        <v>50.85</v>
      </c>
      <c r="F168" s="68">
        <v>50.85</v>
      </c>
      <c r="G168" s="68">
        <v>45.45</v>
      </c>
      <c r="H168" s="68">
        <v>46.63</v>
      </c>
      <c r="I168" s="68">
        <v>46.39</v>
      </c>
      <c r="J168" s="68">
        <v>44.12</v>
      </c>
      <c r="K168" s="68">
        <v>40.54</v>
      </c>
      <c r="L168" s="68">
        <v>46.15</v>
      </c>
      <c r="M168" s="68">
        <v>45</v>
      </c>
      <c r="N168" s="68">
        <v>42.45</v>
      </c>
      <c r="O168" s="68">
        <v>40.54</v>
      </c>
      <c r="P168" s="68">
        <v>41.86</v>
      </c>
      <c r="Q168" s="68">
        <v>42.45</v>
      </c>
      <c r="R168" s="68">
        <v>39.82</v>
      </c>
      <c r="S168" s="68">
        <v>36.729999999999997</v>
      </c>
      <c r="T168" s="68">
        <v>38.46</v>
      </c>
      <c r="U168" s="68">
        <v>36.29</v>
      </c>
      <c r="V168" s="68">
        <v>37.5</v>
      </c>
      <c r="W168" s="68">
        <v>33.96</v>
      </c>
      <c r="X168" s="68">
        <v>38.96</v>
      </c>
    </row>
    <row r="169" spans="1:72" s="93" customFormat="1" ht="14.25" thickBot="1" x14ac:dyDescent="0.3">
      <c r="A169" s="225" t="s">
        <v>17</v>
      </c>
      <c r="B169" s="274">
        <v>67.67</v>
      </c>
      <c r="C169" s="274">
        <v>62.07</v>
      </c>
      <c r="D169" s="274">
        <v>54.88</v>
      </c>
      <c r="E169" s="274">
        <v>56.96</v>
      </c>
      <c r="F169" s="274">
        <v>66.180000000000007</v>
      </c>
      <c r="G169" s="274">
        <v>62.07</v>
      </c>
      <c r="H169" s="274">
        <v>62.94</v>
      </c>
      <c r="I169" s="274">
        <v>65.69</v>
      </c>
      <c r="J169" s="274">
        <v>67.67</v>
      </c>
      <c r="K169" s="274">
        <v>58.06</v>
      </c>
      <c r="L169" s="274">
        <v>60</v>
      </c>
      <c r="M169" s="274">
        <v>66.180000000000007</v>
      </c>
      <c r="N169" s="274">
        <v>70.31</v>
      </c>
      <c r="O169" s="274">
        <v>65.22</v>
      </c>
      <c r="P169" s="274">
        <v>58.44</v>
      </c>
      <c r="Q169" s="274">
        <v>58.06</v>
      </c>
      <c r="R169" s="274">
        <v>60.4</v>
      </c>
      <c r="S169" s="274">
        <v>56.25</v>
      </c>
      <c r="T169" s="274">
        <v>56.96</v>
      </c>
      <c r="U169" s="274">
        <v>62.94</v>
      </c>
      <c r="V169" s="274">
        <v>68.180000000000007</v>
      </c>
      <c r="W169" s="274">
        <v>61.22</v>
      </c>
      <c r="X169" s="274">
        <v>57.69</v>
      </c>
    </row>
    <row r="170" spans="1:72" s="93" customFormat="1" ht="14.25" thickBot="1" x14ac:dyDescent="0.3">
      <c r="A170" s="224" t="s">
        <v>42</v>
      </c>
      <c r="B170" s="72">
        <v>126.88</v>
      </c>
      <c r="C170" s="72">
        <v>113.21</v>
      </c>
      <c r="D170" s="72">
        <v>104.88</v>
      </c>
      <c r="E170" s="72">
        <v>107.81</v>
      </c>
      <c r="F170" s="72">
        <v>117.02</v>
      </c>
      <c r="G170" s="72">
        <v>107.52</v>
      </c>
      <c r="H170" s="72">
        <v>109.57</v>
      </c>
      <c r="I170" s="72">
        <v>112.09</v>
      </c>
      <c r="J170" s="72">
        <v>111.79</v>
      </c>
      <c r="K170" s="72">
        <v>98.61</v>
      </c>
      <c r="L170" s="72">
        <v>106.15</v>
      </c>
      <c r="M170" s="72">
        <v>111.18</v>
      </c>
      <c r="N170" s="72">
        <v>112.77</v>
      </c>
      <c r="O170" s="72">
        <v>105.76</v>
      </c>
      <c r="P170" s="72">
        <v>100.3</v>
      </c>
      <c r="Q170" s="72">
        <v>100.52</v>
      </c>
      <c r="R170" s="72">
        <v>100.23</v>
      </c>
      <c r="S170" s="72">
        <v>92.98</v>
      </c>
      <c r="T170" s="72">
        <v>95.42</v>
      </c>
      <c r="U170" s="72">
        <v>99.23</v>
      </c>
      <c r="V170" s="72">
        <v>105.68</v>
      </c>
      <c r="W170" s="72">
        <v>95.19</v>
      </c>
      <c r="X170" s="72">
        <v>96.65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280.88</v>
      </c>
      <c r="C173" s="72">
        <v>177.66</v>
      </c>
      <c r="D173" s="72">
        <v>169.22</v>
      </c>
      <c r="E173" s="72">
        <v>232.84</v>
      </c>
      <c r="F173" s="72">
        <v>136.54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16.600000000000001</v>
      </c>
      <c r="C176" s="72">
        <v>20.28</v>
      </c>
      <c r="D176" s="72">
        <v>22.86</v>
      </c>
      <c r="E176" s="72">
        <v>20.82</v>
      </c>
      <c r="F176" s="72">
        <v>21.83</v>
      </c>
      <c r="G176" s="72">
        <v>21.09</v>
      </c>
      <c r="H176" s="72">
        <v>23.05</v>
      </c>
      <c r="I176" s="72">
        <v>21.42</v>
      </c>
      <c r="J176" s="72">
        <v>21.52</v>
      </c>
      <c r="K176" s="72">
        <v>20.71</v>
      </c>
      <c r="L176" s="72">
        <v>16.329999999999998</v>
      </c>
      <c r="M176" s="72">
        <v>17.05</v>
      </c>
      <c r="N176" s="72">
        <v>16.920000000000002</v>
      </c>
      <c r="O176" s="72">
        <v>16.84</v>
      </c>
      <c r="P176" s="72">
        <v>16.87</v>
      </c>
      <c r="Q176" s="72">
        <v>15.79</v>
      </c>
      <c r="R176" s="72">
        <v>15.33</v>
      </c>
      <c r="S176" s="72">
        <v>15.82</v>
      </c>
      <c r="T176" s="72">
        <v>18.72</v>
      </c>
      <c r="U176" s="72">
        <v>15.06</v>
      </c>
      <c r="V176" s="72">
        <v>16.09</v>
      </c>
      <c r="W176" s="72">
        <v>19.03</v>
      </c>
      <c r="X176" s="72">
        <v>15.19</v>
      </c>
      <c r="Y176" s="72">
        <v>14.96</v>
      </c>
      <c r="Z176" s="72">
        <v>14.09</v>
      </c>
      <c r="AA176" s="72">
        <v>15.11</v>
      </c>
      <c r="AB176" s="72">
        <v>17.18</v>
      </c>
      <c r="AC176" s="72">
        <v>16.93</v>
      </c>
      <c r="AD176" s="72">
        <v>16.010000000000002</v>
      </c>
      <c r="AE176" s="72">
        <v>17.05</v>
      </c>
      <c r="AF176" s="72">
        <v>18.489999999999998</v>
      </c>
      <c r="AG176" s="72">
        <v>16.03</v>
      </c>
      <c r="AH176" s="72">
        <v>15.44</v>
      </c>
      <c r="AI176" s="72">
        <v>13.2</v>
      </c>
      <c r="AJ176" s="72">
        <v>13.27</v>
      </c>
      <c r="AK176" s="72">
        <v>14.33</v>
      </c>
      <c r="AL176" s="72">
        <v>14.6</v>
      </c>
      <c r="AM176" s="72">
        <v>14.94</v>
      </c>
      <c r="AN176" s="72">
        <v>16.29</v>
      </c>
      <c r="AO176" s="72">
        <v>17.97</v>
      </c>
      <c r="AP176" s="72">
        <v>16</v>
      </c>
      <c r="AQ176" s="72">
        <v>15.98</v>
      </c>
      <c r="AR176" s="72">
        <v>15.9</v>
      </c>
      <c r="AS176" s="72">
        <v>17.05</v>
      </c>
      <c r="AT176" s="72">
        <v>16.64</v>
      </c>
      <c r="AU176" s="72">
        <v>16.63</v>
      </c>
      <c r="AV176" s="72">
        <v>16.16</v>
      </c>
      <c r="AW176" s="72">
        <v>15.6</v>
      </c>
      <c r="AX176" s="72">
        <v>14.04</v>
      </c>
      <c r="AY176" s="72">
        <v>14.61</v>
      </c>
      <c r="AZ176" s="72">
        <v>14.17</v>
      </c>
      <c r="BA176" s="72">
        <v>13.64</v>
      </c>
      <c r="BB176" s="72">
        <v>13.86</v>
      </c>
      <c r="BC176" s="72">
        <v>14.57</v>
      </c>
      <c r="BD176" s="72">
        <v>15.41</v>
      </c>
      <c r="BE176" s="72">
        <v>15.26</v>
      </c>
      <c r="BF176" s="72">
        <v>15.15</v>
      </c>
      <c r="BG176" s="72">
        <v>14.82</v>
      </c>
      <c r="BH176" s="72">
        <v>13.12</v>
      </c>
      <c r="BI176" s="72">
        <v>12.74</v>
      </c>
      <c r="BJ176" s="72">
        <v>12.78</v>
      </c>
      <c r="BK176" s="72">
        <v>12.94</v>
      </c>
      <c r="BL176" s="72">
        <v>12.92</v>
      </c>
      <c r="BM176" s="72">
        <v>12.37</v>
      </c>
      <c r="BN176" s="72">
        <v>13.42</v>
      </c>
      <c r="BO176" s="72">
        <v>13.71</v>
      </c>
      <c r="BP176" s="72">
        <v>14.25</v>
      </c>
      <c r="BQ176" s="72">
        <v>14.67</v>
      </c>
      <c r="BR176" s="72">
        <v>14.24</v>
      </c>
      <c r="BS176" s="72">
        <v>14.23</v>
      </c>
      <c r="BT176" s="72">
        <v>14.87</v>
      </c>
    </row>
  </sheetData>
  <phoneticPr fontId="3" type="noConversion"/>
  <conditionalFormatting sqref="E4">
    <cfRule type="cellIs" dxfId="6896" priority="103" operator="greaterThan">
      <formula>0.2</formula>
    </cfRule>
    <cfRule type="cellIs" dxfId="6895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6894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893" priority="97" operator="greaterThan">
      <formula>$B$19</formula>
    </cfRule>
  </conditionalFormatting>
  <conditionalFormatting sqref="D33:D34">
    <cfRule type="cellIs" dxfId="6892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6891" priority="91" operator="lessThan">
      <formula>$H$62</formula>
    </cfRule>
    <cfRule type="cellIs" dxfId="6890" priority="92" operator="greaterThan">
      <formula>$H$62</formula>
    </cfRule>
  </conditionalFormatting>
  <conditionalFormatting sqref="J62">
    <cfRule type="cellIs" dxfId="6889" priority="89" operator="lessThan">
      <formula>$K$62</formula>
    </cfRule>
    <cfRule type="cellIs" dxfId="6888" priority="90" operator="greaterThan">
      <formula>$K$62</formula>
    </cfRule>
  </conditionalFormatting>
  <conditionalFormatting sqref="M62">
    <cfRule type="cellIs" dxfId="6887" priority="87" operator="lessThan">
      <formula>$N$62</formula>
    </cfRule>
    <cfRule type="cellIs" dxfId="6886" priority="88" operator="greaterThan">
      <formula>$N$62</formula>
    </cfRule>
  </conditionalFormatting>
  <conditionalFormatting sqref="B44:E44">
    <cfRule type="cellIs" dxfId="6885" priority="85" operator="greaterThan">
      <formula>0</formula>
    </cfRule>
    <cfRule type="cellIs" dxfId="6884" priority="86" operator="lessThan">
      <formula>0</formula>
    </cfRule>
  </conditionalFormatting>
  <conditionalFormatting sqref="F72">
    <cfRule type="cellIs" dxfId="6883" priority="84" operator="lessThan">
      <formula>$E$72*90%</formula>
    </cfRule>
  </conditionalFormatting>
  <conditionalFormatting sqref="F73">
    <cfRule type="cellIs" dxfId="6882" priority="83" operator="lessThan">
      <formula>$E$73*90%</formula>
    </cfRule>
  </conditionalFormatting>
  <conditionalFormatting sqref="F74">
    <cfRule type="cellIs" dxfId="6881" priority="82" operator="lessThan">
      <formula>$E$74*90%</formula>
    </cfRule>
  </conditionalFormatting>
  <conditionalFormatting sqref="F75">
    <cfRule type="cellIs" dxfId="6880" priority="81" operator="lessThan">
      <formula>$E$75*90%</formula>
    </cfRule>
  </conditionalFormatting>
  <conditionalFormatting sqref="H44:K44">
    <cfRule type="cellIs" dxfId="6879" priority="79" operator="greaterThan">
      <formula>0</formula>
    </cfRule>
    <cfRule type="cellIs" dxfId="6878" priority="80" operator="lessThan">
      <formula>0</formula>
    </cfRule>
  </conditionalFormatting>
  <conditionalFormatting sqref="H51:K51">
    <cfRule type="cellIs" dxfId="6877" priority="77" operator="greaterThan">
      <formula>0</formula>
    </cfRule>
    <cfRule type="cellIs" dxfId="6876" priority="78" operator="lessThan">
      <formula>0</formula>
    </cfRule>
  </conditionalFormatting>
  <conditionalFormatting sqref="B51:E51">
    <cfRule type="cellIs" dxfId="6875" priority="75" operator="greaterThan">
      <formula>0</formula>
    </cfRule>
    <cfRule type="cellIs" dxfId="6874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873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872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871" priority="58" operator="lessThan">
      <formula>0</formula>
    </cfRule>
  </conditionalFormatting>
  <conditionalFormatting sqref="A25 E25 C25">
    <cfRule type="cellIs" dxfId="6870" priority="59" operator="lessThan">
      <formula>0</formula>
    </cfRule>
  </conditionalFormatting>
  <conditionalFormatting sqref="F25">
    <cfRule type="cellIs" dxfId="6869" priority="57" operator="lessThan">
      <formula>0</formula>
    </cfRule>
  </conditionalFormatting>
  <conditionalFormatting sqref="E1">
    <cfRule type="containsText" dxfId="6868" priority="56" operator="containsText" text="本季業外損益/平均=-">
      <formula>NOT(ISERROR(SEARCH("本季業外損益/平均=-",E1)))</formula>
    </cfRule>
  </conditionalFormatting>
  <conditionalFormatting sqref="M65">
    <cfRule type="cellIs" dxfId="6867" priority="55" operator="lessThan">
      <formula>$L$65*90%</formula>
    </cfRule>
  </conditionalFormatting>
  <conditionalFormatting sqref="M66">
    <cfRule type="cellIs" dxfId="6866" priority="54" operator="lessThan">
      <formula>$L$66*90%</formula>
    </cfRule>
  </conditionalFormatting>
  <conditionalFormatting sqref="M67">
    <cfRule type="cellIs" dxfId="6865" priority="53" operator="lessThan">
      <formula>$L$67*90%</formula>
    </cfRule>
  </conditionalFormatting>
  <conditionalFormatting sqref="M68">
    <cfRule type="cellIs" dxfId="6864" priority="52" operator="lessThan">
      <formula>$L$68*90%</formula>
    </cfRule>
  </conditionalFormatting>
  <conditionalFormatting sqref="B60">
    <cfRule type="cellIs" dxfId="6863" priority="51" operator="lessThan">
      <formula>0</formula>
    </cfRule>
  </conditionalFormatting>
  <conditionalFormatting sqref="B59:F59">
    <cfRule type="cellIs" dxfId="6862" priority="50" operator="lessThanOrEqual">
      <formula>0</formula>
    </cfRule>
  </conditionalFormatting>
  <conditionalFormatting sqref="D62">
    <cfRule type="cellIs" dxfId="6861" priority="48" operator="lessThan">
      <formula>$E$62</formula>
    </cfRule>
    <cfRule type="cellIs" dxfId="6860" priority="49" operator="greaterThan">
      <formula>$E$62</formula>
    </cfRule>
  </conditionalFormatting>
  <conditionalFormatting sqref="F69">
    <cfRule type="cellIs" dxfId="6859" priority="46" operator="lessThan">
      <formula>0</formula>
    </cfRule>
  </conditionalFormatting>
  <conditionalFormatting sqref="B65:E67 B69:E69 B68:D68">
    <cfRule type="cellIs" dxfId="6858" priority="47" operator="lessThan">
      <formula>0</formula>
    </cfRule>
  </conditionalFormatting>
  <conditionalFormatting sqref="E68">
    <cfRule type="cellIs" dxfId="6857" priority="45" operator="lessThan">
      <formula>0</formula>
    </cfRule>
  </conditionalFormatting>
  <conditionalFormatting sqref="F65:F68">
    <cfRule type="cellIs" dxfId="6856" priority="44" operator="lessThan">
      <formula>0</formula>
    </cfRule>
  </conditionalFormatting>
  <conditionalFormatting sqref="F65:F68">
    <cfRule type="cellIs" dxfId="6855" priority="43" operator="lessThan">
      <formula>$E$65*0.9</formula>
    </cfRule>
  </conditionalFormatting>
  <conditionalFormatting sqref="F66">
    <cfRule type="cellIs" dxfId="6854" priority="42" operator="lessThan">
      <formula>$E$66*0.9</formula>
    </cfRule>
  </conditionalFormatting>
  <conditionalFormatting sqref="F67:F68">
    <cfRule type="cellIs" dxfId="6853" priority="41" operator="lessThan">
      <formula>$E$67*0.9</formula>
    </cfRule>
  </conditionalFormatting>
  <conditionalFormatting sqref="F68">
    <cfRule type="cellIs" dxfId="6852" priority="40" operator="lessThan">
      <formula>$E$68*0.9</formula>
    </cfRule>
  </conditionalFormatting>
  <conditionalFormatting sqref="B13:F13">
    <cfRule type="cellIs" dxfId="6851" priority="29" operator="greaterThan">
      <formula>$I$16</formula>
    </cfRule>
    <cfRule type="cellIs" dxfId="6850" priority="30" operator="lessThanOrEqual">
      <formula>$I$16</formula>
    </cfRule>
  </conditionalFormatting>
  <conditionalFormatting sqref="B10:F10">
    <cfRule type="cellIs" dxfId="6849" priority="31" operator="greaterThan">
      <formula>15</formula>
    </cfRule>
    <cfRule type="cellIs" dxfId="6848" priority="38" operator="lessThan">
      <formula>$I$9</formula>
    </cfRule>
    <cfRule type="cellIs" dxfId="6847" priority="39" operator="greaterThan">
      <formula>$I$9</formula>
    </cfRule>
  </conditionalFormatting>
  <conditionalFormatting sqref="B16:F16">
    <cfRule type="cellIs" dxfId="6846" priority="36" operator="greaterThan">
      <formula>$I$16</formula>
    </cfRule>
    <cfRule type="cellIs" dxfId="6845" priority="37" operator="lessThanOrEqual">
      <formula>$I$16</formula>
    </cfRule>
  </conditionalFormatting>
  <conditionalFormatting sqref="B15:F15">
    <cfRule type="cellIs" dxfId="6844" priority="34" operator="lessThanOrEqual">
      <formula>$I$16</formula>
    </cfRule>
    <cfRule type="cellIs" dxfId="6843" priority="35" operator="greaterThan">
      <formula>$I$16</formula>
    </cfRule>
  </conditionalFormatting>
  <conditionalFormatting sqref="B14:F14">
    <cfRule type="cellIs" dxfId="6842" priority="32" operator="greaterThan">
      <formula>$I$16</formula>
    </cfRule>
    <cfRule type="cellIs" dxfId="6841" priority="33" operator="lessThanOrEqual">
      <formula>$I$16</formula>
    </cfRule>
  </conditionalFormatting>
  <conditionalFormatting sqref="K6">
    <cfRule type="containsText" dxfId="6840" priority="27" operator="containsText" text="衰退">
      <formula>NOT(ISERROR(SEARCH("衰退",K6)))</formula>
    </cfRule>
    <cfRule type="containsText" dxfId="6839" priority="28" operator="containsText" text="成長">
      <formula>NOT(ISERROR(SEARCH("成長",K6)))</formula>
    </cfRule>
  </conditionalFormatting>
  <conditionalFormatting sqref="I4:K4">
    <cfRule type="cellIs" dxfId="6838" priority="25" operator="lessThan">
      <formula>0</formula>
    </cfRule>
    <cfRule type="cellIs" dxfId="6837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836" priority="22" operator="lessThanOrEqual">
      <formula>$I$16</formula>
    </cfRule>
    <cfRule type="cellIs" dxfId="6835" priority="23" operator="greaterThan">
      <formula>$I$16</formula>
    </cfRule>
  </conditionalFormatting>
  <conditionalFormatting sqref="I6">
    <cfRule type="containsText" dxfId="6834" priority="20" operator="containsText" text="衰退">
      <formula>NOT(ISERROR(SEARCH("衰退",I6)))</formula>
    </cfRule>
    <cfRule type="containsText" dxfId="6833" priority="21" operator="containsText" text="成長">
      <formula>NOT(ISERROR(SEARCH("成長",I6)))</formula>
    </cfRule>
  </conditionalFormatting>
  <conditionalFormatting sqref="M9">
    <cfRule type="cellIs" dxfId="6832" priority="19" operator="lessThan">
      <formula>$I$9</formula>
    </cfRule>
  </conditionalFormatting>
  <conditionalFormatting sqref="M10">
    <cfRule type="cellIs" dxfId="6831" priority="18" operator="greaterThan">
      <formula>$I$9</formula>
    </cfRule>
  </conditionalFormatting>
  <conditionalFormatting sqref="M11">
    <cfRule type="cellIs" dxfId="6830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829" priority="14" operator="lessThan">
      <formula>0</formula>
    </cfRule>
    <cfRule type="cellIs" dxfId="6828" priority="15" operator="greaterThan">
      <formula>0.5</formula>
    </cfRule>
  </conditionalFormatting>
  <conditionalFormatting sqref="N14">
    <cfRule type="cellIs" dxfId="6827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826" priority="10" operator="lessThan">
      <formula>0.1</formula>
    </cfRule>
  </conditionalFormatting>
  <conditionalFormatting sqref="I14">
    <cfRule type="cellIs" dxfId="6825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824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823" priority="1" operator="lessThan">
      <formula>$N$5*0.9</formula>
    </cfRule>
    <cfRule type="cellIs" dxfId="6822" priority="2" operator="greaterThan">
      <formula>$N$5*1.1</formula>
    </cfRule>
  </conditionalFormatting>
  <hyperlinks>
    <hyperlink ref="L1" location="儀表板!A1" display="(回首頁)" xr:uid="{00000000-0004-0000-0C00-000000000000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2.55 ~ 9.42</v>
      </c>
      <c r="L1" s="83" t="s">
        <v>176</v>
      </c>
      <c r="M1" s="84" t="str">
        <f ca="1">VLOOKUP(_xlfn.NUMBERVALUE(N1),儀表板!A:B,2,FALSE)</f>
        <v>長興材料</v>
      </c>
      <c r="N1" s="85" t="str">
        <f ca="1">MID(CELL("filename",L1),FIND("]",CELL("filename",L1))+1,255)</f>
        <v>1717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0.18361494227849354</v>
      </c>
    </row>
    <row r="3" spans="1:15" s="93" customFormat="1" x14ac:dyDescent="0.25">
      <c r="A3" s="81" t="s">
        <v>179</v>
      </c>
      <c r="B3" s="94">
        <f>SUM(F19:F22,F24:F27,J19)</f>
        <v>71.919573986048974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20.891186800977223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22.56308423061563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26.644923901174263</v>
      </c>
      <c r="L3" s="100"/>
      <c r="M3" s="79" t="s">
        <v>385</v>
      </c>
      <c r="N3" s="92">
        <f>(F69-E69)/E69</f>
        <v>-0.3544880141523048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115.5</v>
      </c>
      <c r="E4" s="82">
        <f>(D4-F4)/F4</f>
        <v>0.05</v>
      </c>
      <c r="F4" s="103">
        <v>110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1.5621390057514226</v>
      </c>
    </row>
    <row r="5" spans="1:15" s="93" customFormat="1" x14ac:dyDescent="0.25">
      <c r="A5" s="81" t="s">
        <v>184</v>
      </c>
      <c r="B5" s="107">
        <f>SUM(F30:F34)*2</f>
        <v>82.148860964449128</v>
      </c>
      <c r="C5" s="87"/>
      <c r="D5" s="87"/>
      <c r="E5" s="87"/>
      <c r="F5" s="86"/>
      <c r="G5" s="88"/>
      <c r="M5" s="79" t="s">
        <v>386</v>
      </c>
      <c r="N5" s="152">
        <f>D62</f>
        <v>1.5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1.691798078547369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20.91</v>
      </c>
      <c r="N9" s="129"/>
    </row>
    <row r="10" spans="1:15" s="93" customFormat="1" x14ac:dyDescent="0.25">
      <c r="A10" s="123" t="s">
        <v>194</v>
      </c>
      <c r="B10" s="126">
        <f>PERCENTILE(176:176,B9)</f>
        <v>12.23</v>
      </c>
      <c r="C10" s="126">
        <f>PERCENTILE(176:176,C9)</f>
        <v>13.870000000000001</v>
      </c>
      <c r="D10" s="126">
        <f>PERCENTILE(176:176,D9)</f>
        <v>14.98</v>
      </c>
      <c r="E10" s="126">
        <f>PERCENTILE(176:176,E9)</f>
        <v>17.689999999999998</v>
      </c>
      <c r="F10" s="126">
        <f>PERCENTILE(176:176,F9)</f>
        <v>18.88</v>
      </c>
      <c r="G10" s="95"/>
      <c r="H10" s="135"/>
      <c r="I10" s="135"/>
      <c r="J10" s="135"/>
      <c r="K10" s="135"/>
      <c r="L10" s="136" t="s">
        <v>374</v>
      </c>
      <c r="M10" s="130">
        <f>MIN(176:176)</f>
        <v>11.32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17.2</v>
      </c>
      <c r="L11" s="272" t="s">
        <v>193</v>
      </c>
      <c r="M11" s="128">
        <f>STDEV(176:176)</f>
        <v>2.9805807436498739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21.70868347338936</v>
      </c>
      <c r="C13" s="141">
        <f>$B$34/5.88%</f>
        <v>26.360544217687078</v>
      </c>
      <c r="D13" s="141">
        <f>$B$34/5%</f>
        <v>31</v>
      </c>
      <c r="E13" s="141">
        <f>$B$34/4.35%</f>
        <v>35.632183908045981</v>
      </c>
      <c r="F13" s="141">
        <f>$B$34/3.85%</f>
        <v>40.259740259740262</v>
      </c>
      <c r="G13" s="138" t="str">
        <f>"$"&amp;ROUND(B34,2)&amp;"/"&amp;IF(STDEV(C140:F140)/AVERAGE(C140:F140)&lt;15%,"高",IF(STDEV(C140:F140)/AVERAGE(C140:F140)&lt;30%,"中","低"))</f>
        <v>$1.55/高</v>
      </c>
      <c r="H13" s="142" t="s">
        <v>199</v>
      </c>
      <c r="I13" s="143">
        <f>MAX(0,1-J15)</f>
        <v>0.38016528925619841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28.954525000000004</v>
      </c>
      <c r="C14" s="141">
        <f>$B$33*C10</f>
        <v>32.837225000000004</v>
      </c>
      <c r="D14" s="141">
        <f>$B$33*D10</f>
        <v>35.465150000000001</v>
      </c>
      <c r="E14" s="141">
        <f>$B$33*E10</f>
        <v>41.881074999999996</v>
      </c>
      <c r="F14" s="141">
        <f>$B$33*F10</f>
        <v>44.698399999999999</v>
      </c>
      <c r="G14" s="138" t="str">
        <f>"$"&amp;ROUND(B33,2)&amp;"/"&amp;IF(STDEV(B69:E69)/AVERAGE(B69:E69)&lt;15%,"高",IF(STDEV(B69:E69)/AVERAGE(B69:E69)&lt;30%,"中","低"))</f>
        <v>$2.37/高</v>
      </c>
      <c r="H14" s="142" t="s">
        <v>203</v>
      </c>
      <c r="I14" s="145">
        <f>G62/100*I13</f>
        <v>3.0185123966942153E-2</v>
      </c>
      <c r="J14" s="76" t="s">
        <v>204</v>
      </c>
      <c r="K14" s="146"/>
      <c r="L14" s="147">
        <f>(HLOOKUP($C$1,$105:$106,2,FALSE)-HLOOKUP($C$1,$117:$127,9,FALSE))/(HLOOKUP($C$1,$117:$128,12,FALSE)/K11)</f>
        <v>-8.4464983700024359</v>
      </c>
      <c r="M14" s="148">
        <f>E135/E69</f>
        <v>1.1198347107438014</v>
      </c>
      <c r="N14" s="149">
        <f>F173/100</f>
        <v>1.0720000000000001</v>
      </c>
    </row>
    <row r="15" spans="1:15" s="93" customFormat="1" x14ac:dyDescent="0.25">
      <c r="A15" s="140" t="s">
        <v>375</v>
      </c>
      <c r="B15" s="141">
        <f>$D$62*B10</f>
        <v>18.344999999999999</v>
      </c>
      <c r="C15" s="141">
        <f>$D$62*C10</f>
        <v>20.805</v>
      </c>
      <c r="D15" s="141">
        <f>$D$62*D10</f>
        <v>22.47</v>
      </c>
      <c r="E15" s="141">
        <f>$D$62*E10</f>
        <v>26.534999999999997</v>
      </c>
      <c r="F15" s="141">
        <f>$D$62*F10</f>
        <v>28.32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0.61983471074380159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19.1049600403399</v>
      </c>
      <c r="C16" s="141">
        <f>$F$69*C10</f>
        <v>21.666868009772234</v>
      </c>
      <c r="D16" s="141">
        <f>$F$69*D10</f>
        <v>23.40084230615631</v>
      </c>
      <c r="E16" s="141">
        <f>$F$69*E10</f>
        <v>27.634239011742661</v>
      </c>
      <c r="F16" s="141">
        <f>$F$69*F10</f>
        <v>29.493184428586858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532</v>
      </c>
      <c r="J17" s="92">
        <f ca="1">IF(I17&lt;=0,"",IF(I17&lt;=MIN($B$13:$F$16),(I17-MIN($B$13:$F$16))/MIN($B$13:$F$16),IF(I17&gt;=MAX($B$13:$F$16),I17/MAX($B$13:$F$16),PERCENTRANK($B$13:$F$16,I17))))</f>
        <v>11.901992017611368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0.95749999999999991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15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0.61774193548387091</v>
      </c>
      <c r="C20" s="157" t="s">
        <v>217</v>
      </c>
      <c r="D20" s="236">
        <f>COUNTIF(C143:F143,"&gt;=80%")/COUNT(C143:F143)</f>
        <v>0.25</v>
      </c>
      <c r="E20" s="140" t="s">
        <v>218</v>
      </c>
      <c r="F20" s="159">
        <f>IF(B20&gt;=80%,2,0)+D20*8</f>
        <v>2</v>
      </c>
      <c r="G20" s="88" t="s">
        <v>213</v>
      </c>
      <c r="H20" s="123" t="s">
        <v>219</v>
      </c>
      <c r="I20" s="237">
        <f>HLOOKUP($C$1,$117:$127,11,FALSE)*(1-N22)/HLOOKUP($C$1,$105:$115,11,FALSE)</f>
        <v>0.55967325753424835</v>
      </c>
      <c r="J20" s="171">
        <f>HLOOKUP($C$1,$117:$127,11,FALSE)/HLOOKUP($C$1,$105:$115,11,FALSE)</f>
        <v>0.62134489506344759</v>
      </c>
      <c r="K20" s="163"/>
    </row>
    <row r="21" spans="1:14" s="93" customFormat="1" x14ac:dyDescent="0.25">
      <c r="A21" s="151" t="s">
        <v>201</v>
      </c>
      <c r="B21" s="161">
        <f>AVERAGE(C173:F173)/100</f>
        <v>1.496175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1.8567944570522115</v>
      </c>
      <c r="J21" s="78"/>
      <c r="K21" s="164" t="s">
        <v>356</v>
      </c>
      <c r="L21" s="165">
        <f>HLOOKUP($C$1,$105:$115,7,FALSE)/HLOOKUP($C$1,$105:$115,11,FALSE)</f>
        <v>0.57598669653748347</v>
      </c>
      <c r="M21" s="123" t="s">
        <v>268</v>
      </c>
      <c r="N21" s="165">
        <f>HLOOKUP($C$1,$117:$127,8,FALSE)/HLOOKUP($C$1,$117:$127,11,FALSE)</f>
        <v>0.49924748664649504</v>
      </c>
    </row>
    <row r="22" spans="1:14" s="93" customFormat="1" x14ac:dyDescent="0.25">
      <c r="A22" s="140" t="s">
        <v>222</v>
      </c>
      <c r="B22" s="161">
        <f>(-1)*SUM(C133:F133)/SUM(C132:F132)</f>
        <v>0.73141654978962134</v>
      </c>
      <c r="C22" s="157"/>
      <c r="D22" s="166"/>
      <c r="E22" s="140"/>
      <c r="F22" s="159">
        <f>IF(B22&lt;=0,10,IF(B22&gt;=100%,0,(1-B22)*10))</f>
        <v>2.6858345021037868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1.4322781580786121</v>
      </c>
      <c r="J22" s="78"/>
      <c r="K22" s="142" t="s">
        <v>357</v>
      </c>
      <c r="L22" s="165">
        <f>HLOOKUP($C$1,$105:$115,4,FALSE)/HLOOKUP($C$1,$105:$115,11,FALSE)</f>
        <v>0.26897658875104552</v>
      </c>
      <c r="M22" s="123" t="s">
        <v>353</v>
      </c>
      <c r="N22" s="165">
        <f>HLOOKUP($C$1,$117:$127,4,FALSE)/HLOOKUP($C$1,$117:$127,11,FALSE)</f>
        <v>9.9255080421802949E-2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2.6409257051151083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0.13168702639295232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0.9998501229819089</v>
      </c>
      <c r="C24" s="169">
        <f>STDEV(C103:F103)</f>
        <v>5.5400795933607258E-3</v>
      </c>
      <c r="D24" s="76" t="str">
        <f>IF(C24/B24&lt;15%,"高",IF(C24/B24&lt;30%,"中","低"))</f>
        <v>高</v>
      </c>
      <c r="E24" s="149"/>
      <c r="F24" s="160">
        <f>MIN(100%,B24)*5</f>
        <v>4.9992506149095446</v>
      </c>
      <c r="G24" s="88" t="s">
        <v>229</v>
      </c>
      <c r="H24" s="123" t="s">
        <v>16</v>
      </c>
      <c r="I24" s="170">
        <f>HLOOKUP(C1,167:170,2,FALSE)</f>
        <v>109.76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3.7671056968179205E-2</v>
      </c>
      <c r="M24" s="123" t="s">
        <v>355</v>
      </c>
      <c r="N24" s="165">
        <f>HLOOKUP($C$1,$117:$127,9,FALSE)/HLOOKUP($C$1,$117:$127,11,FALSE)</f>
        <v>0.50075251335350501</v>
      </c>
    </row>
    <row r="25" spans="1:14" s="93" customFormat="1" x14ac:dyDescent="0.25">
      <c r="A25" s="151" t="s">
        <v>366</v>
      </c>
      <c r="B25" s="255">
        <f>AVERAGE(94:94)</f>
        <v>25941.434782608696</v>
      </c>
      <c r="C25" s="254">
        <f>STDEV(94:94)/AVERAGE(94:94)</f>
        <v>2.7655111309643599</v>
      </c>
      <c r="D25" s="76" t="str">
        <f>IF(C25&lt;=1,"高",IF(C25&lt;=2,"中","低"))</f>
        <v>低</v>
      </c>
      <c r="E25" s="149"/>
      <c r="F25" s="160">
        <f>MAX(0,10-ABS(C25))</f>
        <v>7.2344888690356406</v>
      </c>
      <c r="G25" s="88" t="s">
        <v>213</v>
      </c>
      <c r="H25" s="123" t="s">
        <v>232</v>
      </c>
      <c r="I25" s="170">
        <f>IF(HLOOKUP(C1,167:170,3,FALSE)="無",0,HLOOKUP(C1,167:170,3,FALSE))</f>
        <v>69.77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111.65217391304351</v>
      </c>
      <c r="C26" s="172">
        <f>IF(COUNTIF(168:168,"&gt;0")=0,0,STDEV(168:168))</f>
        <v>7.9902719014617105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8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76.466521739130442</v>
      </c>
      <c r="C27" s="172">
        <f>IF(COUNTIF(169:169,"&gt;0")=0,0,STDEV(169:169))</f>
        <v>5.7842950452030433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0.20530000000000001</v>
      </c>
      <c r="C30" s="157" t="s">
        <v>217</v>
      </c>
      <c r="D30" s="174">
        <f>COUNTIF(146:146,"&gt;20")/COUNT(146:146)</f>
        <v>0.30434782608695654</v>
      </c>
      <c r="E30" s="140" t="s">
        <v>239</v>
      </c>
      <c r="F30" s="159">
        <f>MIN(B30/25%*10,10)</f>
        <v>8.2119999999999997</v>
      </c>
      <c r="G30" s="175"/>
      <c r="H30" s="176"/>
    </row>
    <row r="31" spans="1:14" x14ac:dyDescent="0.25">
      <c r="A31" s="164" t="s">
        <v>240</v>
      </c>
      <c r="B31" s="173">
        <f>AVERAGE(C155:F155)/100</f>
        <v>6.25E-2</v>
      </c>
      <c r="C31" s="157" t="s">
        <v>217</v>
      </c>
      <c r="D31" s="174">
        <f>COUNTIF(149:149,"&gt;8")/COUNT(149:149)</f>
        <v>8.6956521739130432E-2</v>
      </c>
      <c r="E31" s="140" t="s">
        <v>241</v>
      </c>
      <c r="F31" s="159">
        <f>MIN(B31/10%*10,10)</f>
        <v>6.25</v>
      </c>
      <c r="G31" s="175"/>
    </row>
    <row r="32" spans="1:14" x14ac:dyDescent="0.25">
      <c r="A32" s="155" t="s">
        <v>47</v>
      </c>
      <c r="B32" s="177">
        <f>AVERAGE(C165:F165)</f>
        <v>11.4725</v>
      </c>
      <c r="C32" s="157" t="s">
        <v>217</v>
      </c>
      <c r="D32" s="174">
        <f>COUNTIF(159:159,"&gt;3")/COUNT(159:159)</f>
        <v>0.34782608695652173</v>
      </c>
      <c r="E32" s="140" t="s">
        <v>242</v>
      </c>
      <c r="F32" s="159">
        <f>MIN(B32/15*10,10)</f>
        <v>7.6483333333333334</v>
      </c>
      <c r="G32" s="135"/>
    </row>
    <row r="33" spans="1:14" x14ac:dyDescent="0.25">
      <c r="A33" s="155" t="s">
        <v>14</v>
      </c>
      <c r="B33" s="156">
        <f>AVERAGE(B69:E69)</f>
        <v>2.3675000000000002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1.55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8.964097148891236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38924824.5</v>
      </c>
      <c r="C36" s="178">
        <f>STDEV(C97:F97)</f>
        <v>966930.40414378664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20.53</v>
      </c>
      <c r="C37" s="180">
        <f>STDEV(C152:F152)</f>
        <v>2.3072494446851644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7.5100000000000007</v>
      </c>
      <c r="C38" s="180">
        <f>STDEV(C153:F153)</f>
        <v>1.1931750360557551</v>
      </c>
      <c r="D38" s="76" t="str">
        <f>IF(C38/B38&lt;15%,"高",IF(C38/B38&lt;30%,"中","低"))</f>
        <v>中</v>
      </c>
      <c r="E38" s="107">
        <f>IF(F153&gt;E153,1,0)+IF(E153&gt;D153,1,0)+IF(D153&gt;C153,1,0)</f>
        <v>2</v>
      </c>
      <c r="F38" s="179"/>
      <c r="G38" s="160">
        <f>IF(D38="高",6,IF(D38="中",4,2))+E38+1</f>
        <v>7</v>
      </c>
    </row>
    <row r="39" spans="1:14" x14ac:dyDescent="0.25">
      <c r="A39" s="142" t="s">
        <v>46</v>
      </c>
      <c r="B39" s="181">
        <f>AVERAGE(C165:F165)</f>
        <v>11.4725</v>
      </c>
      <c r="C39" s="181">
        <f>STDEV(C165:F165)</f>
        <v>1.2639191693564369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2.3675000000000002</v>
      </c>
      <c r="C40" s="183">
        <f>STDEV(B69:E69)</f>
        <v>0.3522664711076916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-0.41791044776119407</v>
      </c>
      <c r="C44" s="186">
        <f>(C46-C49)/C49</f>
        <v>-0.67088607594936711</v>
      </c>
      <c r="D44" s="186">
        <f>(D46-D49)/D49</f>
        <v>-0.20000000000000007</v>
      </c>
      <c r="E44" s="186">
        <f>(E46-E49)/E49</f>
        <v>-0.52873563218390807</v>
      </c>
      <c r="G44" s="86" t="s">
        <v>175</v>
      </c>
      <c r="H44" s="186">
        <f>(H47-H50)/H50</f>
        <v>-0.39130434782608703</v>
      </c>
      <c r="I44" s="186">
        <f>(I47-I50)/I50</f>
        <v>-0.66199813258636797</v>
      </c>
      <c r="J44" s="186">
        <f>(J47-J50)/J50</f>
        <v>-0.53480278422273786</v>
      </c>
      <c r="K44" s="186">
        <f>(K47-K50)/K50</f>
        <v>-0.5877632898696088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0.39</v>
      </c>
      <c r="C46" s="152">
        <f>HLOOKUP(C45,$81:$82,2,FALSE)</f>
        <v>0.26</v>
      </c>
      <c r="D46" s="152">
        <f>HLOOKUP(D45,$81:$82,2,FALSE)</f>
        <v>0.44</v>
      </c>
      <c r="E46" s="152">
        <f>HLOOKUP(E45,$81:$82,2,FALSE)</f>
        <v>0.41</v>
      </c>
      <c r="G46" s="86" t="s">
        <v>164</v>
      </c>
      <c r="H46" s="145">
        <f>HLOOKUP(H45,$145:$147,2,FALSE)/100</f>
        <v>0.18149999999999999</v>
      </c>
      <c r="I46" s="145">
        <f>HLOOKUP(I45,$145:$147,2,FALSE)/100</f>
        <v>0.1744</v>
      </c>
      <c r="J46" s="145">
        <f>HLOOKUP(J45,$145:$147,2,FALSE)/100</f>
        <v>0.18379999999999999</v>
      </c>
      <c r="K46" s="145">
        <f>HLOOKUP(K45,$145:$147,2,FALSE)/100</f>
        <v>0.18160000000000001</v>
      </c>
    </row>
    <row r="47" spans="1:14" x14ac:dyDescent="0.25">
      <c r="A47" s="188" t="s">
        <v>165</v>
      </c>
      <c r="B47" s="189">
        <f>HLOOKUP(B45,$157:$159,3,FALSE)</f>
        <v>2.17</v>
      </c>
      <c r="C47" s="189">
        <f>HLOOKUP(C45,$157:$159,3,FALSE)</f>
        <v>1.39</v>
      </c>
      <c r="D47" s="189">
        <f>HLOOKUP(D45,$157:$159,3,FALSE)</f>
        <v>2.29</v>
      </c>
      <c r="E47" s="189">
        <f>HLOOKUP(E45,$157:$159,3,FALSE)</f>
        <v>2.09</v>
      </c>
      <c r="G47" s="190" t="s">
        <v>166</v>
      </c>
      <c r="H47" s="145">
        <f>HLOOKUP(H45,$145:$147,3,FALSE)/100</f>
        <v>5.5999999999999994E-2</v>
      </c>
      <c r="I47" s="145">
        <f>HLOOKUP(I45,$145:$147,3,FALSE)/100</f>
        <v>3.6200000000000003E-2</v>
      </c>
      <c r="J47" s="145">
        <f>HLOOKUP(J45,$145:$147,3,FALSE)/100</f>
        <v>4.0099999999999997E-2</v>
      </c>
      <c r="K47" s="145">
        <f>HLOOKUP(K45,$145:$147,3,FALSE)/100</f>
        <v>4.1100000000000005E-2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0.67</v>
      </c>
      <c r="C49" s="152">
        <f>HLOOKUP(C48,$81:$82,2,FALSE)</f>
        <v>0.79</v>
      </c>
      <c r="D49" s="152">
        <f>HLOOKUP(D48,$81:$82,2,FALSE)</f>
        <v>0.55000000000000004</v>
      </c>
      <c r="E49" s="152">
        <f>HLOOKUP(E48,$81:$82,2,FALSE)</f>
        <v>0.87</v>
      </c>
      <c r="G49" s="86" t="s">
        <v>164</v>
      </c>
      <c r="H49" s="145">
        <f>HLOOKUP(H48,$145:$147,2,FALSE)/100</f>
        <v>0.22640000000000002</v>
      </c>
      <c r="I49" s="145">
        <f>HLOOKUP(I48,$145:$147,2,FALSE)/100</f>
        <v>0.24129999999999999</v>
      </c>
      <c r="J49" s="145">
        <f>HLOOKUP(J48,$145:$147,2,FALSE)/100</f>
        <v>0.24309999999999998</v>
      </c>
      <c r="K49" s="145">
        <f>HLOOKUP(K48,$145:$147,2,FALSE)/100</f>
        <v>0.25069999999999998</v>
      </c>
    </row>
    <row r="50" spans="1:15" x14ac:dyDescent="0.25">
      <c r="A50" s="188" t="s">
        <v>165</v>
      </c>
      <c r="B50" s="189">
        <f>HLOOKUP(B48,$157:$159,3,FALSE)</f>
        <v>3.4</v>
      </c>
      <c r="C50" s="189">
        <f>HLOOKUP(C48,$157:$159,3,FALSE)</f>
        <v>3.94</v>
      </c>
      <c r="D50" s="189">
        <f>HLOOKUP(D48,$157:$159,3,FALSE)</f>
        <v>2.4500000000000002</v>
      </c>
      <c r="E50" s="189">
        <f>HLOOKUP(E48,$157:$159,3,FALSE)</f>
        <v>4.01</v>
      </c>
      <c r="G50" s="190" t="s">
        <v>166</v>
      </c>
      <c r="H50" s="145">
        <f>HLOOKUP(H48,$145:$147,3,FALSE)/100</f>
        <v>9.1999999999999998E-2</v>
      </c>
      <c r="I50" s="145">
        <f>HLOOKUP(I48,$145:$147,3,FALSE)/100</f>
        <v>0.10710000000000001</v>
      </c>
      <c r="J50" s="145">
        <f>HLOOKUP(J48,$145:$147,3,FALSE)/100</f>
        <v>8.6199999999999999E-2</v>
      </c>
      <c r="K50" s="145">
        <f>HLOOKUP(K48,$145:$147,3,FALSE)/100</f>
        <v>9.9700000000000011E-2</v>
      </c>
    </row>
    <row r="51" spans="1:15" x14ac:dyDescent="0.25">
      <c r="A51" s="86" t="s">
        <v>351</v>
      </c>
      <c r="B51" s="186">
        <f>(B47-B50)/B50</f>
        <v>-0.36176470588235293</v>
      </c>
      <c r="C51" s="186">
        <f>(C47-C50)/C50</f>
        <v>-0.64720812182741116</v>
      </c>
      <c r="D51" s="186">
        <f>(D47-D50)/D50</f>
        <v>-6.5306122448979639E-2</v>
      </c>
      <c r="E51" s="186">
        <f>(E47-E50)/E50</f>
        <v>-0.47880299251870323</v>
      </c>
      <c r="G51" s="235" t="s">
        <v>174</v>
      </c>
      <c r="H51" s="186">
        <f>(H46-H49)/H49</f>
        <v>-0.1983215547703181</v>
      </c>
      <c r="I51" s="186">
        <f>(I46-I49)/I49</f>
        <v>-0.27724823870700371</v>
      </c>
      <c r="J51" s="186">
        <f>(J46-J49)/J49</f>
        <v>-0.24393253805018508</v>
      </c>
      <c r="K51" s="186">
        <f>(K46-K49)/K49</f>
        <v>-0.27562824092540877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1.691798078547369</v>
      </c>
      <c r="B53" s="193">
        <f>B46</f>
        <v>0.39</v>
      </c>
      <c r="C53" s="193">
        <f>E46/HLOOKUP(E45,$87:$94,5,FALSE)*HLOOKUP(E45,$87:$94,4,FALSE)*($B$25/HLOOKUP(E45,$87:$94,4,FALSE)+SUM($B$57:$D$57)/SUM($B58:$D$58)*$G$69/100/K46)</f>
        <v>0.49174634293706404</v>
      </c>
      <c r="D53" s="193">
        <f>D46/HLOOKUP(D45,$87:$94,5,FALSE)*HLOOKUP(D45,$87:$94,4,FALSE)*($B$25/HLOOKUP(D45,$87:$94,4,FALSE)+SUM($B$57:$D$57)/SUM($B58:$D$58)*$G$69/100/J46)</f>
        <v>0.41228530906883909</v>
      </c>
      <c r="E53" s="193">
        <f>C46/HLOOKUP(C45,$87:$94,5,FALSE)*HLOOKUP(C45,$87:$94,4,FALSE)*($B$25/HLOOKUP(C45,$87:$94,4,FALSE)+SUM($B$57:$D$57)/SUM($B58:$D$58)*$G$69/100/I46)</f>
        <v>0.39776642654146593</v>
      </c>
    </row>
    <row r="54" spans="1:15" x14ac:dyDescent="0.25">
      <c r="A54" s="278">
        <f>SUM(B54:E54)</f>
        <v>1.78</v>
      </c>
      <c r="B54" s="277">
        <f t="shared" ref="B54:D54" si="0">HLOOKUP(B52-10,81:82,2,FALSE)</f>
        <v>0.67</v>
      </c>
      <c r="C54" s="277">
        <f t="shared" si="0"/>
        <v>0.41</v>
      </c>
      <c r="D54" s="277">
        <f t="shared" si="0"/>
        <v>0.44</v>
      </c>
      <c r="E54" s="277">
        <f>HLOOKUP(E52-10,81:82,2,FALSE)</f>
        <v>0.26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3551323</v>
      </c>
      <c r="C57" s="196">
        <f>HLOOKUP(C56,78:79,2,FALSE)</f>
        <v>4125274</v>
      </c>
      <c r="D57" s="196">
        <f>HLOOKUP(D56,78:79,2,FALSE)</f>
        <v>3759190</v>
      </c>
      <c r="E57" s="196">
        <f>HLOOKUP(E56,78:79,2,FALSE)</f>
        <v>3469301</v>
      </c>
      <c r="F57" s="196">
        <f>HLOOKUP(F56,78:79,2,FALSE)</f>
        <v>3454275</v>
      </c>
      <c r="G57" s="196">
        <f t="shared" ref="G57:M57" si="2">HLOOKUP(G56,78:79,2,FALSE)</f>
        <v>3298522</v>
      </c>
      <c r="H57" s="196">
        <f t="shared" si="2"/>
        <v>3116921</v>
      </c>
      <c r="I57" s="196">
        <f t="shared" si="2"/>
        <v>3745244</v>
      </c>
      <c r="J57" s="196">
        <f t="shared" si="2"/>
        <v>2550447</v>
      </c>
      <c r="K57" s="196">
        <f t="shared" si="2"/>
        <v>2891228</v>
      </c>
      <c r="L57" s="196">
        <f t="shared" si="2"/>
        <v>3601652</v>
      </c>
      <c r="M57" s="196">
        <f t="shared" si="2"/>
        <v>3620043</v>
      </c>
      <c r="N57" s="197"/>
    </row>
    <row r="58" spans="1:15" x14ac:dyDescent="0.25">
      <c r="A58" s="198" t="s">
        <v>253</v>
      </c>
      <c r="B58" s="196">
        <f>HLOOKUP(B56-100,78:79,2,FALSE)</f>
        <v>3164715</v>
      </c>
      <c r="C58" s="196">
        <f>HLOOKUP(C56-100,78:79,2,FALSE)</f>
        <v>3256259</v>
      </c>
      <c r="D58" s="196">
        <f>HLOOKUP(D56-100,78:79,2,FALSE)</f>
        <v>3285537</v>
      </c>
      <c r="E58" s="196">
        <f>HLOOKUP(E56-100,78:79,2,FALSE)</f>
        <v>3255658</v>
      </c>
      <c r="F58" s="196">
        <f>HLOOKUP(F56-100,78:79,2,FALSE)</f>
        <v>3210676</v>
      </c>
      <c r="G58" s="196">
        <f t="shared" ref="G58:M58" si="3">HLOOKUP(G56-100,78:79,2,FALSE)</f>
        <v>3375459</v>
      </c>
      <c r="H58" s="196">
        <f t="shared" si="3"/>
        <v>3345178</v>
      </c>
      <c r="I58" s="196">
        <f t="shared" si="3"/>
        <v>3465535</v>
      </c>
      <c r="J58" s="196">
        <f t="shared" si="3"/>
        <v>1900467</v>
      </c>
      <c r="K58" s="196">
        <f t="shared" si="3"/>
        <v>3198461</v>
      </c>
      <c r="L58" s="196">
        <f t="shared" si="3"/>
        <v>3207974</v>
      </c>
      <c r="M58" s="196">
        <f t="shared" si="3"/>
        <v>3217936</v>
      </c>
      <c r="N58" s="197"/>
    </row>
    <row r="59" spans="1:15" x14ac:dyDescent="0.25">
      <c r="A59" s="199" t="s">
        <v>254</v>
      </c>
      <c r="B59" s="165">
        <f>IF(B57&lt;&gt;"",(B57-B58)/B58,"")</f>
        <v>0.12216202722836021</v>
      </c>
      <c r="C59" s="165">
        <f>IF(C57&lt;&gt;"",(C57-C58)/C58,"")</f>
        <v>0.26687527005683515</v>
      </c>
      <c r="D59" s="165">
        <f>IF(D57&lt;&gt;"",(D57-D58)/D58,"")</f>
        <v>0.14416303940573488</v>
      </c>
      <c r="E59" s="165">
        <f>IF(E57&lt;&gt;"",(E57-E58)/E58,"")</f>
        <v>6.5622064725471774E-2</v>
      </c>
      <c r="F59" s="165">
        <f>IF(F57&lt;&gt;"",(F57-F58)/F58,"")</f>
        <v>7.5871561004598409E-2</v>
      </c>
      <c r="G59" s="165">
        <f t="shared" ref="G59:M59" si="4">IF(G57&lt;&gt;"",(G57-G58)/G58,"")</f>
        <v>-2.2793048293580222E-2</v>
      </c>
      <c r="H59" s="165">
        <f t="shared" si="4"/>
        <v>-6.8234635047821068E-2</v>
      </c>
      <c r="I59" s="165">
        <f t="shared" si="4"/>
        <v>8.0711636154302296E-2</v>
      </c>
      <c r="J59" s="165">
        <f t="shared" si="4"/>
        <v>0.34201067421849474</v>
      </c>
      <c r="K59" s="165">
        <f t="shared" si="4"/>
        <v>-9.6056509677623081E-2</v>
      </c>
      <c r="L59" s="165">
        <f t="shared" si="4"/>
        <v>0.12271857564930388</v>
      </c>
      <c r="M59" s="165">
        <f t="shared" si="4"/>
        <v>0.1249580476429612</v>
      </c>
    </row>
    <row r="60" spans="1:15" x14ac:dyDescent="0.25">
      <c r="A60" s="195" t="s">
        <v>255</v>
      </c>
      <c r="B60" s="196">
        <f>SUM(B57:M57)</f>
        <v>41183420</v>
      </c>
    </row>
    <row r="61" spans="1:15" x14ac:dyDescent="0.25">
      <c r="A61" s="198" t="s">
        <v>256</v>
      </c>
      <c r="B61" s="196">
        <f>SUM(B58:M58)</f>
        <v>37883855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1.0870968648781916</v>
      </c>
      <c r="D62" s="152">
        <f>SUM(B46:E46)</f>
        <v>1.5</v>
      </c>
      <c r="E62" s="152">
        <f>SUM(B49:E49)</f>
        <v>2.88</v>
      </c>
      <c r="G62" s="126">
        <f>SUM(B47:E47)</f>
        <v>7.9399999999999995</v>
      </c>
      <c r="H62" s="126">
        <f>SUM(B50:E50)</f>
        <v>13.799999999999999</v>
      </c>
      <c r="J62" s="200">
        <f>AVERAGE(H46:K46)</f>
        <v>0.18032499999999999</v>
      </c>
      <c r="K62" s="200">
        <f>AVERAGE(H49:K49)</f>
        <v>0.24037500000000001</v>
      </c>
      <c r="M62" s="200">
        <f>AVERAGE(H47:K47)</f>
        <v>4.335E-2</v>
      </c>
      <c r="N62" s="200">
        <f>AVERAGE(H50:K50)</f>
        <v>9.6250000000000002E-2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0.27</v>
      </c>
      <c r="C65" s="205">
        <f t="shared" si="5"/>
        <v>0.35</v>
      </c>
      <c r="D65" s="205">
        <f t="shared" si="5"/>
        <v>0.53</v>
      </c>
      <c r="E65" s="205">
        <f t="shared" si="5"/>
        <v>0.55000000000000004</v>
      </c>
      <c r="F65" s="206">
        <f>IF(ISNA(HLOOKUP(F$64*10+$A65,$81:$82,2,FALSE)),(HLOOKUP(E$64*10+$A65,$87:$94,4,FALSE)*$G65+$B$25)/HLOOKUP(E$64*10+$A65,$87:$94,5,FALSE)*$E65,HLOOKUP(F$64*10+$A65,$81:$82,2,FALSE))</f>
        <v>0.44</v>
      </c>
      <c r="G65" s="101">
        <f>MIN(130%,SUM($B$57:$D$57)/SUM($B$58:$D$58)*$G$69/HLOOKUP(E$64*10+$A65,$145:$146,2,FALSE))</f>
        <v>1.0133366268467825</v>
      </c>
      <c r="H65" s="204">
        <v>1</v>
      </c>
      <c r="I65" s="208">
        <f t="shared" ref="I65:M68" si="6">IF(ISNA(HLOOKUP(I$64*10+$H65,$145:$147,3,FALSE)),"",HLOOKUP(I$64*10+$H65,$145:$147,3,FALSE)/100)</f>
        <v>3.9199999999999999E-2</v>
      </c>
      <c r="J65" s="208">
        <f t="shared" si="6"/>
        <v>5.4699999999999999E-2</v>
      </c>
      <c r="K65" s="208">
        <f t="shared" si="6"/>
        <v>7.5499999999999998E-2</v>
      </c>
      <c r="L65" s="208">
        <f t="shared" si="6"/>
        <v>8.6199999999999999E-2</v>
      </c>
      <c r="M65" s="209">
        <f t="shared" si="6"/>
        <v>4.0099999999999997E-2</v>
      </c>
      <c r="N65" s="256">
        <f t="shared" ref="N65:O68" si="7">HLOOKUP(E$64*10+$A65,$87:$94,8,FALSE)</f>
        <v>-74295</v>
      </c>
      <c r="O65" s="256">
        <f t="shared" si="7"/>
        <v>186274</v>
      </c>
      <c r="P65" s="210"/>
    </row>
    <row r="66" spans="1:71" x14ac:dyDescent="0.25">
      <c r="A66" s="204">
        <v>2</v>
      </c>
      <c r="B66" s="205">
        <f t="shared" si="5"/>
        <v>0.51</v>
      </c>
      <c r="C66" s="205">
        <f t="shared" si="5"/>
        <v>0.63</v>
      </c>
      <c r="D66" s="205">
        <f t="shared" si="5"/>
        <v>0.64</v>
      </c>
      <c r="E66" s="205">
        <f t="shared" si="5"/>
        <v>0.79</v>
      </c>
      <c r="F66" s="206">
        <f>IF(ISNA(HLOOKUP(F$64*10+$A66,$81:$82,2,FALSE)),(HLOOKUP(E$64*10+$A66,$87:$94,4,FALSE)*$G66+$B$25)/HLOOKUP(E$64*10+$A66,$87:$94,5,FALSE)*$E66,HLOOKUP(F$64*10+$A66,$81:$82,2,FALSE))</f>
        <v>0.26</v>
      </c>
      <c r="G66" s="101">
        <f>MIN(130%,SUM($B$57:$D$57)/SUM($B$58:$D$58)*$G$69/HLOOKUP(E$64*10+$A66,$145:$146,2,FALSE))</f>
        <v>1.0208957065331654</v>
      </c>
      <c r="H66" s="204">
        <v>2</v>
      </c>
      <c r="I66" s="208">
        <f t="shared" si="6"/>
        <v>5.4800000000000001E-2</v>
      </c>
      <c r="J66" s="208">
        <f t="shared" si="6"/>
        <v>8.1199999999999994E-2</v>
      </c>
      <c r="K66" s="208">
        <f t="shared" si="6"/>
        <v>8.1699999999999995E-2</v>
      </c>
      <c r="L66" s="208">
        <f t="shared" si="6"/>
        <v>0.10710000000000001</v>
      </c>
      <c r="M66" s="209">
        <f t="shared" si="6"/>
        <v>3.6200000000000003E-2</v>
      </c>
      <c r="N66" s="256">
        <f t="shared" si="7"/>
        <v>47962</v>
      </c>
      <c r="O66" s="256">
        <f t="shared" si="7"/>
        <v>-10454</v>
      </c>
      <c r="P66" s="210"/>
    </row>
    <row r="67" spans="1:71" x14ac:dyDescent="0.25">
      <c r="A67" s="204">
        <v>3</v>
      </c>
      <c r="B67" s="205">
        <f t="shared" si="5"/>
        <v>0.6</v>
      </c>
      <c r="C67" s="205">
        <f t="shared" si="5"/>
        <v>0.69</v>
      </c>
      <c r="D67" s="205">
        <f t="shared" si="5"/>
        <v>0.77</v>
      </c>
      <c r="E67" s="205">
        <f t="shared" si="5"/>
        <v>0.67</v>
      </c>
      <c r="F67" s="206">
        <f>IF(ISNA(HLOOKUP(F$64*10+$A67,$81:$82,2,FALSE)),(HLOOKUP(E$64*10+$A67,$87:$94,4,FALSE)*$G67+$B$25)/HLOOKUP(E$64*10+$A67,$87:$94,5,FALSE)*$E67,HLOOKUP(F$64*10+$A67,$81:$82,2,FALSE))</f>
        <v>0.39</v>
      </c>
      <c r="G67" s="101">
        <f>MIN(130%,SUM($B$57:$D$57)/SUM($B$58:$D$58)*$G$69/HLOOKUP(E$64*10+$A67,$145:$146,2,FALSE))</f>
        <v>1.0880836306822121</v>
      </c>
      <c r="H67" s="204">
        <v>3</v>
      </c>
      <c r="I67" s="208">
        <f t="shared" si="6"/>
        <v>8.0299999999999996E-2</v>
      </c>
      <c r="J67" s="208">
        <f t="shared" si="6"/>
        <v>7.9000000000000001E-2</v>
      </c>
      <c r="K67" s="208">
        <f t="shared" si="6"/>
        <v>9.5700000000000007E-2</v>
      </c>
      <c r="L67" s="208">
        <f t="shared" si="6"/>
        <v>9.1999999999999998E-2</v>
      </c>
      <c r="M67" s="209">
        <f t="shared" si="6"/>
        <v>5.5999999999999994E-2</v>
      </c>
      <c r="N67" s="256">
        <f t="shared" si="7"/>
        <v>11464</v>
      </c>
      <c r="O67" s="256">
        <f t="shared" si="7"/>
        <v>-76824</v>
      </c>
      <c r="P67" s="210"/>
    </row>
    <row r="68" spans="1:71" x14ac:dyDescent="0.25">
      <c r="A68" s="204">
        <v>4</v>
      </c>
      <c r="B68" s="205">
        <f>HLOOKUP(B$64*10+$A68,$81:$82,2,FALSE)</f>
        <v>0.57999999999999996</v>
      </c>
      <c r="C68" s="205">
        <f>HLOOKUP(C$64*10+$A68,$81:$82,2,FALSE)</f>
        <v>0.61</v>
      </c>
      <c r="D68" s="205">
        <f>HLOOKUP(D$64*10+$A68,$81:$82,2,FALSE)</f>
        <v>0.87</v>
      </c>
      <c r="E68" s="206">
        <f>IF(ISNA(HLOOKUP(E$64*10+$A68,$81:$82,2,FALSE)),D68*(1-$N68)*#REF!*(1+$B$25)/(1+$E$4),HLOOKUP(E$64*10+$A68,$81:$82,2,FALSE))</f>
        <v>0.41</v>
      </c>
      <c r="F68" s="206">
        <f>IF(ISNA(HLOOKUP(F$64*10+$A68,$81:$82,2,FALSE)),(HLOOKUP(E$64*10+$A68,$87:$94,4,FALSE)*$G68+$B$25)/HLOOKUP(E$64*10+$A68,$87:$94,5,FALSE)*$E68,HLOOKUP(F$64*10+$A68,$81:$82,2,FALSE))</f>
        <v>0.47213900575142265</v>
      </c>
      <c r="G68" s="101">
        <f>MIN(130%,SUM($B$57:$D$57)/SUM($B$58:$D$58)*$G$69/HLOOKUP(E$64*10+$A68,$145:$146,2,FALSE))</f>
        <v>1.3</v>
      </c>
      <c r="H68" s="204">
        <v>4</v>
      </c>
      <c r="I68" s="208">
        <f t="shared" si="6"/>
        <v>6.54E-2</v>
      </c>
      <c r="J68" s="208">
        <f t="shared" si="6"/>
        <v>6.25E-2</v>
      </c>
      <c r="K68" s="208">
        <f t="shared" si="6"/>
        <v>9.9700000000000011E-2</v>
      </c>
      <c r="L68" s="208">
        <f t="shared" si="6"/>
        <v>4.1100000000000005E-2</v>
      </c>
      <c r="M68" s="209" t="str">
        <f t="shared" si="6"/>
        <v/>
      </c>
      <c r="N68" s="256">
        <f t="shared" si="7"/>
        <v>77587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1.96</v>
      </c>
      <c r="C69" s="213">
        <f>SUM(C65:C68)</f>
        <v>2.2799999999999998</v>
      </c>
      <c r="D69" s="213">
        <f>SUM(D65:D68)</f>
        <v>2.81</v>
      </c>
      <c r="E69" s="213">
        <f>SUM(E65:E68)</f>
        <v>2.4200000000000004</v>
      </c>
      <c r="F69" s="213">
        <f>SUM(F65:F68)</f>
        <v>1.5621390057514226</v>
      </c>
      <c r="G69" s="257">
        <f>_xlfn.FORECAST.ETS(23,B146:W146,{1,2,3,4,5,6,7,8,9,10,11,12,13,14,15,16,17,18,19,20,21,22})</f>
        <v>20.909121805984828</v>
      </c>
      <c r="H69" s="214" t="s">
        <v>19</v>
      </c>
      <c r="I69" s="215">
        <f>HLOOKUP(I64,151:155,3,FALSE)/100</f>
        <v>6.1200000000000004E-2</v>
      </c>
      <c r="J69" s="215">
        <f>HLOOKUP(J64,151:155,3,FALSE)/100</f>
        <v>7.0000000000000007E-2</v>
      </c>
      <c r="K69" s="215">
        <f>HLOOKUP(K64,151:155,3,FALSE)/100</f>
        <v>8.8300000000000003E-2</v>
      </c>
      <c r="L69" s="215">
        <f>IF(ISNA(HLOOKUP(L64,151:155,3,FALSE)/100),AVERAGE(L65:L68),HLOOKUP(L64,151:155,3,FALSE)/100)</f>
        <v>8.09E-2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1.41</v>
      </c>
      <c r="C72" s="205">
        <f t="shared" si="8"/>
        <v>1.75</v>
      </c>
      <c r="D72" s="205">
        <f t="shared" si="8"/>
        <v>2.42</v>
      </c>
      <c r="E72" s="205">
        <f t="shared" si="8"/>
        <v>2.4500000000000002</v>
      </c>
      <c r="F72" s="205">
        <f t="shared" si="8"/>
        <v>2.29</v>
      </c>
    </row>
    <row r="73" spans="1:71" s="135" customFormat="1" x14ac:dyDescent="0.25">
      <c r="A73" s="204">
        <v>2</v>
      </c>
      <c r="B73" s="205">
        <f t="shared" si="8"/>
        <v>2.63</v>
      </c>
      <c r="C73" s="205">
        <f t="shared" si="8"/>
        <v>3.15</v>
      </c>
      <c r="D73" s="205">
        <f t="shared" si="8"/>
        <v>3.04</v>
      </c>
      <c r="E73" s="205">
        <f t="shared" si="8"/>
        <v>3.94</v>
      </c>
      <c r="F73" s="205">
        <f t="shared" si="8"/>
        <v>1.39</v>
      </c>
    </row>
    <row r="74" spans="1:71" s="135" customFormat="1" x14ac:dyDescent="0.25">
      <c r="A74" s="204">
        <v>3</v>
      </c>
      <c r="B74" s="205">
        <f t="shared" si="8"/>
        <v>3.17</v>
      </c>
      <c r="C74" s="205">
        <f t="shared" si="8"/>
        <v>3.53</v>
      </c>
      <c r="D74" s="205">
        <f t="shared" si="8"/>
        <v>3.63</v>
      </c>
      <c r="E74" s="205">
        <f t="shared" si="8"/>
        <v>3.4</v>
      </c>
      <c r="F74" s="205">
        <f t="shared" si="8"/>
        <v>2.17</v>
      </c>
    </row>
    <row r="75" spans="1:71" s="135" customFormat="1" x14ac:dyDescent="0.25">
      <c r="A75" s="204">
        <v>4</v>
      </c>
      <c r="B75" s="205">
        <f t="shared" si="8"/>
        <v>2.94</v>
      </c>
      <c r="C75" s="205">
        <f t="shared" si="8"/>
        <v>2.91</v>
      </c>
      <c r="D75" s="205">
        <f t="shared" si="8"/>
        <v>4.01</v>
      </c>
      <c r="E75" s="205">
        <f t="shared" si="8"/>
        <v>2.09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10.15</v>
      </c>
      <c r="C76" s="213">
        <f>SUM(C72:C75)</f>
        <v>11.34</v>
      </c>
      <c r="D76" s="213">
        <f>SUM(D72:D75)</f>
        <v>13.1</v>
      </c>
      <c r="E76" s="213">
        <f>AVERAGE(E72:E75)*4</f>
        <v>11.88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1061722</v>
      </c>
      <c r="C79" s="270">
        <v>1457587</v>
      </c>
      <c r="D79" s="270">
        <v>1542225</v>
      </c>
      <c r="E79" s="270">
        <v>1477867</v>
      </c>
      <c r="F79" s="270">
        <v>1479925</v>
      </c>
      <c r="G79" s="270">
        <v>1342835</v>
      </c>
      <c r="H79" s="270">
        <v>1519909</v>
      </c>
      <c r="I79" s="270">
        <v>1459446</v>
      </c>
      <c r="J79" s="270">
        <v>1341946</v>
      </c>
      <c r="K79" s="270">
        <v>1487377</v>
      </c>
      <c r="L79" s="270">
        <v>1372280</v>
      </c>
      <c r="M79" s="270">
        <v>1291129</v>
      </c>
      <c r="N79" s="270">
        <v>3140863</v>
      </c>
      <c r="O79" s="270">
        <v>1720338</v>
      </c>
      <c r="P79" s="270">
        <v>3159595</v>
      </c>
      <c r="Q79" s="270">
        <v>3329984</v>
      </c>
      <c r="R79" s="270">
        <v>3379381</v>
      </c>
      <c r="S79" s="270">
        <v>3102857</v>
      </c>
      <c r="T79" s="270">
        <v>3404281</v>
      </c>
      <c r="U79" s="270">
        <v>3377321</v>
      </c>
      <c r="V79" s="270">
        <v>3448795</v>
      </c>
      <c r="W79" s="270">
        <v>3307101</v>
      </c>
      <c r="X79" s="270">
        <v>3442813</v>
      </c>
      <c r="Y79" s="270">
        <v>3402391</v>
      </c>
      <c r="Z79" s="270">
        <v>3085406</v>
      </c>
      <c r="AA79" s="270">
        <v>2354230</v>
      </c>
      <c r="AB79" s="270">
        <v>3338194</v>
      </c>
      <c r="AC79" s="270">
        <v>3620868</v>
      </c>
      <c r="AD79" s="270">
        <v>3488752</v>
      </c>
      <c r="AE79" s="270">
        <v>3383291</v>
      </c>
      <c r="AF79" s="270">
        <v>3544749</v>
      </c>
      <c r="AG79" s="270">
        <v>3580111</v>
      </c>
      <c r="AH79" s="270">
        <v>3663257</v>
      </c>
      <c r="AI79" s="270">
        <v>3495110</v>
      </c>
      <c r="AJ79" s="270">
        <v>3307375</v>
      </c>
      <c r="AK79" s="270">
        <v>3481982</v>
      </c>
      <c r="AL79" s="270">
        <v>3477734</v>
      </c>
      <c r="AM79" s="270">
        <v>2193700</v>
      </c>
      <c r="AN79" s="270">
        <v>3447717</v>
      </c>
      <c r="AO79" s="270">
        <v>3341762</v>
      </c>
      <c r="AP79" s="270">
        <v>3363783</v>
      </c>
      <c r="AQ79" s="270">
        <v>3233524</v>
      </c>
      <c r="AR79" s="270">
        <v>3366858</v>
      </c>
      <c r="AS79" s="270">
        <v>3154975</v>
      </c>
      <c r="AT79" s="270">
        <v>3355081</v>
      </c>
      <c r="AU79" s="270">
        <v>3125899</v>
      </c>
      <c r="AV79" s="270">
        <v>3217936</v>
      </c>
      <c r="AW79" s="270">
        <v>3207974</v>
      </c>
      <c r="AX79" s="270">
        <v>3198461</v>
      </c>
      <c r="AY79" s="270">
        <v>1900467</v>
      </c>
      <c r="AZ79" s="270">
        <v>3465535</v>
      </c>
      <c r="BA79" s="270">
        <v>3345178</v>
      </c>
      <c r="BB79" s="270">
        <v>3375459</v>
      </c>
      <c r="BC79" s="270">
        <v>3210676</v>
      </c>
      <c r="BD79" s="270">
        <v>3255658</v>
      </c>
      <c r="BE79" s="270">
        <v>3285537</v>
      </c>
      <c r="BF79" s="270">
        <v>3256259</v>
      </c>
      <c r="BG79" s="270">
        <v>3164715</v>
      </c>
      <c r="BH79" s="270">
        <v>3620043</v>
      </c>
      <c r="BI79" s="270">
        <v>3601652</v>
      </c>
      <c r="BJ79" s="270">
        <v>2891228</v>
      </c>
      <c r="BK79" s="270">
        <v>2550447</v>
      </c>
      <c r="BL79" s="270">
        <v>3745244</v>
      </c>
      <c r="BM79" s="270">
        <v>3116921</v>
      </c>
      <c r="BN79" s="270">
        <v>3298522</v>
      </c>
      <c r="BO79" s="270">
        <v>3454275</v>
      </c>
      <c r="BP79" s="270">
        <v>3469301</v>
      </c>
      <c r="BQ79" s="270">
        <v>3759190</v>
      </c>
      <c r="BR79" s="270">
        <v>4125274</v>
      </c>
      <c r="BS79" s="270">
        <v>3551323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0.23</v>
      </c>
      <c r="C82" s="72">
        <v>0.38</v>
      </c>
      <c r="D82" s="72">
        <v>0.44</v>
      </c>
      <c r="E82" s="72">
        <v>0.22</v>
      </c>
      <c r="F82" s="72">
        <v>0.27</v>
      </c>
      <c r="G82" s="72">
        <v>0.51</v>
      </c>
      <c r="H82" s="72">
        <v>0.6</v>
      </c>
      <c r="I82" s="72">
        <v>0.57999999999999996</v>
      </c>
      <c r="J82" s="72">
        <v>0.35</v>
      </c>
      <c r="K82" s="72">
        <v>0.63</v>
      </c>
      <c r="L82" s="72">
        <v>0.69</v>
      </c>
      <c r="M82" s="72">
        <v>0.61</v>
      </c>
      <c r="N82" s="72">
        <v>0.53</v>
      </c>
      <c r="O82" s="72">
        <v>0.64</v>
      </c>
      <c r="P82" s="72">
        <v>0.77</v>
      </c>
      <c r="Q82" s="72">
        <v>0.87</v>
      </c>
      <c r="R82" s="72">
        <v>0.55000000000000004</v>
      </c>
      <c r="S82" s="72">
        <v>0.79</v>
      </c>
      <c r="T82" s="72">
        <v>0.67</v>
      </c>
      <c r="U82" s="72">
        <v>0.41</v>
      </c>
      <c r="V82" s="72">
        <v>0.44</v>
      </c>
      <c r="W82" s="72">
        <v>0.26</v>
      </c>
      <c r="X82" s="72">
        <v>0.39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18.600000000000001</v>
      </c>
      <c r="C85" s="72">
        <v>18.149999999999999</v>
      </c>
      <c r="D85" s="72">
        <v>18.41</v>
      </c>
      <c r="E85" s="72">
        <v>18.399999999999999</v>
      </c>
      <c r="F85" s="72">
        <v>18.989999999999998</v>
      </c>
      <c r="G85" s="72">
        <v>18.46</v>
      </c>
      <c r="H85" s="72">
        <v>19.03</v>
      </c>
      <c r="I85" s="72">
        <v>19.97</v>
      </c>
      <c r="J85" s="72">
        <v>20.27</v>
      </c>
      <c r="K85" s="72">
        <v>19.100000000000001</v>
      </c>
      <c r="L85" s="72">
        <v>19.760000000000002</v>
      </c>
      <c r="M85" s="72">
        <v>21.01</v>
      </c>
      <c r="N85" s="72">
        <v>21.32</v>
      </c>
      <c r="O85" s="72">
        <v>19.79</v>
      </c>
      <c r="P85" s="72">
        <v>21.46</v>
      </c>
      <c r="Q85" s="72">
        <v>21.39</v>
      </c>
      <c r="R85" s="72">
        <v>21.87</v>
      </c>
      <c r="S85" s="72">
        <v>20.5</v>
      </c>
      <c r="T85" s="72">
        <v>18.899999999999999</v>
      </c>
      <c r="U85" s="72">
        <v>18.739999999999998</v>
      </c>
      <c r="V85" s="72">
        <v>18.16</v>
      </c>
      <c r="W85" s="72">
        <v>17.350000000000001</v>
      </c>
      <c r="X85" s="72">
        <v>17.2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8276114</v>
      </c>
      <c r="C88" s="273">
        <v>9088345</v>
      </c>
      <c r="D88" s="273">
        <v>9337641</v>
      </c>
      <c r="E88" s="273">
        <v>8861627</v>
      </c>
      <c r="F88" s="273">
        <v>8020796</v>
      </c>
      <c r="G88" s="273">
        <v>9812222</v>
      </c>
      <c r="H88" s="273">
        <v>10230398</v>
      </c>
      <c r="I88" s="273">
        <v>10125974</v>
      </c>
      <c r="J88" s="273">
        <v>8777830</v>
      </c>
      <c r="K88" s="273">
        <v>10492911</v>
      </c>
      <c r="L88" s="273">
        <v>10788117</v>
      </c>
      <c r="M88" s="273">
        <v>10284467</v>
      </c>
      <c r="N88" s="273">
        <v>9119151</v>
      </c>
      <c r="O88" s="273">
        <v>9939069</v>
      </c>
      <c r="P88" s="273">
        <v>9876913</v>
      </c>
      <c r="Q88" s="273">
        <v>9551810</v>
      </c>
      <c r="R88" s="273">
        <v>8564463</v>
      </c>
      <c r="S88" s="273">
        <v>9931313</v>
      </c>
      <c r="T88" s="273">
        <v>9797454</v>
      </c>
      <c r="U88" s="273">
        <v>10386410</v>
      </c>
      <c r="V88" s="273">
        <v>9186919</v>
      </c>
      <c r="W88" s="273">
        <v>9869718</v>
      </c>
      <c r="X88" s="273">
        <v>11353765</v>
      </c>
    </row>
    <row r="89" spans="1:25" ht="14.25" thickBot="1" x14ac:dyDescent="0.3">
      <c r="A89" s="250" t="s">
        <v>4</v>
      </c>
      <c r="B89" s="275">
        <v>1350420</v>
      </c>
      <c r="C89" s="275">
        <v>1600737</v>
      </c>
      <c r="D89" s="275">
        <v>1723488</v>
      </c>
      <c r="E89" s="275">
        <v>1515692</v>
      </c>
      <c r="F89" s="275">
        <v>1306597</v>
      </c>
      <c r="G89" s="275">
        <v>1712246</v>
      </c>
      <c r="H89" s="275">
        <v>1932027</v>
      </c>
      <c r="I89" s="275">
        <v>1893687</v>
      </c>
      <c r="J89" s="275">
        <v>1585213</v>
      </c>
      <c r="K89" s="275">
        <v>2075384</v>
      </c>
      <c r="L89" s="275">
        <v>2077340</v>
      </c>
      <c r="M89" s="275">
        <v>2041622</v>
      </c>
      <c r="N89" s="275">
        <v>1949195</v>
      </c>
      <c r="O89" s="275">
        <v>2132191</v>
      </c>
      <c r="P89" s="275">
        <v>2271319</v>
      </c>
      <c r="Q89" s="275">
        <v>2394184</v>
      </c>
      <c r="R89" s="275">
        <v>2082112</v>
      </c>
      <c r="S89" s="275">
        <v>2396420</v>
      </c>
      <c r="T89" s="275">
        <v>2217670</v>
      </c>
      <c r="U89" s="275">
        <v>1886297</v>
      </c>
      <c r="V89" s="275">
        <v>1688681</v>
      </c>
      <c r="W89" s="275">
        <v>1721679</v>
      </c>
      <c r="X89" s="275">
        <v>2060743</v>
      </c>
    </row>
    <row r="90" spans="1:25" ht="14.25" thickBot="1" x14ac:dyDescent="0.3">
      <c r="A90" s="251" t="s">
        <v>5</v>
      </c>
      <c r="B90" s="273">
        <v>382951</v>
      </c>
      <c r="C90" s="273">
        <v>526479</v>
      </c>
      <c r="D90" s="273">
        <v>642234</v>
      </c>
      <c r="E90" s="273">
        <v>403357</v>
      </c>
      <c r="F90" s="273">
        <v>314484</v>
      </c>
      <c r="G90" s="273">
        <v>537917</v>
      </c>
      <c r="H90" s="273">
        <v>821750</v>
      </c>
      <c r="I90" s="273">
        <v>662639</v>
      </c>
      <c r="J90" s="273">
        <v>479735</v>
      </c>
      <c r="K90" s="273">
        <v>852055</v>
      </c>
      <c r="L90" s="273">
        <v>851977</v>
      </c>
      <c r="M90" s="273">
        <v>642675</v>
      </c>
      <c r="N90" s="273">
        <v>688234</v>
      </c>
      <c r="O90" s="273">
        <v>811712</v>
      </c>
      <c r="P90" s="273">
        <v>945558</v>
      </c>
      <c r="Q90" s="273">
        <v>951923</v>
      </c>
      <c r="R90" s="273">
        <v>738010</v>
      </c>
      <c r="S90" s="273">
        <v>1063452</v>
      </c>
      <c r="T90" s="273">
        <v>900996</v>
      </c>
      <c r="U90" s="273">
        <v>427135</v>
      </c>
      <c r="V90" s="273">
        <v>368495</v>
      </c>
      <c r="W90" s="273">
        <v>357321</v>
      </c>
      <c r="X90" s="273">
        <v>635845</v>
      </c>
    </row>
    <row r="91" spans="1:25" ht="14.25" thickBot="1" x14ac:dyDescent="0.3">
      <c r="A91" s="250" t="s">
        <v>6</v>
      </c>
      <c r="B91" s="275">
        <v>314592</v>
      </c>
      <c r="C91" s="275">
        <v>548078</v>
      </c>
      <c r="D91" s="275">
        <v>614613</v>
      </c>
      <c r="E91" s="275">
        <v>361310</v>
      </c>
      <c r="F91" s="275">
        <v>371624</v>
      </c>
      <c r="G91" s="275">
        <v>663448</v>
      </c>
      <c r="H91" s="275">
        <v>835891</v>
      </c>
      <c r="I91" s="275">
        <v>741434</v>
      </c>
      <c r="J91" s="275">
        <v>481033</v>
      </c>
      <c r="K91" s="275">
        <v>804447</v>
      </c>
      <c r="L91" s="275">
        <v>941535</v>
      </c>
      <c r="M91" s="275">
        <v>781494</v>
      </c>
      <c r="N91" s="275">
        <v>657198</v>
      </c>
      <c r="O91" s="275">
        <v>816341</v>
      </c>
      <c r="P91" s="275">
        <v>965800</v>
      </c>
      <c r="Q91" s="275">
        <v>1051781</v>
      </c>
      <c r="R91" s="275">
        <v>663715</v>
      </c>
      <c r="S91" s="275">
        <v>1111414</v>
      </c>
      <c r="T91" s="275">
        <v>912460</v>
      </c>
      <c r="U91" s="275">
        <v>504722</v>
      </c>
      <c r="V91" s="275">
        <v>554769</v>
      </c>
      <c r="W91" s="275">
        <v>346867</v>
      </c>
      <c r="X91" s="275">
        <v>559021</v>
      </c>
    </row>
    <row r="92" spans="1:25" ht="14.25" thickBot="1" x14ac:dyDescent="0.3">
      <c r="A92" s="251" t="s">
        <v>7</v>
      </c>
      <c r="B92" s="273">
        <v>229154</v>
      </c>
      <c r="C92" s="273">
        <v>396897</v>
      </c>
      <c r="D92" s="273">
        <v>443055</v>
      </c>
      <c r="E92" s="273">
        <v>225806</v>
      </c>
      <c r="F92" s="273">
        <v>266331</v>
      </c>
      <c r="G92" s="273">
        <v>495628</v>
      </c>
      <c r="H92" s="273">
        <v>597850</v>
      </c>
      <c r="I92" s="273">
        <v>577421</v>
      </c>
      <c r="J92" s="273">
        <v>355366</v>
      </c>
      <c r="K92" s="273">
        <v>628683</v>
      </c>
      <c r="L92" s="273">
        <v>708539</v>
      </c>
      <c r="M92" s="273">
        <v>621220</v>
      </c>
      <c r="N92" s="273">
        <v>535694</v>
      </c>
      <c r="O92" s="273">
        <v>654097</v>
      </c>
      <c r="P92" s="273">
        <v>783352</v>
      </c>
      <c r="Q92" s="273">
        <v>899633</v>
      </c>
      <c r="R92" s="273">
        <v>553926</v>
      </c>
      <c r="S92" s="273">
        <v>876172</v>
      </c>
      <c r="T92" s="273">
        <v>730650</v>
      </c>
      <c r="U92" s="273">
        <v>445407</v>
      </c>
      <c r="V92" s="273">
        <v>479142</v>
      </c>
      <c r="W92" s="273">
        <v>279892</v>
      </c>
      <c r="X92" s="273">
        <v>434789</v>
      </c>
    </row>
    <row r="93" spans="1:25" ht="26.25" thickBot="1" x14ac:dyDescent="0.3">
      <c r="A93" s="252" t="s">
        <v>8</v>
      </c>
      <c r="B93" s="276">
        <v>227146</v>
      </c>
      <c r="C93" s="276">
        <v>381440</v>
      </c>
      <c r="D93" s="276">
        <v>437128</v>
      </c>
      <c r="E93" s="276">
        <v>216708</v>
      </c>
      <c r="F93" s="276">
        <v>263440</v>
      </c>
      <c r="G93" s="276">
        <v>503823</v>
      </c>
      <c r="H93" s="276">
        <v>590569</v>
      </c>
      <c r="I93" s="276">
        <v>571967</v>
      </c>
      <c r="J93" s="276">
        <v>351914</v>
      </c>
      <c r="K93" s="276">
        <v>627293</v>
      </c>
      <c r="L93" s="276">
        <v>700572</v>
      </c>
      <c r="M93" s="276">
        <v>624479</v>
      </c>
      <c r="N93" s="276">
        <v>537418</v>
      </c>
      <c r="O93" s="276">
        <v>655936</v>
      </c>
      <c r="P93" s="276">
        <v>784954</v>
      </c>
      <c r="Q93" s="276">
        <v>893328</v>
      </c>
      <c r="R93" s="276">
        <v>558128</v>
      </c>
      <c r="S93" s="276">
        <v>876198</v>
      </c>
      <c r="T93" s="276">
        <v>736428</v>
      </c>
      <c r="U93" s="276">
        <v>455630</v>
      </c>
      <c r="V93" s="276">
        <v>488986</v>
      </c>
      <c r="W93" s="276">
        <v>297069</v>
      </c>
      <c r="X93" s="276">
        <v>451098</v>
      </c>
    </row>
    <row r="94" spans="1:25" x14ac:dyDescent="0.25">
      <c r="A94" s="233" t="s">
        <v>365</v>
      </c>
      <c r="B94" s="253">
        <f>IF(B91="","",B91-B90)</f>
        <v>-68359</v>
      </c>
      <c r="C94" s="253">
        <f>IF(C91="","",C91-C90)</f>
        <v>21599</v>
      </c>
      <c r="D94" s="253">
        <f t="shared" ref="D94:Y94" si="9">IF(D91="","",D91-D90)</f>
        <v>-27621</v>
      </c>
      <c r="E94" s="253">
        <f t="shared" si="9"/>
        <v>-42047</v>
      </c>
      <c r="F94" s="253">
        <f t="shared" si="9"/>
        <v>57140</v>
      </c>
      <c r="G94" s="253">
        <f t="shared" si="9"/>
        <v>125531</v>
      </c>
      <c r="H94" s="253">
        <f t="shared" si="9"/>
        <v>14141</v>
      </c>
      <c r="I94" s="253">
        <f t="shared" si="9"/>
        <v>78795</v>
      </c>
      <c r="J94" s="253">
        <f t="shared" si="9"/>
        <v>1298</v>
      </c>
      <c r="K94" s="253">
        <f t="shared" si="9"/>
        <v>-47608</v>
      </c>
      <c r="L94" s="253">
        <f t="shared" si="9"/>
        <v>89558</v>
      </c>
      <c r="M94" s="253">
        <f t="shared" si="9"/>
        <v>138819</v>
      </c>
      <c r="N94" s="253">
        <f t="shared" si="9"/>
        <v>-31036</v>
      </c>
      <c r="O94" s="253">
        <f t="shared" si="9"/>
        <v>4629</v>
      </c>
      <c r="P94" s="253">
        <f t="shared" si="9"/>
        <v>20242</v>
      </c>
      <c r="Q94" s="253">
        <f t="shared" si="9"/>
        <v>99858</v>
      </c>
      <c r="R94" s="253">
        <f t="shared" si="9"/>
        <v>-74295</v>
      </c>
      <c r="S94" s="253">
        <f t="shared" si="9"/>
        <v>47962</v>
      </c>
      <c r="T94" s="253">
        <f t="shared" si="9"/>
        <v>11464</v>
      </c>
      <c r="U94" s="253">
        <f t="shared" si="9"/>
        <v>77587</v>
      </c>
      <c r="V94" s="253">
        <f t="shared" si="9"/>
        <v>186274</v>
      </c>
      <c r="W94" s="253">
        <f t="shared" si="9"/>
        <v>-10454</v>
      </c>
      <c r="X94" s="253">
        <f t="shared" si="9"/>
        <v>-76824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35563727</v>
      </c>
      <c r="C97" s="273">
        <v>38189390</v>
      </c>
      <c r="D97" s="273">
        <v>40343325</v>
      </c>
      <c r="E97" s="273">
        <v>38486943</v>
      </c>
      <c r="F97" s="273">
        <v>38679640</v>
      </c>
    </row>
    <row r="98" spans="1:24" ht="14.25" thickBot="1" x14ac:dyDescent="0.3">
      <c r="A98" s="225" t="s">
        <v>4</v>
      </c>
      <c r="B98" s="275">
        <v>6190337</v>
      </c>
      <c r="C98" s="275">
        <v>6844557</v>
      </c>
      <c r="D98" s="275">
        <v>7779559</v>
      </c>
      <c r="E98" s="275">
        <v>8746889</v>
      </c>
      <c r="F98" s="275">
        <v>8582499</v>
      </c>
    </row>
    <row r="99" spans="1:24" ht="14.25" thickBot="1" x14ac:dyDescent="0.3">
      <c r="A99" s="224" t="s">
        <v>5</v>
      </c>
      <c r="B99" s="273">
        <v>1955021</v>
      </c>
      <c r="C99" s="273">
        <v>2336790</v>
      </c>
      <c r="D99" s="273">
        <v>2825495</v>
      </c>
      <c r="E99" s="273">
        <v>3397427</v>
      </c>
      <c r="F99" s="273">
        <v>3129593</v>
      </c>
    </row>
    <row r="100" spans="1:24" ht="14.25" thickBot="1" x14ac:dyDescent="0.3">
      <c r="A100" s="225" t="s">
        <v>6</v>
      </c>
      <c r="B100" s="275">
        <v>1838593</v>
      </c>
      <c r="C100" s="275">
        <v>2612397</v>
      </c>
      <c r="D100" s="275">
        <v>3007562</v>
      </c>
      <c r="E100" s="275">
        <v>3491120</v>
      </c>
      <c r="F100" s="275">
        <v>3192311</v>
      </c>
    </row>
    <row r="101" spans="1:24" ht="14.25" thickBot="1" x14ac:dyDescent="0.3">
      <c r="A101" s="224" t="s">
        <v>7</v>
      </c>
      <c r="B101" s="273">
        <v>1294912</v>
      </c>
      <c r="C101" s="273">
        <v>1937230</v>
      </c>
      <c r="D101" s="273">
        <v>2313021</v>
      </c>
      <c r="E101" s="273">
        <v>2872776</v>
      </c>
      <c r="F101" s="273">
        <v>2606155</v>
      </c>
    </row>
    <row r="102" spans="1:24" ht="14.25" thickBot="1" x14ac:dyDescent="0.3">
      <c r="A102" s="227" t="s">
        <v>8</v>
      </c>
      <c r="B102" s="276">
        <v>1262422</v>
      </c>
      <c r="C102" s="276">
        <v>1929799</v>
      </c>
      <c r="D102" s="276">
        <v>2303471</v>
      </c>
      <c r="E102" s="276">
        <v>2871636</v>
      </c>
      <c r="F102" s="276">
        <v>2626384</v>
      </c>
    </row>
    <row r="103" spans="1:24" x14ac:dyDescent="0.25">
      <c r="A103" s="233" t="s">
        <v>262</v>
      </c>
      <c r="B103" s="234">
        <f>IF(OR(B102="",B102="無"),"",B102/B101)</f>
        <v>0.974909491919142</v>
      </c>
      <c r="C103" s="234">
        <f>IF(OR(C102="",C102="無"),"",C102/C101)</f>
        <v>0.99616411061154331</v>
      </c>
      <c r="D103" s="234">
        <f>IF(OR(D102="",D102="無"),"",D102/D101)</f>
        <v>0.99587120047764377</v>
      </c>
      <c r="E103" s="234">
        <f>IF(OR(E102="",E102="無"),"",E102/E101)</f>
        <v>0.99960317128798071</v>
      </c>
      <c r="F103" s="234">
        <f>IF(OR(F102="",F102="無"),"",F102/F101)</f>
        <v>1.007762009550468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6144763</v>
      </c>
      <c r="C106" s="273">
        <v>6369622</v>
      </c>
      <c r="D106" s="273">
        <v>5041758</v>
      </c>
      <c r="E106" s="273">
        <v>6117193</v>
      </c>
      <c r="F106" s="273">
        <v>5020484</v>
      </c>
      <c r="G106" s="273">
        <v>5478605</v>
      </c>
      <c r="H106" s="273">
        <v>4769307</v>
      </c>
      <c r="I106" s="273">
        <v>4844892</v>
      </c>
      <c r="J106" s="273">
        <v>6455333</v>
      </c>
      <c r="K106" s="273">
        <v>6640027</v>
      </c>
      <c r="L106" s="273">
        <v>5976930</v>
      </c>
      <c r="M106" s="273">
        <v>5417390</v>
      </c>
      <c r="N106" s="273">
        <v>6812337</v>
      </c>
      <c r="O106" s="273">
        <v>7990529</v>
      </c>
      <c r="P106" s="273">
        <v>7594383</v>
      </c>
      <c r="Q106" s="273">
        <v>7449271</v>
      </c>
      <c r="R106" s="273">
        <v>6813206</v>
      </c>
      <c r="S106" s="273">
        <v>8305503</v>
      </c>
      <c r="T106" s="273">
        <v>8446410</v>
      </c>
      <c r="U106" s="273">
        <v>8227218</v>
      </c>
      <c r="V106" s="273">
        <v>7619929</v>
      </c>
      <c r="W106" s="273">
        <v>6922221</v>
      </c>
      <c r="X106" s="273">
        <v>6765899</v>
      </c>
    </row>
    <row r="107" spans="1:24" ht="14.25" thickBot="1" x14ac:dyDescent="0.3">
      <c r="A107" s="225" t="s">
        <v>22</v>
      </c>
      <c r="B107" s="275">
        <v>300000</v>
      </c>
      <c r="C107" s="275">
        <v>300000</v>
      </c>
      <c r="D107" s="275">
        <v>300000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9934113</v>
      </c>
      <c r="C108" s="273">
        <v>10803759</v>
      </c>
      <c r="D108" s="273">
        <v>10709104</v>
      </c>
      <c r="E108" s="273">
        <v>10288586</v>
      </c>
      <c r="F108" s="273">
        <v>10120352</v>
      </c>
      <c r="G108" s="273">
        <v>11402372</v>
      </c>
      <c r="H108" s="273">
        <v>11867060</v>
      </c>
      <c r="I108" s="273">
        <v>12244531</v>
      </c>
      <c r="J108" s="273">
        <v>11299696</v>
      </c>
      <c r="K108" s="273">
        <v>12121769</v>
      </c>
      <c r="L108" s="273">
        <v>12990716</v>
      </c>
      <c r="M108" s="273">
        <v>13147663</v>
      </c>
      <c r="N108" s="273">
        <v>12438401</v>
      </c>
      <c r="O108" s="273">
        <v>12973306</v>
      </c>
      <c r="P108" s="273">
        <v>13385028</v>
      </c>
      <c r="Q108" s="273">
        <v>12172338</v>
      </c>
      <c r="R108" s="273">
        <v>11560802</v>
      </c>
      <c r="S108" s="273">
        <v>11964528</v>
      </c>
      <c r="T108" s="273">
        <v>12419305</v>
      </c>
      <c r="U108" s="273">
        <v>12907511</v>
      </c>
      <c r="V108" s="273">
        <v>11988080</v>
      </c>
      <c r="W108" s="273">
        <v>13004934</v>
      </c>
      <c r="X108" s="273">
        <v>14536645</v>
      </c>
    </row>
    <row r="109" spans="1:24" ht="14.25" thickBot="1" x14ac:dyDescent="0.3">
      <c r="A109" s="225" t="s">
        <v>264</v>
      </c>
      <c r="B109" s="275">
        <v>6133565</v>
      </c>
      <c r="C109" s="275">
        <v>6253165</v>
      </c>
      <c r="D109" s="275">
        <v>6465486</v>
      </c>
      <c r="E109" s="275">
        <v>6253048</v>
      </c>
      <c r="F109" s="275">
        <v>6264132</v>
      </c>
      <c r="G109" s="275">
        <v>6207871</v>
      </c>
      <c r="H109" s="275">
        <v>6207919</v>
      </c>
      <c r="I109" s="275">
        <v>6551021</v>
      </c>
      <c r="J109" s="275">
        <v>6564056</v>
      </c>
      <c r="K109" s="275">
        <v>6661285</v>
      </c>
      <c r="L109" s="275">
        <v>6957642</v>
      </c>
      <c r="M109" s="275">
        <v>7039178</v>
      </c>
      <c r="N109" s="275">
        <v>6723942</v>
      </c>
      <c r="O109" s="275">
        <v>6818036</v>
      </c>
      <c r="P109" s="275">
        <v>6581517</v>
      </c>
      <c r="Q109" s="275">
        <v>6243811</v>
      </c>
      <c r="R109" s="275">
        <v>6145670</v>
      </c>
      <c r="S109" s="275">
        <v>6448262</v>
      </c>
      <c r="T109" s="275">
        <v>6341300</v>
      </c>
      <c r="U109" s="275">
        <v>6623633</v>
      </c>
      <c r="V109" s="275">
        <v>7081986</v>
      </c>
      <c r="W109" s="275">
        <v>7308995</v>
      </c>
      <c r="X109" s="275">
        <v>7116930</v>
      </c>
    </row>
    <row r="110" spans="1:24" ht="14.25" thickBot="1" x14ac:dyDescent="0.3">
      <c r="A110" s="224" t="s">
        <v>23</v>
      </c>
      <c r="B110" s="273">
        <v>760619</v>
      </c>
      <c r="C110" s="273">
        <v>751889</v>
      </c>
      <c r="D110" s="273">
        <v>775019</v>
      </c>
      <c r="E110" s="273">
        <v>1216902</v>
      </c>
      <c r="F110" s="273">
        <v>3080805</v>
      </c>
      <c r="G110" s="273">
        <v>3767178</v>
      </c>
      <c r="H110" s="273">
        <v>4118019</v>
      </c>
      <c r="I110" s="273">
        <v>3614714</v>
      </c>
      <c r="J110" s="273">
        <v>3684842</v>
      </c>
      <c r="K110" s="273">
        <v>3649816</v>
      </c>
      <c r="L110" s="273">
        <v>4003289</v>
      </c>
      <c r="M110" s="273">
        <v>3947392</v>
      </c>
      <c r="N110" s="273">
        <v>2637966</v>
      </c>
      <c r="O110" s="273">
        <v>1580890</v>
      </c>
      <c r="P110" s="273">
        <v>2175600</v>
      </c>
      <c r="Q110" s="273">
        <v>3064065</v>
      </c>
      <c r="R110" s="273">
        <v>3755838</v>
      </c>
      <c r="S110" s="273">
        <v>2723201</v>
      </c>
      <c r="T110" s="273">
        <v>1957121</v>
      </c>
      <c r="U110" s="273">
        <v>2681909</v>
      </c>
      <c r="V110" s="273">
        <v>2120133</v>
      </c>
      <c r="W110" s="273">
        <v>1983093</v>
      </c>
      <c r="X110" s="273">
        <v>2709310</v>
      </c>
    </row>
    <row r="111" spans="1:24" ht="14.25" thickBot="1" x14ac:dyDescent="0.3">
      <c r="A111" s="225" t="s">
        <v>24</v>
      </c>
      <c r="B111" s="275">
        <v>23273060</v>
      </c>
      <c r="C111" s="275">
        <v>24478435</v>
      </c>
      <c r="D111" s="275">
        <v>23291367</v>
      </c>
      <c r="E111" s="275">
        <v>23875729</v>
      </c>
      <c r="F111" s="275">
        <v>24485773</v>
      </c>
      <c r="G111" s="275">
        <v>26856026</v>
      </c>
      <c r="H111" s="275">
        <v>26962305</v>
      </c>
      <c r="I111" s="275">
        <v>27255158</v>
      </c>
      <c r="J111" s="275">
        <v>28003927</v>
      </c>
      <c r="K111" s="275">
        <v>29072897</v>
      </c>
      <c r="L111" s="275">
        <v>29928577</v>
      </c>
      <c r="M111" s="275">
        <v>29551623</v>
      </c>
      <c r="N111" s="275">
        <v>28612646</v>
      </c>
      <c r="O111" s="275">
        <v>29362761</v>
      </c>
      <c r="P111" s="275">
        <v>29736528</v>
      </c>
      <c r="Q111" s="275">
        <v>28929485</v>
      </c>
      <c r="R111" s="275">
        <v>28275516</v>
      </c>
      <c r="S111" s="275">
        <v>29441494</v>
      </c>
      <c r="T111" s="275">
        <v>29164136</v>
      </c>
      <c r="U111" s="275">
        <v>30440271</v>
      </c>
      <c r="V111" s="275">
        <v>28810128</v>
      </c>
      <c r="W111" s="275">
        <v>29219243</v>
      </c>
      <c r="X111" s="275">
        <v>31128784</v>
      </c>
    </row>
    <row r="112" spans="1:24" ht="14.25" thickBot="1" x14ac:dyDescent="0.3">
      <c r="A112" s="224" t="s">
        <v>25</v>
      </c>
      <c r="B112" s="273">
        <v>1593675</v>
      </c>
      <c r="C112" s="273">
        <v>1560914</v>
      </c>
      <c r="D112" s="273">
        <v>1679974</v>
      </c>
      <c r="E112" s="273">
        <v>2244471</v>
      </c>
      <c r="F112" s="273">
        <v>2366856</v>
      </c>
      <c r="G112" s="273">
        <v>2290946</v>
      </c>
      <c r="H112" s="273">
        <v>2228253</v>
      </c>
      <c r="I112" s="273">
        <v>2241539</v>
      </c>
      <c r="J112" s="273">
        <v>2267744</v>
      </c>
      <c r="K112" s="273">
        <v>2218826</v>
      </c>
      <c r="L112" s="273">
        <v>2248428</v>
      </c>
      <c r="M112" s="273">
        <v>2230405</v>
      </c>
      <c r="N112" s="273">
        <v>2268600</v>
      </c>
      <c r="O112" s="273">
        <v>2373802</v>
      </c>
      <c r="P112" s="273">
        <v>2125666</v>
      </c>
      <c r="Q112" s="273">
        <v>2198647</v>
      </c>
      <c r="R112" s="273">
        <v>2477722</v>
      </c>
      <c r="S112" s="273">
        <v>2481385</v>
      </c>
      <c r="T112" s="273">
        <v>2436790</v>
      </c>
      <c r="U112" s="273">
        <v>2423495</v>
      </c>
      <c r="V112" s="273">
        <v>2626454</v>
      </c>
      <c r="W112" s="273">
        <v>2724736</v>
      </c>
      <c r="X112" s="273">
        <v>2713986</v>
      </c>
    </row>
    <row r="113" spans="1:24" ht="14.25" thickBot="1" x14ac:dyDescent="0.3">
      <c r="A113" s="225" t="s">
        <v>26</v>
      </c>
      <c r="B113" s="275">
        <v>13058551</v>
      </c>
      <c r="C113" s="275">
        <v>13190328</v>
      </c>
      <c r="D113" s="275">
        <v>13063975</v>
      </c>
      <c r="E113" s="275">
        <v>12923799</v>
      </c>
      <c r="F113" s="275">
        <v>13215136</v>
      </c>
      <c r="G113" s="275">
        <v>13293604</v>
      </c>
      <c r="H113" s="275">
        <v>13127592</v>
      </c>
      <c r="I113" s="275">
        <v>13316224</v>
      </c>
      <c r="J113" s="275">
        <v>13360084</v>
      </c>
      <c r="K113" s="275">
        <v>13259957</v>
      </c>
      <c r="L113" s="275">
        <v>13393598</v>
      </c>
      <c r="M113" s="275">
        <v>13894161</v>
      </c>
      <c r="N113" s="275">
        <v>14280447</v>
      </c>
      <c r="O113" s="275">
        <v>14464644</v>
      </c>
      <c r="P113" s="275">
        <v>15716160</v>
      </c>
      <c r="Q113" s="275">
        <v>16149813</v>
      </c>
      <c r="R113" s="275">
        <v>16683948</v>
      </c>
      <c r="S113" s="275">
        <v>16987388</v>
      </c>
      <c r="T113" s="275">
        <v>17008647</v>
      </c>
      <c r="U113" s="275">
        <v>17263366</v>
      </c>
      <c r="V113" s="275">
        <v>17393278</v>
      </c>
      <c r="W113" s="275">
        <v>18085715</v>
      </c>
      <c r="X113" s="275">
        <v>18165601</v>
      </c>
    </row>
    <row r="114" spans="1:24" ht="14.25" thickBot="1" x14ac:dyDescent="0.3">
      <c r="A114" s="224" t="s">
        <v>27</v>
      </c>
      <c r="B114" s="273">
        <v>941903</v>
      </c>
      <c r="C114" s="273">
        <v>962273</v>
      </c>
      <c r="D114" s="273">
        <v>1567138</v>
      </c>
      <c r="E114" s="273">
        <v>858022</v>
      </c>
      <c r="F114" s="273">
        <v>1261917</v>
      </c>
      <c r="G114" s="273">
        <v>1277845</v>
      </c>
      <c r="H114" s="273">
        <v>1327882</v>
      </c>
      <c r="I114" s="273">
        <v>1307249</v>
      </c>
      <c r="J114" s="273">
        <v>1271526</v>
      </c>
      <c r="K114" s="273">
        <v>1344099</v>
      </c>
      <c r="L114" s="273">
        <v>1560637</v>
      </c>
      <c r="M114" s="273">
        <v>1588721</v>
      </c>
      <c r="N114" s="273">
        <v>1609838</v>
      </c>
      <c r="O114" s="273">
        <v>1577092</v>
      </c>
      <c r="P114" s="273">
        <v>1622166</v>
      </c>
      <c r="Q114" s="273">
        <v>1839731</v>
      </c>
      <c r="R114" s="273">
        <v>1645492</v>
      </c>
      <c r="S114" s="273">
        <v>1820476</v>
      </c>
      <c r="T114" s="273">
        <v>1727982</v>
      </c>
      <c r="U114" s="273">
        <v>1674924</v>
      </c>
      <c r="V114" s="273">
        <v>1954432</v>
      </c>
      <c r="W114" s="273">
        <v>2028041</v>
      </c>
      <c r="X114" s="273">
        <v>2035905</v>
      </c>
    </row>
    <row r="115" spans="1:24" ht="14.25" thickBot="1" x14ac:dyDescent="0.3">
      <c r="A115" s="225" t="s">
        <v>265</v>
      </c>
      <c r="B115" s="276">
        <v>38867189</v>
      </c>
      <c r="C115" s="276">
        <v>40191950</v>
      </c>
      <c r="D115" s="276">
        <v>39602454</v>
      </c>
      <c r="E115" s="276">
        <v>39902021</v>
      </c>
      <c r="F115" s="276">
        <v>41329682</v>
      </c>
      <c r="G115" s="276">
        <v>43718421</v>
      </c>
      <c r="H115" s="276">
        <v>43646032</v>
      </c>
      <c r="I115" s="276">
        <v>44120170</v>
      </c>
      <c r="J115" s="276">
        <v>44903281</v>
      </c>
      <c r="K115" s="276">
        <v>45895779</v>
      </c>
      <c r="L115" s="276">
        <v>47131240</v>
      </c>
      <c r="M115" s="276">
        <v>47264910</v>
      </c>
      <c r="N115" s="276">
        <v>46771531</v>
      </c>
      <c r="O115" s="276">
        <v>47778299</v>
      </c>
      <c r="P115" s="276">
        <v>49200520</v>
      </c>
      <c r="Q115" s="276">
        <v>49117676</v>
      </c>
      <c r="R115" s="276">
        <v>49082678</v>
      </c>
      <c r="S115" s="276">
        <v>50730743</v>
      </c>
      <c r="T115" s="276">
        <v>50337555</v>
      </c>
      <c r="U115" s="276">
        <v>51802056</v>
      </c>
      <c r="V115" s="276">
        <v>50784292</v>
      </c>
      <c r="W115" s="276">
        <v>52057735</v>
      </c>
      <c r="X115" s="276">
        <v>54044276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4355673</v>
      </c>
      <c r="C118" s="273">
        <v>4866460</v>
      </c>
      <c r="D118" s="273">
        <v>3734560</v>
      </c>
      <c r="E118" s="273">
        <v>4304438</v>
      </c>
      <c r="F118" s="273">
        <v>3815189</v>
      </c>
      <c r="G118" s="273">
        <v>4826722</v>
      </c>
      <c r="H118" s="273">
        <v>4827711</v>
      </c>
      <c r="I118" s="273">
        <v>4728034</v>
      </c>
      <c r="J118" s="273">
        <v>4499985</v>
      </c>
      <c r="K118" s="273">
        <v>4661558</v>
      </c>
      <c r="L118" s="273">
        <v>5233153</v>
      </c>
      <c r="M118" s="273">
        <v>3737807</v>
      </c>
      <c r="N118" s="273">
        <v>3871977</v>
      </c>
      <c r="O118" s="273">
        <v>4993718</v>
      </c>
      <c r="P118" s="273">
        <v>2959804</v>
      </c>
      <c r="Q118" s="273">
        <v>2265904</v>
      </c>
      <c r="R118" s="273">
        <v>2885986</v>
      </c>
      <c r="S118" s="273">
        <v>3210128</v>
      </c>
      <c r="T118" s="273">
        <v>4341101</v>
      </c>
      <c r="U118" s="273">
        <v>3580568</v>
      </c>
      <c r="V118" s="273">
        <v>4229095</v>
      </c>
      <c r="W118" s="273">
        <v>4662592</v>
      </c>
      <c r="X118" s="273">
        <v>6261200</v>
      </c>
    </row>
    <row r="119" spans="1:24" ht="14.25" thickBot="1" x14ac:dyDescent="0.3">
      <c r="A119" s="225" t="s">
        <v>29</v>
      </c>
      <c r="B119" s="275">
        <v>399390</v>
      </c>
      <c r="C119" s="275">
        <v>199258</v>
      </c>
      <c r="D119" s="275">
        <v>498981</v>
      </c>
      <c r="E119" s="275">
        <v>449683</v>
      </c>
      <c r="F119" s="274">
        <v>0</v>
      </c>
      <c r="G119" s="275">
        <v>449873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5">
        <v>499359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5">
        <v>19926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3074861</v>
      </c>
      <c r="C120" s="273">
        <v>3087600</v>
      </c>
      <c r="D120" s="273">
        <v>3561000</v>
      </c>
      <c r="E120" s="273">
        <v>3026542</v>
      </c>
      <c r="F120" s="273">
        <v>2701364</v>
      </c>
      <c r="G120" s="273">
        <v>3590840</v>
      </c>
      <c r="H120" s="273">
        <v>3096590</v>
      </c>
      <c r="I120" s="273">
        <v>3307686</v>
      </c>
      <c r="J120" s="273">
        <v>3021901</v>
      </c>
      <c r="K120" s="273">
        <v>3262757</v>
      </c>
      <c r="L120" s="273">
        <v>3583469</v>
      </c>
      <c r="M120" s="273">
        <v>2950820</v>
      </c>
      <c r="N120" s="273">
        <v>2812921</v>
      </c>
      <c r="O120" s="273">
        <v>2899642</v>
      </c>
      <c r="P120" s="273">
        <v>2755419</v>
      </c>
      <c r="Q120" s="273">
        <v>2566758</v>
      </c>
      <c r="R120" s="273">
        <v>2600163</v>
      </c>
      <c r="S120" s="273">
        <v>3100786</v>
      </c>
      <c r="T120" s="273">
        <v>2831469</v>
      </c>
      <c r="U120" s="273">
        <v>3339101</v>
      </c>
      <c r="V120" s="273">
        <v>3366853</v>
      </c>
      <c r="W120" s="273">
        <v>3020845</v>
      </c>
      <c r="X120" s="273">
        <v>3332999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445664</v>
      </c>
      <c r="C122" s="273">
        <v>1321527</v>
      </c>
      <c r="D122" s="273">
        <v>2678308</v>
      </c>
      <c r="E122" s="273">
        <v>3072629</v>
      </c>
      <c r="F122" s="273">
        <v>3353085</v>
      </c>
      <c r="G122" s="273">
        <v>3190890</v>
      </c>
      <c r="H122" s="273">
        <v>3105412</v>
      </c>
      <c r="I122" s="273">
        <v>2812571</v>
      </c>
      <c r="J122" s="273">
        <v>2792694</v>
      </c>
      <c r="K122" s="273">
        <v>3041013</v>
      </c>
      <c r="L122" s="273">
        <v>2623401</v>
      </c>
      <c r="M122" s="273">
        <v>2589454</v>
      </c>
      <c r="N122" s="273">
        <v>2919946</v>
      </c>
      <c r="O122" s="273">
        <v>1787146</v>
      </c>
      <c r="P122" s="273">
        <v>2466328</v>
      </c>
      <c r="Q122" s="273">
        <v>2581701</v>
      </c>
      <c r="R122" s="273">
        <v>3023738</v>
      </c>
      <c r="S122" s="273">
        <v>2685150</v>
      </c>
      <c r="T122" s="273">
        <v>3832093</v>
      </c>
      <c r="U122" s="273">
        <v>3843746</v>
      </c>
      <c r="V122" s="273">
        <v>3528981</v>
      </c>
      <c r="W122" s="273">
        <v>4121693</v>
      </c>
      <c r="X122" s="273">
        <v>4897751</v>
      </c>
    </row>
    <row r="123" spans="1:24" ht="14.25" thickBot="1" x14ac:dyDescent="0.3">
      <c r="A123" s="225" t="s">
        <v>31</v>
      </c>
      <c r="B123" s="275">
        <v>751405</v>
      </c>
      <c r="C123" s="275">
        <v>1981998</v>
      </c>
      <c r="D123" s="275">
        <v>1164624</v>
      </c>
      <c r="E123" s="275">
        <v>1352272</v>
      </c>
      <c r="F123" s="275">
        <v>1009785</v>
      </c>
      <c r="G123" s="275">
        <v>2464399</v>
      </c>
      <c r="H123" s="275">
        <v>1538038</v>
      </c>
      <c r="I123" s="275">
        <v>1680831</v>
      </c>
      <c r="J123" s="275">
        <v>1179717</v>
      </c>
      <c r="K123" s="275">
        <v>2872295</v>
      </c>
      <c r="L123" s="275">
        <v>1553178</v>
      </c>
      <c r="M123" s="275">
        <v>1714577</v>
      </c>
      <c r="N123" s="275">
        <v>1495892</v>
      </c>
      <c r="O123" s="275">
        <v>3523298</v>
      </c>
      <c r="P123" s="275">
        <v>1711009</v>
      </c>
      <c r="Q123" s="275">
        <v>2119266</v>
      </c>
      <c r="R123" s="275">
        <v>1829951</v>
      </c>
      <c r="S123" s="275">
        <v>3462566</v>
      </c>
      <c r="T123" s="275">
        <v>1957356</v>
      </c>
      <c r="U123" s="275">
        <v>2653247</v>
      </c>
      <c r="V123" s="275">
        <v>2078810</v>
      </c>
      <c r="W123" s="275">
        <v>3746280</v>
      </c>
      <c r="X123" s="275">
        <v>2272848</v>
      </c>
    </row>
    <row r="124" spans="1:24" ht="14.25" thickBot="1" x14ac:dyDescent="0.3">
      <c r="A124" s="224" t="s">
        <v>268</v>
      </c>
      <c r="B124" s="273">
        <v>9026993</v>
      </c>
      <c r="C124" s="273">
        <v>11456843</v>
      </c>
      <c r="D124" s="273">
        <v>11637473</v>
      </c>
      <c r="E124" s="273">
        <v>12205564</v>
      </c>
      <c r="F124" s="273">
        <v>10879423</v>
      </c>
      <c r="G124" s="273">
        <v>14522724</v>
      </c>
      <c r="H124" s="273">
        <v>12567751</v>
      </c>
      <c r="I124" s="273">
        <v>12529122</v>
      </c>
      <c r="J124" s="273">
        <v>11494297</v>
      </c>
      <c r="K124" s="273">
        <v>13837623</v>
      </c>
      <c r="L124" s="273">
        <v>12993201</v>
      </c>
      <c r="M124" s="273">
        <v>10992658</v>
      </c>
      <c r="N124" s="273">
        <v>11100736</v>
      </c>
      <c r="O124" s="273">
        <v>13703163</v>
      </c>
      <c r="P124" s="273">
        <v>9892560</v>
      </c>
      <c r="Q124" s="273">
        <v>9533629</v>
      </c>
      <c r="R124" s="273">
        <v>10339838</v>
      </c>
      <c r="S124" s="273">
        <v>12458630</v>
      </c>
      <c r="T124" s="273">
        <v>12962019</v>
      </c>
      <c r="U124" s="273">
        <v>13416662</v>
      </c>
      <c r="V124" s="273">
        <v>13223665</v>
      </c>
      <c r="W124" s="273">
        <v>15551410</v>
      </c>
      <c r="X124" s="273">
        <v>16764798</v>
      </c>
    </row>
    <row r="125" spans="1:24" ht="14.25" thickBot="1" x14ac:dyDescent="0.3">
      <c r="A125" s="225" t="s">
        <v>32</v>
      </c>
      <c r="B125" s="275">
        <v>7877493</v>
      </c>
      <c r="C125" s="275">
        <v>7134457</v>
      </c>
      <c r="D125" s="275">
        <v>6034752</v>
      </c>
      <c r="E125" s="275">
        <v>5725940</v>
      </c>
      <c r="F125" s="275">
        <v>11303045</v>
      </c>
      <c r="G125" s="275">
        <v>10609668</v>
      </c>
      <c r="H125" s="275">
        <v>11919111</v>
      </c>
      <c r="I125" s="275">
        <v>11449241</v>
      </c>
      <c r="J125" s="275">
        <v>12965811</v>
      </c>
      <c r="K125" s="275">
        <v>12637131</v>
      </c>
      <c r="L125" s="275">
        <v>13436874</v>
      </c>
      <c r="M125" s="275">
        <v>14277787</v>
      </c>
      <c r="N125" s="275">
        <v>13356663</v>
      </c>
      <c r="O125" s="275">
        <v>13342298</v>
      </c>
      <c r="P125" s="275">
        <v>16842264</v>
      </c>
      <c r="Q125" s="275">
        <v>17196292</v>
      </c>
      <c r="R125" s="275">
        <v>15824480</v>
      </c>
      <c r="S125" s="275">
        <v>16731047</v>
      </c>
      <c r="T125" s="275">
        <v>15938353</v>
      </c>
      <c r="U125" s="275">
        <v>17146165</v>
      </c>
      <c r="V125" s="275">
        <v>16979213</v>
      </c>
      <c r="W125" s="275">
        <v>16805730</v>
      </c>
      <c r="X125" s="275">
        <v>16815337</v>
      </c>
    </row>
    <row r="126" spans="1:24" ht="14.25" thickBot="1" x14ac:dyDescent="0.3">
      <c r="A126" s="224" t="s">
        <v>33</v>
      </c>
      <c r="B126" s="273">
        <v>3234078</v>
      </c>
      <c r="C126" s="273">
        <v>3298217</v>
      </c>
      <c r="D126" s="273">
        <v>3373293</v>
      </c>
      <c r="E126" s="273">
        <v>3414392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20138564</v>
      </c>
      <c r="C127" s="275">
        <v>21889517</v>
      </c>
      <c r="D127" s="275">
        <v>21045518</v>
      </c>
      <c r="E127" s="275">
        <v>21345896</v>
      </c>
      <c r="F127" s="275">
        <v>22182468</v>
      </c>
      <c r="G127" s="275">
        <v>25132392</v>
      </c>
      <c r="H127" s="275">
        <v>24486862</v>
      </c>
      <c r="I127" s="275">
        <v>23978363</v>
      </c>
      <c r="J127" s="275">
        <v>24460108</v>
      </c>
      <c r="K127" s="275">
        <v>26474754</v>
      </c>
      <c r="L127" s="275">
        <v>26430075</v>
      </c>
      <c r="M127" s="275">
        <v>25270445</v>
      </c>
      <c r="N127" s="275">
        <v>24457399</v>
      </c>
      <c r="O127" s="275">
        <v>27045461</v>
      </c>
      <c r="P127" s="275">
        <v>26734824</v>
      </c>
      <c r="Q127" s="275">
        <v>26729921</v>
      </c>
      <c r="R127" s="275">
        <v>26164318</v>
      </c>
      <c r="S127" s="275">
        <v>29189677</v>
      </c>
      <c r="T127" s="275">
        <v>28900372</v>
      </c>
      <c r="U127" s="275">
        <v>30562827</v>
      </c>
      <c r="V127" s="275">
        <v>30202878</v>
      </c>
      <c r="W127" s="275">
        <v>32357140</v>
      </c>
      <c r="X127" s="275">
        <v>33580135</v>
      </c>
    </row>
    <row r="128" spans="1:24" ht="14.25" thickBot="1" x14ac:dyDescent="0.3">
      <c r="A128" s="224" t="s">
        <v>34</v>
      </c>
      <c r="B128" s="273">
        <v>18728625</v>
      </c>
      <c r="C128" s="273">
        <v>18302433</v>
      </c>
      <c r="D128" s="273">
        <v>18556936</v>
      </c>
      <c r="E128" s="273">
        <v>18556125</v>
      </c>
      <c r="F128" s="273">
        <v>19147214</v>
      </c>
      <c r="G128" s="273">
        <v>18586029</v>
      </c>
      <c r="H128" s="273">
        <v>19159170</v>
      </c>
      <c r="I128" s="273">
        <v>20141807</v>
      </c>
      <c r="J128" s="273">
        <v>20443173</v>
      </c>
      <c r="K128" s="273">
        <v>19421025</v>
      </c>
      <c r="L128" s="273">
        <v>20701165</v>
      </c>
      <c r="M128" s="273">
        <v>21994465</v>
      </c>
      <c r="N128" s="273">
        <v>22314132</v>
      </c>
      <c r="O128" s="273">
        <v>20732838</v>
      </c>
      <c r="P128" s="273">
        <v>22465696</v>
      </c>
      <c r="Q128" s="273">
        <v>22387755</v>
      </c>
      <c r="R128" s="273">
        <v>22918360</v>
      </c>
      <c r="S128" s="273">
        <v>21541066</v>
      </c>
      <c r="T128" s="273">
        <v>21437183</v>
      </c>
      <c r="U128" s="273">
        <v>21239229</v>
      </c>
      <c r="V128" s="273">
        <v>20581414</v>
      </c>
      <c r="W128" s="273">
        <v>19700595</v>
      </c>
      <c r="X128" s="273">
        <v>20464141</v>
      </c>
    </row>
    <row r="129" spans="1:24" ht="14.25" thickBot="1" x14ac:dyDescent="0.3">
      <c r="A129" s="225" t="s">
        <v>35</v>
      </c>
      <c r="B129" s="276">
        <v>38867189</v>
      </c>
      <c r="C129" s="276">
        <v>40191950</v>
      </c>
      <c r="D129" s="276">
        <v>39602454</v>
      </c>
      <c r="E129" s="276">
        <v>39902021</v>
      </c>
      <c r="F129" s="276">
        <v>41329682</v>
      </c>
      <c r="G129" s="276">
        <v>43718421</v>
      </c>
      <c r="H129" s="276">
        <v>43646032</v>
      </c>
      <c r="I129" s="276">
        <v>44120170</v>
      </c>
      <c r="J129" s="276">
        <v>44903281</v>
      </c>
      <c r="K129" s="276">
        <v>45895779</v>
      </c>
      <c r="L129" s="276">
        <v>47131240</v>
      </c>
      <c r="M129" s="276">
        <v>47264910</v>
      </c>
      <c r="N129" s="276">
        <v>46771531</v>
      </c>
      <c r="O129" s="276">
        <v>47778299</v>
      </c>
      <c r="P129" s="276">
        <v>49200520</v>
      </c>
      <c r="Q129" s="276">
        <v>49117676</v>
      </c>
      <c r="R129" s="276">
        <v>49082678</v>
      </c>
      <c r="S129" s="276">
        <v>50730743</v>
      </c>
      <c r="T129" s="276">
        <v>50337555</v>
      </c>
      <c r="U129" s="276">
        <v>51802056</v>
      </c>
      <c r="V129" s="276">
        <v>50784292</v>
      </c>
      <c r="W129" s="276">
        <v>52057735</v>
      </c>
      <c r="X129" s="276">
        <v>54044276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3.18</v>
      </c>
      <c r="C132" s="68">
        <v>3.15</v>
      </c>
      <c r="D132" s="68">
        <v>2.83</v>
      </c>
      <c r="E132" s="68">
        <v>5.75</v>
      </c>
      <c r="F132" s="68">
        <v>2.5299999999999998</v>
      </c>
    </row>
    <row r="133" spans="1:24" ht="14.25" thickBot="1" x14ac:dyDescent="0.3">
      <c r="A133" s="225" t="s">
        <v>37</v>
      </c>
      <c r="B133" s="274">
        <v>-1.66</v>
      </c>
      <c r="C133" s="274">
        <v>-2.31</v>
      </c>
      <c r="D133" s="274">
        <v>-2.38</v>
      </c>
      <c r="E133" s="274">
        <v>-3.03</v>
      </c>
      <c r="F133" s="274">
        <v>-2.71</v>
      </c>
    </row>
    <row r="134" spans="1:24" ht="14.25" thickBot="1" x14ac:dyDescent="0.3">
      <c r="A134" s="224" t="s">
        <v>38</v>
      </c>
      <c r="B134" s="68">
        <v>-0.47</v>
      </c>
      <c r="C134" s="68">
        <v>-0.45</v>
      </c>
      <c r="D134" s="68">
        <v>-7.0000000000000007E-2</v>
      </c>
      <c r="E134" s="68">
        <v>-0.46</v>
      </c>
      <c r="F134" s="68">
        <v>1.89</v>
      </c>
    </row>
    <row r="135" spans="1:24" ht="14.25" thickBot="1" x14ac:dyDescent="0.3">
      <c r="A135" s="225" t="s">
        <v>270</v>
      </c>
      <c r="B135" s="274">
        <v>1.52</v>
      </c>
      <c r="C135" s="274">
        <v>0.84</v>
      </c>
      <c r="D135" s="274">
        <v>0.46</v>
      </c>
      <c r="E135" s="274">
        <v>2.71</v>
      </c>
      <c r="F135" s="274">
        <v>-0.18</v>
      </c>
    </row>
    <row r="136" spans="1:24" ht="14.25" thickBot="1" x14ac:dyDescent="0.3">
      <c r="A136" s="229" t="s">
        <v>39</v>
      </c>
      <c r="B136" s="72">
        <v>1.05</v>
      </c>
      <c r="C136" s="72">
        <v>0.39</v>
      </c>
      <c r="D136" s="72">
        <v>0.38</v>
      </c>
      <c r="E136" s="72">
        <v>2.2599999999999998</v>
      </c>
      <c r="F136" s="72">
        <v>1.71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1.1000000000000001</v>
      </c>
      <c r="C140" s="68">
        <v>1.4</v>
      </c>
      <c r="D140" s="68">
        <v>1.8</v>
      </c>
      <c r="E140" s="68">
        <v>1.5</v>
      </c>
      <c r="F140" s="68">
        <v>1.5</v>
      </c>
    </row>
    <row r="141" spans="1:24" ht="14.25" thickBot="1" x14ac:dyDescent="0.3">
      <c r="A141" s="227" t="s">
        <v>1</v>
      </c>
      <c r="B141" s="73">
        <v>0</v>
      </c>
      <c r="C141" s="73">
        <v>0.3</v>
      </c>
      <c r="D141" s="73">
        <v>0</v>
      </c>
      <c r="E141" s="73">
        <v>0.8</v>
      </c>
      <c r="F141" s="73">
        <v>0.5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0.86614173228346458</v>
      </c>
      <c r="C142" s="234">
        <f>IF(C140&lt;&gt;"無",IF(ISNA(HLOOKUP(C139,$B$64:$F$69,6,FALSE)),"",C140/HLOOKUP(C139,$B$64:$F$69,6,FALSE)),"")</f>
        <v>0.7142857142857143</v>
      </c>
      <c r="D142" s="234">
        <f>IF(D140&lt;&gt;"無",IF(ISNA(HLOOKUP(D139,$B$64:$F$69,6,FALSE)),"",D140/HLOOKUP(D139,$B$64:$F$69,6,FALSE)),"")</f>
        <v>0.78947368421052644</v>
      </c>
      <c r="E142" s="234">
        <f>IF(E140&lt;&gt;"無",IF(ISNA(HLOOKUP(E139,$B$64:$F$69,6,FALSE)),"",E140/HLOOKUP(E139,$B$64:$F$69,6,FALSE)),"")</f>
        <v>0.53380782918149461</v>
      </c>
      <c r="F142" s="234">
        <f>IF(F140&lt;&gt;"無",IF(ISNA(HLOOKUP(F139,$B$64:$F$69,6,FALSE)),"",F140/HLOOKUP(F139,$B$64:$F$69,6,FALSE)),"")</f>
        <v>0.61983471074380159</v>
      </c>
    </row>
    <row r="143" spans="1:24" x14ac:dyDescent="0.25">
      <c r="A143" s="233" t="s">
        <v>216</v>
      </c>
      <c r="B143" s="234">
        <f>IF(OR(B140=0,B140="無"),"",B135/B140)</f>
        <v>1.3818181818181816</v>
      </c>
      <c r="C143" s="234">
        <f>IF(OR(C140=0,C140="無"),"",C135/C140)</f>
        <v>0.6</v>
      </c>
      <c r="D143" s="234">
        <f>IF(OR(D140=0,D140="無"),"",D135/D140)</f>
        <v>0.25555555555555554</v>
      </c>
      <c r="E143" s="234">
        <f>IF(OR(E140=0,E140="無"),"",E135/E140)</f>
        <v>1.8066666666666666</v>
      </c>
      <c r="F143" s="234">
        <f>IF(OR(F140=0,F140="無"),"",F135/F140)</f>
        <v>-0.12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16.32</v>
      </c>
      <c r="C146" s="68">
        <v>17.61</v>
      </c>
      <c r="D146" s="68">
        <v>18.46</v>
      </c>
      <c r="E146" s="68">
        <v>17.100000000000001</v>
      </c>
      <c r="F146" s="68">
        <v>16.29</v>
      </c>
      <c r="G146" s="68">
        <v>17.45</v>
      </c>
      <c r="H146" s="68">
        <v>18.89</v>
      </c>
      <c r="I146" s="68">
        <v>18.7</v>
      </c>
      <c r="J146" s="68">
        <v>18.059999999999999</v>
      </c>
      <c r="K146" s="68">
        <v>19.78</v>
      </c>
      <c r="L146" s="68">
        <v>19.260000000000002</v>
      </c>
      <c r="M146" s="68">
        <v>19.850000000000001</v>
      </c>
      <c r="N146" s="68">
        <v>21.37</v>
      </c>
      <c r="O146" s="68">
        <v>21.45</v>
      </c>
      <c r="P146" s="68">
        <v>23</v>
      </c>
      <c r="Q146" s="68">
        <v>25.07</v>
      </c>
      <c r="R146" s="68">
        <v>24.31</v>
      </c>
      <c r="S146" s="68">
        <v>24.13</v>
      </c>
      <c r="T146" s="68">
        <v>22.64</v>
      </c>
      <c r="U146" s="68">
        <v>18.16</v>
      </c>
      <c r="V146" s="68">
        <v>18.38</v>
      </c>
      <c r="W146" s="68">
        <v>17.440000000000001</v>
      </c>
      <c r="X146" s="68">
        <v>18.149999999999999</v>
      </c>
    </row>
    <row r="147" spans="1:24" s="93" customFormat="1" ht="14.25" thickBot="1" x14ac:dyDescent="0.3">
      <c r="A147" s="225" t="s">
        <v>19</v>
      </c>
      <c r="B147" s="274">
        <v>4.63</v>
      </c>
      <c r="C147" s="274">
        <v>5.79</v>
      </c>
      <c r="D147" s="274">
        <v>6.88</v>
      </c>
      <c r="E147" s="274">
        <v>4.55</v>
      </c>
      <c r="F147" s="274">
        <v>3.92</v>
      </c>
      <c r="G147" s="274">
        <v>5.48</v>
      </c>
      <c r="H147" s="274">
        <v>8.0299999999999994</v>
      </c>
      <c r="I147" s="274">
        <v>6.54</v>
      </c>
      <c r="J147" s="274">
        <v>5.47</v>
      </c>
      <c r="K147" s="274">
        <v>8.1199999999999992</v>
      </c>
      <c r="L147" s="274">
        <v>7.9</v>
      </c>
      <c r="M147" s="274">
        <v>6.25</v>
      </c>
      <c r="N147" s="274">
        <v>7.55</v>
      </c>
      <c r="O147" s="274">
        <v>8.17</v>
      </c>
      <c r="P147" s="274">
        <v>9.57</v>
      </c>
      <c r="Q147" s="274">
        <v>9.9700000000000006</v>
      </c>
      <c r="R147" s="274">
        <v>8.6199999999999992</v>
      </c>
      <c r="S147" s="274">
        <v>10.71</v>
      </c>
      <c r="T147" s="274">
        <v>9.1999999999999993</v>
      </c>
      <c r="U147" s="274">
        <v>4.1100000000000003</v>
      </c>
      <c r="V147" s="274">
        <v>4.01</v>
      </c>
      <c r="W147" s="274">
        <v>3.62</v>
      </c>
      <c r="X147" s="274">
        <v>5.6</v>
      </c>
    </row>
    <row r="148" spans="1:24" s="93" customFormat="1" ht="14.25" thickBot="1" x14ac:dyDescent="0.3">
      <c r="A148" s="224" t="s">
        <v>41</v>
      </c>
      <c r="B148" s="68">
        <v>3.8</v>
      </c>
      <c r="C148" s="68">
        <v>6.03</v>
      </c>
      <c r="D148" s="68">
        <v>6.58</v>
      </c>
      <c r="E148" s="68">
        <v>4.08</v>
      </c>
      <c r="F148" s="68">
        <v>4.63</v>
      </c>
      <c r="G148" s="68">
        <v>6.76</v>
      </c>
      <c r="H148" s="68">
        <v>8.17</v>
      </c>
      <c r="I148" s="68">
        <v>7.32</v>
      </c>
      <c r="J148" s="68">
        <v>5.48</v>
      </c>
      <c r="K148" s="68">
        <v>7.67</v>
      </c>
      <c r="L148" s="68">
        <v>8.73</v>
      </c>
      <c r="M148" s="68">
        <v>7.6</v>
      </c>
      <c r="N148" s="68">
        <v>7.21</v>
      </c>
      <c r="O148" s="68">
        <v>8.2100000000000009</v>
      </c>
      <c r="P148" s="68">
        <v>9.7799999999999994</v>
      </c>
      <c r="Q148" s="68">
        <v>11.01</v>
      </c>
      <c r="R148" s="68">
        <v>7.75</v>
      </c>
      <c r="S148" s="68">
        <v>11.19</v>
      </c>
      <c r="T148" s="68">
        <v>9.31</v>
      </c>
      <c r="U148" s="68">
        <v>4.8600000000000003</v>
      </c>
      <c r="V148" s="68">
        <v>6.04</v>
      </c>
      <c r="W148" s="68">
        <v>3.51</v>
      </c>
      <c r="X148" s="68">
        <v>4.92</v>
      </c>
    </row>
    <row r="149" spans="1:24" s="93" customFormat="1" ht="14.25" thickBot="1" x14ac:dyDescent="0.3">
      <c r="A149" s="225" t="s">
        <v>13</v>
      </c>
      <c r="B149" s="73">
        <v>2.77</v>
      </c>
      <c r="C149" s="73">
        <v>4.37</v>
      </c>
      <c r="D149" s="73">
        <v>4.74</v>
      </c>
      <c r="E149" s="73">
        <v>2.5499999999999998</v>
      </c>
      <c r="F149" s="73">
        <v>3.32</v>
      </c>
      <c r="G149" s="73">
        <v>5.05</v>
      </c>
      <c r="H149" s="73">
        <v>5.84</v>
      </c>
      <c r="I149" s="73">
        <v>5.7</v>
      </c>
      <c r="J149" s="73">
        <v>4.05</v>
      </c>
      <c r="K149" s="73">
        <v>5.99</v>
      </c>
      <c r="L149" s="73">
        <v>6.57</v>
      </c>
      <c r="M149" s="73">
        <v>6.04</v>
      </c>
      <c r="N149" s="73">
        <v>5.87</v>
      </c>
      <c r="O149" s="73">
        <v>6.58</v>
      </c>
      <c r="P149" s="73">
        <v>7.93</v>
      </c>
      <c r="Q149" s="73">
        <v>9.42</v>
      </c>
      <c r="R149" s="73">
        <v>6.47</v>
      </c>
      <c r="S149" s="73">
        <v>8.82</v>
      </c>
      <c r="T149" s="73">
        <v>7.46</v>
      </c>
      <c r="U149" s="73">
        <v>4.29</v>
      </c>
      <c r="V149" s="73">
        <v>5.22</v>
      </c>
      <c r="W149" s="73">
        <v>2.84</v>
      </c>
      <c r="X149" s="73">
        <v>3.83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17.41</v>
      </c>
      <c r="C152" s="68">
        <v>17.920000000000002</v>
      </c>
      <c r="D152" s="68">
        <v>19.28</v>
      </c>
      <c r="E152" s="68">
        <v>22.73</v>
      </c>
      <c r="F152" s="68">
        <v>22.19</v>
      </c>
    </row>
    <row r="153" spans="1:24" s="93" customFormat="1" ht="14.25" thickBot="1" x14ac:dyDescent="0.3">
      <c r="A153" s="225" t="s">
        <v>19</v>
      </c>
      <c r="B153" s="274">
        <v>5.5</v>
      </c>
      <c r="C153" s="274">
        <v>6.12</v>
      </c>
      <c r="D153" s="274">
        <v>7</v>
      </c>
      <c r="E153" s="274">
        <v>8.83</v>
      </c>
      <c r="F153" s="274">
        <v>8.09</v>
      </c>
    </row>
    <row r="154" spans="1:24" s="93" customFormat="1" ht="14.25" thickBot="1" x14ac:dyDescent="0.3">
      <c r="A154" s="224" t="s">
        <v>41</v>
      </c>
      <c r="B154" s="68">
        <v>5.17</v>
      </c>
      <c r="C154" s="68">
        <v>6.84</v>
      </c>
      <c r="D154" s="68">
        <v>7.45</v>
      </c>
      <c r="E154" s="68">
        <v>9.07</v>
      </c>
      <c r="F154" s="68">
        <v>8.25</v>
      </c>
    </row>
    <row r="155" spans="1:24" s="93" customFormat="1" ht="14.25" thickBot="1" x14ac:dyDescent="0.3">
      <c r="A155" s="225" t="s">
        <v>13</v>
      </c>
      <c r="B155" s="73">
        <v>3.64</v>
      </c>
      <c r="C155" s="73">
        <v>5.07</v>
      </c>
      <c r="D155" s="73">
        <v>5.73</v>
      </c>
      <c r="E155" s="73">
        <v>7.46</v>
      </c>
      <c r="F155" s="73">
        <v>6.74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0.76</v>
      </c>
      <c r="C158" s="68">
        <v>1.17</v>
      </c>
      <c r="D158" s="68">
        <v>1.28</v>
      </c>
      <c r="E158" s="68">
        <v>0.73</v>
      </c>
      <c r="F158" s="68">
        <v>0.79</v>
      </c>
      <c r="G158" s="68">
        <v>1.3</v>
      </c>
      <c r="H158" s="68">
        <v>1.51</v>
      </c>
      <c r="I158" s="68">
        <v>1.46</v>
      </c>
      <c r="J158" s="68">
        <v>0.94</v>
      </c>
      <c r="K158" s="68">
        <v>1.53</v>
      </c>
      <c r="L158" s="68">
        <v>1.66</v>
      </c>
      <c r="M158" s="68">
        <v>1.46</v>
      </c>
      <c r="N158" s="68">
        <v>1.28</v>
      </c>
      <c r="O158" s="68">
        <v>1.51</v>
      </c>
      <c r="P158" s="68">
        <v>1.75</v>
      </c>
      <c r="Q158" s="68">
        <v>1.98</v>
      </c>
      <c r="R158" s="68">
        <v>1.3</v>
      </c>
      <c r="S158" s="68">
        <v>1.88</v>
      </c>
      <c r="T158" s="68">
        <v>1.6</v>
      </c>
      <c r="U158" s="68">
        <v>1.01</v>
      </c>
      <c r="V158" s="68">
        <v>1.1100000000000001</v>
      </c>
      <c r="W158" s="68">
        <v>0.74</v>
      </c>
      <c r="X158" s="68">
        <v>1.01</v>
      </c>
    </row>
    <row r="159" spans="1:24" s="93" customFormat="1" ht="14.25" thickBot="1" x14ac:dyDescent="0.3">
      <c r="A159" s="225" t="s">
        <v>45</v>
      </c>
      <c r="B159" s="73">
        <v>1.22</v>
      </c>
      <c r="C159" s="73">
        <v>2.14</v>
      </c>
      <c r="D159" s="73">
        <v>2.4</v>
      </c>
      <c r="E159" s="73">
        <v>1.22</v>
      </c>
      <c r="F159" s="73">
        <v>1.41</v>
      </c>
      <c r="G159" s="73">
        <v>2.63</v>
      </c>
      <c r="H159" s="73">
        <v>3.17</v>
      </c>
      <c r="I159" s="73">
        <v>2.94</v>
      </c>
      <c r="J159" s="73">
        <v>1.75</v>
      </c>
      <c r="K159" s="73">
        <v>3.15</v>
      </c>
      <c r="L159" s="73">
        <v>3.53</v>
      </c>
      <c r="M159" s="73">
        <v>2.91</v>
      </c>
      <c r="N159" s="73">
        <v>2.42</v>
      </c>
      <c r="O159" s="73">
        <v>3.04</v>
      </c>
      <c r="P159" s="73">
        <v>3.63</v>
      </c>
      <c r="Q159" s="73">
        <v>4.01</v>
      </c>
      <c r="R159" s="73">
        <v>2.4500000000000002</v>
      </c>
      <c r="S159" s="73">
        <v>3.94</v>
      </c>
      <c r="T159" s="73">
        <v>3.4</v>
      </c>
      <c r="U159" s="73">
        <v>2.09</v>
      </c>
      <c r="V159" s="73">
        <v>2.29</v>
      </c>
      <c r="W159" s="73">
        <v>1.39</v>
      </c>
      <c r="X159" s="73">
        <v>2.17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3.64</v>
      </c>
      <c r="C162" s="68">
        <v>5.07</v>
      </c>
      <c r="D162" s="68">
        <v>5.73</v>
      </c>
      <c r="E162" s="68">
        <v>7.46</v>
      </c>
      <c r="F162" s="68">
        <v>6.74</v>
      </c>
    </row>
    <row r="163" spans="1:72" s="93" customFormat="1" ht="14.25" thickBot="1" x14ac:dyDescent="0.3">
      <c r="A163" s="225" t="s">
        <v>18</v>
      </c>
      <c r="B163" s="274">
        <v>0.89</v>
      </c>
      <c r="C163" s="274">
        <v>0.87</v>
      </c>
      <c r="D163" s="274">
        <v>0.85</v>
      </c>
      <c r="E163" s="274">
        <v>0.78</v>
      </c>
      <c r="F163" s="274">
        <v>0.75</v>
      </c>
    </row>
    <row r="164" spans="1:72" s="93" customFormat="1" ht="14.25" thickBot="1" x14ac:dyDescent="0.3">
      <c r="A164" s="224" t="s">
        <v>15</v>
      </c>
      <c r="B164" s="68">
        <v>2.15</v>
      </c>
      <c r="C164" s="68">
        <v>2.19</v>
      </c>
      <c r="D164" s="68">
        <v>2.15</v>
      </c>
      <c r="E164" s="68">
        <v>2.19</v>
      </c>
      <c r="F164" s="68">
        <v>2.44</v>
      </c>
    </row>
    <row r="165" spans="1:72" s="93" customFormat="1" ht="14.25" thickBot="1" x14ac:dyDescent="0.3">
      <c r="A165" s="225" t="s">
        <v>45</v>
      </c>
      <c r="B165" s="73">
        <v>6.94</v>
      </c>
      <c r="C165" s="73">
        <v>10.01</v>
      </c>
      <c r="D165" s="73">
        <v>10.98</v>
      </c>
      <c r="E165" s="73">
        <v>12.95</v>
      </c>
      <c r="F165" s="73">
        <v>11.95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112.5</v>
      </c>
      <c r="C168" s="68">
        <v>102.27</v>
      </c>
      <c r="D168" s="68">
        <v>103.45</v>
      </c>
      <c r="E168" s="68">
        <v>107.14</v>
      </c>
      <c r="F168" s="68">
        <v>113.92</v>
      </c>
      <c r="G168" s="68">
        <v>98.9</v>
      </c>
      <c r="H168" s="68">
        <v>102.27</v>
      </c>
      <c r="I168" s="68">
        <v>107.14</v>
      </c>
      <c r="J168" s="68">
        <v>120</v>
      </c>
      <c r="K168" s="68">
        <v>100</v>
      </c>
      <c r="L168" s="68">
        <v>104.65</v>
      </c>
      <c r="M168" s="68">
        <v>113.92</v>
      </c>
      <c r="N168" s="68">
        <v>126.76</v>
      </c>
      <c r="O168" s="68">
        <v>115.38</v>
      </c>
      <c r="P168" s="68">
        <v>120</v>
      </c>
      <c r="Q168" s="68">
        <v>120</v>
      </c>
      <c r="R168" s="68">
        <v>125</v>
      </c>
      <c r="S168" s="68">
        <v>107.14</v>
      </c>
      <c r="T168" s="68">
        <v>112.5</v>
      </c>
      <c r="U168" s="68">
        <v>109.76</v>
      </c>
      <c r="V168" s="68">
        <v>121.62</v>
      </c>
      <c r="W168" s="68">
        <v>113.92</v>
      </c>
      <c r="X168" s="68">
        <v>109.76</v>
      </c>
    </row>
    <row r="169" spans="1:72" s="93" customFormat="1" ht="14.25" thickBot="1" x14ac:dyDescent="0.3">
      <c r="A169" s="225" t="s">
        <v>17</v>
      </c>
      <c r="B169" s="274">
        <v>81.08</v>
      </c>
      <c r="C169" s="274">
        <v>74.38</v>
      </c>
      <c r="D169" s="274">
        <v>75</v>
      </c>
      <c r="E169" s="274">
        <v>77.59</v>
      </c>
      <c r="F169" s="274">
        <v>84.11</v>
      </c>
      <c r="G169" s="274">
        <v>69.23</v>
      </c>
      <c r="H169" s="274">
        <v>67.16</v>
      </c>
      <c r="I169" s="274">
        <v>69.77</v>
      </c>
      <c r="J169" s="274">
        <v>81.819999999999993</v>
      </c>
      <c r="K169" s="274">
        <v>70.87</v>
      </c>
      <c r="L169" s="274">
        <v>70.31</v>
      </c>
      <c r="M169" s="274">
        <v>76.27</v>
      </c>
      <c r="N169" s="274">
        <v>86.54</v>
      </c>
      <c r="O169" s="274">
        <v>78.260000000000005</v>
      </c>
      <c r="P169" s="274">
        <v>78.95</v>
      </c>
      <c r="Q169" s="274">
        <v>80.36</v>
      </c>
      <c r="R169" s="274">
        <v>85.71</v>
      </c>
      <c r="S169" s="274">
        <v>75</v>
      </c>
      <c r="T169" s="274">
        <v>75.63</v>
      </c>
      <c r="U169" s="274">
        <v>68.7</v>
      </c>
      <c r="V169" s="274">
        <v>82.57</v>
      </c>
      <c r="W169" s="274">
        <v>79.650000000000006</v>
      </c>
      <c r="X169" s="274">
        <v>69.77</v>
      </c>
    </row>
    <row r="170" spans="1:72" s="93" customFormat="1" ht="14.25" thickBot="1" x14ac:dyDescent="0.3">
      <c r="A170" s="224" t="s">
        <v>42</v>
      </c>
      <c r="B170" s="72">
        <v>193.58</v>
      </c>
      <c r="C170" s="72">
        <v>176.65</v>
      </c>
      <c r="D170" s="72">
        <v>178.45</v>
      </c>
      <c r="E170" s="72">
        <v>184.73</v>
      </c>
      <c r="F170" s="72">
        <v>198.04</v>
      </c>
      <c r="G170" s="72">
        <v>168.13</v>
      </c>
      <c r="H170" s="72">
        <v>169.44</v>
      </c>
      <c r="I170" s="72">
        <v>176.91</v>
      </c>
      <c r="J170" s="72">
        <v>201.82</v>
      </c>
      <c r="K170" s="72">
        <v>170.87</v>
      </c>
      <c r="L170" s="72">
        <v>174.96</v>
      </c>
      <c r="M170" s="72">
        <v>190.2</v>
      </c>
      <c r="N170" s="72">
        <v>213.3</v>
      </c>
      <c r="O170" s="72">
        <v>193.65</v>
      </c>
      <c r="P170" s="72">
        <v>198.95</v>
      </c>
      <c r="Q170" s="72">
        <v>200.36</v>
      </c>
      <c r="R170" s="72">
        <v>210.71</v>
      </c>
      <c r="S170" s="72">
        <v>182.14</v>
      </c>
      <c r="T170" s="72">
        <v>188.13</v>
      </c>
      <c r="U170" s="72">
        <v>178.46</v>
      </c>
      <c r="V170" s="72">
        <v>204.19</v>
      </c>
      <c r="W170" s="72">
        <v>193.57</v>
      </c>
      <c r="X170" s="72">
        <v>179.52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242.15</v>
      </c>
      <c r="C173" s="72">
        <v>160.47999999999999</v>
      </c>
      <c r="D173" s="72">
        <v>125.43</v>
      </c>
      <c r="E173" s="72">
        <v>205.36</v>
      </c>
      <c r="F173" s="72">
        <v>107.2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18.88</v>
      </c>
      <c r="C176" s="72">
        <v>20.28</v>
      </c>
      <c r="D176" s="72">
        <v>20.53</v>
      </c>
      <c r="E176" s="72">
        <v>18.86</v>
      </c>
      <c r="F176" s="72">
        <v>18.97</v>
      </c>
      <c r="G176" s="72">
        <v>18.82</v>
      </c>
      <c r="H176" s="72">
        <v>19.350000000000001</v>
      </c>
      <c r="I176" s="72">
        <v>19.190000000000001</v>
      </c>
      <c r="J176" s="72">
        <v>19.36</v>
      </c>
      <c r="K176" s="72">
        <v>18.5</v>
      </c>
      <c r="L176" s="72">
        <v>18.72</v>
      </c>
      <c r="M176" s="72">
        <v>19.420000000000002</v>
      </c>
      <c r="N176" s="72">
        <v>19.75</v>
      </c>
      <c r="O176" s="72">
        <v>20.04</v>
      </c>
      <c r="P176" s="72">
        <v>19.64</v>
      </c>
      <c r="Q176" s="72">
        <v>19.27</v>
      </c>
      <c r="R176" s="72">
        <v>18.93</v>
      </c>
      <c r="S176" s="72">
        <v>17.989999999999998</v>
      </c>
      <c r="T176" s="72">
        <v>18.64</v>
      </c>
      <c r="U176" s="72">
        <v>16.68</v>
      </c>
      <c r="V176" s="72">
        <v>17.079999999999998</v>
      </c>
      <c r="W176" s="72">
        <v>17.86</v>
      </c>
      <c r="X176" s="72">
        <v>16.32</v>
      </c>
      <c r="Y176" s="72">
        <v>17.41</v>
      </c>
      <c r="Z176" s="72">
        <v>17.7</v>
      </c>
      <c r="AA176" s="72">
        <v>18.940000000000001</v>
      </c>
      <c r="AB176" s="72">
        <v>16.079999999999998</v>
      </c>
      <c r="AC176" s="72">
        <v>16.14</v>
      </c>
      <c r="AD176" s="72">
        <v>15.77</v>
      </c>
      <c r="AE176" s="72">
        <v>15.78</v>
      </c>
      <c r="AF176" s="72">
        <v>16.75</v>
      </c>
      <c r="AG176" s="72">
        <v>14.98</v>
      </c>
      <c r="AH176" s="72">
        <v>14.89</v>
      </c>
      <c r="AI176" s="72">
        <v>13.99</v>
      </c>
      <c r="AJ176" s="72">
        <v>13.36</v>
      </c>
      <c r="AK176" s="72">
        <v>13.81</v>
      </c>
      <c r="AL176" s="72">
        <v>14.06</v>
      </c>
      <c r="AM176" s="72">
        <v>14.21</v>
      </c>
      <c r="AN176" s="72">
        <v>14.81</v>
      </c>
      <c r="AO176" s="72">
        <v>14.98</v>
      </c>
      <c r="AP176" s="72">
        <v>13.8</v>
      </c>
      <c r="AQ176" s="72">
        <v>13.39</v>
      </c>
      <c r="AR176" s="72">
        <v>12.59</v>
      </c>
      <c r="AS176" s="72">
        <v>12.23</v>
      </c>
      <c r="AT176" s="72">
        <v>11.59</v>
      </c>
      <c r="AU176" s="72">
        <v>12.3</v>
      </c>
      <c r="AV176" s="72">
        <v>12.13</v>
      </c>
      <c r="AW176" s="72">
        <v>12.23</v>
      </c>
      <c r="AX176" s="72">
        <v>12.26</v>
      </c>
      <c r="AY176" s="72">
        <v>12.57</v>
      </c>
      <c r="AZ176" s="72">
        <v>11.7</v>
      </c>
      <c r="BA176" s="72">
        <v>11.74</v>
      </c>
      <c r="BB176" s="72">
        <v>11.32</v>
      </c>
      <c r="BC176" s="72">
        <v>11.6</v>
      </c>
      <c r="BD176" s="72">
        <v>12.15</v>
      </c>
      <c r="BE176" s="72">
        <v>12.16</v>
      </c>
      <c r="BF176" s="72">
        <v>12.28</v>
      </c>
      <c r="BG176" s="72">
        <v>11.96</v>
      </c>
      <c r="BH176" s="72">
        <v>11.83</v>
      </c>
      <c r="BI176" s="72">
        <v>11.82</v>
      </c>
      <c r="BJ176" s="72">
        <v>11.98</v>
      </c>
      <c r="BK176" s="72">
        <v>12.22</v>
      </c>
      <c r="BL176" s="72">
        <v>13.93</v>
      </c>
      <c r="BM176" s="72">
        <v>13.62</v>
      </c>
      <c r="BN176" s="72">
        <v>14.12</v>
      </c>
      <c r="BO176" s="72">
        <v>14.37</v>
      </c>
      <c r="BP176" s="72">
        <v>14.73</v>
      </c>
      <c r="BQ176" s="72">
        <v>18.03</v>
      </c>
      <c r="BR176" s="72">
        <v>17.829999999999998</v>
      </c>
      <c r="BS176" s="72">
        <v>17.68</v>
      </c>
      <c r="BT176" s="72">
        <v>20.91</v>
      </c>
    </row>
  </sheetData>
  <phoneticPr fontId="3" type="noConversion"/>
  <conditionalFormatting sqref="E4">
    <cfRule type="cellIs" dxfId="6821" priority="103" operator="greaterThan">
      <formula>0.2</formula>
    </cfRule>
    <cfRule type="cellIs" dxfId="6820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6819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818" priority="97" operator="greaterThan">
      <formula>$B$19</formula>
    </cfRule>
  </conditionalFormatting>
  <conditionalFormatting sqref="D33:D34">
    <cfRule type="cellIs" dxfId="6817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6816" priority="91" operator="lessThan">
      <formula>$H$62</formula>
    </cfRule>
    <cfRule type="cellIs" dxfId="6815" priority="92" operator="greaterThan">
      <formula>$H$62</formula>
    </cfRule>
  </conditionalFormatting>
  <conditionalFormatting sqref="J62">
    <cfRule type="cellIs" dxfId="6814" priority="89" operator="lessThan">
      <formula>$K$62</formula>
    </cfRule>
    <cfRule type="cellIs" dxfId="6813" priority="90" operator="greaterThan">
      <formula>$K$62</formula>
    </cfRule>
  </conditionalFormatting>
  <conditionalFormatting sqref="M62">
    <cfRule type="cellIs" dxfId="6812" priority="87" operator="lessThan">
      <formula>$N$62</formula>
    </cfRule>
    <cfRule type="cellIs" dxfId="6811" priority="88" operator="greaterThan">
      <formula>$N$62</formula>
    </cfRule>
  </conditionalFormatting>
  <conditionalFormatting sqref="B44:E44">
    <cfRule type="cellIs" dxfId="6810" priority="85" operator="greaterThan">
      <formula>0</formula>
    </cfRule>
    <cfRule type="cellIs" dxfId="6809" priority="86" operator="lessThan">
      <formula>0</formula>
    </cfRule>
  </conditionalFormatting>
  <conditionalFormatting sqref="F72">
    <cfRule type="cellIs" dxfId="6808" priority="84" operator="lessThan">
      <formula>$E$72*90%</formula>
    </cfRule>
  </conditionalFormatting>
  <conditionalFormatting sqref="F73">
    <cfRule type="cellIs" dxfId="6807" priority="83" operator="lessThan">
      <formula>$E$73*90%</formula>
    </cfRule>
  </conditionalFormatting>
  <conditionalFormatting sqref="F74">
    <cfRule type="cellIs" dxfId="6806" priority="82" operator="lessThan">
      <formula>$E$74*90%</formula>
    </cfRule>
  </conditionalFormatting>
  <conditionalFormatting sqref="F75">
    <cfRule type="cellIs" dxfId="6805" priority="81" operator="lessThan">
      <formula>$E$75*90%</formula>
    </cfRule>
  </conditionalFormatting>
  <conditionalFormatting sqref="H44:K44">
    <cfRule type="cellIs" dxfId="6804" priority="79" operator="greaterThan">
      <formula>0</formula>
    </cfRule>
    <cfRule type="cellIs" dxfId="6803" priority="80" operator="lessThan">
      <formula>0</formula>
    </cfRule>
  </conditionalFormatting>
  <conditionalFormatting sqref="H51:K51">
    <cfRule type="cellIs" dxfId="6802" priority="77" operator="greaterThan">
      <formula>0</formula>
    </cfRule>
    <cfRule type="cellIs" dxfId="6801" priority="78" operator="lessThan">
      <formula>0</formula>
    </cfRule>
  </conditionalFormatting>
  <conditionalFormatting sqref="B51:E51">
    <cfRule type="cellIs" dxfId="6800" priority="75" operator="greaterThan">
      <formula>0</formula>
    </cfRule>
    <cfRule type="cellIs" dxfId="6799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798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797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796" priority="58" operator="lessThan">
      <formula>0</formula>
    </cfRule>
  </conditionalFormatting>
  <conditionalFormatting sqref="A25 E25 C25">
    <cfRule type="cellIs" dxfId="6795" priority="59" operator="lessThan">
      <formula>0</formula>
    </cfRule>
  </conditionalFormatting>
  <conditionalFormatting sqref="F25">
    <cfRule type="cellIs" dxfId="6794" priority="57" operator="lessThan">
      <formula>0</formula>
    </cfRule>
  </conditionalFormatting>
  <conditionalFormatting sqref="E1">
    <cfRule type="containsText" dxfId="6793" priority="56" operator="containsText" text="本季業外損益/平均=-">
      <formula>NOT(ISERROR(SEARCH("本季業外損益/平均=-",E1)))</formula>
    </cfRule>
  </conditionalFormatting>
  <conditionalFormatting sqref="M65">
    <cfRule type="cellIs" dxfId="6792" priority="55" operator="lessThan">
      <formula>$L$65*90%</formula>
    </cfRule>
  </conditionalFormatting>
  <conditionalFormatting sqref="M66">
    <cfRule type="cellIs" dxfId="6791" priority="54" operator="lessThan">
      <formula>$L$66*90%</formula>
    </cfRule>
  </conditionalFormatting>
  <conditionalFormatting sqref="M67">
    <cfRule type="cellIs" dxfId="6790" priority="53" operator="lessThan">
      <formula>$L$67*90%</formula>
    </cfRule>
  </conditionalFormatting>
  <conditionalFormatting sqref="M68">
    <cfRule type="cellIs" dxfId="6789" priority="52" operator="lessThan">
      <formula>$L$68*90%</formula>
    </cfRule>
  </conditionalFormatting>
  <conditionalFormatting sqref="B60">
    <cfRule type="cellIs" dxfId="6788" priority="51" operator="lessThan">
      <formula>0</formula>
    </cfRule>
  </conditionalFormatting>
  <conditionalFormatting sqref="B59:F59">
    <cfRule type="cellIs" dxfId="6787" priority="50" operator="lessThanOrEqual">
      <formula>0</formula>
    </cfRule>
  </conditionalFormatting>
  <conditionalFormatting sqref="D62">
    <cfRule type="cellIs" dxfId="6786" priority="48" operator="lessThan">
      <formula>$E$62</formula>
    </cfRule>
    <cfRule type="cellIs" dxfId="6785" priority="49" operator="greaterThan">
      <formula>$E$62</formula>
    </cfRule>
  </conditionalFormatting>
  <conditionalFormatting sqref="F69">
    <cfRule type="cellIs" dxfId="6784" priority="46" operator="lessThan">
      <formula>0</formula>
    </cfRule>
  </conditionalFormatting>
  <conditionalFormatting sqref="B65:E67 B69:E69 B68:D68">
    <cfRule type="cellIs" dxfId="6783" priority="47" operator="lessThan">
      <formula>0</formula>
    </cfRule>
  </conditionalFormatting>
  <conditionalFormatting sqref="E68">
    <cfRule type="cellIs" dxfId="6782" priority="45" operator="lessThan">
      <formula>0</formula>
    </cfRule>
  </conditionalFormatting>
  <conditionalFormatting sqref="F65:F68">
    <cfRule type="cellIs" dxfId="6781" priority="44" operator="lessThan">
      <formula>0</formula>
    </cfRule>
  </conditionalFormatting>
  <conditionalFormatting sqref="F65:F68">
    <cfRule type="cellIs" dxfId="6780" priority="43" operator="lessThan">
      <formula>$E$65*0.9</formula>
    </cfRule>
  </conditionalFormatting>
  <conditionalFormatting sqref="F66">
    <cfRule type="cellIs" dxfId="6779" priority="42" operator="lessThan">
      <formula>$E$66*0.9</formula>
    </cfRule>
  </conditionalFormatting>
  <conditionalFormatting sqref="F67:F68">
    <cfRule type="cellIs" dxfId="6778" priority="41" operator="lessThan">
      <formula>$E$67*0.9</formula>
    </cfRule>
  </conditionalFormatting>
  <conditionalFormatting sqref="F68">
    <cfRule type="cellIs" dxfId="6777" priority="40" operator="lessThan">
      <formula>$E$68*0.9</formula>
    </cfRule>
  </conditionalFormatting>
  <conditionalFormatting sqref="B13:F13">
    <cfRule type="cellIs" dxfId="6776" priority="29" operator="greaterThan">
      <formula>$I$16</formula>
    </cfRule>
    <cfRule type="cellIs" dxfId="6775" priority="30" operator="lessThanOrEqual">
      <formula>$I$16</formula>
    </cfRule>
  </conditionalFormatting>
  <conditionalFormatting sqref="B10:F10">
    <cfRule type="cellIs" dxfId="6774" priority="31" operator="greaterThan">
      <formula>15</formula>
    </cfRule>
    <cfRule type="cellIs" dxfId="6773" priority="38" operator="lessThan">
      <formula>$I$9</formula>
    </cfRule>
    <cfRule type="cellIs" dxfId="6772" priority="39" operator="greaterThan">
      <formula>$I$9</formula>
    </cfRule>
  </conditionalFormatting>
  <conditionalFormatting sqref="B16:F16">
    <cfRule type="cellIs" dxfId="6771" priority="36" operator="greaterThan">
      <formula>$I$16</formula>
    </cfRule>
    <cfRule type="cellIs" dxfId="6770" priority="37" operator="lessThanOrEqual">
      <formula>$I$16</formula>
    </cfRule>
  </conditionalFormatting>
  <conditionalFormatting sqref="B15:F15">
    <cfRule type="cellIs" dxfId="6769" priority="34" operator="lessThanOrEqual">
      <formula>$I$16</formula>
    </cfRule>
    <cfRule type="cellIs" dxfId="6768" priority="35" operator="greaterThan">
      <formula>$I$16</formula>
    </cfRule>
  </conditionalFormatting>
  <conditionalFormatting sqref="B14:F14">
    <cfRule type="cellIs" dxfId="6767" priority="32" operator="greaterThan">
      <formula>$I$16</formula>
    </cfRule>
    <cfRule type="cellIs" dxfId="6766" priority="33" operator="lessThanOrEqual">
      <formula>$I$16</formula>
    </cfRule>
  </conditionalFormatting>
  <conditionalFormatting sqref="K6">
    <cfRule type="containsText" dxfId="6765" priority="27" operator="containsText" text="衰退">
      <formula>NOT(ISERROR(SEARCH("衰退",K6)))</formula>
    </cfRule>
    <cfRule type="containsText" dxfId="6764" priority="28" operator="containsText" text="成長">
      <formula>NOT(ISERROR(SEARCH("成長",K6)))</formula>
    </cfRule>
  </conditionalFormatting>
  <conditionalFormatting sqref="I4:K4">
    <cfRule type="cellIs" dxfId="6763" priority="25" operator="lessThan">
      <formula>0</formula>
    </cfRule>
    <cfRule type="cellIs" dxfId="6762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761" priority="22" operator="lessThanOrEqual">
      <formula>$I$16</formula>
    </cfRule>
    <cfRule type="cellIs" dxfId="6760" priority="23" operator="greaterThan">
      <formula>$I$16</formula>
    </cfRule>
  </conditionalFormatting>
  <conditionalFormatting sqref="I6">
    <cfRule type="containsText" dxfId="6759" priority="20" operator="containsText" text="衰退">
      <formula>NOT(ISERROR(SEARCH("衰退",I6)))</formula>
    </cfRule>
    <cfRule type="containsText" dxfId="6758" priority="21" operator="containsText" text="成長">
      <formula>NOT(ISERROR(SEARCH("成長",I6)))</formula>
    </cfRule>
  </conditionalFormatting>
  <conditionalFormatting sqref="M9">
    <cfRule type="cellIs" dxfId="6757" priority="19" operator="lessThan">
      <formula>$I$9</formula>
    </cfRule>
  </conditionalFormatting>
  <conditionalFormatting sqref="M10">
    <cfRule type="cellIs" dxfId="6756" priority="18" operator="greaterThan">
      <formula>$I$9</formula>
    </cfRule>
  </conditionalFormatting>
  <conditionalFormatting sqref="M11">
    <cfRule type="cellIs" dxfId="6755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754" priority="14" operator="lessThan">
      <formula>0</formula>
    </cfRule>
    <cfRule type="cellIs" dxfId="6753" priority="15" operator="greaterThan">
      <formula>0.5</formula>
    </cfRule>
  </conditionalFormatting>
  <conditionalFormatting sqref="N14">
    <cfRule type="cellIs" dxfId="6752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751" priority="10" operator="lessThan">
      <formula>0.1</formula>
    </cfRule>
  </conditionalFormatting>
  <conditionalFormatting sqref="I14">
    <cfRule type="cellIs" dxfId="6750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749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748" priority="1" operator="lessThan">
      <formula>$N$5*0.9</formula>
    </cfRule>
    <cfRule type="cellIs" dxfId="6747" priority="2" operator="greaterThan">
      <formula>$N$5*1.1</formula>
    </cfRule>
  </conditionalFormatting>
  <hyperlinks>
    <hyperlink ref="L1" location="儀表板!A1" display="(回首頁)" xr:uid="{00000000-0004-0000-0D00-000000000000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6.32 ~ 16.32</v>
      </c>
      <c r="L1" s="83" t="s">
        <v>176</v>
      </c>
      <c r="M1" s="84" t="str">
        <f ca="1">VLOOKUP(_xlfn.NUMBERVALUE(N1),儀表板!A:B,2,FALSE)</f>
        <v>永記造漆</v>
      </c>
      <c r="N1" s="85" t="str">
        <f ca="1">MID(CELL("filename",L1),FIND("]",CELL("filename",L1))+1,255)</f>
        <v>1726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0.16368122308109187</v>
      </c>
    </row>
    <row r="3" spans="1:15" s="93" customFormat="1" x14ac:dyDescent="0.25">
      <c r="A3" s="81" t="s">
        <v>179</v>
      </c>
      <c r="B3" s="94">
        <f>SUM(F19:F22,F24:F27,J19)</f>
        <v>90.11293279193282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63.903595678411818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64.963056827952826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68.012237697363503</v>
      </c>
      <c r="L3" s="100"/>
      <c r="M3" s="79" t="s">
        <v>385</v>
      </c>
      <c r="N3" s="92">
        <f>(F69-E69)/E69</f>
        <v>-0.20942345458543507</v>
      </c>
    </row>
    <row r="4" spans="1:15" s="93" customFormat="1" x14ac:dyDescent="0.25">
      <c r="A4" s="81" t="s">
        <v>182</v>
      </c>
      <c r="B4" s="96">
        <f>SUM(G36:G40)*2</f>
        <v>84</v>
      </c>
      <c r="C4" s="101"/>
      <c r="D4" s="102">
        <f>F4*(1+F141/10)</f>
        <v>16.2</v>
      </c>
      <c r="E4" s="82">
        <f>(D4-F4)/F4</f>
        <v>0</v>
      </c>
      <c r="F4" s="103">
        <v>16.2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5.1545590761029629</v>
      </c>
    </row>
    <row r="5" spans="1:15" s="93" customFormat="1" x14ac:dyDescent="0.25">
      <c r="A5" s="81" t="s">
        <v>184</v>
      </c>
      <c r="B5" s="107">
        <f>SUM(F30:F34)*2</f>
        <v>95.511097804391213</v>
      </c>
      <c r="C5" s="87"/>
      <c r="D5" s="87"/>
      <c r="E5" s="87"/>
      <c r="F5" s="86"/>
      <c r="G5" s="88"/>
      <c r="M5" s="79" t="s">
        <v>375</v>
      </c>
      <c r="N5" s="152">
        <f>D62</f>
        <v>5.29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5.5668812503539939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15.45</v>
      </c>
      <c r="N9" s="129"/>
    </row>
    <row r="10" spans="1:15" s="93" customFormat="1" x14ac:dyDescent="0.25">
      <c r="A10" s="123" t="s">
        <v>194</v>
      </c>
      <c r="B10" s="126">
        <f>PERCENTILE(176:176,B9)</f>
        <v>11.42</v>
      </c>
      <c r="C10" s="126">
        <f>PERCENTILE(176:176,C9)</f>
        <v>12.365</v>
      </c>
      <c r="D10" s="126">
        <f>PERCENTILE(176:176,D9)</f>
        <v>12.57</v>
      </c>
      <c r="E10" s="126">
        <f>PERCENTILE(176:176,E9)</f>
        <v>13.16</v>
      </c>
      <c r="F10" s="126">
        <f>PERCENTILE(176:176,F9)</f>
        <v>13.58</v>
      </c>
      <c r="G10" s="95"/>
      <c r="H10" s="135"/>
      <c r="I10" s="135"/>
      <c r="J10" s="135"/>
      <c r="K10" s="135"/>
      <c r="L10" s="136" t="s">
        <v>374</v>
      </c>
      <c r="M10" s="130">
        <f>MIN(176:176)</f>
        <v>9.57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50.06</v>
      </c>
      <c r="L11" s="272" t="s">
        <v>193</v>
      </c>
      <c r="M11" s="128">
        <f>STDEV(176:176)</f>
        <v>1.3048506471115646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55.322128851540626</v>
      </c>
      <c r="C13" s="141">
        <f>$B$34/5.88%</f>
        <v>67.176870748299322</v>
      </c>
      <c r="D13" s="141">
        <f>$B$34/5%</f>
        <v>79</v>
      </c>
      <c r="E13" s="141">
        <f>$B$34/4.35%</f>
        <v>90.804597701149433</v>
      </c>
      <c r="F13" s="141">
        <f>$B$34/3.85%</f>
        <v>102.59740259740261</v>
      </c>
      <c r="G13" s="138" t="str">
        <f>"$"&amp;ROUND(B34,2)&amp;"/"&amp;IF(STDEV(C140:F140)/AVERAGE(C140:F140)&lt;15%,"高",IF(STDEV(C140:F140)/AVERAGE(C140:F140)&lt;30%,"中","低"))</f>
        <v>$3.95/高</v>
      </c>
      <c r="H13" s="142" t="s">
        <v>199</v>
      </c>
      <c r="I13" s="143">
        <f>MAX(0,1-J15)</f>
        <v>0.38650306748466257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71.517750000000007</v>
      </c>
      <c r="C14" s="141">
        <f>$B$33*C10</f>
        <v>77.435812499999997</v>
      </c>
      <c r="D14" s="141">
        <f>$B$33*D10</f>
        <v>78.719625000000008</v>
      </c>
      <c r="E14" s="141">
        <f>$B$33*E10</f>
        <v>82.414500000000004</v>
      </c>
      <c r="F14" s="141">
        <f>$B$33*F10</f>
        <v>85.044750000000008</v>
      </c>
      <c r="G14" s="138" t="str">
        <f>"$"&amp;ROUND(B33,2)&amp;"/"&amp;IF(STDEV(B69:E69)/AVERAGE(B69:E69)&lt;15%,"高",IF(STDEV(B69:E69)/AVERAGE(B69:E69)&lt;30%,"中","低"))</f>
        <v>$6.26/高</v>
      </c>
      <c r="H14" s="142" t="s">
        <v>203</v>
      </c>
      <c r="I14" s="145">
        <f>G62/100*I13</f>
        <v>4.0698773006134968E-2</v>
      </c>
      <c r="J14" s="76" t="s">
        <v>204</v>
      </c>
      <c r="K14" s="146"/>
      <c r="L14" s="147">
        <f>(HLOOKUP($C$1,$105:$106,2,FALSE)-HLOOKUP($C$1,$117:$127,9,FALSE))/(HLOOKUP($C$1,$117:$128,12,FALSE)/K11)</f>
        <v>15.29453639699155</v>
      </c>
      <c r="M14" s="148">
        <f>E135/E69</f>
        <v>1.2254601226993866</v>
      </c>
      <c r="N14" s="149">
        <f>F173/100</f>
        <v>1.0713999999999999</v>
      </c>
    </row>
    <row r="15" spans="1:15" s="93" customFormat="1" x14ac:dyDescent="0.25">
      <c r="A15" s="140" t="s">
        <v>375</v>
      </c>
      <c r="B15" s="141">
        <f>$D$62*B10</f>
        <v>60.411799999999999</v>
      </c>
      <c r="C15" s="141">
        <f>$D$62*C10</f>
        <v>65.410849999999996</v>
      </c>
      <c r="D15" s="141">
        <f>$D$62*D10</f>
        <v>66.4953</v>
      </c>
      <c r="E15" s="141">
        <f>$D$62*E10</f>
        <v>69.616399999999999</v>
      </c>
      <c r="F15" s="141">
        <f>$D$62*F10</f>
        <v>71.838200000000001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0.61349693251533743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58.865064649095835</v>
      </c>
      <c r="C16" s="141">
        <f>$F$69*C10</f>
        <v>63.736122976013135</v>
      </c>
      <c r="D16" s="141">
        <f>$F$69*D10</f>
        <v>64.792807586614245</v>
      </c>
      <c r="E16" s="141">
        <f>$F$69*E10</f>
        <v>67.833997441514995</v>
      </c>
      <c r="F16" s="141">
        <f>$F$69*F10</f>
        <v>69.998912253478238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119</v>
      </c>
      <c r="J17" s="92">
        <f ca="1">IF(I17&lt;=0,"",IF(I17&lt;=MIN($B$13:$F$16),(I17-MIN($B$13:$F$16))/MIN($B$13:$F$16),IF(I17&gt;=MAX($B$13:$F$16),I17/MAX($B$13:$F$16),PERCENTRANK($B$13:$F$16,I17))))</f>
        <v>1.1598734177215189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6.4275000000000002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18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1.6272151898734177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8.0384662957377118E-2</v>
      </c>
      <c r="J20" s="171">
        <f>HLOOKUP($C$1,$117:$127,11,FALSE)/HLOOKUP($C$1,$105:$115,11,FALSE)</f>
        <v>0.15704721704540847</v>
      </c>
      <c r="K20" s="163"/>
    </row>
    <row r="21" spans="1:14" s="93" customFormat="1" x14ac:dyDescent="0.25">
      <c r="A21" s="151" t="s">
        <v>201</v>
      </c>
      <c r="B21" s="161">
        <f>AVERAGE(C173:F173)/100</f>
        <v>1.1876249999999999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6.0154257561053068</v>
      </c>
      <c r="J21" s="78"/>
      <c r="K21" s="164" t="s">
        <v>356</v>
      </c>
      <c r="L21" s="165">
        <f>HLOOKUP($C$1,$105:$115,7,FALSE)/HLOOKUP($C$1,$105:$115,11,FALSE)</f>
        <v>0.74024721205626509</v>
      </c>
      <c r="M21" s="123" t="s">
        <v>268</v>
      </c>
      <c r="N21" s="165">
        <f>HLOOKUP($C$1,$117:$127,8,FALSE)/HLOOKUP($C$1,$117:$127,11,FALSE)</f>
        <v>0.78357426598382196</v>
      </c>
    </row>
    <row r="22" spans="1:14" s="93" customFormat="1" x14ac:dyDescent="0.25">
      <c r="A22" s="140" t="s">
        <v>222</v>
      </c>
      <c r="B22" s="161">
        <f>(-1)*SUM(C133:F133)/SUM(C132:F132)</f>
        <v>0.12644459551325626</v>
      </c>
      <c r="C22" s="157"/>
      <c r="D22" s="166"/>
      <c r="E22" s="140"/>
      <c r="F22" s="159">
        <f>IF(B22&lt;=0,10,IF(B22&gt;=100%,0,(1-B22)*10))</f>
        <v>8.7355540448674383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4.3680254474719344</v>
      </c>
      <c r="J22" s="78"/>
      <c r="K22" s="142" t="s">
        <v>357</v>
      </c>
      <c r="L22" s="165">
        <f>HLOOKUP($C$1,$105:$115,4,FALSE)/HLOOKUP($C$1,$105:$115,11,FALSE)</f>
        <v>0.19515367081423859</v>
      </c>
      <c r="M22" s="123" t="s">
        <v>353</v>
      </c>
      <c r="N22" s="165">
        <f>HLOOKUP($C$1,$117:$127,4,FALSE)/HLOOKUP($C$1,$117:$127,11,FALSE)</f>
        <v>0.48814971401795182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1.1863060662721228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0.2027260471744298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1.0023980768113359</v>
      </c>
      <c r="C24" s="169">
        <f>STDEV(C103:F103)</f>
        <v>4.7961536226717172E-3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84.91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6.6656619086176025E-2</v>
      </c>
      <c r="M24" s="123" t="s">
        <v>355</v>
      </c>
      <c r="N24" s="165">
        <f>HLOOKUP($C$1,$117:$127,9,FALSE)/HLOOKUP($C$1,$117:$127,11,FALSE)</f>
        <v>0.21642573401617807</v>
      </c>
    </row>
    <row r="25" spans="1:14" s="93" customFormat="1" x14ac:dyDescent="0.25">
      <c r="A25" s="151" t="s">
        <v>366</v>
      </c>
      <c r="B25" s="255">
        <f>AVERAGE(94:94)</f>
        <v>15267.391304347826</v>
      </c>
      <c r="C25" s="254">
        <f>STDEV(94:94)/AVERAGE(94:94)</f>
        <v>2.6226212529346156</v>
      </c>
      <c r="D25" s="76" t="str">
        <f>IF(C25&lt;=1,"高",IF(C25&lt;=2,"中","低"))</f>
        <v>低</v>
      </c>
      <c r="E25" s="149"/>
      <c r="F25" s="160">
        <f>MAX(0,10-ABS(C25))</f>
        <v>7.377378747065384</v>
      </c>
      <c r="G25" s="88" t="s">
        <v>213</v>
      </c>
      <c r="H25" s="123" t="s">
        <v>232</v>
      </c>
      <c r="I25" s="170">
        <f>IF(HLOOKUP(C1,167:170,3,FALSE)="無",0,HLOOKUP(C1,167:170,3,FALSE))</f>
        <v>123.29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85.899565217391284</v>
      </c>
      <c r="C26" s="172">
        <f>IF(COUNTIF(168:168,"&gt;0")=0,0,STDEV(168:168))</f>
        <v>4.470604472308648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115.58652173913045</v>
      </c>
      <c r="C27" s="172">
        <f>IF(COUNTIF(169:169,"&gt;0")=0,0,STDEV(169:169))</f>
        <v>6.842850023395787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7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0.2838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0.126025</v>
      </c>
      <c r="C31" s="157" t="s">
        <v>217</v>
      </c>
      <c r="D31" s="174">
        <f>COUNTIF(149:149,"&gt;8")/COUNT(149:149)</f>
        <v>0.95652173913043481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13.295</v>
      </c>
      <c r="C32" s="157" t="s">
        <v>217</v>
      </c>
      <c r="D32" s="174">
        <f>COUNTIF(159:159,"&gt;3")/COUNT(159:159)</f>
        <v>0.69565217391304346</v>
      </c>
      <c r="E32" s="140" t="s">
        <v>242</v>
      </c>
      <c r="F32" s="159">
        <f>MIN(B32/15*10,10)</f>
        <v>8.8633333333333333</v>
      </c>
      <c r="G32" s="135"/>
    </row>
    <row r="33" spans="1:14" x14ac:dyDescent="0.25">
      <c r="A33" s="155" t="s">
        <v>14</v>
      </c>
      <c r="B33" s="156">
        <f>AVERAGE(B69:E69)</f>
        <v>6.2625000000000002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3.95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8.8922155688622748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8038264.5</v>
      </c>
      <c r="C36" s="178">
        <f>STDEV(C97:F97)</f>
        <v>289638.12484949786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28.38</v>
      </c>
      <c r="C37" s="180">
        <f>STDEV(C152:F152)</f>
        <v>1.0936788072068198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15.01</v>
      </c>
      <c r="C38" s="180">
        <f>STDEV(C153:F153)</f>
        <v>0.73416619371910607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13.295</v>
      </c>
      <c r="C39" s="181">
        <f>STDEV(C165:F165)</f>
        <v>1.0238652255057794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6.2625000000000002</v>
      </c>
      <c r="C40" s="183">
        <f>STDEV(B69:E69)</f>
        <v>0.31191612120354861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-0.37951807228915657</v>
      </c>
      <c r="C44" s="186">
        <f>(C46-C49)/C49</f>
        <v>-0.23668639053254434</v>
      </c>
      <c r="D44" s="186">
        <f>(D46-D49)/D49</f>
        <v>-0.1333333333333333</v>
      </c>
      <c r="E44" s="186">
        <f>(E46-E49)/E49</f>
        <v>0.21897810218978087</v>
      </c>
      <c r="G44" s="86" t="s">
        <v>175</v>
      </c>
      <c r="H44" s="186">
        <f>(H47-H50)/H50</f>
        <v>-0.14819350887936297</v>
      </c>
      <c r="I44" s="186">
        <f>(I47-I50)/I50</f>
        <v>-0.22689540675152176</v>
      </c>
      <c r="J44" s="186">
        <f>(J47-J50)/J50</f>
        <v>3.9814200398143144E-3</v>
      </c>
      <c r="K44" s="186">
        <f>(K47-K50)/K50</f>
        <v>-0.27347715736040612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1.03</v>
      </c>
      <c r="C46" s="152">
        <f>HLOOKUP(C45,$81:$82,2,FALSE)</f>
        <v>1.29</v>
      </c>
      <c r="D46" s="152">
        <f>HLOOKUP(D45,$81:$82,2,FALSE)</f>
        <v>1.3</v>
      </c>
      <c r="E46" s="152">
        <f>HLOOKUP(E45,$81:$82,2,FALSE)</f>
        <v>1.67</v>
      </c>
      <c r="G46" s="86" t="s">
        <v>164</v>
      </c>
      <c r="H46" s="145">
        <f>HLOOKUP(H45,$145:$147,2,FALSE)/100</f>
        <v>0.27460000000000001</v>
      </c>
      <c r="I46" s="145">
        <f>HLOOKUP(I45,$145:$147,2,FALSE)/100</f>
        <v>0.27760000000000001</v>
      </c>
      <c r="J46" s="145">
        <f>HLOOKUP(J45,$145:$147,2,FALSE)/100</f>
        <v>0.27160000000000001</v>
      </c>
      <c r="K46" s="145">
        <f>HLOOKUP(K45,$145:$147,2,FALSE)/100</f>
        <v>0.2727</v>
      </c>
    </row>
    <row r="47" spans="1:14" x14ac:dyDescent="0.25">
      <c r="A47" s="188" t="s">
        <v>165</v>
      </c>
      <c r="B47" s="189">
        <f>HLOOKUP(B45,$157:$159,3,FALSE)</f>
        <v>2.09</v>
      </c>
      <c r="C47" s="189">
        <f>HLOOKUP(C45,$157:$159,3,FALSE)</f>
        <v>2.57</v>
      </c>
      <c r="D47" s="189">
        <f>HLOOKUP(D45,$157:$159,3,FALSE)</f>
        <v>2.54</v>
      </c>
      <c r="E47" s="189">
        <f>HLOOKUP(E45,$157:$159,3,FALSE)</f>
        <v>3.33</v>
      </c>
      <c r="G47" s="190" t="s">
        <v>166</v>
      </c>
      <c r="H47" s="145">
        <f>HLOOKUP(H45,$145:$147,3,FALSE)/100</f>
        <v>0.1391</v>
      </c>
      <c r="I47" s="145">
        <f>HLOOKUP(I45,$145:$147,3,FALSE)/100</f>
        <v>0.13970000000000002</v>
      </c>
      <c r="J47" s="145">
        <f>HLOOKUP(J45,$145:$147,3,FALSE)/100</f>
        <v>0.15130000000000002</v>
      </c>
      <c r="K47" s="145">
        <f>HLOOKUP(K45,$145:$147,3,FALSE)/100</f>
        <v>0.11449999999999999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1.66</v>
      </c>
      <c r="C49" s="152">
        <f>HLOOKUP(C48,$81:$82,2,FALSE)</f>
        <v>1.69</v>
      </c>
      <c r="D49" s="152">
        <f>HLOOKUP(D48,$81:$82,2,FALSE)</f>
        <v>1.5</v>
      </c>
      <c r="E49" s="152">
        <f>HLOOKUP(E48,$81:$82,2,FALSE)</f>
        <v>1.37</v>
      </c>
      <c r="G49" s="86" t="s">
        <v>164</v>
      </c>
      <c r="H49" s="145">
        <f>HLOOKUP(H48,$145:$147,2,FALSE)/100</f>
        <v>0.29730000000000001</v>
      </c>
      <c r="I49" s="145">
        <f>HLOOKUP(I48,$145:$147,2,FALSE)/100</f>
        <v>0.30260000000000004</v>
      </c>
      <c r="J49" s="145">
        <f>HLOOKUP(J48,$145:$147,2,FALSE)/100</f>
        <v>0.29100000000000004</v>
      </c>
      <c r="K49" s="145">
        <f>HLOOKUP(K48,$145:$147,2,FALSE)/100</f>
        <v>0.308</v>
      </c>
    </row>
    <row r="50" spans="1:15" x14ac:dyDescent="0.25">
      <c r="A50" s="188" t="s">
        <v>165</v>
      </c>
      <c r="B50" s="189">
        <f>HLOOKUP(B48,$157:$159,3,FALSE)</f>
        <v>3.4</v>
      </c>
      <c r="C50" s="189">
        <f>HLOOKUP(C48,$157:$159,3,FALSE)</f>
        <v>3.44</v>
      </c>
      <c r="D50" s="189">
        <f>HLOOKUP(D48,$157:$159,3,FALSE)</f>
        <v>3.02</v>
      </c>
      <c r="E50" s="189">
        <f>HLOOKUP(E48,$157:$159,3,FALSE)</f>
        <v>2.83</v>
      </c>
      <c r="G50" s="190" t="s">
        <v>166</v>
      </c>
      <c r="H50" s="145">
        <f>HLOOKUP(H48,$145:$147,3,FALSE)/100</f>
        <v>0.16329999999999997</v>
      </c>
      <c r="I50" s="145">
        <f>HLOOKUP(I48,$145:$147,3,FALSE)/100</f>
        <v>0.1807</v>
      </c>
      <c r="J50" s="145">
        <f>HLOOKUP(J48,$145:$147,3,FALSE)/100</f>
        <v>0.1507</v>
      </c>
      <c r="K50" s="145">
        <f>HLOOKUP(K48,$145:$147,3,FALSE)/100</f>
        <v>0.15759999999999999</v>
      </c>
    </row>
    <row r="51" spans="1:15" x14ac:dyDescent="0.25">
      <c r="A51" s="86" t="s">
        <v>351</v>
      </c>
      <c r="B51" s="186">
        <f>(B47-B50)/B50</f>
        <v>-0.38529411764705884</v>
      </c>
      <c r="C51" s="186">
        <f>(C47-C50)/C50</f>
        <v>-0.25290697674418611</v>
      </c>
      <c r="D51" s="186">
        <f>(D47-D50)/D50</f>
        <v>-0.15894039735099338</v>
      </c>
      <c r="E51" s="186">
        <f>(E47-E50)/E50</f>
        <v>0.17667844522968199</v>
      </c>
      <c r="G51" s="235" t="s">
        <v>174</v>
      </c>
      <c r="H51" s="186">
        <f>(H46-H49)/H49</f>
        <v>-7.6353851328624281E-2</v>
      </c>
      <c r="I51" s="186">
        <f>(I46-I49)/I49</f>
        <v>-8.2617316589557233E-2</v>
      </c>
      <c r="J51" s="186">
        <f>(J46-J49)/J49</f>
        <v>-6.6666666666666749E-2</v>
      </c>
      <c r="K51" s="186">
        <f>(K46-K49)/K49</f>
        <v>-0.11461038961038961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5.5668812503539939</v>
      </c>
      <c r="B53" s="193">
        <f>B46</f>
        <v>1.03</v>
      </c>
      <c r="C53" s="193">
        <f>E46/HLOOKUP(E45,$87:$94,5,FALSE)*HLOOKUP(E45,$87:$94,4,FALSE)*($B$25/HLOOKUP(E45,$87:$94,4,FALSE)+SUM($B$57:$D$57)/SUM($B58:$D$58)*$G$69/100/K46)</f>
        <v>1.5345590761029626</v>
      </c>
      <c r="D53" s="193">
        <f>D46/HLOOKUP(D45,$87:$94,5,FALSE)*HLOOKUP(D45,$87:$94,4,FALSE)*($B$25/HLOOKUP(D45,$87:$94,4,FALSE)+SUM($B$57:$D$57)/SUM($B58:$D$58)*$G$69/100/J46)</f>
        <v>1.6305325819419521</v>
      </c>
      <c r="E53" s="193">
        <f>C46/HLOOKUP(C45,$87:$94,5,FALSE)*HLOOKUP(C45,$87:$94,4,FALSE)*($B$25/HLOOKUP(C45,$87:$94,4,FALSE)+SUM($B$57:$D$57)/SUM($B58:$D$58)*$G$69/100/I46)</f>
        <v>1.3717895923090797</v>
      </c>
    </row>
    <row r="54" spans="1:15" x14ac:dyDescent="0.25">
      <c r="A54" s="278">
        <f>SUM(B54:E54)</f>
        <v>5.92</v>
      </c>
      <c r="B54" s="277">
        <f t="shared" ref="B54:D54" si="0">HLOOKUP(B52-10,81:82,2,FALSE)</f>
        <v>1.66</v>
      </c>
      <c r="C54" s="277">
        <f t="shared" si="0"/>
        <v>1.67</v>
      </c>
      <c r="D54" s="277">
        <f t="shared" si="0"/>
        <v>1.3</v>
      </c>
      <c r="E54" s="277">
        <f>HLOOKUP(E52-10,81:82,2,FALSE)</f>
        <v>1.29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637660</v>
      </c>
      <c r="C57" s="196">
        <f>HLOOKUP(C56,78:79,2,FALSE)</f>
        <v>664215</v>
      </c>
      <c r="D57" s="196">
        <f>HLOOKUP(D56,78:79,2,FALSE)</f>
        <v>679385</v>
      </c>
      <c r="E57" s="196">
        <f>HLOOKUP(E56,78:79,2,FALSE)</f>
        <v>623675</v>
      </c>
      <c r="F57" s="196">
        <f>HLOOKUP(F56,78:79,2,FALSE)</f>
        <v>675262</v>
      </c>
      <c r="G57" s="196">
        <f t="shared" ref="G57:M57" si="2">HLOOKUP(G56,78:79,2,FALSE)</f>
        <v>617550</v>
      </c>
      <c r="H57" s="196">
        <f t="shared" si="2"/>
        <v>585591</v>
      </c>
      <c r="I57" s="196">
        <f t="shared" si="2"/>
        <v>675678</v>
      </c>
      <c r="J57" s="196">
        <f t="shared" si="2"/>
        <v>491165</v>
      </c>
      <c r="K57" s="196">
        <f t="shared" si="2"/>
        <v>612370</v>
      </c>
      <c r="L57" s="196">
        <f t="shared" si="2"/>
        <v>798981</v>
      </c>
      <c r="M57" s="196">
        <f t="shared" si="2"/>
        <v>647084</v>
      </c>
      <c r="N57" s="197"/>
    </row>
    <row r="58" spans="1:15" x14ac:dyDescent="0.25">
      <c r="A58" s="198" t="s">
        <v>253</v>
      </c>
      <c r="B58" s="196">
        <f>HLOOKUP(B56-100,78:79,2,FALSE)</f>
        <v>633754</v>
      </c>
      <c r="C58" s="196">
        <f>HLOOKUP(C56-100,78:79,2,FALSE)</f>
        <v>583412</v>
      </c>
      <c r="D58" s="196">
        <f>HLOOKUP(D56-100,78:79,2,FALSE)</f>
        <v>636481</v>
      </c>
      <c r="E58" s="196">
        <f>HLOOKUP(E56-100,78:79,2,FALSE)</f>
        <v>618589</v>
      </c>
      <c r="F58" s="196">
        <f>HLOOKUP(F56-100,78:79,2,FALSE)</f>
        <v>615602</v>
      </c>
      <c r="G58" s="196">
        <f t="shared" ref="G58:M58" si="3">HLOOKUP(G56-100,78:79,2,FALSE)</f>
        <v>702695</v>
      </c>
      <c r="H58" s="196">
        <f t="shared" si="3"/>
        <v>611662</v>
      </c>
      <c r="I58" s="196">
        <f t="shared" si="3"/>
        <v>635198</v>
      </c>
      <c r="J58" s="196">
        <f t="shared" si="3"/>
        <v>453189</v>
      </c>
      <c r="K58" s="196">
        <f t="shared" si="3"/>
        <v>700061</v>
      </c>
      <c r="L58" s="196">
        <f t="shared" si="3"/>
        <v>753407</v>
      </c>
      <c r="M58" s="196">
        <f t="shared" si="3"/>
        <v>679952</v>
      </c>
      <c r="N58" s="197"/>
    </row>
    <row r="59" spans="1:15" x14ac:dyDescent="0.25">
      <c r="A59" s="199" t="s">
        <v>254</v>
      </c>
      <c r="B59" s="165">
        <f>IF(B57&lt;&gt;"",(B57-B58)/B58,"")</f>
        <v>6.1632747091142619E-3</v>
      </c>
      <c r="C59" s="165">
        <f>IF(C57&lt;&gt;"",(C57-C58)/C58,"")</f>
        <v>0.13850075075589807</v>
      </c>
      <c r="D59" s="165">
        <f>IF(D57&lt;&gt;"",(D57-D58)/D58,"")</f>
        <v>6.7408139441711534E-2</v>
      </c>
      <c r="E59" s="165">
        <f>IF(E57&lt;&gt;"",(E57-E58)/E58,"")</f>
        <v>8.2219373445049943E-3</v>
      </c>
      <c r="F59" s="165">
        <f>IF(F57&lt;&gt;"",(F57-F58)/F58,"")</f>
        <v>9.691326538900133E-2</v>
      </c>
      <c r="G59" s="165">
        <f t="shared" ref="G59:M59" si="4">IF(G57&lt;&gt;"",(G57-G58)/G58,"")</f>
        <v>-0.12116921281637126</v>
      </c>
      <c r="H59" s="165">
        <f t="shared" si="4"/>
        <v>-4.2623213474108253E-2</v>
      </c>
      <c r="I59" s="165">
        <f t="shared" si="4"/>
        <v>6.3728160353149724E-2</v>
      </c>
      <c r="J59" s="165">
        <f t="shared" si="4"/>
        <v>8.3797267806588416E-2</v>
      </c>
      <c r="K59" s="165">
        <f t="shared" si="4"/>
        <v>-0.1252619414593871</v>
      </c>
      <c r="L59" s="165">
        <f t="shared" si="4"/>
        <v>6.049054495113531E-2</v>
      </c>
      <c r="M59" s="165">
        <f t="shared" si="4"/>
        <v>-4.8338706261618465E-2</v>
      </c>
    </row>
    <row r="60" spans="1:15" x14ac:dyDescent="0.25">
      <c r="A60" s="195" t="s">
        <v>255</v>
      </c>
      <c r="B60" s="196">
        <f>SUM(B57:M57)</f>
        <v>7708616</v>
      </c>
    </row>
    <row r="61" spans="1:15" x14ac:dyDescent="0.25">
      <c r="A61" s="198" t="s">
        <v>256</v>
      </c>
      <c r="B61" s="196">
        <f>SUM(B58:M58)</f>
        <v>7624002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1.0110983706457579</v>
      </c>
      <c r="D62" s="152">
        <f>SUM(B46:E46)</f>
        <v>5.29</v>
      </c>
      <c r="E62" s="152">
        <f>SUM(B49:E49)</f>
        <v>6.22</v>
      </c>
      <c r="G62" s="126">
        <f>SUM(B47:E47)</f>
        <v>10.530000000000001</v>
      </c>
      <c r="H62" s="126">
        <f>SUM(B50:E50)</f>
        <v>12.69</v>
      </c>
      <c r="J62" s="200">
        <f>AVERAGE(H46:K46)</f>
        <v>0.27412500000000001</v>
      </c>
      <c r="K62" s="200">
        <f>AVERAGE(H49:K49)</f>
        <v>0.29972500000000002</v>
      </c>
      <c r="M62" s="200">
        <f>AVERAGE(H47:K47)</f>
        <v>0.13614999999999999</v>
      </c>
      <c r="N62" s="200">
        <f>AVERAGE(H50:K50)</f>
        <v>0.163075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2.02</v>
      </c>
      <c r="C65" s="205">
        <f t="shared" si="5"/>
        <v>1.58</v>
      </c>
      <c r="D65" s="205">
        <f t="shared" si="5"/>
        <v>1.34</v>
      </c>
      <c r="E65" s="205">
        <f t="shared" si="5"/>
        <v>1.5</v>
      </c>
      <c r="F65" s="206">
        <f>IF(ISNA(HLOOKUP(F$64*10+$A65,$81:$82,2,FALSE)),(HLOOKUP(E$64*10+$A65,$87:$94,4,FALSE)*$G65+$B$25)/HLOOKUP(E$64*10+$A65,$87:$94,5,FALSE)*$E65,HLOOKUP(F$64*10+$A65,$81:$82,2,FALSE))</f>
        <v>1.3</v>
      </c>
      <c r="G65" s="101">
        <f>MIN(130%,SUM($B$57:$D$57)/SUM($B$58:$D$58)*$G$69/HLOOKUP(E$64*10+$A65,$145:$146,2,FALSE))</f>
        <v>1.0304811940613172</v>
      </c>
      <c r="H65" s="204">
        <v>1</v>
      </c>
      <c r="I65" s="208">
        <f t="shared" ref="I65:M68" si="6">IF(ISNA(HLOOKUP(I$64*10+$H65,$145:$147,3,FALSE)),"",HLOOKUP(I$64*10+$H65,$145:$147,3,FALSE)/100)</f>
        <v>0.14300000000000002</v>
      </c>
      <c r="J65" s="208">
        <f t="shared" si="6"/>
        <v>0.1862</v>
      </c>
      <c r="K65" s="208">
        <f t="shared" si="6"/>
        <v>0.14360000000000001</v>
      </c>
      <c r="L65" s="208">
        <f t="shared" si="6"/>
        <v>0.1507</v>
      </c>
      <c r="M65" s="209">
        <f t="shared" si="6"/>
        <v>0.15130000000000002</v>
      </c>
      <c r="N65" s="256">
        <f t="shared" ref="N65:O68" si="7">HLOOKUP(E$64*10+$A65,$87:$94,8,FALSE)</f>
        <v>7859</v>
      </c>
      <c r="O65" s="256">
        <f t="shared" si="7"/>
        <v>-20127</v>
      </c>
      <c r="P65" s="210"/>
    </row>
    <row r="66" spans="1:71" x14ac:dyDescent="0.25">
      <c r="A66" s="204">
        <v>2</v>
      </c>
      <c r="B66" s="205">
        <f t="shared" si="5"/>
        <v>1.1200000000000001</v>
      </c>
      <c r="C66" s="205">
        <f t="shared" si="5"/>
        <v>1.78</v>
      </c>
      <c r="D66" s="205">
        <f t="shared" si="5"/>
        <v>1.45</v>
      </c>
      <c r="E66" s="205">
        <f t="shared" si="5"/>
        <v>1.69</v>
      </c>
      <c r="F66" s="206">
        <f>IF(ISNA(HLOOKUP(F$64*10+$A66,$81:$82,2,FALSE)),(HLOOKUP(E$64*10+$A66,$87:$94,4,FALSE)*$G66+$B$25)/HLOOKUP(E$64*10+$A66,$87:$94,5,FALSE)*$E66,HLOOKUP(F$64*10+$A66,$81:$82,2,FALSE))</f>
        <v>1.29</v>
      </c>
      <c r="G66" s="101">
        <f>MIN(130%,SUM($B$57:$D$57)/SUM($B$58:$D$58)*$G$69/HLOOKUP(E$64*10+$A66,$145:$146,2,FALSE))</f>
        <v>0.99097827981441933</v>
      </c>
      <c r="H66" s="204">
        <v>2</v>
      </c>
      <c r="I66" s="208">
        <f t="shared" si="6"/>
        <v>0.1363</v>
      </c>
      <c r="J66" s="208">
        <f t="shared" si="6"/>
        <v>0.1535</v>
      </c>
      <c r="K66" s="208">
        <f t="shared" si="6"/>
        <v>0.1605</v>
      </c>
      <c r="L66" s="208">
        <f t="shared" si="6"/>
        <v>0.1807</v>
      </c>
      <c r="M66" s="209">
        <f t="shared" si="6"/>
        <v>0.13970000000000002</v>
      </c>
      <c r="N66" s="256">
        <f t="shared" si="7"/>
        <v>10404</v>
      </c>
      <c r="O66" s="256">
        <f t="shared" si="7"/>
        <v>18506</v>
      </c>
      <c r="P66" s="210"/>
    </row>
    <row r="67" spans="1:71" x14ac:dyDescent="0.25">
      <c r="A67" s="204">
        <v>3</v>
      </c>
      <c r="B67" s="205">
        <f t="shared" si="5"/>
        <v>1.58</v>
      </c>
      <c r="C67" s="205">
        <f t="shared" si="5"/>
        <v>1.49</v>
      </c>
      <c r="D67" s="205">
        <f t="shared" si="5"/>
        <v>1.65</v>
      </c>
      <c r="E67" s="205">
        <f t="shared" si="5"/>
        <v>1.66</v>
      </c>
      <c r="F67" s="206">
        <f>IF(ISNA(HLOOKUP(F$64*10+$A67,$81:$82,2,FALSE)),(HLOOKUP(E$64*10+$A67,$87:$94,4,FALSE)*$G67+$B$25)/HLOOKUP(E$64*10+$A67,$87:$94,5,FALSE)*$E67,HLOOKUP(F$64*10+$A67,$81:$82,2,FALSE))</f>
        <v>1.03</v>
      </c>
      <c r="G67" s="101">
        <f>MIN(130%,SUM($B$57:$D$57)/SUM($B$58:$D$58)*$G$69/HLOOKUP(E$64*10+$A67,$145:$146,2,FALSE))</f>
        <v>1.0086445592729341</v>
      </c>
      <c r="H67" s="204">
        <v>3</v>
      </c>
      <c r="I67" s="208">
        <f t="shared" si="6"/>
        <v>0.14560000000000001</v>
      </c>
      <c r="J67" s="208">
        <f t="shared" si="6"/>
        <v>0.1386</v>
      </c>
      <c r="K67" s="208">
        <f t="shared" si="6"/>
        <v>0.1457</v>
      </c>
      <c r="L67" s="208">
        <f t="shared" si="6"/>
        <v>0.16329999999999997</v>
      </c>
      <c r="M67" s="209">
        <f t="shared" si="6"/>
        <v>0.1391</v>
      </c>
      <c r="N67" s="256">
        <f t="shared" si="7"/>
        <v>24946</v>
      </c>
      <c r="O67" s="256">
        <f t="shared" si="7"/>
        <v>22258</v>
      </c>
      <c r="P67" s="210"/>
    </row>
    <row r="68" spans="1:71" x14ac:dyDescent="0.25">
      <c r="A68" s="204">
        <v>4</v>
      </c>
      <c r="B68" s="205">
        <f>HLOOKUP(B$64*10+$A68,$81:$82,2,FALSE)</f>
        <v>1.61</v>
      </c>
      <c r="C68" s="205">
        <f>HLOOKUP(C$64*10+$A68,$81:$82,2,FALSE)</f>
        <v>1.54</v>
      </c>
      <c r="D68" s="205">
        <f>HLOOKUP(D$64*10+$A68,$81:$82,2,FALSE)</f>
        <v>1.37</v>
      </c>
      <c r="E68" s="206">
        <f>IF(ISNA(HLOOKUP(E$64*10+$A68,$81:$82,2,FALSE)),D68*(1-$N68)*#REF!*(1+$B$25)/(1+$E$4),HLOOKUP(E$64*10+$A68,$81:$82,2,FALSE))</f>
        <v>1.67</v>
      </c>
      <c r="F68" s="206">
        <f>IF(ISNA(HLOOKUP(F$64*10+$A68,$81:$82,2,FALSE)),(HLOOKUP(E$64*10+$A68,$87:$94,4,FALSE)*$G68+$B$25)/HLOOKUP(E$64*10+$A68,$87:$94,5,FALSE)*$E68,HLOOKUP(F$64*10+$A68,$81:$82,2,FALSE))</f>
        <v>1.5345590761029628</v>
      </c>
      <c r="G68" s="101">
        <f>MIN(130%,SUM($B$57:$D$57)/SUM($B$58:$D$58)*$G$69/HLOOKUP(E$64*10+$A68,$145:$146,2,FALSE))</f>
        <v>1.0996333974031658</v>
      </c>
      <c r="H68" s="204">
        <v>4</v>
      </c>
      <c r="I68" s="208">
        <f t="shared" si="6"/>
        <v>0.13470000000000001</v>
      </c>
      <c r="J68" s="208">
        <f t="shared" si="6"/>
        <v>0.15140000000000001</v>
      </c>
      <c r="K68" s="208">
        <f t="shared" si="6"/>
        <v>0.15759999999999999</v>
      </c>
      <c r="L68" s="208">
        <f t="shared" si="6"/>
        <v>0.11449999999999999</v>
      </c>
      <c r="M68" s="209" t="str">
        <f t="shared" si="6"/>
        <v/>
      </c>
      <c r="N68" s="256">
        <f t="shared" si="7"/>
        <v>63233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6.330000000000001</v>
      </c>
      <c r="C69" s="213">
        <f>SUM(C65:C68)</f>
        <v>6.3900000000000006</v>
      </c>
      <c r="D69" s="213">
        <f>SUM(D65:D68)</f>
        <v>5.81</v>
      </c>
      <c r="E69" s="213">
        <f>SUM(E65:E68)</f>
        <v>6.52</v>
      </c>
      <c r="F69" s="213">
        <f>SUM(F65:F68)</f>
        <v>5.1545590761029629</v>
      </c>
      <c r="G69" s="257">
        <f>_xlfn.FORECAST.ETS(23,B146:W146,{1,2,3,4,5,6,7,8,9,10,11,12,13,14,15,16,17,18,19,20,21,22})</f>
        <v>28.055539243365331</v>
      </c>
      <c r="H69" s="214" t="s">
        <v>19</v>
      </c>
      <c r="I69" s="215">
        <f>HLOOKUP(I64,151:155,3,FALSE)/100</f>
        <v>0.13980000000000001</v>
      </c>
      <c r="J69" s="215">
        <f>HLOOKUP(J64,151:155,3,FALSE)/100</f>
        <v>0.15720000000000001</v>
      </c>
      <c r="K69" s="215">
        <f>HLOOKUP(K64,151:155,3,FALSE)/100</f>
        <v>0.15190000000000001</v>
      </c>
      <c r="L69" s="215">
        <f>IF(ISNA(HLOOKUP(L64,151:155,3,FALSE)/100),AVERAGE(L65:L68),HLOOKUP(L64,151:155,3,FALSE)/100)</f>
        <v>0.1515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4.57</v>
      </c>
      <c r="C72" s="205">
        <f t="shared" si="8"/>
        <v>3.45</v>
      </c>
      <c r="D72" s="205">
        <f t="shared" si="8"/>
        <v>2.78</v>
      </c>
      <c r="E72" s="205">
        <f t="shared" si="8"/>
        <v>3.02</v>
      </c>
      <c r="F72" s="205">
        <f t="shared" si="8"/>
        <v>2.54</v>
      </c>
    </row>
    <row r="73" spans="1:71" s="135" customFormat="1" x14ac:dyDescent="0.25">
      <c r="A73" s="204">
        <v>2</v>
      </c>
      <c r="B73" s="205">
        <f t="shared" si="8"/>
        <v>2.62</v>
      </c>
      <c r="C73" s="205">
        <f t="shared" si="8"/>
        <v>3.9</v>
      </c>
      <c r="D73" s="205">
        <f t="shared" si="8"/>
        <v>3.06</v>
      </c>
      <c r="E73" s="205">
        <f t="shared" si="8"/>
        <v>3.44</v>
      </c>
      <c r="F73" s="205">
        <f t="shared" si="8"/>
        <v>2.57</v>
      </c>
    </row>
    <row r="74" spans="1:71" s="135" customFormat="1" x14ac:dyDescent="0.25">
      <c r="A74" s="204">
        <v>3</v>
      </c>
      <c r="B74" s="205">
        <f t="shared" si="8"/>
        <v>3.68</v>
      </c>
      <c r="C74" s="205">
        <f t="shared" si="8"/>
        <v>3.32</v>
      </c>
      <c r="D74" s="205">
        <f t="shared" si="8"/>
        <v>3.51</v>
      </c>
      <c r="E74" s="205">
        <f t="shared" si="8"/>
        <v>3.4</v>
      </c>
      <c r="F74" s="205">
        <f t="shared" si="8"/>
        <v>2.09</v>
      </c>
    </row>
    <row r="75" spans="1:71" s="135" customFormat="1" x14ac:dyDescent="0.25">
      <c r="A75" s="204">
        <v>4</v>
      </c>
      <c r="B75" s="205">
        <f t="shared" si="8"/>
        <v>3.62</v>
      </c>
      <c r="C75" s="205">
        <f t="shared" si="8"/>
        <v>3.29</v>
      </c>
      <c r="D75" s="205">
        <f t="shared" si="8"/>
        <v>2.83</v>
      </c>
      <c r="E75" s="205">
        <f t="shared" si="8"/>
        <v>3.33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14.490000000000002</v>
      </c>
      <c r="C76" s="213">
        <f>SUM(C72:C75)</f>
        <v>13.96</v>
      </c>
      <c r="D76" s="213">
        <f>SUM(D72:D75)</f>
        <v>12.18</v>
      </c>
      <c r="E76" s="213">
        <f>AVERAGE(E72:E75)*4</f>
        <v>13.19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566842</v>
      </c>
      <c r="C79" s="270">
        <v>452860</v>
      </c>
      <c r="D79" s="270">
        <v>506944</v>
      </c>
      <c r="E79" s="270">
        <v>575642</v>
      </c>
      <c r="F79" s="270">
        <v>572692</v>
      </c>
      <c r="G79" s="270">
        <v>557695</v>
      </c>
      <c r="H79" s="270">
        <v>525871</v>
      </c>
      <c r="I79" s="270">
        <v>519094</v>
      </c>
      <c r="J79" s="270">
        <v>555618</v>
      </c>
      <c r="K79" s="270">
        <v>601654</v>
      </c>
      <c r="L79" s="270">
        <v>572278</v>
      </c>
      <c r="M79" s="270">
        <v>584271</v>
      </c>
      <c r="N79" s="270">
        <v>903955</v>
      </c>
      <c r="O79" s="270">
        <v>559799</v>
      </c>
      <c r="P79" s="270">
        <v>598460</v>
      </c>
      <c r="Q79" s="270">
        <v>648138</v>
      </c>
      <c r="R79" s="270">
        <v>687120</v>
      </c>
      <c r="S79" s="270">
        <v>605032</v>
      </c>
      <c r="T79" s="270">
        <v>678937</v>
      </c>
      <c r="U79" s="270">
        <v>640500</v>
      </c>
      <c r="V79" s="270">
        <v>654845</v>
      </c>
      <c r="W79" s="270">
        <v>692208</v>
      </c>
      <c r="X79" s="270">
        <v>707802</v>
      </c>
      <c r="Y79" s="270">
        <v>753357</v>
      </c>
      <c r="Z79" s="270">
        <v>828847</v>
      </c>
      <c r="AA79" s="270">
        <v>476635</v>
      </c>
      <c r="AB79" s="270">
        <v>703005</v>
      </c>
      <c r="AC79" s="270">
        <v>739000</v>
      </c>
      <c r="AD79" s="270">
        <v>665626</v>
      </c>
      <c r="AE79" s="270">
        <v>631120</v>
      </c>
      <c r="AF79" s="270">
        <v>722473</v>
      </c>
      <c r="AG79" s="270">
        <v>623331</v>
      </c>
      <c r="AH79" s="270">
        <v>710387</v>
      </c>
      <c r="AI79" s="270">
        <v>763775</v>
      </c>
      <c r="AJ79" s="270">
        <v>679466</v>
      </c>
      <c r="AK79" s="270">
        <v>749591</v>
      </c>
      <c r="AL79" s="270">
        <v>802241</v>
      </c>
      <c r="AM79" s="270">
        <v>547940</v>
      </c>
      <c r="AN79" s="270">
        <v>729360</v>
      </c>
      <c r="AO79" s="270">
        <v>677988</v>
      </c>
      <c r="AP79" s="270">
        <v>640014</v>
      </c>
      <c r="AQ79" s="270">
        <v>681620</v>
      </c>
      <c r="AR79" s="270">
        <v>690414</v>
      </c>
      <c r="AS79" s="270">
        <v>642463</v>
      </c>
      <c r="AT79" s="270">
        <v>561316</v>
      </c>
      <c r="AU79" s="270">
        <v>656630</v>
      </c>
      <c r="AV79" s="270">
        <v>679952</v>
      </c>
      <c r="AW79" s="270">
        <v>753407</v>
      </c>
      <c r="AX79" s="270">
        <v>700061</v>
      </c>
      <c r="AY79" s="270">
        <v>453189</v>
      </c>
      <c r="AZ79" s="270">
        <v>635198</v>
      </c>
      <c r="BA79" s="270">
        <v>611662</v>
      </c>
      <c r="BB79" s="270">
        <v>702695</v>
      </c>
      <c r="BC79" s="270">
        <v>615602</v>
      </c>
      <c r="BD79" s="270">
        <v>618589</v>
      </c>
      <c r="BE79" s="270">
        <v>636481</v>
      </c>
      <c r="BF79" s="270">
        <v>583412</v>
      </c>
      <c r="BG79" s="270">
        <v>633754</v>
      </c>
      <c r="BH79" s="270">
        <v>647084</v>
      </c>
      <c r="BI79" s="270">
        <v>798981</v>
      </c>
      <c r="BJ79" s="270">
        <v>612370</v>
      </c>
      <c r="BK79" s="270">
        <v>491165</v>
      </c>
      <c r="BL79" s="270">
        <v>675678</v>
      </c>
      <c r="BM79" s="270">
        <v>585591</v>
      </c>
      <c r="BN79" s="270">
        <v>617550</v>
      </c>
      <c r="BO79" s="270">
        <v>675262</v>
      </c>
      <c r="BP79" s="270">
        <v>623675</v>
      </c>
      <c r="BQ79" s="270">
        <v>679385</v>
      </c>
      <c r="BR79" s="270">
        <v>664215</v>
      </c>
      <c r="BS79" s="270">
        <v>637660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1.91</v>
      </c>
      <c r="C82" s="72">
        <v>1.31</v>
      </c>
      <c r="D82" s="72">
        <v>1.33</v>
      </c>
      <c r="E82" s="72">
        <v>0.84</v>
      </c>
      <c r="F82" s="72">
        <v>2.02</v>
      </c>
      <c r="G82" s="72">
        <v>1.1200000000000001</v>
      </c>
      <c r="H82" s="72">
        <v>1.58</v>
      </c>
      <c r="I82" s="72">
        <v>1.61</v>
      </c>
      <c r="J82" s="72">
        <v>1.58</v>
      </c>
      <c r="K82" s="72">
        <v>1.78</v>
      </c>
      <c r="L82" s="72">
        <v>1.49</v>
      </c>
      <c r="M82" s="72">
        <v>1.54</v>
      </c>
      <c r="N82" s="72">
        <v>1.34</v>
      </c>
      <c r="O82" s="72">
        <v>1.45</v>
      </c>
      <c r="P82" s="72">
        <v>1.65</v>
      </c>
      <c r="Q82" s="72">
        <v>1.37</v>
      </c>
      <c r="R82" s="72">
        <v>1.5</v>
      </c>
      <c r="S82" s="72">
        <v>1.69</v>
      </c>
      <c r="T82" s="72">
        <v>1.66</v>
      </c>
      <c r="U82" s="72">
        <v>1.67</v>
      </c>
      <c r="V82" s="72">
        <v>1.3</v>
      </c>
      <c r="W82" s="72">
        <v>1.29</v>
      </c>
      <c r="X82" s="72">
        <v>1.03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41.38</v>
      </c>
      <c r="C85" s="72">
        <v>40.29</v>
      </c>
      <c r="D85" s="72">
        <v>41.35</v>
      </c>
      <c r="E85" s="72">
        <v>42.1</v>
      </c>
      <c r="F85" s="72">
        <v>44.11</v>
      </c>
      <c r="G85" s="72">
        <v>41.98</v>
      </c>
      <c r="H85" s="72">
        <v>43.3</v>
      </c>
      <c r="I85" s="72">
        <v>45.12</v>
      </c>
      <c r="J85" s="72">
        <v>46.85</v>
      </c>
      <c r="K85" s="72">
        <v>44.07</v>
      </c>
      <c r="L85" s="72">
        <v>45.77</v>
      </c>
      <c r="M85" s="72">
        <v>47.64</v>
      </c>
      <c r="N85" s="72">
        <v>48.65</v>
      </c>
      <c r="O85" s="72">
        <v>45.93</v>
      </c>
      <c r="P85" s="72">
        <v>47.85</v>
      </c>
      <c r="Q85" s="72">
        <v>49</v>
      </c>
      <c r="R85" s="72">
        <v>50.43</v>
      </c>
      <c r="S85" s="72">
        <v>48.08</v>
      </c>
      <c r="T85" s="72">
        <v>49.18</v>
      </c>
      <c r="U85" s="72">
        <v>51.15</v>
      </c>
      <c r="V85" s="72">
        <v>51.44</v>
      </c>
      <c r="W85" s="72">
        <v>48.97</v>
      </c>
      <c r="X85" s="72">
        <v>50.06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1896203</v>
      </c>
      <c r="C88" s="273">
        <v>2085156</v>
      </c>
      <c r="D88" s="273">
        <v>2010021</v>
      </c>
      <c r="E88" s="273">
        <v>2135994</v>
      </c>
      <c r="F88" s="273">
        <v>2061544</v>
      </c>
      <c r="G88" s="273">
        <v>1939101</v>
      </c>
      <c r="H88" s="273">
        <v>1983672</v>
      </c>
      <c r="I88" s="273">
        <v>2162371</v>
      </c>
      <c r="J88" s="273">
        <v>2009469</v>
      </c>
      <c r="K88" s="273">
        <v>2060124</v>
      </c>
      <c r="L88" s="273">
        <v>2051143</v>
      </c>
      <c r="M88" s="273">
        <v>2181870</v>
      </c>
      <c r="N88" s="273">
        <v>2088232</v>
      </c>
      <c r="O88" s="273">
        <v>1996131</v>
      </c>
      <c r="P88" s="273">
        <v>1889246</v>
      </c>
      <c r="Q88" s="273">
        <v>2102507</v>
      </c>
      <c r="R88" s="273">
        <v>1789919</v>
      </c>
      <c r="S88" s="273">
        <v>1931588</v>
      </c>
      <c r="T88" s="273">
        <v>1836855</v>
      </c>
      <c r="U88" s="273">
        <v>2069286</v>
      </c>
      <c r="V88" s="273">
        <v>1783027</v>
      </c>
      <c r="W88" s="273">
        <v>1878184</v>
      </c>
      <c r="X88" s="273">
        <v>1965974</v>
      </c>
    </row>
    <row r="89" spans="1:25" ht="14.25" thickBot="1" x14ac:dyDescent="0.3">
      <c r="A89" s="250" t="s">
        <v>4</v>
      </c>
      <c r="B89" s="275">
        <v>411519</v>
      </c>
      <c r="C89" s="275">
        <v>483738</v>
      </c>
      <c r="D89" s="275">
        <v>455875</v>
      </c>
      <c r="E89" s="275">
        <v>470306</v>
      </c>
      <c r="F89" s="275">
        <v>537182</v>
      </c>
      <c r="G89" s="275">
        <v>495024</v>
      </c>
      <c r="H89" s="275">
        <v>538873</v>
      </c>
      <c r="I89" s="275">
        <v>619723</v>
      </c>
      <c r="J89" s="275">
        <v>594055</v>
      </c>
      <c r="K89" s="275">
        <v>583160</v>
      </c>
      <c r="L89" s="275">
        <v>549224</v>
      </c>
      <c r="M89" s="275">
        <v>619419</v>
      </c>
      <c r="N89" s="275">
        <v>592646</v>
      </c>
      <c r="O89" s="275">
        <v>590198</v>
      </c>
      <c r="P89" s="275">
        <v>538220</v>
      </c>
      <c r="Q89" s="275">
        <v>647524</v>
      </c>
      <c r="R89" s="275">
        <v>520947</v>
      </c>
      <c r="S89" s="275">
        <v>584468</v>
      </c>
      <c r="T89" s="275">
        <v>546155</v>
      </c>
      <c r="U89" s="275">
        <v>564344</v>
      </c>
      <c r="V89" s="275">
        <v>484352</v>
      </c>
      <c r="W89" s="275">
        <v>521372</v>
      </c>
      <c r="X89" s="275">
        <v>539827</v>
      </c>
    </row>
    <row r="90" spans="1:25" ht="14.25" thickBot="1" x14ac:dyDescent="0.3">
      <c r="A90" s="251" t="s">
        <v>5</v>
      </c>
      <c r="B90" s="273">
        <v>236872</v>
      </c>
      <c r="C90" s="273">
        <v>273846</v>
      </c>
      <c r="D90" s="273">
        <v>249522</v>
      </c>
      <c r="E90" s="273">
        <v>186915</v>
      </c>
      <c r="F90" s="273">
        <v>294846</v>
      </c>
      <c r="G90" s="273">
        <v>264284</v>
      </c>
      <c r="H90" s="273">
        <v>288741</v>
      </c>
      <c r="I90" s="273">
        <v>291247</v>
      </c>
      <c r="J90" s="273">
        <v>374204</v>
      </c>
      <c r="K90" s="273">
        <v>316173</v>
      </c>
      <c r="L90" s="273">
        <v>284191</v>
      </c>
      <c r="M90" s="273">
        <v>330238</v>
      </c>
      <c r="N90" s="273">
        <v>299849</v>
      </c>
      <c r="O90" s="273">
        <v>320448</v>
      </c>
      <c r="P90" s="273">
        <v>275287</v>
      </c>
      <c r="Q90" s="273">
        <v>331381</v>
      </c>
      <c r="R90" s="273">
        <v>269660</v>
      </c>
      <c r="S90" s="273">
        <v>348961</v>
      </c>
      <c r="T90" s="273">
        <v>300045</v>
      </c>
      <c r="U90" s="273">
        <v>237016</v>
      </c>
      <c r="V90" s="273">
        <v>269775</v>
      </c>
      <c r="W90" s="273">
        <v>262293</v>
      </c>
      <c r="X90" s="273">
        <v>273477</v>
      </c>
    </row>
    <row r="91" spans="1:25" ht="14.25" thickBot="1" x14ac:dyDescent="0.3">
      <c r="A91" s="250" t="s">
        <v>6</v>
      </c>
      <c r="B91" s="275">
        <v>368097</v>
      </c>
      <c r="C91" s="275">
        <v>283598</v>
      </c>
      <c r="D91" s="275">
        <v>274900</v>
      </c>
      <c r="E91" s="275">
        <v>185464</v>
      </c>
      <c r="F91" s="275">
        <v>385270</v>
      </c>
      <c r="G91" s="275">
        <v>263262</v>
      </c>
      <c r="H91" s="275">
        <v>293529</v>
      </c>
      <c r="I91" s="275">
        <v>317458</v>
      </c>
      <c r="J91" s="275">
        <v>345945</v>
      </c>
      <c r="K91" s="275">
        <v>327363</v>
      </c>
      <c r="L91" s="275">
        <v>285786</v>
      </c>
      <c r="M91" s="275">
        <v>282382</v>
      </c>
      <c r="N91" s="275">
        <v>312234</v>
      </c>
      <c r="O91" s="275">
        <v>320207</v>
      </c>
      <c r="P91" s="275">
        <v>316791</v>
      </c>
      <c r="Q91" s="275">
        <v>279829</v>
      </c>
      <c r="R91" s="275">
        <v>277519</v>
      </c>
      <c r="S91" s="275">
        <v>359365</v>
      </c>
      <c r="T91" s="275">
        <v>324991</v>
      </c>
      <c r="U91" s="275">
        <v>300249</v>
      </c>
      <c r="V91" s="275">
        <v>249648</v>
      </c>
      <c r="W91" s="275">
        <v>280799</v>
      </c>
      <c r="X91" s="275">
        <v>295735</v>
      </c>
    </row>
    <row r="92" spans="1:25" ht="14.25" thickBot="1" x14ac:dyDescent="0.3">
      <c r="A92" s="251" t="s">
        <v>7</v>
      </c>
      <c r="B92" s="273">
        <v>309519</v>
      </c>
      <c r="C92" s="273">
        <v>212835</v>
      </c>
      <c r="D92" s="273">
        <v>214950</v>
      </c>
      <c r="E92" s="273">
        <v>135039</v>
      </c>
      <c r="F92" s="273">
        <v>319340</v>
      </c>
      <c r="G92" s="273">
        <v>182817</v>
      </c>
      <c r="H92" s="273">
        <v>254043</v>
      </c>
      <c r="I92" s="273">
        <v>259197</v>
      </c>
      <c r="J92" s="273">
        <v>256711</v>
      </c>
      <c r="K92" s="273">
        <v>287109</v>
      </c>
      <c r="L92" s="273">
        <v>241935</v>
      </c>
      <c r="M92" s="273">
        <v>249284</v>
      </c>
      <c r="N92" s="273">
        <v>216843</v>
      </c>
      <c r="O92" s="273">
        <v>234607</v>
      </c>
      <c r="P92" s="273">
        <v>266543</v>
      </c>
      <c r="Q92" s="273">
        <v>221861</v>
      </c>
      <c r="R92" s="273">
        <v>242984</v>
      </c>
      <c r="S92" s="273">
        <v>274244</v>
      </c>
      <c r="T92" s="273">
        <v>267928</v>
      </c>
      <c r="U92" s="273">
        <v>270382</v>
      </c>
      <c r="V92" s="273">
        <v>210658</v>
      </c>
      <c r="W92" s="273">
        <v>208617</v>
      </c>
      <c r="X92" s="273">
        <v>167586</v>
      </c>
    </row>
    <row r="93" spans="1:25" ht="26.25" thickBot="1" x14ac:dyDescent="0.3">
      <c r="A93" s="252" t="s">
        <v>8</v>
      </c>
      <c r="B93" s="276">
        <v>309519</v>
      </c>
      <c r="C93" s="276">
        <v>212835</v>
      </c>
      <c r="D93" s="276">
        <v>214950</v>
      </c>
      <c r="E93" s="276">
        <v>136623</v>
      </c>
      <c r="F93" s="276">
        <v>326455</v>
      </c>
      <c r="G93" s="276">
        <v>181307</v>
      </c>
      <c r="H93" s="276">
        <v>256445</v>
      </c>
      <c r="I93" s="276">
        <v>260930</v>
      </c>
      <c r="J93" s="276">
        <v>256711</v>
      </c>
      <c r="K93" s="276">
        <v>287109</v>
      </c>
      <c r="L93" s="276">
        <v>241935</v>
      </c>
      <c r="M93" s="276">
        <v>249284</v>
      </c>
      <c r="N93" s="276">
        <v>216843</v>
      </c>
      <c r="O93" s="276">
        <v>234607</v>
      </c>
      <c r="P93" s="276">
        <v>266543</v>
      </c>
      <c r="Q93" s="276">
        <v>221861</v>
      </c>
      <c r="R93" s="276">
        <v>242984</v>
      </c>
      <c r="S93" s="276">
        <v>274244</v>
      </c>
      <c r="T93" s="276">
        <v>267928</v>
      </c>
      <c r="U93" s="276">
        <v>270382</v>
      </c>
      <c r="V93" s="276">
        <v>210658</v>
      </c>
      <c r="W93" s="276">
        <v>208617</v>
      </c>
      <c r="X93" s="276">
        <v>167586</v>
      </c>
    </row>
    <row r="94" spans="1:25" x14ac:dyDescent="0.25">
      <c r="A94" s="233" t="s">
        <v>365</v>
      </c>
      <c r="B94" s="253">
        <f>IF(B91="","",B91-B90)</f>
        <v>131225</v>
      </c>
      <c r="C94" s="253">
        <f>IF(C91="","",C91-C90)</f>
        <v>9752</v>
      </c>
      <c r="D94" s="253">
        <f t="shared" ref="D94:Y94" si="9">IF(D91="","",D91-D90)</f>
        <v>25378</v>
      </c>
      <c r="E94" s="253">
        <f t="shared" si="9"/>
        <v>-1451</v>
      </c>
      <c r="F94" s="253">
        <f t="shared" si="9"/>
        <v>90424</v>
      </c>
      <c r="G94" s="253">
        <f t="shared" si="9"/>
        <v>-1022</v>
      </c>
      <c r="H94" s="253">
        <f t="shared" si="9"/>
        <v>4788</v>
      </c>
      <c r="I94" s="253">
        <f t="shared" si="9"/>
        <v>26211</v>
      </c>
      <c r="J94" s="253">
        <f t="shared" si="9"/>
        <v>-28259</v>
      </c>
      <c r="K94" s="253">
        <f t="shared" si="9"/>
        <v>11190</v>
      </c>
      <c r="L94" s="253">
        <f t="shared" si="9"/>
        <v>1595</v>
      </c>
      <c r="M94" s="253">
        <f t="shared" si="9"/>
        <v>-47856</v>
      </c>
      <c r="N94" s="253">
        <f t="shared" si="9"/>
        <v>12385</v>
      </c>
      <c r="O94" s="253">
        <f t="shared" si="9"/>
        <v>-241</v>
      </c>
      <c r="P94" s="253">
        <f t="shared" si="9"/>
        <v>41504</v>
      </c>
      <c r="Q94" s="253">
        <f t="shared" si="9"/>
        <v>-51552</v>
      </c>
      <c r="R94" s="253">
        <f t="shared" si="9"/>
        <v>7859</v>
      </c>
      <c r="S94" s="253">
        <f t="shared" si="9"/>
        <v>10404</v>
      </c>
      <c r="T94" s="253">
        <f t="shared" si="9"/>
        <v>24946</v>
      </c>
      <c r="U94" s="253">
        <f t="shared" si="9"/>
        <v>63233</v>
      </c>
      <c r="V94" s="253">
        <f t="shared" si="9"/>
        <v>-20127</v>
      </c>
      <c r="W94" s="253">
        <f t="shared" si="9"/>
        <v>18506</v>
      </c>
      <c r="X94" s="253">
        <f t="shared" si="9"/>
        <v>22258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8127374</v>
      </c>
      <c r="C97" s="273">
        <v>8146688</v>
      </c>
      <c r="D97" s="273">
        <v>8302606</v>
      </c>
      <c r="E97" s="273">
        <v>8076116</v>
      </c>
      <c r="F97" s="273">
        <v>7627648</v>
      </c>
    </row>
    <row r="98" spans="1:24" ht="14.25" thickBot="1" x14ac:dyDescent="0.3">
      <c r="A98" s="225" t="s">
        <v>4</v>
      </c>
      <c r="B98" s="275">
        <v>1821438</v>
      </c>
      <c r="C98" s="275">
        <v>2190802</v>
      </c>
      <c r="D98" s="275">
        <v>2345858</v>
      </c>
      <c r="E98" s="275">
        <v>2368588</v>
      </c>
      <c r="F98" s="275">
        <v>2215914</v>
      </c>
    </row>
    <row r="99" spans="1:24" ht="14.25" thickBot="1" x14ac:dyDescent="0.3">
      <c r="A99" s="224" t="s">
        <v>5</v>
      </c>
      <c r="B99" s="273">
        <v>947155</v>
      </c>
      <c r="C99" s="273">
        <v>1139118</v>
      </c>
      <c r="D99" s="273">
        <v>1304806</v>
      </c>
      <c r="E99" s="273">
        <v>1226965</v>
      </c>
      <c r="F99" s="273">
        <v>1155682</v>
      </c>
    </row>
    <row r="100" spans="1:24" ht="14.25" thickBot="1" x14ac:dyDescent="0.3">
      <c r="A100" s="225" t="s">
        <v>6</v>
      </c>
      <c r="B100" s="275">
        <v>1112059</v>
      </c>
      <c r="C100" s="275">
        <v>1259519</v>
      </c>
      <c r="D100" s="275">
        <v>1241476</v>
      </c>
      <c r="E100" s="275">
        <v>1229061</v>
      </c>
      <c r="F100" s="275">
        <v>1262124</v>
      </c>
    </row>
    <row r="101" spans="1:24" ht="14.25" thickBot="1" x14ac:dyDescent="0.3">
      <c r="A101" s="224" t="s">
        <v>7</v>
      </c>
      <c r="B101" s="273">
        <v>872343</v>
      </c>
      <c r="C101" s="273">
        <v>1015397</v>
      </c>
      <c r="D101" s="273">
        <v>1035039</v>
      </c>
      <c r="E101" s="273">
        <v>939854</v>
      </c>
      <c r="F101" s="273">
        <v>1055538</v>
      </c>
    </row>
    <row r="102" spans="1:24" ht="14.25" thickBot="1" x14ac:dyDescent="0.3">
      <c r="A102" s="227" t="s">
        <v>8</v>
      </c>
      <c r="B102" s="276">
        <v>873927</v>
      </c>
      <c r="C102" s="276">
        <v>1025137</v>
      </c>
      <c r="D102" s="276">
        <v>1035039</v>
      </c>
      <c r="E102" s="276">
        <v>939854</v>
      </c>
      <c r="F102" s="276">
        <v>1055538</v>
      </c>
    </row>
    <row r="103" spans="1:24" x14ac:dyDescent="0.25">
      <c r="A103" s="233" t="s">
        <v>262</v>
      </c>
      <c r="B103" s="234">
        <f>IF(OR(B102="",B102="無"),"",B102/B101)</f>
        <v>1.0018157995192258</v>
      </c>
      <c r="C103" s="234">
        <f>IF(OR(C102="",C102="無"),"",C102/C101)</f>
        <v>1.0095923072453434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2069128</v>
      </c>
      <c r="C106" s="273">
        <v>1808727</v>
      </c>
      <c r="D106" s="273">
        <v>1588422</v>
      </c>
      <c r="E106" s="273">
        <v>1765020</v>
      </c>
      <c r="F106" s="273">
        <v>2335378</v>
      </c>
      <c r="G106" s="273">
        <v>1825818</v>
      </c>
      <c r="H106" s="273">
        <v>1441170</v>
      </c>
      <c r="I106" s="273">
        <v>1682956</v>
      </c>
      <c r="J106" s="273">
        <v>2183099</v>
      </c>
      <c r="K106" s="273">
        <v>2182228</v>
      </c>
      <c r="L106" s="273">
        <v>1370359</v>
      </c>
      <c r="M106" s="273">
        <v>2365226</v>
      </c>
      <c r="N106" s="273">
        <v>2916339</v>
      </c>
      <c r="O106" s="273">
        <v>3053804</v>
      </c>
      <c r="P106" s="273">
        <v>2803191</v>
      </c>
      <c r="Q106" s="273">
        <v>3330602</v>
      </c>
      <c r="R106" s="273">
        <v>3581799</v>
      </c>
      <c r="S106" s="273">
        <v>3746786</v>
      </c>
      <c r="T106" s="273">
        <v>3350348</v>
      </c>
      <c r="U106" s="273">
        <v>3500814</v>
      </c>
      <c r="V106" s="273">
        <v>3570412</v>
      </c>
      <c r="W106" s="273">
        <v>3401090</v>
      </c>
      <c r="X106" s="273">
        <v>2804792</v>
      </c>
    </row>
    <row r="107" spans="1:24" ht="14.25" thickBot="1" x14ac:dyDescent="0.3">
      <c r="A107" s="225" t="s">
        <v>22</v>
      </c>
      <c r="B107" s="275">
        <v>274391</v>
      </c>
      <c r="C107" s="275">
        <v>267657</v>
      </c>
      <c r="D107" s="275">
        <v>255786</v>
      </c>
      <c r="E107" s="275">
        <v>260831</v>
      </c>
      <c r="F107" s="275">
        <v>285055</v>
      </c>
      <c r="G107" s="275">
        <v>309918</v>
      </c>
      <c r="H107" s="275">
        <v>258090</v>
      </c>
      <c r="I107" s="275">
        <v>258357</v>
      </c>
      <c r="J107" s="275">
        <v>221974</v>
      </c>
      <c r="K107" s="275">
        <v>211661</v>
      </c>
      <c r="L107" s="275">
        <v>194010</v>
      </c>
      <c r="M107" s="275">
        <v>182828</v>
      </c>
      <c r="N107" s="275">
        <v>194826</v>
      </c>
      <c r="O107" s="275">
        <v>208070</v>
      </c>
      <c r="P107" s="275">
        <v>177598</v>
      </c>
      <c r="Q107" s="275">
        <v>176446</v>
      </c>
      <c r="R107" s="275">
        <v>203317</v>
      </c>
      <c r="S107" s="275">
        <v>254522</v>
      </c>
      <c r="T107" s="275">
        <v>279330</v>
      </c>
      <c r="U107" s="275">
        <v>314453</v>
      </c>
      <c r="V107" s="275">
        <v>331969</v>
      </c>
      <c r="W107" s="275">
        <v>319241</v>
      </c>
      <c r="X107" s="275">
        <v>301535</v>
      </c>
    </row>
    <row r="108" spans="1:24" ht="14.25" thickBot="1" x14ac:dyDescent="0.3">
      <c r="A108" s="224" t="s">
        <v>263</v>
      </c>
      <c r="B108" s="273">
        <v>1621727</v>
      </c>
      <c r="C108" s="273">
        <v>2055184</v>
      </c>
      <c r="D108" s="273">
        <v>1977632</v>
      </c>
      <c r="E108" s="273">
        <v>2086905</v>
      </c>
      <c r="F108" s="273">
        <v>1994611</v>
      </c>
      <c r="G108" s="273">
        <v>1848768</v>
      </c>
      <c r="H108" s="273">
        <v>1851718</v>
      </c>
      <c r="I108" s="273">
        <v>1931517</v>
      </c>
      <c r="J108" s="273">
        <v>1835616</v>
      </c>
      <c r="K108" s="273">
        <v>1904454</v>
      </c>
      <c r="L108" s="273">
        <v>1875634</v>
      </c>
      <c r="M108" s="273">
        <v>2064925</v>
      </c>
      <c r="N108" s="273">
        <v>2070697</v>
      </c>
      <c r="O108" s="273">
        <v>2027631</v>
      </c>
      <c r="P108" s="273">
        <v>1852777</v>
      </c>
      <c r="Q108" s="273">
        <v>1908246</v>
      </c>
      <c r="R108" s="273">
        <v>1756325</v>
      </c>
      <c r="S108" s="273">
        <v>1851046</v>
      </c>
      <c r="T108" s="273">
        <v>1739337</v>
      </c>
      <c r="U108" s="273">
        <v>2054574</v>
      </c>
      <c r="V108" s="273">
        <v>1678978</v>
      </c>
      <c r="W108" s="273">
        <v>1842683</v>
      </c>
      <c r="X108" s="273">
        <v>1877552</v>
      </c>
    </row>
    <row r="109" spans="1:24" ht="14.25" thickBot="1" x14ac:dyDescent="0.3">
      <c r="A109" s="225" t="s">
        <v>264</v>
      </c>
      <c r="B109" s="275">
        <v>2041309</v>
      </c>
      <c r="C109" s="275">
        <v>1997233</v>
      </c>
      <c r="D109" s="275">
        <v>2017250</v>
      </c>
      <c r="E109" s="275">
        <v>1835297</v>
      </c>
      <c r="F109" s="275">
        <v>1719706</v>
      </c>
      <c r="G109" s="275">
        <v>1772794</v>
      </c>
      <c r="H109" s="275">
        <v>1884742</v>
      </c>
      <c r="I109" s="275">
        <v>1904286</v>
      </c>
      <c r="J109" s="275">
        <v>1852547</v>
      </c>
      <c r="K109" s="275">
        <v>1836183</v>
      </c>
      <c r="L109" s="275">
        <v>1943894</v>
      </c>
      <c r="M109" s="275">
        <v>1953364</v>
      </c>
      <c r="N109" s="275">
        <v>1850991</v>
      </c>
      <c r="O109" s="275">
        <v>1897487</v>
      </c>
      <c r="P109" s="275">
        <v>1907476</v>
      </c>
      <c r="Q109" s="275">
        <v>1780400</v>
      </c>
      <c r="R109" s="275">
        <v>1732214</v>
      </c>
      <c r="S109" s="275">
        <v>1704957</v>
      </c>
      <c r="T109" s="275">
        <v>1745115</v>
      </c>
      <c r="U109" s="275">
        <v>1641515</v>
      </c>
      <c r="V109" s="275">
        <v>1824652</v>
      </c>
      <c r="W109" s="275">
        <v>1931342</v>
      </c>
      <c r="X109" s="275">
        <v>1950405</v>
      </c>
    </row>
    <row r="110" spans="1:24" ht="14.25" thickBot="1" x14ac:dyDescent="0.3">
      <c r="A110" s="224" t="s">
        <v>23</v>
      </c>
      <c r="B110" s="273">
        <v>326978</v>
      </c>
      <c r="C110" s="273">
        <v>390183</v>
      </c>
      <c r="D110" s="273">
        <v>406285</v>
      </c>
      <c r="E110" s="273">
        <v>374110</v>
      </c>
      <c r="F110" s="273">
        <v>381890</v>
      </c>
      <c r="G110" s="273">
        <v>1258514</v>
      </c>
      <c r="H110" s="273">
        <v>1120999</v>
      </c>
      <c r="I110" s="273">
        <v>1171605</v>
      </c>
      <c r="J110" s="273">
        <v>995874</v>
      </c>
      <c r="K110" s="273">
        <v>1156385</v>
      </c>
      <c r="L110" s="273">
        <v>1482726</v>
      </c>
      <c r="M110" s="273">
        <v>717457</v>
      </c>
      <c r="N110" s="273">
        <v>375351</v>
      </c>
      <c r="O110" s="273">
        <v>335776</v>
      </c>
      <c r="P110" s="273">
        <v>270454</v>
      </c>
      <c r="Q110" s="273">
        <v>137755</v>
      </c>
      <c r="R110" s="273">
        <v>151148</v>
      </c>
      <c r="S110" s="273">
        <v>135635</v>
      </c>
      <c r="T110" s="273">
        <v>152562</v>
      </c>
      <c r="U110" s="273">
        <v>128087</v>
      </c>
      <c r="V110" s="273">
        <v>164517</v>
      </c>
      <c r="W110" s="273">
        <v>164192</v>
      </c>
      <c r="X110" s="273">
        <v>187553</v>
      </c>
    </row>
    <row r="111" spans="1:24" ht="14.25" thickBot="1" x14ac:dyDescent="0.3">
      <c r="A111" s="225" t="s">
        <v>24</v>
      </c>
      <c r="B111" s="275">
        <v>6333533</v>
      </c>
      <c r="C111" s="275">
        <v>6518984</v>
      </c>
      <c r="D111" s="275">
        <v>6245375</v>
      </c>
      <c r="E111" s="275">
        <v>6322163</v>
      </c>
      <c r="F111" s="275">
        <v>6716640</v>
      </c>
      <c r="G111" s="275">
        <v>7015812</v>
      </c>
      <c r="H111" s="275">
        <v>6556719</v>
      </c>
      <c r="I111" s="275">
        <v>6948721</v>
      </c>
      <c r="J111" s="275">
        <v>7089110</v>
      </c>
      <c r="K111" s="275">
        <v>7290911</v>
      </c>
      <c r="L111" s="275">
        <v>6866623</v>
      </c>
      <c r="M111" s="275">
        <v>7283800</v>
      </c>
      <c r="N111" s="275">
        <v>7408204</v>
      </c>
      <c r="O111" s="275">
        <v>7522768</v>
      </c>
      <c r="P111" s="275">
        <v>7011496</v>
      </c>
      <c r="Q111" s="275">
        <v>7333449</v>
      </c>
      <c r="R111" s="275">
        <v>7424803</v>
      </c>
      <c r="S111" s="275">
        <v>7692946</v>
      </c>
      <c r="T111" s="275">
        <v>7266692</v>
      </c>
      <c r="U111" s="275">
        <v>7639443</v>
      </c>
      <c r="V111" s="275">
        <v>7570528</v>
      </c>
      <c r="W111" s="275">
        <v>7658548</v>
      </c>
      <c r="X111" s="275">
        <v>7121837</v>
      </c>
    </row>
    <row r="112" spans="1:24" ht="14.25" thickBot="1" x14ac:dyDescent="0.3">
      <c r="A112" s="224" t="s">
        <v>25</v>
      </c>
      <c r="B112" s="273">
        <v>291650</v>
      </c>
      <c r="C112" s="273">
        <v>302037</v>
      </c>
      <c r="D112" s="273">
        <v>301701</v>
      </c>
      <c r="E112" s="273">
        <v>282770</v>
      </c>
      <c r="F112" s="273">
        <v>225621</v>
      </c>
      <c r="G112" s="273">
        <v>206507</v>
      </c>
      <c r="H112" s="273">
        <v>201238</v>
      </c>
      <c r="I112" s="273">
        <v>203374</v>
      </c>
      <c r="J112" s="273">
        <v>202590</v>
      </c>
      <c r="K112" s="273">
        <v>193038</v>
      </c>
      <c r="L112" s="273">
        <v>167233</v>
      </c>
      <c r="M112" s="273">
        <v>168262</v>
      </c>
      <c r="N112" s="273">
        <v>167659</v>
      </c>
      <c r="O112" s="273">
        <v>162765</v>
      </c>
      <c r="P112" s="273">
        <v>180070</v>
      </c>
      <c r="Q112" s="273">
        <v>147173</v>
      </c>
      <c r="R112" s="273">
        <v>146940</v>
      </c>
      <c r="S112" s="273">
        <v>140273</v>
      </c>
      <c r="T112" s="273">
        <v>153959</v>
      </c>
      <c r="U112" s="273">
        <v>155032</v>
      </c>
      <c r="V112" s="273">
        <v>149298</v>
      </c>
      <c r="W112" s="273">
        <v>152899</v>
      </c>
      <c r="X112" s="273">
        <v>151672</v>
      </c>
    </row>
    <row r="113" spans="1:24" ht="14.25" thickBot="1" x14ac:dyDescent="0.3">
      <c r="A113" s="225" t="s">
        <v>26</v>
      </c>
      <c r="B113" s="275">
        <v>1282718</v>
      </c>
      <c r="C113" s="275">
        <v>1281465</v>
      </c>
      <c r="D113" s="275">
        <v>1273113</v>
      </c>
      <c r="E113" s="275">
        <v>1267509</v>
      </c>
      <c r="F113" s="275">
        <v>1277537</v>
      </c>
      <c r="G113" s="275">
        <v>1273226</v>
      </c>
      <c r="H113" s="275">
        <v>1261526</v>
      </c>
      <c r="I113" s="275">
        <v>1257705</v>
      </c>
      <c r="J113" s="275">
        <v>1246657</v>
      </c>
      <c r="K113" s="275">
        <v>1237903</v>
      </c>
      <c r="L113" s="275">
        <v>1270860</v>
      </c>
      <c r="M113" s="275">
        <v>1347699</v>
      </c>
      <c r="N113" s="275">
        <v>1422084</v>
      </c>
      <c r="O113" s="275">
        <v>1416751</v>
      </c>
      <c r="P113" s="275">
        <v>1487414</v>
      </c>
      <c r="Q113" s="275">
        <v>1522614</v>
      </c>
      <c r="R113" s="275">
        <v>1549279</v>
      </c>
      <c r="S113" s="275">
        <v>1560796</v>
      </c>
      <c r="T113" s="275">
        <v>1563316</v>
      </c>
      <c r="U113" s="275">
        <v>1605344</v>
      </c>
      <c r="V113" s="275">
        <v>1597843</v>
      </c>
      <c r="W113" s="275">
        <v>1656661</v>
      </c>
      <c r="X113" s="275">
        <v>1706085</v>
      </c>
    </row>
    <row r="114" spans="1:24" ht="14.25" thickBot="1" x14ac:dyDescent="0.3">
      <c r="A114" s="224" t="s">
        <v>27</v>
      </c>
      <c r="B114" s="273">
        <v>334587</v>
      </c>
      <c r="C114" s="273">
        <v>338396</v>
      </c>
      <c r="D114" s="273">
        <v>335896</v>
      </c>
      <c r="E114" s="273">
        <v>344885</v>
      </c>
      <c r="F114" s="273">
        <v>415748</v>
      </c>
      <c r="G114" s="273">
        <v>415571</v>
      </c>
      <c r="H114" s="273">
        <v>441550</v>
      </c>
      <c r="I114" s="273">
        <v>442669</v>
      </c>
      <c r="J114" s="273">
        <v>447667</v>
      </c>
      <c r="K114" s="273">
        <v>505232</v>
      </c>
      <c r="L114" s="273">
        <v>510760</v>
      </c>
      <c r="M114" s="273">
        <v>516216</v>
      </c>
      <c r="N114" s="273">
        <v>513014</v>
      </c>
      <c r="O114" s="273">
        <v>505495</v>
      </c>
      <c r="P114" s="273">
        <v>473654</v>
      </c>
      <c r="Q114" s="273">
        <v>484464</v>
      </c>
      <c r="R114" s="273">
        <v>463785</v>
      </c>
      <c r="S114" s="273">
        <v>453211</v>
      </c>
      <c r="T114" s="273">
        <v>455400</v>
      </c>
      <c r="U114" s="273">
        <v>475098</v>
      </c>
      <c r="V114" s="273">
        <v>496714</v>
      </c>
      <c r="W114" s="273">
        <v>469530</v>
      </c>
      <c r="X114" s="273">
        <v>641296</v>
      </c>
    </row>
    <row r="115" spans="1:24" ht="14.25" thickBot="1" x14ac:dyDescent="0.3">
      <c r="A115" s="225" t="s">
        <v>265</v>
      </c>
      <c r="B115" s="276">
        <v>8242488</v>
      </c>
      <c r="C115" s="276">
        <v>8440882</v>
      </c>
      <c r="D115" s="276">
        <v>8156085</v>
      </c>
      <c r="E115" s="276">
        <v>8217327</v>
      </c>
      <c r="F115" s="276">
        <v>8635546</v>
      </c>
      <c r="G115" s="276">
        <v>8911116</v>
      </c>
      <c r="H115" s="276">
        <v>8461033</v>
      </c>
      <c r="I115" s="276">
        <v>8852469</v>
      </c>
      <c r="J115" s="276">
        <v>8986024</v>
      </c>
      <c r="K115" s="276">
        <v>9227084</v>
      </c>
      <c r="L115" s="276">
        <v>8815476</v>
      </c>
      <c r="M115" s="276">
        <v>9315977</v>
      </c>
      <c r="N115" s="276">
        <v>9510961</v>
      </c>
      <c r="O115" s="276">
        <v>9607779</v>
      </c>
      <c r="P115" s="276">
        <v>9152634</v>
      </c>
      <c r="Q115" s="276">
        <v>9487700</v>
      </c>
      <c r="R115" s="276">
        <v>9584807</v>
      </c>
      <c r="S115" s="276">
        <v>9847226</v>
      </c>
      <c r="T115" s="276">
        <v>9439367</v>
      </c>
      <c r="U115" s="276">
        <v>9874917</v>
      </c>
      <c r="V115" s="276">
        <v>9814383</v>
      </c>
      <c r="W115" s="276">
        <v>9937638</v>
      </c>
      <c r="X115" s="276">
        <v>9620890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14441</v>
      </c>
      <c r="C118" s="273">
        <v>7815</v>
      </c>
      <c r="D118" s="273">
        <v>9201</v>
      </c>
      <c r="E118" s="273">
        <v>15270</v>
      </c>
      <c r="F118" s="273">
        <v>9780</v>
      </c>
      <c r="G118" s="273">
        <v>15890</v>
      </c>
      <c r="H118" s="273">
        <v>15484</v>
      </c>
      <c r="I118" s="273">
        <v>14538</v>
      </c>
      <c r="J118" s="273">
        <v>18718</v>
      </c>
      <c r="K118" s="273">
        <v>14050</v>
      </c>
      <c r="L118" s="273">
        <v>15439</v>
      </c>
      <c r="M118" s="273">
        <v>1921</v>
      </c>
      <c r="N118" s="273">
        <v>7730</v>
      </c>
      <c r="O118" s="273">
        <v>3933</v>
      </c>
      <c r="P118" s="68">
        <v>0</v>
      </c>
      <c r="Q118" s="273">
        <v>1503</v>
      </c>
      <c r="R118" s="273">
        <v>8409</v>
      </c>
      <c r="S118" s="273">
        <v>6024</v>
      </c>
      <c r="T118" s="273">
        <v>9976</v>
      </c>
      <c r="U118" s="273">
        <v>5802</v>
      </c>
      <c r="V118" s="68">
        <v>0</v>
      </c>
      <c r="W118" s="273">
        <v>4482</v>
      </c>
      <c r="X118" s="273">
        <v>1091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746111</v>
      </c>
      <c r="C120" s="273">
        <v>845637</v>
      </c>
      <c r="D120" s="273">
        <v>816863</v>
      </c>
      <c r="E120" s="273">
        <v>676298</v>
      </c>
      <c r="F120" s="273">
        <v>680923</v>
      </c>
      <c r="G120" s="273">
        <v>639784</v>
      </c>
      <c r="H120" s="273">
        <v>565887</v>
      </c>
      <c r="I120" s="273">
        <v>639050</v>
      </c>
      <c r="J120" s="273">
        <v>531005</v>
      </c>
      <c r="K120" s="273">
        <v>591164</v>
      </c>
      <c r="L120" s="273">
        <v>615518</v>
      </c>
      <c r="M120" s="273">
        <v>639292</v>
      </c>
      <c r="N120" s="273">
        <v>701198</v>
      </c>
      <c r="O120" s="273">
        <v>604338</v>
      </c>
      <c r="P120" s="273">
        <v>519464</v>
      </c>
      <c r="Q120" s="273">
        <v>510651</v>
      </c>
      <c r="R120" s="273">
        <v>489655</v>
      </c>
      <c r="S120" s="273">
        <v>529960</v>
      </c>
      <c r="T120" s="273">
        <v>574629</v>
      </c>
      <c r="U120" s="273">
        <v>575377</v>
      </c>
      <c r="V120" s="273">
        <v>634435</v>
      </c>
      <c r="W120" s="273">
        <v>536060</v>
      </c>
      <c r="X120" s="273">
        <v>737562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356760</v>
      </c>
      <c r="C123" s="275">
        <v>769616</v>
      </c>
      <c r="D123" s="275">
        <v>326922</v>
      </c>
      <c r="E123" s="275">
        <v>401174</v>
      </c>
      <c r="F123" s="275">
        <v>394095</v>
      </c>
      <c r="G123" s="275">
        <v>1022353</v>
      </c>
      <c r="H123" s="275">
        <v>456323</v>
      </c>
      <c r="I123" s="275">
        <v>520710</v>
      </c>
      <c r="J123" s="275">
        <v>468581</v>
      </c>
      <c r="K123" s="275">
        <v>1107387</v>
      </c>
      <c r="L123" s="275">
        <v>401688</v>
      </c>
      <c r="M123" s="275">
        <v>552246</v>
      </c>
      <c r="N123" s="275">
        <v>514221</v>
      </c>
      <c r="O123" s="275">
        <v>1149899</v>
      </c>
      <c r="P123" s="275">
        <v>470211</v>
      </c>
      <c r="Q123" s="275">
        <v>591905</v>
      </c>
      <c r="R123" s="275">
        <v>515791</v>
      </c>
      <c r="S123" s="275">
        <v>1120379</v>
      </c>
      <c r="T123" s="275">
        <v>485561</v>
      </c>
      <c r="U123" s="275">
        <v>657544</v>
      </c>
      <c r="V123" s="275">
        <v>512269</v>
      </c>
      <c r="W123" s="275">
        <v>1136099</v>
      </c>
      <c r="X123" s="275">
        <v>445276</v>
      </c>
    </row>
    <row r="124" spans="1:24" ht="14.25" thickBot="1" x14ac:dyDescent="0.3">
      <c r="A124" s="224" t="s">
        <v>268</v>
      </c>
      <c r="B124" s="273">
        <v>1117312</v>
      </c>
      <c r="C124" s="273">
        <v>1623068</v>
      </c>
      <c r="D124" s="273">
        <v>1152986</v>
      </c>
      <c r="E124" s="273">
        <v>1092742</v>
      </c>
      <c r="F124" s="273">
        <v>1084798</v>
      </c>
      <c r="G124" s="273">
        <v>1678027</v>
      </c>
      <c r="H124" s="273">
        <v>1037694</v>
      </c>
      <c r="I124" s="273">
        <v>1174298</v>
      </c>
      <c r="J124" s="273">
        <v>1018304</v>
      </c>
      <c r="K124" s="273">
        <v>1712601</v>
      </c>
      <c r="L124" s="273">
        <v>1032645</v>
      </c>
      <c r="M124" s="273">
        <v>1193459</v>
      </c>
      <c r="N124" s="273">
        <v>1223149</v>
      </c>
      <c r="O124" s="273">
        <v>1758170</v>
      </c>
      <c r="P124" s="273">
        <v>989675</v>
      </c>
      <c r="Q124" s="273">
        <v>1104059</v>
      </c>
      <c r="R124" s="273">
        <v>1013855</v>
      </c>
      <c r="S124" s="273">
        <v>1656363</v>
      </c>
      <c r="T124" s="273">
        <v>1070166</v>
      </c>
      <c r="U124" s="273">
        <v>1238723</v>
      </c>
      <c r="V124" s="273">
        <v>1146704</v>
      </c>
      <c r="W124" s="273">
        <v>1676641</v>
      </c>
      <c r="X124" s="273">
        <v>1183929</v>
      </c>
    </row>
    <row r="125" spans="1:24" ht="14.25" thickBot="1" x14ac:dyDescent="0.3">
      <c r="A125" s="225" t="s">
        <v>32</v>
      </c>
      <c r="B125" s="275">
        <v>147300</v>
      </c>
      <c r="C125" s="274">
        <v>0</v>
      </c>
      <c r="D125" s="274">
        <v>0</v>
      </c>
      <c r="E125" s="275">
        <v>3769</v>
      </c>
      <c r="F125" s="275">
        <v>411028</v>
      </c>
      <c r="G125" s="275">
        <v>436566</v>
      </c>
      <c r="H125" s="275">
        <v>415520</v>
      </c>
      <c r="I125" s="275">
        <v>378132</v>
      </c>
      <c r="J125" s="275">
        <v>378473</v>
      </c>
      <c r="K125" s="275">
        <v>375630</v>
      </c>
      <c r="L125" s="275">
        <v>367879</v>
      </c>
      <c r="M125" s="275">
        <v>404870</v>
      </c>
      <c r="N125" s="275">
        <v>406014</v>
      </c>
      <c r="O125" s="275">
        <v>409414</v>
      </c>
      <c r="P125" s="275">
        <v>411608</v>
      </c>
      <c r="Q125" s="275">
        <v>445938</v>
      </c>
      <c r="R125" s="275">
        <v>401511</v>
      </c>
      <c r="S125" s="275">
        <v>402267</v>
      </c>
      <c r="T125" s="275">
        <v>401899</v>
      </c>
      <c r="U125" s="275">
        <v>350199</v>
      </c>
      <c r="V125" s="275">
        <v>334252</v>
      </c>
      <c r="W125" s="275">
        <v>327766</v>
      </c>
      <c r="X125" s="275">
        <v>327005</v>
      </c>
    </row>
    <row r="126" spans="1:24" ht="14.25" thickBot="1" x14ac:dyDescent="0.3">
      <c r="A126" s="224" t="s">
        <v>33</v>
      </c>
      <c r="B126" s="273">
        <v>274758</v>
      </c>
      <c r="C126" s="273">
        <v>290595</v>
      </c>
      <c r="D126" s="273">
        <v>304728</v>
      </c>
      <c r="E126" s="273">
        <v>299258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1539370</v>
      </c>
      <c r="C127" s="275">
        <v>1913663</v>
      </c>
      <c r="D127" s="275">
        <v>1457714</v>
      </c>
      <c r="E127" s="275">
        <v>1395769</v>
      </c>
      <c r="F127" s="275">
        <v>1495826</v>
      </c>
      <c r="G127" s="275">
        <v>2114593</v>
      </c>
      <c r="H127" s="275">
        <v>1453214</v>
      </c>
      <c r="I127" s="275">
        <v>1552430</v>
      </c>
      <c r="J127" s="275">
        <v>1396777</v>
      </c>
      <c r="K127" s="275">
        <v>2088231</v>
      </c>
      <c r="L127" s="275">
        <v>1400524</v>
      </c>
      <c r="M127" s="275">
        <v>1598329</v>
      </c>
      <c r="N127" s="275">
        <v>1629163</v>
      </c>
      <c r="O127" s="275">
        <v>2167584</v>
      </c>
      <c r="P127" s="275">
        <v>1401283</v>
      </c>
      <c r="Q127" s="275">
        <v>1549997</v>
      </c>
      <c r="R127" s="275">
        <v>1415366</v>
      </c>
      <c r="S127" s="275">
        <v>2058630</v>
      </c>
      <c r="T127" s="275">
        <v>1472065</v>
      </c>
      <c r="U127" s="275">
        <v>1588922</v>
      </c>
      <c r="V127" s="275">
        <v>1480956</v>
      </c>
      <c r="W127" s="275">
        <v>2004407</v>
      </c>
      <c r="X127" s="275">
        <v>1510934</v>
      </c>
    </row>
    <row r="128" spans="1:24" ht="14.25" thickBot="1" x14ac:dyDescent="0.3">
      <c r="A128" s="224" t="s">
        <v>34</v>
      </c>
      <c r="B128" s="273">
        <v>6703118</v>
      </c>
      <c r="C128" s="273">
        <v>6527219</v>
      </c>
      <c r="D128" s="273">
        <v>6698371</v>
      </c>
      <c r="E128" s="273">
        <v>6821558</v>
      </c>
      <c r="F128" s="273">
        <v>7139720</v>
      </c>
      <c r="G128" s="273">
        <v>6796523</v>
      </c>
      <c r="H128" s="273">
        <v>7007819</v>
      </c>
      <c r="I128" s="273">
        <v>7300039</v>
      </c>
      <c r="J128" s="273">
        <v>7589247</v>
      </c>
      <c r="K128" s="273">
        <v>7138853</v>
      </c>
      <c r="L128" s="273">
        <v>7414952</v>
      </c>
      <c r="M128" s="273">
        <v>7717648</v>
      </c>
      <c r="N128" s="273">
        <v>7881798</v>
      </c>
      <c r="O128" s="273">
        <v>7440195</v>
      </c>
      <c r="P128" s="273">
        <v>7751351</v>
      </c>
      <c r="Q128" s="273">
        <v>7937703</v>
      </c>
      <c r="R128" s="273">
        <v>8169441</v>
      </c>
      <c r="S128" s="273">
        <v>7788596</v>
      </c>
      <c r="T128" s="273">
        <v>7967302</v>
      </c>
      <c r="U128" s="273">
        <v>8285995</v>
      </c>
      <c r="V128" s="273">
        <v>8333427</v>
      </c>
      <c r="W128" s="273">
        <v>7933231</v>
      </c>
      <c r="X128" s="273">
        <v>8109956</v>
      </c>
    </row>
    <row r="129" spans="1:24" ht="14.25" thickBot="1" x14ac:dyDescent="0.3">
      <c r="A129" s="225" t="s">
        <v>35</v>
      </c>
      <c r="B129" s="276">
        <v>8242488</v>
      </c>
      <c r="C129" s="276">
        <v>8440882</v>
      </c>
      <c r="D129" s="276">
        <v>8156085</v>
      </c>
      <c r="E129" s="276">
        <v>8217327</v>
      </c>
      <c r="F129" s="276">
        <v>8635546</v>
      </c>
      <c r="G129" s="276">
        <v>8911116</v>
      </c>
      <c r="H129" s="276">
        <v>8461033</v>
      </c>
      <c r="I129" s="276">
        <v>8852469</v>
      </c>
      <c r="J129" s="276">
        <v>8986024</v>
      </c>
      <c r="K129" s="276">
        <v>9227084</v>
      </c>
      <c r="L129" s="276">
        <v>8815476</v>
      </c>
      <c r="M129" s="276">
        <v>9315977</v>
      </c>
      <c r="N129" s="276">
        <v>9510961</v>
      </c>
      <c r="O129" s="276">
        <v>9607779</v>
      </c>
      <c r="P129" s="276">
        <v>9152634</v>
      </c>
      <c r="Q129" s="276">
        <v>9487700</v>
      </c>
      <c r="R129" s="276">
        <v>9584807</v>
      </c>
      <c r="S129" s="276">
        <v>9847226</v>
      </c>
      <c r="T129" s="276">
        <v>9439367</v>
      </c>
      <c r="U129" s="276">
        <v>9874917</v>
      </c>
      <c r="V129" s="276">
        <v>9814383</v>
      </c>
      <c r="W129" s="276">
        <v>9937638</v>
      </c>
      <c r="X129" s="276">
        <v>9620890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4.6900000000000004</v>
      </c>
      <c r="C132" s="68">
        <v>5.12</v>
      </c>
      <c r="D132" s="68">
        <v>7.67</v>
      </c>
      <c r="E132" s="68">
        <v>9.64</v>
      </c>
      <c r="F132" s="68">
        <v>6.99</v>
      </c>
    </row>
    <row r="133" spans="1:24" ht="14.25" thickBot="1" x14ac:dyDescent="0.3">
      <c r="A133" s="225" t="s">
        <v>37</v>
      </c>
      <c r="B133" s="274">
        <v>0.35</v>
      </c>
      <c r="C133" s="274">
        <v>-1.2</v>
      </c>
      <c r="D133" s="274">
        <v>0.57999999999999996</v>
      </c>
      <c r="E133" s="274">
        <v>-1.66</v>
      </c>
      <c r="F133" s="274">
        <v>-1.44</v>
      </c>
    </row>
    <row r="134" spans="1:24" ht="14.25" thickBot="1" x14ac:dyDescent="0.3">
      <c r="A134" s="224" t="s">
        <v>38</v>
      </c>
      <c r="B134" s="68">
        <v>-3.44</v>
      </c>
      <c r="C134" s="68">
        <v>-3.49</v>
      </c>
      <c r="D134" s="68">
        <v>-4.24</v>
      </c>
      <c r="E134" s="68">
        <v>-3.81</v>
      </c>
      <c r="F134" s="68">
        <v>-3.77</v>
      </c>
    </row>
    <row r="135" spans="1:24" ht="14.25" thickBot="1" x14ac:dyDescent="0.3">
      <c r="A135" s="225" t="s">
        <v>270</v>
      </c>
      <c r="B135" s="274">
        <v>5.04</v>
      </c>
      <c r="C135" s="274">
        <v>3.92</v>
      </c>
      <c r="D135" s="274">
        <v>8.25</v>
      </c>
      <c r="E135" s="274">
        <v>7.99</v>
      </c>
      <c r="F135" s="274">
        <v>5.55</v>
      </c>
    </row>
    <row r="136" spans="1:24" ht="14.25" thickBot="1" x14ac:dyDescent="0.3">
      <c r="A136" s="229" t="s">
        <v>39</v>
      </c>
      <c r="B136" s="72">
        <v>1.6</v>
      </c>
      <c r="C136" s="72">
        <v>0.43</v>
      </c>
      <c r="D136" s="72">
        <v>4.0199999999999996</v>
      </c>
      <c r="E136" s="72">
        <v>4.18</v>
      </c>
      <c r="F136" s="72">
        <v>1.78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3.5</v>
      </c>
      <c r="C140" s="68">
        <v>4.2</v>
      </c>
      <c r="D140" s="68">
        <v>3.8</v>
      </c>
      <c r="E140" s="68">
        <v>3.8</v>
      </c>
      <c r="F140" s="68">
        <v>4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0.64935064935064934</v>
      </c>
      <c r="C142" s="234">
        <f>IF(C140&lt;&gt;"無",IF(ISNA(HLOOKUP(C139,$B$64:$F$69,6,FALSE)),"",C140/HLOOKUP(C139,$B$64:$F$69,6,FALSE)),"")</f>
        <v>0.6635071090047393</v>
      </c>
      <c r="D142" s="234">
        <f>IF(D140&lt;&gt;"無",IF(ISNA(HLOOKUP(D139,$B$64:$F$69,6,FALSE)),"",D140/HLOOKUP(D139,$B$64:$F$69,6,FALSE)),"")</f>
        <v>0.59467918622848193</v>
      </c>
      <c r="E142" s="234">
        <f>IF(E140&lt;&gt;"無",IF(ISNA(HLOOKUP(E139,$B$64:$F$69,6,FALSE)),"",E140/HLOOKUP(E139,$B$64:$F$69,6,FALSE)),"")</f>
        <v>0.65404475043029264</v>
      </c>
      <c r="F142" s="234">
        <f>IF(F140&lt;&gt;"無",IF(ISNA(HLOOKUP(F139,$B$64:$F$69,6,FALSE)),"",F140/HLOOKUP(F139,$B$64:$F$69,6,FALSE)),"")</f>
        <v>0.61349693251533743</v>
      </c>
    </row>
    <row r="143" spans="1:24" x14ac:dyDescent="0.25">
      <c r="A143" s="233" t="s">
        <v>216</v>
      </c>
      <c r="B143" s="234">
        <f>IF(OR(B140=0,B140="無"),"",B135/B140)</f>
        <v>1.44</v>
      </c>
      <c r="C143" s="234">
        <f>IF(OR(C140=0,C140="無"),"",C135/C140)</f>
        <v>0.93333333333333324</v>
      </c>
      <c r="D143" s="234">
        <f>IF(OR(D140=0,D140="無"),"",D135/D140)</f>
        <v>2.1710526315789473</v>
      </c>
      <c r="E143" s="234">
        <f>IF(OR(E140=0,E140="無"),"",E135/E140)</f>
        <v>2.1026315789473684</v>
      </c>
      <c r="F143" s="234">
        <f>IF(OR(F140=0,F140="無"),"",F135/F140)</f>
        <v>1.3875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21.7</v>
      </c>
      <c r="C146" s="68">
        <v>23.2</v>
      </c>
      <c r="D146" s="68">
        <v>22.68</v>
      </c>
      <c r="E146" s="68">
        <v>22.02</v>
      </c>
      <c r="F146" s="68">
        <v>26.06</v>
      </c>
      <c r="G146" s="68">
        <v>25.53</v>
      </c>
      <c r="H146" s="68">
        <v>27.17</v>
      </c>
      <c r="I146" s="68">
        <v>28.66</v>
      </c>
      <c r="J146" s="68">
        <v>29.56</v>
      </c>
      <c r="K146" s="68">
        <v>28.31</v>
      </c>
      <c r="L146" s="68">
        <v>26.78</v>
      </c>
      <c r="M146" s="68">
        <v>28.39</v>
      </c>
      <c r="N146" s="68">
        <v>28.38</v>
      </c>
      <c r="O146" s="68">
        <v>29.57</v>
      </c>
      <c r="P146" s="68">
        <v>28.49</v>
      </c>
      <c r="Q146" s="68">
        <v>30.8</v>
      </c>
      <c r="R146" s="68">
        <v>29.1</v>
      </c>
      <c r="S146" s="68">
        <v>30.26</v>
      </c>
      <c r="T146" s="68">
        <v>29.73</v>
      </c>
      <c r="U146" s="68">
        <v>27.27</v>
      </c>
      <c r="V146" s="68">
        <v>27.16</v>
      </c>
      <c r="W146" s="68">
        <v>27.76</v>
      </c>
      <c r="X146" s="68">
        <v>27.46</v>
      </c>
    </row>
    <row r="147" spans="1:24" s="93" customFormat="1" ht="14.25" thickBot="1" x14ac:dyDescent="0.3">
      <c r="A147" s="225" t="s">
        <v>19</v>
      </c>
      <c r="B147" s="274">
        <v>12.49</v>
      </c>
      <c r="C147" s="274">
        <v>13.13</v>
      </c>
      <c r="D147" s="274">
        <v>12.41</v>
      </c>
      <c r="E147" s="274">
        <v>8.75</v>
      </c>
      <c r="F147" s="274">
        <v>14.3</v>
      </c>
      <c r="G147" s="274">
        <v>13.63</v>
      </c>
      <c r="H147" s="274">
        <v>14.56</v>
      </c>
      <c r="I147" s="274">
        <v>13.47</v>
      </c>
      <c r="J147" s="274">
        <v>18.62</v>
      </c>
      <c r="K147" s="274">
        <v>15.35</v>
      </c>
      <c r="L147" s="274">
        <v>13.86</v>
      </c>
      <c r="M147" s="274">
        <v>15.14</v>
      </c>
      <c r="N147" s="274">
        <v>14.36</v>
      </c>
      <c r="O147" s="274">
        <v>16.05</v>
      </c>
      <c r="P147" s="274">
        <v>14.57</v>
      </c>
      <c r="Q147" s="274">
        <v>15.76</v>
      </c>
      <c r="R147" s="274">
        <v>15.07</v>
      </c>
      <c r="S147" s="274">
        <v>18.07</v>
      </c>
      <c r="T147" s="274">
        <v>16.329999999999998</v>
      </c>
      <c r="U147" s="274">
        <v>11.45</v>
      </c>
      <c r="V147" s="274">
        <v>15.13</v>
      </c>
      <c r="W147" s="274">
        <v>13.97</v>
      </c>
      <c r="X147" s="274">
        <v>13.91</v>
      </c>
    </row>
    <row r="148" spans="1:24" s="93" customFormat="1" ht="14.25" thickBot="1" x14ac:dyDescent="0.3">
      <c r="A148" s="224" t="s">
        <v>41</v>
      </c>
      <c r="B148" s="68">
        <v>19.41</v>
      </c>
      <c r="C148" s="68">
        <v>13.6</v>
      </c>
      <c r="D148" s="68">
        <v>13.68</v>
      </c>
      <c r="E148" s="68">
        <v>8.68</v>
      </c>
      <c r="F148" s="68">
        <v>18.690000000000001</v>
      </c>
      <c r="G148" s="68">
        <v>13.58</v>
      </c>
      <c r="H148" s="68">
        <v>14.8</v>
      </c>
      <c r="I148" s="68">
        <v>14.68</v>
      </c>
      <c r="J148" s="68">
        <v>17.22</v>
      </c>
      <c r="K148" s="68">
        <v>15.89</v>
      </c>
      <c r="L148" s="68">
        <v>13.93</v>
      </c>
      <c r="M148" s="68">
        <v>12.94</v>
      </c>
      <c r="N148" s="68">
        <v>14.95</v>
      </c>
      <c r="O148" s="68">
        <v>16.04</v>
      </c>
      <c r="P148" s="68">
        <v>16.77</v>
      </c>
      <c r="Q148" s="68">
        <v>13.31</v>
      </c>
      <c r="R148" s="68">
        <v>15.5</v>
      </c>
      <c r="S148" s="68">
        <v>18.600000000000001</v>
      </c>
      <c r="T148" s="68">
        <v>17.690000000000001</v>
      </c>
      <c r="U148" s="68">
        <v>14.51</v>
      </c>
      <c r="V148" s="68">
        <v>14</v>
      </c>
      <c r="W148" s="68">
        <v>14.95</v>
      </c>
      <c r="X148" s="68">
        <v>15.04</v>
      </c>
    </row>
    <row r="149" spans="1:24" s="93" customFormat="1" ht="14.25" thickBot="1" x14ac:dyDescent="0.3">
      <c r="A149" s="225" t="s">
        <v>13</v>
      </c>
      <c r="B149" s="73">
        <v>16.32</v>
      </c>
      <c r="C149" s="73">
        <v>10.210000000000001</v>
      </c>
      <c r="D149" s="73">
        <v>10.69</v>
      </c>
      <c r="E149" s="73">
        <v>6.32</v>
      </c>
      <c r="F149" s="73">
        <v>15.49</v>
      </c>
      <c r="G149" s="73">
        <v>9.43</v>
      </c>
      <c r="H149" s="73">
        <v>12.81</v>
      </c>
      <c r="I149" s="73">
        <v>11.99</v>
      </c>
      <c r="J149" s="73">
        <v>12.78</v>
      </c>
      <c r="K149" s="73">
        <v>13.94</v>
      </c>
      <c r="L149" s="73">
        <v>11.8</v>
      </c>
      <c r="M149" s="73">
        <v>11.43</v>
      </c>
      <c r="N149" s="73">
        <v>10.38</v>
      </c>
      <c r="O149" s="73">
        <v>11.75</v>
      </c>
      <c r="P149" s="73">
        <v>14.11</v>
      </c>
      <c r="Q149" s="73">
        <v>10.55</v>
      </c>
      <c r="R149" s="73">
        <v>13.58</v>
      </c>
      <c r="S149" s="73">
        <v>14.2</v>
      </c>
      <c r="T149" s="73">
        <v>14.59</v>
      </c>
      <c r="U149" s="73">
        <v>13.07</v>
      </c>
      <c r="V149" s="73">
        <v>11.81</v>
      </c>
      <c r="W149" s="73">
        <v>11.11</v>
      </c>
      <c r="X149" s="73">
        <v>8.52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22.41</v>
      </c>
      <c r="C152" s="68">
        <v>26.89</v>
      </c>
      <c r="D152" s="68">
        <v>28.25</v>
      </c>
      <c r="E152" s="68">
        <v>29.33</v>
      </c>
      <c r="F152" s="68">
        <v>29.05</v>
      </c>
    </row>
    <row r="153" spans="1:24" s="93" customFormat="1" ht="14.25" thickBot="1" x14ac:dyDescent="0.3">
      <c r="A153" s="225" t="s">
        <v>19</v>
      </c>
      <c r="B153" s="274">
        <v>11.65</v>
      </c>
      <c r="C153" s="274">
        <v>13.98</v>
      </c>
      <c r="D153" s="274">
        <v>15.72</v>
      </c>
      <c r="E153" s="274">
        <v>15.19</v>
      </c>
      <c r="F153" s="274">
        <v>15.15</v>
      </c>
    </row>
    <row r="154" spans="1:24" s="93" customFormat="1" ht="14.25" thickBot="1" x14ac:dyDescent="0.3">
      <c r="A154" s="224" t="s">
        <v>41</v>
      </c>
      <c r="B154" s="68">
        <v>13.68</v>
      </c>
      <c r="C154" s="68">
        <v>15.46</v>
      </c>
      <c r="D154" s="68">
        <v>14.95</v>
      </c>
      <c r="E154" s="68">
        <v>15.22</v>
      </c>
      <c r="F154" s="68">
        <v>16.55</v>
      </c>
    </row>
    <row r="155" spans="1:24" s="93" customFormat="1" ht="14.25" thickBot="1" x14ac:dyDescent="0.3">
      <c r="A155" s="225" t="s">
        <v>13</v>
      </c>
      <c r="B155" s="73">
        <v>10.73</v>
      </c>
      <c r="C155" s="73">
        <v>12.46</v>
      </c>
      <c r="D155" s="73">
        <v>12.47</v>
      </c>
      <c r="E155" s="73">
        <v>11.64</v>
      </c>
      <c r="F155" s="73">
        <v>13.84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3.78</v>
      </c>
      <c r="C158" s="68">
        <v>2.54</v>
      </c>
      <c r="D158" s="68">
        <v>2.59</v>
      </c>
      <c r="E158" s="68">
        <v>1.65</v>
      </c>
      <c r="F158" s="68">
        <v>3.79</v>
      </c>
      <c r="G158" s="68">
        <v>2.08</v>
      </c>
      <c r="H158" s="68">
        <v>2.93</v>
      </c>
      <c r="I158" s="68">
        <v>3</v>
      </c>
      <c r="J158" s="68">
        <v>2.88</v>
      </c>
      <c r="K158" s="68">
        <v>3.15</v>
      </c>
      <c r="L158" s="68">
        <v>2.68</v>
      </c>
      <c r="M158" s="68">
        <v>2.75</v>
      </c>
      <c r="N158" s="68">
        <v>2.2999999999999998</v>
      </c>
      <c r="O158" s="68">
        <v>2.4500000000000002</v>
      </c>
      <c r="P158" s="68">
        <v>2.84</v>
      </c>
      <c r="Q158" s="68">
        <v>2.38</v>
      </c>
      <c r="R158" s="68">
        <v>2.5499999999999998</v>
      </c>
      <c r="S158" s="68">
        <v>2.82</v>
      </c>
      <c r="T158" s="68">
        <v>2.78</v>
      </c>
      <c r="U158" s="68">
        <v>2.8</v>
      </c>
      <c r="V158" s="68">
        <v>2.14</v>
      </c>
      <c r="W158" s="68">
        <v>2.11</v>
      </c>
      <c r="X158" s="68">
        <v>1.71</v>
      </c>
    </row>
    <row r="159" spans="1:24" s="93" customFormat="1" ht="14.25" thickBot="1" x14ac:dyDescent="0.3">
      <c r="A159" s="225" t="s">
        <v>45</v>
      </c>
      <c r="B159" s="73">
        <v>4.6900000000000004</v>
      </c>
      <c r="C159" s="73">
        <v>3.22</v>
      </c>
      <c r="D159" s="73">
        <v>3.25</v>
      </c>
      <c r="E159" s="73">
        <v>2</v>
      </c>
      <c r="F159" s="73">
        <v>4.57</v>
      </c>
      <c r="G159" s="73">
        <v>2.62</v>
      </c>
      <c r="H159" s="73">
        <v>3.68</v>
      </c>
      <c r="I159" s="73">
        <v>3.62</v>
      </c>
      <c r="J159" s="73">
        <v>3.45</v>
      </c>
      <c r="K159" s="73">
        <v>3.9</v>
      </c>
      <c r="L159" s="73">
        <v>3.32</v>
      </c>
      <c r="M159" s="73">
        <v>3.29</v>
      </c>
      <c r="N159" s="73">
        <v>2.78</v>
      </c>
      <c r="O159" s="73">
        <v>3.06</v>
      </c>
      <c r="P159" s="73">
        <v>3.51</v>
      </c>
      <c r="Q159" s="73">
        <v>2.83</v>
      </c>
      <c r="R159" s="73">
        <v>3.02</v>
      </c>
      <c r="S159" s="73">
        <v>3.44</v>
      </c>
      <c r="T159" s="73">
        <v>3.4</v>
      </c>
      <c r="U159" s="73">
        <v>3.33</v>
      </c>
      <c r="V159" s="73">
        <v>2.54</v>
      </c>
      <c r="W159" s="73">
        <v>2.57</v>
      </c>
      <c r="X159" s="73">
        <v>2.09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10.73</v>
      </c>
      <c r="C162" s="68">
        <v>12.46</v>
      </c>
      <c r="D162" s="68">
        <v>12.47</v>
      </c>
      <c r="E162" s="68">
        <v>11.64</v>
      </c>
      <c r="F162" s="68">
        <v>13.84</v>
      </c>
    </row>
    <row r="163" spans="1:72" s="93" customFormat="1" ht="14.25" thickBot="1" x14ac:dyDescent="0.3">
      <c r="A163" s="225" t="s">
        <v>18</v>
      </c>
      <c r="B163" s="274">
        <v>0.99</v>
      </c>
      <c r="C163" s="274">
        <v>0.92</v>
      </c>
      <c r="D163" s="274">
        <v>0.89</v>
      </c>
      <c r="E163" s="274">
        <v>0.85</v>
      </c>
      <c r="F163" s="274">
        <v>0.77</v>
      </c>
    </row>
    <row r="164" spans="1:72" s="93" customFormat="1" ht="14.25" thickBot="1" x14ac:dyDescent="0.3">
      <c r="A164" s="224" t="s">
        <v>15</v>
      </c>
      <c r="B164" s="68">
        <v>1.2</v>
      </c>
      <c r="C164" s="68">
        <v>1.21</v>
      </c>
      <c r="D164" s="68">
        <v>1.21</v>
      </c>
      <c r="E164" s="68">
        <v>1.2</v>
      </c>
      <c r="F164" s="68">
        <v>1.19</v>
      </c>
    </row>
    <row r="165" spans="1:72" s="93" customFormat="1" ht="14.25" thickBot="1" x14ac:dyDescent="0.3">
      <c r="A165" s="225" t="s">
        <v>45</v>
      </c>
      <c r="B165" s="73">
        <v>13.09</v>
      </c>
      <c r="C165" s="73">
        <v>14.38</v>
      </c>
      <c r="D165" s="73">
        <v>13.78</v>
      </c>
      <c r="E165" s="73">
        <v>12.01</v>
      </c>
      <c r="F165" s="73">
        <v>13.01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84.91</v>
      </c>
      <c r="C168" s="68">
        <v>79.650000000000006</v>
      </c>
      <c r="D168" s="68">
        <v>90</v>
      </c>
      <c r="E168" s="68">
        <v>85.71</v>
      </c>
      <c r="F168" s="68">
        <v>89.11</v>
      </c>
      <c r="G168" s="68">
        <v>89.11</v>
      </c>
      <c r="H168" s="68">
        <v>84.11</v>
      </c>
      <c r="I168" s="68">
        <v>78.95</v>
      </c>
      <c r="J168" s="68">
        <v>84.11</v>
      </c>
      <c r="K168" s="68">
        <v>81.819999999999993</v>
      </c>
      <c r="L168" s="68">
        <v>82.57</v>
      </c>
      <c r="M168" s="68">
        <v>81.08</v>
      </c>
      <c r="N168" s="68">
        <v>89.11</v>
      </c>
      <c r="O168" s="68">
        <v>92.78</v>
      </c>
      <c r="P168" s="68">
        <v>92.78</v>
      </c>
      <c r="Q168" s="68">
        <v>80.36</v>
      </c>
      <c r="R168" s="68">
        <v>91.84</v>
      </c>
      <c r="S168" s="68">
        <v>84.11</v>
      </c>
      <c r="T168" s="68">
        <v>88.24</v>
      </c>
      <c r="U168" s="68">
        <v>82.57</v>
      </c>
      <c r="V168" s="68">
        <v>93.75</v>
      </c>
      <c r="W168" s="68">
        <v>84.11</v>
      </c>
      <c r="X168" s="68">
        <v>84.91</v>
      </c>
    </row>
    <row r="169" spans="1:72" s="93" customFormat="1" ht="14.25" thickBot="1" x14ac:dyDescent="0.3">
      <c r="A169" s="225" t="s">
        <v>17</v>
      </c>
      <c r="B169" s="274">
        <v>121.62</v>
      </c>
      <c r="C169" s="274">
        <v>113.92</v>
      </c>
      <c r="D169" s="274">
        <v>116.88</v>
      </c>
      <c r="E169" s="274">
        <v>104.65</v>
      </c>
      <c r="F169" s="274">
        <v>104.65</v>
      </c>
      <c r="G169" s="274">
        <v>108.43</v>
      </c>
      <c r="H169" s="274">
        <v>113.92</v>
      </c>
      <c r="I169" s="274">
        <v>111.11</v>
      </c>
      <c r="J169" s="274">
        <v>120</v>
      </c>
      <c r="K169" s="274">
        <v>112.5</v>
      </c>
      <c r="L169" s="274">
        <v>113.92</v>
      </c>
      <c r="M169" s="274">
        <v>112.5</v>
      </c>
      <c r="N169" s="274">
        <v>113.92</v>
      </c>
      <c r="O169" s="274">
        <v>120</v>
      </c>
      <c r="P169" s="274">
        <v>126.76</v>
      </c>
      <c r="Q169" s="274">
        <v>113.92</v>
      </c>
      <c r="R169" s="274">
        <v>125</v>
      </c>
      <c r="S169" s="274">
        <v>115.38</v>
      </c>
      <c r="T169" s="274">
        <v>120</v>
      </c>
      <c r="U169" s="274">
        <v>101.12</v>
      </c>
      <c r="V169" s="274">
        <v>120</v>
      </c>
      <c r="W169" s="274">
        <v>125</v>
      </c>
      <c r="X169" s="274">
        <v>123.29</v>
      </c>
    </row>
    <row r="170" spans="1:72" s="93" customFormat="1" ht="14.25" thickBot="1" x14ac:dyDescent="0.3">
      <c r="A170" s="224" t="s">
        <v>42</v>
      </c>
      <c r="B170" s="72">
        <v>206.53</v>
      </c>
      <c r="C170" s="72">
        <v>193.57</v>
      </c>
      <c r="D170" s="72">
        <v>206.88</v>
      </c>
      <c r="E170" s="72">
        <v>190.37</v>
      </c>
      <c r="F170" s="72">
        <v>193.76</v>
      </c>
      <c r="G170" s="72">
        <v>197.54</v>
      </c>
      <c r="H170" s="72">
        <v>198.04</v>
      </c>
      <c r="I170" s="72">
        <v>190.06</v>
      </c>
      <c r="J170" s="72">
        <v>204.11</v>
      </c>
      <c r="K170" s="72">
        <v>194.32</v>
      </c>
      <c r="L170" s="72">
        <v>196.49</v>
      </c>
      <c r="M170" s="72">
        <v>193.58</v>
      </c>
      <c r="N170" s="72">
        <v>203.03</v>
      </c>
      <c r="O170" s="72">
        <v>212.78</v>
      </c>
      <c r="P170" s="72">
        <v>219.54</v>
      </c>
      <c r="Q170" s="72">
        <v>194.28</v>
      </c>
      <c r="R170" s="72">
        <v>216.84</v>
      </c>
      <c r="S170" s="72">
        <v>199.5</v>
      </c>
      <c r="T170" s="72">
        <v>208.24</v>
      </c>
      <c r="U170" s="72">
        <v>183.69</v>
      </c>
      <c r="V170" s="72">
        <v>213.75</v>
      </c>
      <c r="W170" s="72">
        <v>209.11</v>
      </c>
      <c r="X170" s="72">
        <v>208.19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87.4</v>
      </c>
      <c r="C173" s="72">
        <v>81.739999999999995</v>
      </c>
      <c r="D173" s="72">
        <v>119.99</v>
      </c>
      <c r="E173" s="72">
        <v>166.18</v>
      </c>
      <c r="F173" s="72">
        <v>107.14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11.26</v>
      </c>
      <c r="C176" s="72">
        <v>11.87</v>
      </c>
      <c r="D176" s="72">
        <v>12.16</v>
      </c>
      <c r="E176" s="72">
        <v>10.91</v>
      </c>
      <c r="F176" s="72">
        <v>9.64</v>
      </c>
      <c r="G176" s="72">
        <v>9.57</v>
      </c>
      <c r="H176" s="72">
        <v>9.94</v>
      </c>
      <c r="I176" s="72">
        <v>10.29</v>
      </c>
      <c r="J176" s="72">
        <v>10.26</v>
      </c>
      <c r="K176" s="72">
        <v>10.02</v>
      </c>
      <c r="L176" s="72">
        <v>9.76</v>
      </c>
      <c r="M176" s="72">
        <v>10.08</v>
      </c>
      <c r="N176" s="72">
        <v>10.36</v>
      </c>
      <c r="O176" s="72">
        <v>11.01</v>
      </c>
      <c r="P176" s="72">
        <v>12.13</v>
      </c>
      <c r="Q176" s="72">
        <v>13.93</v>
      </c>
      <c r="R176" s="72">
        <v>14.58</v>
      </c>
      <c r="S176" s="72">
        <v>13.68</v>
      </c>
      <c r="T176" s="72">
        <v>13.72</v>
      </c>
      <c r="U176" s="72">
        <v>14.42</v>
      </c>
      <c r="V176" s="72">
        <v>13.21</v>
      </c>
      <c r="W176" s="72">
        <v>13.16</v>
      </c>
      <c r="X176" s="72">
        <v>12.55</v>
      </c>
      <c r="Y176" s="72">
        <v>13.45</v>
      </c>
      <c r="Z176" s="72">
        <v>13.78</v>
      </c>
      <c r="AA176" s="72">
        <v>13.54</v>
      </c>
      <c r="AB176" s="72">
        <v>11.96</v>
      </c>
      <c r="AC176" s="72">
        <v>12.39</v>
      </c>
      <c r="AD176" s="72">
        <v>14.19</v>
      </c>
      <c r="AE176" s="72">
        <v>14.06</v>
      </c>
      <c r="AF176" s="72">
        <v>14.21</v>
      </c>
      <c r="AG176" s="72">
        <v>12.79</v>
      </c>
      <c r="AH176" s="72">
        <v>13.16</v>
      </c>
      <c r="AI176" s="72">
        <v>12.47</v>
      </c>
      <c r="AJ176" s="72">
        <v>12.43</v>
      </c>
      <c r="AK176" s="72">
        <v>12.47</v>
      </c>
      <c r="AL176" s="72">
        <v>12.82</v>
      </c>
      <c r="AM176" s="72">
        <v>13.04</v>
      </c>
      <c r="AN176" s="72">
        <v>13.19</v>
      </c>
      <c r="AO176" s="72">
        <v>13.6</v>
      </c>
      <c r="AP176" s="72">
        <v>14.17</v>
      </c>
      <c r="AQ176" s="72">
        <v>13.64</v>
      </c>
      <c r="AR176" s="72">
        <v>13.58</v>
      </c>
      <c r="AS176" s="72">
        <v>12.54</v>
      </c>
      <c r="AT176" s="72">
        <v>11.13</v>
      </c>
      <c r="AU176" s="72">
        <v>11.35</v>
      </c>
      <c r="AV176" s="72">
        <v>11.42</v>
      </c>
      <c r="AW176" s="72">
        <v>11.65</v>
      </c>
      <c r="AX176" s="72">
        <v>11.8</v>
      </c>
      <c r="AY176" s="72">
        <v>12.34</v>
      </c>
      <c r="AZ176" s="72">
        <v>13.39</v>
      </c>
      <c r="BA176" s="72">
        <v>12.85</v>
      </c>
      <c r="BB176" s="72">
        <v>12.09</v>
      </c>
      <c r="BC176" s="72">
        <v>12.56</v>
      </c>
      <c r="BD176" s="72">
        <v>12.74</v>
      </c>
      <c r="BE176" s="72">
        <v>12.44</v>
      </c>
      <c r="BF176" s="72">
        <v>12.28</v>
      </c>
      <c r="BG176" s="72">
        <v>12.34</v>
      </c>
      <c r="BH176" s="72">
        <v>12.49</v>
      </c>
      <c r="BI176" s="72">
        <v>12.57</v>
      </c>
      <c r="BJ176" s="72">
        <v>12.87</v>
      </c>
      <c r="BK176" s="72">
        <v>13.09</v>
      </c>
      <c r="BL176" s="72">
        <v>12.62</v>
      </c>
      <c r="BM176" s="72">
        <v>12.45</v>
      </c>
      <c r="BN176" s="72">
        <v>13.21</v>
      </c>
      <c r="BO176" s="72">
        <v>13.18</v>
      </c>
      <c r="BP176" s="72">
        <v>13.03</v>
      </c>
      <c r="BQ176" s="72">
        <v>13.84</v>
      </c>
      <c r="BR176" s="72">
        <v>13.5</v>
      </c>
      <c r="BS176" s="72">
        <v>13.49</v>
      </c>
      <c r="BT176" s="72">
        <v>15.45</v>
      </c>
    </row>
  </sheetData>
  <phoneticPr fontId="3" type="noConversion"/>
  <conditionalFormatting sqref="E4">
    <cfRule type="cellIs" dxfId="6746" priority="101" operator="greaterThan">
      <formula>0.2</formula>
    </cfRule>
    <cfRule type="cellIs" dxfId="6745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6744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743" priority="95" operator="greaterThan">
      <formula>$B$19</formula>
    </cfRule>
  </conditionalFormatting>
  <conditionalFormatting sqref="D33:D34">
    <cfRule type="cellIs" dxfId="6742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6741" priority="89" operator="lessThan">
      <formula>$H$62</formula>
    </cfRule>
    <cfRule type="cellIs" dxfId="6740" priority="90" operator="greaterThan">
      <formula>$H$62</formula>
    </cfRule>
  </conditionalFormatting>
  <conditionalFormatting sqref="J62">
    <cfRule type="cellIs" dxfId="6739" priority="87" operator="lessThan">
      <formula>$K$62</formula>
    </cfRule>
    <cfRule type="cellIs" dxfId="6738" priority="88" operator="greaterThan">
      <formula>$K$62</formula>
    </cfRule>
  </conditionalFormatting>
  <conditionalFormatting sqref="M62">
    <cfRule type="cellIs" dxfId="6737" priority="85" operator="lessThan">
      <formula>$N$62</formula>
    </cfRule>
    <cfRule type="cellIs" dxfId="6736" priority="86" operator="greaterThan">
      <formula>$N$62</formula>
    </cfRule>
  </conditionalFormatting>
  <conditionalFormatting sqref="B44:E44">
    <cfRule type="cellIs" dxfId="6735" priority="83" operator="greaterThan">
      <formula>0</formula>
    </cfRule>
    <cfRule type="cellIs" dxfId="6734" priority="84" operator="lessThan">
      <formula>0</formula>
    </cfRule>
  </conditionalFormatting>
  <conditionalFormatting sqref="F72">
    <cfRule type="cellIs" dxfId="6733" priority="82" operator="lessThan">
      <formula>$E$72*90%</formula>
    </cfRule>
  </conditionalFormatting>
  <conditionalFormatting sqref="F73">
    <cfRule type="cellIs" dxfId="6732" priority="81" operator="lessThan">
      <formula>$E$73*90%</formula>
    </cfRule>
  </conditionalFormatting>
  <conditionalFormatting sqref="F74">
    <cfRule type="cellIs" dxfId="6731" priority="80" operator="lessThan">
      <formula>$E$74*90%</formula>
    </cfRule>
  </conditionalFormatting>
  <conditionalFormatting sqref="F75">
    <cfRule type="cellIs" dxfId="6730" priority="79" operator="lessThan">
      <formula>$E$75*90%</formula>
    </cfRule>
  </conditionalFormatting>
  <conditionalFormatting sqref="H44:K44">
    <cfRule type="cellIs" dxfId="6729" priority="77" operator="greaterThan">
      <formula>0</formula>
    </cfRule>
    <cfRule type="cellIs" dxfId="6728" priority="78" operator="lessThan">
      <formula>0</formula>
    </cfRule>
  </conditionalFormatting>
  <conditionalFormatting sqref="H51:K51">
    <cfRule type="cellIs" dxfId="6727" priority="75" operator="greaterThan">
      <formula>0</formula>
    </cfRule>
    <cfRule type="cellIs" dxfId="6726" priority="76" operator="lessThan">
      <formula>0</formula>
    </cfRule>
  </conditionalFormatting>
  <conditionalFormatting sqref="B51:E51">
    <cfRule type="cellIs" dxfId="6725" priority="73" operator="greaterThan">
      <formula>0</formula>
    </cfRule>
    <cfRule type="cellIs" dxfId="6724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723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722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721" priority="56" operator="lessThan">
      <formula>0</formula>
    </cfRule>
  </conditionalFormatting>
  <conditionalFormatting sqref="A25 E25 C25">
    <cfRule type="cellIs" dxfId="6720" priority="57" operator="lessThan">
      <formula>0</formula>
    </cfRule>
  </conditionalFormatting>
  <conditionalFormatting sqref="F25">
    <cfRule type="cellIs" dxfId="6719" priority="55" operator="lessThan">
      <formula>0</formula>
    </cfRule>
  </conditionalFormatting>
  <conditionalFormatting sqref="E1">
    <cfRule type="containsText" dxfId="6718" priority="54" operator="containsText" text="本季業外損益/平均=-">
      <formula>NOT(ISERROR(SEARCH("本季業外損益/平均=-",E1)))</formula>
    </cfRule>
  </conditionalFormatting>
  <conditionalFormatting sqref="M65">
    <cfRule type="cellIs" dxfId="6717" priority="53" operator="lessThan">
      <formula>$L$65*90%</formula>
    </cfRule>
  </conditionalFormatting>
  <conditionalFormatting sqref="M66">
    <cfRule type="cellIs" dxfId="6716" priority="52" operator="lessThan">
      <formula>$L$66*90%</formula>
    </cfRule>
  </conditionalFormatting>
  <conditionalFormatting sqref="M67">
    <cfRule type="cellIs" dxfId="6715" priority="51" operator="lessThan">
      <formula>$L$67*90%</formula>
    </cfRule>
  </conditionalFormatting>
  <conditionalFormatting sqref="M68">
    <cfRule type="cellIs" dxfId="6714" priority="50" operator="lessThan">
      <formula>$L$68*90%</formula>
    </cfRule>
  </conditionalFormatting>
  <conditionalFormatting sqref="B60">
    <cfRule type="cellIs" dxfId="6713" priority="49" operator="lessThan">
      <formula>0</formula>
    </cfRule>
  </conditionalFormatting>
  <conditionalFormatting sqref="B59:F59">
    <cfRule type="cellIs" dxfId="6712" priority="48" operator="lessThanOrEqual">
      <formula>0</formula>
    </cfRule>
  </conditionalFormatting>
  <conditionalFormatting sqref="D62">
    <cfRule type="cellIs" dxfId="6711" priority="46" operator="lessThan">
      <formula>$E$62</formula>
    </cfRule>
    <cfRule type="cellIs" dxfId="6710" priority="47" operator="greaterThan">
      <formula>$E$62</formula>
    </cfRule>
  </conditionalFormatting>
  <conditionalFormatting sqref="F69">
    <cfRule type="cellIs" dxfId="6709" priority="44" operator="lessThan">
      <formula>0</formula>
    </cfRule>
  </conditionalFormatting>
  <conditionalFormatting sqref="B65:E67 B69:E69 B68:D68">
    <cfRule type="cellIs" dxfId="6708" priority="45" operator="lessThan">
      <formula>0</formula>
    </cfRule>
  </conditionalFormatting>
  <conditionalFormatting sqref="E68">
    <cfRule type="cellIs" dxfId="6707" priority="43" operator="lessThan">
      <formula>0</formula>
    </cfRule>
  </conditionalFormatting>
  <conditionalFormatting sqref="F65:F68">
    <cfRule type="cellIs" dxfId="6706" priority="42" operator="lessThan">
      <formula>0</formula>
    </cfRule>
  </conditionalFormatting>
  <conditionalFormatting sqref="F65:F68">
    <cfRule type="cellIs" dxfId="6705" priority="41" operator="lessThan">
      <formula>$E$65*0.9</formula>
    </cfRule>
  </conditionalFormatting>
  <conditionalFormatting sqref="F66">
    <cfRule type="cellIs" dxfId="6704" priority="40" operator="lessThan">
      <formula>$E$66*0.9</formula>
    </cfRule>
  </conditionalFormatting>
  <conditionalFormatting sqref="F67:F68">
    <cfRule type="cellIs" dxfId="6703" priority="39" operator="lessThan">
      <formula>$E$67*0.9</formula>
    </cfRule>
  </conditionalFormatting>
  <conditionalFormatting sqref="F68">
    <cfRule type="cellIs" dxfId="6702" priority="38" operator="lessThan">
      <formula>$E$68*0.9</formula>
    </cfRule>
  </conditionalFormatting>
  <conditionalFormatting sqref="B13:F13">
    <cfRule type="cellIs" dxfId="6701" priority="27" operator="greaterThan">
      <formula>$I$16</formula>
    </cfRule>
    <cfRule type="cellIs" dxfId="6700" priority="28" operator="lessThanOrEqual">
      <formula>$I$16</formula>
    </cfRule>
  </conditionalFormatting>
  <conditionalFormatting sqref="B10:F10">
    <cfRule type="cellIs" dxfId="6699" priority="29" operator="greaterThan">
      <formula>15</formula>
    </cfRule>
    <cfRule type="cellIs" dxfId="6698" priority="36" operator="lessThan">
      <formula>$I$9</formula>
    </cfRule>
    <cfRule type="cellIs" dxfId="6697" priority="37" operator="greaterThan">
      <formula>$I$9</formula>
    </cfRule>
  </conditionalFormatting>
  <conditionalFormatting sqref="B16:F16">
    <cfRule type="cellIs" dxfId="6696" priority="34" operator="greaterThan">
      <formula>$I$16</formula>
    </cfRule>
    <cfRule type="cellIs" dxfId="6695" priority="35" operator="lessThanOrEqual">
      <formula>$I$16</formula>
    </cfRule>
  </conditionalFormatting>
  <conditionalFormatting sqref="B15:F15">
    <cfRule type="cellIs" dxfId="6694" priority="32" operator="lessThanOrEqual">
      <formula>$I$16</formula>
    </cfRule>
    <cfRule type="cellIs" dxfId="6693" priority="33" operator="greaterThan">
      <formula>$I$16</formula>
    </cfRule>
  </conditionalFormatting>
  <conditionalFormatting sqref="B14:F14">
    <cfRule type="cellIs" dxfId="6692" priority="30" operator="greaterThan">
      <formula>$I$16</formula>
    </cfRule>
    <cfRule type="cellIs" dxfId="6691" priority="31" operator="lessThanOrEqual">
      <formula>$I$16</formula>
    </cfRule>
  </conditionalFormatting>
  <conditionalFormatting sqref="K6">
    <cfRule type="containsText" dxfId="6690" priority="25" operator="containsText" text="衰退">
      <formula>NOT(ISERROR(SEARCH("衰退",K6)))</formula>
    </cfRule>
    <cfRule type="containsText" dxfId="6689" priority="26" operator="containsText" text="成長">
      <formula>NOT(ISERROR(SEARCH("成長",K6)))</formula>
    </cfRule>
  </conditionalFormatting>
  <conditionalFormatting sqref="I4:K4">
    <cfRule type="cellIs" dxfId="6688" priority="23" operator="lessThan">
      <formula>0</formula>
    </cfRule>
    <cfRule type="cellIs" dxfId="6687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686" priority="20" operator="lessThanOrEqual">
      <formula>$I$16</formula>
    </cfRule>
    <cfRule type="cellIs" dxfId="6685" priority="21" operator="greaterThan">
      <formula>$I$16</formula>
    </cfRule>
  </conditionalFormatting>
  <conditionalFormatting sqref="I6">
    <cfRule type="containsText" dxfId="6684" priority="18" operator="containsText" text="衰退">
      <formula>NOT(ISERROR(SEARCH("衰退",I6)))</formula>
    </cfRule>
    <cfRule type="containsText" dxfId="6683" priority="19" operator="containsText" text="成長">
      <formula>NOT(ISERROR(SEARCH("成長",I6)))</formula>
    </cfRule>
  </conditionalFormatting>
  <conditionalFormatting sqref="M9">
    <cfRule type="cellIs" dxfId="6682" priority="17" operator="lessThan">
      <formula>$I$9</formula>
    </cfRule>
  </conditionalFormatting>
  <conditionalFormatting sqref="M10">
    <cfRule type="cellIs" dxfId="6681" priority="16" operator="greaterThan">
      <formula>$I$9</formula>
    </cfRule>
  </conditionalFormatting>
  <conditionalFormatting sqref="M11">
    <cfRule type="cellIs" dxfId="6680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679" priority="12" operator="lessThan">
      <formula>0</formula>
    </cfRule>
    <cfRule type="cellIs" dxfId="6678" priority="13" operator="greaterThan">
      <formula>0.5</formula>
    </cfRule>
  </conditionalFormatting>
  <conditionalFormatting sqref="N14">
    <cfRule type="cellIs" dxfId="6677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676" priority="8" operator="lessThan">
      <formula>0.1</formula>
    </cfRule>
  </conditionalFormatting>
  <conditionalFormatting sqref="I14">
    <cfRule type="cellIs" dxfId="6675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674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673" priority="1" operator="lessThan">
      <formula>$N$5*0.9</formula>
    </cfRule>
    <cfRule type="cellIs" dxfId="6672" priority="2" operator="greaterThan">
      <formula>$N$5*1.1</formula>
    </cfRule>
  </conditionalFormatting>
  <hyperlinks>
    <hyperlink ref="L1" location="儀表板!A1" display="(回首頁)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6.45 ~ 13.4</v>
      </c>
      <c r="L1" s="83" t="s">
        <v>176</v>
      </c>
      <c r="M1" s="84" t="str">
        <f ca="1">VLOOKUP(_xlfn.NUMBERVALUE(N1),儀表板!A:B,2,FALSE)</f>
        <v>勝一化工</v>
      </c>
      <c r="N1" s="85" t="str">
        <f ca="1">MID(CELL("filename",L1),FIND("]",CELL("filename",L1))+1,255)</f>
        <v>1773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0.16819162696684919</v>
      </c>
    </row>
    <row r="3" spans="1:15" s="93" customFormat="1" x14ac:dyDescent="0.25">
      <c r="A3" s="81" t="s">
        <v>179</v>
      </c>
      <c r="B3" s="94">
        <f>SUM(F19:F22,F24:F27,J19)</f>
        <v>91.79940612033144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62.776145709097015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65.472765363113652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69.387213247976518</v>
      </c>
      <c r="L3" s="100"/>
      <c r="M3" s="79" t="s">
        <v>385</v>
      </c>
      <c r="N3" s="92">
        <f>(F69-E69)/E69</f>
        <v>0.11286043475790357</v>
      </c>
    </row>
    <row r="4" spans="1:15" s="93" customFormat="1" x14ac:dyDescent="0.25">
      <c r="A4" s="81" t="s">
        <v>182</v>
      </c>
      <c r="B4" s="96">
        <f>SUM(G36:G40)*2</f>
        <v>72</v>
      </c>
      <c r="C4" s="101"/>
      <c r="D4" s="102">
        <f>F4*(1+F141/10)</f>
        <v>15</v>
      </c>
      <c r="E4" s="82">
        <f>(D4-F4)/F4</f>
        <v>0</v>
      </c>
      <c r="F4" s="103">
        <v>15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5.8202600737838361</v>
      </c>
    </row>
    <row r="5" spans="1:15" s="93" customFormat="1" x14ac:dyDescent="0.25">
      <c r="A5" s="81" t="s">
        <v>184</v>
      </c>
      <c r="B5" s="107">
        <f>SUM(F30:F34)*2</f>
        <v>92.781618654073199</v>
      </c>
      <c r="C5" s="87"/>
      <c r="D5" s="87"/>
      <c r="E5" s="87"/>
      <c r="F5" s="86"/>
      <c r="G5" s="88"/>
      <c r="M5" s="79" t="s">
        <v>375</v>
      </c>
      <c r="N5" s="152">
        <f>D62</f>
        <v>5.75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6.4282779739443159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14.15</v>
      </c>
      <c r="N9" s="129"/>
    </row>
    <row r="10" spans="1:15" s="93" customFormat="1" x14ac:dyDescent="0.25">
      <c r="A10" s="123" t="s">
        <v>194</v>
      </c>
      <c r="B10" s="126">
        <f>PERCENTILE(176:176,B9)</f>
        <v>10.43</v>
      </c>
      <c r="C10" s="126">
        <f>PERCENTILE(176:176,C9)</f>
        <v>10.824999999999999</v>
      </c>
      <c r="D10" s="126">
        <f>PERCENTILE(176:176,D9)</f>
        <v>11.29</v>
      </c>
      <c r="E10" s="126">
        <f>PERCENTILE(176:176,E9)</f>
        <v>11.965</v>
      </c>
      <c r="F10" s="126">
        <f>PERCENTILE(176:176,F9)</f>
        <v>12.69</v>
      </c>
      <c r="G10" s="95"/>
      <c r="H10" s="135"/>
      <c r="I10" s="135"/>
      <c r="J10" s="135"/>
      <c r="K10" s="135"/>
      <c r="L10" s="136" t="s">
        <v>374</v>
      </c>
      <c r="M10" s="130">
        <f>MIN(176:176)</f>
        <v>7.99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28.49</v>
      </c>
      <c r="L11" s="272" t="s">
        <v>193</v>
      </c>
      <c r="M11" s="128">
        <f>STDEV(176:176)</f>
        <v>1.2629620735379137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40.616246498599445</v>
      </c>
      <c r="C13" s="141">
        <f>$B$34/5.88%</f>
        <v>49.319727891156461</v>
      </c>
      <c r="D13" s="141">
        <f>$B$34/5%</f>
        <v>57.999999999999993</v>
      </c>
      <c r="E13" s="141">
        <f>$B$34/4.35%</f>
        <v>66.666666666666671</v>
      </c>
      <c r="F13" s="141">
        <f>$B$34/3.85%</f>
        <v>75.324675324675326</v>
      </c>
      <c r="G13" s="138" t="str">
        <f>"$"&amp;ROUND(B34,2)&amp;"/"&amp;IF(STDEV(C140:F140)/AVERAGE(C140:F140)&lt;15%,"高",IF(STDEV(C140:F140)/AVERAGE(C140:F140)&lt;30%,"中","低"))</f>
        <v>$2.9/中</v>
      </c>
      <c r="H13" s="142" t="s">
        <v>199</v>
      </c>
      <c r="I13" s="143">
        <f>MAX(0,1-J15)</f>
        <v>0.23518164435946465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44.171050000000001</v>
      </c>
      <c r="C14" s="141">
        <f>$B$33*C10</f>
        <v>45.843874999999997</v>
      </c>
      <c r="D14" s="141">
        <f>$B$33*D10</f>
        <v>47.81315</v>
      </c>
      <c r="E14" s="141">
        <f>$B$33*E10</f>
        <v>50.671775000000004</v>
      </c>
      <c r="F14" s="141">
        <f>$B$33*F10</f>
        <v>53.742150000000002</v>
      </c>
      <c r="G14" s="138" t="str">
        <f>"$"&amp;ROUND(B33,2)&amp;"/"&amp;IF(STDEV(B69:E69)/AVERAGE(B69:E69)&lt;15%,"高",IF(STDEV(B69:E69)/AVERAGE(B69:E69)&lt;30%,"中","低"))</f>
        <v>$4.24/中</v>
      </c>
      <c r="H14" s="142" t="s">
        <v>203</v>
      </c>
      <c r="I14" s="145">
        <f>G62/100*I13</f>
        <v>4.8212237093690248E-2</v>
      </c>
      <c r="J14" s="76" t="s">
        <v>204</v>
      </c>
      <c r="K14" s="146"/>
      <c r="L14" s="147">
        <f>(HLOOKUP($C$1,$105:$106,2,FALSE)-HLOOKUP($C$1,$117:$127,9,FALSE))/(HLOOKUP($C$1,$117:$128,12,FALSE)/K11)</f>
        <v>4.5175443710629803</v>
      </c>
      <c r="M14" s="148">
        <f>E135/E69</f>
        <v>1.3900573613766729</v>
      </c>
      <c r="N14" s="149">
        <f>F173/100</f>
        <v>1.1375999999999999</v>
      </c>
    </row>
    <row r="15" spans="1:15" s="93" customFormat="1" x14ac:dyDescent="0.25">
      <c r="A15" s="140" t="s">
        <v>375</v>
      </c>
      <c r="B15" s="141">
        <f>$D$62*B10</f>
        <v>59.972499999999997</v>
      </c>
      <c r="C15" s="141">
        <f>$D$62*C10</f>
        <v>62.243749999999999</v>
      </c>
      <c r="D15" s="141">
        <f>$D$62*D10</f>
        <v>64.91749999999999</v>
      </c>
      <c r="E15" s="141">
        <f>$D$62*E10</f>
        <v>68.798749999999998</v>
      </c>
      <c r="F15" s="141">
        <f>$D$62*F10</f>
        <v>72.967500000000001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0.76481835564053535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60.705312569565407</v>
      </c>
      <c r="C16" s="141">
        <f>$F$69*C10</f>
        <v>63.004315298710019</v>
      </c>
      <c r="D16" s="141">
        <f>$F$69*D10</f>
        <v>65.710736233019503</v>
      </c>
      <c r="E16" s="141">
        <f>$F$69*E10</f>
        <v>69.639411782823601</v>
      </c>
      <c r="F16" s="141">
        <f>$F$69*F10</f>
        <v>73.859100336316871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368</v>
      </c>
      <c r="J17" s="92">
        <f ca="1">IF(I17&lt;=0,"",IF(I17&lt;=MIN($B$13:$F$16),(I17-MIN($B$13:$F$16))/MIN($B$13:$F$16),IF(I17&gt;=MAX($B$13:$F$16),I17/MAX($B$13:$F$16),PERCENTRANK($B$13:$F$16,I17))))</f>
        <v>4.8855172413793104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4.1224999999999996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1.421551724137931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0.11204046654396685</v>
      </c>
      <c r="J20" s="171">
        <f>HLOOKUP($C$1,$117:$127,11,FALSE)/HLOOKUP($C$1,$105:$115,11,FALSE)</f>
        <v>0.18534490645790416</v>
      </c>
      <c r="K20" s="163"/>
    </row>
    <row r="21" spans="1:14" s="93" customFormat="1" x14ac:dyDescent="0.25">
      <c r="A21" s="151" t="s">
        <v>201</v>
      </c>
      <c r="B21" s="161">
        <f>AVERAGE(C173:F173)/100</f>
        <v>1.395675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2.8479677088702706</v>
      </c>
      <c r="J21" s="78"/>
      <c r="K21" s="164" t="s">
        <v>356</v>
      </c>
      <c r="L21" s="165">
        <f>HLOOKUP($C$1,$105:$115,7,FALSE)/HLOOKUP($C$1,$105:$115,11,FALSE)</f>
        <v>0.46021392160121743</v>
      </c>
      <c r="M21" s="123" t="s">
        <v>268</v>
      </c>
      <c r="N21" s="165">
        <f>HLOOKUP($C$1,$117:$127,8,FALSE)/HLOOKUP($C$1,$117:$127,11,FALSE)</f>
        <v>0.87185454470662638</v>
      </c>
    </row>
    <row r="22" spans="1:14" s="93" customFormat="1" x14ac:dyDescent="0.25">
      <c r="A22" s="140" t="s">
        <v>222</v>
      </c>
      <c r="B22" s="161">
        <f>(-1)*SUM(C133:F133)/SUM(C132:F132)</f>
        <v>0.28596187175043325</v>
      </c>
      <c r="C22" s="157"/>
      <c r="D22" s="166"/>
      <c r="E22" s="140"/>
      <c r="F22" s="159">
        <f>IF(B22&lt;=0,10,IF(B22&gt;=100%,0,(1-B22)*10))</f>
        <v>7.1403812824956674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2.1407122307843833</v>
      </c>
      <c r="J22" s="78"/>
      <c r="K22" s="142" t="s">
        <v>357</v>
      </c>
      <c r="L22" s="165">
        <f>HLOOKUP($C$1,$105:$115,4,FALSE)/HLOOKUP($C$1,$105:$115,11,FALSE)</f>
        <v>0.18198737116899791</v>
      </c>
      <c r="M22" s="123" t="s">
        <v>353</v>
      </c>
      <c r="N22" s="165">
        <f>HLOOKUP($C$1,$117:$127,4,FALSE)/HLOOKUP($C$1,$117:$127,11,FALSE)</f>
        <v>0.39550285634952875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1.2275133463562231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0.11428809959118696</v>
      </c>
      <c r="M23" s="123" t="s">
        <v>354</v>
      </c>
      <c r="N23" s="165">
        <f>IF(HLOOKUP($C$1,$117:$127,5,FALSE)="無",0,HLOOKUP($C$1,$117:$127,5,FALSE))/HLOOKUP($C$1,$117:$127,11,FALSE)</f>
        <v>8.9726911388890319E-3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47.87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3.3442881300882431E-2</v>
      </c>
      <c r="M24" s="123" t="s">
        <v>355</v>
      </c>
      <c r="N24" s="165">
        <f>HLOOKUP($C$1,$117:$127,9,FALSE)/HLOOKUP($C$1,$117:$127,11,FALSE)</f>
        <v>0.12814545529337357</v>
      </c>
    </row>
    <row r="25" spans="1:14" s="93" customFormat="1" x14ac:dyDescent="0.25">
      <c r="A25" s="151" t="s">
        <v>366</v>
      </c>
      <c r="B25" s="255">
        <f>AVERAGE(94:94)</f>
        <v>22251.434782608696</v>
      </c>
      <c r="C25" s="254">
        <f>STDEV(94:94)/AVERAGE(94:94)</f>
        <v>0.84097516216422596</v>
      </c>
      <c r="D25" s="76" t="str">
        <f>IF(C25&lt;=1,"高",IF(C25&lt;=2,"中","低"))</f>
        <v>高</v>
      </c>
      <c r="E25" s="149"/>
      <c r="F25" s="160">
        <f>MAX(0,10-ABS(C25))</f>
        <v>9.1590248378357746</v>
      </c>
      <c r="G25" s="88" t="s">
        <v>213</v>
      </c>
      <c r="H25" s="123" t="s">
        <v>232</v>
      </c>
      <c r="I25" s="170">
        <f>IF(HLOOKUP(C1,167:170,3,FALSE)="無",0,HLOOKUP(C1,167:170,3,FALSE))</f>
        <v>47.12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53.89826086956522</v>
      </c>
      <c r="C26" s="172">
        <f>IF(COUNTIF(168:168,"&gt;0")=0,0,STDEV(168:168))</f>
        <v>2.710965363404894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52.834782608695654</v>
      </c>
      <c r="C27" s="172">
        <f>IF(COUNTIF(169:169,"&gt;0")=0,0,STDEV(169:169))</f>
        <v>4.0859703082234695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0.19972500000000001</v>
      </c>
      <c r="C30" s="157" t="s">
        <v>217</v>
      </c>
      <c r="D30" s="174">
        <f>COUNTIF(146:146,"&gt;20")/COUNT(146:146)</f>
        <v>0.39130434782608697</v>
      </c>
      <c r="E30" s="140" t="s">
        <v>239</v>
      </c>
      <c r="F30" s="159">
        <f>MIN(B30/25%*10,10)</f>
        <v>7.9890000000000008</v>
      </c>
      <c r="G30" s="175"/>
      <c r="H30" s="176"/>
    </row>
    <row r="31" spans="1:14" x14ac:dyDescent="0.25">
      <c r="A31" s="164" t="s">
        <v>240</v>
      </c>
      <c r="B31" s="173">
        <f>AVERAGE(C155:F155)/100</f>
        <v>9.3475000000000003E-2</v>
      </c>
      <c r="C31" s="157" t="s">
        <v>217</v>
      </c>
      <c r="D31" s="174">
        <f>COUNTIF(149:149,"&gt;8")/COUNT(149:149)</f>
        <v>0.65217391304347827</v>
      </c>
      <c r="E31" s="140" t="s">
        <v>241</v>
      </c>
      <c r="F31" s="159">
        <f>MIN(B31/10%*10,10)</f>
        <v>9.3475000000000001</v>
      </c>
      <c r="G31" s="175"/>
    </row>
    <row r="32" spans="1:14" x14ac:dyDescent="0.25">
      <c r="A32" s="155" t="s">
        <v>47</v>
      </c>
      <c r="B32" s="177">
        <f>AVERAGE(C165:F165)</f>
        <v>16.147500000000001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4.2350000000000003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2.9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9.0543093270365986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6668701.75</v>
      </c>
      <c r="C36" s="178">
        <f>STDEV(C97:F97)</f>
        <v>465893.44158893602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19.9725</v>
      </c>
      <c r="C37" s="180">
        <f>STDEV(C152:F152)</f>
        <v>4.9037086305502768</v>
      </c>
      <c r="D37" s="76" t="str">
        <f>IF(C37/B37&lt;15%,"高",IF(C37/B37&lt;30%,"中","低"))</f>
        <v>中</v>
      </c>
      <c r="E37" s="107">
        <f>IF(F152&gt;E152,1,0)+IF(E152&gt;D152,1,0)+IF(D152&gt;C152,1,0)</f>
        <v>2</v>
      </c>
      <c r="F37" s="179"/>
      <c r="G37" s="160">
        <f>IF(D37="高",6,IF(D37="中",4,2))+E37+1</f>
        <v>7</v>
      </c>
    </row>
    <row r="38" spans="1:14" x14ac:dyDescent="0.25">
      <c r="A38" s="164" t="s">
        <v>249</v>
      </c>
      <c r="B38" s="180">
        <f>AVERAGE(C153:F153)</f>
        <v>9.8249999999999993</v>
      </c>
      <c r="C38" s="180">
        <f>STDEV(C153:F153)</f>
        <v>2.9764576261052329</v>
      </c>
      <c r="D38" s="76" t="str">
        <f>IF(C38/B38&lt;15%,"高",IF(C38/B38&lt;30%,"中","低"))</f>
        <v>低</v>
      </c>
      <c r="E38" s="107">
        <f>IF(F153&gt;E153,1,0)+IF(E153&gt;D153,1,0)+IF(D153&gt;C153,1,0)</f>
        <v>2</v>
      </c>
      <c r="F38" s="179"/>
      <c r="G38" s="160">
        <f>IF(D38="高",6,IF(D38="中",4,2))+E38+1</f>
        <v>5</v>
      </c>
    </row>
    <row r="39" spans="1:14" x14ac:dyDescent="0.25">
      <c r="A39" s="142" t="s">
        <v>46</v>
      </c>
      <c r="B39" s="181">
        <f>AVERAGE(C165:F165)</f>
        <v>16.147500000000001</v>
      </c>
      <c r="C39" s="181">
        <f>STDEV(C165:F165)</f>
        <v>2.0068279281825006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4.2350000000000003</v>
      </c>
      <c r="C40" s="183">
        <f>STDEV(B69:E69)</f>
        <v>0.69935684739623316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0.17293233082706766</v>
      </c>
      <c r="C44" s="186">
        <f>(C46-C49)/C49</f>
        <v>6.6666666666666555E-2</v>
      </c>
      <c r="D44" s="186">
        <f>(D46-D49)/D49</f>
        <v>0.17857142857142852</v>
      </c>
      <c r="E44" s="186">
        <f>(E46-E49)/E49</f>
        <v>0.3240740740740739</v>
      </c>
      <c r="G44" s="86" t="s">
        <v>175</v>
      </c>
      <c r="H44" s="186">
        <f>(H47-H50)/H50</f>
        <v>-2.0988490182802924E-2</v>
      </c>
      <c r="I44" s="186">
        <f>(I47-I50)/I50</f>
        <v>-7.6433121019108347E-2</v>
      </c>
      <c r="J44" s="186">
        <f>(J47-J50)/J50</f>
        <v>2.1082220660576068E-2</v>
      </c>
      <c r="K44" s="186">
        <f>(K47-K50)/K50</f>
        <v>4.1926851025869717E-2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1.56</v>
      </c>
      <c r="C46" s="152">
        <f>HLOOKUP(C45,$81:$82,2,FALSE)</f>
        <v>1.44</v>
      </c>
      <c r="D46" s="152">
        <f>HLOOKUP(D45,$81:$82,2,FALSE)</f>
        <v>1.32</v>
      </c>
      <c r="E46" s="152">
        <f>HLOOKUP(E45,$81:$82,2,FALSE)</f>
        <v>1.43</v>
      </c>
      <c r="G46" s="86" t="s">
        <v>164</v>
      </c>
      <c r="H46" s="145">
        <f>HLOOKUP(H45,$145:$147,2,FALSE)/100</f>
        <v>0.27789999999999998</v>
      </c>
      <c r="I46" s="145">
        <f>HLOOKUP(I45,$145:$147,2,FALSE)/100</f>
        <v>0.27750000000000002</v>
      </c>
      <c r="J46" s="145">
        <f>HLOOKUP(J45,$145:$147,2,FALSE)/100</f>
        <v>0.26719999999999999</v>
      </c>
      <c r="K46" s="145">
        <f>HLOOKUP(K45,$145:$147,2,FALSE)/100</f>
        <v>0.25869999999999999</v>
      </c>
    </row>
    <row r="47" spans="1:14" x14ac:dyDescent="0.25">
      <c r="A47" s="188" t="s">
        <v>165</v>
      </c>
      <c r="B47" s="189">
        <f>HLOOKUP(B45,$157:$159,3,FALSE)</f>
        <v>5.63</v>
      </c>
      <c r="C47" s="189">
        <f>HLOOKUP(C45,$157:$159,3,FALSE)</f>
        <v>5.12</v>
      </c>
      <c r="D47" s="189">
        <f>HLOOKUP(D45,$157:$159,3,FALSE)</f>
        <v>4.59</v>
      </c>
      <c r="E47" s="189">
        <f>HLOOKUP(E45,$157:$159,3,FALSE)</f>
        <v>5.16</v>
      </c>
      <c r="G47" s="190" t="s">
        <v>166</v>
      </c>
      <c r="H47" s="145">
        <f>HLOOKUP(H45,$145:$147,3,FALSE)/100</f>
        <v>0.14460000000000001</v>
      </c>
      <c r="I47" s="145">
        <f>HLOOKUP(I45,$145:$147,3,FALSE)/100</f>
        <v>0.14499999999999999</v>
      </c>
      <c r="J47" s="145">
        <f>HLOOKUP(J45,$145:$147,3,FALSE)/100</f>
        <v>0.14529999999999998</v>
      </c>
      <c r="K47" s="145">
        <f>HLOOKUP(K45,$145:$147,3,FALSE)/100</f>
        <v>0.1168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1.33</v>
      </c>
      <c r="C49" s="152">
        <f>HLOOKUP(C48,$81:$82,2,FALSE)</f>
        <v>1.35</v>
      </c>
      <c r="D49" s="152">
        <f>HLOOKUP(D48,$81:$82,2,FALSE)</f>
        <v>1.1200000000000001</v>
      </c>
      <c r="E49" s="152">
        <f>HLOOKUP(E48,$81:$82,2,FALSE)</f>
        <v>1.08</v>
      </c>
      <c r="G49" s="86" t="s">
        <v>164</v>
      </c>
      <c r="H49" s="145">
        <f>HLOOKUP(H48,$145:$147,2,FALSE)/100</f>
        <v>0.27060000000000001</v>
      </c>
      <c r="I49" s="145">
        <f>HLOOKUP(I48,$145:$147,2,FALSE)/100</f>
        <v>0.2782</v>
      </c>
      <c r="J49" s="145">
        <f>HLOOKUP(J48,$145:$147,2,FALSE)/100</f>
        <v>0.26539999999999997</v>
      </c>
      <c r="K49" s="145">
        <f>HLOOKUP(K48,$145:$147,2,FALSE)/100</f>
        <v>0.22020000000000001</v>
      </c>
    </row>
    <row r="50" spans="1:15" x14ac:dyDescent="0.25">
      <c r="A50" s="188" t="s">
        <v>165</v>
      </c>
      <c r="B50" s="189">
        <f>HLOOKUP(B48,$157:$159,3,FALSE)</f>
        <v>4.99</v>
      </c>
      <c r="C50" s="189">
        <f>HLOOKUP(C48,$157:$159,3,FALSE)</f>
        <v>5.0199999999999996</v>
      </c>
      <c r="D50" s="189">
        <f>HLOOKUP(D48,$157:$159,3,FALSE)</f>
        <v>4.12</v>
      </c>
      <c r="E50" s="189">
        <f>HLOOKUP(E48,$157:$159,3,FALSE)</f>
        <v>4.12</v>
      </c>
      <c r="G50" s="190" t="s">
        <v>166</v>
      </c>
      <c r="H50" s="145">
        <f>HLOOKUP(H48,$145:$147,3,FALSE)/100</f>
        <v>0.1477</v>
      </c>
      <c r="I50" s="145">
        <f>HLOOKUP(I48,$145:$147,3,FALSE)/100</f>
        <v>0.157</v>
      </c>
      <c r="J50" s="145">
        <f>HLOOKUP(J48,$145:$147,3,FALSE)/100</f>
        <v>0.14230000000000001</v>
      </c>
      <c r="K50" s="145">
        <f>HLOOKUP(K48,$145:$147,3,FALSE)/100</f>
        <v>0.11210000000000001</v>
      </c>
    </row>
    <row r="51" spans="1:15" x14ac:dyDescent="0.25">
      <c r="A51" s="86" t="s">
        <v>351</v>
      </c>
      <c r="B51" s="186">
        <f>(B47-B50)/B50</f>
        <v>0.12825651302605204</v>
      </c>
      <c r="C51" s="186">
        <f>(C47-C50)/C50</f>
        <v>1.9920318725099709E-2</v>
      </c>
      <c r="D51" s="186">
        <f>(D47-D50)/D50</f>
        <v>0.11407766990291256</v>
      </c>
      <c r="E51" s="186">
        <f>(E47-E50)/E50</f>
        <v>0.25242718446601942</v>
      </c>
      <c r="G51" s="235" t="s">
        <v>174</v>
      </c>
      <c r="H51" s="186">
        <f>(H46-H49)/H49</f>
        <v>2.6977087952697609E-2</v>
      </c>
      <c r="I51" s="186">
        <f>(I46-I49)/I49</f>
        <v>-2.5161754133715976E-3</v>
      </c>
      <c r="J51" s="186">
        <f>(J46-J49)/J49</f>
        <v>6.7822155237378451E-3</v>
      </c>
      <c r="K51" s="186">
        <f>(K46-K49)/K49</f>
        <v>0.17484105358764748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6.4282779739443159</v>
      </c>
      <c r="B53" s="193">
        <f>B46</f>
        <v>1.56</v>
      </c>
      <c r="C53" s="193">
        <f>E46/HLOOKUP(E45,$87:$94,5,FALSE)*HLOOKUP(E45,$87:$94,4,FALSE)*($B$25/HLOOKUP(E45,$87:$94,4,FALSE)+SUM($B$57:$D$57)/SUM($B58:$D$58)*$G$69/100/K46)</f>
        <v>1.5002600737838365</v>
      </c>
      <c r="D53" s="193">
        <f>D46/HLOOKUP(D45,$87:$94,5,FALSE)*HLOOKUP(D45,$87:$94,4,FALSE)*($B$25/HLOOKUP(D45,$87:$94,4,FALSE)+SUM($B$57:$D$57)/SUM($B58:$D$58)*$G$69/100/J46)</f>
        <v>1.7768591501511999</v>
      </c>
      <c r="E53" s="193">
        <f>C46/HLOOKUP(C45,$87:$94,5,FALSE)*HLOOKUP(C45,$87:$94,4,FALSE)*($B$25/HLOOKUP(C45,$87:$94,4,FALSE)+SUM($B$57:$D$57)/SUM($B58:$D$58)*$G$69/100/I46)</f>
        <v>1.5911587500092794</v>
      </c>
    </row>
    <row r="54" spans="1:15" x14ac:dyDescent="0.25">
      <c r="A54" s="278">
        <f>SUM(B54:E54)</f>
        <v>5.52</v>
      </c>
      <c r="B54" s="277">
        <f t="shared" ref="B54:D54" si="0">HLOOKUP(B52-10,81:82,2,FALSE)</f>
        <v>1.33</v>
      </c>
      <c r="C54" s="277">
        <f t="shared" si="0"/>
        <v>1.43</v>
      </c>
      <c r="D54" s="277">
        <f t="shared" si="0"/>
        <v>1.32</v>
      </c>
      <c r="E54" s="277">
        <f>HLOOKUP(E52-10,81:82,2,FALSE)</f>
        <v>1.44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578307</v>
      </c>
      <c r="C57" s="196">
        <f>HLOOKUP(C56,78:79,2,FALSE)</f>
        <v>620706</v>
      </c>
      <c r="D57" s="196">
        <f>HLOOKUP(D56,78:79,2,FALSE)</f>
        <v>605394</v>
      </c>
      <c r="E57" s="196">
        <f>HLOOKUP(E56,78:79,2,FALSE)</f>
        <v>533705</v>
      </c>
      <c r="F57" s="196">
        <f>HLOOKUP(F56,78:79,2,FALSE)</f>
        <v>525446</v>
      </c>
      <c r="G57" s="196">
        <f t="shared" ref="G57:M57" si="2">HLOOKUP(G56,78:79,2,FALSE)</f>
        <v>562630</v>
      </c>
      <c r="H57" s="196">
        <f t="shared" si="2"/>
        <v>541991</v>
      </c>
      <c r="I57" s="196">
        <f t="shared" si="2"/>
        <v>605752</v>
      </c>
      <c r="J57" s="196">
        <f t="shared" si="2"/>
        <v>532694</v>
      </c>
      <c r="K57" s="196">
        <f t="shared" si="2"/>
        <v>560783</v>
      </c>
      <c r="L57" s="196">
        <f t="shared" si="2"/>
        <v>553629</v>
      </c>
      <c r="M57" s="196">
        <f t="shared" si="2"/>
        <v>552932</v>
      </c>
      <c r="N57" s="197"/>
    </row>
    <row r="58" spans="1:15" x14ac:dyDescent="0.25">
      <c r="A58" s="198" t="s">
        <v>253</v>
      </c>
      <c r="B58" s="196">
        <f>HLOOKUP(B56-100,78:79,2,FALSE)</f>
        <v>552408</v>
      </c>
      <c r="C58" s="196">
        <f>HLOOKUP(C56-100,78:79,2,FALSE)</f>
        <v>513317</v>
      </c>
      <c r="D58" s="196">
        <f>HLOOKUP(D56-100,78:79,2,FALSE)</f>
        <v>521248</v>
      </c>
      <c r="E58" s="196">
        <f>HLOOKUP(E56-100,78:79,2,FALSE)</f>
        <v>495929</v>
      </c>
      <c r="F58" s="196">
        <f>HLOOKUP(F56-100,78:79,2,FALSE)</f>
        <v>496345</v>
      </c>
      <c r="G58" s="196">
        <f t="shared" ref="G58:M58" si="3">HLOOKUP(G56-100,78:79,2,FALSE)</f>
        <v>517307</v>
      </c>
      <c r="H58" s="196">
        <f t="shared" si="3"/>
        <v>497682</v>
      </c>
      <c r="I58" s="196">
        <f t="shared" si="3"/>
        <v>556516</v>
      </c>
      <c r="J58" s="196">
        <f t="shared" si="3"/>
        <v>410029</v>
      </c>
      <c r="K58" s="196">
        <f t="shared" si="3"/>
        <v>504964</v>
      </c>
      <c r="L58" s="196">
        <f t="shared" si="3"/>
        <v>505094</v>
      </c>
      <c r="M58" s="196">
        <f t="shared" si="3"/>
        <v>528531</v>
      </c>
      <c r="N58" s="197"/>
    </row>
    <row r="59" spans="1:15" x14ac:dyDescent="0.25">
      <c r="A59" s="199" t="s">
        <v>254</v>
      </c>
      <c r="B59" s="165">
        <f>IF(B57&lt;&gt;"",(B57-B58)/B58,"")</f>
        <v>4.6883824998913845E-2</v>
      </c>
      <c r="C59" s="165">
        <f>IF(C57&lt;&gt;"",(C57-C58)/C58,"")</f>
        <v>0.20920600720412533</v>
      </c>
      <c r="D59" s="165">
        <f>IF(D57&lt;&gt;"",(D57-D58)/D58,"")</f>
        <v>0.16143179446252071</v>
      </c>
      <c r="E59" s="165">
        <f>IF(E57&lt;&gt;"",(E57-E58)/E58,"")</f>
        <v>7.6172194003577123E-2</v>
      </c>
      <c r="F59" s="165">
        <f>IF(F57&lt;&gt;"",(F57-F58)/F58,"")</f>
        <v>5.8630589610049459E-2</v>
      </c>
      <c r="G59" s="165">
        <f t="shared" ref="G59:M59" si="4">IF(G57&lt;&gt;"",(G57-G58)/G58,"")</f>
        <v>8.7613351452812349E-2</v>
      </c>
      <c r="H59" s="165">
        <f t="shared" si="4"/>
        <v>8.9030746540963906E-2</v>
      </c>
      <c r="I59" s="165">
        <f t="shared" si="4"/>
        <v>8.8471849865951746E-2</v>
      </c>
      <c r="J59" s="165">
        <f t="shared" si="4"/>
        <v>0.2991617666067522</v>
      </c>
      <c r="K59" s="165">
        <f t="shared" si="4"/>
        <v>0.11054055338598395</v>
      </c>
      <c r="L59" s="165">
        <f t="shared" si="4"/>
        <v>9.6091024640957923E-2</v>
      </c>
      <c r="M59" s="165">
        <f t="shared" si="4"/>
        <v>4.6167585250439423E-2</v>
      </c>
    </row>
    <row r="60" spans="1:15" x14ac:dyDescent="0.25">
      <c r="A60" s="195" t="s">
        <v>255</v>
      </c>
      <c r="B60" s="196">
        <f>SUM(B57:M57)</f>
        <v>6773969</v>
      </c>
    </row>
    <row r="61" spans="1:15" x14ac:dyDescent="0.25">
      <c r="A61" s="198" t="s">
        <v>256</v>
      </c>
      <c r="B61" s="196">
        <f>SUM(B58:M58)</f>
        <v>6099370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1.1106014227698926</v>
      </c>
      <c r="D62" s="152">
        <f>SUM(B46:E46)</f>
        <v>5.75</v>
      </c>
      <c r="E62" s="152">
        <f>SUM(B49:E49)</f>
        <v>4.8800000000000008</v>
      </c>
      <c r="G62" s="126">
        <f>SUM(B47:E47)</f>
        <v>20.5</v>
      </c>
      <c r="H62" s="126">
        <f>SUM(B50:E50)</f>
        <v>18.25</v>
      </c>
      <c r="J62" s="200">
        <f>AVERAGE(H46:K46)</f>
        <v>0.27032499999999998</v>
      </c>
      <c r="K62" s="200">
        <f>AVERAGE(H49:K49)</f>
        <v>0.2586</v>
      </c>
      <c r="M62" s="200">
        <f>AVERAGE(H47:K47)</f>
        <v>0.13792499999999999</v>
      </c>
      <c r="N62" s="200">
        <f>AVERAGE(H50:K50)</f>
        <v>0.13977499999999998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1.03</v>
      </c>
      <c r="C65" s="205">
        <f t="shared" si="5"/>
        <v>0.92</v>
      </c>
      <c r="D65" s="205">
        <f t="shared" si="5"/>
        <v>0.9</v>
      </c>
      <c r="E65" s="205">
        <f t="shared" si="5"/>
        <v>1.1200000000000001</v>
      </c>
      <c r="F65" s="206">
        <f>IF(ISNA(HLOOKUP(F$64*10+$A65,$81:$82,2,FALSE)),(HLOOKUP(E$64*10+$A65,$87:$94,4,FALSE)*$G65+$B$25)/HLOOKUP(E$64*10+$A65,$87:$94,5,FALSE)*$E65,HLOOKUP(F$64*10+$A65,$81:$82,2,FALSE))</f>
        <v>1.32</v>
      </c>
      <c r="G65" s="101">
        <f>MIN(130%,SUM($B$57:$D$57)/SUM($B$58:$D$58)*$G$69/HLOOKUP(E$64*10+$A65,$145:$146,2,FALSE))</f>
        <v>1.2170943399931153</v>
      </c>
      <c r="H65" s="204">
        <v>1</v>
      </c>
      <c r="I65" s="208">
        <f t="shared" ref="I65:M68" si="6">IF(ISNA(HLOOKUP(I$64*10+$H65,$145:$147,3,FALSE)),"",HLOOKUP(I$64*10+$H65,$145:$147,3,FALSE)/100)</f>
        <v>8.2599999999999993E-2</v>
      </c>
      <c r="J65" s="208">
        <f t="shared" si="6"/>
        <v>6.9099999999999995E-2</v>
      </c>
      <c r="K65" s="208">
        <f t="shared" si="6"/>
        <v>9.2100000000000015E-2</v>
      </c>
      <c r="L65" s="208">
        <f t="shared" si="6"/>
        <v>0.14230000000000001</v>
      </c>
      <c r="M65" s="209">
        <f t="shared" si="6"/>
        <v>0.14529999999999998</v>
      </c>
      <c r="N65" s="256">
        <f t="shared" ref="N65:O68" si="7">HLOOKUP(E$64*10+$A65,$87:$94,8,FALSE)</f>
        <v>-6286</v>
      </c>
      <c r="O65" s="256">
        <f t="shared" si="7"/>
        <v>-8633</v>
      </c>
      <c r="P65" s="210"/>
    </row>
    <row r="66" spans="1:71" x14ac:dyDescent="0.25">
      <c r="A66" s="204">
        <v>2</v>
      </c>
      <c r="B66" s="205">
        <f t="shared" si="5"/>
        <v>1</v>
      </c>
      <c r="C66" s="205">
        <f t="shared" si="5"/>
        <v>0.77</v>
      </c>
      <c r="D66" s="205">
        <f t="shared" si="5"/>
        <v>1.02</v>
      </c>
      <c r="E66" s="205">
        <f t="shared" si="5"/>
        <v>1.35</v>
      </c>
      <c r="F66" s="206">
        <f>IF(ISNA(HLOOKUP(F$64*10+$A66,$81:$82,2,FALSE)),(HLOOKUP(E$64*10+$A66,$87:$94,4,FALSE)*$G66+$B$25)/HLOOKUP(E$64*10+$A66,$87:$94,5,FALSE)*$E66,HLOOKUP(F$64*10+$A66,$81:$82,2,FALSE))</f>
        <v>1.44</v>
      </c>
      <c r="G66" s="101">
        <f>MIN(130%,SUM($B$57:$D$57)/SUM($B$58:$D$58)*$G$69/HLOOKUP(E$64*10+$A66,$145:$146,2,FALSE))</f>
        <v>1.1610957506620159</v>
      </c>
      <c r="H66" s="204">
        <v>2</v>
      </c>
      <c r="I66" s="208">
        <f t="shared" si="6"/>
        <v>8.5000000000000006E-2</v>
      </c>
      <c r="J66" s="208">
        <f t="shared" si="6"/>
        <v>6.8900000000000003E-2</v>
      </c>
      <c r="K66" s="208">
        <f t="shared" si="6"/>
        <v>0.10580000000000001</v>
      </c>
      <c r="L66" s="208">
        <f t="shared" si="6"/>
        <v>0.157</v>
      </c>
      <c r="M66" s="209">
        <f t="shared" si="6"/>
        <v>0.14499999999999999</v>
      </c>
      <c r="N66" s="256">
        <f t="shared" si="7"/>
        <v>15098</v>
      </c>
      <c r="O66" s="256">
        <f t="shared" si="7"/>
        <v>32773</v>
      </c>
      <c r="P66" s="210"/>
    </row>
    <row r="67" spans="1:71" x14ac:dyDescent="0.25">
      <c r="A67" s="204">
        <v>3</v>
      </c>
      <c r="B67" s="205">
        <f t="shared" si="5"/>
        <v>1.04</v>
      </c>
      <c r="C67" s="205">
        <f t="shared" si="5"/>
        <v>1.01</v>
      </c>
      <c r="D67" s="205">
        <f t="shared" si="5"/>
        <v>1.06</v>
      </c>
      <c r="E67" s="205">
        <f t="shared" si="5"/>
        <v>1.33</v>
      </c>
      <c r="F67" s="206">
        <f>IF(ISNA(HLOOKUP(F$64*10+$A67,$81:$82,2,FALSE)),(HLOOKUP(E$64*10+$A67,$87:$94,4,FALSE)*$G67+$B$25)/HLOOKUP(E$64*10+$A67,$87:$94,5,FALSE)*$E67,HLOOKUP(F$64*10+$A67,$81:$82,2,FALSE))</f>
        <v>1.56</v>
      </c>
      <c r="G67" s="101">
        <f>MIN(130%,SUM($B$57:$D$57)/SUM($B$58:$D$58)*$G$69/HLOOKUP(E$64*10+$A67,$145:$146,2,FALSE))</f>
        <v>1.1937059786924347</v>
      </c>
      <c r="H67" s="204">
        <v>3</v>
      </c>
      <c r="I67" s="208">
        <f t="shared" si="6"/>
        <v>8.09E-2</v>
      </c>
      <c r="J67" s="208">
        <f t="shared" si="6"/>
        <v>8.14E-2</v>
      </c>
      <c r="K67" s="208">
        <f t="shared" si="6"/>
        <v>7.6700000000000004E-2</v>
      </c>
      <c r="L67" s="208">
        <f t="shared" si="6"/>
        <v>0.1477</v>
      </c>
      <c r="M67" s="209">
        <f t="shared" si="6"/>
        <v>0.14460000000000001</v>
      </c>
      <c r="N67" s="256">
        <f t="shared" si="7"/>
        <v>9978</v>
      </c>
      <c r="O67" s="256">
        <f t="shared" si="7"/>
        <v>25697</v>
      </c>
      <c r="P67" s="210"/>
    </row>
    <row r="68" spans="1:71" x14ac:dyDescent="0.25">
      <c r="A68" s="204">
        <v>4</v>
      </c>
      <c r="B68" s="205">
        <f>HLOOKUP(B$64*10+$A68,$81:$82,2,FALSE)</f>
        <v>0.99</v>
      </c>
      <c r="C68" s="205">
        <f>HLOOKUP(C$64*10+$A68,$81:$82,2,FALSE)</f>
        <v>0.89</v>
      </c>
      <c r="D68" s="205">
        <f>HLOOKUP(D$64*10+$A68,$81:$82,2,FALSE)</f>
        <v>1.08</v>
      </c>
      <c r="E68" s="206">
        <f>IF(ISNA(HLOOKUP(E$64*10+$A68,$81:$82,2,FALSE)),D68*(1-$N68)*#REF!*(1+$B$25)/(1+$E$4),HLOOKUP(E$64*10+$A68,$81:$82,2,FALSE))</f>
        <v>1.43</v>
      </c>
      <c r="F68" s="206">
        <f>IF(ISNA(HLOOKUP(F$64*10+$A68,$81:$82,2,FALSE)),(HLOOKUP(E$64*10+$A68,$87:$94,4,FALSE)*$G68+$B$25)/HLOOKUP(E$64*10+$A68,$87:$94,5,FALSE)*$E68,HLOOKUP(F$64*10+$A68,$81:$82,2,FALSE))</f>
        <v>1.5002600737838359</v>
      </c>
      <c r="G68" s="101">
        <f>MIN(130%,SUM($B$57:$D$57)/SUM($B$58:$D$58)*$G$69/HLOOKUP(E$64*10+$A68,$145:$146,2,FALSE))</f>
        <v>1.2486155308626703</v>
      </c>
      <c r="H68" s="204">
        <v>4</v>
      </c>
      <c r="I68" s="208">
        <f t="shared" si="6"/>
        <v>8.5000000000000006E-2</v>
      </c>
      <c r="J68" s="208">
        <f t="shared" si="6"/>
        <v>7.0300000000000001E-2</v>
      </c>
      <c r="K68" s="208">
        <f t="shared" si="6"/>
        <v>0.11210000000000001</v>
      </c>
      <c r="L68" s="208">
        <f t="shared" si="6"/>
        <v>0.1168</v>
      </c>
      <c r="M68" s="209" t="str">
        <f t="shared" si="6"/>
        <v/>
      </c>
      <c r="N68" s="256">
        <f t="shared" si="7"/>
        <v>58143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4.0600000000000005</v>
      </c>
      <c r="C69" s="213">
        <f>SUM(C65:C68)</f>
        <v>3.5900000000000003</v>
      </c>
      <c r="D69" s="213">
        <f>SUM(D65:D68)</f>
        <v>4.0600000000000005</v>
      </c>
      <c r="E69" s="213">
        <f>SUM(E65:E68)</f>
        <v>5.23</v>
      </c>
      <c r="F69" s="213">
        <f>SUM(F65:F68)</f>
        <v>5.8202600737838361</v>
      </c>
      <c r="G69" s="257">
        <f>_xlfn.FORECAST.ETS(23,B146:W146,{1,2,3,4,5,6,7,8,9,10,11,12,13,14,15,16,17,18,19,20,21,22})</f>
        <v>28.409277961580216</v>
      </c>
      <c r="H69" s="214" t="s">
        <v>19</v>
      </c>
      <c r="I69" s="215">
        <f>HLOOKUP(I64,151:155,3,FALSE)/100</f>
        <v>8.3400000000000002E-2</v>
      </c>
      <c r="J69" s="215">
        <f>HLOOKUP(J64,151:155,3,FALSE)/100</f>
        <v>7.2599999999999998E-2</v>
      </c>
      <c r="K69" s="215">
        <f>HLOOKUP(K64,151:155,3,FALSE)/100</f>
        <v>9.6600000000000005E-2</v>
      </c>
      <c r="L69" s="215">
        <f>IF(ISNA(HLOOKUP(L64,151:155,3,FALSE)/100),AVERAGE(L65:L68),HLOOKUP(L64,151:155,3,FALSE)/100)</f>
        <v>0.1404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4.01</v>
      </c>
      <c r="C72" s="205">
        <f t="shared" si="8"/>
        <v>3.44</v>
      </c>
      <c r="D72" s="205">
        <f t="shared" si="8"/>
        <v>3.5</v>
      </c>
      <c r="E72" s="205">
        <f t="shared" si="8"/>
        <v>4.12</v>
      </c>
      <c r="F72" s="205">
        <f t="shared" si="8"/>
        <v>4.59</v>
      </c>
    </row>
    <row r="73" spans="1:71" s="135" customFormat="1" x14ac:dyDescent="0.25">
      <c r="A73" s="204">
        <v>2</v>
      </c>
      <c r="B73" s="205">
        <f t="shared" si="8"/>
        <v>3.97</v>
      </c>
      <c r="C73" s="205">
        <f t="shared" si="8"/>
        <v>3.23</v>
      </c>
      <c r="D73" s="205">
        <f t="shared" si="8"/>
        <v>4.0199999999999996</v>
      </c>
      <c r="E73" s="205">
        <f t="shared" si="8"/>
        <v>5.0199999999999996</v>
      </c>
      <c r="F73" s="205">
        <f t="shared" si="8"/>
        <v>5.12</v>
      </c>
    </row>
    <row r="74" spans="1:71" s="135" customFormat="1" x14ac:dyDescent="0.25">
      <c r="A74" s="204">
        <v>3</v>
      </c>
      <c r="B74" s="205">
        <f t="shared" si="8"/>
        <v>4.17</v>
      </c>
      <c r="C74" s="205">
        <f t="shared" si="8"/>
        <v>4.24</v>
      </c>
      <c r="D74" s="205">
        <f t="shared" si="8"/>
        <v>4.24</v>
      </c>
      <c r="E74" s="205">
        <f t="shared" si="8"/>
        <v>4.99</v>
      </c>
      <c r="F74" s="205">
        <f t="shared" si="8"/>
        <v>5.63</v>
      </c>
    </row>
    <row r="75" spans="1:71" s="135" customFormat="1" x14ac:dyDescent="0.25">
      <c r="A75" s="204">
        <v>4</v>
      </c>
      <c r="B75" s="205">
        <f t="shared" si="8"/>
        <v>3.82</v>
      </c>
      <c r="C75" s="205">
        <f t="shared" si="8"/>
        <v>3.59</v>
      </c>
      <c r="D75" s="205">
        <f t="shared" si="8"/>
        <v>4.12</v>
      </c>
      <c r="E75" s="205">
        <f t="shared" si="8"/>
        <v>5.16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15.97</v>
      </c>
      <c r="C76" s="213">
        <f>SUM(C72:C75)</f>
        <v>14.5</v>
      </c>
      <c r="D76" s="213">
        <f>SUM(D72:D75)</f>
        <v>15.879999999999999</v>
      </c>
      <c r="E76" s="213">
        <f>AVERAGE(E72:E75)*4</f>
        <v>19.29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484081</v>
      </c>
      <c r="C79" s="270">
        <v>611804</v>
      </c>
      <c r="D79" s="270">
        <v>571885</v>
      </c>
      <c r="E79" s="270">
        <v>584581</v>
      </c>
      <c r="F79" s="270">
        <v>553505</v>
      </c>
      <c r="G79" s="270">
        <v>540358</v>
      </c>
      <c r="H79" s="270">
        <v>553144</v>
      </c>
      <c r="I79" s="270">
        <v>546153</v>
      </c>
      <c r="J79" s="270">
        <v>518501</v>
      </c>
      <c r="K79" s="270">
        <v>547569</v>
      </c>
      <c r="L79" s="270">
        <v>522533</v>
      </c>
      <c r="M79" s="270">
        <v>490731</v>
      </c>
      <c r="N79" s="270">
        <v>565277</v>
      </c>
      <c r="O79" s="270">
        <v>436651</v>
      </c>
      <c r="P79" s="270">
        <v>574963</v>
      </c>
      <c r="Q79" s="270">
        <v>519063</v>
      </c>
      <c r="R79" s="270">
        <v>558431</v>
      </c>
      <c r="S79" s="270">
        <v>562819</v>
      </c>
      <c r="T79" s="270">
        <v>596099</v>
      </c>
      <c r="U79" s="270">
        <v>591601</v>
      </c>
      <c r="V79" s="270">
        <v>592580</v>
      </c>
      <c r="W79" s="270">
        <v>550668</v>
      </c>
      <c r="X79" s="270">
        <v>539570</v>
      </c>
      <c r="Y79" s="270">
        <v>629238</v>
      </c>
      <c r="Z79" s="270">
        <v>593444</v>
      </c>
      <c r="AA79" s="270">
        <v>565262</v>
      </c>
      <c r="AB79" s="270">
        <v>590912</v>
      </c>
      <c r="AC79" s="270">
        <v>596746</v>
      </c>
      <c r="AD79" s="270">
        <v>585464</v>
      </c>
      <c r="AE79" s="270">
        <v>604900</v>
      </c>
      <c r="AF79" s="270">
        <v>609034</v>
      </c>
      <c r="AG79" s="270">
        <v>712020</v>
      </c>
      <c r="AH79" s="270">
        <v>624577</v>
      </c>
      <c r="AI79" s="270">
        <v>603940</v>
      </c>
      <c r="AJ79" s="270">
        <v>611053</v>
      </c>
      <c r="AK79" s="270">
        <v>586349</v>
      </c>
      <c r="AL79" s="270">
        <v>586035</v>
      </c>
      <c r="AM79" s="270">
        <v>416772</v>
      </c>
      <c r="AN79" s="270">
        <v>623115</v>
      </c>
      <c r="AO79" s="270">
        <v>600467</v>
      </c>
      <c r="AP79" s="270">
        <v>524598</v>
      </c>
      <c r="AQ79" s="270">
        <v>555922</v>
      </c>
      <c r="AR79" s="270">
        <v>550286</v>
      </c>
      <c r="AS79" s="270">
        <v>528223</v>
      </c>
      <c r="AT79" s="270">
        <v>554952</v>
      </c>
      <c r="AU79" s="270">
        <v>524141</v>
      </c>
      <c r="AV79" s="270">
        <v>528531</v>
      </c>
      <c r="AW79" s="270">
        <v>505094</v>
      </c>
      <c r="AX79" s="270">
        <v>504964</v>
      </c>
      <c r="AY79" s="270">
        <v>410029</v>
      </c>
      <c r="AZ79" s="270">
        <v>556516</v>
      </c>
      <c r="BA79" s="270">
        <v>497682</v>
      </c>
      <c r="BB79" s="270">
        <v>517307</v>
      </c>
      <c r="BC79" s="270">
        <v>496345</v>
      </c>
      <c r="BD79" s="270">
        <v>495929</v>
      </c>
      <c r="BE79" s="270">
        <v>521248</v>
      </c>
      <c r="BF79" s="270">
        <v>513317</v>
      </c>
      <c r="BG79" s="270">
        <v>552408</v>
      </c>
      <c r="BH79" s="270">
        <v>552932</v>
      </c>
      <c r="BI79" s="270">
        <v>553629</v>
      </c>
      <c r="BJ79" s="270">
        <v>560783</v>
      </c>
      <c r="BK79" s="270">
        <v>532694</v>
      </c>
      <c r="BL79" s="270">
        <v>605752</v>
      </c>
      <c r="BM79" s="270">
        <v>541991</v>
      </c>
      <c r="BN79" s="270">
        <v>562630</v>
      </c>
      <c r="BO79" s="270">
        <v>525446</v>
      </c>
      <c r="BP79" s="270">
        <v>533705</v>
      </c>
      <c r="BQ79" s="270">
        <v>605394</v>
      </c>
      <c r="BR79" s="270">
        <v>620706</v>
      </c>
      <c r="BS79" s="270">
        <v>578307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1.03</v>
      </c>
      <c r="C82" s="72">
        <v>1.0900000000000001</v>
      </c>
      <c r="D82" s="72">
        <v>0.96</v>
      </c>
      <c r="E82" s="72">
        <v>0.98</v>
      </c>
      <c r="F82" s="72">
        <v>1.03</v>
      </c>
      <c r="G82" s="72">
        <v>1</v>
      </c>
      <c r="H82" s="72">
        <v>1.04</v>
      </c>
      <c r="I82" s="72">
        <v>0.99</v>
      </c>
      <c r="J82" s="72">
        <v>0.92</v>
      </c>
      <c r="K82" s="72">
        <v>0.77</v>
      </c>
      <c r="L82" s="72">
        <v>1.01</v>
      </c>
      <c r="M82" s="72">
        <v>0.89</v>
      </c>
      <c r="N82" s="72">
        <v>0.9</v>
      </c>
      <c r="O82" s="72">
        <v>1.02</v>
      </c>
      <c r="P82" s="72">
        <v>1.06</v>
      </c>
      <c r="Q82" s="72">
        <v>1.08</v>
      </c>
      <c r="R82" s="72">
        <v>1.1200000000000001</v>
      </c>
      <c r="S82" s="72">
        <v>1.35</v>
      </c>
      <c r="T82" s="72">
        <v>1.33</v>
      </c>
      <c r="U82" s="72">
        <v>1.43</v>
      </c>
      <c r="V82" s="72">
        <v>1.32</v>
      </c>
      <c r="W82" s="72">
        <v>1.44</v>
      </c>
      <c r="X82" s="72">
        <v>1.56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24.93</v>
      </c>
      <c r="C85" s="72">
        <v>23.44</v>
      </c>
      <c r="D85" s="72">
        <v>24.36</v>
      </c>
      <c r="E85" s="72">
        <v>25.35</v>
      </c>
      <c r="F85" s="72">
        <v>26.21</v>
      </c>
      <c r="G85" s="72">
        <v>24.24</v>
      </c>
      <c r="H85" s="72">
        <v>25.24</v>
      </c>
      <c r="I85" s="72">
        <v>26.45</v>
      </c>
      <c r="J85" s="72">
        <v>27.35</v>
      </c>
      <c r="K85" s="72">
        <v>26.12</v>
      </c>
      <c r="L85" s="72">
        <v>24.39</v>
      </c>
      <c r="M85" s="72">
        <v>25.37</v>
      </c>
      <c r="N85" s="72">
        <v>26.23</v>
      </c>
      <c r="O85" s="72">
        <v>24.58</v>
      </c>
      <c r="P85" s="72">
        <v>25.85</v>
      </c>
      <c r="Q85" s="72">
        <v>26.76</v>
      </c>
      <c r="R85" s="72">
        <v>27.8</v>
      </c>
      <c r="S85" s="72">
        <v>26.03</v>
      </c>
      <c r="T85" s="72">
        <v>27.22</v>
      </c>
      <c r="U85" s="72">
        <v>28.34</v>
      </c>
      <c r="V85" s="72">
        <v>29.35</v>
      </c>
      <c r="W85" s="72">
        <v>26.88</v>
      </c>
      <c r="X85" s="72">
        <v>28.49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1729963</v>
      </c>
      <c r="C88" s="273">
        <v>1754654</v>
      </c>
      <c r="D88" s="273">
        <v>1694378</v>
      </c>
      <c r="E88" s="273">
        <v>1639950</v>
      </c>
      <c r="F88" s="273">
        <v>1577084</v>
      </c>
      <c r="G88" s="273">
        <v>1639769</v>
      </c>
      <c r="H88" s="273">
        <v>1780550</v>
      </c>
      <c r="I88" s="273">
        <v>1719140</v>
      </c>
      <c r="J88" s="273">
        <v>1749982</v>
      </c>
      <c r="K88" s="273">
        <v>1786555</v>
      </c>
      <c r="L88" s="273">
        <v>1945534</v>
      </c>
      <c r="M88" s="273">
        <v>1801244</v>
      </c>
      <c r="N88" s="273">
        <v>1625921</v>
      </c>
      <c r="O88" s="273">
        <v>1680987</v>
      </c>
      <c r="P88" s="273">
        <v>1633461</v>
      </c>
      <c r="Q88" s="273">
        <v>1557766</v>
      </c>
      <c r="R88" s="273">
        <v>1471508</v>
      </c>
      <c r="S88" s="273">
        <v>1511335</v>
      </c>
      <c r="T88" s="273">
        <v>1530494</v>
      </c>
      <c r="U88" s="273">
        <v>1663398</v>
      </c>
      <c r="V88" s="273">
        <v>1699230</v>
      </c>
      <c r="W88" s="273">
        <v>1630066</v>
      </c>
      <c r="X88" s="273">
        <v>1759805</v>
      </c>
    </row>
    <row r="89" spans="1:25" ht="14.25" thickBot="1" x14ac:dyDescent="0.3">
      <c r="A89" s="250" t="s">
        <v>4</v>
      </c>
      <c r="B89" s="275">
        <v>277869</v>
      </c>
      <c r="C89" s="275">
        <v>264874</v>
      </c>
      <c r="D89" s="275">
        <v>286574</v>
      </c>
      <c r="E89" s="275">
        <v>270487</v>
      </c>
      <c r="F89" s="275">
        <v>257972</v>
      </c>
      <c r="G89" s="275">
        <v>272791</v>
      </c>
      <c r="H89" s="275">
        <v>287844</v>
      </c>
      <c r="I89" s="275">
        <v>311418</v>
      </c>
      <c r="J89" s="275">
        <v>260280</v>
      </c>
      <c r="K89" s="275">
        <v>282141</v>
      </c>
      <c r="L89" s="275">
        <v>341790</v>
      </c>
      <c r="M89" s="275">
        <v>284581</v>
      </c>
      <c r="N89" s="275">
        <v>312819</v>
      </c>
      <c r="O89" s="275">
        <v>358169</v>
      </c>
      <c r="P89" s="275">
        <v>302825</v>
      </c>
      <c r="Q89" s="275">
        <v>342970</v>
      </c>
      <c r="R89" s="275">
        <v>390501</v>
      </c>
      <c r="S89" s="275">
        <v>420524</v>
      </c>
      <c r="T89" s="275">
        <v>414162</v>
      </c>
      <c r="U89" s="275">
        <v>430303</v>
      </c>
      <c r="V89" s="275">
        <v>454102</v>
      </c>
      <c r="W89" s="275">
        <v>452423</v>
      </c>
      <c r="X89" s="275">
        <v>489001</v>
      </c>
    </row>
    <row r="90" spans="1:25" ht="14.25" thickBot="1" x14ac:dyDescent="0.3">
      <c r="A90" s="251" t="s">
        <v>5</v>
      </c>
      <c r="B90" s="273">
        <v>165227</v>
      </c>
      <c r="C90" s="273">
        <v>134611</v>
      </c>
      <c r="D90" s="273">
        <v>156217</v>
      </c>
      <c r="E90" s="273">
        <v>126165</v>
      </c>
      <c r="F90" s="273">
        <v>130264</v>
      </c>
      <c r="G90" s="273">
        <v>139304</v>
      </c>
      <c r="H90" s="273">
        <v>144126</v>
      </c>
      <c r="I90" s="273">
        <v>146133</v>
      </c>
      <c r="J90" s="273">
        <v>120890</v>
      </c>
      <c r="K90" s="273">
        <v>123086</v>
      </c>
      <c r="L90" s="273">
        <v>158452</v>
      </c>
      <c r="M90" s="273">
        <v>126645</v>
      </c>
      <c r="N90" s="273">
        <v>149786</v>
      </c>
      <c r="O90" s="273">
        <v>177770</v>
      </c>
      <c r="P90" s="273">
        <v>125273</v>
      </c>
      <c r="Q90" s="273">
        <v>174577</v>
      </c>
      <c r="R90" s="273">
        <v>209420</v>
      </c>
      <c r="S90" s="273">
        <v>237309</v>
      </c>
      <c r="T90" s="273">
        <v>226053</v>
      </c>
      <c r="U90" s="273">
        <v>194244</v>
      </c>
      <c r="V90" s="273">
        <v>246865</v>
      </c>
      <c r="W90" s="273">
        <v>236427</v>
      </c>
      <c r="X90" s="273">
        <v>254403</v>
      </c>
    </row>
    <row r="91" spans="1:25" ht="14.25" thickBot="1" x14ac:dyDescent="0.3">
      <c r="A91" s="250" t="s">
        <v>6</v>
      </c>
      <c r="B91" s="275">
        <v>165360</v>
      </c>
      <c r="C91" s="275">
        <v>180986</v>
      </c>
      <c r="D91" s="275">
        <v>154350</v>
      </c>
      <c r="E91" s="275">
        <v>159320</v>
      </c>
      <c r="F91" s="275">
        <v>163493</v>
      </c>
      <c r="G91" s="275">
        <v>168889</v>
      </c>
      <c r="H91" s="275">
        <v>164499</v>
      </c>
      <c r="I91" s="275">
        <v>159048</v>
      </c>
      <c r="J91" s="275">
        <v>147197</v>
      </c>
      <c r="K91" s="275">
        <v>138537</v>
      </c>
      <c r="L91" s="275">
        <v>183412</v>
      </c>
      <c r="M91" s="275">
        <v>154533</v>
      </c>
      <c r="N91" s="275">
        <v>162351</v>
      </c>
      <c r="O91" s="275">
        <v>188727</v>
      </c>
      <c r="P91" s="275">
        <v>191612</v>
      </c>
      <c r="Q91" s="275">
        <v>201225</v>
      </c>
      <c r="R91" s="275">
        <v>203134</v>
      </c>
      <c r="S91" s="275">
        <v>252407</v>
      </c>
      <c r="T91" s="275">
        <v>236031</v>
      </c>
      <c r="U91" s="275">
        <v>252387</v>
      </c>
      <c r="V91" s="275">
        <v>238232</v>
      </c>
      <c r="W91" s="275">
        <v>269200</v>
      </c>
      <c r="X91" s="275">
        <v>280100</v>
      </c>
    </row>
    <row r="92" spans="1:25" ht="14.25" thickBot="1" x14ac:dyDescent="0.3">
      <c r="A92" s="251" t="s">
        <v>7</v>
      </c>
      <c r="B92" s="273">
        <v>137734</v>
      </c>
      <c r="C92" s="273">
        <v>145178</v>
      </c>
      <c r="D92" s="273">
        <v>128264</v>
      </c>
      <c r="E92" s="273">
        <v>131438</v>
      </c>
      <c r="F92" s="273">
        <v>137876</v>
      </c>
      <c r="G92" s="273">
        <v>133710</v>
      </c>
      <c r="H92" s="273">
        <v>137592</v>
      </c>
      <c r="I92" s="273">
        <v>131972</v>
      </c>
      <c r="J92" s="273">
        <v>123447</v>
      </c>
      <c r="K92" s="273">
        <v>115194</v>
      </c>
      <c r="L92" s="273">
        <v>151603</v>
      </c>
      <c r="M92" s="273">
        <v>134011</v>
      </c>
      <c r="N92" s="273">
        <v>135634</v>
      </c>
      <c r="O92" s="273">
        <v>153204</v>
      </c>
      <c r="P92" s="273">
        <v>160331</v>
      </c>
      <c r="Q92" s="273">
        <v>162739</v>
      </c>
      <c r="R92" s="273">
        <v>168397</v>
      </c>
      <c r="S92" s="273">
        <v>202586</v>
      </c>
      <c r="T92" s="273">
        <v>199300</v>
      </c>
      <c r="U92" s="273">
        <v>214910</v>
      </c>
      <c r="V92" s="273">
        <v>198572</v>
      </c>
      <c r="W92" s="273">
        <v>216034</v>
      </c>
      <c r="X92" s="273">
        <v>234007</v>
      </c>
    </row>
    <row r="93" spans="1:25" ht="26.25" thickBot="1" x14ac:dyDescent="0.3">
      <c r="A93" s="252" t="s">
        <v>8</v>
      </c>
      <c r="B93" s="276">
        <v>137734</v>
      </c>
      <c r="C93" s="276">
        <v>145178</v>
      </c>
      <c r="D93" s="276">
        <v>128264</v>
      </c>
      <c r="E93" s="276">
        <v>131438</v>
      </c>
      <c r="F93" s="276">
        <v>137876</v>
      </c>
      <c r="G93" s="276">
        <v>133710</v>
      </c>
      <c r="H93" s="276">
        <v>137592</v>
      </c>
      <c r="I93" s="276">
        <v>131972</v>
      </c>
      <c r="J93" s="276">
        <v>123447</v>
      </c>
      <c r="K93" s="276">
        <v>115194</v>
      </c>
      <c r="L93" s="276">
        <v>151603</v>
      </c>
      <c r="M93" s="276">
        <v>134011</v>
      </c>
      <c r="N93" s="276">
        <v>135634</v>
      </c>
      <c r="O93" s="276">
        <v>153204</v>
      </c>
      <c r="P93" s="276">
        <v>160331</v>
      </c>
      <c r="Q93" s="276">
        <v>162739</v>
      </c>
      <c r="R93" s="276">
        <v>168397</v>
      </c>
      <c r="S93" s="276">
        <v>202586</v>
      </c>
      <c r="T93" s="276">
        <v>199300</v>
      </c>
      <c r="U93" s="276">
        <v>214910</v>
      </c>
      <c r="V93" s="276">
        <v>198572</v>
      </c>
      <c r="W93" s="276">
        <v>216034</v>
      </c>
      <c r="X93" s="276">
        <v>234007</v>
      </c>
    </row>
    <row r="94" spans="1:25" x14ac:dyDescent="0.25">
      <c r="A94" s="233" t="s">
        <v>365</v>
      </c>
      <c r="B94" s="253">
        <f>IF(B91="","",B91-B90)</f>
        <v>133</v>
      </c>
      <c r="C94" s="253">
        <f>IF(C91="","",C91-C90)</f>
        <v>46375</v>
      </c>
      <c r="D94" s="253">
        <f t="shared" ref="D94:Y94" si="9">IF(D91="","",D91-D90)</f>
        <v>-1867</v>
      </c>
      <c r="E94" s="253">
        <f t="shared" si="9"/>
        <v>33155</v>
      </c>
      <c r="F94" s="253">
        <f t="shared" si="9"/>
        <v>33229</v>
      </c>
      <c r="G94" s="253">
        <f t="shared" si="9"/>
        <v>29585</v>
      </c>
      <c r="H94" s="253">
        <f t="shared" si="9"/>
        <v>20373</v>
      </c>
      <c r="I94" s="253">
        <f t="shared" si="9"/>
        <v>12915</v>
      </c>
      <c r="J94" s="253">
        <f t="shared" si="9"/>
        <v>26307</v>
      </c>
      <c r="K94" s="253">
        <f t="shared" si="9"/>
        <v>15451</v>
      </c>
      <c r="L94" s="253">
        <f t="shared" si="9"/>
        <v>24960</v>
      </c>
      <c r="M94" s="253">
        <f t="shared" si="9"/>
        <v>27888</v>
      </c>
      <c r="N94" s="253">
        <f t="shared" si="9"/>
        <v>12565</v>
      </c>
      <c r="O94" s="253">
        <f t="shared" si="9"/>
        <v>10957</v>
      </c>
      <c r="P94" s="253">
        <f t="shared" si="9"/>
        <v>66339</v>
      </c>
      <c r="Q94" s="253">
        <f t="shared" si="9"/>
        <v>26648</v>
      </c>
      <c r="R94" s="253">
        <f t="shared" si="9"/>
        <v>-6286</v>
      </c>
      <c r="S94" s="253">
        <f t="shared" si="9"/>
        <v>15098</v>
      </c>
      <c r="T94" s="253">
        <f t="shared" si="9"/>
        <v>9978</v>
      </c>
      <c r="U94" s="253">
        <f t="shared" si="9"/>
        <v>58143</v>
      </c>
      <c r="V94" s="253">
        <f t="shared" si="9"/>
        <v>-8633</v>
      </c>
      <c r="W94" s="253">
        <f t="shared" si="9"/>
        <v>32773</v>
      </c>
      <c r="X94" s="253">
        <f t="shared" si="9"/>
        <v>25697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6818945</v>
      </c>
      <c r="C97" s="273">
        <v>6716622</v>
      </c>
      <c r="D97" s="273">
        <v>7283315</v>
      </c>
      <c r="E97" s="273">
        <v>6498135</v>
      </c>
      <c r="F97" s="273">
        <v>6176735</v>
      </c>
    </row>
    <row r="98" spans="1:24" ht="14.25" thickBot="1" x14ac:dyDescent="0.3">
      <c r="A98" s="225" t="s">
        <v>4</v>
      </c>
      <c r="B98" s="275">
        <v>1099804</v>
      </c>
      <c r="C98" s="275">
        <v>1119782</v>
      </c>
      <c r="D98" s="275">
        <v>1176763</v>
      </c>
      <c r="E98" s="275">
        <v>1316783</v>
      </c>
      <c r="F98" s="275">
        <v>1655490</v>
      </c>
    </row>
    <row r="99" spans="1:24" ht="14.25" thickBot="1" x14ac:dyDescent="0.3">
      <c r="A99" s="224" t="s">
        <v>5</v>
      </c>
      <c r="B99" s="273">
        <v>582220</v>
      </c>
      <c r="C99" s="273">
        <v>559906</v>
      </c>
      <c r="D99" s="273">
        <v>529073</v>
      </c>
      <c r="E99" s="273">
        <v>627406</v>
      </c>
      <c r="F99" s="273">
        <v>867026</v>
      </c>
    </row>
    <row r="100" spans="1:24" ht="14.25" thickBot="1" x14ac:dyDescent="0.3">
      <c r="A100" s="225" t="s">
        <v>6</v>
      </c>
      <c r="B100" s="275">
        <v>660016</v>
      </c>
      <c r="C100" s="275">
        <v>655929</v>
      </c>
      <c r="D100" s="275">
        <v>623679</v>
      </c>
      <c r="E100" s="275">
        <v>743915</v>
      </c>
      <c r="F100" s="275">
        <v>943959</v>
      </c>
    </row>
    <row r="101" spans="1:24" ht="14.25" thickBot="1" x14ac:dyDescent="0.3">
      <c r="A101" s="224" t="s">
        <v>7</v>
      </c>
      <c r="B101" s="273">
        <v>542614</v>
      </c>
      <c r="C101" s="273">
        <v>541150</v>
      </c>
      <c r="D101" s="273">
        <v>524255</v>
      </c>
      <c r="E101" s="273">
        <v>611908</v>
      </c>
      <c r="F101" s="273">
        <v>785193</v>
      </c>
    </row>
    <row r="102" spans="1:24" ht="14.25" thickBot="1" x14ac:dyDescent="0.3">
      <c r="A102" s="227" t="s">
        <v>8</v>
      </c>
      <c r="B102" s="276">
        <v>542614</v>
      </c>
      <c r="C102" s="276">
        <v>541150</v>
      </c>
      <c r="D102" s="276">
        <v>524255</v>
      </c>
      <c r="E102" s="276">
        <v>611908</v>
      </c>
      <c r="F102" s="276">
        <v>785193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136622</v>
      </c>
      <c r="C106" s="273">
        <v>78886</v>
      </c>
      <c r="D106" s="273">
        <v>101848</v>
      </c>
      <c r="E106" s="273">
        <v>118553</v>
      </c>
      <c r="F106" s="273">
        <v>130319</v>
      </c>
      <c r="G106" s="273">
        <v>154193</v>
      </c>
      <c r="H106" s="273">
        <v>140679</v>
      </c>
      <c r="I106" s="273">
        <v>128960</v>
      </c>
      <c r="J106" s="273">
        <v>112422</v>
      </c>
      <c r="K106" s="273">
        <v>119502</v>
      </c>
      <c r="L106" s="273">
        <v>162025</v>
      </c>
      <c r="M106" s="273">
        <v>165488</v>
      </c>
      <c r="N106" s="273">
        <v>430435</v>
      </c>
      <c r="O106" s="273">
        <v>459804</v>
      </c>
      <c r="P106" s="273">
        <v>390993</v>
      </c>
      <c r="Q106" s="273">
        <v>710796</v>
      </c>
      <c r="R106" s="273">
        <v>711098</v>
      </c>
      <c r="S106" s="273">
        <v>850208</v>
      </c>
      <c r="T106" s="273">
        <v>859973</v>
      </c>
      <c r="U106" s="273">
        <v>984154</v>
      </c>
      <c r="V106" s="273">
        <v>1068635</v>
      </c>
      <c r="W106" s="273">
        <v>1110119</v>
      </c>
      <c r="X106" s="273">
        <v>802321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1080485</v>
      </c>
      <c r="C108" s="273">
        <v>1078155</v>
      </c>
      <c r="D108" s="273">
        <v>1082442</v>
      </c>
      <c r="E108" s="273">
        <v>1020351</v>
      </c>
      <c r="F108" s="273">
        <v>1001873</v>
      </c>
      <c r="G108" s="273">
        <v>1072764</v>
      </c>
      <c r="H108" s="273">
        <v>1124260</v>
      </c>
      <c r="I108" s="273">
        <v>1090877</v>
      </c>
      <c r="J108" s="273">
        <v>1079315</v>
      </c>
      <c r="K108" s="273">
        <v>1081397</v>
      </c>
      <c r="L108" s="273">
        <v>1148707</v>
      </c>
      <c r="M108" s="273">
        <v>1023045</v>
      </c>
      <c r="N108" s="273">
        <v>938110</v>
      </c>
      <c r="O108" s="273">
        <v>921916</v>
      </c>
      <c r="P108" s="273">
        <v>976003</v>
      </c>
      <c r="Q108" s="273">
        <v>862008</v>
      </c>
      <c r="R108" s="273">
        <v>866575</v>
      </c>
      <c r="S108" s="273">
        <v>902098</v>
      </c>
      <c r="T108" s="273">
        <v>920493</v>
      </c>
      <c r="U108" s="273">
        <v>1003083</v>
      </c>
      <c r="V108" s="273">
        <v>925198</v>
      </c>
      <c r="W108" s="273">
        <v>912672</v>
      </c>
      <c r="X108" s="273">
        <v>954780</v>
      </c>
    </row>
    <row r="109" spans="1:24" ht="14.25" thickBot="1" x14ac:dyDescent="0.3">
      <c r="A109" s="225" t="s">
        <v>264</v>
      </c>
      <c r="B109" s="275">
        <v>728612</v>
      </c>
      <c r="C109" s="275">
        <v>815975</v>
      </c>
      <c r="D109" s="275">
        <v>888728</v>
      </c>
      <c r="E109" s="275">
        <v>799371</v>
      </c>
      <c r="F109" s="275">
        <v>820813</v>
      </c>
      <c r="G109" s="275">
        <v>755816</v>
      </c>
      <c r="H109" s="275">
        <v>818938</v>
      </c>
      <c r="I109" s="275">
        <v>1004093</v>
      </c>
      <c r="J109" s="275">
        <v>901840</v>
      </c>
      <c r="K109" s="275">
        <v>968589</v>
      </c>
      <c r="L109" s="275">
        <v>914214</v>
      </c>
      <c r="M109" s="275">
        <v>918740</v>
      </c>
      <c r="N109" s="275">
        <v>801856</v>
      </c>
      <c r="O109" s="275">
        <v>859606</v>
      </c>
      <c r="P109" s="275">
        <v>677967</v>
      </c>
      <c r="Q109" s="275">
        <v>643377</v>
      </c>
      <c r="R109" s="275">
        <v>634155</v>
      </c>
      <c r="S109" s="275">
        <v>655141</v>
      </c>
      <c r="T109" s="275">
        <v>644725</v>
      </c>
      <c r="U109" s="275">
        <v>632692</v>
      </c>
      <c r="V109" s="275">
        <v>788860</v>
      </c>
      <c r="W109" s="275">
        <v>731183</v>
      </c>
      <c r="X109" s="275">
        <v>599602</v>
      </c>
    </row>
    <row r="110" spans="1:24" ht="14.25" thickBot="1" x14ac:dyDescent="0.3">
      <c r="A110" s="224" t="s">
        <v>23</v>
      </c>
      <c r="B110" s="273">
        <v>107377</v>
      </c>
      <c r="C110" s="273">
        <v>89180</v>
      </c>
      <c r="D110" s="273">
        <v>59695</v>
      </c>
      <c r="E110" s="273">
        <v>46089</v>
      </c>
      <c r="F110" s="273">
        <v>39067</v>
      </c>
      <c r="G110" s="273">
        <v>42750</v>
      </c>
      <c r="H110" s="273">
        <v>101094</v>
      </c>
      <c r="I110" s="273">
        <v>65826</v>
      </c>
      <c r="J110" s="273">
        <v>136845</v>
      </c>
      <c r="K110" s="273">
        <v>70246</v>
      </c>
      <c r="L110" s="273">
        <v>107795</v>
      </c>
      <c r="M110" s="273">
        <v>60587</v>
      </c>
      <c r="N110" s="273">
        <v>42291</v>
      </c>
      <c r="O110" s="273">
        <v>65285</v>
      </c>
      <c r="P110" s="273">
        <v>56517</v>
      </c>
      <c r="Q110" s="273">
        <v>39680</v>
      </c>
      <c r="R110" s="273">
        <v>55599</v>
      </c>
      <c r="S110" s="273">
        <v>62101</v>
      </c>
      <c r="T110" s="273">
        <v>54972</v>
      </c>
      <c r="U110" s="273">
        <v>52795</v>
      </c>
      <c r="V110" s="273">
        <v>53759</v>
      </c>
      <c r="W110" s="273">
        <v>57582</v>
      </c>
      <c r="X110" s="273">
        <v>57767</v>
      </c>
    </row>
    <row r="111" spans="1:24" ht="14.25" thickBot="1" x14ac:dyDescent="0.3">
      <c r="A111" s="225" t="s">
        <v>24</v>
      </c>
      <c r="B111" s="275">
        <v>2053096</v>
      </c>
      <c r="C111" s="275">
        <v>2062196</v>
      </c>
      <c r="D111" s="275">
        <v>2132713</v>
      </c>
      <c r="E111" s="275">
        <v>1984364</v>
      </c>
      <c r="F111" s="275">
        <v>1992072</v>
      </c>
      <c r="G111" s="275">
        <v>2025523</v>
      </c>
      <c r="H111" s="275">
        <v>2184971</v>
      </c>
      <c r="I111" s="275">
        <v>2289756</v>
      </c>
      <c r="J111" s="275">
        <v>2230422</v>
      </c>
      <c r="K111" s="275">
        <v>2239734</v>
      </c>
      <c r="L111" s="275">
        <v>2332741</v>
      </c>
      <c r="M111" s="275">
        <v>2167860</v>
      </c>
      <c r="N111" s="275">
        <v>2212692</v>
      </c>
      <c r="O111" s="275">
        <v>2306611</v>
      </c>
      <c r="P111" s="275">
        <v>2101480</v>
      </c>
      <c r="Q111" s="275">
        <v>2255861</v>
      </c>
      <c r="R111" s="275">
        <v>2267427</v>
      </c>
      <c r="S111" s="275">
        <v>2469548</v>
      </c>
      <c r="T111" s="275">
        <v>2480163</v>
      </c>
      <c r="U111" s="275">
        <v>2672724</v>
      </c>
      <c r="V111" s="275">
        <v>2836452</v>
      </c>
      <c r="W111" s="275">
        <v>2811556</v>
      </c>
      <c r="X111" s="275">
        <v>2414470</v>
      </c>
    </row>
    <row r="112" spans="1:24" ht="14.25" thickBot="1" x14ac:dyDescent="0.3">
      <c r="A112" s="224" t="s">
        <v>25</v>
      </c>
      <c r="B112" s="273">
        <v>919321</v>
      </c>
      <c r="C112" s="273">
        <v>957682</v>
      </c>
      <c r="D112" s="273">
        <v>936253</v>
      </c>
      <c r="E112" s="273">
        <v>908840</v>
      </c>
      <c r="F112" s="273">
        <v>935265</v>
      </c>
      <c r="G112" s="273">
        <v>965727</v>
      </c>
      <c r="H112" s="273">
        <v>965129</v>
      </c>
      <c r="I112" s="273">
        <v>991136</v>
      </c>
      <c r="J112" s="273">
        <v>1005722</v>
      </c>
      <c r="K112" s="273">
        <v>993458</v>
      </c>
      <c r="L112" s="273">
        <v>1032028</v>
      </c>
      <c r="M112" s="273">
        <v>1034901</v>
      </c>
      <c r="N112" s="273">
        <v>1039305</v>
      </c>
      <c r="O112" s="273">
        <v>1030195</v>
      </c>
      <c r="P112" s="273">
        <v>1125021</v>
      </c>
      <c r="Q112" s="273">
        <v>1074734</v>
      </c>
      <c r="R112" s="273">
        <v>1061508</v>
      </c>
      <c r="S112" s="273">
        <v>1039419</v>
      </c>
      <c r="T112" s="273">
        <v>1035985</v>
      </c>
      <c r="U112" s="273">
        <v>982825</v>
      </c>
      <c r="V112" s="273">
        <v>943593</v>
      </c>
      <c r="W112" s="273">
        <v>960705</v>
      </c>
      <c r="X112" s="273">
        <v>977739</v>
      </c>
    </row>
    <row r="113" spans="1:24" ht="14.25" thickBot="1" x14ac:dyDescent="0.3">
      <c r="A113" s="225" t="s">
        <v>26</v>
      </c>
      <c r="B113" s="275">
        <v>1428633</v>
      </c>
      <c r="C113" s="275">
        <v>1425689</v>
      </c>
      <c r="D113" s="275">
        <v>1434454</v>
      </c>
      <c r="E113" s="275">
        <v>1513229</v>
      </c>
      <c r="F113" s="275">
        <v>1397641</v>
      </c>
      <c r="G113" s="275">
        <v>1422818</v>
      </c>
      <c r="H113" s="275">
        <v>1449239</v>
      </c>
      <c r="I113" s="275">
        <v>1470623</v>
      </c>
      <c r="J113" s="275">
        <v>1473791</v>
      </c>
      <c r="K113" s="275">
        <v>1489728</v>
      </c>
      <c r="L113" s="275">
        <v>1527210</v>
      </c>
      <c r="M113" s="275">
        <v>1559050</v>
      </c>
      <c r="N113" s="275">
        <v>1548642</v>
      </c>
      <c r="O113" s="275">
        <v>1535616</v>
      </c>
      <c r="P113" s="275">
        <v>1525145</v>
      </c>
      <c r="Q113" s="275">
        <v>1505408</v>
      </c>
      <c r="R113" s="275">
        <v>1468875</v>
      </c>
      <c r="S113" s="275">
        <v>1452481</v>
      </c>
      <c r="T113" s="275">
        <v>1457099</v>
      </c>
      <c r="U113" s="275">
        <v>1513964</v>
      </c>
      <c r="V113" s="275">
        <v>1564876</v>
      </c>
      <c r="W113" s="275">
        <v>1639446</v>
      </c>
      <c r="X113" s="275">
        <v>1678744</v>
      </c>
    </row>
    <row r="114" spans="1:24" ht="14.25" thickBot="1" x14ac:dyDescent="0.3">
      <c r="A114" s="224" t="s">
        <v>27</v>
      </c>
      <c r="B114" s="273">
        <v>50361</v>
      </c>
      <c r="C114" s="273">
        <v>49959</v>
      </c>
      <c r="D114" s="273">
        <v>49059</v>
      </c>
      <c r="E114" s="273">
        <v>48513</v>
      </c>
      <c r="F114" s="273">
        <v>225318</v>
      </c>
      <c r="G114" s="273">
        <v>220261</v>
      </c>
      <c r="H114" s="273">
        <v>217149</v>
      </c>
      <c r="I114" s="273">
        <v>215070</v>
      </c>
      <c r="J114" s="273">
        <v>228459</v>
      </c>
      <c r="K114" s="273">
        <v>224313</v>
      </c>
      <c r="L114" s="273">
        <v>219715</v>
      </c>
      <c r="M114" s="273">
        <v>228123</v>
      </c>
      <c r="N114" s="273">
        <v>223025</v>
      </c>
      <c r="O114" s="273">
        <v>218250</v>
      </c>
      <c r="P114" s="273">
        <v>223613</v>
      </c>
      <c r="Q114" s="273">
        <v>214795</v>
      </c>
      <c r="R114" s="273">
        <v>185585</v>
      </c>
      <c r="S114" s="273">
        <v>180450</v>
      </c>
      <c r="T114" s="273">
        <v>181841</v>
      </c>
      <c r="U114" s="273">
        <v>185285</v>
      </c>
      <c r="V114" s="273">
        <v>182858</v>
      </c>
      <c r="W114" s="273">
        <v>179328</v>
      </c>
      <c r="X114" s="273">
        <v>175455</v>
      </c>
    </row>
    <row r="115" spans="1:24" ht="14.25" thickBot="1" x14ac:dyDescent="0.3">
      <c r="A115" s="225" t="s">
        <v>265</v>
      </c>
      <c r="B115" s="276">
        <v>4451411</v>
      </c>
      <c r="C115" s="276">
        <v>4495526</v>
      </c>
      <c r="D115" s="276">
        <v>4552479</v>
      </c>
      <c r="E115" s="276">
        <v>4454946</v>
      </c>
      <c r="F115" s="276">
        <v>4550296</v>
      </c>
      <c r="G115" s="276">
        <v>4634329</v>
      </c>
      <c r="H115" s="276">
        <v>4816488</v>
      </c>
      <c r="I115" s="276">
        <v>4966585</v>
      </c>
      <c r="J115" s="276">
        <v>4938394</v>
      </c>
      <c r="K115" s="276">
        <v>4947233</v>
      </c>
      <c r="L115" s="276">
        <v>5111694</v>
      </c>
      <c r="M115" s="276">
        <v>4989934</v>
      </c>
      <c r="N115" s="276">
        <v>5023664</v>
      </c>
      <c r="O115" s="276">
        <v>5090672</v>
      </c>
      <c r="P115" s="276">
        <v>4975259</v>
      </c>
      <c r="Q115" s="276">
        <v>5050798</v>
      </c>
      <c r="R115" s="276">
        <v>4983395</v>
      </c>
      <c r="S115" s="276">
        <v>5141898</v>
      </c>
      <c r="T115" s="276">
        <v>5155088</v>
      </c>
      <c r="U115" s="276">
        <v>5354798</v>
      </c>
      <c r="V115" s="276">
        <v>5527779</v>
      </c>
      <c r="W115" s="276">
        <v>5591035</v>
      </c>
      <c r="X115" s="276">
        <v>5246408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168000</v>
      </c>
      <c r="C118" s="273">
        <v>200681</v>
      </c>
      <c r="D118" s="273">
        <v>300600</v>
      </c>
      <c r="E118" s="273">
        <v>95400</v>
      </c>
      <c r="F118" s="273">
        <v>19000</v>
      </c>
      <c r="G118" s="273">
        <v>53510</v>
      </c>
      <c r="H118" s="273">
        <v>401500</v>
      </c>
      <c r="I118" s="273">
        <v>388177</v>
      </c>
      <c r="J118" s="273">
        <v>316040</v>
      </c>
      <c r="K118" s="273">
        <v>235000</v>
      </c>
      <c r="L118" s="273">
        <v>355000</v>
      </c>
      <c r="M118" s="273">
        <v>159892</v>
      </c>
      <c r="N118" s="68">
        <v>0</v>
      </c>
      <c r="O118" s="273">
        <v>23000</v>
      </c>
      <c r="P118" s="273">
        <v>99000</v>
      </c>
      <c r="Q118" s="68">
        <v>0</v>
      </c>
      <c r="R118" s="68">
        <v>0</v>
      </c>
      <c r="S118" s="68">
        <v>0</v>
      </c>
      <c r="T118" s="273">
        <v>142000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481749</v>
      </c>
      <c r="C120" s="273">
        <v>361846</v>
      </c>
      <c r="D120" s="273">
        <v>545616</v>
      </c>
      <c r="E120" s="273">
        <v>410705</v>
      </c>
      <c r="F120" s="273">
        <v>464242</v>
      </c>
      <c r="G120" s="273">
        <v>390567</v>
      </c>
      <c r="H120" s="273">
        <v>479076</v>
      </c>
      <c r="I120" s="273">
        <v>420288</v>
      </c>
      <c r="J120" s="273">
        <v>383391</v>
      </c>
      <c r="K120" s="273">
        <v>387755</v>
      </c>
      <c r="L120" s="273">
        <v>498257</v>
      </c>
      <c r="M120" s="273">
        <v>402892</v>
      </c>
      <c r="N120" s="273">
        <v>493789</v>
      </c>
      <c r="O120" s="273">
        <v>407643</v>
      </c>
      <c r="P120" s="273">
        <v>385905</v>
      </c>
      <c r="Q120" s="273">
        <v>381407</v>
      </c>
      <c r="R120" s="273">
        <v>356024</v>
      </c>
      <c r="S120" s="273">
        <v>345878</v>
      </c>
      <c r="T120" s="273">
        <v>428776</v>
      </c>
      <c r="U120" s="273">
        <v>446702</v>
      </c>
      <c r="V120" s="273">
        <v>511523</v>
      </c>
      <c r="W120" s="273">
        <v>375315</v>
      </c>
      <c r="X120" s="273">
        <v>384585</v>
      </c>
    </row>
    <row r="121" spans="1:24" ht="14.25" thickBot="1" x14ac:dyDescent="0.3">
      <c r="A121" s="225" t="s">
        <v>267</v>
      </c>
      <c r="B121" s="275">
        <v>6905</v>
      </c>
      <c r="C121" s="275">
        <v>3943</v>
      </c>
      <c r="D121" s="275">
        <v>4496</v>
      </c>
      <c r="E121" s="275">
        <v>6109</v>
      </c>
      <c r="F121" s="275">
        <v>1357</v>
      </c>
      <c r="G121" s="275">
        <v>1005</v>
      </c>
      <c r="H121" s="275">
        <v>3228</v>
      </c>
      <c r="I121" s="275">
        <v>6366</v>
      </c>
      <c r="J121" s="275">
        <v>8307</v>
      </c>
      <c r="K121" s="275">
        <v>9225</v>
      </c>
      <c r="L121" s="275">
        <v>8783</v>
      </c>
      <c r="M121" s="275">
        <v>8280</v>
      </c>
      <c r="N121" s="275">
        <v>12664</v>
      </c>
      <c r="O121" s="275">
        <v>7906</v>
      </c>
      <c r="P121" s="275">
        <v>8721</v>
      </c>
      <c r="Q121" s="275">
        <v>6234</v>
      </c>
      <c r="R121" s="275">
        <v>11845</v>
      </c>
      <c r="S121" s="275">
        <v>8143</v>
      </c>
      <c r="T121" s="275">
        <v>9869</v>
      </c>
      <c r="U121" s="275">
        <v>12624</v>
      </c>
      <c r="V121" s="275">
        <v>12461</v>
      </c>
      <c r="W121" s="275">
        <v>7833</v>
      </c>
      <c r="X121" s="275">
        <v>8725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230322</v>
      </c>
      <c r="C123" s="275">
        <v>558002</v>
      </c>
      <c r="D123" s="275">
        <v>208523</v>
      </c>
      <c r="E123" s="275">
        <v>320624</v>
      </c>
      <c r="F123" s="275">
        <v>269155</v>
      </c>
      <c r="G123" s="275">
        <v>652138</v>
      </c>
      <c r="H123" s="275">
        <v>261229</v>
      </c>
      <c r="I123" s="275">
        <v>320566</v>
      </c>
      <c r="J123" s="275">
        <v>277732</v>
      </c>
      <c r="K123" s="275">
        <v>527437</v>
      </c>
      <c r="L123" s="275">
        <v>286978</v>
      </c>
      <c r="M123" s="275">
        <v>312277</v>
      </c>
      <c r="N123" s="275">
        <v>282987</v>
      </c>
      <c r="O123" s="275">
        <v>663137</v>
      </c>
      <c r="P123" s="275">
        <v>294706</v>
      </c>
      <c r="Q123" s="275">
        <v>342705</v>
      </c>
      <c r="R123" s="275">
        <v>303644</v>
      </c>
      <c r="S123" s="275">
        <v>742832</v>
      </c>
      <c r="T123" s="275">
        <v>351162</v>
      </c>
      <c r="U123" s="275">
        <v>489777</v>
      </c>
      <c r="V123" s="275">
        <v>478245</v>
      </c>
      <c r="W123" s="275">
        <v>1049452</v>
      </c>
      <c r="X123" s="275">
        <v>454477</v>
      </c>
    </row>
    <row r="124" spans="1:24" ht="14.25" thickBot="1" x14ac:dyDescent="0.3">
      <c r="A124" s="224" t="s">
        <v>268</v>
      </c>
      <c r="B124" s="273">
        <v>886976</v>
      </c>
      <c r="C124" s="273">
        <v>1124472</v>
      </c>
      <c r="D124" s="273">
        <v>1059235</v>
      </c>
      <c r="E124" s="273">
        <v>832838</v>
      </c>
      <c r="F124" s="273">
        <v>753754</v>
      </c>
      <c r="G124" s="273">
        <v>1097220</v>
      </c>
      <c r="H124" s="273">
        <v>1145033</v>
      </c>
      <c r="I124" s="273">
        <v>1135397</v>
      </c>
      <c r="J124" s="273">
        <v>985470</v>
      </c>
      <c r="K124" s="273">
        <v>1159417</v>
      </c>
      <c r="L124" s="273">
        <v>1149018</v>
      </c>
      <c r="M124" s="273">
        <v>883341</v>
      </c>
      <c r="N124" s="273">
        <v>789440</v>
      </c>
      <c r="O124" s="273">
        <v>1101686</v>
      </c>
      <c r="P124" s="273">
        <v>788332</v>
      </c>
      <c r="Q124" s="273">
        <v>730346</v>
      </c>
      <c r="R124" s="273">
        <v>671513</v>
      </c>
      <c r="S124" s="273">
        <v>1096853</v>
      </c>
      <c r="T124" s="273">
        <v>931807</v>
      </c>
      <c r="U124" s="273">
        <v>949103</v>
      </c>
      <c r="V124" s="273">
        <v>1002229</v>
      </c>
      <c r="W124" s="273">
        <v>1432600</v>
      </c>
      <c r="X124" s="273">
        <v>847787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297744</v>
      </c>
      <c r="G125" s="275">
        <v>300714</v>
      </c>
      <c r="H125" s="275">
        <v>302000</v>
      </c>
      <c r="I125" s="275">
        <v>299714</v>
      </c>
      <c r="J125" s="275">
        <v>301084</v>
      </c>
      <c r="K125" s="275">
        <v>300371</v>
      </c>
      <c r="L125" s="275">
        <v>303507</v>
      </c>
      <c r="M125" s="275">
        <v>300949</v>
      </c>
      <c r="N125" s="275">
        <v>300065</v>
      </c>
      <c r="O125" s="275">
        <v>301996</v>
      </c>
      <c r="P125" s="275">
        <v>309747</v>
      </c>
      <c r="Q125" s="275">
        <v>306420</v>
      </c>
      <c r="R125" s="275">
        <v>141472</v>
      </c>
      <c r="S125" s="275">
        <v>139913</v>
      </c>
      <c r="T125" s="275">
        <v>140450</v>
      </c>
      <c r="U125" s="275">
        <v>154234</v>
      </c>
      <c r="V125" s="275">
        <v>122450</v>
      </c>
      <c r="W125" s="275">
        <v>126217</v>
      </c>
      <c r="X125" s="275">
        <v>124608</v>
      </c>
    </row>
    <row r="126" spans="1:24" ht="14.25" thickBot="1" x14ac:dyDescent="0.3">
      <c r="A126" s="224" t="s">
        <v>33</v>
      </c>
      <c r="B126" s="273">
        <v>235663</v>
      </c>
      <c r="C126" s="273">
        <v>241224</v>
      </c>
      <c r="D126" s="273">
        <v>241197</v>
      </c>
      <c r="E126" s="273">
        <v>238171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1122639</v>
      </c>
      <c r="C127" s="275">
        <v>1365696</v>
      </c>
      <c r="D127" s="275">
        <v>1300432</v>
      </c>
      <c r="E127" s="275">
        <v>1071009</v>
      </c>
      <c r="F127" s="275">
        <v>1051498</v>
      </c>
      <c r="G127" s="275">
        <v>1397934</v>
      </c>
      <c r="H127" s="275">
        <v>1447033</v>
      </c>
      <c r="I127" s="275">
        <v>1435111</v>
      </c>
      <c r="J127" s="275">
        <v>1286554</v>
      </c>
      <c r="K127" s="275">
        <v>1459788</v>
      </c>
      <c r="L127" s="275">
        <v>1452525</v>
      </c>
      <c r="M127" s="275">
        <v>1184290</v>
      </c>
      <c r="N127" s="275">
        <v>1089505</v>
      </c>
      <c r="O127" s="275">
        <v>1403682</v>
      </c>
      <c r="P127" s="275">
        <v>1098079</v>
      </c>
      <c r="Q127" s="275">
        <v>1036766</v>
      </c>
      <c r="R127" s="275">
        <v>812985</v>
      </c>
      <c r="S127" s="275">
        <v>1236766</v>
      </c>
      <c r="T127" s="275">
        <v>1072257</v>
      </c>
      <c r="U127" s="275">
        <v>1103337</v>
      </c>
      <c r="V127" s="275">
        <v>1124679</v>
      </c>
      <c r="W127" s="275">
        <v>1558817</v>
      </c>
      <c r="X127" s="275">
        <v>972395</v>
      </c>
    </row>
    <row r="128" spans="1:24" ht="14.25" thickBot="1" x14ac:dyDescent="0.3">
      <c r="A128" s="224" t="s">
        <v>34</v>
      </c>
      <c r="B128" s="273">
        <v>3328772</v>
      </c>
      <c r="C128" s="273">
        <v>3129830</v>
      </c>
      <c r="D128" s="273">
        <v>3252047</v>
      </c>
      <c r="E128" s="273">
        <v>3383937</v>
      </c>
      <c r="F128" s="273">
        <v>3498798</v>
      </c>
      <c r="G128" s="273">
        <v>3236395</v>
      </c>
      <c r="H128" s="273">
        <v>3369455</v>
      </c>
      <c r="I128" s="273">
        <v>3531474</v>
      </c>
      <c r="J128" s="273">
        <v>3651840</v>
      </c>
      <c r="K128" s="273">
        <v>3487445</v>
      </c>
      <c r="L128" s="273">
        <v>3659169</v>
      </c>
      <c r="M128" s="273">
        <v>3805644</v>
      </c>
      <c r="N128" s="273">
        <v>3934159</v>
      </c>
      <c r="O128" s="273">
        <v>3686990</v>
      </c>
      <c r="P128" s="273">
        <v>3877180</v>
      </c>
      <c r="Q128" s="273">
        <v>4014032</v>
      </c>
      <c r="R128" s="273">
        <v>4170410</v>
      </c>
      <c r="S128" s="273">
        <v>3905132</v>
      </c>
      <c r="T128" s="273">
        <v>4082831</v>
      </c>
      <c r="U128" s="273">
        <v>4251461</v>
      </c>
      <c r="V128" s="273">
        <v>4403100</v>
      </c>
      <c r="W128" s="273">
        <v>4032218</v>
      </c>
      <c r="X128" s="273">
        <v>4274013</v>
      </c>
    </row>
    <row r="129" spans="1:24" ht="14.25" thickBot="1" x14ac:dyDescent="0.3">
      <c r="A129" s="225" t="s">
        <v>35</v>
      </c>
      <c r="B129" s="276">
        <v>4451411</v>
      </c>
      <c r="C129" s="276">
        <v>4495526</v>
      </c>
      <c r="D129" s="276">
        <v>4552479</v>
      </c>
      <c r="E129" s="276">
        <v>4454946</v>
      </c>
      <c r="F129" s="276">
        <v>4550296</v>
      </c>
      <c r="G129" s="276">
        <v>4634329</v>
      </c>
      <c r="H129" s="276">
        <v>4816488</v>
      </c>
      <c r="I129" s="276">
        <v>4966585</v>
      </c>
      <c r="J129" s="276">
        <v>4938394</v>
      </c>
      <c r="K129" s="276">
        <v>4947233</v>
      </c>
      <c r="L129" s="276">
        <v>5111694</v>
      </c>
      <c r="M129" s="276">
        <v>4989934</v>
      </c>
      <c r="N129" s="276">
        <v>5023664</v>
      </c>
      <c r="O129" s="276">
        <v>5090672</v>
      </c>
      <c r="P129" s="276">
        <v>4975259</v>
      </c>
      <c r="Q129" s="276">
        <v>5050798</v>
      </c>
      <c r="R129" s="276">
        <v>4983395</v>
      </c>
      <c r="S129" s="276">
        <v>5141898</v>
      </c>
      <c r="T129" s="276">
        <v>5155088</v>
      </c>
      <c r="U129" s="276">
        <v>5354798</v>
      </c>
      <c r="V129" s="276">
        <v>5527779</v>
      </c>
      <c r="W129" s="276">
        <v>5591035</v>
      </c>
      <c r="X129" s="276">
        <v>5246408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5.56</v>
      </c>
      <c r="C132" s="68">
        <v>3.23</v>
      </c>
      <c r="D132" s="68">
        <v>5.52</v>
      </c>
      <c r="E132" s="68">
        <v>8.3800000000000008</v>
      </c>
      <c r="F132" s="68">
        <v>5.95</v>
      </c>
    </row>
    <row r="133" spans="1:24" ht="14.25" thickBot="1" x14ac:dyDescent="0.3">
      <c r="A133" s="225" t="s">
        <v>37</v>
      </c>
      <c r="B133" s="274">
        <v>-1.66</v>
      </c>
      <c r="C133" s="274">
        <v>-2.36</v>
      </c>
      <c r="D133" s="274">
        <v>-1.99</v>
      </c>
      <c r="E133" s="274">
        <v>-1.1100000000000001</v>
      </c>
      <c r="F133" s="274">
        <v>-1.1399999999999999</v>
      </c>
    </row>
    <row r="134" spans="1:24" ht="14.25" thickBot="1" x14ac:dyDescent="0.3">
      <c r="A134" s="224" t="s">
        <v>38</v>
      </c>
      <c r="B134" s="68">
        <v>-3.82</v>
      </c>
      <c r="C134" s="68">
        <v>-0.8</v>
      </c>
      <c r="D134" s="68">
        <v>-3.29</v>
      </c>
      <c r="E134" s="68">
        <v>-3.65</v>
      </c>
      <c r="F134" s="68">
        <v>-2.99</v>
      </c>
    </row>
    <row r="135" spans="1:24" ht="14.25" thickBot="1" x14ac:dyDescent="0.3">
      <c r="A135" s="225" t="s">
        <v>270</v>
      </c>
      <c r="B135" s="274">
        <v>3.9</v>
      </c>
      <c r="C135" s="274">
        <v>0.88</v>
      </c>
      <c r="D135" s="274">
        <v>3.53</v>
      </c>
      <c r="E135" s="274">
        <v>7.27</v>
      </c>
      <c r="F135" s="274">
        <v>4.8099999999999996</v>
      </c>
    </row>
    <row r="136" spans="1:24" ht="14.25" thickBot="1" x14ac:dyDescent="0.3">
      <c r="A136" s="229" t="s">
        <v>39</v>
      </c>
      <c r="B136" s="72">
        <v>0.08</v>
      </c>
      <c r="C136" s="72">
        <v>7.0000000000000007E-2</v>
      </c>
      <c r="D136" s="72">
        <v>0.24</v>
      </c>
      <c r="E136" s="72">
        <v>3.62</v>
      </c>
      <c r="F136" s="72">
        <v>1.82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</v>
      </c>
      <c r="C140" s="68">
        <v>2</v>
      </c>
      <c r="D140" s="68">
        <v>2.6</v>
      </c>
      <c r="E140" s="68">
        <v>3</v>
      </c>
      <c r="F140" s="68">
        <v>4</v>
      </c>
    </row>
    <row r="141" spans="1:24" ht="14.25" thickBot="1" x14ac:dyDescent="0.3">
      <c r="A141" s="227" t="s">
        <v>1</v>
      </c>
      <c r="B141" s="73">
        <v>0</v>
      </c>
      <c r="C141" s="73">
        <v>1.24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0.73891625615763534</v>
      </c>
      <c r="C142" s="234">
        <f>IF(C140&lt;&gt;"無",IF(ISNA(HLOOKUP(C139,$B$64:$F$69,6,FALSE)),"",C140/HLOOKUP(C139,$B$64:$F$69,6,FALSE)),"")</f>
        <v>0.4926108374384236</v>
      </c>
      <c r="D142" s="234">
        <f>IF(D140&lt;&gt;"無",IF(ISNA(HLOOKUP(D139,$B$64:$F$69,6,FALSE)),"",D140/HLOOKUP(D139,$B$64:$F$69,6,FALSE)),"")</f>
        <v>0.72423398328690802</v>
      </c>
      <c r="E142" s="234">
        <f>IF(E140&lt;&gt;"無",IF(ISNA(HLOOKUP(E139,$B$64:$F$69,6,FALSE)),"",E140/HLOOKUP(E139,$B$64:$F$69,6,FALSE)),"")</f>
        <v>0.73891625615763534</v>
      </c>
      <c r="F142" s="234">
        <f>IF(F140&lt;&gt;"無",IF(ISNA(HLOOKUP(F139,$B$64:$F$69,6,FALSE)),"",F140/HLOOKUP(F139,$B$64:$F$69,6,FALSE)),"")</f>
        <v>0.76481835564053535</v>
      </c>
    </row>
    <row r="143" spans="1:24" x14ac:dyDescent="0.25">
      <c r="A143" s="233" t="s">
        <v>216</v>
      </c>
      <c r="B143" s="234">
        <f>IF(OR(B140=0,B140="無"),"",B135/B140)</f>
        <v>1.3</v>
      </c>
      <c r="C143" s="234">
        <f>IF(OR(C140=0,C140="無"),"",C135/C140)</f>
        <v>0.44</v>
      </c>
      <c r="D143" s="234">
        <f>IF(OR(D140=0,D140="無"),"",D135/D140)</f>
        <v>1.3576923076923075</v>
      </c>
      <c r="E143" s="234">
        <f>IF(OR(E140=0,E140="無"),"",E135/E140)</f>
        <v>2.4233333333333333</v>
      </c>
      <c r="F143" s="234">
        <f>IF(OR(F140=0,F140="無"),"",F135/F140)</f>
        <v>1.2024999999999999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16.059999999999999</v>
      </c>
      <c r="C146" s="68">
        <v>15.1</v>
      </c>
      <c r="D146" s="68">
        <v>16.91</v>
      </c>
      <c r="E146" s="68">
        <v>16.489999999999998</v>
      </c>
      <c r="F146" s="68">
        <v>16.36</v>
      </c>
      <c r="G146" s="68">
        <v>16.64</v>
      </c>
      <c r="H146" s="68">
        <v>16.170000000000002</v>
      </c>
      <c r="I146" s="68">
        <v>18.11</v>
      </c>
      <c r="J146" s="68">
        <v>14.87</v>
      </c>
      <c r="K146" s="68">
        <v>15.79</v>
      </c>
      <c r="L146" s="68">
        <v>17.57</v>
      </c>
      <c r="M146" s="68">
        <v>15.8</v>
      </c>
      <c r="N146" s="68">
        <v>19.239999999999998</v>
      </c>
      <c r="O146" s="68">
        <v>21.31</v>
      </c>
      <c r="P146" s="68">
        <v>18.54</v>
      </c>
      <c r="Q146" s="68">
        <v>22.02</v>
      </c>
      <c r="R146" s="68">
        <v>26.54</v>
      </c>
      <c r="S146" s="68">
        <v>27.82</v>
      </c>
      <c r="T146" s="68">
        <v>27.06</v>
      </c>
      <c r="U146" s="68">
        <v>25.87</v>
      </c>
      <c r="V146" s="68">
        <v>26.72</v>
      </c>
      <c r="W146" s="68">
        <v>27.75</v>
      </c>
      <c r="X146" s="68">
        <v>27.79</v>
      </c>
    </row>
    <row r="147" spans="1:24" s="93" customFormat="1" ht="14.25" thickBot="1" x14ac:dyDescent="0.3">
      <c r="A147" s="225" t="s">
        <v>19</v>
      </c>
      <c r="B147" s="274">
        <v>9.5500000000000007</v>
      </c>
      <c r="C147" s="274">
        <v>7.67</v>
      </c>
      <c r="D147" s="274">
        <v>9.2200000000000006</v>
      </c>
      <c r="E147" s="274">
        <v>7.69</v>
      </c>
      <c r="F147" s="274">
        <v>8.26</v>
      </c>
      <c r="G147" s="274">
        <v>8.5</v>
      </c>
      <c r="H147" s="274">
        <v>8.09</v>
      </c>
      <c r="I147" s="274">
        <v>8.5</v>
      </c>
      <c r="J147" s="274">
        <v>6.91</v>
      </c>
      <c r="K147" s="274">
        <v>6.89</v>
      </c>
      <c r="L147" s="274">
        <v>8.14</v>
      </c>
      <c r="M147" s="274">
        <v>7.03</v>
      </c>
      <c r="N147" s="274">
        <v>9.2100000000000009</v>
      </c>
      <c r="O147" s="274">
        <v>10.58</v>
      </c>
      <c r="P147" s="274">
        <v>7.67</v>
      </c>
      <c r="Q147" s="274">
        <v>11.21</v>
      </c>
      <c r="R147" s="274">
        <v>14.23</v>
      </c>
      <c r="S147" s="274">
        <v>15.7</v>
      </c>
      <c r="T147" s="274">
        <v>14.77</v>
      </c>
      <c r="U147" s="274">
        <v>11.68</v>
      </c>
      <c r="V147" s="274">
        <v>14.53</v>
      </c>
      <c r="W147" s="274">
        <v>14.5</v>
      </c>
      <c r="X147" s="274">
        <v>14.46</v>
      </c>
    </row>
    <row r="148" spans="1:24" s="93" customFormat="1" ht="14.25" thickBot="1" x14ac:dyDescent="0.3">
      <c r="A148" s="224" t="s">
        <v>41</v>
      </c>
      <c r="B148" s="68">
        <v>9.56</v>
      </c>
      <c r="C148" s="68">
        <v>10.31</v>
      </c>
      <c r="D148" s="68">
        <v>9.11</v>
      </c>
      <c r="E148" s="68">
        <v>9.7100000000000009</v>
      </c>
      <c r="F148" s="68">
        <v>10.37</v>
      </c>
      <c r="G148" s="68">
        <v>10.3</v>
      </c>
      <c r="H148" s="68">
        <v>9.24</v>
      </c>
      <c r="I148" s="68">
        <v>9.25</v>
      </c>
      <c r="J148" s="68">
        <v>8.41</v>
      </c>
      <c r="K148" s="68">
        <v>7.75</v>
      </c>
      <c r="L148" s="68">
        <v>9.43</v>
      </c>
      <c r="M148" s="68">
        <v>8.58</v>
      </c>
      <c r="N148" s="68">
        <v>9.99</v>
      </c>
      <c r="O148" s="68">
        <v>11.23</v>
      </c>
      <c r="P148" s="68">
        <v>11.73</v>
      </c>
      <c r="Q148" s="68">
        <v>12.92</v>
      </c>
      <c r="R148" s="68">
        <v>13.8</v>
      </c>
      <c r="S148" s="68">
        <v>16.7</v>
      </c>
      <c r="T148" s="68">
        <v>15.42</v>
      </c>
      <c r="U148" s="68">
        <v>15.17</v>
      </c>
      <c r="V148" s="68">
        <v>14.02</v>
      </c>
      <c r="W148" s="68">
        <v>16.510000000000002</v>
      </c>
      <c r="X148" s="68">
        <v>15.92</v>
      </c>
    </row>
    <row r="149" spans="1:24" s="93" customFormat="1" ht="14.25" thickBot="1" x14ac:dyDescent="0.3">
      <c r="A149" s="225" t="s">
        <v>13</v>
      </c>
      <c r="B149" s="73">
        <v>7.96</v>
      </c>
      <c r="C149" s="73">
        <v>8.27</v>
      </c>
      <c r="D149" s="73">
        <v>7.57</v>
      </c>
      <c r="E149" s="73">
        <v>8.01</v>
      </c>
      <c r="F149" s="73">
        <v>8.74</v>
      </c>
      <c r="G149" s="73">
        <v>8.15</v>
      </c>
      <c r="H149" s="73">
        <v>7.73</v>
      </c>
      <c r="I149" s="73">
        <v>7.68</v>
      </c>
      <c r="J149" s="73">
        <v>7.05</v>
      </c>
      <c r="K149" s="73">
        <v>6.45</v>
      </c>
      <c r="L149" s="73">
        <v>7.79</v>
      </c>
      <c r="M149" s="73">
        <v>7.44</v>
      </c>
      <c r="N149" s="73">
        <v>8.34</v>
      </c>
      <c r="O149" s="73">
        <v>9.11</v>
      </c>
      <c r="P149" s="73">
        <v>9.82</v>
      </c>
      <c r="Q149" s="73">
        <v>10.45</v>
      </c>
      <c r="R149" s="73">
        <v>11.44</v>
      </c>
      <c r="S149" s="73">
        <v>13.4</v>
      </c>
      <c r="T149" s="73">
        <v>13.02</v>
      </c>
      <c r="U149" s="73">
        <v>12.92</v>
      </c>
      <c r="V149" s="73">
        <v>11.69</v>
      </c>
      <c r="W149" s="73">
        <v>13.25</v>
      </c>
      <c r="X149" s="73">
        <v>13.3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16.13</v>
      </c>
      <c r="C152" s="68">
        <v>16.670000000000002</v>
      </c>
      <c r="D152" s="68">
        <v>16.16</v>
      </c>
      <c r="E152" s="68">
        <v>20.260000000000002</v>
      </c>
      <c r="F152" s="68">
        <v>26.8</v>
      </c>
    </row>
    <row r="153" spans="1:24" s="93" customFormat="1" ht="14.25" thickBot="1" x14ac:dyDescent="0.3">
      <c r="A153" s="225" t="s">
        <v>19</v>
      </c>
      <c r="B153" s="274">
        <v>8.5399999999999991</v>
      </c>
      <c r="C153" s="274">
        <v>8.34</v>
      </c>
      <c r="D153" s="274">
        <v>7.26</v>
      </c>
      <c r="E153" s="274">
        <v>9.66</v>
      </c>
      <c r="F153" s="274">
        <v>14.04</v>
      </c>
    </row>
    <row r="154" spans="1:24" s="93" customFormat="1" ht="14.25" thickBot="1" x14ac:dyDescent="0.3">
      <c r="A154" s="224" t="s">
        <v>41</v>
      </c>
      <c r="B154" s="68">
        <v>9.68</v>
      </c>
      <c r="C154" s="68">
        <v>9.77</v>
      </c>
      <c r="D154" s="68">
        <v>8.56</v>
      </c>
      <c r="E154" s="68">
        <v>11.45</v>
      </c>
      <c r="F154" s="68">
        <v>15.28</v>
      </c>
    </row>
    <row r="155" spans="1:24" s="93" customFormat="1" ht="14.25" thickBot="1" x14ac:dyDescent="0.3">
      <c r="A155" s="225" t="s">
        <v>13</v>
      </c>
      <c r="B155" s="73">
        <v>7.96</v>
      </c>
      <c r="C155" s="73">
        <v>8.06</v>
      </c>
      <c r="D155" s="73">
        <v>7.2</v>
      </c>
      <c r="E155" s="73">
        <v>9.42</v>
      </c>
      <c r="F155" s="73">
        <v>12.71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3.15</v>
      </c>
      <c r="C158" s="68">
        <v>3.25</v>
      </c>
      <c r="D158" s="68">
        <v>2.84</v>
      </c>
      <c r="E158" s="68">
        <v>2.92</v>
      </c>
      <c r="F158" s="68">
        <v>3.06</v>
      </c>
      <c r="G158" s="68">
        <v>2.91</v>
      </c>
      <c r="H158" s="68">
        <v>2.92</v>
      </c>
      <c r="I158" s="68">
        <v>2.71</v>
      </c>
      <c r="J158" s="68">
        <v>2.5099999999999998</v>
      </c>
      <c r="K158" s="68">
        <v>2.34</v>
      </c>
      <c r="L158" s="68">
        <v>3.02</v>
      </c>
      <c r="M158" s="68">
        <v>2.66</v>
      </c>
      <c r="N158" s="68">
        <v>2.71</v>
      </c>
      <c r="O158" s="68">
        <v>3.03</v>
      </c>
      <c r="P158" s="68">
        <v>3.19</v>
      </c>
      <c r="Q158" s="68">
        <v>3.25</v>
      </c>
      <c r="R158" s="68">
        <v>3.36</v>
      </c>
      <c r="S158" s="68">
        <v>4</v>
      </c>
      <c r="T158" s="68">
        <v>3.88</v>
      </c>
      <c r="U158" s="68">
        <v>4.09</v>
      </c>
      <c r="V158" s="68">
        <v>3.65</v>
      </c>
      <c r="W158" s="68">
        <v>3.89</v>
      </c>
      <c r="X158" s="68">
        <v>4.32</v>
      </c>
    </row>
    <row r="159" spans="1:24" s="93" customFormat="1" ht="14.25" thickBot="1" x14ac:dyDescent="0.3">
      <c r="A159" s="225" t="s">
        <v>45</v>
      </c>
      <c r="B159" s="73">
        <v>4.22</v>
      </c>
      <c r="C159" s="73">
        <v>4.5</v>
      </c>
      <c r="D159" s="73">
        <v>4.0199999999999996</v>
      </c>
      <c r="E159" s="73">
        <v>3.96</v>
      </c>
      <c r="F159" s="73">
        <v>4.01</v>
      </c>
      <c r="G159" s="73">
        <v>3.97</v>
      </c>
      <c r="H159" s="73">
        <v>4.17</v>
      </c>
      <c r="I159" s="73">
        <v>3.82</v>
      </c>
      <c r="J159" s="73">
        <v>3.44</v>
      </c>
      <c r="K159" s="73">
        <v>3.23</v>
      </c>
      <c r="L159" s="73">
        <v>4.24</v>
      </c>
      <c r="M159" s="73">
        <v>3.59</v>
      </c>
      <c r="N159" s="73">
        <v>3.5</v>
      </c>
      <c r="O159" s="73">
        <v>4.0199999999999996</v>
      </c>
      <c r="P159" s="73">
        <v>4.24</v>
      </c>
      <c r="Q159" s="73">
        <v>4.12</v>
      </c>
      <c r="R159" s="73">
        <v>4.12</v>
      </c>
      <c r="S159" s="73">
        <v>5.0199999999999996</v>
      </c>
      <c r="T159" s="73">
        <v>4.99</v>
      </c>
      <c r="U159" s="73">
        <v>5.16</v>
      </c>
      <c r="V159" s="73">
        <v>4.59</v>
      </c>
      <c r="W159" s="73">
        <v>5.12</v>
      </c>
      <c r="X159" s="73">
        <v>5.63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7.96</v>
      </c>
      <c r="C162" s="68">
        <v>8.06</v>
      </c>
      <c r="D162" s="68">
        <v>7.2</v>
      </c>
      <c r="E162" s="68">
        <v>9.42</v>
      </c>
      <c r="F162" s="68">
        <v>12.71</v>
      </c>
    </row>
    <row r="163" spans="1:72" s="93" customFormat="1" ht="14.25" thickBot="1" x14ac:dyDescent="0.3">
      <c r="A163" s="225" t="s">
        <v>18</v>
      </c>
      <c r="B163" s="274">
        <v>1.53</v>
      </c>
      <c r="C163" s="274">
        <v>1.35</v>
      </c>
      <c r="D163" s="274">
        <v>1.46</v>
      </c>
      <c r="E163" s="274">
        <v>1.29</v>
      </c>
      <c r="F163" s="274">
        <v>1.1499999999999999</v>
      </c>
    </row>
    <row r="164" spans="1:72" s="93" customFormat="1" ht="14.25" thickBot="1" x14ac:dyDescent="0.3">
      <c r="A164" s="224" t="s">
        <v>15</v>
      </c>
      <c r="B164" s="68">
        <v>1.32</v>
      </c>
      <c r="C164" s="68">
        <v>1.41</v>
      </c>
      <c r="D164" s="68">
        <v>1.31</v>
      </c>
      <c r="E164" s="68">
        <v>1.26</v>
      </c>
      <c r="F164" s="68">
        <v>1.26</v>
      </c>
    </row>
    <row r="165" spans="1:72" s="93" customFormat="1" ht="14.25" thickBot="1" x14ac:dyDescent="0.3">
      <c r="A165" s="225" t="s">
        <v>45</v>
      </c>
      <c r="B165" s="73">
        <v>16.48</v>
      </c>
      <c r="C165" s="73">
        <v>15.65</v>
      </c>
      <c r="D165" s="73">
        <v>14.29</v>
      </c>
      <c r="E165" s="73">
        <v>15.65</v>
      </c>
      <c r="F165" s="73">
        <v>19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54.55</v>
      </c>
      <c r="C168" s="68">
        <v>55.21</v>
      </c>
      <c r="D168" s="68">
        <v>57.32</v>
      </c>
      <c r="E168" s="68">
        <v>57.69</v>
      </c>
      <c r="F168" s="68">
        <v>57.69</v>
      </c>
      <c r="G168" s="68">
        <v>56.96</v>
      </c>
      <c r="H168" s="68">
        <v>55.56</v>
      </c>
      <c r="I168" s="68">
        <v>58.06</v>
      </c>
      <c r="J168" s="68">
        <v>55.9</v>
      </c>
      <c r="K168" s="68">
        <v>54.55</v>
      </c>
      <c r="L168" s="68">
        <v>51.72</v>
      </c>
      <c r="M168" s="68">
        <v>54.22</v>
      </c>
      <c r="N168" s="68">
        <v>54.22</v>
      </c>
      <c r="O168" s="68">
        <v>49.72</v>
      </c>
      <c r="P168" s="68">
        <v>52.33</v>
      </c>
      <c r="Q168" s="68">
        <v>52.94</v>
      </c>
      <c r="R168" s="68">
        <v>52.94</v>
      </c>
      <c r="S168" s="68">
        <v>52.63</v>
      </c>
      <c r="T168" s="68">
        <v>53.57</v>
      </c>
      <c r="U168" s="68">
        <v>52.02</v>
      </c>
      <c r="V168" s="68">
        <v>51.14</v>
      </c>
      <c r="W168" s="68">
        <v>50.85</v>
      </c>
      <c r="X168" s="68">
        <v>47.87</v>
      </c>
    </row>
    <row r="169" spans="1:72" s="93" customFormat="1" ht="14.25" thickBot="1" x14ac:dyDescent="0.3">
      <c r="A169" s="225" t="s">
        <v>17</v>
      </c>
      <c r="B169" s="274">
        <v>45.92</v>
      </c>
      <c r="C169" s="274">
        <v>46.63</v>
      </c>
      <c r="D169" s="274">
        <v>54.55</v>
      </c>
      <c r="E169" s="274">
        <v>55.56</v>
      </c>
      <c r="F169" s="274">
        <v>55.21</v>
      </c>
      <c r="G169" s="274">
        <v>52.02</v>
      </c>
      <c r="H169" s="274">
        <v>47.37</v>
      </c>
      <c r="I169" s="274">
        <v>58.44</v>
      </c>
      <c r="J169" s="274">
        <v>57.69</v>
      </c>
      <c r="K169" s="274">
        <v>55.9</v>
      </c>
      <c r="L169" s="274">
        <v>52.94</v>
      </c>
      <c r="M169" s="274">
        <v>54.55</v>
      </c>
      <c r="N169" s="274">
        <v>58.82</v>
      </c>
      <c r="O169" s="274">
        <v>56.6</v>
      </c>
      <c r="P169" s="274">
        <v>52.02</v>
      </c>
      <c r="Q169" s="274">
        <v>48.91</v>
      </c>
      <c r="R169" s="274">
        <v>53.25</v>
      </c>
      <c r="S169" s="274">
        <v>53.25</v>
      </c>
      <c r="T169" s="274">
        <v>52.33</v>
      </c>
      <c r="U169" s="274">
        <v>46.63</v>
      </c>
      <c r="V169" s="274">
        <v>51.43</v>
      </c>
      <c r="W169" s="274">
        <v>58.06</v>
      </c>
      <c r="X169" s="274">
        <v>47.12</v>
      </c>
    </row>
    <row r="170" spans="1:72" s="93" customFormat="1" ht="14.25" thickBot="1" x14ac:dyDescent="0.3">
      <c r="A170" s="224" t="s">
        <v>42</v>
      </c>
      <c r="B170" s="72">
        <v>100.46</v>
      </c>
      <c r="C170" s="72">
        <v>101.85</v>
      </c>
      <c r="D170" s="72">
        <v>111.87</v>
      </c>
      <c r="E170" s="72">
        <v>113.25</v>
      </c>
      <c r="F170" s="72">
        <v>112.91</v>
      </c>
      <c r="G170" s="72">
        <v>108.99</v>
      </c>
      <c r="H170" s="72">
        <v>102.92</v>
      </c>
      <c r="I170" s="72">
        <v>116.51</v>
      </c>
      <c r="J170" s="72">
        <v>113.59</v>
      </c>
      <c r="K170" s="72">
        <v>110.45</v>
      </c>
      <c r="L170" s="72">
        <v>104.67</v>
      </c>
      <c r="M170" s="72">
        <v>108.76</v>
      </c>
      <c r="N170" s="72">
        <v>113.04</v>
      </c>
      <c r="O170" s="72">
        <v>106.33</v>
      </c>
      <c r="P170" s="72">
        <v>104.35</v>
      </c>
      <c r="Q170" s="72">
        <v>101.85</v>
      </c>
      <c r="R170" s="72">
        <v>106.2</v>
      </c>
      <c r="S170" s="72">
        <v>105.89</v>
      </c>
      <c r="T170" s="72">
        <v>105.9</v>
      </c>
      <c r="U170" s="72">
        <v>98.66</v>
      </c>
      <c r="V170" s="72">
        <v>102.56</v>
      </c>
      <c r="W170" s="72">
        <v>108.91</v>
      </c>
      <c r="X170" s="72">
        <v>94.99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137.49</v>
      </c>
      <c r="C173" s="72">
        <v>79.64</v>
      </c>
      <c r="D173" s="72">
        <v>158.54</v>
      </c>
      <c r="E173" s="72">
        <v>206.33</v>
      </c>
      <c r="F173" s="72">
        <v>113.76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7.99</v>
      </c>
      <c r="C176" s="72">
        <v>8.85</v>
      </c>
      <c r="D176" s="72">
        <v>9.33</v>
      </c>
      <c r="E176" s="72">
        <v>10.47</v>
      </c>
      <c r="F176" s="72">
        <v>10.84</v>
      </c>
      <c r="G176" s="72">
        <v>10.69</v>
      </c>
      <c r="H176" s="72">
        <v>10.210000000000001</v>
      </c>
      <c r="I176" s="72">
        <v>10.87</v>
      </c>
      <c r="J176" s="72">
        <v>11.05</v>
      </c>
      <c r="K176" s="72">
        <v>10.85</v>
      </c>
      <c r="L176" s="72">
        <v>10.31</v>
      </c>
      <c r="M176" s="72">
        <v>10.63</v>
      </c>
      <c r="N176" s="72">
        <v>11.1</v>
      </c>
      <c r="O176" s="72">
        <v>11.3</v>
      </c>
      <c r="P176" s="72">
        <v>11.59</v>
      </c>
      <c r="Q176" s="72">
        <v>11</v>
      </c>
      <c r="R176" s="72">
        <v>10.92</v>
      </c>
      <c r="S176" s="72">
        <v>10.91</v>
      </c>
      <c r="T176" s="72">
        <v>10.73</v>
      </c>
      <c r="U176" s="72">
        <v>11.4</v>
      </c>
      <c r="V176" s="72">
        <v>11.8</v>
      </c>
      <c r="W176" s="72">
        <v>12.19</v>
      </c>
      <c r="X176" s="72">
        <v>12.01</v>
      </c>
      <c r="Y176" s="72">
        <v>12.04</v>
      </c>
      <c r="Z176" s="72">
        <v>12.35</v>
      </c>
      <c r="AA176" s="72">
        <v>12.44</v>
      </c>
      <c r="AB176" s="72">
        <v>12.86</v>
      </c>
      <c r="AC176" s="72">
        <v>13.48</v>
      </c>
      <c r="AD176" s="72">
        <v>13.72</v>
      </c>
      <c r="AE176" s="72">
        <v>14.04</v>
      </c>
      <c r="AF176" s="72">
        <v>13.8</v>
      </c>
      <c r="AG176" s="72">
        <v>14.15</v>
      </c>
      <c r="AH176" s="72">
        <v>13.85</v>
      </c>
      <c r="AI176" s="72">
        <v>13.08</v>
      </c>
      <c r="AJ176" s="72">
        <v>12.67</v>
      </c>
      <c r="AK176" s="72">
        <v>12.77</v>
      </c>
      <c r="AL176" s="72">
        <v>12.69</v>
      </c>
      <c r="AM176" s="72">
        <v>12.48</v>
      </c>
      <c r="AN176" s="72">
        <v>12.74</v>
      </c>
      <c r="AO176" s="72">
        <v>12.81</v>
      </c>
      <c r="AP176" s="72">
        <v>12.86</v>
      </c>
      <c r="AQ176" s="72">
        <v>11.92</v>
      </c>
      <c r="AR176" s="72">
        <v>11.29</v>
      </c>
      <c r="AS176" s="72">
        <v>10.43</v>
      </c>
      <c r="AT176" s="72">
        <v>10.42</v>
      </c>
      <c r="AU176" s="72">
        <v>10.72</v>
      </c>
      <c r="AV176" s="72">
        <v>10.81</v>
      </c>
      <c r="AW176" s="72">
        <v>10.43</v>
      </c>
      <c r="AX176" s="72">
        <v>10.18</v>
      </c>
      <c r="AY176" s="72">
        <v>10.29</v>
      </c>
      <c r="AZ176" s="72">
        <v>10.71</v>
      </c>
      <c r="BA176" s="72">
        <v>10.75</v>
      </c>
      <c r="BB176" s="72">
        <v>10.34</v>
      </c>
      <c r="BC176" s="72">
        <v>9.9</v>
      </c>
      <c r="BD176" s="72">
        <v>10.11</v>
      </c>
      <c r="BE176" s="72">
        <v>10.039999999999999</v>
      </c>
      <c r="BF176" s="72">
        <v>10.33</v>
      </c>
      <c r="BG176" s="72">
        <v>10.71</v>
      </c>
      <c r="BH176" s="72">
        <v>10.49</v>
      </c>
      <c r="BI176" s="72">
        <v>10.94</v>
      </c>
      <c r="BJ176" s="72">
        <v>11.15</v>
      </c>
      <c r="BK176" s="72">
        <v>11.46</v>
      </c>
      <c r="BL176" s="72">
        <v>11.78</v>
      </c>
      <c r="BM176" s="72">
        <v>12.17</v>
      </c>
      <c r="BN176" s="72">
        <v>11.83</v>
      </c>
      <c r="BO176" s="72">
        <v>12.24</v>
      </c>
      <c r="BP176" s="72">
        <v>11.6</v>
      </c>
      <c r="BQ176" s="72">
        <v>11.81</v>
      </c>
      <c r="BR176" s="72">
        <v>12.02</v>
      </c>
      <c r="BS176" s="72">
        <v>13.16</v>
      </c>
      <c r="BT176" s="72">
        <v>13.32</v>
      </c>
    </row>
  </sheetData>
  <phoneticPr fontId="3" type="noConversion"/>
  <conditionalFormatting sqref="E4">
    <cfRule type="cellIs" dxfId="6671" priority="101" operator="greaterThan">
      <formula>0.2</formula>
    </cfRule>
    <cfRule type="cellIs" dxfId="6670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6669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668" priority="95" operator="greaterThan">
      <formula>$B$19</formula>
    </cfRule>
  </conditionalFormatting>
  <conditionalFormatting sqref="D33:D34">
    <cfRule type="cellIs" dxfId="6667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6666" priority="89" operator="lessThan">
      <formula>$H$62</formula>
    </cfRule>
    <cfRule type="cellIs" dxfId="6665" priority="90" operator="greaterThan">
      <formula>$H$62</formula>
    </cfRule>
  </conditionalFormatting>
  <conditionalFormatting sqref="J62">
    <cfRule type="cellIs" dxfId="6664" priority="87" operator="lessThan">
      <formula>$K$62</formula>
    </cfRule>
    <cfRule type="cellIs" dxfId="6663" priority="88" operator="greaterThan">
      <formula>$K$62</formula>
    </cfRule>
  </conditionalFormatting>
  <conditionalFormatting sqref="M62">
    <cfRule type="cellIs" dxfId="6662" priority="85" operator="lessThan">
      <formula>$N$62</formula>
    </cfRule>
    <cfRule type="cellIs" dxfId="6661" priority="86" operator="greaterThan">
      <formula>$N$62</formula>
    </cfRule>
  </conditionalFormatting>
  <conditionalFormatting sqref="B44:E44">
    <cfRule type="cellIs" dxfId="6660" priority="83" operator="greaterThan">
      <formula>0</formula>
    </cfRule>
    <cfRule type="cellIs" dxfId="6659" priority="84" operator="lessThan">
      <formula>0</formula>
    </cfRule>
  </conditionalFormatting>
  <conditionalFormatting sqref="F72">
    <cfRule type="cellIs" dxfId="6658" priority="82" operator="lessThan">
      <formula>$E$72*90%</formula>
    </cfRule>
  </conditionalFormatting>
  <conditionalFormatting sqref="F73">
    <cfRule type="cellIs" dxfId="6657" priority="81" operator="lessThan">
      <formula>$E$73*90%</formula>
    </cfRule>
  </conditionalFormatting>
  <conditionalFormatting sqref="F74">
    <cfRule type="cellIs" dxfId="6656" priority="80" operator="lessThan">
      <formula>$E$74*90%</formula>
    </cfRule>
  </conditionalFormatting>
  <conditionalFormatting sqref="F75">
    <cfRule type="cellIs" dxfId="6655" priority="79" operator="lessThan">
      <formula>$E$75*90%</formula>
    </cfRule>
  </conditionalFormatting>
  <conditionalFormatting sqref="H44:K44">
    <cfRule type="cellIs" dxfId="6654" priority="77" operator="greaterThan">
      <formula>0</formula>
    </cfRule>
    <cfRule type="cellIs" dxfId="6653" priority="78" operator="lessThan">
      <formula>0</formula>
    </cfRule>
  </conditionalFormatting>
  <conditionalFormatting sqref="H51:K51">
    <cfRule type="cellIs" dxfId="6652" priority="75" operator="greaterThan">
      <formula>0</formula>
    </cfRule>
    <cfRule type="cellIs" dxfId="6651" priority="76" operator="lessThan">
      <formula>0</formula>
    </cfRule>
  </conditionalFormatting>
  <conditionalFormatting sqref="B51:E51">
    <cfRule type="cellIs" dxfId="6650" priority="73" operator="greaterThan">
      <formula>0</formula>
    </cfRule>
    <cfRule type="cellIs" dxfId="6649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648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647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646" priority="56" operator="lessThan">
      <formula>0</formula>
    </cfRule>
  </conditionalFormatting>
  <conditionalFormatting sqref="A25 E25 C25">
    <cfRule type="cellIs" dxfId="6645" priority="57" operator="lessThan">
      <formula>0</formula>
    </cfRule>
  </conditionalFormatting>
  <conditionalFormatting sqref="F25">
    <cfRule type="cellIs" dxfId="6644" priority="55" operator="lessThan">
      <formula>0</formula>
    </cfRule>
  </conditionalFormatting>
  <conditionalFormatting sqref="E1">
    <cfRule type="containsText" dxfId="6643" priority="54" operator="containsText" text="本季業外損益/平均=-">
      <formula>NOT(ISERROR(SEARCH("本季業外損益/平均=-",E1)))</formula>
    </cfRule>
  </conditionalFormatting>
  <conditionalFormatting sqref="M65">
    <cfRule type="cellIs" dxfId="6642" priority="53" operator="lessThan">
      <formula>$L$65*90%</formula>
    </cfRule>
  </conditionalFormatting>
  <conditionalFormatting sqref="M66">
    <cfRule type="cellIs" dxfId="6641" priority="52" operator="lessThan">
      <formula>$L$66*90%</formula>
    </cfRule>
  </conditionalFormatting>
  <conditionalFormatting sqref="M67">
    <cfRule type="cellIs" dxfId="6640" priority="51" operator="lessThan">
      <formula>$L$67*90%</formula>
    </cfRule>
  </conditionalFormatting>
  <conditionalFormatting sqref="M68">
    <cfRule type="cellIs" dxfId="6639" priority="50" operator="lessThan">
      <formula>$L$68*90%</formula>
    </cfRule>
  </conditionalFormatting>
  <conditionalFormatting sqref="B60">
    <cfRule type="cellIs" dxfId="6638" priority="49" operator="lessThan">
      <formula>0</formula>
    </cfRule>
  </conditionalFormatting>
  <conditionalFormatting sqref="B59:F59">
    <cfRule type="cellIs" dxfId="6637" priority="48" operator="lessThanOrEqual">
      <formula>0</formula>
    </cfRule>
  </conditionalFormatting>
  <conditionalFormatting sqref="D62">
    <cfRule type="cellIs" dxfId="6636" priority="46" operator="lessThan">
      <formula>$E$62</formula>
    </cfRule>
    <cfRule type="cellIs" dxfId="6635" priority="47" operator="greaterThan">
      <formula>$E$62</formula>
    </cfRule>
  </conditionalFormatting>
  <conditionalFormatting sqref="F69">
    <cfRule type="cellIs" dxfId="6634" priority="44" operator="lessThan">
      <formula>0</formula>
    </cfRule>
  </conditionalFormatting>
  <conditionalFormatting sqref="B65:E67 B69:E69 B68:D68">
    <cfRule type="cellIs" dxfId="6633" priority="45" operator="lessThan">
      <formula>0</formula>
    </cfRule>
  </conditionalFormatting>
  <conditionalFormatting sqref="E68">
    <cfRule type="cellIs" dxfId="6632" priority="43" operator="lessThan">
      <formula>0</formula>
    </cfRule>
  </conditionalFormatting>
  <conditionalFormatting sqref="F65:F68">
    <cfRule type="cellIs" dxfId="6631" priority="42" operator="lessThan">
      <formula>0</formula>
    </cfRule>
  </conditionalFormatting>
  <conditionalFormatting sqref="F65:F68">
    <cfRule type="cellIs" dxfId="6630" priority="41" operator="lessThan">
      <formula>$E$65*0.9</formula>
    </cfRule>
  </conditionalFormatting>
  <conditionalFormatting sqref="F66">
    <cfRule type="cellIs" dxfId="6629" priority="40" operator="lessThan">
      <formula>$E$66*0.9</formula>
    </cfRule>
  </conditionalFormatting>
  <conditionalFormatting sqref="F67:F68">
    <cfRule type="cellIs" dxfId="6628" priority="39" operator="lessThan">
      <formula>$E$67*0.9</formula>
    </cfRule>
  </conditionalFormatting>
  <conditionalFormatting sqref="F68">
    <cfRule type="cellIs" dxfId="6627" priority="38" operator="lessThan">
      <formula>$E$68*0.9</formula>
    </cfRule>
  </conditionalFormatting>
  <conditionalFormatting sqref="B13:F13">
    <cfRule type="cellIs" dxfId="6626" priority="27" operator="greaterThan">
      <formula>$I$16</formula>
    </cfRule>
    <cfRule type="cellIs" dxfId="6625" priority="28" operator="lessThanOrEqual">
      <formula>$I$16</formula>
    </cfRule>
  </conditionalFormatting>
  <conditionalFormatting sqref="B10:F10">
    <cfRule type="cellIs" dxfId="6624" priority="29" operator="greaterThan">
      <formula>15</formula>
    </cfRule>
    <cfRule type="cellIs" dxfId="6623" priority="36" operator="lessThan">
      <formula>$I$9</formula>
    </cfRule>
    <cfRule type="cellIs" dxfId="6622" priority="37" operator="greaterThan">
      <formula>$I$9</formula>
    </cfRule>
  </conditionalFormatting>
  <conditionalFormatting sqref="B16:F16">
    <cfRule type="cellIs" dxfId="6621" priority="34" operator="greaterThan">
      <formula>$I$16</formula>
    </cfRule>
    <cfRule type="cellIs" dxfId="6620" priority="35" operator="lessThanOrEqual">
      <formula>$I$16</formula>
    </cfRule>
  </conditionalFormatting>
  <conditionalFormatting sqref="B15:F15">
    <cfRule type="cellIs" dxfId="6619" priority="32" operator="lessThanOrEqual">
      <formula>$I$16</formula>
    </cfRule>
    <cfRule type="cellIs" dxfId="6618" priority="33" operator="greaterThan">
      <formula>$I$16</formula>
    </cfRule>
  </conditionalFormatting>
  <conditionalFormatting sqref="B14:F14">
    <cfRule type="cellIs" dxfId="6617" priority="30" operator="greaterThan">
      <formula>$I$16</formula>
    </cfRule>
    <cfRule type="cellIs" dxfId="6616" priority="31" operator="lessThanOrEqual">
      <formula>$I$16</formula>
    </cfRule>
  </conditionalFormatting>
  <conditionalFormatting sqref="K6">
    <cfRule type="containsText" dxfId="6615" priority="25" operator="containsText" text="衰退">
      <formula>NOT(ISERROR(SEARCH("衰退",K6)))</formula>
    </cfRule>
    <cfRule type="containsText" dxfId="6614" priority="26" operator="containsText" text="成長">
      <formula>NOT(ISERROR(SEARCH("成長",K6)))</formula>
    </cfRule>
  </conditionalFormatting>
  <conditionalFormatting sqref="I4:K4">
    <cfRule type="cellIs" dxfId="6613" priority="23" operator="lessThan">
      <formula>0</formula>
    </cfRule>
    <cfRule type="cellIs" dxfId="6612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611" priority="20" operator="lessThanOrEqual">
      <formula>$I$16</formula>
    </cfRule>
    <cfRule type="cellIs" dxfId="6610" priority="21" operator="greaterThan">
      <formula>$I$16</formula>
    </cfRule>
  </conditionalFormatting>
  <conditionalFormatting sqref="I6">
    <cfRule type="containsText" dxfId="6609" priority="18" operator="containsText" text="衰退">
      <formula>NOT(ISERROR(SEARCH("衰退",I6)))</formula>
    </cfRule>
    <cfRule type="containsText" dxfId="6608" priority="19" operator="containsText" text="成長">
      <formula>NOT(ISERROR(SEARCH("成長",I6)))</formula>
    </cfRule>
  </conditionalFormatting>
  <conditionalFormatting sqref="M9">
    <cfRule type="cellIs" dxfId="6607" priority="17" operator="lessThan">
      <formula>$I$9</formula>
    </cfRule>
  </conditionalFormatting>
  <conditionalFormatting sqref="M10">
    <cfRule type="cellIs" dxfId="6606" priority="16" operator="greaterThan">
      <formula>$I$9</formula>
    </cfRule>
  </conditionalFormatting>
  <conditionalFormatting sqref="M11">
    <cfRule type="cellIs" dxfId="6605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604" priority="12" operator="lessThan">
      <formula>0</formula>
    </cfRule>
    <cfRule type="cellIs" dxfId="6603" priority="13" operator="greaterThan">
      <formula>0.5</formula>
    </cfRule>
  </conditionalFormatting>
  <conditionalFormatting sqref="N14">
    <cfRule type="cellIs" dxfId="6602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601" priority="8" operator="lessThan">
      <formula>0.1</formula>
    </cfRule>
  </conditionalFormatting>
  <conditionalFormatting sqref="I14">
    <cfRule type="cellIs" dxfId="6600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599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598" priority="1" operator="lessThan">
      <formula>$N$5*0.9</formula>
    </cfRule>
    <cfRule type="cellIs" dxfId="6597" priority="2" operator="greaterThan">
      <formula>$N$5*1.1</formula>
    </cfRule>
  </conditionalFormatting>
  <hyperlinks>
    <hyperlink ref="L1" location="儀表板!A1" display="(回首頁)" xr:uid="{00000000-0004-0000-0F00-000000000000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201801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7.96 ~ 13.11</v>
      </c>
      <c r="L1" s="83" t="s">
        <v>176</v>
      </c>
      <c r="M1" s="84" t="str">
        <f ca="1">VLOOKUP(_xlfn.NUMBERVALUE(N1),儀表板!A:B,2,FALSE)</f>
        <v>凱撒衛</v>
      </c>
      <c r="N1" s="85" t="str">
        <f ca="1">MID(CELL("filename",L1),FIND("]",CELL("filename",L1))+1,255)</f>
        <v>1817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0.27082669405002185</v>
      </c>
    </row>
    <row r="3" spans="1:15" s="93" customFormat="1" x14ac:dyDescent="0.25">
      <c r="A3" s="81" t="s">
        <v>179</v>
      </c>
      <c r="B3" s="94">
        <f>SUM(F19:F22,F24:F27,J19)</f>
        <v>83.602833320497766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42.286051946594696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46.025510378196259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49.064620360260705</v>
      </c>
      <c r="L3" s="100"/>
      <c r="M3" s="79" t="s">
        <v>385</v>
      </c>
      <c r="N3" s="92">
        <f>(F69-E69)/E69</f>
        <v>8.6849049140209494E-2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7.26</v>
      </c>
      <c r="E4" s="82">
        <f>(D4-F4)/F4</f>
        <v>0</v>
      </c>
      <c r="F4" s="103">
        <v>7.26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3.6952867670767127</v>
      </c>
    </row>
    <row r="5" spans="1:15" s="93" customFormat="1" x14ac:dyDescent="0.25">
      <c r="A5" s="81" t="s">
        <v>184</v>
      </c>
      <c r="B5" s="107">
        <f>SUM(F30:F34)*2</f>
        <v>97.884109589041103</v>
      </c>
      <c r="C5" s="87"/>
      <c r="D5" s="87"/>
      <c r="E5" s="87"/>
      <c r="F5" s="86"/>
      <c r="G5" s="88"/>
      <c r="M5" s="79" t="s">
        <v>386</v>
      </c>
      <c r="N5" s="152">
        <f>D62</f>
        <v>3.6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3.8290122507082103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16.98</v>
      </c>
      <c r="N9" s="129"/>
    </row>
    <row r="10" spans="1:15" s="93" customFormat="1" x14ac:dyDescent="0.25">
      <c r="A10" s="123" t="s">
        <v>194</v>
      </c>
      <c r="B10" s="126">
        <f>PERCENTILE(176:176,B9)</f>
        <v>11.29</v>
      </c>
      <c r="C10" s="126">
        <f>PERCENTILE(176:176,C9)</f>
        <v>11.5625</v>
      </c>
      <c r="D10" s="126">
        <f>PERCENTILE(176:176,D9)</f>
        <v>12.585000000000001</v>
      </c>
      <c r="E10" s="126">
        <f>PERCENTILE(176:176,E9)</f>
        <v>13.416</v>
      </c>
      <c r="F10" s="126">
        <f>PERCENTILE(176:176,F9)</f>
        <v>14.048</v>
      </c>
      <c r="G10" s="95"/>
      <c r="H10" s="135"/>
      <c r="I10" s="135"/>
      <c r="J10" s="135"/>
      <c r="K10" s="135"/>
      <c r="L10" s="136" t="s">
        <v>374</v>
      </c>
      <c r="M10" s="130">
        <f>MIN(176:176)</f>
        <v>11.06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21.31</v>
      </c>
      <c r="L11" s="272" t="s">
        <v>193</v>
      </c>
      <c r="M11" s="128">
        <f>STDEV(176:176)</f>
        <v>1.5106834728204639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26.610644257703086</v>
      </c>
      <c r="C13" s="141">
        <f>$B$34/5.88%</f>
        <v>32.312925170068027</v>
      </c>
      <c r="D13" s="141">
        <f>$B$34/5%</f>
        <v>38</v>
      </c>
      <c r="E13" s="141">
        <f>$B$34/4.35%</f>
        <v>43.678160919540232</v>
      </c>
      <c r="F13" s="141">
        <f>$B$34/3.85%</f>
        <v>49.350649350649356</v>
      </c>
      <c r="G13" s="138" t="str">
        <f>"$"&amp;ROUND(B34,2)&amp;"/"&amp;IF(STDEV(C140:F140)/AVERAGE(C140:F140)&lt;15%,"高",IF(STDEV(C140:F140)/AVERAGE(C140:F140)&lt;30%,"中","低"))</f>
        <v>$1.9/高</v>
      </c>
      <c r="H13" s="142" t="s">
        <v>199</v>
      </c>
      <c r="I13" s="143">
        <f>MAX(0,1-J15)</f>
        <v>0.3529411764705882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32.966799999999999</v>
      </c>
      <c r="C14" s="141">
        <f>$B$33*C10</f>
        <v>33.762500000000003</v>
      </c>
      <c r="D14" s="141">
        <f>$B$33*D10</f>
        <v>36.748200000000004</v>
      </c>
      <c r="E14" s="141">
        <f>$B$33*E10</f>
        <v>39.174720000000008</v>
      </c>
      <c r="F14" s="141">
        <f>$B$33*F10</f>
        <v>41.020160000000004</v>
      </c>
      <c r="G14" s="138" t="str">
        <f>"$"&amp;ROUND(B33,2)&amp;"/"&amp;IF(STDEV(B69:E69)/AVERAGE(B69:E69)&lt;15%,"高",IF(STDEV(B69:E69)/AVERAGE(B69:E69)&lt;30%,"中","低"))</f>
        <v>$2.92/中</v>
      </c>
      <c r="H14" s="142" t="s">
        <v>203</v>
      </c>
      <c r="I14" s="145">
        <f>G62/100*I13</f>
        <v>6.0035294117647062E-2</v>
      </c>
      <c r="J14" s="76" t="s">
        <v>204</v>
      </c>
      <c r="K14" s="146"/>
      <c r="L14" s="147">
        <f>(HLOOKUP($C$1,$105:$106,2,FALSE)-HLOOKUP($C$1,$117:$127,9,FALSE))/(HLOOKUP($C$1,$117:$128,12,FALSE)/K11)</f>
        <v>2.3811959934007736</v>
      </c>
      <c r="M14" s="148">
        <f>E135/E69</f>
        <v>0.38529411764705879</v>
      </c>
      <c r="N14" s="149">
        <f>F173/100</f>
        <v>1.0431999999999999</v>
      </c>
    </row>
    <row r="15" spans="1:15" s="93" customFormat="1" x14ac:dyDescent="0.25">
      <c r="A15" s="140" t="s">
        <v>375</v>
      </c>
      <c r="B15" s="141">
        <f>$D$62*B10</f>
        <v>40.643999999999998</v>
      </c>
      <c r="C15" s="141">
        <f>$D$62*C10</f>
        <v>41.625</v>
      </c>
      <c r="D15" s="141">
        <f>$D$62*D10</f>
        <v>45.306000000000004</v>
      </c>
      <c r="E15" s="141">
        <f>$D$62*E10</f>
        <v>48.297600000000003</v>
      </c>
      <c r="F15" s="141">
        <f>$D$62*F10</f>
        <v>50.572800000000001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0.6470588235294118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41.71978760029608</v>
      </c>
      <c r="C16" s="141">
        <f>$F$69*C10</f>
        <v>42.726753244324492</v>
      </c>
      <c r="D16" s="141">
        <f>$F$69*D10</f>
        <v>46.505183963660429</v>
      </c>
      <c r="E16" s="141">
        <f>$F$69*E10</f>
        <v>49.575967267101177</v>
      </c>
      <c r="F16" s="141">
        <f>$F$69*F10</f>
        <v>51.911388503893662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120</v>
      </c>
      <c r="J17" s="92">
        <f ca="1">IF(I17&lt;=0,"",IF(I17&lt;=MIN($B$13:$F$16),(I17-MIN($B$13:$F$16))/MIN($B$13:$F$16),IF(I17&gt;=MAX($B$13:$F$16),I17/MAX($B$13:$F$16),PERCENTRANK($B$13:$F$16,I17))))</f>
        <v>2.3116314831570972</v>
      </c>
      <c r="K17" s="78" t="s">
        <v>206</v>
      </c>
      <c r="L17" s="153">
        <f ca="1">VLOOKUP(_xlfn.NUMBERVALUE(N1),儀表板!A:G,6,FALSE)</f>
        <v>37.950000000000003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1.8575000000000002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0.97763157894736841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0.18338919313325369</v>
      </c>
      <c r="J20" s="171">
        <f>HLOOKUP($C$1,$117:$127,11,FALSE)/HLOOKUP($C$1,$105:$115,11,FALSE)</f>
        <v>0.22482099473207343</v>
      </c>
      <c r="K20" s="163"/>
    </row>
    <row r="21" spans="1:14" s="93" customFormat="1" x14ac:dyDescent="0.25">
      <c r="A21" s="151" t="s">
        <v>201</v>
      </c>
      <c r="B21" s="161">
        <f>AVERAGE(C173:F173)/100</f>
        <v>1.0863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3.2750282544515175</v>
      </c>
      <c r="J21" s="78"/>
      <c r="K21" s="164" t="s">
        <v>356</v>
      </c>
      <c r="L21" s="165">
        <f>HLOOKUP($C$1,$105:$115,7,FALSE)/HLOOKUP($C$1,$105:$115,11,FALSE)</f>
        <v>0.56925729852385798</v>
      </c>
      <c r="M21" s="123" t="s">
        <v>268</v>
      </c>
      <c r="N21" s="165">
        <f>HLOOKUP($C$1,$117:$127,8,FALSE)/HLOOKUP($C$1,$117:$127,11,FALSE)</f>
        <v>0.77313741574235884</v>
      </c>
    </row>
    <row r="22" spans="1:14" s="93" customFormat="1" x14ac:dyDescent="0.25">
      <c r="A22" s="140" t="s">
        <v>222</v>
      </c>
      <c r="B22" s="161">
        <f>(-1)*SUM(C133:F133)/SUM(C132:F132)</f>
        <v>0.4141732283464567</v>
      </c>
      <c r="C22" s="157"/>
      <c r="D22" s="166"/>
      <c r="E22" s="140"/>
      <c r="F22" s="159">
        <f>IF(B22&lt;=0,10,IF(B22&gt;=100%,0,(1-B22)*10))</f>
        <v>5.8582677165354324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1.735472022326783</v>
      </c>
      <c r="J22" s="78"/>
      <c r="K22" s="142" t="s">
        <v>357</v>
      </c>
      <c r="L22" s="165">
        <f>HLOOKUP($C$1,$105:$115,4,FALSE)/HLOOKUP($C$1,$105:$115,11,FALSE)</f>
        <v>0.12583138224941268</v>
      </c>
      <c r="M22" s="123" t="s">
        <v>353</v>
      </c>
      <c r="N22" s="165">
        <f>HLOOKUP($C$1,$117:$127,4,FALSE)/HLOOKUP($C$1,$117:$127,11,FALSE)</f>
        <v>0.18428795606120046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1.29002461780343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0.26760185058973518</v>
      </c>
      <c r="M23" s="123" t="s">
        <v>354</v>
      </c>
      <c r="N23" s="165">
        <f>IF(HLOOKUP($C$1,$117:$127,5,FALSE)="無",0,HLOOKUP($C$1,$117:$127,5,FALSE))/HLOOKUP($C$1,$117:$127,11,FALSE)</f>
        <v>1.0592389172224402E-2</v>
      </c>
    </row>
    <row r="24" spans="1:14" s="93" customFormat="1" x14ac:dyDescent="0.25">
      <c r="A24" s="164" t="s">
        <v>228</v>
      </c>
      <c r="B24" s="127">
        <f>AVERAGE(C103:F103)</f>
        <v>0.99999898830889755</v>
      </c>
      <c r="C24" s="169">
        <f>STDEV(C103:F103)</f>
        <v>2.0233822047854844E-6</v>
      </c>
      <c r="D24" s="76" t="str">
        <f>IF(C24/B24&lt;15%,"高",IF(C24/B24&lt;30%,"中","低"))</f>
        <v>高</v>
      </c>
      <c r="E24" s="149"/>
      <c r="F24" s="160">
        <f>MIN(100%,B24)*5</f>
        <v>4.9999949415444878</v>
      </c>
      <c r="G24" s="88" t="s">
        <v>229</v>
      </c>
      <c r="H24" s="123" t="s">
        <v>16</v>
      </c>
      <c r="I24" s="170">
        <f>HLOOKUP(C1,167:170,2,FALSE)</f>
        <v>38.299999999999997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8.5547679947400909E-2</v>
      </c>
      <c r="M24" s="123" t="s">
        <v>355</v>
      </c>
      <c r="N24" s="165">
        <f>HLOOKUP($C$1,$117:$127,9,FALSE)/HLOOKUP($C$1,$117:$127,11,FALSE)</f>
        <v>0.22686258425764114</v>
      </c>
    </row>
    <row r="25" spans="1:14" s="93" customFormat="1" x14ac:dyDescent="0.25">
      <c r="A25" s="151" t="s">
        <v>366</v>
      </c>
      <c r="B25" s="255">
        <f>AVERAGE(94:94)</f>
        <v>1209.25</v>
      </c>
      <c r="C25" s="254">
        <f>STDEV(94:94)/AVERAGE(94:94)</f>
        <v>1.7554293375821495</v>
      </c>
      <c r="D25" s="76" t="str">
        <f>IF(C25&lt;=1,"高",IF(C25&lt;=2,"中","低"))</f>
        <v>中</v>
      </c>
      <c r="E25" s="149"/>
      <c r="F25" s="160">
        <f>MAX(0,10-ABS(C25))</f>
        <v>8.2445706624178499</v>
      </c>
      <c r="G25" s="88" t="s">
        <v>213</v>
      </c>
      <c r="H25" s="123" t="s">
        <v>232</v>
      </c>
      <c r="I25" s="170">
        <f>IF(HLOOKUP(C1,167:170,3,FALSE)="無",0,HLOOKUP(C1,167:170,3,FALSE))</f>
        <v>120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33.08</v>
      </c>
      <c r="C26" s="172">
        <f>IF(COUNTIF(168:168,"&gt;0")=0,0,STDEV(168:168))</f>
        <v>5.5749479319940436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101.29789473684211</v>
      </c>
      <c r="C27" s="172">
        <f>IF(COUNTIF(169:169,"&gt;0")=0,0,STDEV(169:169))</f>
        <v>11.684568921324962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0.31195000000000001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0.10122499999999998</v>
      </c>
      <c r="C31" s="157" t="s">
        <v>217</v>
      </c>
      <c r="D31" s="174">
        <f>COUNTIF(149:149,"&gt;8")/COUNT(149:149)</f>
        <v>0.94736842105263153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14.985000000000001</v>
      </c>
      <c r="C32" s="157" t="s">
        <v>217</v>
      </c>
      <c r="D32" s="174">
        <f>COUNTIF(159:159,"&gt;3")/COUNT(159:159)</f>
        <v>0.89473684210526316</v>
      </c>
      <c r="E32" s="140" t="s">
        <v>242</v>
      </c>
      <c r="F32" s="159">
        <f>MIN(B32/15*10,10)</f>
        <v>9.990000000000002</v>
      </c>
      <c r="G32" s="135"/>
    </row>
    <row r="33" spans="1:14" x14ac:dyDescent="0.25">
      <c r="A33" s="155" t="s">
        <v>14</v>
      </c>
      <c r="B33" s="156">
        <f>AVERAGE(B69:E69)</f>
        <v>2.9200000000000004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1.9000000000000001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8.9520547945205475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2027753.25</v>
      </c>
      <c r="C36" s="178">
        <f>STDEV(C97:F97)</f>
        <v>230726.52124737776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31.195</v>
      </c>
      <c r="C37" s="180">
        <f>STDEV(C152:F152)</f>
        <v>0.92092344958742389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13.6</v>
      </c>
      <c r="C38" s="180">
        <f>STDEV(C153:F153)</f>
        <v>1.2819776389105497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14.985000000000001</v>
      </c>
      <c r="C39" s="181">
        <f>STDEV(C165:F165)</f>
        <v>1.2575770354137357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2.9200000000000004</v>
      </c>
      <c r="C40" s="183">
        <f>STDEV(B69:E69)</f>
        <v>0.44188988070181462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5.6179775280898799E-2</v>
      </c>
      <c r="C44" s="186">
        <f>(C46-C49)/C49</f>
        <v>0.17333333333333334</v>
      </c>
      <c r="D44" s="186">
        <f>(D46-D49)/D49</f>
        <v>3.1250000000000028E-2</v>
      </c>
      <c r="E44" s="186">
        <f>(E46-E49)/E49</f>
        <v>0.13131313131313144</v>
      </c>
      <c r="G44" s="86" t="s">
        <v>175</v>
      </c>
      <c r="H44" s="186">
        <f>(H47-H50)/H50</f>
        <v>-2.6332691072575416E-2</v>
      </c>
      <c r="I44" s="186">
        <f>(I47-I50)/I50</f>
        <v>8.2172701949860566E-2</v>
      </c>
      <c r="J44" s="186">
        <f>(J47-J50)/J50</f>
        <v>4.801324503311246E-2</v>
      </c>
      <c r="K44" s="186">
        <f>(K47-K50)/K50</f>
        <v>8.9801154586273149E-2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0.94</v>
      </c>
      <c r="C46" s="152">
        <f>HLOOKUP(C45,$81:$82,2,FALSE)</f>
        <v>0.88</v>
      </c>
      <c r="D46" s="152">
        <f>HLOOKUP(D45,$81:$82,2,FALSE)</f>
        <v>0.66</v>
      </c>
      <c r="E46" s="152">
        <f>HLOOKUP(E45,$81:$82,2,FALSE)</f>
        <v>1.1200000000000001</v>
      </c>
      <c r="G46" s="86" t="s">
        <v>164</v>
      </c>
      <c r="H46" s="145">
        <f>HLOOKUP(H45,$145:$147,2,FALSE)/100</f>
        <v>0.33789999999999998</v>
      </c>
      <c r="I46" s="145">
        <f>HLOOKUP(I45,$145:$147,2,FALSE)/100</f>
        <v>0.3427</v>
      </c>
      <c r="J46" s="145">
        <f>HLOOKUP(J45,$145:$147,2,FALSE)/100</f>
        <v>0.3231</v>
      </c>
      <c r="K46" s="145">
        <f>HLOOKUP(K45,$145:$147,2,FALSE)/100</f>
        <v>0.33310000000000001</v>
      </c>
    </row>
    <row r="47" spans="1:14" x14ac:dyDescent="0.25">
      <c r="A47" s="188" t="s">
        <v>165</v>
      </c>
      <c r="B47" s="189">
        <f>HLOOKUP(B45,$157:$159,3,FALSE)</f>
        <v>4.4800000000000004</v>
      </c>
      <c r="C47" s="189">
        <f>HLOOKUP(C45,$157:$159,3,FALSE)</f>
        <v>4.1900000000000004</v>
      </c>
      <c r="D47" s="189">
        <f>HLOOKUP(D45,$157:$159,3,FALSE)</f>
        <v>3.04</v>
      </c>
      <c r="E47" s="189">
        <f>HLOOKUP(E45,$157:$159,3,FALSE)</f>
        <v>5.3</v>
      </c>
      <c r="G47" s="190" t="s">
        <v>166</v>
      </c>
      <c r="H47" s="145">
        <f>HLOOKUP(H45,$145:$147,3,FALSE)/100</f>
        <v>0.15160000000000001</v>
      </c>
      <c r="I47" s="145">
        <f>HLOOKUP(I45,$145:$147,3,FALSE)/100</f>
        <v>0.15539999999999998</v>
      </c>
      <c r="J47" s="145">
        <f>HLOOKUP(J45,$145:$147,3,FALSE)/100</f>
        <v>0.12659999999999999</v>
      </c>
      <c r="K47" s="145">
        <f>HLOOKUP(K45,$145:$147,3,FALSE)/100</f>
        <v>0.1699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0.89</v>
      </c>
      <c r="C49" s="152">
        <f>HLOOKUP(C48,$81:$82,2,FALSE)</f>
        <v>0.75</v>
      </c>
      <c r="D49" s="152">
        <f>HLOOKUP(D48,$81:$82,2,FALSE)</f>
        <v>0.64</v>
      </c>
      <c r="E49" s="152">
        <f>HLOOKUP(E48,$81:$82,2,FALSE)</f>
        <v>0.99</v>
      </c>
      <c r="G49" s="86" t="s">
        <v>164</v>
      </c>
      <c r="H49" s="145">
        <f>HLOOKUP(H48,$145:$147,2,FALSE)/100</f>
        <v>0.3201</v>
      </c>
      <c r="I49" s="145">
        <f>HLOOKUP(I48,$145:$147,2,FALSE)/100</f>
        <v>0.30659999999999998</v>
      </c>
      <c r="J49" s="145">
        <f>HLOOKUP(J48,$145:$147,2,FALSE)/100</f>
        <v>0.31129999999999997</v>
      </c>
      <c r="K49" s="145">
        <f>HLOOKUP(K48,$145:$147,2,FALSE)/100</f>
        <v>0.33159999999999995</v>
      </c>
    </row>
    <row r="50" spans="1:15" x14ac:dyDescent="0.25">
      <c r="A50" s="188" t="s">
        <v>165</v>
      </c>
      <c r="B50" s="189">
        <f>HLOOKUP(B48,$157:$159,3,FALSE)</f>
        <v>4.38</v>
      </c>
      <c r="C50" s="189">
        <f>HLOOKUP(C48,$157:$159,3,FALSE)</f>
        <v>3.68</v>
      </c>
      <c r="D50" s="189">
        <f>HLOOKUP(D48,$157:$159,3,FALSE)</f>
        <v>3.09</v>
      </c>
      <c r="E50" s="189">
        <f>HLOOKUP(E48,$157:$159,3,FALSE)</f>
        <v>4.95</v>
      </c>
      <c r="G50" s="190" t="s">
        <v>166</v>
      </c>
      <c r="H50" s="145">
        <f>HLOOKUP(H48,$145:$147,3,FALSE)/100</f>
        <v>0.15570000000000001</v>
      </c>
      <c r="I50" s="145">
        <f>HLOOKUP(I48,$145:$147,3,FALSE)/100</f>
        <v>0.14360000000000001</v>
      </c>
      <c r="J50" s="145">
        <f>HLOOKUP(J48,$145:$147,3,FALSE)/100</f>
        <v>0.1208</v>
      </c>
      <c r="K50" s="145">
        <f>HLOOKUP(K48,$145:$147,3,FALSE)/100</f>
        <v>0.15590000000000001</v>
      </c>
    </row>
    <row r="51" spans="1:15" x14ac:dyDescent="0.25">
      <c r="A51" s="86" t="s">
        <v>351</v>
      </c>
      <c r="B51" s="186">
        <f>(B47-B50)/B50</f>
        <v>2.2831050228310626E-2</v>
      </c>
      <c r="C51" s="186">
        <f>(C47-C50)/C50</f>
        <v>0.13858695652173919</v>
      </c>
      <c r="D51" s="186">
        <f>(D47-D50)/D50</f>
        <v>-1.6181229773462726E-2</v>
      </c>
      <c r="E51" s="186">
        <f>(E47-E50)/E50</f>
        <v>7.0707070707070635E-2</v>
      </c>
      <c r="G51" s="235" t="s">
        <v>174</v>
      </c>
      <c r="H51" s="186">
        <f>(H46-H49)/H49</f>
        <v>5.560762261793184E-2</v>
      </c>
      <c r="I51" s="186">
        <f>(I46-I49)/I49</f>
        <v>0.11774298760600138</v>
      </c>
      <c r="J51" s="186">
        <f>(J46-J49)/J49</f>
        <v>3.7905557340186427E-2</v>
      </c>
      <c r="K51" s="186">
        <f>(K46-K49)/K49</f>
        <v>4.5235223160435978E-3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3.8290122507082103</v>
      </c>
      <c r="B53" s="193">
        <f>B46</f>
        <v>0.94</v>
      </c>
      <c r="C53" s="193">
        <f>E46/HLOOKUP(E45,$87:$94,5,FALSE)*HLOOKUP(E45,$87:$94,4,FALSE)*($B$25/HLOOKUP(E45,$87:$94,4,FALSE)+SUM($B$57:$D$57)/SUM($B58:$D$58)*$G$69/100/K46)</f>
        <v>1.2152867670767125</v>
      </c>
      <c r="D53" s="193">
        <f>D46/HLOOKUP(D45,$87:$94,5,FALSE)*HLOOKUP(D45,$87:$94,4,FALSE)*($B$25/HLOOKUP(D45,$87:$94,4,FALSE)+SUM($B$57:$D$57)/SUM($B58:$D$58)*$G$69/100/J46)</f>
        <v>0.74917555518132739</v>
      </c>
      <c r="E53" s="193">
        <f>C46/HLOOKUP(C45,$87:$94,5,FALSE)*HLOOKUP(C45,$87:$94,4,FALSE)*($B$25/HLOOKUP(C45,$87:$94,4,FALSE)+SUM($B$57:$D$57)/SUM($B58:$D$58)*$G$69/100/I46)</f>
        <v>0.92454992845017048</v>
      </c>
    </row>
    <row r="54" spans="1:15" x14ac:dyDescent="0.25">
      <c r="A54" s="278">
        <f>SUM(B54:E54)</f>
        <v>3.5500000000000003</v>
      </c>
      <c r="B54" s="277">
        <f t="shared" ref="B54:D54" si="0">HLOOKUP(B52-10,81:82,2,FALSE)</f>
        <v>0.89</v>
      </c>
      <c r="C54" s="277">
        <f t="shared" si="0"/>
        <v>1.1200000000000001</v>
      </c>
      <c r="D54" s="277">
        <f t="shared" si="0"/>
        <v>0.66</v>
      </c>
      <c r="E54" s="277">
        <f>HLOOKUP(E52-10,81:82,2,FALSE)</f>
        <v>0.88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201801</v>
      </c>
      <c r="C56" s="194">
        <f>IF(B56-ROUNDDOWN(B56/100,0)*100-1=0,(ROUNDDOWN(B56/100,0)-1)*100+12,B56-1)</f>
        <v>201712</v>
      </c>
      <c r="D56" s="194">
        <f>IF(C56-ROUNDDOWN(C56/100,0)*100-1=0,(ROUNDDOWN(C56/100,0)-1)*100+12,C56-1)</f>
        <v>201711</v>
      </c>
      <c r="E56" s="194">
        <f>IF(D56-ROUNDDOWN(D56/100,0)*100-1=0,(ROUNDDOWN(D56/100,0)-1)*100+12,D56-1)</f>
        <v>201710</v>
      </c>
      <c r="F56" s="194">
        <f>IF(E56-ROUNDDOWN(E56/100,0)*100-1=0,(ROUNDDOWN(E56/100,0)-1)*100+12,E56-1)</f>
        <v>201709</v>
      </c>
      <c r="G56" s="194">
        <f t="shared" ref="G56:M56" si="1">IF(F56-ROUNDDOWN(F56/100,0)*100-1=0,(ROUNDDOWN(F56/100,0)-1)*100+12,F56-1)</f>
        <v>201708</v>
      </c>
      <c r="H56" s="194">
        <f t="shared" si="1"/>
        <v>201707</v>
      </c>
      <c r="I56" s="194">
        <f t="shared" si="1"/>
        <v>201706</v>
      </c>
      <c r="J56" s="194">
        <f t="shared" si="1"/>
        <v>201705</v>
      </c>
      <c r="K56" s="194">
        <f t="shared" si="1"/>
        <v>201704</v>
      </c>
      <c r="L56" s="194">
        <f t="shared" si="1"/>
        <v>201703</v>
      </c>
      <c r="M56" s="194">
        <f t="shared" si="1"/>
        <v>201702</v>
      </c>
      <c r="N56" s="138"/>
    </row>
    <row r="57" spans="1:15" x14ac:dyDescent="0.25">
      <c r="A57" s="195" t="s">
        <v>252</v>
      </c>
      <c r="B57" s="196">
        <f>HLOOKUP(B56,78:79,2,FALSE)</f>
        <v>244408</v>
      </c>
      <c r="C57" s="196">
        <f>HLOOKUP(C56,78:79,2,FALSE)</f>
        <v>223715</v>
      </c>
      <c r="D57" s="196">
        <f>HLOOKUP(D56,78:79,2,FALSE)</f>
        <v>209797</v>
      </c>
      <c r="E57" s="196">
        <f>HLOOKUP(E56,78:79,2,FALSE)</f>
        <v>195890</v>
      </c>
      <c r="F57" s="196">
        <f>HLOOKUP(F56,78:79,2,FALSE)</f>
        <v>184587</v>
      </c>
      <c r="G57" s="196">
        <f t="shared" ref="G57:M57" si="2">HLOOKUP(G56,78:79,2,FALSE)</f>
        <v>208995</v>
      </c>
      <c r="H57" s="196">
        <f t="shared" si="2"/>
        <v>186258</v>
      </c>
      <c r="I57" s="196">
        <f t="shared" si="2"/>
        <v>184133</v>
      </c>
      <c r="J57" s="196">
        <f t="shared" si="2"/>
        <v>205137</v>
      </c>
      <c r="K57" s="196">
        <f t="shared" si="2"/>
        <v>178215</v>
      </c>
      <c r="L57" s="196">
        <f t="shared" si="2"/>
        <v>223870</v>
      </c>
      <c r="M57" s="196">
        <f t="shared" si="2"/>
        <v>97472</v>
      </c>
      <c r="N57" s="197"/>
    </row>
    <row r="58" spans="1:15" x14ac:dyDescent="0.25">
      <c r="A58" s="198" t="s">
        <v>253</v>
      </c>
      <c r="B58" s="196">
        <f>HLOOKUP(B56-100,78:79,2,FALSE)</f>
        <v>171907</v>
      </c>
      <c r="C58" s="196">
        <f>HLOOKUP(C56-100,78:79,2,FALSE)</f>
        <v>237849</v>
      </c>
      <c r="D58" s="196">
        <f>HLOOKUP(D56-100,78:79,2,FALSE)</f>
        <v>205717</v>
      </c>
      <c r="E58" s="196">
        <f>HLOOKUP(E56-100,78:79,2,FALSE)</f>
        <v>177351</v>
      </c>
      <c r="F58" s="196">
        <f>HLOOKUP(F56-100,78:79,2,FALSE)</f>
        <v>173699</v>
      </c>
      <c r="G58" s="196">
        <f t="shared" ref="G58:M58" si="3">HLOOKUP(G56-100,78:79,2,FALSE)</f>
        <v>196723</v>
      </c>
      <c r="H58" s="196">
        <f t="shared" si="3"/>
        <v>179345</v>
      </c>
      <c r="I58" s="196">
        <f t="shared" si="3"/>
        <v>180267</v>
      </c>
      <c r="J58" s="196">
        <f t="shared" si="3"/>
        <v>182430</v>
      </c>
      <c r="K58" s="196">
        <f t="shared" si="3"/>
        <v>183380</v>
      </c>
      <c r="L58" s="196">
        <f t="shared" si="3"/>
        <v>186514</v>
      </c>
      <c r="M58" s="196">
        <f t="shared" si="3"/>
        <v>94381</v>
      </c>
      <c r="N58" s="197"/>
    </row>
    <row r="59" spans="1:15" x14ac:dyDescent="0.25">
      <c r="A59" s="199" t="s">
        <v>254</v>
      </c>
      <c r="B59" s="165">
        <f>IF(B57&lt;&gt;"",(B57-B58)/B58,"")</f>
        <v>0.42174547865997314</v>
      </c>
      <c r="C59" s="165">
        <f>IF(C57&lt;&gt;"",(C57-C58)/C58,"")</f>
        <v>-5.9424256566140705E-2</v>
      </c>
      <c r="D59" s="165">
        <f>IF(D57&lt;&gt;"",(D57-D58)/D58,"")</f>
        <v>1.9833071646971324E-2</v>
      </c>
      <c r="E59" s="165">
        <f>IF(E57&lt;&gt;"",(E57-E58)/E58,"")</f>
        <v>0.10453281909884918</v>
      </c>
      <c r="F59" s="165">
        <f>IF(F57&lt;&gt;"",(F57-F58)/F58,"")</f>
        <v>6.2683147283519189E-2</v>
      </c>
      <c r="G59" s="165">
        <f t="shared" ref="G59:M59" si="4">IF(G57&lt;&gt;"",(G57-G58)/G58,"")</f>
        <v>6.2382131220040361E-2</v>
      </c>
      <c r="H59" s="165">
        <f t="shared" si="4"/>
        <v>3.8545819509883186E-2</v>
      </c>
      <c r="I59" s="165">
        <f t="shared" si="4"/>
        <v>2.1445966261157062E-2</v>
      </c>
      <c r="J59" s="165">
        <f t="shared" si="4"/>
        <v>0.12446965959546127</v>
      </c>
      <c r="K59" s="165">
        <f t="shared" si="4"/>
        <v>-2.8165557857999783E-2</v>
      </c>
      <c r="L59" s="165">
        <f t="shared" si="4"/>
        <v>0.2002852332800755</v>
      </c>
      <c r="M59" s="165">
        <f t="shared" si="4"/>
        <v>3.275023574660154E-2</v>
      </c>
    </row>
    <row r="60" spans="1:15" x14ac:dyDescent="0.25">
      <c r="A60" s="195" t="s">
        <v>255</v>
      </c>
      <c r="B60" s="196">
        <f>SUM(B57:M57)</f>
        <v>2342477</v>
      </c>
    </row>
    <row r="61" spans="1:15" x14ac:dyDescent="0.25">
      <c r="A61" s="198" t="s">
        <v>256</v>
      </c>
      <c r="B61" s="196">
        <f>SUM(B58:M58)</f>
        <v>2169563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1.079699921136192</v>
      </c>
      <c r="D62" s="152">
        <f>SUM(B46:E46)</f>
        <v>3.6</v>
      </c>
      <c r="E62" s="152">
        <f>SUM(B49:E49)</f>
        <v>3.2700000000000005</v>
      </c>
      <c r="G62" s="126">
        <f>SUM(B47:E47)</f>
        <v>17.010000000000002</v>
      </c>
      <c r="H62" s="126">
        <f>SUM(B50:E50)</f>
        <v>16.100000000000001</v>
      </c>
      <c r="J62" s="200">
        <f>AVERAGE(H46:K46)</f>
        <v>0.3342</v>
      </c>
      <c r="K62" s="200">
        <f>AVERAGE(H49:K49)</f>
        <v>0.31739999999999996</v>
      </c>
      <c r="M62" s="200">
        <f>AVERAGE(H47:K47)</f>
        <v>0.15087499999999998</v>
      </c>
      <c r="N62" s="200">
        <f>AVERAGE(H50:K50)</f>
        <v>0.14400000000000002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2" x14ac:dyDescent="0.25">
      <c r="A65" s="204">
        <v>1</v>
      </c>
      <c r="B65" s="205">
        <f t="shared" ref="B65:E67" si="5">HLOOKUP(B$64*10+$A65,$81:$82,2,FALSE)</f>
        <v>0.52</v>
      </c>
      <c r="C65" s="205">
        <f t="shared" si="5"/>
        <v>0.43</v>
      </c>
      <c r="D65" s="205">
        <f t="shared" si="5"/>
        <v>0.57999999999999996</v>
      </c>
      <c r="E65" s="205">
        <f t="shared" si="5"/>
        <v>0.64</v>
      </c>
      <c r="F65" s="206">
        <f>IF(ISNA(HLOOKUP(F$64*10+$A65,$81:$82,2,FALSE)),(HLOOKUP(E$64*10+$A65,$87:$94,4,FALSE)*$G65+$B$25)/HLOOKUP(E$64*10+$A65,$87:$94,5,FALSE)*$E65,HLOOKUP(F$64*10+$A65,$81:$82,2,FALSE))</f>
        <v>0.66</v>
      </c>
      <c r="G65" s="101">
        <f>MIN(130%,SUM($B$57:$D$57)/SUM($B$58:$D$58)*$G$69/HLOOKUP(E$64*10+$A65,$145:$146,2,FALSE))</f>
        <v>1.1813231867436931</v>
      </c>
      <c r="H65" s="204">
        <v>1</v>
      </c>
      <c r="I65" s="208">
        <f t="shared" ref="I65:M68" si="6">IF(ISNA(HLOOKUP(I$64*10+$H65,$145:$147,3,FALSE)),"",HLOOKUP(I$64*10+$H65,$145:$147,3,FALSE)/100)</f>
        <v>0.1186</v>
      </c>
      <c r="J65" s="208">
        <f t="shared" si="6"/>
        <v>9.2799999999999994E-2</v>
      </c>
      <c r="K65" s="208">
        <f t="shared" si="6"/>
        <v>0.11650000000000001</v>
      </c>
      <c r="L65" s="208">
        <f t="shared" si="6"/>
        <v>0.1208</v>
      </c>
      <c r="M65" s="209">
        <f t="shared" si="6"/>
        <v>0.12659999999999999</v>
      </c>
      <c r="N65" s="256">
        <f t="shared" ref="N65:O68" si="7">HLOOKUP(E$64*10+$A65,$87:$94,8,FALSE)</f>
        <v>1837</v>
      </c>
      <c r="O65" s="256">
        <f t="shared" si="7"/>
        <v>1234</v>
      </c>
      <c r="P65" s="210"/>
    </row>
    <row r="66" spans="1:72" x14ac:dyDescent="0.25">
      <c r="A66" s="204">
        <v>2</v>
      </c>
      <c r="B66" s="205">
        <f t="shared" si="5"/>
        <v>0.64</v>
      </c>
      <c r="C66" s="205">
        <f t="shared" si="5"/>
        <v>0.56000000000000005</v>
      </c>
      <c r="D66" s="205">
        <f t="shared" si="5"/>
        <v>0.65</v>
      </c>
      <c r="E66" s="205">
        <f t="shared" si="5"/>
        <v>0.75</v>
      </c>
      <c r="F66" s="206">
        <f>IF(ISNA(HLOOKUP(F$64*10+$A66,$81:$82,2,FALSE)),(HLOOKUP(E$64*10+$A66,$87:$94,4,FALSE)*$G66+$B$25)/HLOOKUP(E$64*10+$A66,$87:$94,5,FALSE)*$E66,HLOOKUP(F$64*10+$A66,$81:$82,2,FALSE))</f>
        <v>0.88</v>
      </c>
      <c r="G66" s="101">
        <f>MIN(130%,SUM($B$57:$D$57)/SUM($B$58:$D$58)*$G$69/HLOOKUP(E$64*10+$A66,$145:$146,2,FALSE))</f>
        <v>1.1994321853663132</v>
      </c>
      <c r="H66" s="204">
        <v>2</v>
      </c>
      <c r="I66" s="208">
        <f t="shared" si="6"/>
        <v>0.11939999999999999</v>
      </c>
      <c r="J66" s="208">
        <f t="shared" si="6"/>
        <v>0.1188</v>
      </c>
      <c r="K66" s="208">
        <f t="shared" si="6"/>
        <v>0.13220000000000001</v>
      </c>
      <c r="L66" s="208">
        <f t="shared" si="6"/>
        <v>0.14360000000000001</v>
      </c>
      <c r="M66" s="209">
        <f t="shared" si="6"/>
        <v>0.15539999999999998</v>
      </c>
      <c r="N66" s="256">
        <f t="shared" si="7"/>
        <v>1412</v>
      </c>
      <c r="O66" s="256">
        <f t="shared" si="7"/>
        <v>3036</v>
      </c>
      <c r="P66" s="210"/>
    </row>
    <row r="67" spans="1:72" x14ac:dyDescent="0.25">
      <c r="A67" s="204">
        <v>3</v>
      </c>
      <c r="B67" s="205">
        <f t="shared" si="5"/>
        <v>0.56999999999999995</v>
      </c>
      <c r="C67" s="205">
        <f t="shared" si="5"/>
        <v>0.76</v>
      </c>
      <c r="D67" s="205">
        <f t="shared" si="5"/>
        <v>0.97</v>
      </c>
      <c r="E67" s="205">
        <f t="shared" si="5"/>
        <v>0.89</v>
      </c>
      <c r="F67" s="206">
        <f>IF(ISNA(HLOOKUP(F$64*10+$A67,$81:$82,2,FALSE)),(HLOOKUP(E$64*10+$A67,$87:$94,4,FALSE)*$G67+$B$25)/HLOOKUP(E$64*10+$A67,$87:$94,5,FALSE)*$E67,HLOOKUP(F$64*10+$A67,$81:$82,2,FALSE))</f>
        <v>0.94</v>
      </c>
      <c r="G67" s="101">
        <f>MIN(130%,SUM($B$57:$D$57)/SUM($B$58:$D$58)*$G$69/HLOOKUP(E$64*10+$A67,$145:$146,2,FALSE))</f>
        <v>1.14884694793287</v>
      </c>
      <c r="H67" s="204">
        <v>3</v>
      </c>
      <c r="I67" s="208">
        <f t="shared" si="6"/>
        <v>0.1336</v>
      </c>
      <c r="J67" s="208">
        <f t="shared" si="6"/>
        <v>0.14169999999999999</v>
      </c>
      <c r="K67" s="208">
        <f t="shared" si="6"/>
        <v>0.17</v>
      </c>
      <c r="L67" s="208">
        <f t="shared" si="6"/>
        <v>0.15570000000000001</v>
      </c>
      <c r="M67" s="209">
        <f t="shared" si="6"/>
        <v>0.15160000000000001</v>
      </c>
      <c r="N67" s="256">
        <f t="shared" si="7"/>
        <v>2079</v>
      </c>
      <c r="O67" s="256">
        <f t="shared" si="7"/>
        <v>4268</v>
      </c>
      <c r="P67" s="210"/>
    </row>
    <row r="68" spans="1:72" x14ac:dyDescent="0.25">
      <c r="A68" s="204">
        <v>4</v>
      </c>
      <c r="B68" s="205">
        <f>HLOOKUP(B$64*10+$A68,$81:$82,2,FALSE)</f>
        <v>0.84</v>
      </c>
      <c r="C68" s="205">
        <f>HLOOKUP(C$64*10+$A68,$81:$82,2,FALSE)</f>
        <v>0.77</v>
      </c>
      <c r="D68" s="205">
        <f>HLOOKUP(D$64*10+$A68,$81:$82,2,FALSE)</f>
        <v>0.99</v>
      </c>
      <c r="E68" s="206">
        <f>IF(ISNA(HLOOKUP(E$64*10+$A68,$81:$82,2,FALSE)),D68*(1-$N68)*#REF!*(1+$B$25)/(1+$E$4),HLOOKUP(E$64*10+$A68,$81:$82,2,FALSE))</f>
        <v>1.1200000000000001</v>
      </c>
      <c r="F68" s="206">
        <f>IF(ISNA(HLOOKUP(F$64*10+$A68,$81:$82,2,FALSE)),(HLOOKUP(E$64*10+$A68,$87:$94,4,FALSE)*$G68+$B$25)/HLOOKUP(E$64*10+$A68,$87:$94,5,FALSE)*$E68,HLOOKUP(F$64*10+$A68,$81:$82,2,FALSE))</f>
        <v>1.2152867670767125</v>
      </c>
      <c r="G68" s="101">
        <f>MIN(130%,SUM($B$57:$D$57)/SUM($B$58:$D$58)*$G$69/HLOOKUP(E$64*10+$A68,$145:$146,2,FALSE))</f>
        <v>1.1040105314719653</v>
      </c>
      <c r="H68" s="204">
        <v>4</v>
      </c>
      <c r="I68" s="208">
        <f t="shared" si="6"/>
        <v>0.13470000000000001</v>
      </c>
      <c r="J68" s="208">
        <f t="shared" si="6"/>
        <v>0.13019999999999998</v>
      </c>
      <c r="K68" s="208">
        <f t="shared" si="6"/>
        <v>0.15590000000000001</v>
      </c>
      <c r="L68" s="208">
        <f t="shared" si="6"/>
        <v>0.1699</v>
      </c>
      <c r="M68" s="209" t="str">
        <f t="shared" si="6"/>
        <v/>
      </c>
      <c r="N68" s="256">
        <f t="shared" si="7"/>
        <v>2955</v>
      </c>
      <c r="O68" s="256" t="e">
        <f t="shared" si="7"/>
        <v>#N/A</v>
      </c>
    </row>
    <row r="69" spans="1:72" x14ac:dyDescent="0.25">
      <c r="A69" s="212" t="s">
        <v>162</v>
      </c>
      <c r="B69" s="213">
        <f>SUM(B65:B68)</f>
        <v>2.57</v>
      </c>
      <c r="C69" s="213">
        <f>SUM(C65:C68)</f>
        <v>2.52</v>
      </c>
      <c r="D69" s="213">
        <f>SUM(D65:D68)</f>
        <v>3.1900000000000004</v>
      </c>
      <c r="E69" s="213">
        <f>SUM(E65:E68)</f>
        <v>3.4000000000000004</v>
      </c>
      <c r="F69" s="213">
        <f>SUM(F65:F68)</f>
        <v>3.6952867670767127</v>
      </c>
      <c r="G69" s="257">
        <f>_xlfn.FORECAST.ETS(23,B146:W146,{1,2,3,4,5,6,7,8,9,10,11,12,13,14,15,16,17,18,19,20,21,22})</f>
        <v>33.387077716395211</v>
      </c>
      <c r="H69" s="214" t="s">
        <v>19</v>
      </c>
      <c r="I69" s="215">
        <f>HLOOKUP(I64,151:155,3,FALSE)/100</f>
        <v>0.12740000000000001</v>
      </c>
      <c r="J69" s="215">
        <f>HLOOKUP(J64,151:155,3,FALSE)/100</f>
        <v>0.12279999999999999</v>
      </c>
      <c r="K69" s="215">
        <f>HLOOKUP(K64,151:155,3,FALSE)/100</f>
        <v>0.14499999999999999</v>
      </c>
      <c r="L69" s="215">
        <f>IF(ISNA(HLOOKUP(L64,151:155,3,FALSE)/100),AVERAGE(L65:L68),HLOOKUP(L64,151:155,3,FALSE)/100)</f>
        <v>0.14880000000000002</v>
      </c>
      <c r="M69" s="215"/>
      <c r="N69" s="216"/>
    </row>
    <row r="70" spans="1:72" s="135" customFormat="1" x14ac:dyDescent="0.25">
      <c r="A70" s="217"/>
      <c r="B70" s="218"/>
      <c r="C70" s="218"/>
      <c r="D70" s="218"/>
      <c r="E70" s="218"/>
      <c r="F70" s="218"/>
    </row>
    <row r="71" spans="1:72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2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3.28</v>
      </c>
      <c r="C72" s="205">
        <f t="shared" si="8"/>
        <v>2.35</v>
      </c>
      <c r="D72" s="205">
        <f t="shared" si="8"/>
        <v>2.97</v>
      </c>
      <c r="E72" s="205">
        <f t="shared" si="8"/>
        <v>3.09</v>
      </c>
      <c r="F72" s="205">
        <f t="shared" si="8"/>
        <v>3.04</v>
      </c>
    </row>
    <row r="73" spans="1:72" s="135" customFormat="1" x14ac:dyDescent="0.25">
      <c r="A73" s="204">
        <v>2</v>
      </c>
      <c r="B73" s="205">
        <f t="shared" si="8"/>
        <v>4.04</v>
      </c>
      <c r="C73" s="205">
        <f t="shared" si="8"/>
        <v>3.12</v>
      </c>
      <c r="D73" s="205">
        <f t="shared" si="8"/>
        <v>3.41</v>
      </c>
      <c r="E73" s="205">
        <f t="shared" si="8"/>
        <v>3.68</v>
      </c>
      <c r="F73" s="205">
        <f t="shared" si="8"/>
        <v>4.1900000000000004</v>
      </c>
    </row>
    <row r="74" spans="1:72" s="135" customFormat="1" x14ac:dyDescent="0.25">
      <c r="A74" s="204">
        <v>3</v>
      </c>
      <c r="B74" s="205">
        <f t="shared" si="8"/>
        <v>3.61</v>
      </c>
      <c r="C74" s="205">
        <f t="shared" si="8"/>
        <v>4.2699999999999996</v>
      </c>
      <c r="D74" s="205">
        <f t="shared" si="8"/>
        <v>5.12</v>
      </c>
      <c r="E74" s="205">
        <f t="shared" si="8"/>
        <v>4.38</v>
      </c>
      <c r="F74" s="205">
        <f t="shared" si="8"/>
        <v>4.4800000000000004</v>
      </c>
    </row>
    <row r="75" spans="1:72" s="135" customFormat="1" x14ac:dyDescent="0.25">
      <c r="A75" s="204">
        <v>4</v>
      </c>
      <c r="B75" s="205">
        <f t="shared" si="8"/>
        <v>4.7</v>
      </c>
      <c r="C75" s="205">
        <f t="shared" si="8"/>
        <v>4.09</v>
      </c>
      <c r="D75" s="205">
        <f t="shared" si="8"/>
        <v>4.95</v>
      </c>
      <c r="E75" s="205">
        <f t="shared" si="8"/>
        <v>5.3</v>
      </c>
      <c r="F75" s="205" t="str">
        <f t="shared" si="8"/>
        <v/>
      </c>
    </row>
    <row r="76" spans="1:72" s="135" customFormat="1" x14ac:dyDescent="0.25">
      <c r="A76" s="212" t="s">
        <v>165</v>
      </c>
      <c r="B76" s="213">
        <f>SUM(B72:B75)</f>
        <v>15.629999999999999</v>
      </c>
      <c r="C76" s="213">
        <f>SUM(C72:C75)</f>
        <v>13.83</v>
      </c>
      <c r="D76" s="213">
        <f>SUM(D72:D75)</f>
        <v>16.45</v>
      </c>
      <c r="E76" s="213">
        <f>AVERAGE(E72:E75)*4</f>
        <v>16.45</v>
      </c>
      <c r="F76" s="213"/>
    </row>
    <row r="77" spans="1:72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2" s="135" customFormat="1" ht="14.25" thickBot="1" x14ac:dyDescent="0.3">
      <c r="A78" s="217"/>
      <c r="B78" s="69">
        <v>201301</v>
      </c>
      <c r="C78" s="70">
        <v>201302</v>
      </c>
      <c r="D78" s="70">
        <v>201303</v>
      </c>
      <c r="E78" s="70">
        <v>201304</v>
      </c>
      <c r="F78" s="70">
        <v>201305</v>
      </c>
      <c r="G78" s="70">
        <v>201306</v>
      </c>
      <c r="H78" s="70">
        <v>201307</v>
      </c>
      <c r="I78" s="70">
        <v>201308</v>
      </c>
      <c r="J78" s="70">
        <v>201309</v>
      </c>
      <c r="K78" s="70">
        <v>201310</v>
      </c>
      <c r="L78" s="70">
        <v>201311</v>
      </c>
      <c r="M78" s="70">
        <v>201312</v>
      </c>
      <c r="N78" s="70">
        <v>201401</v>
      </c>
      <c r="O78" s="70">
        <v>201402</v>
      </c>
      <c r="P78" s="70">
        <v>201403</v>
      </c>
      <c r="Q78" s="70">
        <v>201404</v>
      </c>
      <c r="R78" s="70">
        <v>201405</v>
      </c>
      <c r="S78" s="70">
        <v>201406</v>
      </c>
      <c r="T78" s="70">
        <v>201407</v>
      </c>
      <c r="U78" s="70">
        <v>201408</v>
      </c>
      <c r="V78" s="70">
        <v>201409</v>
      </c>
      <c r="W78" s="70">
        <v>201410</v>
      </c>
      <c r="X78" s="70">
        <v>201411</v>
      </c>
      <c r="Y78" s="70">
        <v>201412</v>
      </c>
      <c r="Z78" s="70">
        <v>201501</v>
      </c>
      <c r="AA78" s="70">
        <v>201502</v>
      </c>
      <c r="AB78" s="70">
        <v>201503</v>
      </c>
      <c r="AC78" s="70">
        <v>201504</v>
      </c>
      <c r="AD78" s="70">
        <v>201505</v>
      </c>
      <c r="AE78" s="70">
        <v>201506</v>
      </c>
      <c r="AF78" s="70">
        <v>201507</v>
      </c>
      <c r="AG78" s="70">
        <v>201508</v>
      </c>
      <c r="AH78" s="70">
        <v>201509</v>
      </c>
      <c r="AI78" s="70">
        <v>201510</v>
      </c>
      <c r="AJ78" s="70">
        <v>201511</v>
      </c>
      <c r="AK78" s="70">
        <v>201512</v>
      </c>
      <c r="AL78" s="70">
        <v>201601</v>
      </c>
      <c r="AM78" s="70">
        <v>201602</v>
      </c>
      <c r="AN78" s="70">
        <v>201603</v>
      </c>
      <c r="AO78" s="70">
        <v>201604</v>
      </c>
      <c r="AP78" s="70">
        <v>201605</v>
      </c>
      <c r="AQ78" s="70">
        <v>201606</v>
      </c>
      <c r="AR78" s="70">
        <v>201607</v>
      </c>
      <c r="AS78" s="70">
        <v>201608</v>
      </c>
      <c r="AT78" s="70">
        <v>201609</v>
      </c>
      <c r="AU78" s="70">
        <v>201610</v>
      </c>
      <c r="AV78" s="70">
        <v>201611</v>
      </c>
      <c r="AW78" s="70">
        <v>201612</v>
      </c>
      <c r="AX78" s="70">
        <v>201701</v>
      </c>
      <c r="AY78" s="70">
        <v>201702</v>
      </c>
      <c r="AZ78" s="70">
        <v>201703</v>
      </c>
      <c r="BA78" s="70">
        <v>201704</v>
      </c>
      <c r="BB78" s="70">
        <v>201705</v>
      </c>
      <c r="BC78" s="70">
        <v>201706</v>
      </c>
      <c r="BD78" s="70">
        <v>201707</v>
      </c>
      <c r="BE78" s="70">
        <v>201708</v>
      </c>
      <c r="BF78" s="70">
        <v>201709</v>
      </c>
      <c r="BG78" s="70">
        <v>201710</v>
      </c>
      <c r="BH78" s="70">
        <v>201711</v>
      </c>
      <c r="BI78" s="70">
        <v>201712</v>
      </c>
      <c r="BJ78" s="71">
        <v>201801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0">
        <v>201710</v>
      </c>
      <c r="BT78" s="71">
        <v>201711</v>
      </c>
    </row>
    <row r="79" spans="1:72" ht="14.25" thickBot="1" x14ac:dyDescent="0.3">
      <c r="A79" s="222" t="s">
        <v>9</v>
      </c>
      <c r="B79" s="270">
        <v>164227</v>
      </c>
      <c r="C79" s="270">
        <v>73998</v>
      </c>
      <c r="D79" s="270">
        <v>115064</v>
      </c>
      <c r="E79" s="270">
        <v>121496</v>
      </c>
      <c r="F79" s="270">
        <v>144618</v>
      </c>
      <c r="G79" s="270">
        <v>157409</v>
      </c>
      <c r="H79" s="270">
        <v>150586</v>
      </c>
      <c r="I79" s="270">
        <v>151018</v>
      </c>
      <c r="J79" s="270">
        <v>140603</v>
      </c>
      <c r="K79" s="270">
        <v>165859</v>
      </c>
      <c r="L79" s="270">
        <v>162115</v>
      </c>
      <c r="M79" s="270">
        <v>189990</v>
      </c>
      <c r="N79" s="270">
        <v>150975</v>
      </c>
      <c r="O79" s="270">
        <v>91863</v>
      </c>
      <c r="P79" s="270">
        <v>147610</v>
      </c>
      <c r="Q79" s="270">
        <v>163830</v>
      </c>
      <c r="R79" s="270">
        <v>166681</v>
      </c>
      <c r="S79" s="270">
        <v>159523</v>
      </c>
      <c r="T79" s="270">
        <v>172388</v>
      </c>
      <c r="U79" s="270">
        <v>165001</v>
      </c>
      <c r="V79" s="270">
        <v>168375</v>
      </c>
      <c r="W79" s="270">
        <v>180190</v>
      </c>
      <c r="X79" s="270">
        <v>180033</v>
      </c>
      <c r="Y79" s="270">
        <v>201585</v>
      </c>
      <c r="Z79" s="270">
        <v>213771</v>
      </c>
      <c r="AA79" s="270">
        <v>96844</v>
      </c>
      <c r="AB79" s="270">
        <v>172825</v>
      </c>
      <c r="AC79" s="270">
        <v>177375</v>
      </c>
      <c r="AD79" s="270">
        <v>183969</v>
      </c>
      <c r="AE79" s="270">
        <v>173486</v>
      </c>
      <c r="AF79" s="270">
        <v>179465</v>
      </c>
      <c r="AG79" s="270">
        <v>178121</v>
      </c>
      <c r="AH79" s="270">
        <v>184922</v>
      </c>
      <c r="AI79" s="270">
        <v>188286</v>
      </c>
      <c r="AJ79" s="270">
        <v>206818</v>
      </c>
      <c r="AK79" s="270">
        <v>247605</v>
      </c>
      <c r="AL79" s="270">
        <v>224834</v>
      </c>
      <c r="AM79" s="270">
        <v>94381</v>
      </c>
      <c r="AN79" s="270">
        <v>186514</v>
      </c>
      <c r="AO79" s="270">
        <v>183380</v>
      </c>
      <c r="AP79" s="270">
        <v>182430</v>
      </c>
      <c r="AQ79" s="270">
        <v>180267</v>
      </c>
      <c r="AR79" s="270">
        <v>179345</v>
      </c>
      <c r="AS79" s="270">
        <v>196723</v>
      </c>
      <c r="AT79" s="270">
        <v>173699</v>
      </c>
      <c r="AU79" s="270">
        <v>177351</v>
      </c>
      <c r="AV79" s="270">
        <v>205717</v>
      </c>
      <c r="AW79" s="270">
        <v>237849</v>
      </c>
      <c r="AX79" s="270">
        <v>171907</v>
      </c>
      <c r="AY79" s="270">
        <v>97472</v>
      </c>
      <c r="AZ79" s="270">
        <v>223870</v>
      </c>
      <c r="BA79" s="270">
        <v>178215</v>
      </c>
      <c r="BB79" s="270">
        <v>205137</v>
      </c>
      <c r="BC79" s="270">
        <v>184133</v>
      </c>
      <c r="BD79" s="270">
        <v>186258</v>
      </c>
      <c r="BE79" s="270">
        <v>208995</v>
      </c>
      <c r="BF79" s="270">
        <v>184587</v>
      </c>
      <c r="BG79" s="270">
        <v>195890</v>
      </c>
      <c r="BH79" s="270">
        <v>209797</v>
      </c>
      <c r="BI79" s="270">
        <v>223715</v>
      </c>
      <c r="BJ79" s="270">
        <v>244408</v>
      </c>
      <c r="BK79" s="270">
        <v>97472</v>
      </c>
      <c r="BL79" s="270">
        <v>223870</v>
      </c>
      <c r="BM79" s="270">
        <v>178215</v>
      </c>
      <c r="BN79" s="270">
        <v>205137</v>
      </c>
      <c r="BO79" s="270">
        <v>184133</v>
      </c>
      <c r="BP79" s="270">
        <v>186258</v>
      </c>
      <c r="BQ79" s="270">
        <v>208995</v>
      </c>
      <c r="BR79" s="270">
        <v>184587</v>
      </c>
      <c r="BS79" s="270">
        <v>195890</v>
      </c>
      <c r="BT79" s="270">
        <v>209797</v>
      </c>
    </row>
    <row r="80" spans="1:72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 t="s">
        <v>43</v>
      </c>
      <c r="C82" s="72" t="s">
        <v>43</v>
      </c>
      <c r="D82" s="72" t="s">
        <v>43</v>
      </c>
      <c r="E82" s="72">
        <v>0.73</v>
      </c>
      <c r="F82" s="72">
        <v>0.52</v>
      </c>
      <c r="G82" s="72">
        <v>0.64</v>
      </c>
      <c r="H82" s="72">
        <v>0.56999999999999995</v>
      </c>
      <c r="I82" s="72">
        <v>0.84</v>
      </c>
      <c r="J82" s="72">
        <v>0.43</v>
      </c>
      <c r="K82" s="72">
        <v>0.56000000000000005</v>
      </c>
      <c r="L82" s="72">
        <v>0.76</v>
      </c>
      <c r="M82" s="72">
        <v>0.77</v>
      </c>
      <c r="N82" s="72">
        <v>0.57999999999999996</v>
      </c>
      <c r="O82" s="72">
        <v>0.65</v>
      </c>
      <c r="P82" s="72">
        <v>0.97</v>
      </c>
      <c r="Q82" s="72">
        <v>0.99</v>
      </c>
      <c r="R82" s="72">
        <v>0.64</v>
      </c>
      <c r="S82" s="72">
        <v>0.75</v>
      </c>
      <c r="T82" s="72">
        <v>0.89</v>
      </c>
      <c r="U82" s="72">
        <v>1.1200000000000001</v>
      </c>
      <c r="V82" s="72">
        <v>0.66</v>
      </c>
      <c r="W82" s="72">
        <v>0.88</v>
      </c>
      <c r="X82" s="72">
        <v>0.94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 t="s">
        <v>43</v>
      </c>
      <c r="C85" s="72">
        <v>14.42</v>
      </c>
      <c r="D85" s="72" t="s">
        <v>43</v>
      </c>
      <c r="E85" s="72">
        <v>15.48</v>
      </c>
      <c r="F85" s="72">
        <v>16.09</v>
      </c>
      <c r="G85" s="72">
        <v>15.41</v>
      </c>
      <c r="H85" s="72">
        <v>15.91</v>
      </c>
      <c r="I85" s="72">
        <v>17.91</v>
      </c>
      <c r="J85" s="72">
        <v>18.510000000000002</v>
      </c>
      <c r="K85" s="72">
        <v>17.23</v>
      </c>
      <c r="L85" s="72">
        <v>18.18</v>
      </c>
      <c r="M85" s="72">
        <v>19.260000000000002</v>
      </c>
      <c r="N85" s="72">
        <v>19.64</v>
      </c>
      <c r="O85" s="72">
        <v>18.22</v>
      </c>
      <c r="P85" s="72">
        <v>19.559999999999999</v>
      </c>
      <c r="Q85" s="72">
        <v>20.57</v>
      </c>
      <c r="R85" s="72">
        <v>21.07</v>
      </c>
      <c r="S85" s="72">
        <v>19.920000000000002</v>
      </c>
      <c r="T85" s="72">
        <v>20.52</v>
      </c>
      <c r="U85" s="72">
        <v>21.79</v>
      </c>
      <c r="V85" s="72">
        <v>21.65</v>
      </c>
      <c r="W85" s="72">
        <v>20.399999999999999</v>
      </c>
      <c r="X85" s="72">
        <v>21.31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68" t="s">
        <v>43</v>
      </c>
      <c r="C88" s="68" t="s">
        <v>43</v>
      </c>
      <c r="D88" s="273">
        <v>363310</v>
      </c>
      <c r="E88" s="273">
        <v>419488</v>
      </c>
      <c r="F88" s="273">
        <v>350436</v>
      </c>
      <c r="G88" s="273">
        <v>426376</v>
      </c>
      <c r="H88" s="273">
        <v>442206</v>
      </c>
      <c r="I88" s="273">
        <v>517965</v>
      </c>
      <c r="J88" s="273">
        <v>390448</v>
      </c>
      <c r="K88" s="273">
        <v>490033</v>
      </c>
      <c r="L88" s="273">
        <v>505765</v>
      </c>
      <c r="M88" s="273">
        <v>561807</v>
      </c>
      <c r="N88" s="273">
        <v>483441</v>
      </c>
      <c r="O88" s="273">
        <v>534829</v>
      </c>
      <c r="P88" s="273">
        <v>542509</v>
      </c>
      <c r="Q88" s="273">
        <v>642709</v>
      </c>
      <c r="R88" s="273">
        <v>505729</v>
      </c>
      <c r="S88" s="273">
        <v>546077</v>
      </c>
      <c r="T88" s="273">
        <v>549767</v>
      </c>
      <c r="U88" s="273">
        <v>620916</v>
      </c>
      <c r="V88" s="273">
        <v>493249</v>
      </c>
      <c r="W88" s="273">
        <v>567486</v>
      </c>
      <c r="X88" s="273">
        <v>579839</v>
      </c>
    </row>
    <row r="89" spans="1:25" ht="14.25" thickBot="1" x14ac:dyDescent="0.3">
      <c r="A89" s="250" t="s">
        <v>4</v>
      </c>
      <c r="B89" s="274" t="s">
        <v>43</v>
      </c>
      <c r="C89" s="274" t="s">
        <v>43</v>
      </c>
      <c r="D89" s="275">
        <v>113640</v>
      </c>
      <c r="E89" s="275">
        <v>128701</v>
      </c>
      <c r="F89" s="275">
        <v>105591</v>
      </c>
      <c r="G89" s="275">
        <v>122781</v>
      </c>
      <c r="H89" s="275">
        <v>143333</v>
      </c>
      <c r="I89" s="275">
        <v>163937</v>
      </c>
      <c r="J89" s="275">
        <v>116991</v>
      </c>
      <c r="K89" s="275">
        <v>145532</v>
      </c>
      <c r="L89" s="275">
        <v>154249</v>
      </c>
      <c r="M89" s="275">
        <v>168887</v>
      </c>
      <c r="N89" s="275">
        <v>145665</v>
      </c>
      <c r="O89" s="275">
        <v>166980</v>
      </c>
      <c r="P89" s="275">
        <v>180254</v>
      </c>
      <c r="Q89" s="275">
        <v>213125</v>
      </c>
      <c r="R89" s="275">
        <v>157421</v>
      </c>
      <c r="S89" s="275">
        <v>167406</v>
      </c>
      <c r="T89" s="275">
        <v>175995</v>
      </c>
      <c r="U89" s="275">
        <v>206833</v>
      </c>
      <c r="V89" s="275">
        <v>159346</v>
      </c>
      <c r="W89" s="275">
        <v>194474</v>
      </c>
      <c r="X89" s="275">
        <v>195921</v>
      </c>
    </row>
    <row r="90" spans="1:25" ht="14.25" thickBot="1" x14ac:dyDescent="0.3">
      <c r="A90" s="251" t="s">
        <v>5</v>
      </c>
      <c r="B90" s="68" t="s">
        <v>43</v>
      </c>
      <c r="C90" s="68" t="s">
        <v>43</v>
      </c>
      <c r="D90" s="68" t="s">
        <v>43</v>
      </c>
      <c r="E90" s="273">
        <v>56953</v>
      </c>
      <c r="F90" s="273">
        <v>41570</v>
      </c>
      <c r="G90" s="273">
        <v>50919</v>
      </c>
      <c r="H90" s="273">
        <v>59089</v>
      </c>
      <c r="I90" s="273">
        <v>69782</v>
      </c>
      <c r="J90" s="273">
        <v>36240</v>
      </c>
      <c r="K90" s="273">
        <v>58218</v>
      </c>
      <c r="L90" s="273">
        <v>71656</v>
      </c>
      <c r="M90" s="273">
        <v>73137</v>
      </c>
      <c r="N90" s="273">
        <v>56305</v>
      </c>
      <c r="O90" s="273">
        <v>70697</v>
      </c>
      <c r="P90" s="273">
        <v>92238</v>
      </c>
      <c r="Q90" s="273">
        <v>100179</v>
      </c>
      <c r="R90" s="273">
        <v>61110</v>
      </c>
      <c r="S90" s="273">
        <v>78390</v>
      </c>
      <c r="T90" s="273">
        <v>85624</v>
      </c>
      <c r="U90" s="273">
        <v>105485</v>
      </c>
      <c r="V90" s="273">
        <v>62466</v>
      </c>
      <c r="W90" s="273">
        <v>88180</v>
      </c>
      <c r="X90" s="273">
        <v>87903</v>
      </c>
    </row>
    <row r="91" spans="1:25" ht="14.25" thickBot="1" x14ac:dyDescent="0.3">
      <c r="A91" s="250" t="s">
        <v>6</v>
      </c>
      <c r="B91" s="274" t="s">
        <v>43</v>
      </c>
      <c r="C91" s="274" t="s">
        <v>43</v>
      </c>
      <c r="D91" s="275">
        <v>44517</v>
      </c>
      <c r="E91" s="275">
        <v>56906</v>
      </c>
      <c r="F91" s="275">
        <v>43996</v>
      </c>
      <c r="G91" s="275">
        <v>49654</v>
      </c>
      <c r="H91" s="275">
        <v>56289</v>
      </c>
      <c r="I91" s="275">
        <v>75364</v>
      </c>
      <c r="J91" s="275">
        <v>37970</v>
      </c>
      <c r="K91" s="275">
        <v>55962</v>
      </c>
      <c r="L91" s="275">
        <v>71802</v>
      </c>
      <c r="M91" s="275">
        <v>74643</v>
      </c>
      <c r="N91" s="275">
        <v>55608</v>
      </c>
      <c r="O91" s="275">
        <v>70473</v>
      </c>
      <c r="P91" s="275">
        <v>95413</v>
      </c>
      <c r="Q91" s="275">
        <v>100267</v>
      </c>
      <c r="R91" s="275">
        <v>62947</v>
      </c>
      <c r="S91" s="275">
        <v>79802</v>
      </c>
      <c r="T91" s="275">
        <v>87703</v>
      </c>
      <c r="U91" s="275">
        <v>108440</v>
      </c>
      <c r="V91" s="275">
        <v>63700</v>
      </c>
      <c r="W91" s="275">
        <v>91216</v>
      </c>
      <c r="X91" s="275">
        <v>92171</v>
      </c>
    </row>
    <row r="92" spans="1:25" ht="14.25" thickBot="1" x14ac:dyDescent="0.3">
      <c r="A92" s="251" t="s">
        <v>7</v>
      </c>
      <c r="B92" s="68" t="s">
        <v>43</v>
      </c>
      <c r="C92" s="68" t="s">
        <v>43</v>
      </c>
      <c r="D92" s="273">
        <v>36747</v>
      </c>
      <c r="E92" s="273">
        <v>46822</v>
      </c>
      <c r="F92" s="273">
        <v>33399</v>
      </c>
      <c r="G92" s="273">
        <v>41039</v>
      </c>
      <c r="H92" s="273">
        <v>36463</v>
      </c>
      <c r="I92" s="273">
        <v>54629</v>
      </c>
      <c r="J92" s="273">
        <v>31092</v>
      </c>
      <c r="K92" s="273">
        <v>40424</v>
      </c>
      <c r="L92" s="273">
        <v>54932</v>
      </c>
      <c r="M92" s="273">
        <v>55657</v>
      </c>
      <c r="N92" s="273">
        <v>41902</v>
      </c>
      <c r="O92" s="273">
        <v>46913</v>
      </c>
      <c r="P92" s="273">
        <v>70258</v>
      </c>
      <c r="Q92" s="273">
        <v>72054</v>
      </c>
      <c r="R92" s="273">
        <v>46673</v>
      </c>
      <c r="S92" s="273">
        <v>54761</v>
      </c>
      <c r="T92" s="273">
        <v>64289</v>
      </c>
      <c r="U92" s="273">
        <v>81388</v>
      </c>
      <c r="V92" s="273">
        <v>47982</v>
      </c>
      <c r="W92" s="273">
        <v>63939</v>
      </c>
      <c r="X92" s="273">
        <v>67899</v>
      </c>
    </row>
    <row r="93" spans="1:25" ht="26.25" thickBot="1" x14ac:dyDescent="0.3">
      <c r="A93" s="252" t="s">
        <v>8</v>
      </c>
      <c r="B93" s="73" t="s">
        <v>43</v>
      </c>
      <c r="C93" s="73" t="s">
        <v>43</v>
      </c>
      <c r="D93" s="73" t="s">
        <v>43</v>
      </c>
      <c r="E93" s="73" t="s">
        <v>43</v>
      </c>
      <c r="F93" s="276">
        <v>33399</v>
      </c>
      <c r="G93" s="276">
        <v>41039</v>
      </c>
      <c r="H93" s="276">
        <v>36463</v>
      </c>
      <c r="I93" s="276">
        <v>54629</v>
      </c>
      <c r="J93" s="276">
        <v>31092</v>
      </c>
      <c r="K93" s="276">
        <v>40424</v>
      </c>
      <c r="L93" s="276">
        <v>54932</v>
      </c>
      <c r="M93" s="276">
        <v>55657</v>
      </c>
      <c r="N93" s="276">
        <v>41902</v>
      </c>
      <c r="O93" s="276">
        <v>46913</v>
      </c>
      <c r="P93" s="276">
        <v>70258</v>
      </c>
      <c r="Q93" s="276">
        <v>72054</v>
      </c>
      <c r="R93" s="276">
        <v>46673</v>
      </c>
      <c r="S93" s="276">
        <v>54761</v>
      </c>
      <c r="T93" s="276">
        <v>64289</v>
      </c>
      <c r="U93" s="276">
        <v>81387</v>
      </c>
      <c r="V93" s="276">
        <v>47982</v>
      </c>
      <c r="W93" s="276">
        <v>63939</v>
      </c>
      <c r="X93" s="276">
        <v>67898</v>
      </c>
    </row>
    <row r="94" spans="1:25" x14ac:dyDescent="0.25">
      <c r="A94" s="233" t="s">
        <v>365</v>
      </c>
      <c r="B94" s="253"/>
      <c r="C94" s="253"/>
      <c r="D94" s="253"/>
      <c r="E94" s="253">
        <f t="shared" ref="E94:Y94" si="9">IF(E91="","",E91-E90)</f>
        <v>-47</v>
      </c>
      <c r="F94" s="253">
        <f t="shared" si="9"/>
        <v>2426</v>
      </c>
      <c r="G94" s="253">
        <f t="shared" si="9"/>
        <v>-1265</v>
      </c>
      <c r="H94" s="253">
        <f t="shared" si="9"/>
        <v>-2800</v>
      </c>
      <c r="I94" s="253">
        <f t="shared" si="9"/>
        <v>5582</v>
      </c>
      <c r="J94" s="253">
        <f t="shared" si="9"/>
        <v>1730</v>
      </c>
      <c r="K94" s="253">
        <f t="shared" si="9"/>
        <v>-2256</v>
      </c>
      <c r="L94" s="253">
        <f t="shared" si="9"/>
        <v>146</v>
      </c>
      <c r="M94" s="253">
        <f t="shared" si="9"/>
        <v>1506</v>
      </c>
      <c r="N94" s="253">
        <f t="shared" si="9"/>
        <v>-697</v>
      </c>
      <c r="O94" s="253">
        <f t="shared" si="9"/>
        <v>-224</v>
      </c>
      <c r="P94" s="253">
        <f t="shared" si="9"/>
        <v>3175</v>
      </c>
      <c r="Q94" s="253">
        <f t="shared" si="9"/>
        <v>88</v>
      </c>
      <c r="R94" s="253">
        <f t="shared" si="9"/>
        <v>1837</v>
      </c>
      <c r="S94" s="253">
        <f t="shared" si="9"/>
        <v>1412</v>
      </c>
      <c r="T94" s="253">
        <f t="shared" si="9"/>
        <v>2079</v>
      </c>
      <c r="U94" s="253">
        <f t="shared" si="9"/>
        <v>2955</v>
      </c>
      <c r="V94" s="253">
        <f t="shared" si="9"/>
        <v>1234</v>
      </c>
      <c r="W94" s="253">
        <f t="shared" si="9"/>
        <v>3036</v>
      </c>
      <c r="X94" s="253">
        <f t="shared" si="9"/>
        <v>4268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1439890</v>
      </c>
      <c r="C97" s="273">
        <v>1736983</v>
      </c>
      <c r="D97" s="273">
        <v>1948053</v>
      </c>
      <c r="E97" s="273">
        <v>2203488</v>
      </c>
      <c r="F97" s="273">
        <v>2222489</v>
      </c>
    </row>
    <row r="98" spans="1:24" ht="14.25" thickBot="1" x14ac:dyDescent="0.3">
      <c r="A98" s="225" t="s">
        <v>4</v>
      </c>
      <c r="B98" s="275">
        <v>422853</v>
      </c>
      <c r="C98" s="275">
        <v>535642</v>
      </c>
      <c r="D98" s="275">
        <v>585659</v>
      </c>
      <c r="E98" s="275">
        <v>706024</v>
      </c>
      <c r="F98" s="275">
        <v>707655</v>
      </c>
    </row>
    <row r="99" spans="1:24" ht="14.25" thickBot="1" x14ac:dyDescent="0.3">
      <c r="A99" s="224" t="s">
        <v>5</v>
      </c>
      <c r="B99" s="273">
        <v>155622</v>
      </c>
      <c r="C99" s="273">
        <v>221360</v>
      </c>
      <c r="D99" s="273">
        <v>239251</v>
      </c>
      <c r="E99" s="273">
        <v>319419</v>
      </c>
      <c r="F99" s="273">
        <v>330609</v>
      </c>
    </row>
    <row r="100" spans="1:24" ht="14.25" thickBot="1" x14ac:dyDescent="0.3">
      <c r="A100" s="225" t="s">
        <v>6</v>
      </c>
      <c r="B100" s="275">
        <v>154202</v>
      </c>
      <c r="C100" s="275">
        <v>225303</v>
      </c>
      <c r="D100" s="275">
        <v>240377</v>
      </c>
      <c r="E100" s="275">
        <v>321761</v>
      </c>
      <c r="F100" s="275">
        <v>338892</v>
      </c>
    </row>
    <row r="101" spans="1:24" ht="14.25" thickBot="1" x14ac:dyDescent="0.3">
      <c r="A101" s="224" t="s">
        <v>7</v>
      </c>
      <c r="B101" s="273">
        <v>120432</v>
      </c>
      <c r="C101" s="273">
        <v>165530</v>
      </c>
      <c r="D101" s="273">
        <v>182105</v>
      </c>
      <c r="E101" s="273">
        <v>231127</v>
      </c>
      <c r="F101" s="273">
        <v>247111</v>
      </c>
    </row>
    <row r="102" spans="1:24" ht="14.25" thickBot="1" x14ac:dyDescent="0.3">
      <c r="A102" s="227" t="s">
        <v>8</v>
      </c>
      <c r="B102" s="276">
        <v>120432</v>
      </c>
      <c r="C102" s="276">
        <v>165530</v>
      </c>
      <c r="D102" s="276">
        <v>182105</v>
      </c>
      <c r="E102" s="276">
        <v>231127</v>
      </c>
      <c r="F102" s="276">
        <v>247110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0.99999595323559043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68" t="s">
        <v>43</v>
      </c>
      <c r="C106" s="273">
        <v>137450</v>
      </c>
      <c r="D106" s="273">
        <v>60930</v>
      </c>
      <c r="E106" s="273">
        <v>121820</v>
      </c>
      <c r="F106" s="273">
        <v>184181</v>
      </c>
      <c r="G106" s="273">
        <v>173692</v>
      </c>
      <c r="H106" s="273">
        <v>107139</v>
      </c>
      <c r="I106" s="273">
        <v>438361</v>
      </c>
      <c r="J106" s="273">
        <v>408776</v>
      </c>
      <c r="K106" s="273">
        <v>423750</v>
      </c>
      <c r="L106" s="273">
        <v>272742</v>
      </c>
      <c r="M106" s="273">
        <v>339302</v>
      </c>
      <c r="N106" s="273">
        <v>324936</v>
      </c>
      <c r="O106" s="273">
        <v>289617</v>
      </c>
      <c r="P106" s="273">
        <v>156132</v>
      </c>
      <c r="Q106" s="273">
        <v>295043</v>
      </c>
      <c r="R106" s="273">
        <v>311269</v>
      </c>
      <c r="S106" s="273">
        <v>333451</v>
      </c>
      <c r="T106" s="273">
        <v>291415</v>
      </c>
      <c r="U106" s="273">
        <v>381265</v>
      </c>
      <c r="V106" s="273">
        <v>331891</v>
      </c>
      <c r="W106" s="273">
        <v>344549</v>
      </c>
      <c r="X106" s="273">
        <v>274622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68">
        <v>0</v>
      </c>
      <c r="C108" s="273">
        <v>155447</v>
      </c>
      <c r="D108" s="68">
        <v>0</v>
      </c>
      <c r="E108" s="273">
        <v>174146</v>
      </c>
      <c r="F108" s="68">
        <v>0</v>
      </c>
      <c r="G108" s="273">
        <v>189158</v>
      </c>
      <c r="H108" s="273">
        <v>202923</v>
      </c>
      <c r="I108" s="273">
        <v>181202</v>
      </c>
      <c r="J108" s="273">
        <v>154936</v>
      </c>
      <c r="K108" s="273">
        <v>166859</v>
      </c>
      <c r="L108" s="273">
        <v>171269</v>
      </c>
      <c r="M108" s="273">
        <v>170587</v>
      </c>
      <c r="N108" s="273">
        <v>168857</v>
      </c>
      <c r="O108" s="273">
        <v>217309</v>
      </c>
      <c r="P108" s="273">
        <v>223919</v>
      </c>
      <c r="Q108" s="273">
        <v>218160</v>
      </c>
      <c r="R108" s="273">
        <v>184447</v>
      </c>
      <c r="S108" s="273">
        <v>242432</v>
      </c>
      <c r="T108" s="273">
        <v>214328</v>
      </c>
      <c r="U108" s="273">
        <v>235146</v>
      </c>
      <c r="V108" s="273">
        <v>208844</v>
      </c>
      <c r="W108" s="273">
        <v>243054</v>
      </c>
      <c r="X108" s="273">
        <v>251093</v>
      </c>
    </row>
    <row r="109" spans="1:24" ht="14.25" thickBot="1" x14ac:dyDescent="0.3">
      <c r="A109" s="225" t="s">
        <v>264</v>
      </c>
      <c r="B109" s="274">
        <v>0</v>
      </c>
      <c r="C109" s="275">
        <v>341859</v>
      </c>
      <c r="D109" s="275">
        <v>348946</v>
      </c>
      <c r="E109" s="275">
        <v>314931</v>
      </c>
      <c r="F109" s="275">
        <v>295971</v>
      </c>
      <c r="G109" s="275">
        <v>307775</v>
      </c>
      <c r="H109" s="275">
        <v>317028</v>
      </c>
      <c r="I109" s="275">
        <v>311405</v>
      </c>
      <c r="J109" s="275">
        <v>352859</v>
      </c>
      <c r="K109" s="275">
        <v>345166</v>
      </c>
      <c r="L109" s="275">
        <v>373949</v>
      </c>
      <c r="M109" s="275">
        <v>402531</v>
      </c>
      <c r="N109" s="275">
        <v>405180</v>
      </c>
      <c r="O109" s="275">
        <v>407176</v>
      </c>
      <c r="P109" s="275">
        <v>417260</v>
      </c>
      <c r="Q109" s="275">
        <v>405917</v>
      </c>
      <c r="R109" s="275">
        <v>440719</v>
      </c>
      <c r="S109" s="275">
        <v>439348</v>
      </c>
      <c r="T109" s="275">
        <v>447417</v>
      </c>
      <c r="U109" s="275">
        <v>459590</v>
      </c>
      <c r="V109" s="275">
        <v>437321</v>
      </c>
      <c r="W109" s="275">
        <v>483652</v>
      </c>
      <c r="X109" s="275">
        <v>533992</v>
      </c>
    </row>
    <row r="110" spans="1:24" ht="14.25" thickBot="1" x14ac:dyDescent="0.3">
      <c r="A110" s="224" t="s">
        <v>23</v>
      </c>
      <c r="B110" s="68" t="s">
        <v>43</v>
      </c>
      <c r="C110" s="273">
        <v>68406</v>
      </c>
      <c r="D110" s="273">
        <v>196314</v>
      </c>
      <c r="E110" s="273">
        <v>44860</v>
      </c>
      <c r="F110" s="273">
        <v>186494</v>
      </c>
      <c r="G110" s="273">
        <v>47089</v>
      </c>
      <c r="H110" s="273">
        <v>47486</v>
      </c>
      <c r="I110" s="273">
        <v>53488</v>
      </c>
      <c r="J110" s="273">
        <v>56000</v>
      </c>
      <c r="K110" s="273">
        <v>48312</v>
      </c>
      <c r="L110" s="273">
        <v>50289</v>
      </c>
      <c r="M110" s="273">
        <v>48689</v>
      </c>
      <c r="N110" s="273">
        <v>33412</v>
      </c>
      <c r="O110" s="273">
        <v>33065</v>
      </c>
      <c r="P110" s="273">
        <v>50509</v>
      </c>
      <c r="Q110" s="273">
        <v>46423</v>
      </c>
      <c r="R110" s="273">
        <v>35769</v>
      </c>
      <c r="S110" s="273">
        <v>36756</v>
      </c>
      <c r="T110" s="273">
        <v>78738</v>
      </c>
      <c r="U110" s="273">
        <v>91110</v>
      </c>
      <c r="V110" s="273">
        <v>85597</v>
      </c>
      <c r="W110" s="273">
        <v>88285</v>
      </c>
      <c r="X110" s="273">
        <v>76230</v>
      </c>
    </row>
    <row r="111" spans="1:24" ht="14.25" thickBot="1" x14ac:dyDescent="0.3">
      <c r="A111" s="225" t="s">
        <v>24</v>
      </c>
      <c r="B111" s="274" t="s">
        <v>43</v>
      </c>
      <c r="C111" s="275">
        <v>703162</v>
      </c>
      <c r="D111" s="275">
        <v>606190</v>
      </c>
      <c r="E111" s="275">
        <v>655757</v>
      </c>
      <c r="F111" s="275">
        <v>666646</v>
      </c>
      <c r="G111" s="275">
        <v>717714</v>
      </c>
      <c r="H111" s="275">
        <v>674576</v>
      </c>
      <c r="I111" s="275">
        <v>984456</v>
      </c>
      <c r="J111" s="275">
        <v>972571</v>
      </c>
      <c r="K111" s="275">
        <v>984087</v>
      </c>
      <c r="L111" s="275">
        <v>868249</v>
      </c>
      <c r="M111" s="275">
        <v>961109</v>
      </c>
      <c r="N111" s="275">
        <v>932385</v>
      </c>
      <c r="O111" s="275">
        <v>947167</v>
      </c>
      <c r="P111" s="275">
        <v>847820</v>
      </c>
      <c r="Q111" s="275">
        <v>965543</v>
      </c>
      <c r="R111" s="275">
        <v>972204</v>
      </c>
      <c r="S111" s="275">
        <v>1051987</v>
      </c>
      <c r="T111" s="275">
        <v>1031898</v>
      </c>
      <c r="U111" s="275">
        <v>1167111</v>
      </c>
      <c r="V111" s="275">
        <v>1063653</v>
      </c>
      <c r="W111" s="275">
        <v>1159540</v>
      </c>
      <c r="X111" s="275">
        <v>1135937</v>
      </c>
    </row>
    <row r="112" spans="1:24" ht="14.25" thickBot="1" x14ac:dyDescent="0.3">
      <c r="A112" s="224" t="s">
        <v>25</v>
      </c>
      <c r="B112" s="68" t="s">
        <v>43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4" t="s">
        <v>43</v>
      </c>
      <c r="C113" s="275">
        <v>527989</v>
      </c>
      <c r="D113" s="275">
        <v>423042</v>
      </c>
      <c r="E113" s="275">
        <v>540114</v>
      </c>
      <c r="F113" s="275">
        <v>543947</v>
      </c>
      <c r="G113" s="275">
        <v>533115</v>
      </c>
      <c r="H113" s="275">
        <v>522832</v>
      </c>
      <c r="I113" s="275">
        <v>528583</v>
      </c>
      <c r="J113" s="275">
        <v>539938</v>
      </c>
      <c r="K113" s="275">
        <v>527322</v>
      </c>
      <c r="L113" s="275">
        <v>586727</v>
      </c>
      <c r="M113" s="275">
        <v>614252</v>
      </c>
      <c r="N113" s="275">
        <v>596106</v>
      </c>
      <c r="O113" s="275">
        <v>583505</v>
      </c>
      <c r="P113" s="275">
        <v>589053</v>
      </c>
      <c r="Q113" s="275">
        <v>740670</v>
      </c>
      <c r="R113" s="275">
        <v>723917</v>
      </c>
      <c r="S113" s="275">
        <v>732365</v>
      </c>
      <c r="T113" s="275">
        <v>710946</v>
      </c>
      <c r="U113" s="275">
        <v>702730</v>
      </c>
      <c r="V113" s="275">
        <v>673877</v>
      </c>
      <c r="W113" s="275">
        <v>669800</v>
      </c>
      <c r="X113" s="275">
        <v>688827</v>
      </c>
    </row>
    <row r="114" spans="1:24" ht="14.25" thickBot="1" x14ac:dyDescent="0.3">
      <c r="A114" s="224" t="s">
        <v>27</v>
      </c>
      <c r="B114" s="68" t="s">
        <v>43</v>
      </c>
      <c r="C114" s="273">
        <v>116357</v>
      </c>
      <c r="D114" s="273">
        <v>241335</v>
      </c>
      <c r="E114" s="273">
        <v>107424</v>
      </c>
      <c r="F114" s="273">
        <v>125939</v>
      </c>
      <c r="G114" s="273">
        <v>128915</v>
      </c>
      <c r="H114" s="273">
        <v>133961</v>
      </c>
      <c r="I114" s="273">
        <v>127803</v>
      </c>
      <c r="J114" s="273">
        <v>125742</v>
      </c>
      <c r="K114" s="273">
        <v>150999</v>
      </c>
      <c r="L114" s="273">
        <v>157279</v>
      </c>
      <c r="M114" s="273">
        <v>139674</v>
      </c>
      <c r="N114" s="273">
        <v>179638</v>
      </c>
      <c r="O114" s="273">
        <v>222671</v>
      </c>
      <c r="P114" s="273">
        <v>294595</v>
      </c>
      <c r="Q114" s="273">
        <v>135800</v>
      </c>
      <c r="R114" s="273">
        <v>144209</v>
      </c>
      <c r="S114" s="273">
        <v>132653</v>
      </c>
      <c r="T114" s="273">
        <v>133014</v>
      </c>
      <c r="U114" s="273">
        <v>136111</v>
      </c>
      <c r="V114" s="273">
        <v>145157</v>
      </c>
      <c r="W114" s="273">
        <v>146713</v>
      </c>
      <c r="X114" s="273">
        <v>170708</v>
      </c>
    </row>
    <row r="115" spans="1:24" ht="14.25" thickBot="1" x14ac:dyDescent="0.3">
      <c r="A115" s="225" t="s">
        <v>265</v>
      </c>
      <c r="B115" s="73" t="s">
        <v>43</v>
      </c>
      <c r="C115" s="276">
        <v>1347508</v>
      </c>
      <c r="D115" s="276">
        <v>1270567</v>
      </c>
      <c r="E115" s="276">
        <v>1303295</v>
      </c>
      <c r="F115" s="276">
        <v>1336532</v>
      </c>
      <c r="G115" s="276">
        <v>1379744</v>
      </c>
      <c r="H115" s="276">
        <v>1331369</v>
      </c>
      <c r="I115" s="276">
        <v>1640842</v>
      </c>
      <c r="J115" s="276">
        <v>1638251</v>
      </c>
      <c r="K115" s="276">
        <v>1662408</v>
      </c>
      <c r="L115" s="276">
        <v>1612255</v>
      </c>
      <c r="M115" s="276">
        <v>1715035</v>
      </c>
      <c r="N115" s="276">
        <v>1708129</v>
      </c>
      <c r="O115" s="276">
        <v>1753343</v>
      </c>
      <c r="P115" s="276">
        <v>1731468</v>
      </c>
      <c r="Q115" s="276">
        <v>1842013</v>
      </c>
      <c r="R115" s="276">
        <v>1840330</v>
      </c>
      <c r="S115" s="276">
        <v>1917005</v>
      </c>
      <c r="T115" s="276">
        <v>1875858</v>
      </c>
      <c r="U115" s="276">
        <v>2005952</v>
      </c>
      <c r="V115" s="276">
        <v>1882687</v>
      </c>
      <c r="W115" s="276">
        <v>1976053</v>
      </c>
      <c r="X115" s="276">
        <v>1995472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273">
        <v>45257</v>
      </c>
      <c r="D118" s="273">
        <v>27886</v>
      </c>
      <c r="E118" s="273">
        <v>30978</v>
      </c>
      <c r="F118" s="273">
        <v>31724</v>
      </c>
      <c r="G118" s="273">
        <v>29318</v>
      </c>
      <c r="H118" s="273">
        <v>36231</v>
      </c>
      <c r="I118" s="273">
        <v>29577</v>
      </c>
      <c r="J118" s="273">
        <v>33492</v>
      </c>
      <c r="K118" s="273">
        <v>45275</v>
      </c>
      <c r="L118" s="273">
        <v>33083</v>
      </c>
      <c r="M118" s="273">
        <v>15011</v>
      </c>
      <c r="N118" s="273">
        <v>8849</v>
      </c>
      <c r="O118" s="273">
        <v>29086</v>
      </c>
      <c r="P118" s="273">
        <v>33554</v>
      </c>
      <c r="Q118" s="273">
        <v>16961</v>
      </c>
      <c r="R118" s="273">
        <v>47858</v>
      </c>
      <c r="S118" s="273">
        <v>61379</v>
      </c>
      <c r="T118" s="273">
        <v>116672</v>
      </c>
      <c r="U118" s="273">
        <v>54707</v>
      </c>
      <c r="V118" s="273">
        <v>31061</v>
      </c>
      <c r="W118" s="273">
        <v>25919</v>
      </c>
      <c r="X118" s="273">
        <v>145925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68">
        <v>0</v>
      </c>
      <c r="C120" s="273">
        <v>69256</v>
      </c>
      <c r="D120" s="68">
        <v>0</v>
      </c>
      <c r="E120" s="273">
        <v>73755</v>
      </c>
      <c r="F120" s="68">
        <v>0</v>
      </c>
      <c r="G120" s="273">
        <v>69620</v>
      </c>
      <c r="H120" s="273">
        <v>71017</v>
      </c>
      <c r="I120" s="273">
        <v>88864</v>
      </c>
      <c r="J120" s="273">
        <v>63835</v>
      </c>
      <c r="K120" s="273">
        <v>63695</v>
      </c>
      <c r="L120" s="273">
        <v>76135</v>
      </c>
      <c r="M120" s="273">
        <v>85912</v>
      </c>
      <c r="N120" s="273">
        <v>66464</v>
      </c>
      <c r="O120" s="273">
        <v>62906</v>
      </c>
      <c r="P120" s="273">
        <v>74385</v>
      </c>
      <c r="Q120" s="273">
        <v>85108</v>
      </c>
      <c r="R120" s="273">
        <v>73546</v>
      </c>
      <c r="S120" s="273">
        <v>69192</v>
      </c>
      <c r="T120" s="273">
        <v>70382</v>
      </c>
      <c r="U120" s="273">
        <v>139076</v>
      </c>
      <c r="V120" s="273">
        <v>68082</v>
      </c>
      <c r="W120" s="273">
        <v>84566</v>
      </c>
      <c r="X120" s="273">
        <v>82676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5">
        <v>9736</v>
      </c>
      <c r="E121" s="274">
        <v>0</v>
      </c>
      <c r="F121" s="275">
        <v>4842</v>
      </c>
      <c r="G121" s="275">
        <v>6291</v>
      </c>
      <c r="H121" s="275">
        <v>4694</v>
      </c>
      <c r="I121" s="275">
        <v>5635</v>
      </c>
      <c r="J121" s="275">
        <v>6060</v>
      </c>
      <c r="K121" s="275">
        <v>4589</v>
      </c>
      <c r="L121" s="275">
        <v>4452</v>
      </c>
      <c r="M121" s="275">
        <v>2425</v>
      </c>
      <c r="N121" s="275">
        <v>7956</v>
      </c>
      <c r="O121" s="275">
        <v>8200</v>
      </c>
      <c r="P121" s="275">
        <v>6928</v>
      </c>
      <c r="Q121" s="275">
        <v>4602</v>
      </c>
      <c r="R121" s="275">
        <v>5166</v>
      </c>
      <c r="S121" s="275">
        <v>4440</v>
      </c>
      <c r="T121" s="275">
        <v>6565</v>
      </c>
      <c r="U121" s="275">
        <v>4831</v>
      </c>
      <c r="V121" s="275">
        <v>3976</v>
      </c>
      <c r="W121" s="275">
        <v>3642</v>
      </c>
      <c r="X121" s="275">
        <v>4752</v>
      </c>
    </row>
    <row r="122" spans="1:24" ht="14.25" thickBot="1" x14ac:dyDescent="0.3">
      <c r="A122" s="224" t="s">
        <v>30</v>
      </c>
      <c r="B122" s="68">
        <v>0</v>
      </c>
      <c r="C122" s="273">
        <v>13722</v>
      </c>
      <c r="D122" s="273">
        <v>11585</v>
      </c>
      <c r="E122" s="273">
        <v>11421</v>
      </c>
      <c r="F122" s="273">
        <v>11750</v>
      </c>
      <c r="G122" s="273">
        <v>11809</v>
      </c>
      <c r="H122" s="273">
        <v>11675</v>
      </c>
      <c r="I122" s="273">
        <v>11748</v>
      </c>
      <c r="J122" s="273">
        <v>12000</v>
      </c>
      <c r="K122" s="273">
        <v>11794</v>
      </c>
      <c r="L122" s="273">
        <v>11956</v>
      </c>
      <c r="M122" s="273">
        <v>12480</v>
      </c>
      <c r="N122" s="273">
        <v>12318</v>
      </c>
      <c r="O122" s="273">
        <v>14927</v>
      </c>
      <c r="P122" s="273">
        <v>15935</v>
      </c>
      <c r="Q122" s="273">
        <v>15956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4">
        <v>0</v>
      </c>
      <c r="C123" s="275">
        <v>217388</v>
      </c>
      <c r="D123" s="275">
        <v>186347</v>
      </c>
      <c r="E123" s="275">
        <v>129812</v>
      </c>
      <c r="F123" s="275">
        <v>171279</v>
      </c>
      <c r="G123" s="275">
        <v>188945</v>
      </c>
      <c r="H123" s="275">
        <v>106650</v>
      </c>
      <c r="I123" s="275">
        <v>129311</v>
      </c>
      <c r="J123" s="275">
        <v>109273</v>
      </c>
      <c r="K123" s="275">
        <v>216769</v>
      </c>
      <c r="L123" s="275">
        <v>92287</v>
      </c>
      <c r="M123" s="275">
        <v>123370</v>
      </c>
      <c r="N123" s="275">
        <v>106575</v>
      </c>
      <c r="O123" s="275">
        <v>247488</v>
      </c>
      <c r="P123" s="275">
        <v>108973</v>
      </c>
      <c r="Q123" s="275">
        <v>144683</v>
      </c>
      <c r="R123" s="275">
        <v>113185</v>
      </c>
      <c r="S123" s="275">
        <v>259945</v>
      </c>
      <c r="T123" s="275">
        <v>115978</v>
      </c>
      <c r="U123" s="275">
        <v>138728</v>
      </c>
      <c r="V123" s="275">
        <v>118103</v>
      </c>
      <c r="W123" s="275">
        <v>285532</v>
      </c>
      <c r="X123" s="275">
        <v>113495</v>
      </c>
    </row>
    <row r="124" spans="1:24" ht="14.25" thickBot="1" x14ac:dyDescent="0.3">
      <c r="A124" s="224" t="s">
        <v>268</v>
      </c>
      <c r="B124" s="68">
        <v>0</v>
      </c>
      <c r="C124" s="273">
        <v>345623</v>
      </c>
      <c r="D124" s="273">
        <v>235554</v>
      </c>
      <c r="E124" s="273">
        <v>245966</v>
      </c>
      <c r="F124" s="273">
        <v>219595</v>
      </c>
      <c r="G124" s="273">
        <v>305983</v>
      </c>
      <c r="H124" s="273">
        <v>230267</v>
      </c>
      <c r="I124" s="273">
        <v>265135</v>
      </c>
      <c r="J124" s="273">
        <v>224660</v>
      </c>
      <c r="K124" s="273">
        <v>342122</v>
      </c>
      <c r="L124" s="273">
        <v>217913</v>
      </c>
      <c r="M124" s="273">
        <v>239198</v>
      </c>
      <c r="N124" s="273">
        <v>202162</v>
      </c>
      <c r="O124" s="273">
        <v>362607</v>
      </c>
      <c r="P124" s="273">
        <v>239775</v>
      </c>
      <c r="Q124" s="273">
        <v>267310</v>
      </c>
      <c r="R124" s="273">
        <v>239755</v>
      </c>
      <c r="S124" s="273">
        <v>394956</v>
      </c>
      <c r="T124" s="273">
        <v>309597</v>
      </c>
      <c r="U124" s="273">
        <v>337342</v>
      </c>
      <c r="V124" s="273">
        <v>221222</v>
      </c>
      <c r="W124" s="273">
        <v>399659</v>
      </c>
      <c r="X124" s="273">
        <v>346848</v>
      </c>
    </row>
    <row r="125" spans="1:24" ht="14.25" thickBot="1" x14ac:dyDescent="0.3">
      <c r="A125" s="225" t="s">
        <v>32</v>
      </c>
      <c r="B125" s="274">
        <v>0</v>
      </c>
      <c r="C125" s="275">
        <v>44576</v>
      </c>
      <c r="D125" s="275">
        <v>87101</v>
      </c>
      <c r="E125" s="275">
        <v>34262</v>
      </c>
      <c r="F125" s="275">
        <v>79005</v>
      </c>
      <c r="G125" s="275">
        <v>80001</v>
      </c>
      <c r="H125" s="275">
        <v>74699</v>
      </c>
      <c r="I125" s="275">
        <v>75077</v>
      </c>
      <c r="J125" s="275">
        <v>69551</v>
      </c>
      <c r="K125" s="275">
        <v>69594</v>
      </c>
      <c r="L125" s="275">
        <v>74204</v>
      </c>
      <c r="M125" s="275">
        <v>77227</v>
      </c>
      <c r="N125" s="275">
        <v>79815</v>
      </c>
      <c r="O125" s="275">
        <v>67677</v>
      </c>
      <c r="P125" s="275">
        <v>71688</v>
      </c>
      <c r="Q125" s="275">
        <v>80972</v>
      </c>
      <c r="R125" s="275">
        <v>71053</v>
      </c>
      <c r="S125" s="275">
        <v>75495</v>
      </c>
      <c r="T125" s="275">
        <v>76331</v>
      </c>
      <c r="U125" s="275">
        <v>86380</v>
      </c>
      <c r="V125" s="275">
        <v>89720</v>
      </c>
      <c r="W125" s="275">
        <v>95160</v>
      </c>
      <c r="X125" s="275">
        <v>101776</v>
      </c>
    </row>
    <row r="126" spans="1:24" ht="14.25" thickBot="1" x14ac:dyDescent="0.3">
      <c r="A126" s="224" t="s">
        <v>33</v>
      </c>
      <c r="B126" s="68">
        <v>0</v>
      </c>
      <c r="C126" s="273">
        <v>27110</v>
      </c>
      <c r="D126" s="68">
        <v>0</v>
      </c>
      <c r="E126" s="273">
        <v>24433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4">
        <v>0</v>
      </c>
      <c r="C127" s="275">
        <v>417309</v>
      </c>
      <c r="D127" s="275">
        <v>322655</v>
      </c>
      <c r="E127" s="275">
        <v>304661</v>
      </c>
      <c r="F127" s="275">
        <v>298600</v>
      </c>
      <c r="G127" s="275">
        <v>385984</v>
      </c>
      <c r="H127" s="275">
        <v>304966</v>
      </c>
      <c r="I127" s="275">
        <v>340212</v>
      </c>
      <c r="J127" s="275">
        <v>294211</v>
      </c>
      <c r="K127" s="275">
        <v>411716</v>
      </c>
      <c r="L127" s="275">
        <v>292117</v>
      </c>
      <c r="M127" s="275">
        <v>316425</v>
      </c>
      <c r="N127" s="275">
        <v>281977</v>
      </c>
      <c r="O127" s="275">
        <v>430284</v>
      </c>
      <c r="P127" s="275">
        <v>311463</v>
      </c>
      <c r="Q127" s="275">
        <v>348282</v>
      </c>
      <c r="R127" s="275">
        <v>310808</v>
      </c>
      <c r="S127" s="275">
        <v>470451</v>
      </c>
      <c r="T127" s="275">
        <v>385928</v>
      </c>
      <c r="U127" s="275">
        <v>423722</v>
      </c>
      <c r="V127" s="275">
        <v>310942</v>
      </c>
      <c r="W127" s="275">
        <v>494819</v>
      </c>
      <c r="X127" s="275">
        <v>448624</v>
      </c>
    </row>
    <row r="128" spans="1:24" ht="14.25" thickBot="1" x14ac:dyDescent="0.3">
      <c r="A128" s="224" t="s">
        <v>34</v>
      </c>
      <c r="B128" s="68" t="s">
        <v>43</v>
      </c>
      <c r="C128" s="273">
        <v>930199</v>
      </c>
      <c r="D128" s="273">
        <v>947912</v>
      </c>
      <c r="E128" s="273">
        <v>998634</v>
      </c>
      <c r="F128" s="273">
        <v>1037932</v>
      </c>
      <c r="G128" s="273">
        <v>993760</v>
      </c>
      <c r="H128" s="273">
        <v>1026403</v>
      </c>
      <c r="I128" s="273">
        <v>1300630</v>
      </c>
      <c r="J128" s="273">
        <v>1344040</v>
      </c>
      <c r="K128" s="273">
        <v>1250692</v>
      </c>
      <c r="L128" s="273">
        <v>1320138</v>
      </c>
      <c r="M128" s="273">
        <v>1398610</v>
      </c>
      <c r="N128" s="273">
        <v>1426152</v>
      </c>
      <c r="O128" s="273">
        <v>1323059</v>
      </c>
      <c r="P128" s="273">
        <v>1420005</v>
      </c>
      <c r="Q128" s="273">
        <v>1493731</v>
      </c>
      <c r="R128" s="273">
        <v>1529522</v>
      </c>
      <c r="S128" s="273">
        <v>1446554</v>
      </c>
      <c r="T128" s="273">
        <v>1489930</v>
      </c>
      <c r="U128" s="273">
        <v>1582230</v>
      </c>
      <c r="V128" s="273">
        <v>1571745</v>
      </c>
      <c r="W128" s="273">
        <v>1481234</v>
      </c>
      <c r="X128" s="273">
        <v>1546848</v>
      </c>
    </row>
    <row r="129" spans="1:24" ht="14.25" thickBot="1" x14ac:dyDescent="0.3">
      <c r="A129" s="225" t="s">
        <v>35</v>
      </c>
      <c r="B129" s="73" t="s">
        <v>43</v>
      </c>
      <c r="C129" s="276">
        <v>1347508</v>
      </c>
      <c r="D129" s="276">
        <v>1270567</v>
      </c>
      <c r="E129" s="276">
        <v>1303295</v>
      </c>
      <c r="F129" s="276">
        <v>1336532</v>
      </c>
      <c r="G129" s="276">
        <v>1379744</v>
      </c>
      <c r="H129" s="276">
        <v>1331369</v>
      </c>
      <c r="I129" s="276">
        <v>1640842</v>
      </c>
      <c r="J129" s="276">
        <v>1638251</v>
      </c>
      <c r="K129" s="276">
        <v>1662408</v>
      </c>
      <c r="L129" s="276">
        <v>1612255</v>
      </c>
      <c r="M129" s="276">
        <v>1715035</v>
      </c>
      <c r="N129" s="276">
        <v>1708129</v>
      </c>
      <c r="O129" s="276">
        <v>1753343</v>
      </c>
      <c r="P129" s="276">
        <v>1731468</v>
      </c>
      <c r="Q129" s="276">
        <v>1842013</v>
      </c>
      <c r="R129" s="276">
        <v>1840330</v>
      </c>
      <c r="S129" s="276">
        <v>1917005</v>
      </c>
      <c r="T129" s="276">
        <v>1875858</v>
      </c>
      <c r="U129" s="276">
        <v>2005952</v>
      </c>
      <c r="V129" s="276">
        <v>1882687</v>
      </c>
      <c r="W129" s="276">
        <v>1976053</v>
      </c>
      <c r="X129" s="276">
        <v>1995472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3.34</v>
      </c>
      <c r="C132" s="68">
        <v>3.42</v>
      </c>
      <c r="D132" s="68">
        <v>1.89</v>
      </c>
      <c r="E132" s="68">
        <v>3.84</v>
      </c>
      <c r="F132" s="68">
        <v>3.55</v>
      </c>
    </row>
    <row r="133" spans="1:24" ht="14.25" thickBot="1" x14ac:dyDescent="0.3">
      <c r="A133" s="225" t="s">
        <v>37</v>
      </c>
      <c r="B133" s="274">
        <v>-1.77</v>
      </c>
      <c r="C133" s="274">
        <v>-0.5</v>
      </c>
      <c r="D133" s="274">
        <v>-1.81</v>
      </c>
      <c r="E133" s="274">
        <v>-2.5299999999999998</v>
      </c>
      <c r="F133" s="274">
        <v>-0.42</v>
      </c>
    </row>
    <row r="134" spans="1:24" ht="14.25" thickBot="1" x14ac:dyDescent="0.3">
      <c r="A134" s="224" t="s">
        <v>38</v>
      </c>
      <c r="B134" s="68">
        <v>-1.66</v>
      </c>
      <c r="C134" s="68">
        <v>1.92</v>
      </c>
      <c r="D134" s="68">
        <v>-1.68</v>
      </c>
      <c r="E134" s="68">
        <v>-1.93</v>
      </c>
      <c r="F134" s="68">
        <v>-1.93</v>
      </c>
    </row>
    <row r="135" spans="1:24" ht="14.25" thickBot="1" x14ac:dyDescent="0.3">
      <c r="A135" s="225" t="s">
        <v>270</v>
      </c>
      <c r="B135" s="274">
        <v>1.57</v>
      </c>
      <c r="C135" s="274">
        <v>2.92</v>
      </c>
      <c r="D135" s="274">
        <v>0.08</v>
      </c>
      <c r="E135" s="274">
        <v>1.31</v>
      </c>
      <c r="F135" s="274">
        <v>3.12</v>
      </c>
    </row>
    <row r="136" spans="1:24" ht="14.25" thickBot="1" x14ac:dyDescent="0.3">
      <c r="A136" s="229" t="s">
        <v>39</v>
      </c>
      <c r="B136" s="72">
        <v>-0.09</v>
      </c>
      <c r="C136" s="72">
        <v>4.84</v>
      </c>
      <c r="D136" s="72">
        <v>-1.6</v>
      </c>
      <c r="E136" s="72">
        <v>-0.63</v>
      </c>
      <c r="F136" s="72">
        <v>1.2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1.2</v>
      </c>
      <c r="C140" s="68">
        <v>1.6</v>
      </c>
      <c r="D140" s="68">
        <v>1.8</v>
      </c>
      <c r="E140" s="68">
        <v>2</v>
      </c>
      <c r="F140" s="68">
        <v>2.2000000000000002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 t="e">
        <f>B140/(HLOOKUP(B139*10+1,81:82,2,FALSE)+HLOOKUP(B139*10+2,81:82,2,FALSE)+HLOOKUP(B139*10+3,81:82,2,FALSE)+HLOOKUP(B139*10+4,81:82,2,FALSE))</f>
        <v>#VALUE!</v>
      </c>
      <c r="C142" s="234">
        <f>IF(C140&lt;&gt;"無",IF(ISNA(HLOOKUP(C139,$B$64:$F$69,6,FALSE)),"",C140/HLOOKUP(C139,$B$64:$F$69,6,FALSE)),"")</f>
        <v>0.62256809338521413</v>
      </c>
      <c r="D142" s="234">
        <f>IF(D140&lt;&gt;"無",IF(ISNA(HLOOKUP(D139,$B$64:$F$69,6,FALSE)),"",D140/HLOOKUP(D139,$B$64:$F$69,6,FALSE)),"")</f>
        <v>0.7142857142857143</v>
      </c>
      <c r="E142" s="234">
        <f>IF(E140&lt;&gt;"無",IF(ISNA(HLOOKUP(E139,$B$64:$F$69,6,FALSE)),"",E140/HLOOKUP(E139,$B$64:$F$69,6,FALSE)),"")</f>
        <v>0.62695924764890276</v>
      </c>
      <c r="F142" s="234">
        <f>IF(F140&lt;&gt;"無",IF(ISNA(HLOOKUP(F139,$B$64:$F$69,6,FALSE)),"",F140/HLOOKUP(F139,$B$64:$F$69,6,FALSE)),"")</f>
        <v>0.6470588235294118</v>
      </c>
    </row>
    <row r="143" spans="1:24" x14ac:dyDescent="0.25">
      <c r="A143" s="233" t="s">
        <v>216</v>
      </c>
      <c r="B143" s="234">
        <f>IF(OR(B140=0,B140="無"),"",B135/B140)</f>
        <v>1.3083333333333333</v>
      </c>
      <c r="C143" s="234">
        <f>IF(OR(C140=0,C140="無"),"",C135/C140)</f>
        <v>1.825</v>
      </c>
      <c r="D143" s="234">
        <f>IF(OR(D140=0,D140="無"),"",D135/D140)</f>
        <v>4.4444444444444446E-2</v>
      </c>
      <c r="E143" s="234">
        <f>IF(OR(E140=0,E140="無"),"",E135/E140)</f>
        <v>0.65500000000000003</v>
      </c>
      <c r="F143" s="234">
        <f>IF(OR(F140=0,F140="無"),"",F135/F140)</f>
        <v>1.4181818181818182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 t="s">
        <v>43</v>
      </c>
      <c r="C146" s="68" t="s">
        <v>43</v>
      </c>
      <c r="D146" s="68" t="s">
        <v>43</v>
      </c>
      <c r="E146" s="68" t="s">
        <v>43</v>
      </c>
      <c r="F146" s="68">
        <v>30.13</v>
      </c>
      <c r="G146" s="68">
        <v>28.8</v>
      </c>
      <c r="H146" s="68">
        <v>32.409999999999997</v>
      </c>
      <c r="I146" s="68">
        <v>31.65</v>
      </c>
      <c r="J146" s="68">
        <v>29.96</v>
      </c>
      <c r="K146" s="68">
        <v>29.7</v>
      </c>
      <c r="L146" s="68">
        <v>30.5</v>
      </c>
      <c r="M146" s="68">
        <v>30.06</v>
      </c>
      <c r="N146" s="68">
        <v>30.13</v>
      </c>
      <c r="O146" s="68">
        <v>31.22</v>
      </c>
      <c r="P146" s="68">
        <v>33.229999999999997</v>
      </c>
      <c r="Q146" s="68">
        <v>33.159999999999997</v>
      </c>
      <c r="R146" s="68">
        <v>31.13</v>
      </c>
      <c r="S146" s="68">
        <v>30.66</v>
      </c>
      <c r="T146" s="68">
        <v>32.01</v>
      </c>
      <c r="U146" s="68">
        <v>33.31</v>
      </c>
      <c r="V146" s="68">
        <v>32.31</v>
      </c>
      <c r="W146" s="68">
        <v>34.270000000000003</v>
      </c>
      <c r="X146" s="68">
        <v>33.79</v>
      </c>
    </row>
    <row r="147" spans="1:24" s="93" customFormat="1" ht="14.25" thickBot="1" x14ac:dyDescent="0.3">
      <c r="A147" s="225" t="s">
        <v>19</v>
      </c>
      <c r="B147" s="274" t="s">
        <v>43</v>
      </c>
      <c r="C147" s="274" t="s">
        <v>43</v>
      </c>
      <c r="D147" s="274" t="s">
        <v>43</v>
      </c>
      <c r="E147" s="274" t="s">
        <v>43</v>
      </c>
      <c r="F147" s="274">
        <v>11.86</v>
      </c>
      <c r="G147" s="274">
        <v>11.94</v>
      </c>
      <c r="H147" s="274">
        <v>13.36</v>
      </c>
      <c r="I147" s="274">
        <v>13.47</v>
      </c>
      <c r="J147" s="274">
        <v>9.2799999999999994</v>
      </c>
      <c r="K147" s="274">
        <v>11.88</v>
      </c>
      <c r="L147" s="274">
        <v>14.17</v>
      </c>
      <c r="M147" s="274">
        <v>13.02</v>
      </c>
      <c r="N147" s="274">
        <v>11.65</v>
      </c>
      <c r="O147" s="274">
        <v>13.22</v>
      </c>
      <c r="P147" s="274">
        <v>17</v>
      </c>
      <c r="Q147" s="274">
        <v>15.59</v>
      </c>
      <c r="R147" s="274">
        <v>12.08</v>
      </c>
      <c r="S147" s="274">
        <v>14.36</v>
      </c>
      <c r="T147" s="274">
        <v>15.57</v>
      </c>
      <c r="U147" s="274">
        <v>16.989999999999998</v>
      </c>
      <c r="V147" s="274">
        <v>12.66</v>
      </c>
      <c r="W147" s="274">
        <v>15.54</v>
      </c>
      <c r="X147" s="274">
        <v>15.16</v>
      </c>
    </row>
    <row r="148" spans="1:24" s="93" customFormat="1" ht="14.25" thickBot="1" x14ac:dyDescent="0.3">
      <c r="A148" s="224" t="s">
        <v>41</v>
      </c>
      <c r="B148" s="68" t="s">
        <v>43</v>
      </c>
      <c r="C148" s="68" t="s">
        <v>43</v>
      </c>
      <c r="D148" s="68" t="s">
        <v>43</v>
      </c>
      <c r="E148" s="68" t="s">
        <v>43</v>
      </c>
      <c r="F148" s="68">
        <v>12.55</v>
      </c>
      <c r="G148" s="68">
        <v>11.65</v>
      </c>
      <c r="H148" s="68">
        <v>12.73</v>
      </c>
      <c r="I148" s="68">
        <v>14.55</v>
      </c>
      <c r="J148" s="68">
        <v>9.7200000000000006</v>
      </c>
      <c r="K148" s="68">
        <v>11.42</v>
      </c>
      <c r="L148" s="68">
        <v>14.2</v>
      </c>
      <c r="M148" s="68">
        <v>13.29</v>
      </c>
      <c r="N148" s="68">
        <v>11.5</v>
      </c>
      <c r="O148" s="68">
        <v>13.18</v>
      </c>
      <c r="P148" s="68">
        <v>17.59</v>
      </c>
      <c r="Q148" s="68">
        <v>15.6</v>
      </c>
      <c r="R148" s="68">
        <v>12.45</v>
      </c>
      <c r="S148" s="68">
        <v>14.61</v>
      </c>
      <c r="T148" s="68">
        <v>15.95</v>
      </c>
      <c r="U148" s="68">
        <v>17.46</v>
      </c>
      <c r="V148" s="68">
        <v>12.91</v>
      </c>
      <c r="W148" s="68">
        <v>16.07</v>
      </c>
      <c r="X148" s="68">
        <v>15.9</v>
      </c>
    </row>
    <row r="149" spans="1:24" s="93" customFormat="1" ht="14.25" thickBot="1" x14ac:dyDescent="0.3">
      <c r="A149" s="225" t="s">
        <v>13</v>
      </c>
      <c r="B149" s="73" t="s">
        <v>43</v>
      </c>
      <c r="C149" s="73" t="s">
        <v>43</v>
      </c>
      <c r="D149" s="73" t="s">
        <v>43</v>
      </c>
      <c r="E149" s="73" t="s">
        <v>43</v>
      </c>
      <c r="F149" s="73">
        <v>9.5299999999999994</v>
      </c>
      <c r="G149" s="73">
        <v>9.6300000000000008</v>
      </c>
      <c r="H149" s="73">
        <v>8.25</v>
      </c>
      <c r="I149" s="73">
        <v>10.55</v>
      </c>
      <c r="J149" s="73">
        <v>7.96</v>
      </c>
      <c r="K149" s="73">
        <v>8.25</v>
      </c>
      <c r="L149" s="73">
        <v>10.86</v>
      </c>
      <c r="M149" s="73">
        <v>9.91</v>
      </c>
      <c r="N149" s="73">
        <v>8.67</v>
      </c>
      <c r="O149" s="73">
        <v>8.77</v>
      </c>
      <c r="P149" s="73">
        <v>12.95</v>
      </c>
      <c r="Q149" s="73">
        <v>11.21</v>
      </c>
      <c r="R149" s="73">
        <v>9.23</v>
      </c>
      <c r="S149" s="73">
        <v>10.029999999999999</v>
      </c>
      <c r="T149" s="73">
        <v>11.69</v>
      </c>
      <c r="U149" s="73">
        <v>13.11</v>
      </c>
      <c r="V149" s="73">
        <v>9.73</v>
      </c>
      <c r="W149" s="73">
        <v>11.27</v>
      </c>
      <c r="X149" s="73">
        <v>11.71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29.37</v>
      </c>
      <c r="C152" s="68">
        <v>30.84</v>
      </c>
      <c r="D152" s="68">
        <v>30.06</v>
      </c>
      <c r="E152" s="68">
        <v>32.04</v>
      </c>
      <c r="F152" s="68">
        <v>31.84</v>
      </c>
    </row>
    <row r="153" spans="1:24" s="93" customFormat="1" ht="14.25" thickBot="1" x14ac:dyDescent="0.3">
      <c r="A153" s="225" t="s">
        <v>19</v>
      </c>
      <c r="B153" s="274">
        <v>10.81</v>
      </c>
      <c r="C153" s="274">
        <v>12.74</v>
      </c>
      <c r="D153" s="274">
        <v>12.28</v>
      </c>
      <c r="E153" s="274">
        <v>14.5</v>
      </c>
      <c r="F153" s="274">
        <v>14.88</v>
      </c>
    </row>
    <row r="154" spans="1:24" s="93" customFormat="1" ht="14.25" thickBot="1" x14ac:dyDescent="0.3">
      <c r="A154" s="224" t="s">
        <v>41</v>
      </c>
      <c r="B154" s="68">
        <v>10.71</v>
      </c>
      <c r="C154" s="68">
        <v>12.97</v>
      </c>
      <c r="D154" s="68">
        <v>12.34</v>
      </c>
      <c r="E154" s="68">
        <v>14.6</v>
      </c>
      <c r="F154" s="68">
        <v>15.25</v>
      </c>
    </row>
    <row r="155" spans="1:24" s="93" customFormat="1" ht="14.25" thickBot="1" x14ac:dyDescent="0.3">
      <c r="A155" s="225" t="s">
        <v>13</v>
      </c>
      <c r="B155" s="73">
        <v>8.36</v>
      </c>
      <c r="C155" s="73">
        <v>9.5299999999999994</v>
      </c>
      <c r="D155" s="73">
        <v>9.35</v>
      </c>
      <c r="E155" s="73">
        <v>10.49</v>
      </c>
      <c r="F155" s="73">
        <v>11.12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 t="s">
        <v>43</v>
      </c>
      <c r="C158" s="68" t="s">
        <v>43</v>
      </c>
      <c r="D158" s="68" t="s">
        <v>43</v>
      </c>
      <c r="E158" s="68" t="s">
        <v>43</v>
      </c>
      <c r="F158" s="68">
        <v>2.5299999999999998</v>
      </c>
      <c r="G158" s="68">
        <v>3.02</v>
      </c>
      <c r="H158" s="68">
        <v>2.72</v>
      </c>
      <c r="I158" s="68">
        <v>3.71</v>
      </c>
      <c r="J158" s="68">
        <v>1.92</v>
      </c>
      <c r="K158" s="68">
        <v>2.48</v>
      </c>
      <c r="L158" s="68">
        <v>3.38</v>
      </c>
      <c r="M158" s="68">
        <v>3.37</v>
      </c>
      <c r="N158" s="68">
        <v>2.4700000000000002</v>
      </c>
      <c r="O158" s="68">
        <v>2.73</v>
      </c>
      <c r="P158" s="68">
        <v>4.05</v>
      </c>
      <c r="Q158" s="68">
        <v>4.05</v>
      </c>
      <c r="R158" s="68">
        <v>2.5499999999999998</v>
      </c>
      <c r="S158" s="68">
        <v>2.93</v>
      </c>
      <c r="T158" s="68">
        <v>3.4</v>
      </c>
      <c r="U158" s="68">
        <v>4.21</v>
      </c>
      <c r="V158" s="68">
        <v>2.48</v>
      </c>
      <c r="W158" s="68">
        <v>3.32</v>
      </c>
      <c r="X158" s="68">
        <v>3.43</v>
      </c>
    </row>
    <row r="159" spans="1:24" s="93" customFormat="1" ht="14.25" thickBot="1" x14ac:dyDescent="0.3">
      <c r="A159" s="225" t="s">
        <v>45</v>
      </c>
      <c r="B159" s="73" t="s">
        <v>43</v>
      </c>
      <c r="C159" s="73" t="s">
        <v>43</v>
      </c>
      <c r="D159" s="73" t="s">
        <v>43</v>
      </c>
      <c r="E159" s="73" t="s">
        <v>43</v>
      </c>
      <c r="F159" s="73">
        <v>3.28</v>
      </c>
      <c r="G159" s="73">
        <v>4.04</v>
      </c>
      <c r="H159" s="73">
        <v>3.61</v>
      </c>
      <c r="I159" s="73">
        <v>4.7</v>
      </c>
      <c r="J159" s="73">
        <v>2.35</v>
      </c>
      <c r="K159" s="73">
        <v>3.12</v>
      </c>
      <c r="L159" s="73">
        <v>4.2699999999999996</v>
      </c>
      <c r="M159" s="73">
        <v>4.09</v>
      </c>
      <c r="N159" s="73">
        <v>2.97</v>
      </c>
      <c r="O159" s="73">
        <v>3.41</v>
      </c>
      <c r="P159" s="73">
        <v>5.12</v>
      </c>
      <c r="Q159" s="73">
        <v>4.95</v>
      </c>
      <c r="R159" s="73">
        <v>3.09</v>
      </c>
      <c r="S159" s="73">
        <v>3.68</v>
      </c>
      <c r="T159" s="73">
        <v>4.38</v>
      </c>
      <c r="U159" s="73">
        <v>5.3</v>
      </c>
      <c r="V159" s="73">
        <v>3.04</v>
      </c>
      <c r="W159" s="73">
        <v>4.1900000000000004</v>
      </c>
      <c r="X159" s="73">
        <v>4.4800000000000004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8.36</v>
      </c>
      <c r="C162" s="68">
        <v>9.5299999999999994</v>
      </c>
      <c r="D162" s="68">
        <v>9.35</v>
      </c>
      <c r="E162" s="68">
        <v>10.49</v>
      </c>
      <c r="F162" s="68">
        <v>11.12</v>
      </c>
    </row>
    <row r="163" spans="1:72" s="93" customFormat="1" ht="14.25" thickBot="1" x14ac:dyDescent="0.3">
      <c r="A163" s="225" t="s">
        <v>18</v>
      </c>
      <c r="B163" s="274">
        <v>1.1000000000000001</v>
      </c>
      <c r="C163" s="274">
        <v>1.06</v>
      </c>
      <c r="D163" s="274">
        <v>1.1399999999999999</v>
      </c>
      <c r="E163" s="274">
        <v>1.2</v>
      </c>
      <c r="F163" s="274">
        <v>1.1100000000000001</v>
      </c>
    </row>
    <row r="164" spans="1:72" s="93" customFormat="1" ht="14.25" thickBot="1" x14ac:dyDescent="0.3">
      <c r="A164" s="224" t="s">
        <v>15</v>
      </c>
      <c r="B164" s="68">
        <v>1.31</v>
      </c>
      <c r="C164" s="68">
        <v>1.26</v>
      </c>
      <c r="D164" s="68">
        <v>1.23</v>
      </c>
      <c r="E164" s="68">
        <v>1.23</v>
      </c>
      <c r="F164" s="68">
        <v>1.27</v>
      </c>
    </row>
    <row r="165" spans="1:72" s="93" customFormat="1" ht="14.25" thickBot="1" x14ac:dyDescent="0.3">
      <c r="A165" s="225" t="s">
        <v>45</v>
      </c>
      <c r="B165" s="73">
        <v>12.28</v>
      </c>
      <c r="C165" s="73">
        <v>14.4</v>
      </c>
      <c r="D165" s="73">
        <v>13.49</v>
      </c>
      <c r="E165" s="73">
        <v>15.98</v>
      </c>
      <c r="F165" s="73">
        <v>16.07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 t="s">
        <v>43</v>
      </c>
      <c r="C168" s="68" t="s">
        <v>43</v>
      </c>
      <c r="D168" s="68" t="s">
        <v>43</v>
      </c>
      <c r="E168" s="68" t="s">
        <v>43</v>
      </c>
      <c r="F168" s="68">
        <v>22.39</v>
      </c>
      <c r="G168" s="68">
        <v>19.96</v>
      </c>
      <c r="H168" s="68">
        <v>39.82</v>
      </c>
      <c r="I168" s="68">
        <v>33.33</v>
      </c>
      <c r="J168" s="68">
        <v>38.79</v>
      </c>
      <c r="K168" s="68">
        <v>29.51</v>
      </c>
      <c r="L168" s="68">
        <v>30.1</v>
      </c>
      <c r="M168" s="68">
        <v>27.36</v>
      </c>
      <c r="N168" s="68">
        <v>31.58</v>
      </c>
      <c r="O168" s="68">
        <v>32.49</v>
      </c>
      <c r="P168" s="68">
        <v>36.590000000000003</v>
      </c>
      <c r="Q168" s="68">
        <v>30.93</v>
      </c>
      <c r="R168" s="68">
        <v>35.86</v>
      </c>
      <c r="S168" s="68">
        <v>35.159999999999997</v>
      </c>
      <c r="T168" s="68">
        <v>37.340000000000003</v>
      </c>
      <c r="U168" s="68">
        <v>32.61</v>
      </c>
      <c r="V168" s="68">
        <v>40.54</v>
      </c>
      <c r="W168" s="68">
        <v>35.86</v>
      </c>
      <c r="X168" s="68">
        <v>38.299999999999997</v>
      </c>
    </row>
    <row r="169" spans="1:72" s="93" customFormat="1" ht="14.25" thickBot="1" x14ac:dyDescent="0.3">
      <c r="A169" s="225" t="s">
        <v>17</v>
      </c>
      <c r="B169" s="274" t="s">
        <v>43</v>
      </c>
      <c r="C169" s="274" t="s">
        <v>43</v>
      </c>
      <c r="D169" s="274" t="s">
        <v>43</v>
      </c>
      <c r="E169" s="274" t="s">
        <v>43</v>
      </c>
      <c r="F169" s="274">
        <v>112.5</v>
      </c>
      <c r="G169" s="274">
        <v>89.11</v>
      </c>
      <c r="H169" s="274">
        <v>93.75</v>
      </c>
      <c r="I169" s="274">
        <v>79.650000000000006</v>
      </c>
      <c r="J169" s="274">
        <v>109.76</v>
      </c>
      <c r="K169" s="274">
        <v>90.91</v>
      </c>
      <c r="L169" s="274">
        <v>91.84</v>
      </c>
      <c r="M169" s="274">
        <v>89.11</v>
      </c>
      <c r="N169" s="274">
        <v>107.14</v>
      </c>
      <c r="O169" s="274">
        <v>98.9</v>
      </c>
      <c r="P169" s="274">
        <v>102.27</v>
      </c>
      <c r="Q169" s="274">
        <v>86.54</v>
      </c>
      <c r="R169" s="274">
        <v>109.76</v>
      </c>
      <c r="S169" s="274">
        <v>104.65</v>
      </c>
      <c r="T169" s="274">
        <v>107.14</v>
      </c>
      <c r="U169" s="274">
        <v>98.9</v>
      </c>
      <c r="V169" s="274">
        <v>121.62</v>
      </c>
      <c r="W169" s="274">
        <v>111.11</v>
      </c>
      <c r="X169" s="274">
        <v>120</v>
      </c>
    </row>
    <row r="170" spans="1:72" s="93" customFormat="1" ht="14.25" thickBot="1" x14ac:dyDescent="0.3">
      <c r="A170" s="224" t="s">
        <v>42</v>
      </c>
      <c r="B170" s="72" t="s">
        <v>43</v>
      </c>
      <c r="C170" s="72" t="s">
        <v>43</v>
      </c>
      <c r="D170" s="72" t="s">
        <v>43</v>
      </c>
      <c r="E170" s="72" t="s">
        <v>43</v>
      </c>
      <c r="F170" s="72">
        <v>134.88999999999999</v>
      </c>
      <c r="G170" s="72">
        <v>109.06</v>
      </c>
      <c r="H170" s="72">
        <v>133.57</v>
      </c>
      <c r="I170" s="72">
        <v>112.98</v>
      </c>
      <c r="J170" s="72">
        <v>148.55000000000001</v>
      </c>
      <c r="K170" s="72">
        <v>120.42</v>
      </c>
      <c r="L170" s="72">
        <v>121.94</v>
      </c>
      <c r="M170" s="72">
        <v>116.46</v>
      </c>
      <c r="N170" s="72">
        <v>138.72</v>
      </c>
      <c r="O170" s="72">
        <v>131.38999999999999</v>
      </c>
      <c r="P170" s="72">
        <v>138.86000000000001</v>
      </c>
      <c r="Q170" s="72">
        <v>117.47</v>
      </c>
      <c r="R170" s="72">
        <v>145.61000000000001</v>
      </c>
      <c r="S170" s="72">
        <v>139.81</v>
      </c>
      <c r="T170" s="72">
        <v>144.49</v>
      </c>
      <c r="U170" s="72">
        <v>131.51</v>
      </c>
      <c r="V170" s="72">
        <v>162.16</v>
      </c>
      <c r="W170" s="72">
        <v>146.97</v>
      </c>
      <c r="X170" s="72">
        <v>158.30000000000001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178.51</v>
      </c>
      <c r="C173" s="72">
        <v>134.44</v>
      </c>
      <c r="D173" s="72">
        <v>75</v>
      </c>
      <c r="E173" s="72">
        <v>120.76</v>
      </c>
      <c r="F173" s="72">
        <v>104.32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 t="s">
        <v>43</v>
      </c>
      <c r="C176" s="72" t="s">
        <v>43</v>
      </c>
      <c r="D176" s="72" t="s">
        <v>43</v>
      </c>
      <c r="E176" s="72" t="s">
        <v>43</v>
      </c>
      <c r="F176" s="72" t="s">
        <v>43</v>
      </c>
      <c r="G176" s="72" t="s">
        <v>43</v>
      </c>
      <c r="H176" s="72" t="s">
        <v>43</v>
      </c>
      <c r="I176" s="72" t="s">
        <v>43</v>
      </c>
      <c r="J176" s="72" t="s">
        <v>43</v>
      </c>
      <c r="K176" s="72" t="s">
        <v>43</v>
      </c>
      <c r="L176" s="72" t="s">
        <v>43</v>
      </c>
      <c r="M176" s="72" t="s">
        <v>43</v>
      </c>
      <c r="N176" s="72" t="s">
        <v>43</v>
      </c>
      <c r="O176" s="72" t="s">
        <v>43</v>
      </c>
      <c r="P176" s="72" t="s">
        <v>43</v>
      </c>
      <c r="Q176" s="72" t="s">
        <v>43</v>
      </c>
      <c r="R176" s="72" t="s">
        <v>43</v>
      </c>
      <c r="S176" s="72" t="s">
        <v>43</v>
      </c>
      <c r="T176" s="72" t="s">
        <v>43</v>
      </c>
      <c r="U176" s="72">
        <v>12.16</v>
      </c>
      <c r="V176" s="72">
        <v>12.64</v>
      </c>
      <c r="W176" s="72">
        <v>13.85</v>
      </c>
      <c r="X176" s="72">
        <v>12.77</v>
      </c>
      <c r="Y176" s="72">
        <v>16.98</v>
      </c>
      <c r="Z176" s="72">
        <v>15.78</v>
      </c>
      <c r="AA176" s="72">
        <v>15.27</v>
      </c>
      <c r="AB176" s="72">
        <v>15.16</v>
      </c>
      <c r="AC176" s="72">
        <v>14.65</v>
      </c>
      <c r="AD176" s="72">
        <v>15.1</v>
      </c>
      <c r="AE176" s="72">
        <v>14.92</v>
      </c>
      <c r="AF176" s="72">
        <v>14.46</v>
      </c>
      <c r="AG176" s="72">
        <v>13.41</v>
      </c>
      <c r="AH176" s="72">
        <v>13.46</v>
      </c>
      <c r="AI176" s="72">
        <v>13.34</v>
      </c>
      <c r="AJ176" s="72">
        <v>12.29</v>
      </c>
      <c r="AK176" s="72">
        <v>12.53</v>
      </c>
      <c r="AL176" s="72">
        <v>13.05</v>
      </c>
      <c r="AM176" s="72">
        <v>13.27</v>
      </c>
      <c r="AN176" s="72">
        <v>13.51</v>
      </c>
      <c r="AO176" s="72">
        <v>13.45</v>
      </c>
      <c r="AP176" s="72">
        <v>14.31</v>
      </c>
      <c r="AQ176" s="72">
        <v>14.04</v>
      </c>
      <c r="AR176" s="72">
        <v>13.9</v>
      </c>
      <c r="AS176" s="72">
        <v>11.72</v>
      </c>
      <c r="AT176" s="72">
        <v>11.11</v>
      </c>
      <c r="AU176" s="72">
        <v>11.95</v>
      </c>
      <c r="AV176" s="72">
        <v>12.98</v>
      </c>
      <c r="AW176" s="72">
        <v>13.64</v>
      </c>
      <c r="AX176" s="72">
        <v>14.05</v>
      </c>
      <c r="AY176" s="72">
        <v>14.39</v>
      </c>
      <c r="AZ176" s="72">
        <v>12.83</v>
      </c>
      <c r="BA176" s="72">
        <v>12.41</v>
      </c>
      <c r="BB176" s="72">
        <v>11.46</v>
      </c>
      <c r="BC176" s="72">
        <v>11.1</v>
      </c>
      <c r="BD176" s="72">
        <v>11.35</v>
      </c>
      <c r="BE176" s="72">
        <v>11.21</v>
      </c>
      <c r="BF176" s="72">
        <v>11.57</v>
      </c>
      <c r="BG176" s="72">
        <v>11.67</v>
      </c>
      <c r="BH176" s="72">
        <v>11.06</v>
      </c>
      <c r="BI176" s="72">
        <v>11.34</v>
      </c>
      <c r="BJ176" s="72">
        <v>11.13</v>
      </c>
      <c r="BK176" s="72">
        <v>11.23</v>
      </c>
      <c r="BL176" s="72">
        <v>11.13</v>
      </c>
      <c r="BM176" s="72">
        <v>11.28</v>
      </c>
      <c r="BN176" s="72">
        <v>11.1</v>
      </c>
      <c r="BO176" s="72">
        <v>11.33</v>
      </c>
      <c r="BP176" s="72">
        <v>11.39</v>
      </c>
      <c r="BQ176" s="72">
        <v>11.06</v>
      </c>
      <c r="BR176" s="72">
        <v>11.45</v>
      </c>
      <c r="BS176" s="72">
        <v>11.26</v>
      </c>
      <c r="BT176" s="72">
        <v>11.52</v>
      </c>
    </row>
  </sheetData>
  <phoneticPr fontId="3" type="noConversion"/>
  <conditionalFormatting sqref="E4">
    <cfRule type="cellIs" dxfId="6596" priority="103" operator="greaterThan">
      <formula>0.2</formula>
    </cfRule>
    <cfRule type="cellIs" dxfId="6595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6594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593" priority="97" operator="greaterThan">
      <formula>$B$19</formula>
    </cfRule>
  </conditionalFormatting>
  <conditionalFormatting sqref="D33:D34">
    <cfRule type="cellIs" dxfId="6592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6591" priority="91" operator="lessThan">
      <formula>$H$62</formula>
    </cfRule>
    <cfRule type="cellIs" dxfId="6590" priority="92" operator="greaterThan">
      <formula>$H$62</formula>
    </cfRule>
  </conditionalFormatting>
  <conditionalFormatting sqref="J62">
    <cfRule type="cellIs" dxfId="6589" priority="89" operator="lessThan">
      <formula>$K$62</formula>
    </cfRule>
    <cfRule type="cellIs" dxfId="6588" priority="90" operator="greaterThan">
      <formula>$K$62</formula>
    </cfRule>
  </conditionalFormatting>
  <conditionalFormatting sqref="M62">
    <cfRule type="cellIs" dxfId="6587" priority="87" operator="lessThan">
      <formula>$N$62</formula>
    </cfRule>
    <cfRule type="cellIs" dxfId="6586" priority="88" operator="greaterThan">
      <formula>$N$62</formula>
    </cfRule>
  </conditionalFormatting>
  <conditionalFormatting sqref="B44:E44">
    <cfRule type="cellIs" dxfId="6585" priority="85" operator="greaterThan">
      <formula>0</formula>
    </cfRule>
    <cfRule type="cellIs" dxfId="6584" priority="86" operator="lessThan">
      <formula>0</formula>
    </cfRule>
  </conditionalFormatting>
  <conditionalFormatting sqref="F72">
    <cfRule type="cellIs" dxfId="6583" priority="84" operator="lessThan">
      <formula>$E$72*90%</formula>
    </cfRule>
  </conditionalFormatting>
  <conditionalFormatting sqref="F73">
    <cfRule type="cellIs" dxfId="6582" priority="83" operator="lessThan">
      <formula>$E$73*90%</formula>
    </cfRule>
  </conditionalFormatting>
  <conditionalFormatting sqref="F74">
    <cfRule type="cellIs" dxfId="6581" priority="82" operator="lessThan">
      <formula>$E$74*90%</formula>
    </cfRule>
  </conditionalFormatting>
  <conditionalFormatting sqref="F75">
    <cfRule type="cellIs" dxfId="6580" priority="81" operator="lessThan">
      <formula>$E$75*90%</formula>
    </cfRule>
  </conditionalFormatting>
  <conditionalFormatting sqref="H44:K44">
    <cfRule type="cellIs" dxfId="6579" priority="79" operator="greaterThan">
      <formula>0</formula>
    </cfRule>
    <cfRule type="cellIs" dxfId="6578" priority="80" operator="lessThan">
      <formula>0</formula>
    </cfRule>
  </conditionalFormatting>
  <conditionalFormatting sqref="H51:K51">
    <cfRule type="cellIs" dxfId="6577" priority="77" operator="greaterThan">
      <formula>0</formula>
    </cfRule>
    <cfRule type="cellIs" dxfId="6576" priority="78" operator="lessThan">
      <formula>0</formula>
    </cfRule>
  </conditionalFormatting>
  <conditionalFormatting sqref="B51:E51">
    <cfRule type="cellIs" dxfId="6575" priority="75" operator="greaterThan">
      <formula>0</formula>
    </cfRule>
    <cfRule type="cellIs" dxfId="6574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573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572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571" priority="58" operator="lessThan">
      <formula>0</formula>
    </cfRule>
  </conditionalFormatting>
  <conditionalFormatting sqref="A25 E25 C25">
    <cfRule type="cellIs" dxfId="6570" priority="59" operator="lessThan">
      <formula>0</formula>
    </cfRule>
  </conditionalFormatting>
  <conditionalFormatting sqref="F25">
    <cfRule type="cellIs" dxfId="6569" priority="57" operator="lessThan">
      <formula>0</formula>
    </cfRule>
  </conditionalFormatting>
  <conditionalFormatting sqref="E1">
    <cfRule type="containsText" dxfId="6568" priority="56" operator="containsText" text="本季業外損益/平均=-">
      <formula>NOT(ISERROR(SEARCH("本季業外損益/平均=-",E1)))</formula>
    </cfRule>
  </conditionalFormatting>
  <conditionalFormatting sqref="M65">
    <cfRule type="cellIs" dxfId="6567" priority="55" operator="lessThan">
      <formula>$L$65*90%</formula>
    </cfRule>
  </conditionalFormatting>
  <conditionalFormatting sqref="M66">
    <cfRule type="cellIs" dxfId="6566" priority="54" operator="lessThan">
      <formula>$L$66*90%</formula>
    </cfRule>
  </conditionalFormatting>
  <conditionalFormatting sqref="M67">
    <cfRule type="cellIs" dxfId="6565" priority="53" operator="lessThan">
      <formula>$L$67*90%</formula>
    </cfRule>
  </conditionalFormatting>
  <conditionalFormatting sqref="M68">
    <cfRule type="cellIs" dxfId="6564" priority="52" operator="lessThan">
      <formula>$L$68*90%</formula>
    </cfRule>
  </conditionalFormatting>
  <conditionalFormatting sqref="B60">
    <cfRule type="cellIs" dxfId="6563" priority="51" operator="lessThan">
      <formula>0</formula>
    </cfRule>
  </conditionalFormatting>
  <conditionalFormatting sqref="B59:F59">
    <cfRule type="cellIs" dxfId="6562" priority="50" operator="lessThanOrEqual">
      <formula>0</formula>
    </cfRule>
  </conditionalFormatting>
  <conditionalFormatting sqref="D62">
    <cfRule type="cellIs" dxfId="6561" priority="48" operator="lessThan">
      <formula>$E$62</formula>
    </cfRule>
    <cfRule type="cellIs" dxfId="6560" priority="49" operator="greaterThan">
      <formula>$E$62</formula>
    </cfRule>
  </conditionalFormatting>
  <conditionalFormatting sqref="F69">
    <cfRule type="cellIs" dxfId="6559" priority="46" operator="lessThan">
      <formula>0</formula>
    </cfRule>
  </conditionalFormatting>
  <conditionalFormatting sqref="B65:E67 B69:E69 B68:D68">
    <cfRule type="cellIs" dxfId="6558" priority="47" operator="lessThan">
      <formula>0</formula>
    </cfRule>
  </conditionalFormatting>
  <conditionalFormatting sqref="E68">
    <cfRule type="cellIs" dxfId="6557" priority="45" operator="lessThan">
      <formula>0</formula>
    </cfRule>
  </conditionalFormatting>
  <conditionalFormatting sqref="F65:F68">
    <cfRule type="cellIs" dxfId="6556" priority="44" operator="lessThan">
      <formula>0</formula>
    </cfRule>
  </conditionalFormatting>
  <conditionalFormatting sqref="F65:F68">
    <cfRule type="cellIs" dxfId="6555" priority="43" operator="lessThan">
      <formula>$E$65*0.9</formula>
    </cfRule>
  </conditionalFormatting>
  <conditionalFormatting sqref="F66">
    <cfRule type="cellIs" dxfId="6554" priority="42" operator="lessThan">
      <formula>$E$66*0.9</formula>
    </cfRule>
  </conditionalFormatting>
  <conditionalFormatting sqref="F67:F68">
    <cfRule type="cellIs" dxfId="6553" priority="41" operator="lessThan">
      <formula>$E$67*0.9</formula>
    </cfRule>
  </conditionalFormatting>
  <conditionalFormatting sqref="F68">
    <cfRule type="cellIs" dxfId="6552" priority="40" operator="lessThan">
      <formula>$E$68*0.9</formula>
    </cfRule>
  </conditionalFormatting>
  <conditionalFormatting sqref="B13:F13">
    <cfRule type="cellIs" dxfId="6551" priority="29" operator="greaterThan">
      <formula>$I$16</formula>
    </cfRule>
    <cfRule type="cellIs" dxfId="6550" priority="30" operator="lessThanOrEqual">
      <formula>$I$16</formula>
    </cfRule>
  </conditionalFormatting>
  <conditionalFormatting sqref="B10:F10">
    <cfRule type="cellIs" dxfId="6549" priority="31" operator="greaterThan">
      <formula>15</formula>
    </cfRule>
    <cfRule type="cellIs" dxfId="6548" priority="38" operator="lessThan">
      <formula>$I$9</formula>
    </cfRule>
    <cfRule type="cellIs" dxfId="6547" priority="39" operator="greaterThan">
      <formula>$I$9</formula>
    </cfRule>
  </conditionalFormatting>
  <conditionalFormatting sqref="B16:F16">
    <cfRule type="cellIs" dxfId="6546" priority="36" operator="greaterThan">
      <formula>$I$16</formula>
    </cfRule>
    <cfRule type="cellIs" dxfId="6545" priority="37" operator="lessThanOrEqual">
      <formula>$I$16</formula>
    </cfRule>
  </conditionalFormatting>
  <conditionalFormatting sqref="B15:F15">
    <cfRule type="cellIs" dxfId="6544" priority="34" operator="lessThanOrEqual">
      <formula>$I$16</formula>
    </cfRule>
    <cfRule type="cellIs" dxfId="6543" priority="35" operator="greaterThan">
      <formula>$I$16</formula>
    </cfRule>
  </conditionalFormatting>
  <conditionalFormatting sqref="B14:F14">
    <cfRule type="cellIs" dxfId="6542" priority="32" operator="greaterThan">
      <formula>$I$16</formula>
    </cfRule>
    <cfRule type="cellIs" dxfId="6541" priority="33" operator="lessThanOrEqual">
      <formula>$I$16</formula>
    </cfRule>
  </conditionalFormatting>
  <conditionalFormatting sqref="K6">
    <cfRule type="containsText" dxfId="6540" priority="27" operator="containsText" text="衰退">
      <formula>NOT(ISERROR(SEARCH("衰退",K6)))</formula>
    </cfRule>
    <cfRule type="containsText" dxfId="6539" priority="28" operator="containsText" text="成長">
      <formula>NOT(ISERROR(SEARCH("成長",K6)))</formula>
    </cfRule>
  </conditionalFormatting>
  <conditionalFormatting sqref="I4:K4">
    <cfRule type="cellIs" dxfId="6538" priority="25" operator="lessThan">
      <formula>0</formula>
    </cfRule>
    <cfRule type="cellIs" dxfId="6537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536" priority="22" operator="lessThanOrEqual">
      <formula>$I$16</formula>
    </cfRule>
    <cfRule type="cellIs" dxfId="6535" priority="23" operator="greaterThan">
      <formula>$I$16</formula>
    </cfRule>
  </conditionalFormatting>
  <conditionalFormatting sqref="I6">
    <cfRule type="containsText" dxfId="6534" priority="20" operator="containsText" text="衰退">
      <formula>NOT(ISERROR(SEARCH("衰退",I6)))</formula>
    </cfRule>
    <cfRule type="containsText" dxfId="6533" priority="21" operator="containsText" text="成長">
      <formula>NOT(ISERROR(SEARCH("成長",I6)))</formula>
    </cfRule>
  </conditionalFormatting>
  <conditionalFormatting sqref="M9">
    <cfRule type="cellIs" dxfId="6532" priority="19" operator="lessThan">
      <formula>$I$9</formula>
    </cfRule>
  </conditionalFormatting>
  <conditionalFormatting sqref="M10">
    <cfRule type="cellIs" dxfId="6531" priority="18" operator="greaterThan">
      <formula>$I$9</formula>
    </cfRule>
  </conditionalFormatting>
  <conditionalFormatting sqref="M11">
    <cfRule type="cellIs" dxfId="6530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529" priority="14" operator="lessThan">
      <formula>0</formula>
    </cfRule>
    <cfRule type="cellIs" dxfId="6528" priority="15" operator="greaterThan">
      <formula>0.5</formula>
    </cfRule>
  </conditionalFormatting>
  <conditionalFormatting sqref="N14">
    <cfRule type="cellIs" dxfId="6527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526" priority="10" operator="lessThan">
      <formula>0.1</formula>
    </cfRule>
  </conditionalFormatting>
  <conditionalFormatting sqref="I14">
    <cfRule type="cellIs" dxfId="6525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524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523" priority="1" operator="lessThan">
      <formula>$N$5*0.9</formula>
    </cfRule>
    <cfRule type="cellIs" dxfId="6522" priority="2" operator="greaterThan">
      <formula>$N$5*1.1</formula>
    </cfRule>
  </conditionalFormatting>
  <hyperlinks>
    <hyperlink ref="L1" location="儀表板!A1" display="(回首頁)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3.74 ~ 15.86</v>
      </c>
      <c r="L1" s="83" t="s">
        <v>176</v>
      </c>
      <c r="M1" s="84" t="str">
        <f ca="1">VLOOKUP(_xlfn.NUMBERVALUE(N1),儀表板!A:B,2,FALSE)</f>
        <v>正新</v>
      </c>
      <c r="N1" s="85" t="str">
        <f ca="1">MID(CELL("filename",L1),FIND("]",CELL("filename",L1))+1,255)</f>
        <v>2105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0.25417762271510019</v>
      </c>
    </row>
    <row r="3" spans="1:15" s="93" customFormat="1" x14ac:dyDescent="0.25">
      <c r="A3" s="81" t="s">
        <v>179</v>
      </c>
      <c r="B3" s="94">
        <f>SUM(F19:F22,F24:F27,J19)</f>
        <v>76.209481310567782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29.139509711839199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30.824930831060556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32.581423925188851</v>
      </c>
      <c r="L3" s="100"/>
      <c r="M3" s="79" t="s">
        <v>385</v>
      </c>
      <c r="N3" s="92">
        <f>(F69-E69)/E69</f>
        <v>-0.50527563875719839</v>
      </c>
    </row>
    <row r="4" spans="1:15" s="93" customFormat="1" x14ac:dyDescent="0.25">
      <c r="A4" s="81" t="s">
        <v>182</v>
      </c>
      <c r="B4" s="96">
        <f>SUM(G36:G40)*2</f>
        <v>74</v>
      </c>
      <c r="C4" s="101"/>
      <c r="D4" s="102">
        <f>F4*(1+F141/10)</f>
        <v>324</v>
      </c>
      <c r="E4" s="82">
        <f>(D4-F4)/F4</f>
        <v>0</v>
      </c>
      <c r="F4" s="103">
        <v>324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2.0184753938706308</v>
      </c>
    </row>
    <row r="5" spans="1:15" s="93" customFormat="1" x14ac:dyDescent="0.25">
      <c r="A5" s="81" t="s">
        <v>184</v>
      </c>
      <c r="B5" s="107">
        <f>SUM(F30:F34)*2</f>
        <v>97.813559322033896</v>
      </c>
      <c r="C5" s="87"/>
      <c r="D5" s="87"/>
      <c r="E5" s="87"/>
      <c r="F5" s="86"/>
      <c r="G5" s="88"/>
      <c r="M5" s="79" t="s">
        <v>386</v>
      </c>
      <c r="N5" s="152">
        <f>D62</f>
        <v>2.14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有0.6年成長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連2月衰退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1.9355921425345008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24.64</v>
      </c>
      <c r="N9" s="129"/>
    </row>
    <row r="10" spans="1:15" s="93" customFormat="1" x14ac:dyDescent="0.25">
      <c r="A10" s="123" t="s">
        <v>194</v>
      </c>
      <c r="B10" s="126">
        <f>PERCENTILE(176:176,B9)</f>
        <v>13.68</v>
      </c>
      <c r="C10" s="126">
        <f>PERCENTILE(176:176,C9)</f>
        <v>14.350000000000001</v>
      </c>
      <c r="D10" s="126">
        <f>PERCENTILE(176:176,D9)</f>
        <v>15.18</v>
      </c>
      <c r="E10" s="126">
        <f>PERCENTILE(176:176,E9)</f>
        <v>16.045000000000002</v>
      </c>
      <c r="F10" s="126">
        <f>PERCENTILE(176:176,F9)</f>
        <v>18.079999999999998</v>
      </c>
      <c r="G10" s="95"/>
      <c r="H10" s="135"/>
      <c r="I10" s="135"/>
      <c r="J10" s="135"/>
      <c r="K10" s="135"/>
      <c r="L10" s="136" t="s">
        <v>374</v>
      </c>
      <c r="M10" s="130">
        <f>MIN(176:176)</f>
        <v>11.42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25.05</v>
      </c>
      <c r="L11" s="272" t="s">
        <v>193</v>
      </c>
      <c r="M11" s="128">
        <f>STDEV(176:176)</f>
        <v>2.776862689869696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42.016806722689083</v>
      </c>
      <c r="C13" s="141">
        <f>$B$34/5.88%</f>
        <v>51.020408163265309</v>
      </c>
      <c r="D13" s="141">
        <f>$B$34/5%</f>
        <v>60</v>
      </c>
      <c r="E13" s="141">
        <f>$B$34/4.35%</f>
        <v>68.965517241379317</v>
      </c>
      <c r="F13" s="141">
        <f>$B$34/3.85%</f>
        <v>77.922077922077918</v>
      </c>
      <c r="G13" s="138" t="str">
        <f>"$"&amp;ROUND(B34,2)&amp;"/"&amp;IF(STDEV(C140:F140)/AVERAGE(C140:F140)&lt;15%,"高",IF(STDEV(C140:F140)/AVERAGE(C140:F140)&lt;30%,"中","低"))</f>
        <v>$3/高</v>
      </c>
      <c r="H13" s="142" t="s">
        <v>199</v>
      </c>
      <c r="I13" s="143">
        <f>MAX(0,1-J15)</f>
        <v>0.26470588235294124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64.569599999999994</v>
      </c>
      <c r="C14" s="141">
        <f>$B$33*C10</f>
        <v>67.731999999999999</v>
      </c>
      <c r="D14" s="141">
        <f>$B$33*D10</f>
        <v>71.649599999999992</v>
      </c>
      <c r="E14" s="141">
        <f>$B$33*E10</f>
        <v>75.732399999999998</v>
      </c>
      <c r="F14" s="141">
        <f>$B$33*F10</f>
        <v>85.337599999999981</v>
      </c>
      <c r="G14" s="138" t="str">
        <f>"$"&amp;ROUND(B33,2)&amp;"/"&amp;IF(STDEV(B69:E69)/AVERAGE(B69:E69)&lt;15%,"高",IF(STDEV(B69:E69)/AVERAGE(B69:E69)&lt;30%,"中","低"))</f>
        <v>$4.72/中</v>
      </c>
      <c r="H14" s="142" t="s">
        <v>203</v>
      </c>
      <c r="I14" s="145">
        <f>G62/100*I13</f>
        <v>2.1679411764705888E-2</v>
      </c>
      <c r="J14" s="76" t="s">
        <v>204</v>
      </c>
      <c r="K14" s="146"/>
      <c r="L14" s="147">
        <f>(HLOOKUP($C$1,$105:$106,2,FALSE)-HLOOKUP($C$1,$117:$127,9,FALSE))/(HLOOKUP($C$1,$117:$128,12,FALSE)/K11)</f>
        <v>-6.065618503968242</v>
      </c>
      <c r="M14" s="148">
        <f>E135/E69</f>
        <v>1.0833333333333333</v>
      </c>
      <c r="N14" s="149">
        <f>F173/100</f>
        <v>2.0428000000000002</v>
      </c>
    </row>
    <row r="15" spans="1:15" s="93" customFormat="1" x14ac:dyDescent="0.25">
      <c r="A15" s="140" t="s">
        <v>375</v>
      </c>
      <c r="B15" s="141">
        <f>$D$62*B10</f>
        <v>29.275200000000002</v>
      </c>
      <c r="C15" s="141">
        <f>$D$62*C10</f>
        <v>30.709000000000003</v>
      </c>
      <c r="D15" s="141">
        <f>$D$62*D10</f>
        <v>32.485199999999999</v>
      </c>
      <c r="E15" s="141">
        <f>$D$62*E10</f>
        <v>34.336300000000008</v>
      </c>
      <c r="F15" s="141">
        <f>$D$62*F10</f>
        <v>38.691200000000002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0.73529411764705876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27.612743388150228</v>
      </c>
      <c r="C16" s="141">
        <f>$F$69*C10</f>
        <v>28.965121902043556</v>
      </c>
      <c r="D16" s="141">
        <f>$F$69*D10</f>
        <v>30.640456478956175</v>
      </c>
      <c r="E16" s="141">
        <f>$F$69*E10</f>
        <v>32.386437694654276</v>
      </c>
      <c r="F16" s="141">
        <f>$F$69*F10</f>
        <v>36.494035121181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11465</v>
      </c>
      <c r="J17" s="92">
        <f ca="1">IF(I17&lt;=0,"",IF(I17&lt;=MIN($B$13:$F$16),(I17-MIN($B$13:$F$16))/MIN($B$13:$F$16),IF(I17&gt;=MAX($B$13:$F$16),I17/MAX($B$13:$F$16),PERCENTRANK($B$13:$F$16,I17))))</f>
        <v>134.34875131243442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4.4275000000000002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12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1.4758333333333333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0.47572212680136572</v>
      </c>
      <c r="J20" s="171">
        <f>HLOOKUP($C$1,$117:$127,11,FALSE)/HLOOKUP($C$1,$105:$115,11,FALSE)</f>
        <v>0.52796092472539513</v>
      </c>
      <c r="K20" s="163"/>
    </row>
    <row r="21" spans="1:14" s="93" customFormat="1" x14ac:dyDescent="0.25">
      <c r="A21" s="151" t="s">
        <v>201</v>
      </c>
      <c r="B21" s="161">
        <f>AVERAGE(C173:F173)/100</f>
        <v>1.8354500000000002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1.3574472962543427</v>
      </c>
      <c r="J21" s="78"/>
      <c r="K21" s="164" t="s">
        <v>356</v>
      </c>
      <c r="L21" s="165">
        <f>HLOOKUP($C$1,$105:$115,7,FALSE)/HLOOKUP($C$1,$105:$115,11,FALSE)</f>
        <v>0.35377465848949546</v>
      </c>
      <c r="M21" s="123" t="s">
        <v>268</v>
      </c>
      <c r="N21" s="165">
        <f>HLOOKUP($C$1,$117:$127,8,FALSE)/HLOOKUP($C$1,$117:$127,11,FALSE)</f>
        <v>0.49363047391931686</v>
      </c>
    </row>
    <row r="22" spans="1:14" s="93" customFormat="1" x14ac:dyDescent="0.25">
      <c r="A22" s="140" t="s">
        <v>222</v>
      </c>
      <c r="B22" s="161">
        <f>(-1)*SUM(C133:F133)/SUM(C132:F132)</f>
        <v>0.47617638354542763</v>
      </c>
      <c r="C22" s="157"/>
      <c r="D22" s="166"/>
      <c r="E22" s="140"/>
      <c r="F22" s="159">
        <f>IF(B22&lt;=0,10,IF(B22&gt;=100%,0,(1-B22)*10))</f>
        <v>5.2382361645457243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0.96505973037341619</v>
      </c>
      <c r="J22" s="78"/>
      <c r="K22" s="142" t="s">
        <v>357</v>
      </c>
      <c r="L22" s="165">
        <f>HLOOKUP($C$1,$105:$115,4,FALSE)/HLOOKUP($C$1,$105:$115,11,FALSE)</f>
        <v>7.2670857650545692E-2</v>
      </c>
      <c r="M22" s="123" t="s">
        <v>353</v>
      </c>
      <c r="N22" s="165">
        <f>HLOOKUP($C$1,$117:$127,4,FALSE)/HLOOKUP($C$1,$117:$127,11,FALSE)</f>
        <v>9.8944439782546564E-2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2.11846868697948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0.10226310627167015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0.99424902920441327</v>
      </c>
      <c r="C24" s="169">
        <f>STDEV(C103:F103)</f>
        <v>1.0572588361733054E-3</v>
      </c>
      <c r="D24" s="76" t="str">
        <f>IF(C24/B24&lt;15%,"高",IF(C24/B24&lt;30%,"中","低"))</f>
        <v>高</v>
      </c>
      <c r="E24" s="149"/>
      <c r="F24" s="160">
        <f>MIN(100%,B24)*5</f>
        <v>4.9712451460220661</v>
      </c>
      <c r="G24" s="88" t="s">
        <v>229</v>
      </c>
      <c r="H24" s="123" t="s">
        <v>16</v>
      </c>
      <c r="I24" s="170">
        <f>HLOOKUP(C1,167:170,2,FALSE)</f>
        <v>40.909999999999997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4.1683553589662393E-2</v>
      </c>
      <c r="M24" s="123" t="s">
        <v>355</v>
      </c>
      <c r="N24" s="165">
        <f>HLOOKUP($C$1,$117:$127,9,FALSE)/HLOOKUP($C$1,$117:$127,11,FALSE)</f>
        <v>0.50636952608068309</v>
      </c>
    </row>
    <row r="25" spans="1:14" s="93" customFormat="1" x14ac:dyDescent="0.25">
      <c r="A25" s="151" t="s">
        <v>366</v>
      </c>
      <c r="B25" s="255">
        <f>AVERAGE(94:94)</f>
        <v>-17528.956521739132</v>
      </c>
      <c r="C25" s="254">
        <f>STDEV(94:94)/AVERAGE(94:94)</f>
        <v>-24.618382609501435</v>
      </c>
      <c r="D25" s="76" t="str">
        <f>IF(C25&lt;=1,"高",IF(C25&lt;=2,"中","低"))</f>
        <v>高</v>
      </c>
      <c r="E25" s="149"/>
      <c r="F25" s="160">
        <f>MAX(0,10-ABS(C25))</f>
        <v>0</v>
      </c>
      <c r="G25" s="88" t="s">
        <v>213</v>
      </c>
      <c r="H25" s="123" t="s">
        <v>232</v>
      </c>
      <c r="I25" s="170">
        <f>IF(HLOOKUP(C1,167:170,3,FALSE)="無",0,HLOOKUP(C1,167:170,3,FALSE))</f>
        <v>70.87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37.52347826086956</v>
      </c>
      <c r="C26" s="172">
        <f>IF(COUNTIF(168:168,"&gt;0")=0,0,STDEV(168:168))</f>
        <v>5.2348175349773571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64.490869565217395</v>
      </c>
      <c r="C27" s="172">
        <f>IF(COUNTIF(169:169,"&gt;0")=0,0,STDEV(169:169))</f>
        <v>6.7114589343650168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0.28937499999999999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0.12217499999999999</v>
      </c>
      <c r="C31" s="157" t="s">
        <v>217</v>
      </c>
      <c r="D31" s="174">
        <f>COUNTIF(149:149,"&gt;8")/COUNT(149:149)</f>
        <v>0.86956521739130432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18.662500000000001</v>
      </c>
      <c r="C32" s="157" t="s">
        <v>217</v>
      </c>
      <c r="D32" s="174">
        <f>COUNTIF(159:159,"&gt;3")/COUNT(159:159)</f>
        <v>0.82608695652173914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4.72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8.9067796610169498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124053604.25</v>
      </c>
      <c r="C36" s="178">
        <f>STDEV(C97:F97)</f>
        <v>8252803.6905735005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28.9375</v>
      </c>
      <c r="C37" s="180">
        <f>STDEV(C152:F152)</f>
        <v>2.0924845678443291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16.2425</v>
      </c>
      <c r="C38" s="180">
        <f>STDEV(C153:F153)</f>
        <v>0.37765725201563483</v>
      </c>
      <c r="D38" s="76" t="str">
        <f>IF(C38/B38&lt;15%,"高",IF(C38/B38&lt;30%,"中","低"))</f>
        <v>高</v>
      </c>
      <c r="E38" s="107">
        <f>IF(F153&gt;E153,1,0)+IF(E153&gt;D153,1,0)+IF(D153&gt;C153,1,0)</f>
        <v>0</v>
      </c>
      <c r="F38" s="179"/>
      <c r="G38" s="160">
        <f>IF(D38="高",6,IF(D38="中",4,2))+E38+1</f>
        <v>7</v>
      </c>
    </row>
    <row r="39" spans="1:14" x14ac:dyDescent="0.25">
      <c r="A39" s="142" t="s">
        <v>46</v>
      </c>
      <c r="B39" s="181">
        <f>AVERAGE(C165:F165)</f>
        <v>18.662500000000001</v>
      </c>
      <c r="C39" s="181">
        <f>STDEV(C165:F165)</f>
        <v>5.400471430038924</v>
      </c>
      <c r="D39" s="76" t="str">
        <f>IF(C39/B39&lt;15%,"高",IF(C39/B39&lt;30%,"中","低"))</f>
        <v>中</v>
      </c>
      <c r="E39" s="107">
        <f>IF(F165&gt;E165,1,0)+IF(E165&gt;D165,1,0)+IF(D165&gt;C165,1,0)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4.72</v>
      </c>
      <c r="C40" s="183">
        <f>STDEV(B69:E69)</f>
        <v>0.91403865709644172</v>
      </c>
      <c r="D40" s="76" t="str">
        <f>IF(C40/B40&lt;15%,"高",IF(C40/B40&lt;30%,"中","低"))</f>
        <v>中</v>
      </c>
      <c r="E40" s="107">
        <f>IF(E69&gt;D69,1,0)+IF(D69&gt;C69,1,0)+IF(C69&gt;B69,1,0)</f>
        <v>1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-0.64130434782608703</v>
      </c>
      <c r="C44" s="186">
        <f>(C46-C49)/C49</f>
        <v>-0.56910569105691056</v>
      </c>
      <c r="D44" s="186">
        <f>(D46-D49)/D49</f>
        <v>-0.52419354838709675</v>
      </c>
      <c r="E44" s="186">
        <f>(E46-E49)/E49</f>
        <v>-0.30303030303030309</v>
      </c>
      <c r="G44" s="86" t="s">
        <v>175</v>
      </c>
      <c r="H44" s="186">
        <f>(H47-H50)/H50</f>
        <v>-0.68589298123697018</v>
      </c>
      <c r="I44" s="186">
        <f>(I47-I50)/I50</f>
        <v>-0.58673191952147907</v>
      </c>
      <c r="J44" s="186">
        <f>(J47-J50)/J50</f>
        <v>-0.39390642002176274</v>
      </c>
      <c r="K44" s="186">
        <f>(K47-K50)/K50</f>
        <v>-0.22157996146435463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0.33</v>
      </c>
      <c r="C46" s="152">
        <f>HLOOKUP(C45,$81:$82,2,FALSE)</f>
        <v>0.53</v>
      </c>
      <c r="D46" s="152">
        <f>HLOOKUP(D45,$81:$82,2,FALSE)</f>
        <v>0.59</v>
      </c>
      <c r="E46" s="152">
        <f>HLOOKUP(E45,$81:$82,2,FALSE)</f>
        <v>0.69</v>
      </c>
      <c r="G46" s="86" t="s">
        <v>164</v>
      </c>
      <c r="H46" s="145">
        <f>HLOOKUP(H45,$145:$147,2,FALSE)/100</f>
        <v>0.20449999999999999</v>
      </c>
      <c r="I46" s="145">
        <f>HLOOKUP(I45,$145:$147,2,FALSE)/100</f>
        <v>0.22690000000000002</v>
      </c>
      <c r="J46" s="145">
        <f>HLOOKUP(J45,$145:$147,2,FALSE)/100</f>
        <v>0.25659999999999999</v>
      </c>
      <c r="K46" s="145">
        <f>HLOOKUP(K45,$145:$147,2,FALSE)/100</f>
        <v>0.2828</v>
      </c>
    </row>
    <row r="47" spans="1:14" x14ac:dyDescent="0.25">
      <c r="A47" s="188" t="s">
        <v>165</v>
      </c>
      <c r="B47" s="189">
        <f>HLOOKUP(B45,$157:$159,3,FALSE)</f>
        <v>1.3</v>
      </c>
      <c r="C47" s="189">
        <f>HLOOKUP(C45,$157:$159,3,FALSE)</f>
        <v>2.09</v>
      </c>
      <c r="D47" s="189">
        <f>HLOOKUP(D45,$157:$159,3,FALSE)</f>
        <v>2.2200000000000002</v>
      </c>
      <c r="E47" s="189">
        <f>HLOOKUP(E45,$157:$159,3,FALSE)</f>
        <v>2.58</v>
      </c>
      <c r="G47" s="190" t="s">
        <v>166</v>
      </c>
      <c r="H47" s="145">
        <f>HLOOKUP(H45,$145:$147,3,FALSE)/100</f>
        <v>4.5199999999999997E-2</v>
      </c>
      <c r="I47" s="145">
        <f>HLOOKUP(I45,$145:$147,3,FALSE)/100</f>
        <v>7.5999999999999998E-2</v>
      </c>
      <c r="J47" s="145">
        <f>HLOOKUP(J45,$145:$147,3,FALSE)/100</f>
        <v>0.1114</v>
      </c>
      <c r="K47" s="145">
        <f>HLOOKUP(K45,$145:$147,3,FALSE)/100</f>
        <v>0.12119999999999999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0.92</v>
      </c>
      <c r="C49" s="152">
        <f>HLOOKUP(C48,$81:$82,2,FALSE)</f>
        <v>1.23</v>
      </c>
      <c r="D49" s="152">
        <f>HLOOKUP(D48,$81:$82,2,FALSE)</f>
        <v>1.24</v>
      </c>
      <c r="E49" s="152">
        <f>HLOOKUP(E48,$81:$82,2,FALSE)</f>
        <v>0.99</v>
      </c>
      <c r="G49" s="86" t="s">
        <v>164</v>
      </c>
      <c r="H49" s="145">
        <f>HLOOKUP(H48,$145:$147,2,FALSE)/100</f>
        <v>0.30120000000000002</v>
      </c>
      <c r="I49" s="145">
        <f>HLOOKUP(I48,$145:$147,2,FALSE)/100</f>
        <v>0.32919999999999999</v>
      </c>
      <c r="J49" s="145">
        <f>HLOOKUP(J48,$145:$147,2,FALSE)/100</f>
        <v>0.32069999999999999</v>
      </c>
      <c r="K49" s="145">
        <f>HLOOKUP(K48,$145:$147,2,FALSE)/100</f>
        <v>0.31319999999999998</v>
      </c>
    </row>
    <row r="50" spans="1:15" x14ac:dyDescent="0.25">
      <c r="A50" s="188" t="s">
        <v>165</v>
      </c>
      <c r="B50" s="189">
        <f>HLOOKUP(B48,$157:$159,3,FALSE)</f>
        <v>3.48</v>
      </c>
      <c r="C50" s="189">
        <f>HLOOKUP(C48,$157:$159,3,FALSE)</f>
        <v>4.4800000000000004</v>
      </c>
      <c r="D50" s="189">
        <f>HLOOKUP(D48,$157:$159,3,FALSE)</f>
        <v>4.41</v>
      </c>
      <c r="E50" s="189">
        <f>HLOOKUP(E48,$157:$159,3,FALSE)</f>
        <v>3.59</v>
      </c>
      <c r="G50" s="190" t="s">
        <v>166</v>
      </c>
      <c r="H50" s="145">
        <f>HLOOKUP(H48,$145:$147,3,FALSE)/100</f>
        <v>0.1439</v>
      </c>
      <c r="I50" s="145">
        <f>HLOOKUP(I48,$145:$147,3,FALSE)/100</f>
        <v>0.18390000000000001</v>
      </c>
      <c r="J50" s="145">
        <f>HLOOKUP(J48,$145:$147,3,FALSE)/100</f>
        <v>0.18379999999999999</v>
      </c>
      <c r="K50" s="145">
        <f>HLOOKUP(K48,$145:$147,3,FALSE)/100</f>
        <v>0.15570000000000001</v>
      </c>
    </row>
    <row r="51" spans="1:15" x14ac:dyDescent="0.25">
      <c r="A51" s="86" t="s">
        <v>351</v>
      </c>
      <c r="B51" s="186">
        <f>(B47-B50)/B50</f>
        <v>-0.62643678160919536</v>
      </c>
      <c r="C51" s="186">
        <f>(C47-C50)/C50</f>
        <v>-0.5334821428571429</v>
      </c>
      <c r="D51" s="186">
        <f>(D47-D50)/D50</f>
        <v>-0.49659863945578231</v>
      </c>
      <c r="E51" s="186">
        <f>(E47-E50)/E50</f>
        <v>-0.28133704735376042</v>
      </c>
      <c r="G51" s="235" t="s">
        <v>174</v>
      </c>
      <c r="H51" s="186">
        <f>(H46-H49)/H49</f>
        <v>-0.32104913678618868</v>
      </c>
      <c r="I51" s="186">
        <f>(I46-I49)/I49</f>
        <v>-0.31075334143377881</v>
      </c>
      <c r="J51" s="186">
        <f>(J46-J49)/J49</f>
        <v>-0.19987527284066103</v>
      </c>
      <c r="K51" s="186">
        <f>(K46-K49)/K49</f>
        <v>-9.7062579821200465E-2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1.9355921425345008</v>
      </c>
      <c r="B53" s="193">
        <f>B46</f>
        <v>0.33</v>
      </c>
      <c r="C53" s="193">
        <f>E46/HLOOKUP(E45,$87:$94,5,FALSE)*HLOOKUP(E45,$87:$94,4,FALSE)*($B$25/HLOOKUP(E45,$87:$94,4,FALSE)+SUM($B$57:$D$57)/SUM($B58:$D$58)*$G$69/100/K46)</f>
        <v>0.56847539387063051</v>
      </c>
      <c r="D53" s="193">
        <f>D46/HLOOKUP(D45,$87:$94,5,FALSE)*HLOOKUP(D45,$87:$94,4,FALSE)*($B$25/HLOOKUP(D45,$87:$94,4,FALSE)+SUM($B$57:$D$57)/SUM($B58:$D$58)*$G$69/100/J46)</f>
        <v>0.60643981949398562</v>
      </c>
      <c r="E53" s="193">
        <f>C46/HLOOKUP(C45,$87:$94,5,FALSE)*HLOOKUP(C45,$87:$94,4,FALSE)*($B$25/HLOOKUP(C45,$87:$94,4,FALSE)+SUM($B$57:$D$57)/SUM($B58:$D$58)*$G$69/100/I46)</f>
        <v>0.43067692916988465</v>
      </c>
    </row>
    <row r="54" spans="1:15" x14ac:dyDescent="0.25">
      <c r="A54" s="278">
        <f>SUM(B54:E54)</f>
        <v>2.7299999999999995</v>
      </c>
      <c r="B54" s="277">
        <f t="shared" ref="B54:D54" si="0">HLOOKUP(B52-10,81:82,2,FALSE)</f>
        <v>0.92</v>
      </c>
      <c r="C54" s="277">
        <f t="shared" si="0"/>
        <v>0.69</v>
      </c>
      <c r="D54" s="277">
        <f t="shared" si="0"/>
        <v>0.59</v>
      </c>
      <c r="E54" s="277">
        <f>HLOOKUP(E52-10,81:82,2,FALSE)</f>
        <v>0.53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8806563</v>
      </c>
      <c r="C57" s="196">
        <f>HLOOKUP(C56,78:79,2,FALSE)</f>
        <v>9186056</v>
      </c>
      <c r="D57" s="196">
        <f>HLOOKUP(D56,78:79,2,FALSE)</f>
        <v>9742757</v>
      </c>
      <c r="E57" s="196">
        <f>HLOOKUP(E56,78:79,2,FALSE)</f>
        <v>9266487</v>
      </c>
      <c r="F57" s="196">
        <f>HLOOKUP(F56,78:79,2,FALSE)</f>
        <v>9581056</v>
      </c>
      <c r="G57" s="196">
        <f t="shared" ref="G57:M57" si="2">HLOOKUP(G56,78:79,2,FALSE)</f>
        <v>9464311</v>
      </c>
      <c r="H57" s="196">
        <f t="shared" si="2"/>
        <v>9313552</v>
      </c>
      <c r="I57" s="196">
        <f t="shared" si="2"/>
        <v>11019423</v>
      </c>
      <c r="J57" s="196">
        <f t="shared" si="2"/>
        <v>9333933</v>
      </c>
      <c r="K57" s="196">
        <f t="shared" si="2"/>
        <v>8389790</v>
      </c>
      <c r="L57" s="196">
        <f t="shared" si="2"/>
        <v>9667954</v>
      </c>
      <c r="M57" s="196">
        <f t="shared" si="2"/>
        <v>9424152</v>
      </c>
      <c r="N57" s="197"/>
    </row>
    <row r="58" spans="1:15" x14ac:dyDescent="0.25">
      <c r="A58" s="198" t="s">
        <v>253</v>
      </c>
      <c r="B58" s="196">
        <f>HLOOKUP(B56-100,78:79,2,FALSE)</f>
        <v>8865175</v>
      </c>
      <c r="C58" s="196">
        <f>HLOOKUP(C56-100,78:79,2,FALSE)</f>
        <v>9980255</v>
      </c>
      <c r="D58" s="196">
        <f>HLOOKUP(D56-100,78:79,2,FALSE)</f>
        <v>9730918</v>
      </c>
      <c r="E58" s="196">
        <f>HLOOKUP(E56-100,78:79,2,FALSE)</f>
        <v>9641599</v>
      </c>
      <c r="F58" s="196">
        <f>HLOOKUP(F56-100,78:79,2,FALSE)</f>
        <v>10295595</v>
      </c>
      <c r="G58" s="196">
        <f t="shared" ref="G58:M58" si="3">HLOOKUP(G56-100,78:79,2,FALSE)</f>
        <v>10575761</v>
      </c>
      <c r="H58" s="196">
        <f t="shared" si="3"/>
        <v>10069137</v>
      </c>
      <c r="I58" s="196">
        <f t="shared" si="3"/>
        <v>11673492</v>
      </c>
      <c r="J58" s="196">
        <f t="shared" si="3"/>
        <v>7858762</v>
      </c>
      <c r="K58" s="196">
        <f t="shared" si="3"/>
        <v>9841365</v>
      </c>
      <c r="L58" s="196">
        <f t="shared" si="3"/>
        <v>8917006</v>
      </c>
      <c r="M58" s="196">
        <f t="shared" si="3"/>
        <v>9290470</v>
      </c>
      <c r="N58" s="197"/>
    </row>
    <row r="59" spans="1:15" x14ac:dyDescent="0.25">
      <c r="A59" s="199" t="s">
        <v>254</v>
      </c>
      <c r="B59" s="165">
        <f>IF(B57&lt;&gt;"",(B57-B58)/B58,"")</f>
        <v>-6.6114882108926224E-3</v>
      </c>
      <c r="C59" s="165">
        <f>IF(C57&lt;&gt;"",(C57-C58)/C58,"")</f>
        <v>-7.9577024835537774E-2</v>
      </c>
      <c r="D59" s="165">
        <f>IF(D57&lt;&gt;"",(D57-D58)/D58,"")</f>
        <v>1.216637525873715E-3</v>
      </c>
      <c r="E59" s="165">
        <f>IF(E57&lt;&gt;"",(E57-E58)/E58,"")</f>
        <v>-3.8905579873213976E-2</v>
      </c>
      <c r="F59" s="165">
        <f>IF(F57&lt;&gt;"",(F57-F58)/F58,"")</f>
        <v>-6.9402399764170994E-2</v>
      </c>
      <c r="G59" s="165">
        <f t="shared" ref="G59:M59" si="4">IF(G57&lt;&gt;"",(G57-G58)/G58,"")</f>
        <v>-0.10509409204689857</v>
      </c>
      <c r="H59" s="165">
        <f t="shared" si="4"/>
        <v>-7.5039698039663177E-2</v>
      </c>
      <c r="I59" s="165">
        <f t="shared" si="4"/>
        <v>-5.6030277829461829E-2</v>
      </c>
      <c r="J59" s="165">
        <f t="shared" si="4"/>
        <v>0.18771035437897216</v>
      </c>
      <c r="K59" s="165">
        <f t="shared" si="4"/>
        <v>-0.14749732379603844</v>
      </c>
      <c r="L59" s="165">
        <f t="shared" si="4"/>
        <v>8.4215262387397738E-2</v>
      </c>
      <c r="M59" s="165">
        <f t="shared" si="4"/>
        <v>1.4389153616555459E-2</v>
      </c>
    </row>
    <row r="60" spans="1:15" x14ac:dyDescent="0.25">
      <c r="A60" s="195" t="s">
        <v>255</v>
      </c>
      <c r="B60" s="196">
        <f>SUM(B57:M57)</f>
        <v>113196034</v>
      </c>
    </row>
    <row r="61" spans="1:15" x14ac:dyDescent="0.25">
      <c r="A61" s="198" t="s">
        <v>256</v>
      </c>
      <c r="B61" s="196">
        <f>SUM(B58:M58)</f>
        <v>116739535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0.96964609290246018</v>
      </c>
      <c r="D62" s="152">
        <f>SUM(B46:E46)</f>
        <v>2.14</v>
      </c>
      <c r="E62" s="152">
        <f>SUM(B49:E49)</f>
        <v>4.38</v>
      </c>
      <c r="G62" s="126">
        <f>SUM(B47:E47)</f>
        <v>8.19</v>
      </c>
      <c r="H62" s="126">
        <f>SUM(B50:E50)</f>
        <v>15.96</v>
      </c>
      <c r="J62" s="200">
        <f>AVERAGE(H46:K46)</f>
        <v>0.24269999999999997</v>
      </c>
      <c r="K62" s="200">
        <f>AVERAGE(H49:K49)</f>
        <v>0.31607499999999999</v>
      </c>
      <c r="M62" s="200">
        <f>AVERAGE(H47:K47)</f>
        <v>8.8450000000000001E-2</v>
      </c>
      <c r="N62" s="200">
        <f>AVERAGE(H50:K50)</f>
        <v>0.166825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1.51</v>
      </c>
      <c r="C65" s="205">
        <f t="shared" si="5"/>
        <v>1.1299999999999999</v>
      </c>
      <c r="D65" s="205">
        <f t="shared" si="5"/>
        <v>1.01</v>
      </c>
      <c r="E65" s="205">
        <f t="shared" si="5"/>
        <v>1.24</v>
      </c>
      <c r="F65" s="206">
        <f>IF(ISNA(HLOOKUP(F$64*10+$A65,$81:$82,2,FALSE)),(HLOOKUP(E$64*10+$A65,$87:$94,4,FALSE)*$G65+$B$25)/HLOOKUP(E$64*10+$A65,$87:$94,5,FALSE)*$E65,HLOOKUP(F$64*10+$A65,$81:$82,2,FALSE))</f>
        <v>0.59</v>
      </c>
      <c r="G65" s="101">
        <f>MIN(130%,SUM($B$57:$D$57)/SUM($B$58:$D$58)*$G$69/HLOOKUP(E$64*10+$A65,$145:$146,2,FALSE))</f>
        <v>0.69492246963572013</v>
      </c>
      <c r="H65" s="204">
        <v>1</v>
      </c>
      <c r="I65" s="208">
        <f t="shared" ref="I65:M68" si="6">IF(ISNA(HLOOKUP(I$64*10+$H65,$145:$147,3,FALSE)),"",HLOOKUP(I$64*10+$H65,$145:$147,3,FALSE)/100)</f>
        <v>0.1464</v>
      </c>
      <c r="J65" s="208">
        <f t="shared" si="6"/>
        <v>0.17100000000000001</v>
      </c>
      <c r="K65" s="208">
        <f t="shared" si="6"/>
        <v>0.1593</v>
      </c>
      <c r="L65" s="208">
        <f t="shared" si="6"/>
        <v>0.18379999999999999</v>
      </c>
      <c r="M65" s="209">
        <f t="shared" si="6"/>
        <v>0.1114</v>
      </c>
      <c r="N65" s="256">
        <f t="shared" ref="N65:O68" si="7">HLOOKUP(E$64*10+$A65,$87:$94,8,FALSE)</f>
        <v>-105584</v>
      </c>
      <c r="O65" s="256">
        <f t="shared" si="7"/>
        <v>-511892</v>
      </c>
      <c r="P65" s="210"/>
    </row>
    <row r="66" spans="1:71" x14ac:dyDescent="0.25">
      <c r="A66" s="204">
        <v>2</v>
      </c>
      <c r="B66" s="205">
        <f t="shared" si="5"/>
        <v>1.43</v>
      </c>
      <c r="C66" s="205">
        <f t="shared" si="5"/>
        <v>1.05</v>
      </c>
      <c r="D66" s="205">
        <f t="shared" si="5"/>
        <v>1</v>
      </c>
      <c r="E66" s="205">
        <f t="shared" si="5"/>
        <v>1.23</v>
      </c>
      <c r="F66" s="206">
        <f>IF(ISNA(HLOOKUP(F$64*10+$A66,$81:$82,2,FALSE)),(HLOOKUP(E$64*10+$A66,$87:$94,4,FALSE)*$G66+$B$25)/HLOOKUP(E$64*10+$A66,$87:$94,5,FALSE)*$E66,HLOOKUP(F$64*10+$A66,$81:$82,2,FALSE))</f>
        <v>0.53</v>
      </c>
      <c r="G66" s="101">
        <f>MIN(130%,SUM($B$57:$D$57)/SUM($B$58:$D$58)*$G$69/HLOOKUP(E$64*10+$A66,$145:$146,2,FALSE))</f>
        <v>0.676979453256912</v>
      </c>
      <c r="H66" s="204">
        <v>2</v>
      </c>
      <c r="I66" s="208">
        <f t="shared" si="6"/>
        <v>0.16239999999999999</v>
      </c>
      <c r="J66" s="208">
        <f t="shared" si="6"/>
        <v>0.15810000000000002</v>
      </c>
      <c r="K66" s="208">
        <f t="shared" si="6"/>
        <v>0.16949999999999998</v>
      </c>
      <c r="L66" s="208">
        <f t="shared" si="6"/>
        <v>0.18390000000000001</v>
      </c>
      <c r="M66" s="209">
        <f t="shared" si="6"/>
        <v>7.5999999999999998E-2</v>
      </c>
      <c r="N66" s="256">
        <f t="shared" si="7"/>
        <v>-276911</v>
      </c>
      <c r="O66" s="256">
        <f t="shared" si="7"/>
        <v>428577</v>
      </c>
      <c r="P66" s="210"/>
    </row>
    <row r="67" spans="1:71" x14ac:dyDescent="0.25">
      <c r="A67" s="204">
        <v>3</v>
      </c>
      <c r="B67" s="205">
        <f t="shared" si="5"/>
        <v>1.45</v>
      </c>
      <c r="C67" s="205">
        <f t="shared" si="5"/>
        <v>1.43</v>
      </c>
      <c r="D67" s="205">
        <f t="shared" si="5"/>
        <v>0.94</v>
      </c>
      <c r="E67" s="205">
        <f t="shared" si="5"/>
        <v>0.92</v>
      </c>
      <c r="F67" s="206">
        <f>IF(ISNA(HLOOKUP(F$64*10+$A67,$81:$82,2,FALSE)),(HLOOKUP(E$64*10+$A67,$87:$94,4,FALSE)*$G67+$B$25)/HLOOKUP(E$64*10+$A67,$87:$94,5,FALSE)*$E67,HLOOKUP(F$64*10+$A67,$81:$82,2,FALSE))</f>
        <v>0.33</v>
      </c>
      <c r="G67" s="101">
        <f>MIN(130%,SUM($B$57:$D$57)/SUM($B$58:$D$58)*$G$69/HLOOKUP(E$64*10+$A67,$145:$146,2,FALSE))</f>
        <v>0.73991247015994499</v>
      </c>
      <c r="H67" s="204">
        <v>3</v>
      </c>
      <c r="I67" s="208">
        <f t="shared" si="6"/>
        <v>0.16699999999999998</v>
      </c>
      <c r="J67" s="208">
        <f t="shared" si="6"/>
        <v>0.1668</v>
      </c>
      <c r="K67" s="208">
        <f t="shared" si="6"/>
        <v>0.1527</v>
      </c>
      <c r="L67" s="208">
        <f t="shared" si="6"/>
        <v>0.1439</v>
      </c>
      <c r="M67" s="209">
        <f t="shared" si="6"/>
        <v>4.5199999999999997E-2</v>
      </c>
      <c r="N67" s="256">
        <f t="shared" si="7"/>
        <v>-226726</v>
      </c>
      <c r="O67" s="256">
        <f t="shared" si="7"/>
        <v>205711</v>
      </c>
      <c r="P67" s="210"/>
    </row>
    <row r="68" spans="1:71" x14ac:dyDescent="0.25">
      <c r="A68" s="204">
        <v>4</v>
      </c>
      <c r="B68" s="205">
        <f>HLOOKUP(B$64*10+$A68,$81:$82,2,FALSE)</f>
        <v>1.53</v>
      </c>
      <c r="C68" s="205">
        <f>HLOOKUP(C$64*10+$A68,$81:$82,2,FALSE)</f>
        <v>1.33</v>
      </c>
      <c r="D68" s="205">
        <f>HLOOKUP(D$64*10+$A68,$81:$82,2,FALSE)</f>
        <v>0.99</v>
      </c>
      <c r="E68" s="206">
        <f>IF(ISNA(HLOOKUP(E$64*10+$A68,$81:$82,2,FALSE)),D68*(1-$N68)*#REF!*(1+$B$25)/(1+$E$4),HLOOKUP(E$64*10+$A68,$81:$82,2,FALSE))</f>
        <v>0.69</v>
      </c>
      <c r="F68" s="206">
        <f>IF(ISNA(HLOOKUP(F$64*10+$A68,$81:$82,2,FALSE)),(HLOOKUP(E$64*10+$A68,$87:$94,4,FALSE)*$G68+$B$25)/HLOOKUP(E$64*10+$A68,$87:$94,5,FALSE)*$E68,HLOOKUP(F$64*10+$A68,$81:$82,2,FALSE))</f>
        <v>0.5684753938706304</v>
      </c>
      <c r="G68" s="101">
        <f>MIN(130%,SUM($B$57:$D$57)/SUM($B$58:$D$58)*$G$69/HLOOKUP(E$64*10+$A68,$145:$146,2,FALSE))</f>
        <v>0.7880538755734634</v>
      </c>
      <c r="H68" s="204">
        <v>4</v>
      </c>
      <c r="I68" s="208">
        <f t="shared" si="6"/>
        <v>0.19059999999999999</v>
      </c>
      <c r="J68" s="208">
        <f t="shared" si="6"/>
        <v>0.161</v>
      </c>
      <c r="K68" s="208">
        <f t="shared" si="6"/>
        <v>0.15570000000000001</v>
      </c>
      <c r="L68" s="208">
        <f t="shared" si="6"/>
        <v>0.12119999999999999</v>
      </c>
      <c r="M68" s="209" t="str">
        <f t="shared" si="6"/>
        <v/>
      </c>
      <c r="N68" s="256">
        <f t="shared" si="7"/>
        <v>-167375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5.92</v>
      </c>
      <c r="C69" s="213">
        <f>SUM(C65:C68)</f>
        <v>4.9399999999999995</v>
      </c>
      <c r="D69" s="213">
        <f>SUM(D65:D68)</f>
        <v>3.9399999999999995</v>
      </c>
      <c r="E69" s="213">
        <f>SUM(E65:E68)</f>
        <v>4.08</v>
      </c>
      <c r="F69" s="213">
        <f>SUM(F65:F68)</f>
        <v>2.0184753938706308</v>
      </c>
      <c r="G69" s="257">
        <f>_xlfn.FORECAST.ETS(23,B146:W146,{1,2,3,4,5,6,7,8,9,10,11,12,13,14,15,16,17,18,19,20,21,22})</f>
        <v>22.961908526256352</v>
      </c>
      <c r="H69" s="214" t="s">
        <v>19</v>
      </c>
      <c r="I69" s="215">
        <f>HLOOKUP(I64,151:155,3,FALSE)/100</f>
        <v>0.16690000000000002</v>
      </c>
      <c r="J69" s="215">
        <f>HLOOKUP(J64,151:155,3,FALSE)/100</f>
        <v>0.16420000000000001</v>
      </c>
      <c r="K69" s="215">
        <f>HLOOKUP(K64,151:155,3,FALSE)/100</f>
        <v>0.1595</v>
      </c>
      <c r="L69" s="215">
        <f>IF(ISNA(HLOOKUP(L64,151:155,3,FALSE)/100),AVERAGE(L65:L68),HLOOKUP(L64,151:155,3,FALSE)/100)</f>
        <v>0.15909999999999999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6.39</v>
      </c>
      <c r="C72" s="205">
        <f t="shared" si="8"/>
        <v>4.54</v>
      </c>
      <c r="D72" s="205">
        <f t="shared" si="8"/>
        <v>3.65</v>
      </c>
      <c r="E72" s="205">
        <f t="shared" si="8"/>
        <v>4.41</v>
      </c>
      <c r="F72" s="205">
        <f t="shared" si="8"/>
        <v>2.2200000000000002</v>
      </c>
    </row>
    <row r="73" spans="1:71" s="135" customFormat="1" x14ac:dyDescent="0.25">
      <c r="A73" s="204">
        <v>2</v>
      </c>
      <c r="B73" s="205">
        <f t="shared" si="8"/>
        <v>6.65</v>
      </c>
      <c r="C73" s="205">
        <f t="shared" si="8"/>
        <v>4.3</v>
      </c>
      <c r="D73" s="205">
        <f t="shared" si="8"/>
        <v>3.75</v>
      </c>
      <c r="E73" s="205">
        <f t="shared" si="8"/>
        <v>4.4800000000000004</v>
      </c>
      <c r="F73" s="205">
        <f t="shared" si="8"/>
        <v>2.09</v>
      </c>
    </row>
    <row r="74" spans="1:71" s="135" customFormat="1" x14ac:dyDescent="0.25">
      <c r="A74" s="204">
        <v>3</v>
      </c>
      <c r="B74" s="205">
        <f t="shared" si="8"/>
        <v>6.56</v>
      </c>
      <c r="C74" s="205">
        <f t="shared" si="8"/>
        <v>5.91</v>
      </c>
      <c r="D74" s="205">
        <f t="shared" si="8"/>
        <v>3.58</v>
      </c>
      <c r="E74" s="205">
        <f t="shared" si="8"/>
        <v>3.48</v>
      </c>
      <c r="F74" s="205">
        <f t="shared" si="8"/>
        <v>1.3</v>
      </c>
    </row>
    <row r="75" spans="1:71" s="135" customFormat="1" x14ac:dyDescent="0.25">
      <c r="A75" s="204">
        <v>4</v>
      </c>
      <c r="B75" s="205">
        <f t="shared" si="8"/>
        <v>6.5</v>
      </c>
      <c r="C75" s="205">
        <f t="shared" si="8"/>
        <v>5.08</v>
      </c>
      <c r="D75" s="205">
        <f t="shared" si="8"/>
        <v>3.59</v>
      </c>
      <c r="E75" s="205">
        <f t="shared" si="8"/>
        <v>2.58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26.099999999999998</v>
      </c>
      <c r="C76" s="213">
        <f>SUM(C72:C75)</f>
        <v>19.829999999999998</v>
      </c>
      <c r="D76" s="213">
        <f>SUM(D72:D75)</f>
        <v>14.57</v>
      </c>
      <c r="E76" s="213">
        <f>AVERAGE(E72:E75)*4</f>
        <v>14.950000000000001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1391116</v>
      </c>
      <c r="C79" s="270">
        <v>2117140</v>
      </c>
      <c r="D79" s="270">
        <v>2418048</v>
      </c>
      <c r="E79" s="270">
        <v>2111664</v>
      </c>
      <c r="F79" s="270">
        <v>2285436</v>
      </c>
      <c r="G79" s="270">
        <v>2473352</v>
      </c>
      <c r="H79" s="270">
        <v>1849692</v>
      </c>
      <c r="I79" s="270">
        <v>2202923</v>
      </c>
      <c r="J79" s="270">
        <v>2054683</v>
      </c>
      <c r="K79" s="270">
        <v>2234571</v>
      </c>
      <c r="L79" s="270">
        <v>1919976</v>
      </c>
      <c r="M79" s="270">
        <v>2035276</v>
      </c>
      <c r="N79" s="270">
        <v>9898895</v>
      </c>
      <c r="O79" s="270">
        <v>8237488</v>
      </c>
      <c r="P79" s="270">
        <v>12057009</v>
      </c>
      <c r="Q79" s="270">
        <v>11685345</v>
      </c>
      <c r="R79" s="270">
        <v>12131170</v>
      </c>
      <c r="S79" s="270">
        <v>11538185</v>
      </c>
      <c r="T79" s="270">
        <v>11986054</v>
      </c>
      <c r="U79" s="270">
        <v>11819529</v>
      </c>
      <c r="V79" s="270">
        <v>11202614</v>
      </c>
      <c r="W79" s="270">
        <v>10821845</v>
      </c>
      <c r="X79" s="270">
        <v>11082259</v>
      </c>
      <c r="Y79" s="270">
        <v>10853186</v>
      </c>
      <c r="Z79" s="270">
        <v>9656475</v>
      </c>
      <c r="AA79" s="270">
        <v>9617312</v>
      </c>
      <c r="AB79" s="270">
        <v>12454001</v>
      </c>
      <c r="AC79" s="270">
        <v>10824437</v>
      </c>
      <c r="AD79" s="270">
        <v>11066288</v>
      </c>
      <c r="AE79" s="270">
        <v>10805186</v>
      </c>
      <c r="AF79" s="270">
        <v>11504702</v>
      </c>
      <c r="AG79" s="270">
        <v>11248224</v>
      </c>
      <c r="AH79" s="270">
        <v>11516169</v>
      </c>
      <c r="AI79" s="270">
        <v>10570458</v>
      </c>
      <c r="AJ79" s="270">
        <v>9970651</v>
      </c>
      <c r="AK79" s="270">
        <v>9792227</v>
      </c>
      <c r="AL79" s="270">
        <v>10058536</v>
      </c>
      <c r="AM79" s="270">
        <v>7536939</v>
      </c>
      <c r="AN79" s="270">
        <v>11288243</v>
      </c>
      <c r="AO79" s="270">
        <v>10390977</v>
      </c>
      <c r="AP79" s="270">
        <v>10250570</v>
      </c>
      <c r="AQ79" s="270">
        <v>10546047</v>
      </c>
      <c r="AR79" s="270">
        <v>9621334</v>
      </c>
      <c r="AS79" s="270">
        <v>9550633</v>
      </c>
      <c r="AT79" s="270">
        <v>10037282</v>
      </c>
      <c r="AU79" s="270">
        <v>9637378</v>
      </c>
      <c r="AV79" s="270">
        <v>9290470</v>
      </c>
      <c r="AW79" s="270">
        <v>8917006</v>
      </c>
      <c r="AX79" s="270">
        <v>9841365</v>
      </c>
      <c r="AY79" s="270">
        <v>7858762</v>
      </c>
      <c r="AZ79" s="270">
        <v>11673492</v>
      </c>
      <c r="BA79" s="270">
        <v>10069137</v>
      </c>
      <c r="BB79" s="270">
        <v>10575761</v>
      </c>
      <c r="BC79" s="270">
        <v>10295595</v>
      </c>
      <c r="BD79" s="270">
        <v>9641599</v>
      </c>
      <c r="BE79" s="270">
        <v>9730918</v>
      </c>
      <c r="BF79" s="270">
        <v>9980255</v>
      </c>
      <c r="BG79" s="270">
        <v>8865175</v>
      </c>
      <c r="BH79" s="270">
        <v>9424152</v>
      </c>
      <c r="BI79" s="270">
        <v>9667954</v>
      </c>
      <c r="BJ79" s="270">
        <v>8389790</v>
      </c>
      <c r="BK79" s="270">
        <v>9333933</v>
      </c>
      <c r="BL79" s="270">
        <v>11019423</v>
      </c>
      <c r="BM79" s="270">
        <v>9313552</v>
      </c>
      <c r="BN79" s="270">
        <v>9464311</v>
      </c>
      <c r="BO79" s="270">
        <v>9581056</v>
      </c>
      <c r="BP79" s="270">
        <v>9266487</v>
      </c>
      <c r="BQ79" s="270">
        <v>9742757</v>
      </c>
      <c r="BR79" s="270">
        <v>9186056</v>
      </c>
      <c r="BS79" s="270">
        <v>8806563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1.33</v>
      </c>
      <c r="C82" s="72">
        <v>1.23</v>
      </c>
      <c r="D82" s="72">
        <v>1.48</v>
      </c>
      <c r="E82" s="72">
        <v>1.76</v>
      </c>
      <c r="F82" s="72">
        <v>1.51</v>
      </c>
      <c r="G82" s="72">
        <v>1.43</v>
      </c>
      <c r="H82" s="72">
        <v>1.45</v>
      </c>
      <c r="I82" s="72">
        <v>1.53</v>
      </c>
      <c r="J82" s="72">
        <v>1.1299999999999999</v>
      </c>
      <c r="K82" s="72">
        <v>1.05</v>
      </c>
      <c r="L82" s="72">
        <v>1.43</v>
      </c>
      <c r="M82" s="72">
        <v>1.33</v>
      </c>
      <c r="N82" s="72">
        <v>1.01</v>
      </c>
      <c r="O82" s="72">
        <v>1</v>
      </c>
      <c r="P82" s="72">
        <v>0.94</v>
      </c>
      <c r="Q82" s="72">
        <v>0.99</v>
      </c>
      <c r="R82" s="72">
        <v>1.24</v>
      </c>
      <c r="S82" s="72">
        <v>1.23</v>
      </c>
      <c r="T82" s="72">
        <v>0.92</v>
      </c>
      <c r="U82" s="72">
        <v>0.69</v>
      </c>
      <c r="V82" s="72">
        <v>0.59</v>
      </c>
      <c r="W82" s="72">
        <v>0.53</v>
      </c>
      <c r="X82" s="72">
        <v>0.33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21.88</v>
      </c>
      <c r="C85" s="72">
        <v>21.97</v>
      </c>
      <c r="D85" s="72">
        <v>20.6</v>
      </c>
      <c r="E85" s="72">
        <v>22.31</v>
      </c>
      <c r="F85" s="72">
        <v>24.73</v>
      </c>
      <c r="G85" s="72">
        <v>24.65</v>
      </c>
      <c r="H85" s="72">
        <v>22.65</v>
      </c>
      <c r="I85" s="72">
        <v>24.31</v>
      </c>
      <c r="J85" s="72">
        <v>25.52</v>
      </c>
      <c r="K85" s="72">
        <v>23.17</v>
      </c>
      <c r="L85" s="72">
        <v>25.09</v>
      </c>
      <c r="M85" s="72">
        <v>27.08</v>
      </c>
      <c r="N85" s="72">
        <v>27.86</v>
      </c>
      <c r="O85" s="72">
        <v>25.45</v>
      </c>
      <c r="P85" s="72">
        <v>27.13</v>
      </c>
      <c r="Q85" s="72">
        <v>27.51</v>
      </c>
      <c r="R85" s="72">
        <v>28.6</v>
      </c>
      <c r="S85" s="72">
        <v>26.33</v>
      </c>
      <c r="T85" s="72">
        <v>26.58</v>
      </c>
      <c r="U85" s="72">
        <v>26.99</v>
      </c>
      <c r="V85" s="72">
        <v>26.59</v>
      </c>
      <c r="W85" s="72">
        <v>24.48</v>
      </c>
      <c r="X85" s="72">
        <v>25.05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30763655</v>
      </c>
      <c r="C88" s="273">
        <v>34968697</v>
      </c>
      <c r="D88" s="273">
        <v>33126179</v>
      </c>
      <c r="E88" s="273">
        <v>31410842</v>
      </c>
      <c r="F88" s="273">
        <v>30095621</v>
      </c>
      <c r="G88" s="273">
        <v>35329819</v>
      </c>
      <c r="H88" s="273">
        <v>34857782</v>
      </c>
      <c r="I88" s="273">
        <v>32803321</v>
      </c>
      <c r="J88" s="273">
        <v>31591686</v>
      </c>
      <c r="K88" s="273">
        <v>32693536</v>
      </c>
      <c r="L88" s="273">
        <v>34142065</v>
      </c>
      <c r="M88" s="273">
        <v>30586775</v>
      </c>
      <c r="N88" s="273">
        <v>28993405</v>
      </c>
      <c r="O88" s="273">
        <v>31040993</v>
      </c>
      <c r="P88" s="273">
        <v>29208814</v>
      </c>
      <c r="Q88" s="273">
        <v>27483081</v>
      </c>
      <c r="R88" s="273">
        <v>29345194</v>
      </c>
      <c r="S88" s="273">
        <v>31021360</v>
      </c>
      <c r="T88" s="273">
        <v>29293244</v>
      </c>
      <c r="U88" s="273">
        <v>27727721</v>
      </c>
      <c r="V88" s="273">
        <v>28641252</v>
      </c>
      <c r="W88" s="273">
        <v>28368875</v>
      </c>
      <c r="X88" s="273">
        <v>28179613</v>
      </c>
    </row>
    <row r="89" spans="1:25" ht="14.25" thickBot="1" x14ac:dyDescent="0.3">
      <c r="A89" s="250" t="s">
        <v>4</v>
      </c>
      <c r="B89" s="275">
        <v>6293028</v>
      </c>
      <c r="C89" s="275">
        <v>8490218</v>
      </c>
      <c r="D89" s="275">
        <v>7747122</v>
      </c>
      <c r="E89" s="275">
        <v>8137731</v>
      </c>
      <c r="F89" s="275">
        <v>7317643</v>
      </c>
      <c r="G89" s="275">
        <v>8957215</v>
      </c>
      <c r="H89" s="275">
        <v>9143942</v>
      </c>
      <c r="I89" s="275">
        <v>9908995</v>
      </c>
      <c r="J89" s="275">
        <v>8534081</v>
      </c>
      <c r="K89" s="275">
        <v>8811705</v>
      </c>
      <c r="L89" s="275">
        <v>9537673</v>
      </c>
      <c r="M89" s="275">
        <v>9017045</v>
      </c>
      <c r="N89" s="275">
        <v>8438789</v>
      </c>
      <c r="O89" s="275">
        <v>9491020</v>
      </c>
      <c r="P89" s="275">
        <v>9019927</v>
      </c>
      <c r="Q89" s="275">
        <v>8608056</v>
      </c>
      <c r="R89" s="275">
        <v>9411859</v>
      </c>
      <c r="S89" s="275">
        <v>10213447</v>
      </c>
      <c r="T89" s="275">
        <v>8822337</v>
      </c>
      <c r="U89" s="275">
        <v>7841466</v>
      </c>
      <c r="V89" s="275">
        <v>7350580</v>
      </c>
      <c r="W89" s="275">
        <v>6438123</v>
      </c>
      <c r="X89" s="275">
        <v>5762758</v>
      </c>
    </row>
    <row r="90" spans="1:25" ht="14.25" thickBot="1" x14ac:dyDescent="0.3">
      <c r="A90" s="251" t="s">
        <v>5</v>
      </c>
      <c r="B90" s="273">
        <v>3830856</v>
      </c>
      <c r="C90" s="273">
        <v>5273773</v>
      </c>
      <c r="D90" s="273">
        <v>5090521</v>
      </c>
      <c r="E90" s="273">
        <v>4923330</v>
      </c>
      <c r="F90" s="273">
        <v>4404877</v>
      </c>
      <c r="G90" s="273">
        <v>5737259</v>
      </c>
      <c r="H90" s="273">
        <v>5820264</v>
      </c>
      <c r="I90" s="273">
        <v>6252371</v>
      </c>
      <c r="J90" s="273">
        <v>5401320</v>
      </c>
      <c r="K90" s="273">
        <v>5168982</v>
      </c>
      <c r="L90" s="273">
        <v>5696486</v>
      </c>
      <c r="M90" s="273">
        <v>4922951</v>
      </c>
      <c r="N90" s="273">
        <v>4618898</v>
      </c>
      <c r="O90" s="273">
        <v>5261658</v>
      </c>
      <c r="P90" s="273">
        <v>4461219</v>
      </c>
      <c r="Q90" s="273">
        <v>4278605</v>
      </c>
      <c r="R90" s="273">
        <v>5392650</v>
      </c>
      <c r="S90" s="273">
        <v>5703600</v>
      </c>
      <c r="T90" s="273">
        <v>4215317</v>
      </c>
      <c r="U90" s="273">
        <v>3360015</v>
      </c>
      <c r="V90" s="273">
        <v>3191954</v>
      </c>
      <c r="W90" s="273">
        <v>2156728</v>
      </c>
      <c r="X90" s="273">
        <v>1273238</v>
      </c>
    </row>
    <row r="91" spans="1:25" ht="14.25" thickBot="1" x14ac:dyDescent="0.3">
      <c r="A91" s="250" t="s">
        <v>6</v>
      </c>
      <c r="B91" s="275">
        <v>4077201</v>
      </c>
      <c r="C91" s="275">
        <v>4440701</v>
      </c>
      <c r="D91" s="275">
        <v>5126914</v>
      </c>
      <c r="E91" s="275">
        <v>5741548</v>
      </c>
      <c r="F91" s="275">
        <v>5266370</v>
      </c>
      <c r="G91" s="275">
        <v>6254708</v>
      </c>
      <c r="H91" s="275">
        <v>5630479</v>
      </c>
      <c r="I91" s="275">
        <v>6109484</v>
      </c>
      <c r="J91" s="275">
        <v>4835767</v>
      </c>
      <c r="K91" s="275">
        <v>5158647</v>
      </c>
      <c r="L91" s="275">
        <v>5871746</v>
      </c>
      <c r="M91" s="275">
        <v>5404636</v>
      </c>
      <c r="N91" s="275">
        <v>4241852</v>
      </c>
      <c r="O91" s="275">
        <v>5000224</v>
      </c>
      <c r="P91" s="275">
        <v>4074675</v>
      </c>
      <c r="Q91" s="275">
        <v>4159452</v>
      </c>
      <c r="R91" s="275">
        <v>5287066</v>
      </c>
      <c r="S91" s="275">
        <v>5426689</v>
      </c>
      <c r="T91" s="275">
        <v>3988591</v>
      </c>
      <c r="U91" s="275">
        <v>3192640</v>
      </c>
      <c r="V91" s="275">
        <v>2680062</v>
      </c>
      <c r="W91" s="275">
        <v>2585305</v>
      </c>
      <c r="X91" s="275">
        <v>1478949</v>
      </c>
    </row>
    <row r="92" spans="1:25" ht="14.25" thickBot="1" x14ac:dyDescent="0.3">
      <c r="A92" s="251" t="s">
        <v>7</v>
      </c>
      <c r="B92" s="273">
        <v>3310130</v>
      </c>
      <c r="C92" s="273">
        <v>3472710</v>
      </c>
      <c r="D92" s="273">
        <v>4201631</v>
      </c>
      <c r="E92" s="273">
        <v>4982552</v>
      </c>
      <c r="F92" s="273">
        <v>4272521</v>
      </c>
      <c r="G92" s="273">
        <v>4663738</v>
      </c>
      <c r="H92" s="273">
        <v>4724882</v>
      </c>
      <c r="I92" s="273">
        <v>4980778</v>
      </c>
      <c r="J92" s="273">
        <v>3697124</v>
      </c>
      <c r="K92" s="273">
        <v>3417953</v>
      </c>
      <c r="L92" s="273">
        <v>4664088</v>
      </c>
      <c r="M92" s="273">
        <v>4332452</v>
      </c>
      <c r="N92" s="273">
        <v>3278895</v>
      </c>
      <c r="O92" s="273">
        <v>3273168</v>
      </c>
      <c r="P92" s="273">
        <v>3078325</v>
      </c>
      <c r="Q92" s="273">
        <v>3208826</v>
      </c>
      <c r="R92" s="273">
        <v>4043931</v>
      </c>
      <c r="S92" s="273">
        <v>4025872</v>
      </c>
      <c r="T92" s="273">
        <v>3014860</v>
      </c>
      <c r="U92" s="273">
        <v>2261818</v>
      </c>
      <c r="V92" s="273">
        <v>1944277</v>
      </c>
      <c r="W92" s="273">
        <v>1740695</v>
      </c>
      <c r="X92" s="273">
        <v>1054088</v>
      </c>
    </row>
    <row r="93" spans="1:25" ht="26.25" thickBot="1" x14ac:dyDescent="0.3">
      <c r="A93" s="252" t="s">
        <v>8</v>
      </c>
      <c r="B93" s="276">
        <v>3286590</v>
      </c>
      <c r="C93" s="276">
        <v>3461121</v>
      </c>
      <c r="D93" s="276">
        <v>4183460</v>
      </c>
      <c r="E93" s="276">
        <v>4962859</v>
      </c>
      <c r="F93" s="276">
        <v>4245360</v>
      </c>
      <c r="G93" s="276">
        <v>4637708</v>
      </c>
      <c r="H93" s="276">
        <v>4713917</v>
      </c>
      <c r="I93" s="276">
        <v>4951537</v>
      </c>
      <c r="J93" s="276">
        <v>3668317</v>
      </c>
      <c r="K93" s="276">
        <v>3389490</v>
      </c>
      <c r="L93" s="276">
        <v>4645603</v>
      </c>
      <c r="M93" s="276">
        <v>4312181</v>
      </c>
      <c r="N93" s="276">
        <v>3262226</v>
      </c>
      <c r="O93" s="276">
        <v>3254846</v>
      </c>
      <c r="P93" s="276">
        <v>3049949</v>
      </c>
      <c r="Q93" s="276">
        <v>3209634</v>
      </c>
      <c r="R93" s="276">
        <v>4029269</v>
      </c>
      <c r="S93" s="276">
        <v>3994728</v>
      </c>
      <c r="T93" s="276">
        <v>2989342</v>
      </c>
      <c r="U93" s="276">
        <v>2237564</v>
      </c>
      <c r="V93" s="276">
        <v>1920556</v>
      </c>
      <c r="W93" s="276">
        <v>1722389</v>
      </c>
      <c r="X93" s="276">
        <v>1051536</v>
      </c>
    </row>
    <row r="94" spans="1:25" x14ac:dyDescent="0.25">
      <c r="A94" s="233" t="s">
        <v>365</v>
      </c>
      <c r="B94" s="253">
        <f>IF(B91="","",B91-B90)</f>
        <v>246345</v>
      </c>
      <c r="C94" s="253">
        <f>IF(C91="","",C91-C90)</f>
        <v>-833072</v>
      </c>
      <c r="D94" s="253">
        <f t="shared" ref="D94:Y94" si="9">IF(D91="","",D91-D90)</f>
        <v>36393</v>
      </c>
      <c r="E94" s="253">
        <f t="shared" si="9"/>
        <v>818218</v>
      </c>
      <c r="F94" s="253">
        <f t="shared" si="9"/>
        <v>861493</v>
      </c>
      <c r="G94" s="253">
        <f t="shared" si="9"/>
        <v>517449</v>
      </c>
      <c r="H94" s="253">
        <f t="shared" si="9"/>
        <v>-189785</v>
      </c>
      <c r="I94" s="253">
        <f t="shared" si="9"/>
        <v>-142887</v>
      </c>
      <c r="J94" s="253">
        <f t="shared" si="9"/>
        <v>-565553</v>
      </c>
      <c r="K94" s="253">
        <f t="shared" si="9"/>
        <v>-10335</v>
      </c>
      <c r="L94" s="253">
        <f t="shared" si="9"/>
        <v>175260</v>
      </c>
      <c r="M94" s="253">
        <f t="shared" si="9"/>
        <v>481685</v>
      </c>
      <c r="N94" s="253">
        <f t="shared" si="9"/>
        <v>-377046</v>
      </c>
      <c r="O94" s="253">
        <f t="shared" si="9"/>
        <v>-261434</v>
      </c>
      <c r="P94" s="253">
        <f t="shared" si="9"/>
        <v>-386544</v>
      </c>
      <c r="Q94" s="253">
        <f t="shared" si="9"/>
        <v>-119153</v>
      </c>
      <c r="R94" s="253">
        <f t="shared" si="9"/>
        <v>-105584</v>
      </c>
      <c r="S94" s="253">
        <f t="shared" si="9"/>
        <v>-276911</v>
      </c>
      <c r="T94" s="253">
        <f t="shared" si="9"/>
        <v>-226726</v>
      </c>
      <c r="U94" s="253">
        <f t="shared" si="9"/>
        <v>-167375</v>
      </c>
      <c r="V94" s="253">
        <f t="shared" si="9"/>
        <v>-511892</v>
      </c>
      <c r="W94" s="253">
        <f t="shared" si="9"/>
        <v>428577</v>
      </c>
      <c r="X94" s="253">
        <f t="shared" si="9"/>
        <v>205711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130269373</v>
      </c>
      <c r="C97" s="273">
        <v>133086543</v>
      </c>
      <c r="D97" s="273">
        <v>129014062</v>
      </c>
      <c r="E97" s="273">
        <v>116726293</v>
      </c>
      <c r="F97" s="273">
        <v>117387519</v>
      </c>
    </row>
    <row r="98" spans="1:24" ht="14.25" thickBot="1" x14ac:dyDescent="0.3">
      <c r="A98" s="225" t="s">
        <v>4</v>
      </c>
      <c r="B98" s="275">
        <v>30668099</v>
      </c>
      <c r="C98" s="275">
        <v>35327795</v>
      </c>
      <c r="D98" s="275">
        <v>35900504</v>
      </c>
      <c r="E98" s="275">
        <v>35557792</v>
      </c>
      <c r="F98" s="275">
        <v>36289109</v>
      </c>
    </row>
    <row r="99" spans="1:24" ht="14.25" thickBot="1" x14ac:dyDescent="0.3">
      <c r="A99" s="224" t="s">
        <v>5</v>
      </c>
      <c r="B99" s="273">
        <v>19118480</v>
      </c>
      <c r="C99" s="273">
        <v>22214771</v>
      </c>
      <c r="D99" s="273">
        <v>21189739</v>
      </c>
      <c r="E99" s="273">
        <v>18620380</v>
      </c>
      <c r="F99" s="273">
        <v>18671582</v>
      </c>
    </row>
    <row r="100" spans="1:24" ht="14.25" thickBot="1" x14ac:dyDescent="0.3">
      <c r="A100" s="225" t="s">
        <v>6</v>
      </c>
      <c r="B100" s="275">
        <v>19386364</v>
      </c>
      <c r="C100" s="275">
        <v>23261041</v>
      </c>
      <c r="D100" s="275">
        <v>21270796</v>
      </c>
      <c r="E100" s="275">
        <v>17476203</v>
      </c>
      <c r="F100" s="275">
        <v>17894986</v>
      </c>
    </row>
    <row r="101" spans="1:24" ht="14.25" thickBot="1" x14ac:dyDescent="0.3">
      <c r="A101" s="224" t="s">
        <v>7</v>
      </c>
      <c r="B101" s="273">
        <v>15967023</v>
      </c>
      <c r="C101" s="273">
        <v>18641919</v>
      </c>
      <c r="D101" s="273">
        <v>16111617</v>
      </c>
      <c r="E101" s="273">
        <v>12839214</v>
      </c>
      <c r="F101" s="273">
        <v>13346481</v>
      </c>
    </row>
    <row r="102" spans="1:24" ht="14.25" thickBot="1" x14ac:dyDescent="0.3">
      <c r="A102" s="227" t="s">
        <v>8</v>
      </c>
      <c r="B102" s="276">
        <v>15894030</v>
      </c>
      <c r="C102" s="276">
        <v>18548522</v>
      </c>
      <c r="D102" s="276">
        <v>16015591</v>
      </c>
      <c r="E102" s="276">
        <v>12776655</v>
      </c>
      <c r="F102" s="276">
        <v>13250903</v>
      </c>
    </row>
    <row r="103" spans="1:24" x14ac:dyDescent="0.25">
      <c r="A103" s="233" t="s">
        <v>262</v>
      </c>
      <c r="B103" s="234">
        <f>IF(OR(B102="",B102="無"),"",B102/B101)</f>
        <v>0.99542851538448962</v>
      </c>
      <c r="C103" s="234">
        <f>IF(OR(C102="",C102="無"),"",C102/C101)</f>
        <v>0.99498994711864164</v>
      </c>
      <c r="D103" s="234">
        <f>IF(OR(D102="",D102="無"),"",D102/D101)</f>
        <v>0.99403995266272782</v>
      </c>
      <c r="E103" s="234">
        <f>IF(OR(E102="",E102="無"),"",E102/E101)</f>
        <v>0.99512750546879269</v>
      </c>
      <c r="F103" s="234">
        <f>IF(OR(F102="",F102="無"),"",F102/F101)</f>
        <v>0.99283871156749104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15974201</v>
      </c>
      <c r="C106" s="273">
        <v>16942499</v>
      </c>
      <c r="D106" s="273">
        <v>18403911</v>
      </c>
      <c r="E106" s="273">
        <v>15611781</v>
      </c>
      <c r="F106" s="273">
        <v>19807351</v>
      </c>
      <c r="G106" s="273">
        <v>23636906</v>
      </c>
      <c r="H106" s="273">
        <v>19639786</v>
      </c>
      <c r="I106" s="273">
        <v>19814425</v>
      </c>
      <c r="J106" s="273">
        <v>20715288</v>
      </c>
      <c r="K106" s="273">
        <v>26179938</v>
      </c>
      <c r="L106" s="273">
        <v>19710930</v>
      </c>
      <c r="M106" s="273">
        <v>21166079</v>
      </c>
      <c r="N106" s="273">
        <v>22694220</v>
      </c>
      <c r="O106" s="273">
        <v>28193969</v>
      </c>
      <c r="P106" s="273">
        <v>22847944</v>
      </c>
      <c r="Q106" s="273">
        <v>22381482</v>
      </c>
      <c r="R106" s="273">
        <v>27834514</v>
      </c>
      <c r="S106" s="273">
        <v>31966381</v>
      </c>
      <c r="T106" s="273">
        <v>27565969</v>
      </c>
      <c r="U106" s="273">
        <v>28893546</v>
      </c>
      <c r="V106" s="273">
        <v>30578697</v>
      </c>
      <c r="W106" s="273">
        <v>33825683</v>
      </c>
      <c r="X106" s="273">
        <v>26543940</v>
      </c>
    </row>
    <row r="107" spans="1:24" ht="14.25" thickBot="1" x14ac:dyDescent="0.3">
      <c r="A107" s="225" t="s">
        <v>22</v>
      </c>
      <c r="B107" s="275">
        <v>76207</v>
      </c>
      <c r="C107" s="275">
        <v>73947</v>
      </c>
      <c r="D107" s="275">
        <v>94882</v>
      </c>
      <c r="E107" s="275">
        <v>100376</v>
      </c>
      <c r="F107" s="275">
        <v>101396</v>
      </c>
      <c r="G107" s="275">
        <v>106590</v>
      </c>
      <c r="H107" s="275">
        <v>118068</v>
      </c>
      <c r="I107" s="275">
        <v>143552</v>
      </c>
      <c r="J107" s="275">
        <v>144673</v>
      </c>
      <c r="K107" s="275">
        <v>155422</v>
      </c>
      <c r="L107" s="275">
        <v>135748</v>
      </c>
      <c r="M107" s="275">
        <v>137351</v>
      </c>
      <c r="N107" s="275">
        <v>157701</v>
      </c>
      <c r="O107" s="275">
        <v>190605</v>
      </c>
      <c r="P107" s="275">
        <v>170850</v>
      </c>
      <c r="Q107" s="275">
        <v>167347</v>
      </c>
      <c r="R107" s="275">
        <v>177175</v>
      </c>
      <c r="S107" s="275">
        <v>163818</v>
      </c>
      <c r="T107" s="275">
        <v>145636</v>
      </c>
      <c r="U107" s="275">
        <v>141404</v>
      </c>
      <c r="V107" s="275">
        <v>150760</v>
      </c>
      <c r="W107" s="275">
        <v>62089</v>
      </c>
      <c r="X107" s="275">
        <v>68357</v>
      </c>
    </row>
    <row r="108" spans="1:24" ht="14.25" thickBot="1" x14ac:dyDescent="0.3">
      <c r="A108" s="224" t="s">
        <v>263</v>
      </c>
      <c r="B108" s="273">
        <v>11410231</v>
      </c>
      <c r="C108" s="273">
        <v>11207324</v>
      </c>
      <c r="D108" s="273">
        <v>10295371</v>
      </c>
      <c r="E108" s="273">
        <v>9880096</v>
      </c>
      <c r="F108" s="273">
        <v>11637757</v>
      </c>
      <c r="G108" s="273">
        <v>12834100</v>
      </c>
      <c r="H108" s="273">
        <v>12116865</v>
      </c>
      <c r="I108" s="273">
        <v>12529252</v>
      </c>
      <c r="J108" s="273">
        <v>14021334</v>
      </c>
      <c r="K108" s="273">
        <v>14640703</v>
      </c>
      <c r="L108" s="273">
        <v>14918483</v>
      </c>
      <c r="M108" s="273">
        <v>14506933</v>
      </c>
      <c r="N108" s="273">
        <v>14861629</v>
      </c>
      <c r="O108" s="273">
        <v>14488672</v>
      </c>
      <c r="P108" s="273">
        <v>13691237</v>
      </c>
      <c r="Q108" s="273">
        <v>13098562</v>
      </c>
      <c r="R108" s="273">
        <v>13938880</v>
      </c>
      <c r="S108" s="273">
        <v>13384165</v>
      </c>
      <c r="T108" s="273">
        <v>12394676</v>
      </c>
      <c r="U108" s="273">
        <v>11905457</v>
      </c>
      <c r="V108" s="273">
        <v>12170393</v>
      </c>
      <c r="W108" s="273">
        <v>13033651</v>
      </c>
      <c r="X108" s="273">
        <v>12604064</v>
      </c>
    </row>
    <row r="109" spans="1:24" ht="14.25" thickBot="1" x14ac:dyDescent="0.3">
      <c r="A109" s="225" t="s">
        <v>264</v>
      </c>
      <c r="B109" s="275">
        <v>19305632</v>
      </c>
      <c r="C109" s="275">
        <v>18577611</v>
      </c>
      <c r="D109" s="275">
        <v>18568436</v>
      </c>
      <c r="E109" s="275">
        <v>20121767</v>
      </c>
      <c r="F109" s="275">
        <v>20543390</v>
      </c>
      <c r="G109" s="275">
        <v>17895412</v>
      </c>
      <c r="H109" s="275">
        <v>16328294</v>
      </c>
      <c r="I109" s="275">
        <v>16504165</v>
      </c>
      <c r="J109" s="275">
        <v>17177997</v>
      </c>
      <c r="K109" s="275">
        <v>16822776</v>
      </c>
      <c r="L109" s="275">
        <v>15560228</v>
      </c>
      <c r="M109" s="275">
        <v>16572698</v>
      </c>
      <c r="N109" s="275">
        <v>15233608</v>
      </c>
      <c r="O109" s="275">
        <v>13601934</v>
      </c>
      <c r="P109" s="275">
        <v>13985834</v>
      </c>
      <c r="Q109" s="275">
        <v>13213153</v>
      </c>
      <c r="R109" s="275">
        <v>11785901</v>
      </c>
      <c r="S109" s="275">
        <v>12200894</v>
      </c>
      <c r="T109" s="275">
        <v>12029525</v>
      </c>
      <c r="U109" s="275">
        <v>13850002</v>
      </c>
      <c r="V109" s="275">
        <v>15558765</v>
      </c>
      <c r="W109" s="275">
        <v>17701188</v>
      </c>
      <c r="X109" s="275">
        <v>17736556</v>
      </c>
    </row>
    <row r="110" spans="1:24" ht="14.25" thickBot="1" x14ac:dyDescent="0.3">
      <c r="A110" s="224" t="s">
        <v>23</v>
      </c>
      <c r="B110" s="273">
        <v>2584025</v>
      </c>
      <c r="C110" s="273">
        <v>3309440</v>
      </c>
      <c r="D110" s="273">
        <v>3191480</v>
      </c>
      <c r="E110" s="273">
        <v>2973672</v>
      </c>
      <c r="F110" s="273">
        <v>2907478</v>
      </c>
      <c r="G110" s="273">
        <v>2859597</v>
      </c>
      <c r="H110" s="273">
        <v>2879495</v>
      </c>
      <c r="I110" s="273">
        <v>3169029</v>
      </c>
      <c r="J110" s="273">
        <v>3528334</v>
      </c>
      <c r="K110" s="273">
        <v>2728172</v>
      </c>
      <c r="L110" s="273">
        <v>2554215</v>
      </c>
      <c r="M110" s="273">
        <v>2793184</v>
      </c>
      <c r="N110" s="273">
        <v>2754858</v>
      </c>
      <c r="O110" s="273">
        <v>3008328</v>
      </c>
      <c r="P110" s="273">
        <v>2442188</v>
      </c>
      <c r="Q110" s="273">
        <v>3486586</v>
      </c>
      <c r="R110" s="273">
        <v>2725313</v>
      </c>
      <c r="S110" s="273">
        <v>3031270</v>
      </c>
      <c r="T110" s="273">
        <v>3026652</v>
      </c>
      <c r="U110" s="273">
        <v>3363525</v>
      </c>
      <c r="V110" s="273">
        <v>4316191</v>
      </c>
      <c r="W110" s="273">
        <v>4242060</v>
      </c>
      <c r="X110" s="273">
        <v>4405908</v>
      </c>
    </row>
    <row r="111" spans="1:24" ht="14.25" thickBot="1" x14ac:dyDescent="0.3">
      <c r="A111" s="225" t="s">
        <v>24</v>
      </c>
      <c r="B111" s="275">
        <v>49350296</v>
      </c>
      <c r="C111" s="275">
        <v>50110821</v>
      </c>
      <c r="D111" s="275">
        <v>50554080</v>
      </c>
      <c r="E111" s="275">
        <v>48687692</v>
      </c>
      <c r="F111" s="275">
        <v>54997372</v>
      </c>
      <c r="G111" s="275">
        <v>57332605</v>
      </c>
      <c r="H111" s="275">
        <v>51082508</v>
      </c>
      <c r="I111" s="275">
        <v>52160423</v>
      </c>
      <c r="J111" s="275">
        <v>55587626</v>
      </c>
      <c r="K111" s="275">
        <v>60527011</v>
      </c>
      <c r="L111" s="275">
        <v>52879604</v>
      </c>
      <c r="M111" s="275">
        <v>55176245</v>
      </c>
      <c r="N111" s="275">
        <v>55702016</v>
      </c>
      <c r="O111" s="275">
        <v>59483508</v>
      </c>
      <c r="P111" s="275">
        <v>53138053</v>
      </c>
      <c r="Q111" s="275">
        <v>52347130</v>
      </c>
      <c r="R111" s="275">
        <v>56461783</v>
      </c>
      <c r="S111" s="275">
        <v>60746528</v>
      </c>
      <c r="T111" s="275">
        <v>55162458</v>
      </c>
      <c r="U111" s="275">
        <v>58153934</v>
      </c>
      <c r="V111" s="275">
        <v>62774806</v>
      </c>
      <c r="W111" s="275">
        <v>68864671</v>
      </c>
      <c r="X111" s="275">
        <v>61358825</v>
      </c>
    </row>
    <row r="112" spans="1:24" ht="14.25" thickBot="1" x14ac:dyDescent="0.3">
      <c r="A112" s="224" t="s">
        <v>25</v>
      </c>
      <c r="B112" s="273">
        <v>311639</v>
      </c>
      <c r="C112" s="273">
        <v>309460</v>
      </c>
      <c r="D112" s="273">
        <v>311455</v>
      </c>
      <c r="E112" s="273">
        <v>231986</v>
      </c>
      <c r="F112" s="273">
        <v>233023</v>
      </c>
      <c r="G112" s="273">
        <v>237434</v>
      </c>
      <c r="H112" s="273">
        <v>223892</v>
      </c>
      <c r="I112" s="273">
        <v>224465</v>
      </c>
      <c r="J112" s="273">
        <v>235372</v>
      </c>
      <c r="K112" s="273">
        <v>248777</v>
      </c>
      <c r="L112" s="273">
        <v>229741</v>
      </c>
      <c r="M112" s="273">
        <v>233512</v>
      </c>
      <c r="N112" s="273">
        <v>237551</v>
      </c>
      <c r="O112" s="273">
        <v>245882</v>
      </c>
      <c r="P112" s="273">
        <v>227748</v>
      </c>
      <c r="Q112" s="273">
        <v>239855</v>
      </c>
      <c r="R112" s="273">
        <v>247093</v>
      </c>
      <c r="S112" s="273">
        <v>251956</v>
      </c>
      <c r="T112" s="273">
        <v>231846</v>
      </c>
      <c r="U112" s="273">
        <v>235500</v>
      </c>
      <c r="V112" s="273">
        <v>237212</v>
      </c>
      <c r="W112" s="273">
        <v>237901</v>
      </c>
      <c r="X112" s="273">
        <v>226564</v>
      </c>
    </row>
    <row r="113" spans="1:24" ht="14.25" thickBot="1" x14ac:dyDescent="0.3">
      <c r="A113" s="225" t="s">
        <v>26</v>
      </c>
      <c r="B113" s="275">
        <v>86068205</v>
      </c>
      <c r="C113" s="275">
        <v>89964274</v>
      </c>
      <c r="D113" s="275">
        <v>93516110</v>
      </c>
      <c r="E113" s="275">
        <v>96474623</v>
      </c>
      <c r="F113" s="275">
        <v>101248831</v>
      </c>
      <c r="G113" s="275">
        <v>102780422</v>
      </c>
      <c r="H113" s="275">
        <v>102372558</v>
      </c>
      <c r="I113" s="275">
        <v>104394750</v>
      </c>
      <c r="J113" s="275">
        <v>105798408</v>
      </c>
      <c r="K113" s="275">
        <v>103968019</v>
      </c>
      <c r="L113" s="275">
        <v>106710591</v>
      </c>
      <c r="M113" s="275">
        <v>109430271</v>
      </c>
      <c r="N113" s="275">
        <v>108593829</v>
      </c>
      <c r="O113" s="275">
        <v>105833987</v>
      </c>
      <c r="P113" s="275">
        <v>108774141</v>
      </c>
      <c r="Q113" s="275">
        <v>106476804</v>
      </c>
      <c r="R113" s="275">
        <v>105693048</v>
      </c>
      <c r="S113" s="275">
        <v>104296128</v>
      </c>
      <c r="T113" s="275">
        <v>102441746</v>
      </c>
      <c r="U113" s="275">
        <v>103156284</v>
      </c>
      <c r="V113" s="275">
        <v>100706952</v>
      </c>
      <c r="W113" s="275">
        <v>103614726</v>
      </c>
      <c r="X113" s="275">
        <v>104625417</v>
      </c>
    </row>
    <row r="114" spans="1:24" ht="14.25" thickBot="1" x14ac:dyDescent="0.3">
      <c r="A114" s="224" t="s">
        <v>27</v>
      </c>
      <c r="B114" s="273">
        <v>5911666</v>
      </c>
      <c r="C114" s="273">
        <v>5774515</v>
      </c>
      <c r="D114" s="273">
        <v>5710911</v>
      </c>
      <c r="E114" s="273">
        <v>5696471</v>
      </c>
      <c r="F114" s="273">
        <v>5586526</v>
      </c>
      <c r="G114" s="273">
        <v>5544641</v>
      </c>
      <c r="H114" s="273">
        <v>5630422</v>
      </c>
      <c r="I114" s="273">
        <v>5448834</v>
      </c>
      <c r="J114" s="273">
        <v>4519941</v>
      </c>
      <c r="K114" s="273">
        <v>4805941</v>
      </c>
      <c r="L114" s="273">
        <v>4956218</v>
      </c>
      <c r="M114" s="273">
        <v>5030339</v>
      </c>
      <c r="N114" s="273">
        <v>6234169</v>
      </c>
      <c r="O114" s="273">
        <v>6075254</v>
      </c>
      <c r="P114" s="273">
        <v>6950079</v>
      </c>
      <c r="Q114" s="273">
        <v>6894433</v>
      </c>
      <c r="R114" s="273">
        <v>6835417</v>
      </c>
      <c r="S114" s="273">
        <v>6891293</v>
      </c>
      <c r="T114" s="273">
        <v>6595401</v>
      </c>
      <c r="U114" s="273">
        <v>6619008</v>
      </c>
      <c r="V114" s="273">
        <v>7091703</v>
      </c>
      <c r="W114" s="273">
        <v>6831360</v>
      </c>
      <c r="X114" s="273">
        <v>7229613</v>
      </c>
    </row>
    <row r="115" spans="1:24" ht="14.25" thickBot="1" x14ac:dyDescent="0.3">
      <c r="A115" s="225" t="s">
        <v>265</v>
      </c>
      <c r="B115" s="276">
        <v>141641806</v>
      </c>
      <c r="C115" s="276">
        <v>146159070</v>
      </c>
      <c r="D115" s="276">
        <v>150092556</v>
      </c>
      <c r="E115" s="276">
        <v>151090772</v>
      </c>
      <c r="F115" s="276">
        <v>162065752</v>
      </c>
      <c r="G115" s="276">
        <v>165895102</v>
      </c>
      <c r="H115" s="276">
        <v>159309380</v>
      </c>
      <c r="I115" s="276">
        <v>162228472</v>
      </c>
      <c r="J115" s="276">
        <v>166141347</v>
      </c>
      <c r="K115" s="276">
        <v>169549748</v>
      </c>
      <c r="L115" s="276">
        <v>164776154</v>
      </c>
      <c r="M115" s="276">
        <v>169870367</v>
      </c>
      <c r="N115" s="276">
        <v>170767565</v>
      </c>
      <c r="O115" s="276">
        <v>171638631</v>
      </c>
      <c r="P115" s="276">
        <v>169090021</v>
      </c>
      <c r="Q115" s="276">
        <v>165958222</v>
      </c>
      <c r="R115" s="276">
        <v>169237341</v>
      </c>
      <c r="S115" s="276">
        <v>172185905</v>
      </c>
      <c r="T115" s="276">
        <v>164431451</v>
      </c>
      <c r="U115" s="276">
        <v>168164726</v>
      </c>
      <c r="V115" s="276">
        <v>170810673</v>
      </c>
      <c r="W115" s="276">
        <v>179548658</v>
      </c>
      <c r="X115" s="276">
        <v>173440419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12440611</v>
      </c>
      <c r="C118" s="273">
        <v>13679182</v>
      </c>
      <c r="D118" s="273">
        <v>16718189</v>
      </c>
      <c r="E118" s="273">
        <v>14048696</v>
      </c>
      <c r="F118" s="273">
        <v>17771069</v>
      </c>
      <c r="G118" s="273">
        <v>19711946</v>
      </c>
      <c r="H118" s="273">
        <v>13931837</v>
      </c>
      <c r="I118" s="273">
        <v>12101722</v>
      </c>
      <c r="J118" s="273">
        <v>14302644</v>
      </c>
      <c r="K118" s="273">
        <v>17303594</v>
      </c>
      <c r="L118" s="273">
        <v>16054308</v>
      </c>
      <c r="M118" s="273">
        <v>14436115</v>
      </c>
      <c r="N118" s="273">
        <v>15811993</v>
      </c>
      <c r="O118" s="273">
        <v>16395334</v>
      </c>
      <c r="P118" s="273">
        <v>18071258</v>
      </c>
      <c r="Q118" s="273">
        <v>16206436</v>
      </c>
      <c r="R118" s="273">
        <v>13170534</v>
      </c>
      <c r="S118" s="273">
        <v>12825847</v>
      </c>
      <c r="T118" s="273">
        <v>14679016</v>
      </c>
      <c r="U118" s="273">
        <v>12656467</v>
      </c>
      <c r="V118" s="273">
        <v>15685137</v>
      </c>
      <c r="W118" s="273">
        <v>21503627</v>
      </c>
      <c r="X118" s="273">
        <v>20902132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5">
        <v>536559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8994996</v>
      </c>
      <c r="C120" s="273">
        <v>9660289</v>
      </c>
      <c r="D120" s="273">
        <v>8802120</v>
      </c>
      <c r="E120" s="273">
        <v>8541214</v>
      </c>
      <c r="F120" s="273">
        <v>7950636</v>
      </c>
      <c r="G120" s="273">
        <v>8361299</v>
      </c>
      <c r="H120" s="273">
        <v>8282105</v>
      </c>
      <c r="I120" s="273">
        <v>8517685</v>
      </c>
      <c r="J120" s="273">
        <v>8019744</v>
      </c>
      <c r="K120" s="273">
        <v>8921487</v>
      </c>
      <c r="L120" s="273">
        <v>8692441</v>
      </c>
      <c r="M120" s="273">
        <v>8296662</v>
      </c>
      <c r="N120" s="273">
        <v>6935031</v>
      </c>
      <c r="O120" s="273">
        <v>7409901</v>
      </c>
      <c r="P120" s="273">
        <v>6709364</v>
      </c>
      <c r="Q120" s="273">
        <v>6951643</v>
      </c>
      <c r="R120" s="273">
        <v>7321261</v>
      </c>
      <c r="S120" s="273">
        <v>8153136</v>
      </c>
      <c r="T120" s="273">
        <v>7255467</v>
      </c>
      <c r="U120" s="273">
        <v>8744037</v>
      </c>
      <c r="V120" s="273">
        <v>9542523</v>
      </c>
      <c r="W120" s="273">
        <v>9554430</v>
      </c>
      <c r="X120" s="273">
        <v>9060319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5529195</v>
      </c>
      <c r="C122" s="273">
        <v>5923792</v>
      </c>
      <c r="D122" s="273">
        <v>7750834</v>
      </c>
      <c r="E122" s="273">
        <v>7558969</v>
      </c>
      <c r="F122" s="273">
        <v>8711013</v>
      </c>
      <c r="G122" s="273">
        <v>8725191</v>
      </c>
      <c r="H122" s="273">
        <v>10527251</v>
      </c>
      <c r="I122" s="273">
        <v>9853630</v>
      </c>
      <c r="J122" s="273">
        <v>10279001</v>
      </c>
      <c r="K122" s="273">
        <v>12225380</v>
      </c>
      <c r="L122" s="273">
        <v>9457165</v>
      </c>
      <c r="M122" s="273">
        <v>7959806</v>
      </c>
      <c r="N122" s="273">
        <v>9016002</v>
      </c>
      <c r="O122" s="273">
        <v>7585581</v>
      </c>
      <c r="P122" s="273">
        <v>6766335</v>
      </c>
      <c r="Q122" s="273">
        <v>5096959</v>
      </c>
      <c r="R122" s="273">
        <v>5465317</v>
      </c>
      <c r="S122" s="273">
        <v>7324075</v>
      </c>
      <c r="T122" s="273">
        <v>8299840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7680781</v>
      </c>
      <c r="C123" s="275">
        <v>11955731</v>
      </c>
      <c r="D123" s="275">
        <v>9025019</v>
      </c>
      <c r="E123" s="275">
        <v>9315017</v>
      </c>
      <c r="F123" s="275">
        <v>8977757</v>
      </c>
      <c r="G123" s="275">
        <v>13569739</v>
      </c>
      <c r="H123" s="275">
        <v>9637566</v>
      </c>
      <c r="I123" s="275">
        <v>10007078</v>
      </c>
      <c r="J123" s="275">
        <v>9079993</v>
      </c>
      <c r="K123" s="275">
        <v>18121927</v>
      </c>
      <c r="L123" s="275">
        <v>9256967</v>
      </c>
      <c r="M123" s="275">
        <v>9892509</v>
      </c>
      <c r="N123" s="275">
        <v>9675557</v>
      </c>
      <c r="O123" s="275">
        <v>18507363</v>
      </c>
      <c r="P123" s="275">
        <v>9523440</v>
      </c>
      <c r="Q123" s="275">
        <v>9135333</v>
      </c>
      <c r="R123" s="275">
        <v>9483915</v>
      </c>
      <c r="S123" s="275">
        <v>18537188</v>
      </c>
      <c r="T123" s="275">
        <v>9419777</v>
      </c>
      <c r="U123" s="275">
        <v>18386194</v>
      </c>
      <c r="V123" s="275">
        <v>17027090</v>
      </c>
      <c r="W123" s="275">
        <v>26805897</v>
      </c>
      <c r="X123" s="275">
        <v>15239175</v>
      </c>
    </row>
    <row r="124" spans="1:24" ht="14.25" thickBot="1" x14ac:dyDescent="0.3">
      <c r="A124" s="224" t="s">
        <v>268</v>
      </c>
      <c r="B124" s="273">
        <v>34645583</v>
      </c>
      <c r="C124" s="273">
        <v>41218994</v>
      </c>
      <c r="D124" s="273">
        <v>42832721</v>
      </c>
      <c r="E124" s="273">
        <v>39463896</v>
      </c>
      <c r="F124" s="273">
        <v>43410475</v>
      </c>
      <c r="G124" s="273">
        <v>50368175</v>
      </c>
      <c r="H124" s="273">
        <v>42378759</v>
      </c>
      <c r="I124" s="273">
        <v>40480115</v>
      </c>
      <c r="J124" s="273">
        <v>41681382</v>
      </c>
      <c r="K124" s="273">
        <v>56572388</v>
      </c>
      <c r="L124" s="273">
        <v>43460881</v>
      </c>
      <c r="M124" s="273">
        <v>40585092</v>
      </c>
      <c r="N124" s="273">
        <v>41438583</v>
      </c>
      <c r="O124" s="273">
        <v>49898179</v>
      </c>
      <c r="P124" s="273">
        <v>41070397</v>
      </c>
      <c r="Q124" s="273">
        <v>37390371</v>
      </c>
      <c r="R124" s="273">
        <v>35441027</v>
      </c>
      <c r="S124" s="273">
        <v>46840246</v>
      </c>
      <c r="T124" s="273">
        <v>39654100</v>
      </c>
      <c r="U124" s="273">
        <v>39786698</v>
      </c>
      <c r="V124" s="273">
        <v>42254750</v>
      </c>
      <c r="W124" s="273">
        <v>57863954</v>
      </c>
      <c r="X124" s="273">
        <v>45201626</v>
      </c>
    </row>
    <row r="125" spans="1:24" ht="14.25" thickBot="1" x14ac:dyDescent="0.3">
      <c r="A125" s="225" t="s">
        <v>32</v>
      </c>
      <c r="B125" s="275">
        <v>49545684</v>
      </c>
      <c r="C125" s="275">
        <v>46887236</v>
      </c>
      <c r="D125" s="275">
        <v>45893925</v>
      </c>
      <c r="E125" s="275">
        <v>44641571</v>
      </c>
      <c r="F125" s="275">
        <v>48377953</v>
      </c>
      <c r="G125" s="275">
        <v>45516625</v>
      </c>
      <c r="H125" s="275">
        <v>42972958</v>
      </c>
      <c r="I125" s="275">
        <v>42348869</v>
      </c>
      <c r="J125" s="275">
        <v>41140413</v>
      </c>
      <c r="K125" s="275">
        <v>37288782</v>
      </c>
      <c r="L125" s="275">
        <v>39296399</v>
      </c>
      <c r="M125" s="275">
        <v>40728250</v>
      </c>
      <c r="N125" s="275">
        <v>38228809</v>
      </c>
      <c r="O125" s="275">
        <v>38481626</v>
      </c>
      <c r="P125" s="275">
        <v>39242930</v>
      </c>
      <c r="Q125" s="275">
        <v>38615267</v>
      </c>
      <c r="R125" s="275">
        <v>40291590</v>
      </c>
      <c r="S125" s="275">
        <v>39192936</v>
      </c>
      <c r="T125" s="275">
        <v>37842696</v>
      </c>
      <c r="U125" s="275">
        <v>40108640</v>
      </c>
      <c r="V125" s="275">
        <v>41611657</v>
      </c>
      <c r="W125" s="275">
        <v>41662852</v>
      </c>
      <c r="X125" s="275">
        <v>46368138</v>
      </c>
    </row>
    <row r="126" spans="1:24" ht="14.25" thickBot="1" x14ac:dyDescent="0.3">
      <c r="A126" s="224" t="s">
        <v>33</v>
      </c>
      <c r="B126" s="273">
        <v>2757363</v>
      </c>
      <c r="C126" s="273">
        <v>3245863</v>
      </c>
      <c r="D126" s="273">
        <v>2862811</v>
      </c>
      <c r="E126" s="273">
        <v>3558234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86948630</v>
      </c>
      <c r="C127" s="275">
        <v>91352093</v>
      </c>
      <c r="D127" s="275">
        <v>91589457</v>
      </c>
      <c r="E127" s="275">
        <v>87663701</v>
      </c>
      <c r="F127" s="275">
        <v>91788428</v>
      </c>
      <c r="G127" s="275">
        <v>95884800</v>
      </c>
      <c r="H127" s="275">
        <v>85351717</v>
      </c>
      <c r="I127" s="275">
        <v>82828984</v>
      </c>
      <c r="J127" s="275">
        <v>82821795</v>
      </c>
      <c r="K127" s="275">
        <v>93861170</v>
      </c>
      <c r="L127" s="275">
        <v>82757280</v>
      </c>
      <c r="M127" s="275">
        <v>81313342</v>
      </c>
      <c r="N127" s="275">
        <v>79667392</v>
      </c>
      <c r="O127" s="275">
        <v>88379805</v>
      </c>
      <c r="P127" s="275">
        <v>80313327</v>
      </c>
      <c r="Q127" s="275">
        <v>76005638</v>
      </c>
      <c r="R127" s="275">
        <v>75732617</v>
      </c>
      <c r="S127" s="275">
        <v>86033182</v>
      </c>
      <c r="T127" s="275">
        <v>77496796</v>
      </c>
      <c r="U127" s="275">
        <v>79895338</v>
      </c>
      <c r="V127" s="275">
        <v>83866407</v>
      </c>
      <c r="W127" s="275">
        <v>99526806</v>
      </c>
      <c r="X127" s="275">
        <v>91569764</v>
      </c>
    </row>
    <row r="128" spans="1:24" ht="14.25" thickBot="1" x14ac:dyDescent="0.3">
      <c r="A128" s="224" t="s">
        <v>34</v>
      </c>
      <c r="B128" s="273">
        <v>54693176</v>
      </c>
      <c r="C128" s="273">
        <v>54806977</v>
      </c>
      <c r="D128" s="273">
        <v>58503099</v>
      </c>
      <c r="E128" s="273">
        <v>63427071</v>
      </c>
      <c r="F128" s="273">
        <v>70277324</v>
      </c>
      <c r="G128" s="273">
        <v>70010302</v>
      </c>
      <c r="H128" s="273">
        <v>73957663</v>
      </c>
      <c r="I128" s="273">
        <v>79399488</v>
      </c>
      <c r="J128" s="273">
        <v>83319552</v>
      </c>
      <c r="K128" s="273">
        <v>75688578</v>
      </c>
      <c r="L128" s="273">
        <v>82018874</v>
      </c>
      <c r="M128" s="273">
        <v>88557025</v>
      </c>
      <c r="N128" s="273">
        <v>91100173</v>
      </c>
      <c r="O128" s="273">
        <v>83258826</v>
      </c>
      <c r="P128" s="273">
        <v>88776694</v>
      </c>
      <c r="Q128" s="273">
        <v>89952584</v>
      </c>
      <c r="R128" s="273">
        <v>93504724</v>
      </c>
      <c r="S128" s="273">
        <v>86152723</v>
      </c>
      <c r="T128" s="273">
        <v>86934655</v>
      </c>
      <c r="U128" s="273">
        <v>88269388</v>
      </c>
      <c r="V128" s="273">
        <v>86944266</v>
      </c>
      <c r="W128" s="273">
        <v>80021852</v>
      </c>
      <c r="X128" s="273">
        <v>81870655</v>
      </c>
    </row>
    <row r="129" spans="1:24" ht="14.25" thickBot="1" x14ac:dyDescent="0.3">
      <c r="A129" s="225" t="s">
        <v>35</v>
      </c>
      <c r="B129" s="276">
        <v>141641806</v>
      </c>
      <c r="C129" s="276">
        <v>146159070</v>
      </c>
      <c r="D129" s="276">
        <v>150092556</v>
      </c>
      <c r="E129" s="276">
        <v>151090772</v>
      </c>
      <c r="F129" s="276">
        <v>162065752</v>
      </c>
      <c r="G129" s="276">
        <v>165895102</v>
      </c>
      <c r="H129" s="276">
        <v>159309380</v>
      </c>
      <c r="I129" s="276">
        <v>162228472</v>
      </c>
      <c r="J129" s="276">
        <v>166141347</v>
      </c>
      <c r="K129" s="276">
        <v>169549748</v>
      </c>
      <c r="L129" s="276">
        <v>164776154</v>
      </c>
      <c r="M129" s="276">
        <v>169870367</v>
      </c>
      <c r="N129" s="276">
        <v>170767565</v>
      </c>
      <c r="O129" s="276">
        <v>171638631</v>
      </c>
      <c r="P129" s="276">
        <v>169090021</v>
      </c>
      <c r="Q129" s="276">
        <v>165958222</v>
      </c>
      <c r="R129" s="276">
        <v>169237341</v>
      </c>
      <c r="S129" s="276">
        <v>172185905</v>
      </c>
      <c r="T129" s="276">
        <v>164431451</v>
      </c>
      <c r="U129" s="276">
        <v>168164726</v>
      </c>
      <c r="V129" s="276">
        <v>170810673</v>
      </c>
      <c r="W129" s="276">
        <v>179548658</v>
      </c>
      <c r="X129" s="276">
        <v>173440419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9.5299999999999994</v>
      </c>
      <c r="C132" s="68">
        <v>8.9</v>
      </c>
      <c r="D132" s="68">
        <v>7.9</v>
      </c>
      <c r="E132" s="68">
        <v>8.57</v>
      </c>
      <c r="F132" s="68">
        <v>8.42</v>
      </c>
    </row>
    <row r="133" spans="1:24" ht="14.25" thickBot="1" x14ac:dyDescent="0.3">
      <c r="A133" s="225" t="s">
        <v>37</v>
      </c>
      <c r="B133" s="274">
        <v>-8.36</v>
      </c>
      <c r="C133" s="274">
        <v>-3.94</v>
      </c>
      <c r="D133" s="274">
        <v>-3.65</v>
      </c>
      <c r="E133" s="274">
        <v>-4.1500000000000004</v>
      </c>
      <c r="F133" s="274">
        <v>-4.3499999999999996</v>
      </c>
    </row>
    <row r="134" spans="1:24" ht="14.25" thickBot="1" x14ac:dyDescent="0.3">
      <c r="A134" s="224" t="s">
        <v>38</v>
      </c>
      <c r="B134" s="68">
        <v>-1.9</v>
      </c>
      <c r="C134" s="68">
        <v>-3.82</v>
      </c>
      <c r="D134" s="68">
        <v>-4.34</v>
      </c>
      <c r="E134" s="68">
        <v>-4.03</v>
      </c>
      <c r="F134" s="68">
        <v>-1.75</v>
      </c>
    </row>
    <row r="135" spans="1:24" ht="14.25" thickBot="1" x14ac:dyDescent="0.3">
      <c r="A135" s="225" t="s">
        <v>270</v>
      </c>
      <c r="B135" s="274">
        <v>1.1599999999999999</v>
      </c>
      <c r="C135" s="274">
        <v>4.97</v>
      </c>
      <c r="D135" s="274">
        <v>4.25</v>
      </c>
      <c r="E135" s="274">
        <v>4.42</v>
      </c>
      <c r="F135" s="274">
        <v>4.07</v>
      </c>
    </row>
    <row r="136" spans="1:24" ht="14.25" thickBot="1" x14ac:dyDescent="0.3">
      <c r="A136" s="229" t="s">
        <v>39</v>
      </c>
      <c r="B136" s="72">
        <v>-0.74</v>
      </c>
      <c r="C136" s="72">
        <v>1.1499999999999999</v>
      </c>
      <c r="D136" s="72">
        <v>-0.09</v>
      </c>
      <c r="E136" s="72">
        <v>0.39</v>
      </c>
      <c r="F136" s="72">
        <v>2.3199999999999998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1.5</v>
      </c>
      <c r="C140" s="68">
        <v>3</v>
      </c>
      <c r="D140" s="68">
        <v>3</v>
      </c>
      <c r="E140" s="68">
        <v>3</v>
      </c>
      <c r="F140" s="68">
        <v>3</v>
      </c>
    </row>
    <row r="141" spans="1:24" ht="14.25" thickBot="1" x14ac:dyDescent="0.3">
      <c r="A141" s="227" t="s">
        <v>1</v>
      </c>
      <c r="B141" s="73">
        <v>1.5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0.25862068965517243</v>
      </c>
      <c r="C142" s="234">
        <f>IF(C140&lt;&gt;"無",IF(ISNA(HLOOKUP(C139,$B$64:$F$69,6,FALSE)),"",C140/HLOOKUP(C139,$B$64:$F$69,6,FALSE)),"")</f>
        <v>0.5067567567567568</v>
      </c>
      <c r="D142" s="234">
        <f>IF(D140&lt;&gt;"無",IF(ISNA(HLOOKUP(D139,$B$64:$F$69,6,FALSE)),"",D140/HLOOKUP(D139,$B$64:$F$69,6,FALSE)),"")</f>
        <v>0.60728744939271262</v>
      </c>
      <c r="E142" s="234">
        <f>IF(E140&lt;&gt;"無",IF(ISNA(HLOOKUP(E139,$B$64:$F$69,6,FALSE)),"",E140/HLOOKUP(E139,$B$64:$F$69,6,FALSE)),"")</f>
        <v>0.76142131979695438</v>
      </c>
      <c r="F142" s="234">
        <f>IF(F140&lt;&gt;"無",IF(ISNA(HLOOKUP(F139,$B$64:$F$69,6,FALSE)),"",F140/HLOOKUP(F139,$B$64:$F$69,6,FALSE)),"")</f>
        <v>0.73529411764705876</v>
      </c>
    </row>
    <row r="143" spans="1:24" x14ac:dyDescent="0.25">
      <c r="A143" s="233" t="s">
        <v>216</v>
      </c>
      <c r="B143" s="234">
        <f>IF(OR(B140=0,B140="無"),"",B135/B140)</f>
        <v>0.77333333333333332</v>
      </c>
      <c r="C143" s="234">
        <f>IF(OR(C140=0,C140="無"),"",C135/C140)</f>
        <v>1.6566666666666665</v>
      </c>
      <c r="D143" s="234">
        <f>IF(OR(D140=0,D140="無"),"",D135/D140)</f>
        <v>1.4166666666666667</v>
      </c>
      <c r="E143" s="234">
        <f>IF(OR(E140=0,E140="無"),"",E135/E140)</f>
        <v>1.4733333333333334</v>
      </c>
      <c r="F143" s="234">
        <f>IF(OR(F140=0,F140="無"),"",F135/F140)</f>
        <v>1.3566666666666667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20.46</v>
      </c>
      <c r="C146" s="68">
        <v>24.28</v>
      </c>
      <c r="D146" s="68">
        <v>23.39</v>
      </c>
      <c r="E146" s="68">
        <v>25.91</v>
      </c>
      <c r="F146" s="68">
        <v>24.31</v>
      </c>
      <c r="G146" s="68">
        <v>25.35</v>
      </c>
      <c r="H146" s="68">
        <v>26.23</v>
      </c>
      <c r="I146" s="68">
        <v>30.21</v>
      </c>
      <c r="J146" s="68">
        <v>27.01</v>
      </c>
      <c r="K146" s="68">
        <v>26.95</v>
      </c>
      <c r="L146" s="68">
        <v>27.94</v>
      </c>
      <c r="M146" s="68">
        <v>29.48</v>
      </c>
      <c r="N146" s="68">
        <v>29.11</v>
      </c>
      <c r="O146" s="68">
        <v>30.58</v>
      </c>
      <c r="P146" s="68">
        <v>30.88</v>
      </c>
      <c r="Q146" s="68">
        <v>31.32</v>
      </c>
      <c r="R146" s="68">
        <v>32.07</v>
      </c>
      <c r="S146" s="68">
        <v>32.92</v>
      </c>
      <c r="T146" s="68">
        <v>30.12</v>
      </c>
      <c r="U146" s="68">
        <v>28.28</v>
      </c>
      <c r="V146" s="68">
        <v>25.66</v>
      </c>
      <c r="W146" s="68">
        <v>22.69</v>
      </c>
      <c r="X146" s="68">
        <v>20.45</v>
      </c>
    </row>
    <row r="147" spans="1:24" s="93" customFormat="1" ht="14.25" thickBot="1" x14ac:dyDescent="0.3">
      <c r="A147" s="225" t="s">
        <v>19</v>
      </c>
      <c r="B147" s="274">
        <v>12.45</v>
      </c>
      <c r="C147" s="274">
        <v>15.08</v>
      </c>
      <c r="D147" s="274">
        <v>15.37</v>
      </c>
      <c r="E147" s="274">
        <v>15.67</v>
      </c>
      <c r="F147" s="274">
        <v>14.64</v>
      </c>
      <c r="G147" s="274">
        <v>16.239999999999998</v>
      </c>
      <c r="H147" s="274">
        <v>16.7</v>
      </c>
      <c r="I147" s="274">
        <v>19.059999999999999</v>
      </c>
      <c r="J147" s="274">
        <v>17.100000000000001</v>
      </c>
      <c r="K147" s="274">
        <v>15.81</v>
      </c>
      <c r="L147" s="274">
        <v>16.68</v>
      </c>
      <c r="M147" s="274">
        <v>16.100000000000001</v>
      </c>
      <c r="N147" s="274">
        <v>15.93</v>
      </c>
      <c r="O147" s="274">
        <v>16.95</v>
      </c>
      <c r="P147" s="274">
        <v>15.27</v>
      </c>
      <c r="Q147" s="274">
        <v>15.57</v>
      </c>
      <c r="R147" s="274">
        <v>18.38</v>
      </c>
      <c r="S147" s="274">
        <v>18.39</v>
      </c>
      <c r="T147" s="274">
        <v>14.39</v>
      </c>
      <c r="U147" s="274">
        <v>12.12</v>
      </c>
      <c r="V147" s="274">
        <v>11.14</v>
      </c>
      <c r="W147" s="274">
        <v>7.6</v>
      </c>
      <c r="X147" s="274">
        <v>4.5199999999999996</v>
      </c>
    </row>
    <row r="148" spans="1:24" s="93" customFormat="1" ht="14.25" thickBot="1" x14ac:dyDescent="0.3">
      <c r="A148" s="224" t="s">
        <v>41</v>
      </c>
      <c r="B148" s="68">
        <v>13.25</v>
      </c>
      <c r="C148" s="68">
        <v>12.7</v>
      </c>
      <c r="D148" s="68">
        <v>15.48</v>
      </c>
      <c r="E148" s="68">
        <v>18.28</v>
      </c>
      <c r="F148" s="68">
        <v>17.5</v>
      </c>
      <c r="G148" s="68">
        <v>17.7</v>
      </c>
      <c r="H148" s="68">
        <v>16.149999999999999</v>
      </c>
      <c r="I148" s="68">
        <v>18.62</v>
      </c>
      <c r="J148" s="68">
        <v>15.31</v>
      </c>
      <c r="K148" s="68">
        <v>15.78</v>
      </c>
      <c r="L148" s="68">
        <v>17.2</v>
      </c>
      <c r="M148" s="68">
        <v>17.670000000000002</v>
      </c>
      <c r="N148" s="68">
        <v>14.63</v>
      </c>
      <c r="O148" s="68">
        <v>16.11</v>
      </c>
      <c r="P148" s="68">
        <v>13.95</v>
      </c>
      <c r="Q148" s="68">
        <v>15.13</v>
      </c>
      <c r="R148" s="68">
        <v>18.02</v>
      </c>
      <c r="S148" s="68">
        <v>17.489999999999998</v>
      </c>
      <c r="T148" s="68">
        <v>13.62</v>
      </c>
      <c r="U148" s="68">
        <v>11.51</v>
      </c>
      <c r="V148" s="68">
        <v>9.36</v>
      </c>
      <c r="W148" s="68">
        <v>9.11</v>
      </c>
      <c r="X148" s="68">
        <v>5.25</v>
      </c>
    </row>
    <row r="149" spans="1:24" s="93" customFormat="1" ht="14.25" thickBot="1" x14ac:dyDescent="0.3">
      <c r="A149" s="225" t="s">
        <v>13</v>
      </c>
      <c r="B149" s="73">
        <v>10.76</v>
      </c>
      <c r="C149" s="73">
        <v>9.93</v>
      </c>
      <c r="D149" s="73">
        <v>12.68</v>
      </c>
      <c r="E149" s="73">
        <v>15.86</v>
      </c>
      <c r="F149" s="73">
        <v>14.2</v>
      </c>
      <c r="G149" s="73">
        <v>13.2</v>
      </c>
      <c r="H149" s="73">
        <v>13.55</v>
      </c>
      <c r="I149" s="73">
        <v>15.18</v>
      </c>
      <c r="J149" s="73">
        <v>11.7</v>
      </c>
      <c r="K149" s="73">
        <v>10.45</v>
      </c>
      <c r="L149" s="73">
        <v>13.66</v>
      </c>
      <c r="M149" s="73">
        <v>14.16</v>
      </c>
      <c r="N149" s="73">
        <v>11.31</v>
      </c>
      <c r="O149" s="73">
        <v>10.54</v>
      </c>
      <c r="P149" s="73">
        <v>10.54</v>
      </c>
      <c r="Q149" s="73">
        <v>11.68</v>
      </c>
      <c r="R149" s="73">
        <v>13.78</v>
      </c>
      <c r="S149" s="73">
        <v>12.98</v>
      </c>
      <c r="T149" s="73">
        <v>10.29</v>
      </c>
      <c r="U149" s="73">
        <v>8.16</v>
      </c>
      <c r="V149" s="73">
        <v>6.79</v>
      </c>
      <c r="W149" s="73">
        <v>6.14</v>
      </c>
      <c r="X149" s="73">
        <v>3.74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23.54</v>
      </c>
      <c r="C152" s="68">
        <v>26.55</v>
      </c>
      <c r="D152" s="68">
        <v>27.83</v>
      </c>
      <c r="E152" s="68">
        <v>30.46</v>
      </c>
      <c r="F152" s="68">
        <v>30.91</v>
      </c>
    </row>
    <row r="153" spans="1:24" s="93" customFormat="1" ht="14.25" thickBot="1" x14ac:dyDescent="0.3">
      <c r="A153" s="225" t="s">
        <v>19</v>
      </c>
      <c r="B153" s="274">
        <v>14.68</v>
      </c>
      <c r="C153" s="274">
        <v>16.690000000000001</v>
      </c>
      <c r="D153" s="274">
        <v>16.420000000000002</v>
      </c>
      <c r="E153" s="274">
        <v>15.95</v>
      </c>
      <c r="F153" s="274">
        <v>15.91</v>
      </c>
    </row>
    <row r="154" spans="1:24" s="93" customFormat="1" ht="14.25" thickBot="1" x14ac:dyDescent="0.3">
      <c r="A154" s="224" t="s">
        <v>41</v>
      </c>
      <c r="B154" s="68">
        <v>14.88</v>
      </c>
      <c r="C154" s="68">
        <v>17.48</v>
      </c>
      <c r="D154" s="68">
        <v>16.489999999999998</v>
      </c>
      <c r="E154" s="68">
        <v>14.97</v>
      </c>
      <c r="F154" s="68">
        <v>15.24</v>
      </c>
    </row>
    <row r="155" spans="1:24" s="93" customFormat="1" ht="14.25" thickBot="1" x14ac:dyDescent="0.3">
      <c r="A155" s="225" t="s">
        <v>13</v>
      </c>
      <c r="B155" s="73">
        <v>12.26</v>
      </c>
      <c r="C155" s="73">
        <v>14.01</v>
      </c>
      <c r="D155" s="73">
        <v>12.49</v>
      </c>
      <c r="E155" s="73">
        <v>11</v>
      </c>
      <c r="F155" s="73">
        <v>11.37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2.54</v>
      </c>
      <c r="C158" s="68">
        <v>2.56</v>
      </c>
      <c r="D158" s="68">
        <v>3.02</v>
      </c>
      <c r="E158" s="68">
        <v>3.48</v>
      </c>
      <c r="F158" s="68">
        <v>2.87</v>
      </c>
      <c r="G158" s="68">
        <v>3</v>
      </c>
      <c r="H158" s="68">
        <v>3.05</v>
      </c>
      <c r="I158" s="68">
        <v>3.25</v>
      </c>
      <c r="J158" s="68">
        <v>2.41</v>
      </c>
      <c r="K158" s="68">
        <v>2.14</v>
      </c>
      <c r="L158" s="68">
        <v>2.89</v>
      </c>
      <c r="M158" s="68">
        <v>2.74</v>
      </c>
      <c r="N158" s="68">
        <v>2.0299999999999998</v>
      </c>
      <c r="O158" s="68">
        <v>2</v>
      </c>
      <c r="P158" s="68">
        <v>1.92</v>
      </c>
      <c r="Q158" s="68">
        <v>2.02</v>
      </c>
      <c r="R158" s="68">
        <v>2.5099999999999998</v>
      </c>
      <c r="S158" s="68">
        <v>2.4500000000000002</v>
      </c>
      <c r="T158" s="68">
        <v>1.9</v>
      </c>
      <c r="U158" s="68">
        <v>1.46</v>
      </c>
      <c r="V158" s="68">
        <v>1.25</v>
      </c>
      <c r="W158" s="68">
        <v>1.1000000000000001</v>
      </c>
      <c r="X158" s="68">
        <v>0.73</v>
      </c>
    </row>
    <row r="159" spans="1:24" s="93" customFormat="1" ht="14.25" thickBot="1" x14ac:dyDescent="0.3">
      <c r="A159" s="225" t="s">
        <v>45</v>
      </c>
      <c r="B159" s="73">
        <v>6.19</v>
      </c>
      <c r="C159" s="73">
        <v>6.34</v>
      </c>
      <c r="D159" s="73">
        <v>7.42</v>
      </c>
      <c r="E159" s="73">
        <v>8.17</v>
      </c>
      <c r="F159" s="73">
        <v>6.39</v>
      </c>
      <c r="G159" s="73">
        <v>6.65</v>
      </c>
      <c r="H159" s="73">
        <v>6.56</v>
      </c>
      <c r="I159" s="73">
        <v>6.5</v>
      </c>
      <c r="J159" s="73">
        <v>4.54</v>
      </c>
      <c r="K159" s="73">
        <v>4.3</v>
      </c>
      <c r="L159" s="73">
        <v>5.91</v>
      </c>
      <c r="M159" s="73">
        <v>5.08</v>
      </c>
      <c r="N159" s="73">
        <v>3.65</v>
      </c>
      <c r="O159" s="73">
        <v>3.75</v>
      </c>
      <c r="P159" s="73">
        <v>3.58</v>
      </c>
      <c r="Q159" s="73">
        <v>3.59</v>
      </c>
      <c r="R159" s="73">
        <v>4.41</v>
      </c>
      <c r="S159" s="73">
        <v>4.4800000000000004</v>
      </c>
      <c r="T159" s="73">
        <v>3.48</v>
      </c>
      <c r="U159" s="73">
        <v>2.58</v>
      </c>
      <c r="V159" s="73">
        <v>2.2200000000000002</v>
      </c>
      <c r="W159" s="73">
        <v>2.09</v>
      </c>
      <c r="X159" s="73">
        <v>1.3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12.26</v>
      </c>
      <c r="C162" s="68">
        <v>14.01</v>
      </c>
      <c r="D162" s="68">
        <v>12.49</v>
      </c>
      <c r="E162" s="68">
        <v>11</v>
      </c>
      <c r="F162" s="68">
        <v>11.37</v>
      </c>
    </row>
    <row r="163" spans="1:72" s="93" customFormat="1" ht="14.25" thickBot="1" x14ac:dyDescent="0.3">
      <c r="A163" s="225" t="s">
        <v>18</v>
      </c>
      <c r="B163" s="274">
        <v>0.86</v>
      </c>
      <c r="C163" s="274">
        <v>0.82</v>
      </c>
      <c r="D163" s="274">
        <v>0.76</v>
      </c>
      <c r="E163" s="274">
        <v>0.7</v>
      </c>
      <c r="F163" s="274">
        <v>0.7</v>
      </c>
    </row>
    <row r="164" spans="1:72" s="93" customFormat="1" ht="14.25" thickBot="1" x14ac:dyDescent="0.3">
      <c r="A164" s="224" t="s">
        <v>15</v>
      </c>
      <c r="B164" s="68">
        <v>2.38</v>
      </c>
      <c r="C164" s="68">
        <v>2.04</v>
      </c>
      <c r="D164" s="68">
        <v>1.92</v>
      </c>
      <c r="E164" s="68">
        <v>1.84</v>
      </c>
      <c r="F164" s="68">
        <v>1.91</v>
      </c>
    </row>
    <row r="165" spans="1:72" s="93" customFormat="1" ht="14.25" thickBot="1" x14ac:dyDescent="0.3">
      <c r="A165" s="225" t="s">
        <v>45</v>
      </c>
      <c r="B165" s="73">
        <v>27.6</v>
      </c>
      <c r="C165" s="73">
        <v>26.1</v>
      </c>
      <c r="D165" s="73">
        <v>19.190000000000001</v>
      </c>
      <c r="E165" s="73">
        <v>14.38</v>
      </c>
      <c r="F165" s="73">
        <v>14.98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32.369999999999997</v>
      </c>
      <c r="C168" s="68">
        <v>29.13</v>
      </c>
      <c r="D168" s="68">
        <v>29.22</v>
      </c>
      <c r="E168" s="68">
        <v>28.94</v>
      </c>
      <c r="F168" s="68">
        <v>32.14</v>
      </c>
      <c r="G168" s="68">
        <v>31.14</v>
      </c>
      <c r="H168" s="68">
        <v>32.26</v>
      </c>
      <c r="I168" s="68">
        <v>33.83</v>
      </c>
      <c r="J168" s="68">
        <v>37.82</v>
      </c>
      <c r="K168" s="68">
        <v>39.47</v>
      </c>
      <c r="L168" s="68">
        <v>38.96</v>
      </c>
      <c r="M168" s="68">
        <v>43.27</v>
      </c>
      <c r="N168" s="68">
        <v>45.69</v>
      </c>
      <c r="O168" s="68">
        <v>42.45</v>
      </c>
      <c r="P168" s="68">
        <v>43.48</v>
      </c>
      <c r="Q168" s="68">
        <v>43.9</v>
      </c>
      <c r="R168" s="68">
        <v>41.47</v>
      </c>
      <c r="S168" s="68">
        <v>39.65</v>
      </c>
      <c r="T168" s="68">
        <v>39.65</v>
      </c>
      <c r="U168" s="68">
        <v>39.47</v>
      </c>
      <c r="V168" s="68">
        <v>37.82</v>
      </c>
      <c r="W168" s="68">
        <v>40</v>
      </c>
      <c r="X168" s="68">
        <v>40.909999999999997</v>
      </c>
    </row>
    <row r="169" spans="1:72" s="93" customFormat="1" ht="14.25" thickBot="1" x14ac:dyDescent="0.3">
      <c r="A169" s="225" t="s">
        <v>17</v>
      </c>
      <c r="B169" s="274">
        <v>73.17</v>
      </c>
      <c r="C169" s="274">
        <v>64.290000000000006</v>
      </c>
      <c r="D169" s="274">
        <v>65.69</v>
      </c>
      <c r="E169" s="274">
        <v>75</v>
      </c>
      <c r="F169" s="274">
        <v>80.36</v>
      </c>
      <c r="G169" s="274">
        <v>65.69</v>
      </c>
      <c r="H169" s="274">
        <v>60</v>
      </c>
      <c r="I169" s="274">
        <v>64.75</v>
      </c>
      <c r="J169" s="274">
        <v>65.69</v>
      </c>
      <c r="K169" s="274">
        <v>64.290000000000006</v>
      </c>
      <c r="L169" s="274">
        <v>59.21</v>
      </c>
      <c r="M169" s="274">
        <v>67.16</v>
      </c>
      <c r="N169" s="274">
        <v>69.77</v>
      </c>
      <c r="O169" s="274">
        <v>60.4</v>
      </c>
      <c r="P169" s="274">
        <v>61.64</v>
      </c>
      <c r="Q169" s="274">
        <v>64.75</v>
      </c>
      <c r="R169" s="274">
        <v>56.6</v>
      </c>
      <c r="S169" s="274">
        <v>52.02</v>
      </c>
      <c r="T169" s="274">
        <v>53.25</v>
      </c>
      <c r="U169" s="274">
        <v>58.44</v>
      </c>
      <c r="V169" s="274">
        <v>62.07</v>
      </c>
      <c r="W169" s="274">
        <v>68.180000000000007</v>
      </c>
      <c r="X169" s="274">
        <v>70.87</v>
      </c>
    </row>
    <row r="170" spans="1:72" s="93" customFormat="1" ht="14.25" thickBot="1" x14ac:dyDescent="0.3">
      <c r="A170" s="224" t="s">
        <v>42</v>
      </c>
      <c r="B170" s="72">
        <v>105.54</v>
      </c>
      <c r="C170" s="72">
        <v>93.41</v>
      </c>
      <c r="D170" s="72">
        <v>94.91</v>
      </c>
      <c r="E170" s="72">
        <v>103.94</v>
      </c>
      <c r="F170" s="72">
        <v>112.5</v>
      </c>
      <c r="G170" s="72">
        <v>96.84</v>
      </c>
      <c r="H170" s="72">
        <v>92.26</v>
      </c>
      <c r="I170" s="72">
        <v>98.58</v>
      </c>
      <c r="J170" s="72">
        <v>103.51</v>
      </c>
      <c r="K170" s="72">
        <v>103.76</v>
      </c>
      <c r="L170" s="72">
        <v>98.17</v>
      </c>
      <c r="M170" s="72">
        <v>110.43</v>
      </c>
      <c r="N170" s="72">
        <v>115.45</v>
      </c>
      <c r="O170" s="72">
        <v>102.86</v>
      </c>
      <c r="P170" s="72">
        <v>105.12</v>
      </c>
      <c r="Q170" s="72">
        <v>108.65</v>
      </c>
      <c r="R170" s="72">
        <v>98.08</v>
      </c>
      <c r="S170" s="72">
        <v>91.67</v>
      </c>
      <c r="T170" s="72">
        <v>92.9</v>
      </c>
      <c r="U170" s="72">
        <v>97.92</v>
      </c>
      <c r="V170" s="72">
        <v>99.88</v>
      </c>
      <c r="W170" s="72">
        <v>108.18</v>
      </c>
      <c r="X170" s="72">
        <v>111.78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168.23</v>
      </c>
      <c r="C173" s="72">
        <v>154.57</v>
      </c>
      <c r="D173" s="72">
        <v>158.9</v>
      </c>
      <c r="E173" s="72">
        <v>216.43</v>
      </c>
      <c r="F173" s="72">
        <v>204.28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19.350000000000001</v>
      </c>
      <c r="C176" s="72">
        <v>19.670000000000002</v>
      </c>
      <c r="D176" s="72">
        <v>20.62</v>
      </c>
      <c r="E176" s="72">
        <v>20.260000000000002</v>
      </c>
      <c r="F176" s="72">
        <v>17.93</v>
      </c>
      <c r="G176" s="72">
        <v>18.02</v>
      </c>
      <c r="H176" s="72">
        <v>19.28</v>
      </c>
      <c r="I176" s="72">
        <v>19.16</v>
      </c>
      <c r="J176" s="72">
        <v>19.23</v>
      </c>
      <c r="K176" s="72">
        <v>19.489999999999998</v>
      </c>
      <c r="L176" s="72">
        <v>15.83</v>
      </c>
      <c r="M176" s="72">
        <v>16.62</v>
      </c>
      <c r="N176" s="72">
        <v>16.43</v>
      </c>
      <c r="O176" s="72">
        <v>17.22</v>
      </c>
      <c r="P176" s="72">
        <v>18.16</v>
      </c>
      <c r="Q176" s="72">
        <v>17.079999999999998</v>
      </c>
      <c r="R176" s="72">
        <v>15.98</v>
      </c>
      <c r="S176" s="72">
        <v>15.25</v>
      </c>
      <c r="T176" s="72">
        <v>16.02</v>
      </c>
      <c r="U176" s="72">
        <v>14.58</v>
      </c>
      <c r="V176" s="72">
        <v>13.98</v>
      </c>
      <c r="W176" s="72">
        <v>14.28</v>
      </c>
      <c r="X176" s="72">
        <v>13.21</v>
      </c>
      <c r="Y176" s="72">
        <v>13.29</v>
      </c>
      <c r="Z176" s="72">
        <v>13.68</v>
      </c>
      <c r="AA176" s="72">
        <v>13.65</v>
      </c>
      <c r="AB176" s="72">
        <v>13.78</v>
      </c>
      <c r="AC176" s="72">
        <v>15.45</v>
      </c>
      <c r="AD176" s="72">
        <v>14.8</v>
      </c>
      <c r="AE176" s="72">
        <v>14.4</v>
      </c>
      <c r="AF176" s="72">
        <v>13.94</v>
      </c>
      <c r="AG176" s="72">
        <v>13.66</v>
      </c>
      <c r="AH176" s="72">
        <v>12.95</v>
      </c>
      <c r="AI176" s="72">
        <v>13.1</v>
      </c>
      <c r="AJ176" s="72">
        <v>14.1</v>
      </c>
      <c r="AK176" s="72">
        <v>14.14</v>
      </c>
      <c r="AL176" s="72">
        <v>14.53</v>
      </c>
      <c r="AM176" s="72">
        <v>14.99</v>
      </c>
      <c r="AN176" s="72">
        <v>15.01</v>
      </c>
      <c r="AO176" s="72">
        <v>14.58</v>
      </c>
      <c r="AP176" s="72">
        <v>14.65</v>
      </c>
      <c r="AQ176" s="72">
        <v>13.91</v>
      </c>
      <c r="AR176" s="72">
        <v>13.16</v>
      </c>
      <c r="AS176" s="72">
        <v>11.63</v>
      </c>
      <c r="AT176" s="72">
        <v>11.42</v>
      </c>
      <c r="AU176" s="72">
        <v>12.51</v>
      </c>
      <c r="AV176" s="72">
        <v>13.5</v>
      </c>
      <c r="AW176" s="72">
        <v>12.51</v>
      </c>
      <c r="AX176" s="72">
        <v>11.88</v>
      </c>
      <c r="AY176" s="72">
        <v>12.89</v>
      </c>
      <c r="AZ176" s="72">
        <v>15.47</v>
      </c>
      <c r="BA176" s="72">
        <v>16.95</v>
      </c>
      <c r="BB176" s="72">
        <v>15.91</v>
      </c>
      <c r="BC176" s="72">
        <v>16.13</v>
      </c>
      <c r="BD176" s="72">
        <v>16.07</v>
      </c>
      <c r="BE176" s="72">
        <v>15.68</v>
      </c>
      <c r="BF176" s="72">
        <v>15.18</v>
      </c>
      <c r="BG176" s="72">
        <v>14.87</v>
      </c>
      <c r="BH176" s="72">
        <v>14.03</v>
      </c>
      <c r="BI176" s="72">
        <v>13.75</v>
      </c>
      <c r="BJ176" s="72">
        <v>14.3</v>
      </c>
      <c r="BK176" s="72">
        <v>14.77</v>
      </c>
      <c r="BL176" s="72">
        <v>15.81</v>
      </c>
      <c r="BM176" s="72">
        <v>15.22</v>
      </c>
      <c r="BN176" s="72">
        <v>17.739999999999998</v>
      </c>
      <c r="BO176" s="72">
        <v>18.079999999999998</v>
      </c>
      <c r="BP176" s="72">
        <v>18.760000000000002</v>
      </c>
      <c r="BQ176" s="72">
        <v>22.02</v>
      </c>
      <c r="BR176" s="72">
        <v>22.3</v>
      </c>
      <c r="BS176" s="72">
        <v>22.17</v>
      </c>
      <c r="BT176" s="72">
        <v>24.64</v>
      </c>
    </row>
  </sheetData>
  <phoneticPr fontId="3" type="noConversion"/>
  <conditionalFormatting sqref="E4">
    <cfRule type="cellIs" dxfId="6521" priority="103" operator="greaterThan">
      <formula>0.2</formula>
    </cfRule>
    <cfRule type="cellIs" dxfId="6520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6519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518" priority="97" operator="greaterThan">
      <formula>$B$19</formula>
    </cfRule>
  </conditionalFormatting>
  <conditionalFormatting sqref="D33:D34">
    <cfRule type="cellIs" dxfId="6517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6516" priority="91" operator="lessThan">
      <formula>$H$62</formula>
    </cfRule>
    <cfRule type="cellIs" dxfId="6515" priority="92" operator="greaterThan">
      <formula>$H$62</formula>
    </cfRule>
  </conditionalFormatting>
  <conditionalFormatting sqref="J62">
    <cfRule type="cellIs" dxfId="6514" priority="89" operator="lessThan">
      <formula>$K$62</formula>
    </cfRule>
    <cfRule type="cellIs" dxfId="6513" priority="90" operator="greaterThan">
      <formula>$K$62</formula>
    </cfRule>
  </conditionalFormatting>
  <conditionalFormatting sqref="M62">
    <cfRule type="cellIs" dxfId="6512" priority="87" operator="lessThan">
      <formula>$N$62</formula>
    </cfRule>
    <cfRule type="cellIs" dxfId="6511" priority="88" operator="greaterThan">
      <formula>$N$62</formula>
    </cfRule>
  </conditionalFormatting>
  <conditionalFormatting sqref="B44:E44">
    <cfRule type="cellIs" dxfId="6510" priority="85" operator="greaterThan">
      <formula>0</formula>
    </cfRule>
    <cfRule type="cellIs" dxfId="6509" priority="86" operator="lessThan">
      <formula>0</formula>
    </cfRule>
  </conditionalFormatting>
  <conditionalFormatting sqref="F72">
    <cfRule type="cellIs" dxfId="6508" priority="84" operator="lessThan">
      <formula>$E$72*90%</formula>
    </cfRule>
  </conditionalFormatting>
  <conditionalFormatting sqref="F73">
    <cfRule type="cellIs" dxfId="6507" priority="83" operator="lessThan">
      <formula>$E$73*90%</formula>
    </cfRule>
  </conditionalFormatting>
  <conditionalFormatting sqref="F74">
    <cfRule type="cellIs" dxfId="6506" priority="82" operator="lessThan">
      <formula>$E$74*90%</formula>
    </cfRule>
  </conditionalFormatting>
  <conditionalFormatting sqref="F75">
    <cfRule type="cellIs" dxfId="6505" priority="81" operator="lessThan">
      <formula>$E$75*90%</formula>
    </cfRule>
  </conditionalFormatting>
  <conditionalFormatting sqref="H44:K44">
    <cfRule type="cellIs" dxfId="6504" priority="79" operator="greaterThan">
      <formula>0</formula>
    </cfRule>
    <cfRule type="cellIs" dxfId="6503" priority="80" operator="lessThan">
      <formula>0</formula>
    </cfRule>
  </conditionalFormatting>
  <conditionalFormatting sqref="H51:K51">
    <cfRule type="cellIs" dxfId="6502" priority="77" operator="greaterThan">
      <formula>0</formula>
    </cfRule>
    <cfRule type="cellIs" dxfId="6501" priority="78" operator="lessThan">
      <formula>0</formula>
    </cfRule>
  </conditionalFormatting>
  <conditionalFormatting sqref="B51:E51">
    <cfRule type="cellIs" dxfId="6500" priority="75" operator="greaterThan">
      <formula>0</formula>
    </cfRule>
    <cfRule type="cellIs" dxfId="6499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498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497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496" priority="58" operator="lessThan">
      <formula>0</formula>
    </cfRule>
  </conditionalFormatting>
  <conditionalFormatting sqref="A25 E25 C25">
    <cfRule type="cellIs" dxfId="6495" priority="59" operator="lessThan">
      <formula>0</formula>
    </cfRule>
  </conditionalFormatting>
  <conditionalFormatting sqref="F25">
    <cfRule type="cellIs" dxfId="6494" priority="57" operator="lessThan">
      <formula>0</formula>
    </cfRule>
  </conditionalFormatting>
  <conditionalFormatting sqref="E1">
    <cfRule type="containsText" dxfId="6493" priority="56" operator="containsText" text="本季業外損益/平均=-">
      <formula>NOT(ISERROR(SEARCH("本季業外損益/平均=-",E1)))</formula>
    </cfRule>
  </conditionalFormatting>
  <conditionalFormatting sqref="M65">
    <cfRule type="cellIs" dxfId="6492" priority="55" operator="lessThan">
      <formula>$L$65*90%</formula>
    </cfRule>
  </conditionalFormatting>
  <conditionalFormatting sqref="M66">
    <cfRule type="cellIs" dxfId="6491" priority="54" operator="lessThan">
      <formula>$L$66*90%</formula>
    </cfRule>
  </conditionalFormatting>
  <conditionalFormatting sqref="M67">
    <cfRule type="cellIs" dxfId="6490" priority="53" operator="lessThan">
      <formula>$L$67*90%</formula>
    </cfRule>
  </conditionalFormatting>
  <conditionalFormatting sqref="M68">
    <cfRule type="cellIs" dxfId="6489" priority="52" operator="lessThan">
      <formula>$L$68*90%</formula>
    </cfRule>
  </conditionalFormatting>
  <conditionalFormatting sqref="B60">
    <cfRule type="cellIs" dxfId="6488" priority="51" operator="lessThan">
      <formula>0</formula>
    </cfRule>
  </conditionalFormatting>
  <conditionalFormatting sqref="B59:F59">
    <cfRule type="cellIs" dxfId="6487" priority="50" operator="lessThanOrEqual">
      <formula>0</formula>
    </cfRule>
  </conditionalFormatting>
  <conditionalFormatting sqref="D62">
    <cfRule type="cellIs" dxfId="6486" priority="48" operator="lessThan">
      <formula>$E$62</formula>
    </cfRule>
    <cfRule type="cellIs" dxfId="6485" priority="49" operator="greaterThan">
      <formula>$E$62</formula>
    </cfRule>
  </conditionalFormatting>
  <conditionalFormatting sqref="F69">
    <cfRule type="cellIs" dxfId="6484" priority="46" operator="lessThan">
      <formula>0</formula>
    </cfRule>
  </conditionalFormatting>
  <conditionalFormatting sqref="B65:E67 B69:E69 B68:D68">
    <cfRule type="cellIs" dxfId="6483" priority="47" operator="lessThan">
      <formula>0</formula>
    </cfRule>
  </conditionalFormatting>
  <conditionalFormatting sqref="E68">
    <cfRule type="cellIs" dxfId="6482" priority="45" operator="lessThan">
      <formula>0</formula>
    </cfRule>
  </conditionalFormatting>
  <conditionalFormatting sqref="F65:F68">
    <cfRule type="cellIs" dxfId="6481" priority="44" operator="lessThan">
      <formula>0</formula>
    </cfRule>
  </conditionalFormatting>
  <conditionalFormatting sqref="F65:F68">
    <cfRule type="cellIs" dxfId="6480" priority="43" operator="lessThan">
      <formula>$E$65*0.9</formula>
    </cfRule>
  </conditionalFormatting>
  <conditionalFormatting sqref="F66">
    <cfRule type="cellIs" dxfId="6479" priority="42" operator="lessThan">
      <formula>$E$66*0.9</formula>
    </cfRule>
  </conditionalFormatting>
  <conditionalFormatting sqref="F67:F68">
    <cfRule type="cellIs" dxfId="6478" priority="41" operator="lessThan">
      <formula>$E$67*0.9</formula>
    </cfRule>
  </conditionalFormatting>
  <conditionalFormatting sqref="F68">
    <cfRule type="cellIs" dxfId="6477" priority="40" operator="lessThan">
      <formula>$E$68*0.9</formula>
    </cfRule>
  </conditionalFormatting>
  <conditionalFormatting sqref="B13:F13">
    <cfRule type="cellIs" dxfId="6476" priority="29" operator="greaterThan">
      <formula>$I$16</formula>
    </cfRule>
    <cfRule type="cellIs" dxfId="6475" priority="30" operator="lessThanOrEqual">
      <formula>$I$16</formula>
    </cfRule>
  </conditionalFormatting>
  <conditionalFormatting sqref="B10:F10">
    <cfRule type="cellIs" dxfId="6474" priority="31" operator="greaterThan">
      <formula>15</formula>
    </cfRule>
    <cfRule type="cellIs" dxfId="6473" priority="38" operator="lessThan">
      <formula>$I$9</formula>
    </cfRule>
    <cfRule type="cellIs" dxfId="6472" priority="39" operator="greaterThan">
      <formula>$I$9</formula>
    </cfRule>
  </conditionalFormatting>
  <conditionalFormatting sqref="B16:F16">
    <cfRule type="cellIs" dxfId="6471" priority="36" operator="greaterThan">
      <formula>$I$16</formula>
    </cfRule>
    <cfRule type="cellIs" dxfId="6470" priority="37" operator="lessThanOrEqual">
      <formula>$I$16</formula>
    </cfRule>
  </conditionalFormatting>
  <conditionalFormatting sqref="B15:F15">
    <cfRule type="cellIs" dxfId="6469" priority="34" operator="lessThanOrEqual">
      <formula>$I$16</formula>
    </cfRule>
    <cfRule type="cellIs" dxfId="6468" priority="35" operator="greaterThan">
      <formula>$I$16</formula>
    </cfRule>
  </conditionalFormatting>
  <conditionalFormatting sqref="B14:F14">
    <cfRule type="cellIs" dxfId="6467" priority="32" operator="greaterThan">
      <formula>$I$16</formula>
    </cfRule>
    <cfRule type="cellIs" dxfId="6466" priority="33" operator="lessThanOrEqual">
      <formula>$I$16</formula>
    </cfRule>
  </conditionalFormatting>
  <conditionalFormatting sqref="K6">
    <cfRule type="containsText" dxfId="6465" priority="27" operator="containsText" text="衰退">
      <formula>NOT(ISERROR(SEARCH("衰退",K6)))</formula>
    </cfRule>
    <cfRule type="containsText" dxfId="6464" priority="28" operator="containsText" text="成長">
      <formula>NOT(ISERROR(SEARCH("成長",K6)))</formula>
    </cfRule>
  </conditionalFormatting>
  <conditionalFormatting sqref="I4:K4">
    <cfRule type="cellIs" dxfId="6463" priority="25" operator="lessThan">
      <formula>0</formula>
    </cfRule>
    <cfRule type="cellIs" dxfId="6462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461" priority="22" operator="lessThanOrEqual">
      <formula>$I$16</formula>
    </cfRule>
    <cfRule type="cellIs" dxfId="6460" priority="23" operator="greaterThan">
      <formula>$I$16</formula>
    </cfRule>
  </conditionalFormatting>
  <conditionalFormatting sqref="I6">
    <cfRule type="containsText" dxfId="6459" priority="20" operator="containsText" text="衰退">
      <formula>NOT(ISERROR(SEARCH("衰退",I6)))</formula>
    </cfRule>
    <cfRule type="containsText" dxfId="6458" priority="21" operator="containsText" text="成長">
      <formula>NOT(ISERROR(SEARCH("成長",I6)))</formula>
    </cfRule>
  </conditionalFormatting>
  <conditionalFormatting sqref="M9">
    <cfRule type="cellIs" dxfId="6457" priority="19" operator="lessThan">
      <formula>$I$9</formula>
    </cfRule>
  </conditionalFormatting>
  <conditionalFormatting sqref="M10">
    <cfRule type="cellIs" dxfId="6456" priority="18" operator="greaterThan">
      <formula>$I$9</formula>
    </cfRule>
  </conditionalFormatting>
  <conditionalFormatting sqref="M11">
    <cfRule type="cellIs" dxfId="6455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454" priority="14" operator="lessThan">
      <formula>0</formula>
    </cfRule>
    <cfRule type="cellIs" dxfId="6453" priority="15" operator="greaterThan">
      <formula>0.5</formula>
    </cfRule>
  </conditionalFormatting>
  <conditionalFormatting sqref="N14">
    <cfRule type="cellIs" dxfId="6452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451" priority="10" operator="lessThan">
      <formula>0.1</formula>
    </cfRule>
  </conditionalFormatting>
  <conditionalFormatting sqref="I14">
    <cfRule type="cellIs" dxfId="6450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449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448" priority="1" operator="lessThan">
      <formula>$N$5*0.9</formula>
    </cfRule>
    <cfRule type="cellIs" dxfId="6447" priority="2" operator="greaterThan">
      <formula>$N$5*1.1</formula>
    </cfRule>
  </conditionalFormatting>
  <hyperlinks>
    <hyperlink ref="L1" location="儀表板!A1" display="(回首頁)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0.07 ~ 15.67</v>
      </c>
      <c r="L1" s="83" t="s">
        <v>176</v>
      </c>
      <c r="M1" s="84" t="str">
        <f ca="1">VLOOKUP(_xlfn.NUMBERVALUE(N1),儀表板!A:B,2,FALSE)</f>
        <v>建大</v>
      </c>
      <c r="N1" s="85" t="str">
        <f ca="1">MID(CELL("filename",L1),FIND("]",CELL("filename",L1))+1,255)</f>
        <v>2106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0.18617672330419657</v>
      </c>
    </row>
    <row r="3" spans="1:15" s="93" customFormat="1" x14ac:dyDescent="0.25">
      <c r="A3" s="81" t="s">
        <v>179</v>
      </c>
      <c r="B3" s="94">
        <f>SUM(F19:F22,F24:F27,J19)</f>
        <v>80.091531809926806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13.404897065674971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13.987285835331107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14.918112330422534</v>
      </c>
      <c r="L3" s="100"/>
      <c r="M3" s="79" t="s">
        <v>385</v>
      </c>
      <c r="N3" s="92">
        <f>(F69-E69)/E69</f>
        <v>-0.73217044556907696</v>
      </c>
    </row>
    <row r="4" spans="1:15" s="93" customFormat="1" x14ac:dyDescent="0.25">
      <c r="A4" s="81" t="s">
        <v>182</v>
      </c>
      <c r="B4" s="96">
        <f>SUM(G36:G40)*2</f>
        <v>74</v>
      </c>
      <c r="C4" s="101"/>
      <c r="D4" s="102">
        <f>F4*(1+F141/10)</f>
        <v>87.4</v>
      </c>
      <c r="E4" s="82">
        <f>(D4-F4)/F4</f>
        <v>0</v>
      </c>
      <c r="F4" s="103">
        <v>87.4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0.9561515093183951</v>
      </c>
    </row>
    <row r="5" spans="1:15" s="93" customFormat="1" x14ac:dyDescent="0.25">
      <c r="A5" s="81" t="s">
        <v>184</v>
      </c>
      <c r="B5" s="107">
        <f>SUM(F30:F34)*2</f>
        <v>96.969406118776249</v>
      </c>
      <c r="C5" s="87"/>
      <c r="D5" s="87"/>
      <c r="E5" s="87"/>
      <c r="F5" s="86"/>
      <c r="G5" s="88"/>
      <c r="M5" s="79" t="s">
        <v>386</v>
      </c>
      <c r="N5" s="152">
        <f>D62</f>
        <v>1.35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有0.6年成長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1.1585073282189455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28.17</v>
      </c>
      <c r="N9" s="129"/>
    </row>
    <row r="10" spans="1:15" s="93" customFormat="1" x14ac:dyDescent="0.25">
      <c r="A10" s="123" t="s">
        <v>194</v>
      </c>
      <c r="B10" s="126">
        <f>PERCENTILE(176:176,B9)</f>
        <v>12.27</v>
      </c>
      <c r="C10" s="126">
        <f>PERCENTILE(176:176,C9)</f>
        <v>13.465</v>
      </c>
      <c r="D10" s="126">
        <f>PERCENTILE(176:176,D9)</f>
        <v>14.05</v>
      </c>
      <c r="E10" s="126">
        <f>PERCENTILE(176:176,E9)</f>
        <v>14.984999999999999</v>
      </c>
      <c r="F10" s="126">
        <f>PERCENTILE(176:176,F9)</f>
        <v>15.93</v>
      </c>
      <c r="G10" s="95"/>
      <c r="H10" s="135"/>
      <c r="I10" s="135"/>
      <c r="J10" s="135"/>
      <c r="K10" s="135"/>
      <c r="L10" s="136" t="s">
        <v>374</v>
      </c>
      <c r="M10" s="130">
        <f>MIN(176:176)</f>
        <v>7.19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22.14</v>
      </c>
      <c r="L11" s="272" t="s">
        <v>193</v>
      </c>
      <c r="M11" s="128">
        <f>STDEV(176:176)</f>
        <v>3.145190867588378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28.886554621848742</v>
      </c>
      <c r="C13" s="141">
        <f>$B$34/5.88%</f>
        <v>35.076530612244902</v>
      </c>
      <c r="D13" s="141">
        <f>$B$34/5%</f>
        <v>41.25</v>
      </c>
      <c r="E13" s="141">
        <f>$B$34/4.35%</f>
        <v>47.413793103448278</v>
      </c>
      <c r="F13" s="141">
        <f>$B$34/3.85%</f>
        <v>53.571428571428569</v>
      </c>
      <c r="G13" s="138" t="str">
        <f>"$"&amp;ROUND(B34,2)&amp;"/"&amp;IF(STDEV(C140:F140)/AVERAGE(C140:F140)&lt;15%,"高",IF(STDEV(C140:F140)/AVERAGE(C140:F140)&lt;30%,"中","低"))</f>
        <v>$2.06/高</v>
      </c>
      <c r="H13" s="142" t="s">
        <v>199</v>
      </c>
      <c r="I13" s="143">
        <f>MAX(0,1-J15)</f>
        <v>0.43977591036414565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51.135225000000005</v>
      </c>
      <c r="C14" s="141">
        <f>$B$33*C10</f>
        <v>56.115387500000004</v>
      </c>
      <c r="D14" s="141">
        <f>$B$33*D10</f>
        <v>58.55337500000001</v>
      </c>
      <c r="E14" s="141">
        <f>$B$33*E10</f>
        <v>62.449987500000006</v>
      </c>
      <c r="F14" s="141">
        <f>$B$33*F10</f>
        <v>66.388275000000007</v>
      </c>
      <c r="G14" s="138" t="str">
        <f>"$"&amp;ROUND(B33,2)&amp;"/"&amp;IF(STDEV(B69:E69)/AVERAGE(B69:E69)&lt;15%,"高",IF(STDEV(B69:E69)/AVERAGE(B69:E69)&lt;30%,"中","低"))</f>
        <v>$4.17/高</v>
      </c>
      <c r="H14" s="142" t="s">
        <v>203</v>
      </c>
      <c r="I14" s="145">
        <f>G62/100*I13</f>
        <v>2.4935294117647059E-2</v>
      </c>
      <c r="J14" s="76" t="s">
        <v>204</v>
      </c>
      <c r="K14" s="146"/>
      <c r="L14" s="147">
        <f>(HLOOKUP($C$1,$105:$106,2,FALSE)-HLOOKUP($C$1,$117:$127,9,FALSE))/(HLOOKUP($C$1,$117:$128,12,FALSE)/K11)</f>
        <v>-3.5568786205881175</v>
      </c>
      <c r="M14" s="148">
        <f>E135/E69</f>
        <v>0.76470588235294124</v>
      </c>
      <c r="N14" s="149">
        <f>F173/100</f>
        <v>1.4472</v>
      </c>
    </row>
    <row r="15" spans="1:15" s="93" customFormat="1" x14ac:dyDescent="0.25">
      <c r="A15" s="140" t="s">
        <v>375</v>
      </c>
      <c r="B15" s="141">
        <f>$D$62*B10</f>
        <v>16.564499999999999</v>
      </c>
      <c r="C15" s="141">
        <f>$D$62*C10</f>
        <v>18.17775</v>
      </c>
      <c r="D15" s="141">
        <f>$D$62*D10</f>
        <v>18.967500000000001</v>
      </c>
      <c r="E15" s="141">
        <f>$D$62*E10</f>
        <v>20.229749999999999</v>
      </c>
      <c r="F15" s="141">
        <f>$D$62*F10</f>
        <v>21.505500000000001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0.56022408963585435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11.731979019336707</v>
      </c>
      <c r="C16" s="141">
        <f>$F$69*C10</f>
        <v>12.87458007297219</v>
      </c>
      <c r="D16" s="141">
        <f>$F$69*D10</f>
        <v>13.433928705923451</v>
      </c>
      <c r="E16" s="141">
        <f>$F$69*E10</f>
        <v>14.327930367136149</v>
      </c>
      <c r="F16" s="141">
        <f>$F$69*F10</f>
        <v>15.231493543442033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867</v>
      </c>
      <c r="J17" s="92">
        <f ca="1">IF(I17&lt;=0,"",IF(I17&lt;=MIN($B$13:$F$16),(I17-MIN($B$13:$F$16))/MIN($B$13:$F$16),IF(I17&gt;=MAX($B$13:$F$16),I17/MAX($B$13:$F$16),PERCENTRANK($B$13:$F$16,I17))))</f>
        <v>13.059534985658233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1.9049999999999998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14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0.92363636363636359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0.46531385044920615</v>
      </c>
      <c r="J20" s="171">
        <f>HLOOKUP($C$1,$117:$127,11,FALSE)/HLOOKUP($C$1,$105:$115,11,FALSE)</f>
        <v>0.5180067779003249</v>
      </c>
      <c r="K20" s="163"/>
    </row>
    <row r="21" spans="1:14" s="93" customFormat="1" x14ac:dyDescent="0.25">
      <c r="A21" s="151" t="s">
        <v>201</v>
      </c>
      <c r="B21" s="161">
        <f>AVERAGE(C173:F173)/100</f>
        <v>1.3846000000000001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3.8166154419575022</v>
      </c>
      <c r="J21" s="78"/>
      <c r="K21" s="164" t="s">
        <v>356</v>
      </c>
      <c r="L21" s="165">
        <f>HLOOKUP($C$1,$105:$115,7,FALSE)/HLOOKUP($C$1,$105:$115,11,FALSE)</f>
        <v>0.6384350846291359</v>
      </c>
      <c r="M21" s="123" t="s">
        <v>268</v>
      </c>
      <c r="N21" s="165">
        <f>HLOOKUP($C$1,$117:$127,8,FALSE)/HLOOKUP($C$1,$117:$127,11,FALSE)</f>
        <v>0.32292591574264029</v>
      </c>
    </row>
    <row r="22" spans="1:14" s="93" customFormat="1" x14ac:dyDescent="0.25">
      <c r="A22" s="140" t="s">
        <v>222</v>
      </c>
      <c r="B22" s="161">
        <f>(-1)*SUM(C133:F133)/SUM(C132:F132)</f>
        <v>0.66283694211224042</v>
      </c>
      <c r="C22" s="157"/>
      <c r="D22" s="166"/>
      <c r="E22" s="140"/>
      <c r="F22" s="159">
        <f>IF(B22&lt;=0,10,IF(B22&gt;=100%,0,(1-B22)*10))</f>
        <v>3.3716305788775958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2.8758389261744965</v>
      </c>
      <c r="J22" s="78"/>
      <c r="K22" s="142" t="s">
        <v>357</v>
      </c>
      <c r="L22" s="165">
        <f>HLOOKUP($C$1,$105:$115,4,FALSE)/HLOOKUP($C$1,$105:$115,11,FALSE)</f>
        <v>9.0883448923163912E-2</v>
      </c>
      <c r="M22" s="123" t="s">
        <v>353</v>
      </c>
      <c r="N22" s="165">
        <f>HLOOKUP($C$1,$117:$127,4,FALSE)/HLOOKUP($C$1,$117:$127,11,FALSE)</f>
        <v>0.10172246715516528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2.0747179714348811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0.1573710381895255</v>
      </c>
      <c r="M23" s="123" t="s">
        <v>354</v>
      </c>
      <c r="N23" s="165">
        <f>IF(HLOOKUP($C$1,$117:$127,5,FALSE)="無",0,HLOOKUP($C$1,$117:$127,5,FALSE))/HLOOKUP($C$1,$117:$127,11,FALSE)</f>
        <v>1.1409746643414594E-2</v>
      </c>
    </row>
    <row r="24" spans="1:14" s="93" customFormat="1" x14ac:dyDescent="0.25">
      <c r="A24" s="164" t="s">
        <v>228</v>
      </c>
      <c r="B24" s="127">
        <f>AVERAGE(C103:F103)</f>
        <v>0.99040551773023444</v>
      </c>
      <c r="C24" s="169">
        <f>STDEV(C103:F103)</f>
        <v>1.9189156830491605E-2</v>
      </c>
      <c r="D24" s="76" t="str">
        <f>IF(C24/B24&lt;15%,"高",IF(C24/B24&lt;30%,"中","低"))</f>
        <v>高</v>
      </c>
      <c r="E24" s="149"/>
      <c r="F24" s="160">
        <f>MIN(100%,B24)*5</f>
        <v>4.9520275886511724</v>
      </c>
      <c r="G24" s="88" t="s">
        <v>229</v>
      </c>
      <c r="H24" s="123" t="s">
        <v>16</v>
      </c>
      <c r="I24" s="170">
        <f>HLOOKUP(C1,167:170,2,FALSE)</f>
        <v>45.69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8.0619166585431959E-2</v>
      </c>
      <c r="M24" s="123" t="s">
        <v>355</v>
      </c>
      <c r="N24" s="165">
        <f>HLOOKUP($C$1,$117:$127,9,FALSE)/HLOOKUP($C$1,$117:$127,11,FALSE)</f>
        <v>0.67707408425735971</v>
      </c>
    </row>
    <row r="25" spans="1:14" s="93" customFormat="1" x14ac:dyDescent="0.25">
      <c r="A25" s="151" t="s">
        <v>366</v>
      </c>
      <c r="B25" s="255">
        <f>AVERAGE(94:94)</f>
        <v>44840.130434782608</v>
      </c>
      <c r="C25" s="254">
        <f>STDEV(94:94)/AVERAGE(94:94)</f>
        <v>3.2321263576019548</v>
      </c>
      <c r="D25" s="76" t="str">
        <f>IF(C25&lt;=1,"高",IF(C25&lt;=2,"中","低"))</f>
        <v>低</v>
      </c>
      <c r="E25" s="149"/>
      <c r="F25" s="160">
        <f>MAX(0,10-ABS(C25))</f>
        <v>6.7678736423980457</v>
      </c>
      <c r="G25" s="88" t="s">
        <v>213</v>
      </c>
      <c r="H25" s="123" t="s">
        <v>232</v>
      </c>
      <c r="I25" s="170">
        <f>IF(HLOOKUP(C1,167:170,3,FALSE)="無",0,HLOOKUP(C1,167:170,3,FALSE))</f>
        <v>94.74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45.497391304347829</v>
      </c>
      <c r="C26" s="172">
        <f>IF(COUNTIF(168:168,"&gt;0")=0,0,STDEV(168:168))</f>
        <v>2.6645760662154538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86.665217391304353</v>
      </c>
      <c r="C27" s="172">
        <f>IF(COUNTIF(169:169,"&gt;0")=0,0,STDEV(169:169))</f>
        <v>9.5608467053561217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0.26472499999999999</v>
      </c>
      <c r="C30" s="157" t="s">
        <v>217</v>
      </c>
      <c r="D30" s="174">
        <f>COUNTIF(146:146,"&gt;20")/COUNT(146:146)</f>
        <v>0.91304347826086951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0.10755000000000001</v>
      </c>
      <c r="C31" s="157" t="s">
        <v>217</v>
      </c>
      <c r="D31" s="174">
        <f>COUNTIF(149:149,"&gt;8")/COUNT(149:149)</f>
        <v>0.73913043478260865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18.0825</v>
      </c>
      <c r="C32" s="157" t="s">
        <v>217</v>
      </c>
      <c r="D32" s="174">
        <f>COUNTIF(159:159,"&gt;3")/COUNT(159:159)</f>
        <v>0.78260869565217395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4.1675000000000004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2.0625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8.4847030593881225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31619169.75</v>
      </c>
      <c r="C36" s="178">
        <f>STDEV(C97:F97)</f>
        <v>1648540.7287926646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26.4725</v>
      </c>
      <c r="C37" s="180">
        <f>STDEV(C152:F152)</f>
        <v>1.119058383940116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12.305</v>
      </c>
      <c r="C38" s="180">
        <f>STDEV(C153:F153)</f>
        <v>0.79357839352307669</v>
      </c>
      <c r="D38" s="76" t="str">
        <f>IF(C38/B38&lt;15%,"高",IF(C38/B38&lt;30%,"中","低"))</f>
        <v>高</v>
      </c>
      <c r="E38" s="107">
        <f>IF(F153&gt;E153,1,0)+IF(E153&gt;D153,1,0)+IF(D153&gt;C153,1,0)</f>
        <v>0</v>
      </c>
      <c r="F38" s="179"/>
      <c r="G38" s="160">
        <f>IF(D38="高",6,IF(D38="中",4,2))+E38+1</f>
        <v>7</v>
      </c>
    </row>
    <row r="39" spans="1:14" x14ac:dyDescent="0.25">
      <c r="A39" s="142" t="s">
        <v>46</v>
      </c>
      <c r="B39" s="181">
        <f>AVERAGE(C165:F165)</f>
        <v>18.0825</v>
      </c>
      <c r="C39" s="181">
        <f>STDEV(C165:F165)</f>
        <v>3.2649387436826487</v>
      </c>
      <c r="D39" s="76" t="str">
        <f>IF(C39/B39&lt;15%,"高",IF(C39/B39&lt;30%,"中","低"))</f>
        <v>中</v>
      </c>
      <c r="E39" s="107">
        <f>IF(F165&gt;E165,1,0)+IF(E165&gt;D165,1,0)+IF(D165&gt;C165,1,0)</f>
        <v>0</v>
      </c>
      <c r="F39" s="182"/>
      <c r="G39" s="160">
        <f>IF(D39="高",6,IF(D39="中",4,2))+E39+1</f>
        <v>5</v>
      </c>
    </row>
    <row r="40" spans="1:14" x14ac:dyDescent="0.25">
      <c r="A40" s="164" t="s">
        <v>14</v>
      </c>
      <c r="B40" s="183">
        <f>AVERAGE(B69:E69)</f>
        <v>4.1675000000000004</v>
      </c>
      <c r="C40" s="183">
        <f>STDEV(B69:E69)</f>
        <v>0.45404662022014164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-0.82352941176470584</v>
      </c>
      <c r="C44" s="186">
        <f>(C46-C49)/C49</f>
        <v>-0.99009900990099009</v>
      </c>
      <c r="D44" s="186">
        <f>(D46-D49)/D49</f>
        <v>-0.69333333333333336</v>
      </c>
      <c r="E44" s="186">
        <f>(E46-E49)/E49</f>
        <v>5.4945054945054868E-2</v>
      </c>
      <c r="G44" s="86" t="s">
        <v>175</v>
      </c>
      <c r="H44" s="186">
        <f>(H47-H50)/H50</f>
        <v>-0.63134851138353765</v>
      </c>
      <c r="I44" s="186">
        <f>(I47-I50)/I50</f>
        <v>-0.74691358024691368</v>
      </c>
      <c r="J44" s="186">
        <f>(J47-J50)/J50</f>
        <v>-0.48927038626609443</v>
      </c>
      <c r="K44" s="186">
        <f>(K47-K50)/K50</f>
        <v>-0.18485915492957739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0.15</v>
      </c>
      <c r="C46" s="152">
        <f>HLOOKUP(C45,$81:$82,2,FALSE)</f>
        <v>0.01</v>
      </c>
      <c r="D46" s="152">
        <f>HLOOKUP(D45,$81:$82,2,FALSE)</f>
        <v>0.23</v>
      </c>
      <c r="E46" s="152">
        <f>HLOOKUP(E45,$81:$82,2,FALSE)</f>
        <v>0.96</v>
      </c>
      <c r="G46" s="86" t="s">
        <v>164</v>
      </c>
      <c r="H46" s="145">
        <f>HLOOKUP(H45,$145:$147,2,FALSE)/100</f>
        <v>0.20250000000000001</v>
      </c>
      <c r="I46" s="145">
        <f>HLOOKUP(I45,$145:$147,2,FALSE)/100</f>
        <v>0.18739999999999998</v>
      </c>
      <c r="J46" s="145">
        <f>HLOOKUP(J45,$145:$147,2,FALSE)/100</f>
        <v>0.21340000000000001</v>
      </c>
      <c r="K46" s="145">
        <f>HLOOKUP(K45,$145:$147,2,FALSE)/100</f>
        <v>0.24410000000000001</v>
      </c>
    </row>
    <row r="47" spans="1:14" x14ac:dyDescent="0.25">
      <c r="A47" s="188" t="s">
        <v>165</v>
      </c>
      <c r="B47" s="189">
        <f>HLOOKUP(B45,$157:$159,3,FALSE)</f>
        <v>0.68</v>
      </c>
      <c r="C47" s="189">
        <f>HLOOKUP(C45,$157:$159,3,FALSE)</f>
        <v>0.03</v>
      </c>
      <c r="D47" s="189">
        <f>HLOOKUP(D45,$157:$159,3,FALSE)</f>
        <v>0.97</v>
      </c>
      <c r="E47" s="189">
        <f>HLOOKUP(E45,$157:$159,3,FALSE)</f>
        <v>3.99</v>
      </c>
      <c r="G47" s="190" t="s">
        <v>166</v>
      </c>
      <c r="H47" s="145">
        <f>HLOOKUP(H45,$145:$147,3,FALSE)/100</f>
        <v>4.2099999999999999E-2</v>
      </c>
      <c r="I47" s="145">
        <f>HLOOKUP(I45,$145:$147,3,FALSE)/100</f>
        <v>3.2799999999999996E-2</v>
      </c>
      <c r="J47" s="145">
        <f>HLOOKUP(J45,$145:$147,3,FALSE)/100</f>
        <v>5.9500000000000004E-2</v>
      </c>
      <c r="K47" s="145">
        <f>HLOOKUP(K45,$145:$147,3,FALSE)/100</f>
        <v>9.2600000000000002E-2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0.85</v>
      </c>
      <c r="C49" s="152">
        <f>HLOOKUP(C48,$81:$82,2,FALSE)</f>
        <v>1.01</v>
      </c>
      <c r="D49" s="152">
        <f>HLOOKUP(D48,$81:$82,2,FALSE)</f>
        <v>0.75</v>
      </c>
      <c r="E49" s="152">
        <f>HLOOKUP(E48,$81:$82,2,FALSE)</f>
        <v>0.91</v>
      </c>
      <c r="G49" s="86" t="s">
        <v>164</v>
      </c>
      <c r="H49" s="145">
        <f>HLOOKUP(H48,$145:$147,2,FALSE)/100</f>
        <v>0.27250000000000002</v>
      </c>
      <c r="I49" s="145">
        <f>HLOOKUP(I48,$145:$147,2,FALSE)/100</f>
        <v>0.28660000000000002</v>
      </c>
      <c r="J49" s="145">
        <f>HLOOKUP(J48,$145:$147,2,FALSE)/100</f>
        <v>0.2762</v>
      </c>
      <c r="K49" s="145">
        <f>HLOOKUP(K48,$145:$147,2,FALSE)/100</f>
        <v>0.29699999999999999</v>
      </c>
    </row>
    <row r="50" spans="1:15" x14ac:dyDescent="0.25">
      <c r="A50" s="188" t="s">
        <v>165</v>
      </c>
      <c r="B50" s="189">
        <f>HLOOKUP(B48,$157:$159,3,FALSE)</f>
        <v>3.61</v>
      </c>
      <c r="C50" s="189">
        <f>HLOOKUP(C48,$157:$159,3,FALSE)</f>
        <v>4.0599999999999996</v>
      </c>
      <c r="D50" s="189">
        <f>HLOOKUP(D48,$157:$159,3,FALSE)</f>
        <v>2.93</v>
      </c>
      <c r="E50" s="189">
        <f>HLOOKUP(E48,$157:$159,3,FALSE)</f>
        <v>3.65</v>
      </c>
      <c r="G50" s="190" t="s">
        <v>166</v>
      </c>
      <c r="H50" s="145">
        <f>HLOOKUP(H48,$145:$147,3,FALSE)/100</f>
        <v>0.1142</v>
      </c>
      <c r="I50" s="145">
        <f>HLOOKUP(I48,$145:$147,3,FALSE)/100</f>
        <v>0.12960000000000002</v>
      </c>
      <c r="J50" s="145">
        <f>HLOOKUP(J48,$145:$147,3,FALSE)/100</f>
        <v>0.11650000000000001</v>
      </c>
      <c r="K50" s="145">
        <f>HLOOKUP(K48,$145:$147,3,FALSE)/100</f>
        <v>0.11359999999999999</v>
      </c>
    </row>
    <row r="51" spans="1:15" x14ac:dyDescent="0.25">
      <c r="A51" s="86" t="s">
        <v>351</v>
      </c>
      <c r="B51" s="186">
        <f>(B47-B50)/B50</f>
        <v>-0.81163434903047083</v>
      </c>
      <c r="C51" s="186">
        <f>(C47-C50)/C50</f>
        <v>-0.9926108374384236</v>
      </c>
      <c r="D51" s="186">
        <f>(D47-D50)/D50</f>
        <v>-0.66894197952218437</v>
      </c>
      <c r="E51" s="186">
        <f>(E47-E50)/E50</f>
        <v>9.3150684931506939E-2</v>
      </c>
      <c r="G51" s="235" t="s">
        <v>174</v>
      </c>
      <c r="H51" s="186">
        <f>(H46-H49)/H49</f>
        <v>-0.25688073394495414</v>
      </c>
      <c r="I51" s="186">
        <f>(I46-I49)/I49</f>
        <v>-0.34612700628053045</v>
      </c>
      <c r="J51" s="186">
        <f>(J46-J49)/J49</f>
        <v>-0.22737146994931207</v>
      </c>
      <c r="K51" s="186">
        <f>(K46-K49)/K49</f>
        <v>-0.17811447811447803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1.1585073282189455</v>
      </c>
      <c r="B53" s="193">
        <f>B46</f>
        <v>0.15</v>
      </c>
      <c r="C53" s="193">
        <f>E46/HLOOKUP(E45,$87:$94,5,FALSE)*HLOOKUP(E45,$87:$94,4,FALSE)*($B$25/HLOOKUP(E45,$87:$94,4,FALSE)+SUM($B$57:$D$57)/SUM($B58:$D$58)*$G$69/100/K46)</f>
        <v>0.56615150931839509</v>
      </c>
      <c r="D53" s="193">
        <f>D46/HLOOKUP(D45,$87:$94,5,FALSE)*HLOOKUP(D45,$87:$94,4,FALSE)*($B$25/HLOOKUP(D45,$87:$94,4,FALSE)+SUM($B$57:$D$57)/SUM($B58:$D$58)*$G$69/100/J46)</f>
        <v>0.42322017540378659</v>
      </c>
      <c r="E53" s="193">
        <f>C46/HLOOKUP(C45,$87:$94,5,FALSE)*HLOOKUP(C45,$87:$94,4,FALSE)*($B$25/HLOOKUP(C45,$87:$94,4,FALSE)+SUM($B$57:$D$57)/SUM($B58:$D$58)*$G$69/100/I46)</f>
        <v>1.9135643496763815E-2</v>
      </c>
    </row>
    <row r="54" spans="1:15" x14ac:dyDescent="0.25">
      <c r="A54" s="278">
        <f>SUM(B54:E54)</f>
        <v>2.0499999999999998</v>
      </c>
      <c r="B54" s="277">
        <f t="shared" ref="B54:D54" si="0">HLOOKUP(B52-10,81:82,2,FALSE)</f>
        <v>0.85</v>
      </c>
      <c r="C54" s="277">
        <f t="shared" si="0"/>
        <v>0.96</v>
      </c>
      <c r="D54" s="277">
        <f t="shared" si="0"/>
        <v>0.23</v>
      </c>
      <c r="E54" s="277">
        <f>HLOOKUP(E52-10,81:82,2,FALSE)</f>
        <v>0.01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2725460</v>
      </c>
      <c r="C57" s="196">
        <f>HLOOKUP(C56,78:79,2,FALSE)</f>
        <v>2449056</v>
      </c>
      <c r="D57" s="196">
        <f>HLOOKUP(D56,78:79,2,FALSE)</f>
        <v>2538122</v>
      </c>
      <c r="E57" s="196">
        <f>HLOOKUP(E56,78:79,2,FALSE)</f>
        <v>2514407</v>
      </c>
      <c r="F57" s="196">
        <f>HLOOKUP(F56,78:79,2,FALSE)</f>
        <v>2575698</v>
      </c>
      <c r="G57" s="196">
        <f t="shared" ref="G57:M57" si="2">HLOOKUP(G56,78:79,2,FALSE)</f>
        <v>2556477</v>
      </c>
      <c r="H57" s="196">
        <f t="shared" si="2"/>
        <v>2668505</v>
      </c>
      <c r="I57" s="196">
        <f t="shared" si="2"/>
        <v>2967608</v>
      </c>
      <c r="J57" s="196">
        <f t="shared" si="2"/>
        <v>2050942</v>
      </c>
      <c r="K57" s="196">
        <f t="shared" si="2"/>
        <v>2286534</v>
      </c>
      <c r="L57" s="196">
        <f t="shared" si="2"/>
        <v>2536466</v>
      </c>
      <c r="M57" s="196">
        <f t="shared" si="2"/>
        <v>2421044</v>
      </c>
      <c r="N57" s="197"/>
    </row>
    <row r="58" spans="1:15" x14ac:dyDescent="0.25">
      <c r="A58" s="198" t="s">
        <v>253</v>
      </c>
      <c r="B58" s="196">
        <f>HLOOKUP(B56-100,78:79,2,FALSE)</f>
        <v>2326534</v>
      </c>
      <c r="C58" s="196">
        <f>HLOOKUP(C56-100,78:79,2,FALSE)</f>
        <v>2368850</v>
      </c>
      <c r="D58" s="196">
        <f>HLOOKUP(D56-100,78:79,2,FALSE)</f>
        <v>2380243</v>
      </c>
      <c r="E58" s="196">
        <f>HLOOKUP(E56-100,78:79,2,FALSE)</f>
        <v>2415979</v>
      </c>
      <c r="F58" s="196">
        <f>HLOOKUP(F56-100,78:79,2,FALSE)</f>
        <v>2530499</v>
      </c>
      <c r="G58" s="196">
        <f t="shared" ref="G58:M58" si="3">HLOOKUP(G56-100,78:79,2,FALSE)</f>
        <v>2659085</v>
      </c>
      <c r="H58" s="196">
        <f t="shared" si="3"/>
        <v>2755398</v>
      </c>
      <c r="I58" s="196">
        <f t="shared" si="3"/>
        <v>2777763</v>
      </c>
      <c r="J58" s="196">
        <f t="shared" si="3"/>
        <v>1953649</v>
      </c>
      <c r="K58" s="196">
        <f t="shared" si="3"/>
        <v>2460748</v>
      </c>
      <c r="L58" s="196">
        <f t="shared" si="3"/>
        <v>2362948</v>
      </c>
      <c r="M58" s="196">
        <f t="shared" si="3"/>
        <v>2322936</v>
      </c>
      <c r="N58" s="197"/>
    </row>
    <row r="59" spans="1:15" x14ac:dyDescent="0.25">
      <c r="A59" s="199" t="s">
        <v>254</v>
      </c>
      <c r="B59" s="165">
        <f>IF(B57&lt;&gt;"",(B57-B58)/B58,"")</f>
        <v>0.17146794330106502</v>
      </c>
      <c r="C59" s="165">
        <f>IF(C57&lt;&gt;"",(C57-C58)/C58,"")</f>
        <v>3.3858623382654031E-2</v>
      </c>
      <c r="D59" s="165">
        <f>IF(D57&lt;&gt;"",(D57-D58)/D58,"")</f>
        <v>6.6328942044992886E-2</v>
      </c>
      <c r="E59" s="165">
        <f>IF(E57&lt;&gt;"",(E57-E58)/E58,"")</f>
        <v>4.0740420343057616E-2</v>
      </c>
      <c r="F59" s="165">
        <f>IF(F57&lt;&gt;"",(F57-F58)/F58,"")</f>
        <v>1.786169447211795E-2</v>
      </c>
      <c r="G59" s="165">
        <f t="shared" ref="G59:M59" si="4">IF(G57&lt;&gt;"",(G57-G58)/G58,"")</f>
        <v>-3.8587709682089889E-2</v>
      </c>
      <c r="H59" s="165">
        <f t="shared" si="4"/>
        <v>-3.153555312154542E-2</v>
      </c>
      <c r="I59" s="165">
        <f t="shared" si="4"/>
        <v>6.834456359307832E-2</v>
      </c>
      <c r="J59" s="165">
        <f t="shared" si="4"/>
        <v>4.9800655081849401E-2</v>
      </c>
      <c r="K59" s="165">
        <f t="shared" si="4"/>
        <v>-7.0797172241936185E-2</v>
      </c>
      <c r="L59" s="165">
        <f t="shared" si="4"/>
        <v>7.3432847443109198E-2</v>
      </c>
      <c r="M59" s="165">
        <f t="shared" si="4"/>
        <v>4.2234482568611446E-2</v>
      </c>
    </row>
    <row r="60" spans="1:15" x14ac:dyDescent="0.25">
      <c r="A60" s="195" t="s">
        <v>255</v>
      </c>
      <c r="B60" s="196">
        <f>SUM(B57:M57)</f>
        <v>30290319</v>
      </c>
    </row>
    <row r="61" spans="1:15" x14ac:dyDescent="0.25">
      <c r="A61" s="198" t="s">
        <v>256</v>
      </c>
      <c r="B61" s="196">
        <f>SUM(B58:M58)</f>
        <v>29314632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1.0332832764197757</v>
      </c>
      <c r="D62" s="152">
        <f>SUM(B46:E46)</f>
        <v>1.35</v>
      </c>
      <c r="E62" s="152">
        <f>SUM(B49:E49)</f>
        <v>3.52</v>
      </c>
      <c r="G62" s="126">
        <f>SUM(B47:E47)</f>
        <v>5.67</v>
      </c>
      <c r="H62" s="126">
        <f>SUM(B50:E50)</f>
        <v>14.25</v>
      </c>
      <c r="J62" s="200">
        <f>AVERAGE(H46:K46)</f>
        <v>0.21185000000000001</v>
      </c>
      <c r="K62" s="200">
        <f>AVERAGE(H49:K49)</f>
        <v>0.28307500000000002</v>
      </c>
      <c r="M62" s="200">
        <f>AVERAGE(H47:K47)</f>
        <v>5.6749999999999995E-2</v>
      </c>
      <c r="N62" s="200">
        <f>AVERAGE(H50:K50)</f>
        <v>0.118475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1.05</v>
      </c>
      <c r="C65" s="205">
        <f t="shared" si="5"/>
        <v>1.1200000000000001</v>
      </c>
      <c r="D65" s="205">
        <f t="shared" si="5"/>
        <v>0.7</v>
      </c>
      <c r="E65" s="205">
        <f t="shared" si="5"/>
        <v>0.75</v>
      </c>
      <c r="F65" s="206">
        <f>IF(ISNA(HLOOKUP(F$64*10+$A65,$81:$82,2,FALSE)),(HLOOKUP(E$64*10+$A65,$87:$94,4,FALSE)*$G65+$B$25)/HLOOKUP(E$64*10+$A65,$87:$94,5,FALSE)*$E65,HLOOKUP(F$64*10+$A65,$81:$82,2,FALSE))</f>
        <v>0.23</v>
      </c>
      <c r="G65" s="101">
        <f>MIN(130%,SUM($B$57:$D$57)/SUM($B$58:$D$58)*$G$69/HLOOKUP(E$64*10+$A65,$145:$146,2,FALSE))</f>
        <v>0.74373077906579832</v>
      </c>
      <c r="H65" s="204">
        <v>1</v>
      </c>
      <c r="I65" s="208">
        <f t="shared" ref="I65:M68" si="6">IF(ISNA(HLOOKUP(I$64*10+$H65,$145:$147,3,FALSE)),"",HLOOKUP(I$64*10+$H65,$145:$147,3,FALSE)/100)</f>
        <v>0.1363</v>
      </c>
      <c r="J65" s="208">
        <f t="shared" si="6"/>
        <v>0.12619999999999998</v>
      </c>
      <c r="K65" s="208">
        <f t="shared" si="6"/>
        <v>9.69E-2</v>
      </c>
      <c r="L65" s="208">
        <f t="shared" si="6"/>
        <v>0.11650000000000001</v>
      </c>
      <c r="M65" s="209">
        <f t="shared" si="6"/>
        <v>5.9500000000000004E-2</v>
      </c>
      <c r="N65" s="256">
        <f t="shared" ref="N65:O68" si="7">HLOOKUP(E$64*10+$A65,$87:$94,8,FALSE)</f>
        <v>-93360</v>
      </c>
      <c r="O65" s="256">
        <f t="shared" si="7"/>
        <v>-182971</v>
      </c>
      <c r="P65" s="210"/>
    </row>
    <row r="66" spans="1:71" x14ac:dyDescent="0.25">
      <c r="A66" s="204">
        <v>2</v>
      </c>
      <c r="B66" s="205">
        <f t="shared" si="5"/>
        <v>1.21</v>
      </c>
      <c r="C66" s="205">
        <f t="shared" si="5"/>
        <v>1.19</v>
      </c>
      <c r="D66" s="205">
        <f t="shared" si="5"/>
        <v>1.03</v>
      </c>
      <c r="E66" s="205">
        <f t="shared" si="5"/>
        <v>1.01</v>
      </c>
      <c r="F66" s="206">
        <f>IF(ISNA(HLOOKUP(F$64*10+$A66,$81:$82,2,FALSE)),(HLOOKUP(E$64*10+$A66,$87:$94,4,FALSE)*$G66+$B$25)/HLOOKUP(E$64*10+$A66,$87:$94,5,FALSE)*$E66,HLOOKUP(F$64*10+$A66,$81:$82,2,FALSE))</f>
        <v>0.01</v>
      </c>
      <c r="G66" s="101">
        <f>MIN(130%,SUM($B$57:$D$57)/SUM($B$58:$D$58)*$G$69/HLOOKUP(E$64*10+$A66,$145:$146,2,FALSE))</f>
        <v>0.71674264193291526</v>
      </c>
      <c r="H66" s="204">
        <v>2</v>
      </c>
      <c r="I66" s="208">
        <f t="shared" si="6"/>
        <v>0.14510000000000001</v>
      </c>
      <c r="J66" s="208">
        <f t="shared" si="6"/>
        <v>0.13470000000000001</v>
      </c>
      <c r="K66" s="208">
        <f t="shared" si="6"/>
        <v>0.13930000000000001</v>
      </c>
      <c r="L66" s="208">
        <f t="shared" si="6"/>
        <v>0.12960000000000002</v>
      </c>
      <c r="M66" s="209">
        <f t="shared" si="6"/>
        <v>3.2799999999999996E-2</v>
      </c>
      <c r="N66" s="256">
        <f t="shared" si="7"/>
        <v>148288</v>
      </c>
      <c r="O66" s="256">
        <f t="shared" si="7"/>
        <v>-85913</v>
      </c>
      <c r="P66" s="210"/>
    </row>
    <row r="67" spans="1:71" x14ac:dyDescent="0.25">
      <c r="A67" s="204">
        <v>3</v>
      </c>
      <c r="B67" s="205">
        <f t="shared" si="5"/>
        <v>1.06</v>
      </c>
      <c r="C67" s="205">
        <f t="shared" si="5"/>
        <v>1.1499999999999999</v>
      </c>
      <c r="D67" s="205">
        <f t="shared" si="5"/>
        <v>1.48</v>
      </c>
      <c r="E67" s="205">
        <f t="shared" si="5"/>
        <v>0.85</v>
      </c>
      <c r="F67" s="206">
        <f>IF(ISNA(HLOOKUP(F$64*10+$A67,$81:$82,2,FALSE)),(HLOOKUP(E$64*10+$A67,$87:$94,4,FALSE)*$G67+$B$25)/HLOOKUP(E$64*10+$A67,$87:$94,5,FALSE)*$E67,HLOOKUP(F$64*10+$A67,$81:$82,2,FALSE))</f>
        <v>0.15</v>
      </c>
      <c r="G67" s="101">
        <f>MIN(130%,SUM($B$57:$D$57)/SUM($B$58:$D$58)*$G$69/HLOOKUP(E$64*10+$A67,$145:$146,2,FALSE))</f>
        <v>0.75382914193751738</v>
      </c>
      <c r="H67" s="204">
        <v>3</v>
      </c>
      <c r="I67" s="208">
        <f t="shared" si="6"/>
        <v>0.13239999999999999</v>
      </c>
      <c r="J67" s="208">
        <f t="shared" si="6"/>
        <v>0.14180000000000001</v>
      </c>
      <c r="K67" s="208">
        <f t="shared" si="6"/>
        <v>0.1245</v>
      </c>
      <c r="L67" s="208">
        <f t="shared" si="6"/>
        <v>0.1142</v>
      </c>
      <c r="M67" s="209">
        <f t="shared" si="6"/>
        <v>4.2099999999999999E-2</v>
      </c>
      <c r="N67" s="256">
        <f t="shared" si="7"/>
        <v>33544</v>
      </c>
      <c r="O67" s="256">
        <f t="shared" si="7"/>
        <v>-108107</v>
      </c>
      <c r="P67" s="210"/>
    </row>
    <row r="68" spans="1:71" x14ac:dyDescent="0.25">
      <c r="A68" s="204">
        <v>4</v>
      </c>
      <c r="B68" s="205">
        <f>HLOOKUP(B$64*10+$A68,$81:$82,2,FALSE)</f>
        <v>1.01</v>
      </c>
      <c r="C68" s="205">
        <f>HLOOKUP(C$64*10+$A68,$81:$82,2,FALSE)</f>
        <v>1.19</v>
      </c>
      <c r="D68" s="205">
        <f>HLOOKUP(D$64*10+$A68,$81:$82,2,FALSE)</f>
        <v>0.91</v>
      </c>
      <c r="E68" s="206">
        <f>IF(ISNA(HLOOKUP(E$64*10+$A68,$81:$82,2,FALSE)),D68*(1-$N68)*#REF!*(1+$B$25)/(1+$E$4),HLOOKUP(E$64*10+$A68,$81:$82,2,FALSE))</f>
        <v>0.96</v>
      </c>
      <c r="F68" s="206">
        <f>IF(ISNA(HLOOKUP(F$64*10+$A68,$81:$82,2,FALSE)),(HLOOKUP(E$64*10+$A68,$87:$94,4,FALSE)*$G68+$B$25)/HLOOKUP(E$64*10+$A68,$87:$94,5,FALSE)*$E68,HLOOKUP(F$64*10+$A68,$81:$82,2,FALSE))</f>
        <v>0.56615150931839509</v>
      </c>
      <c r="G68" s="101">
        <f>MIN(130%,SUM($B$57:$D$57)/SUM($B$58:$D$58)*$G$69/HLOOKUP(E$64*10+$A68,$145:$146,2,FALSE))</f>
        <v>0.84153396631697464</v>
      </c>
      <c r="H68" s="204">
        <v>4</v>
      </c>
      <c r="I68" s="208">
        <f t="shared" si="6"/>
        <v>0.12240000000000001</v>
      </c>
      <c r="J68" s="208">
        <f t="shared" si="6"/>
        <v>0.11199999999999999</v>
      </c>
      <c r="K68" s="208">
        <f t="shared" si="6"/>
        <v>0.11359999999999999</v>
      </c>
      <c r="L68" s="208">
        <f t="shared" si="6"/>
        <v>9.2600000000000002E-2</v>
      </c>
      <c r="M68" s="209" t="str">
        <f t="shared" si="6"/>
        <v/>
      </c>
      <c r="N68" s="256">
        <f t="shared" si="7"/>
        <v>360245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4.33</v>
      </c>
      <c r="C69" s="213">
        <f>SUM(C65:C68)</f>
        <v>4.6500000000000004</v>
      </c>
      <c r="D69" s="213">
        <f>SUM(D65:D68)</f>
        <v>4.12</v>
      </c>
      <c r="E69" s="213">
        <f>SUM(E65:E68)</f>
        <v>3.57</v>
      </c>
      <c r="F69" s="213">
        <f>SUM(F65:F68)</f>
        <v>0.9561515093183951</v>
      </c>
      <c r="G69" s="257">
        <f>_xlfn.FORECAST.ETS(23,B146:W146,{1,2,3,4,5,6,7,8,9,10,11,12,13,14,15,16,17,18,19,20,21,22})</f>
        <v>18.845228684359114</v>
      </c>
      <c r="H69" s="214" t="s">
        <v>19</v>
      </c>
      <c r="I69" s="215">
        <f>HLOOKUP(I64,151:155,3,FALSE)/100</f>
        <v>0.13009999999999999</v>
      </c>
      <c r="J69" s="215">
        <f>HLOOKUP(J64,151:155,3,FALSE)/100</f>
        <v>0.12909999999999999</v>
      </c>
      <c r="K69" s="215">
        <f>HLOOKUP(K64,151:155,3,FALSE)/100</f>
        <v>0.11939999999999999</v>
      </c>
      <c r="L69" s="215">
        <f>IF(ISNA(HLOOKUP(L64,151:155,3,FALSE)/100),AVERAGE(L65:L68),HLOOKUP(L64,151:155,3,FALSE)/100)</f>
        <v>0.11359999999999999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5.16</v>
      </c>
      <c r="C72" s="205">
        <f t="shared" si="8"/>
        <v>4.93</v>
      </c>
      <c r="D72" s="205">
        <f t="shared" si="8"/>
        <v>2.8</v>
      </c>
      <c r="E72" s="205">
        <f t="shared" si="8"/>
        <v>2.93</v>
      </c>
      <c r="F72" s="205">
        <f t="shared" si="8"/>
        <v>0.97</v>
      </c>
    </row>
    <row r="73" spans="1:71" s="135" customFormat="1" x14ac:dyDescent="0.25">
      <c r="A73" s="204">
        <v>2</v>
      </c>
      <c r="B73" s="205">
        <f t="shared" si="8"/>
        <v>5.78</v>
      </c>
      <c r="C73" s="205">
        <f t="shared" si="8"/>
        <v>5.19</v>
      </c>
      <c r="D73" s="205">
        <f t="shared" si="8"/>
        <v>4.26</v>
      </c>
      <c r="E73" s="205">
        <f t="shared" si="8"/>
        <v>4.0599999999999996</v>
      </c>
      <c r="F73" s="205">
        <f t="shared" si="8"/>
        <v>0.03</v>
      </c>
    </row>
    <row r="74" spans="1:71" s="135" customFormat="1" x14ac:dyDescent="0.25">
      <c r="A74" s="204">
        <v>3</v>
      </c>
      <c r="B74" s="205">
        <f t="shared" si="8"/>
        <v>5.19</v>
      </c>
      <c r="C74" s="205">
        <f t="shared" si="8"/>
        <v>5.27</v>
      </c>
      <c r="D74" s="205">
        <f t="shared" si="8"/>
        <v>6.29</v>
      </c>
      <c r="E74" s="205">
        <f t="shared" si="8"/>
        <v>3.61</v>
      </c>
      <c r="F74" s="205">
        <f t="shared" si="8"/>
        <v>0.68</v>
      </c>
    </row>
    <row r="75" spans="1:71" s="135" customFormat="1" x14ac:dyDescent="0.25">
      <c r="A75" s="204">
        <v>4</v>
      </c>
      <c r="B75" s="205">
        <f t="shared" si="8"/>
        <v>4.71</v>
      </c>
      <c r="C75" s="205">
        <f t="shared" si="8"/>
        <v>5.0599999999999996</v>
      </c>
      <c r="D75" s="205">
        <f t="shared" si="8"/>
        <v>3.65</v>
      </c>
      <c r="E75" s="205">
        <f t="shared" si="8"/>
        <v>3.99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20.840000000000003</v>
      </c>
      <c r="C76" s="213">
        <f>SUM(C72:C75)</f>
        <v>20.45</v>
      </c>
      <c r="D76" s="213">
        <f>SUM(D72:D75)</f>
        <v>17</v>
      </c>
      <c r="E76" s="213">
        <f>AVERAGE(E72:E75)*4</f>
        <v>14.59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462444</v>
      </c>
      <c r="C79" s="270">
        <v>526375</v>
      </c>
      <c r="D79" s="270">
        <v>604615</v>
      </c>
      <c r="E79" s="270">
        <v>582349</v>
      </c>
      <c r="F79" s="270">
        <v>652123</v>
      </c>
      <c r="G79" s="270">
        <v>583483</v>
      </c>
      <c r="H79" s="270">
        <v>526840</v>
      </c>
      <c r="I79" s="270">
        <v>575909</v>
      </c>
      <c r="J79" s="270">
        <v>459769</v>
      </c>
      <c r="K79" s="270">
        <v>500227</v>
      </c>
      <c r="L79" s="270">
        <v>469447</v>
      </c>
      <c r="M79" s="270">
        <v>518914</v>
      </c>
      <c r="N79" s="270">
        <v>2396635</v>
      </c>
      <c r="O79" s="270">
        <v>1726671</v>
      </c>
      <c r="P79" s="270">
        <v>2651290</v>
      </c>
      <c r="Q79" s="270">
        <v>2730861</v>
      </c>
      <c r="R79" s="270">
        <v>2627137</v>
      </c>
      <c r="S79" s="270">
        <v>2539910</v>
      </c>
      <c r="T79" s="270">
        <v>2433481</v>
      </c>
      <c r="U79" s="270">
        <v>2547526</v>
      </c>
      <c r="V79" s="270">
        <v>2395561</v>
      </c>
      <c r="W79" s="270">
        <v>2119169</v>
      </c>
      <c r="X79" s="270">
        <v>2397334</v>
      </c>
      <c r="Y79" s="270">
        <v>5885009</v>
      </c>
      <c r="Z79" s="270">
        <v>2655009</v>
      </c>
      <c r="AA79" s="270">
        <v>2148932</v>
      </c>
      <c r="AB79" s="270">
        <v>3104374</v>
      </c>
      <c r="AC79" s="270">
        <v>3148787</v>
      </c>
      <c r="AD79" s="270">
        <v>3096059</v>
      </c>
      <c r="AE79" s="270">
        <v>2848070</v>
      </c>
      <c r="AF79" s="270">
        <v>2824516</v>
      </c>
      <c r="AG79" s="270">
        <v>2798205</v>
      </c>
      <c r="AH79" s="270">
        <v>2792238</v>
      </c>
      <c r="AI79" s="270">
        <v>2662143</v>
      </c>
      <c r="AJ79" s="270">
        <v>2522936</v>
      </c>
      <c r="AK79" s="270">
        <v>2702432</v>
      </c>
      <c r="AL79" s="270">
        <v>2675836</v>
      </c>
      <c r="AM79" s="270">
        <v>1857479</v>
      </c>
      <c r="AN79" s="270">
        <v>2897888</v>
      </c>
      <c r="AO79" s="270">
        <v>2885627</v>
      </c>
      <c r="AP79" s="270">
        <v>2939966</v>
      </c>
      <c r="AQ79" s="270">
        <v>2624640</v>
      </c>
      <c r="AR79" s="270">
        <v>2708870</v>
      </c>
      <c r="AS79" s="270">
        <v>2779755</v>
      </c>
      <c r="AT79" s="270">
        <v>2622986</v>
      </c>
      <c r="AU79" s="270">
        <v>2551271</v>
      </c>
      <c r="AV79" s="270">
        <v>2322936</v>
      </c>
      <c r="AW79" s="270">
        <v>2362948</v>
      </c>
      <c r="AX79" s="270">
        <v>2460748</v>
      </c>
      <c r="AY79" s="270">
        <v>1953649</v>
      </c>
      <c r="AZ79" s="270">
        <v>2777763</v>
      </c>
      <c r="BA79" s="270">
        <v>2755398</v>
      </c>
      <c r="BB79" s="270">
        <v>2659085</v>
      </c>
      <c r="BC79" s="270">
        <v>2530499</v>
      </c>
      <c r="BD79" s="270">
        <v>2415979</v>
      </c>
      <c r="BE79" s="270">
        <v>2380243</v>
      </c>
      <c r="BF79" s="270">
        <v>2368850</v>
      </c>
      <c r="BG79" s="270">
        <v>2326534</v>
      </c>
      <c r="BH79" s="270">
        <v>2421044</v>
      </c>
      <c r="BI79" s="270">
        <v>2536466</v>
      </c>
      <c r="BJ79" s="270">
        <v>2286534</v>
      </c>
      <c r="BK79" s="270">
        <v>2050942</v>
      </c>
      <c r="BL79" s="270">
        <v>2967608</v>
      </c>
      <c r="BM79" s="270">
        <v>2668505</v>
      </c>
      <c r="BN79" s="270">
        <v>2556477</v>
      </c>
      <c r="BO79" s="270">
        <v>2575698</v>
      </c>
      <c r="BP79" s="270">
        <v>2514407</v>
      </c>
      <c r="BQ79" s="270">
        <v>2538122</v>
      </c>
      <c r="BR79" s="270">
        <v>2449056</v>
      </c>
      <c r="BS79" s="270">
        <v>2725460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0.72</v>
      </c>
      <c r="C82" s="72">
        <v>0.74</v>
      </c>
      <c r="D82" s="72">
        <v>1.01</v>
      </c>
      <c r="E82" s="72">
        <v>1.18</v>
      </c>
      <c r="F82" s="72">
        <v>1.05</v>
      </c>
      <c r="G82" s="72">
        <v>1.21</v>
      </c>
      <c r="H82" s="72">
        <v>1.06</v>
      </c>
      <c r="I82" s="72">
        <v>1.01</v>
      </c>
      <c r="J82" s="72">
        <v>1.1200000000000001</v>
      </c>
      <c r="K82" s="72">
        <v>1.19</v>
      </c>
      <c r="L82" s="72">
        <v>1.1499999999999999</v>
      </c>
      <c r="M82" s="72">
        <v>1.19</v>
      </c>
      <c r="N82" s="72">
        <v>0.7</v>
      </c>
      <c r="O82" s="72">
        <v>1.03</v>
      </c>
      <c r="P82" s="72">
        <v>1.48</v>
      </c>
      <c r="Q82" s="72">
        <v>0.91</v>
      </c>
      <c r="R82" s="72">
        <v>0.75</v>
      </c>
      <c r="S82" s="72">
        <v>1.01</v>
      </c>
      <c r="T82" s="72">
        <v>0.85</v>
      </c>
      <c r="U82" s="72">
        <v>0.96</v>
      </c>
      <c r="V82" s="72">
        <v>0.23</v>
      </c>
      <c r="W82" s="72">
        <v>0.01</v>
      </c>
      <c r="X82" s="72">
        <v>0.15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19.48</v>
      </c>
      <c r="C85" s="72">
        <v>19.100000000000001</v>
      </c>
      <c r="D85" s="72">
        <v>18.55</v>
      </c>
      <c r="E85" s="72">
        <v>19.63</v>
      </c>
      <c r="F85" s="72">
        <v>21.02</v>
      </c>
      <c r="G85" s="72">
        <v>20.85</v>
      </c>
      <c r="H85" s="72">
        <v>20.89</v>
      </c>
      <c r="I85" s="72">
        <v>22.03</v>
      </c>
      <c r="J85" s="72">
        <v>23.51</v>
      </c>
      <c r="K85" s="72">
        <v>22.44</v>
      </c>
      <c r="L85" s="72">
        <v>22.53</v>
      </c>
      <c r="M85" s="72">
        <v>24.71</v>
      </c>
      <c r="N85" s="72">
        <v>25.03</v>
      </c>
      <c r="O85" s="72">
        <v>23.52</v>
      </c>
      <c r="P85" s="72">
        <v>24.77</v>
      </c>
      <c r="Q85" s="72">
        <v>25.3</v>
      </c>
      <c r="R85" s="72">
        <v>25.64</v>
      </c>
      <c r="S85" s="72">
        <v>24.1</v>
      </c>
      <c r="T85" s="72">
        <v>23.61</v>
      </c>
      <c r="U85" s="72">
        <v>24.63</v>
      </c>
      <c r="V85" s="72">
        <v>23.38</v>
      </c>
      <c r="W85" s="72">
        <v>21.78</v>
      </c>
      <c r="X85" s="72">
        <v>22.14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6987531</v>
      </c>
      <c r="C88" s="273">
        <v>7939800</v>
      </c>
      <c r="D88" s="273">
        <v>7490796</v>
      </c>
      <c r="E88" s="273">
        <v>6925020</v>
      </c>
      <c r="F88" s="273">
        <v>6776218</v>
      </c>
      <c r="G88" s="273">
        <v>7892911</v>
      </c>
      <c r="H88" s="273">
        <v>7377090</v>
      </c>
      <c r="I88" s="273">
        <v>7664752</v>
      </c>
      <c r="J88" s="273">
        <v>7901890</v>
      </c>
      <c r="K88" s="273">
        <v>9101326</v>
      </c>
      <c r="L88" s="273">
        <v>8413978</v>
      </c>
      <c r="M88" s="273">
        <v>7875319</v>
      </c>
      <c r="N88" s="273">
        <v>7433072</v>
      </c>
      <c r="O88" s="273">
        <v>8447797</v>
      </c>
      <c r="P88" s="273">
        <v>8111536</v>
      </c>
      <c r="Q88" s="273">
        <v>7247549</v>
      </c>
      <c r="R88" s="273">
        <v>7192238</v>
      </c>
      <c r="S88" s="273">
        <v>7945424</v>
      </c>
      <c r="T88" s="273">
        <v>7163822</v>
      </c>
      <c r="U88" s="273">
        <v>7192144</v>
      </c>
      <c r="V88" s="273">
        <v>7303729</v>
      </c>
      <c r="W88" s="273">
        <v>7801965</v>
      </c>
      <c r="X88" s="273">
        <v>7567035</v>
      </c>
    </row>
    <row r="89" spans="1:25" ht="14.25" thickBot="1" x14ac:dyDescent="0.3">
      <c r="A89" s="250" t="s">
        <v>4</v>
      </c>
      <c r="B89" s="275">
        <v>1319937</v>
      </c>
      <c r="C89" s="275">
        <v>1615059</v>
      </c>
      <c r="D89" s="275">
        <v>1667859</v>
      </c>
      <c r="E89" s="275">
        <v>1837052</v>
      </c>
      <c r="F89" s="275">
        <v>1676902</v>
      </c>
      <c r="G89" s="275">
        <v>2059236</v>
      </c>
      <c r="H89" s="275">
        <v>1866532</v>
      </c>
      <c r="I89" s="275">
        <v>1998178</v>
      </c>
      <c r="J89" s="275">
        <v>2024109</v>
      </c>
      <c r="K89" s="275">
        <v>2388869</v>
      </c>
      <c r="L89" s="275">
        <v>2256822</v>
      </c>
      <c r="M89" s="275">
        <v>2135910</v>
      </c>
      <c r="N89" s="275">
        <v>1863971</v>
      </c>
      <c r="O89" s="275">
        <v>2385069</v>
      </c>
      <c r="P89" s="275">
        <v>2186938</v>
      </c>
      <c r="Q89" s="275">
        <v>2152282</v>
      </c>
      <c r="R89" s="275">
        <v>1986428</v>
      </c>
      <c r="S89" s="275">
        <v>2277297</v>
      </c>
      <c r="T89" s="275">
        <v>1952319</v>
      </c>
      <c r="U89" s="275">
        <v>1755739</v>
      </c>
      <c r="V89" s="275">
        <v>1558800</v>
      </c>
      <c r="W89" s="275">
        <v>1461880</v>
      </c>
      <c r="X89" s="275">
        <v>1532175</v>
      </c>
    </row>
    <row r="90" spans="1:25" ht="14.25" thickBot="1" x14ac:dyDescent="0.3">
      <c r="A90" s="251" t="s">
        <v>5</v>
      </c>
      <c r="B90" s="273">
        <v>662496</v>
      </c>
      <c r="C90" s="273">
        <v>863175</v>
      </c>
      <c r="D90" s="273">
        <v>935763</v>
      </c>
      <c r="E90" s="273">
        <v>993132</v>
      </c>
      <c r="F90" s="273">
        <v>923675</v>
      </c>
      <c r="G90" s="273">
        <v>1145042</v>
      </c>
      <c r="H90" s="273">
        <v>976579</v>
      </c>
      <c r="I90" s="273">
        <v>938314</v>
      </c>
      <c r="J90" s="273">
        <v>997259</v>
      </c>
      <c r="K90" s="273">
        <v>1226032</v>
      </c>
      <c r="L90" s="273">
        <v>1192685</v>
      </c>
      <c r="M90" s="273">
        <v>881954</v>
      </c>
      <c r="N90" s="273">
        <v>720327</v>
      </c>
      <c r="O90" s="273">
        <v>1176428</v>
      </c>
      <c r="P90" s="273">
        <v>1010037</v>
      </c>
      <c r="Q90" s="273">
        <v>822997</v>
      </c>
      <c r="R90" s="273">
        <v>838177</v>
      </c>
      <c r="S90" s="273">
        <v>1029548</v>
      </c>
      <c r="T90" s="273">
        <v>817782</v>
      </c>
      <c r="U90" s="273">
        <v>665671</v>
      </c>
      <c r="V90" s="273">
        <v>434789</v>
      </c>
      <c r="W90" s="273">
        <v>255978</v>
      </c>
      <c r="X90" s="273">
        <v>318764</v>
      </c>
    </row>
    <row r="91" spans="1:25" ht="14.25" thickBot="1" x14ac:dyDescent="0.3">
      <c r="A91" s="250" t="s">
        <v>6</v>
      </c>
      <c r="B91" s="275">
        <v>635991</v>
      </c>
      <c r="C91" s="275">
        <v>864560</v>
      </c>
      <c r="D91" s="275">
        <v>935614</v>
      </c>
      <c r="E91" s="275">
        <v>974709</v>
      </c>
      <c r="F91" s="275">
        <v>967376</v>
      </c>
      <c r="G91" s="275">
        <v>1182439</v>
      </c>
      <c r="H91" s="275">
        <v>1003923</v>
      </c>
      <c r="I91" s="275">
        <v>992288</v>
      </c>
      <c r="J91" s="275">
        <v>1078338</v>
      </c>
      <c r="K91" s="275">
        <v>1191864</v>
      </c>
      <c r="L91" s="275">
        <v>1243948</v>
      </c>
      <c r="M91" s="275">
        <v>1063418</v>
      </c>
      <c r="N91" s="275">
        <v>692970</v>
      </c>
      <c r="O91" s="275">
        <v>1186940</v>
      </c>
      <c r="P91" s="275">
        <v>1492635</v>
      </c>
      <c r="Q91" s="275">
        <v>918479</v>
      </c>
      <c r="R91" s="275">
        <v>744817</v>
      </c>
      <c r="S91" s="275">
        <v>1177836</v>
      </c>
      <c r="T91" s="275">
        <v>851326</v>
      </c>
      <c r="U91" s="275">
        <v>1025916</v>
      </c>
      <c r="V91" s="275">
        <v>251818</v>
      </c>
      <c r="W91" s="275">
        <v>170065</v>
      </c>
      <c r="X91" s="275">
        <v>210657</v>
      </c>
    </row>
    <row r="92" spans="1:25" ht="14.25" thickBot="1" x14ac:dyDescent="0.3">
      <c r="A92" s="251" t="s">
        <v>7</v>
      </c>
      <c r="B92" s="273">
        <v>494274</v>
      </c>
      <c r="C92" s="273">
        <v>542683</v>
      </c>
      <c r="D92" s="273">
        <v>742864</v>
      </c>
      <c r="E92" s="273">
        <v>864131</v>
      </c>
      <c r="F92" s="273">
        <v>769089</v>
      </c>
      <c r="G92" s="273">
        <v>888482</v>
      </c>
      <c r="H92" s="273">
        <v>810768</v>
      </c>
      <c r="I92" s="273">
        <v>771649</v>
      </c>
      <c r="J92" s="273">
        <v>856104</v>
      </c>
      <c r="K92" s="273">
        <v>910491</v>
      </c>
      <c r="L92" s="273">
        <v>935762</v>
      </c>
      <c r="M92" s="273">
        <v>975062</v>
      </c>
      <c r="N92" s="273">
        <v>567893</v>
      </c>
      <c r="O92" s="273">
        <v>844017</v>
      </c>
      <c r="P92" s="273">
        <v>1271448</v>
      </c>
      <c r="Q92" s="273">
        <v>783619</v>
      </c>
      <c r="R92" s="273">
        <v>638810</v>
      </c>
      <c r="S92" s="273">
        <v>866003</v>
      </c>
      <c r="T92" s="273">
        <v>746296</v>
      </c>
      <c r="U92" s="273">
        <v>841334</v>
      </c>
      <c r="V92" s="273">
        <v>204139</v>
      </c>
      <c r="W92" s="273">
        <v>5233</v>
      </c>
      <c r="X92" s="273">
        <v>131088</v>
      </c>
    </row>
    <row r="93" spans="1:25" ht="26.25" thickBot="1" x14ac:dyDescent="0.3">
      <c r="A93" s="252" t="s">
        <v>8</v>
      </c>
      <c r="B93" s="276">
        <v>494274</v>
      </c>
      <c r="C93" s="276">
        <v>542683</v>
      </c>
      <c r="D93" s="276">
        <v>742864</v>
      </c>
      <c r="E93" s="276">
        <v>864131</v>
      </c>
      <c r="F93" s="276">
        <v>769089</v>
      </c>
      <c r="G93" s="276">
        <v>888482</v>
      </c>
      <c r="H93" s="276">
        <v>810768</v>
      </c>
      <c r="I93" s="276">
        <v>769405</v>
      </c>
      <c r="J93" s="276">
        <v>856104</v>
      </c>
      <c r="K93" s="276">
        <v>910491</v>
      </c>
      <c r="L93" s="276">
        <v>935762</v>
      </c>
      <c r="M93" s="276">
        <v>975062</v>
      </c>
      <c r="N93" s="276">
        <v>567893</v>
      </c>
      <c r="O93" s="276">
        <v>844017</v>
      </c>
      <c r="P93" s="276">
        <v>1271447</v>
      </c>
      <c r="Q93" s="276">
        <v>783621</v>
      </c>
      <c r="R93" s="276">
        <v>638810</v>
      </c>
      <c r="S93" s="276">
        <v>866003</v>
      </c>
      <c r="T93" s="276">
        <v>746297</v>
      </c>
      <c r="U93" s="276">
        <v>841333</v>
      </c>
      <c r="V93" s="276">
        <v>204140</v>
      </c>
      <c r="W93" s="276">
        <v>5233</v>
      </c>
      <c r="X93" s="276">
        <v>131088</v>
      </c>
    </row>
    <row r="94" spans="1:25" x14ac:dyDescent="0.25">
      <c r="A94" s="233" t="s">
        <v>365</v>
      </c>
      <c r="B94" s="253">
        <f>IF(B91="","",B91-B90)</f>
        <v>-26505</v>
      </c>
      <c r="C94" s="253">
        <f>IF(C91="","",C91-C90)</f>
        <v>1385</v>
      </c>
      <c r="D94" s="253">
        <f t="shared" ref="D94:Y94" si="9">IF(D91="","",D91-D90)</f>
        <v>-149</v>
      </c>
      <c r="E94" s="253">
        <f t="shared" si="9"/>
        <v>-18423</v>
      </c>
      <c r="F94" s="253">
        <f t="shared" si="9"/>
        <v>43701</v>
      </c>
      <c r="G94" s="253">
        <f t="shared" si="9"/>
        <v>37397</v>
      </c>
      <c r="H94" s="253">
        <f t="shared" si="9"/>
        <v>27344</v>
      </c>
      <c r="I94" s="253">
        <f t="shared" si="9"/>
        <v>53974</v>
      </c>
      <c r="J94" s="253">
        <f t="shared" si="9"/>
        <v>81079</v>
      </c>
      <c r="K94" s="253">
        <f t="shared" si="9"/>
        <v>-34168</v>
      </c>
      <c r="L94" s="253">
        <f t="shared" si="9"/>
        <v>51263</v>
      </c>
      <c r="M94" s="253">
        <f t="shared" si="9"/>
        <v>181464</v>
      </c>
      <c r="N94" s="253">
        <f t="shared" si="9"/>
        <v>-27357</v>
      </c>
      <c r="O94" s="253">
        <f t="shared" si="9"/>
        <v>10512</v>
      </c>
      <c r="P94" s="253">
        <f t="shared" si="9"/>
        <v>482598</v>
      </c>
      <c r="Q94" s="253">
        <f t="shared" si="9"/>
        <v>95482</v>
      </c>
      <c r="R94" s="253">
        <f t="shared" si="9"/>
        <v>-93360</v>
      </c>
      <c r="S94" s="253">
        <f t="shared" si="9"/>
        <v>148288</v>
      </c>
      <c r="T94" s="253">
        <f t="shared" si="9"/>
        <v>33544</v>
      </c>
      <c r="U94" s="253">
        <f t="shared" si="9"/>
        <v>360245</v>
      </c>
      <c r="V94" s="253">
        <f t="shared" si="9"/>
        <v>-182971</v>
      </c>
      <c r="W94" s="253">
        <f t="shared" si="9"/>
        <v>-85913</v>
      </c>
      <c r="X94" s="253">
        <f t="shared" si="9"/>
        <v>-108107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29343147</v>
      </c>
      <c r="C97" s="273">
        <v>32450584</v>
      </c>
      <c r="D97" s="273">
        <v>33292513</v>
      </c>
      <c r="E97" s="273">
        <v>31239954</v>
      </c>
      <c r="F97" s="273">
        <v>29493628</v>
      </c>
    </row>
    <row r="98" spans="1:24" ht="14.25" thickBot="1" x14ac:dyDescent="0.3">
      <c r="A98" s="225" t="s">
        <v>4</v>
      </c>
      <c r="B98" s="275">
        <v>6439907</v>
      </c>
      <c r="C98" s="275">
        <v>8087588</v>
      </c>
      <c r="D98" s="275">
        <v>8805710</v>
      </c>
      <c r="E98" s="275">
        <v>8588260</v>
      </c>
      <c r="F98" s="275">
        <v>7971783</v>
      </c>
    </row>
    <row r="99" spans="1:24" ht="14.25" thickBot="1" x14ac:dyDescent="0.3">
      <c r="A99" s="224" t="s">
        <v>5</v>
      </c>
      <c r="B99" s="273">
        <v>3454566</v>
      </c>
      <c r="C99" s="273">
        <v>4221758</v>
      </c>
      <c r="D99" s="273">
        <v>4297930</v>
      </c>
      <c r="E99" s="273">
        <v>3729789</v>
      </c>
      <c r="F99" s="273">
        <v>3351178</v>
      </c>
    </row>
    <row r="100" spans="1:24" ht="14.25" thickBot="1" x14ac:dyDescent="0.3">
      <c r="A100" s="225" t="s">
        <v>6</v>
      </c>
      <c r="B100" s="275">
        <v>3410874</v>
      </c>
      <c r="C100" s="275">
        <v>4338410</v>
      </c>
      <c r="D100" s="275">
        <v>4577568</v>
      </c>
      <c r="E100" s="275">
        <v>4291024</v>
      </c>
      <c r="F100" s="275">
        <v>3799895</v>
      </c>
    </row>
    <row r="101" spans="1:24" ht="14.25" thickBot="1" x14ac:dyDescent="0.3">
      <c r="A101" s="224" t="s">
        <v>7</v>
      </c>
      <c r="B101" s="273">
        <v>2643952</v>
      </c>
      <c r="C101" s="273">
        <v>3366962</v>
      </c>
      <c r="D101" s="273">
        <v>3677419</v>
      </c>
      <c r="E101" s="273">
        <v>3466977</v>
      </c>
      <c r="F101" s="273">
        <v>3092443</v>
      </c>
    </row>
    <row r="102" spans="1:24" ht="14.25" thickBot="1" x14ac:dyDescent="0.3">
      <c r="A102" s="227" t="s">
        <v>8</v>
      </c>
      <c r="B102" s="276">
        <v>2643952</v>
      </c>
      <c r="C102" s="276">
        <v>3237744</v>
      </c>
      <c r="D102" s="276">
        <v>3677419</v>
      </c>
      <c r="E102" s="276">
        <v>3466978</v>
      </c>
      <c r="F102" s="276">
        <v>3092443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0.96162178248521957</v>
      </c>
      <c r="D103" s="234">
        <f>IF(OR(D102="",D102="無"),"",D102/D101)</f>
        <v>1</v>
      </c>
      <c r="E103" s="234">
        <f>IF(OR(E102="",E102="無"),"",E102/E101)</f>
        <v>1.000000288435718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7229303</v>
      </c>
      <c r="C106" s="273">
        <v>7815248</v>
      </c>
      <c r="D106" s="273">
        <v>8583035</v>
      </c>
      <c r="E106" s="273">
        <v>9502097</v>
      </c>
      <c r="F106" s="273">
        <v>9261212</v>
      </c>
      <c r="G106" s="273">
        <v>9275152</v>
      </c>
      <c r="H106" s="273">
        <v>10652887</v>
      </c>
      <c r="I106" s="273">
        <v>10528408</v>
      </c>
      <c r="J106" s="273">
        <v>10323131</v>
      </c>
      <c r="K106" s="273">
        <v>10580048</v>
      </c>
      <c r="L106" s="273">
        <v>12196778</v>
      </c>
      <c r="M106" s="273">
        <v>12279655</v>
      </c>
      <c r="N106" s="273">
        <v>12152567</v>
      </c>
      <c r="O106" s="273">
        <v>12046145</v>
      </c>
      <c r="P106" s="273">
        <v>13876670</v>
      </c>
      <c r="Q106" s="273">
        <v>14299773</v>
      </c>
      <c r="R106" s="273">
        <v>14803672</v>
      </c>
      <c r="S106" s="273">
        <v>15475824</v>
      </c>
      <c r="T106" s="273">
        <v>15013163</v>
      </c>
      <c r="U106" s="273">
        <v>15214421</v>
      </c>
      <c r="V106" s="273">
        <v>13396256</v>
      </c>
      <c r="W106" s="273">
        <v>12651940</v>
      </c>
      <c r="X106" s="273">
        <v>10975905</v>
      </c>
    </row>
    <row r="107" spans="1:24" ht="14.25" thickBot="1" x14ac:dyDescent="0.3">
      <c r="A107" s="225" t="s">
        <v>22</v>
      </c>
      <c r="B107" s="275">
        <v>22104</v>
      </c>
      <c r="C107" s="275">
        <v>20649</v>
      </c>
      <c r="D107" s="275">
        <v>21748</v>
      </c>
      <c r="E107" s="275">
        <v>23259</v>
      </c>
      <c r="F107" s="275">
        <v>22881</v>
      </c>
      <c r="G107" s="275">
        <v>16945</v>
      </c>
      <c r="H107" s="275">
        <v>17744</v>
      </c>
      <c r="I107" s="275">
        <v>21181</v>
      </c>
      <c r="J107" s="275">
        <v>18809</v>
      </c>
      <c r="K107" s="275">
        <v>18716</v>
      </c>
      <c r="L107" s="275">
        <v>11729</v>
      </c>
      <c r="M107" s="275">
        <v>11887</v>
      </c>
      <c r="N107" s="275">
        <v>1136</v>
      </c>
      <c r="O107" s="275">
        <v>1225</v>
      </c>
      <c r="P107" s="274">
        <v>926</v>
      </c>
      <c r="Q107" s="274">
        <v>862</v>
      </c>
      <c r="R107" s="274">
        <v>900</v>
      </c>
      <c r="S107" s="274">
        <v>813</v>
      </c>
      <c r="T107" s="274">
        <v>837</v>
      </c>
      <c r="U107" s="274">
        <v>844</v>
      </c>
      <c r="V107" s="274">
        <v>872</v>
      </c>
      <c r="W107" s="274">
        <v>924</v>
      </c>
      <c r="X107" s="274">
        <v>954</v>
      </c>
    </row>
    <row r="108" spans="1:24" ht="14.25" thickBot="1" x14ac:dyDescent="0.3">
      <c r="A108" s="224" t="s">
        <v>263</v>
      </c>
      <c r="B108" s="273">
        <v>3962367</v>
      </c>
      <c r="C108" s="273">
        <v>3948492</v>
      </c>
      <c r="D108" s="273">
        <v>3571380</v>
      </c>
      <c r="E108" s="273">
        <v>3540616</v>
      </c>
      <c r="F108" s="273">
        <v>4056242</v>
      </c>
      <c r="G108" s="273">
        <v>4275269</v>
      </c>
      <c r="H108" s="273">
        <v>3636675</v>
      </c>
      <c r="I108" s="273">
        <v>3496170</v>
      </c>
      <c r="J108" s="273">
        <v>4047813</v>
      </c>
      <c r="K108" s="273">
        <v>3890630</v>
      </c>
      <c r="L108" s="273">
        <v>4154725</v>
      </c>
      <c r="M108" s="273">
        <v>4130883</v>
      </c>
      <c r="N108" s="273">
        <v>3878779</v>
      </c>
      <c r="O108" s="273">
        <v>4063353</v>
      </c>
      <c r="P108" s="273">
        <v>4028868</v>
      </c>
      <c r="Q108" s="273">
        <v>3643474</v>
      </c>
      <c r="R108" s="273">
        <v>3948067</v>
      </c>
      <c r="S108" s="273">
        <v>3713927</v>
      </c>
      <c r="T108" s="273">
        <v>3314429</v>
      </c>
      <c r="U108" s="273">
        <v>3709860</v>
      </c>
      <c r="V108" s="273">
        <v>3849094</v>
      </c>
      <c r="W108" s="273">
        <v>4029776</v>
      </c>
      <c r="X108" s="273">
        <v>3650007</v>
      </c>
    </row>
    <row r="109" spans="1:24" ht="14.25" thickBot="1" x14ac:dyDescent="0.3">
      <c r="A109" s="225" t="s">
        <v>264</v>
      </c>
      <c r="B109" s="275">
        <v>5377289</v>
      </c>
      <c r="C109" s="275">
        <v>5054055</v>
      </c>
      <c r="D109" s="275">
        <v>4580883</v>
      </c>
      <c r="E109" s="275">
        <v>4317828</v>
      </c>
      <c r="F109" s="275">
        <v>4414391</v>
      </c>
      <c r="G109" s="275">
        <v>4713923</v>
      </c>
      <c r="H109" s="275">
        <v>4103100</v>
      </c>
      <c r="I109" s="275">
        <v>5810623</v>
      </c>
      <c r="J109" s="275">
        <v>6174229</v>
      </c>
      <c r="K109" s="275">
        <v>6268904</v>
      </c>
      <c r="L109" s="275">
        <v>6173484</v>
      </c>
      <c r="M109" s="275">
        <v>6579874</v>
      </c>
      <c r="N109" s="275">
        <v>6064440</v>
      </c>
      <c r="O109" s="275">
        <v>6119302</v>
      </c>
      <c r="P109" s="275">
        <v>6008888</v>
      </c>
      <c r="Q109" s="275">
        <v>5820556</v>
      </c>
      <c r="R109" s="275">
        <v>5156716</v>
      </c>
      <c r="S109" s="275">
        <v>5105415</v>
      </c>
      <c r="T109" s="275">
        <v>5130051</v>
      </c>
      <c r="U109" s="275">
        <v>5617286</v>
      </c>
      <c r="V109" s="275">
        <v>5917687</v>
      </c>
      <c r="W109" s="275">
        <v>6414542</v>
      </c>
      <c r="X109" s="275">
        <v>6320242</v>
      </c>
    </row>
    <row r="110" spans="1:24" ht="14.25" thickBot="1" x14ac:dyDescent="0.3">
      <c r="A110" s="224" t="s">
        <v>23</v>
      </c>
      <c r="B110" s="273">
        <v>498007</v>
      </c>
      <c r="C110" s="273">
        <v>346312</v>
      </c>
      <c r="D110" s="273">
        <v>432520</v>
      </c>
      <c r="E110" s="273">
        <v>449408</v>
      </c>
      <c r="F110" s="273">
        <v>1006181</v>
      </c>
      <c r="G110" s="273">
        <v>969210</v>
      </c>
      <c r="H110" s="273">
        <v>911945</v>
      </c>
      <c r="I110" s="273">
        <v>1819304</v>
      </c>
      <c r="J110" s="273">
        <v>2303108</v>
      </c>
      <c r="K110" s="273">
        <v>2900264</v>
      </c>
      <c r="L110" s="273">
        <v>2387091</v>
      </c>
      <c r="M110" s="273">
        <v>3802172</v>
      </c>
      <c r="N110" s="273">
        <v>4277578</v>
      </c>
      <c r="O110" s="273">
        <v>4461600</v>
      </c>
      <c r="P110" s="273">
        <v>4499634</v>
      </c>
      <c r="Q110" s="273">
        <v>4307404</v>
      </c>
      <c r="R110" s="273">
        <v>4020805</v>
      </c>
      <c r="S110" s="273">
        <v>3890647</v>
      </c>
      <c r="T110" s="273">
        <v>4307059</v>
      </c>
      <c r="U110" s="273">
        <v>4159662</v>
      </c>
      <c r="V110" s="273">
        <v>3770846</v>
      </c>
      <c r="W110" s="273">
        <v>3414281</v>
      </c>
      <c r="X110" s="273">
        <v>4693342</v>
      </c>
    </row>
    <row r="111" spans="1:24" ht="14.25" thickBot="1" x14ac:dyDescent="0.3">
      <c r="A111" s="225" t="s">
        <v>24</v>
      </c>
      <c r="B111" s="275">
        <v>17089070</v>
      </c>
      <c r="C111" s="275">
        <v>17184756</v>
      </c>
      <c r="D111" s="275">
        <v>17189566</v>
      </c>
      <c r="E111" s="275">
        <v>17833208</v>
      </c>
      <c r="F111" s="275">
        <v>18760907</v>
      </c>
      <c r="G111" s="275">
        <v>19250499</v>
      </c>
      <c r="H111" s="275">
        <v>19322351</v>
      </c>
      <c r="I111" s="275">
        <v>21675686</v>
      </c>
      <c r="J111" s="275">
        <v>22867090</v>
      </c>
      <c r="K111" s="275">
        <v>23658562</v>
      </c>
      <c r="L111" s="275">
        <v>24923807</v>
      </c>
      <c r="M111" s="275">
        <v>26804471</v>
      </c>
      <c r="N111" s="275">
        <v>26374500</v>
      </c>
      <c r="O111" s="275">
        <v>26691625</v>
      </c>
      <c r="P111" s="275">
        <v>28414986</v>
      </c>
      <c r="Q111" s="275">
        <v>28072069</v>
      </c>
      <c r="R111" s="275">
        <v>27930160</v>
      </c>
      <c r="S111" s="275">
        <v>28186626</v>
      </c>
      <c r="T111" s="275">
        <v>27765539</v>
      </c>
      <c r="U111" s="275">
        <v>28702073</v>
      </c>
      <c r="V111" s="275">
        <v>26934755</v>
      </c>
      <c r="W111" s="275">
        <v>26511463</v>
      </c>
      <c r="X111" s="275">
        <v>25640450</v>
      </c>
    </row>
    <row r="112" spans="1:24" ht="14.25" thickBot="1" x14ac:dyDescent="0.3">
      <c r="A112" s="224" t="s">
        <v>25</v>
      </c>
      <c r="B112" s="273">
        <v>156505</v>
      </c>
      <c r="C112" s="273">
        <v>157135</v>
      </c>
      <c r="D112" s="273">
        <v>156138</v>
      </c>
      <c r="E112" s="273">
        <v>155704</v>
      </c>
      <c r="F112" s="273">
        <v>132705</v>
      </c>
      <c r="G112" s="273">
        <v>133003</v>
      </c>
      <c r="H112" s="273">
        <v>132271</v>
      </c>
      <c r="I112" s="273">
        <v>132671</v>
      </c>
      <c r="J112" s="273">
        <v>133803</v>
      </c>
      <c r="K112" s="273">
        <v>132773</v>
      </c>
      <c r="L112" s="273">
        <v>133718</v>
      </c>
      <c r="M112" s="273">
        <v>135813</v>
      </c>
      <c r="N112" s="273">
        <v>135217</v>
      </c>
      <c r="O112" s="273">
        <v>127735</v>
      </c>
      <c r="P112" s="273">
        <v>131159</v>
      </c>
      <c r="Q112" s="273">
        <v>131082</v>
      </c>
      <c r="R112" s="273">
        <v>129992</v>
      </c>
      <c r="S112" s="273">
        <v>125200</v>
      </c>
      <c r="T112" s="273">
        <v>123641</v>
      </c>
      <c r="U112" s="273">
        <v>125157</v>
      </c>
      <c r="V112" s="273">
        <v>121887</v>
      </c>
      <c r="W112" s="273">
        <v>122040</v>
      </c>
      <c r="X112" s="273">
        <v>121768</v>
      </c>
    </row>
    <row r="113" spans="1:24" ht="14.25" thickBot="1" x14ac:dyDescent="0.3">
      <c r="A113" s="225" t="s">
        <v>26</v>
      </c>
      <c r="B113" s="275">
        <v>7112380</v>
      </c>
      <c r="C113" s="275">
        <v>7552344</v>
      </c>
      <c r="D113" s="275">
        <v>7677009</v>
      </c>
      <c r="E113" s="275">
        <v>7893290</v>
      </c>
      <c r="F113" s="275">
        <v>7548797</v>
      </c>
      <c r="G113" s="275">
        <v>7986772</v>
      </c>
      <c r="H113" s="275">
        <v>8010060</v>
      </c>
      <c r="I113" s="275">
        <v>9540220</v>
      </c>
      <c r="J113" s="275">
        <v>9524198</v>
      </c>
      <c r="K113" s="275">
        <v>9397098</v>
      </c>
      <c r="L113" s="275">
        <v>9539678</v>
      </c>
      <c r="M113" s="275">
        <v>10318243</v>
      </c>
      <c r="N113" s="275">
        <v>10143045</v>
      </c>
      <c r="O113" s="275">
        <v>9953253</v>
      </c>
      <c r="P113" s="275">
        <v>10128179</v>
      </c>
      <c r="Q113" s="275">
        <v>10501413</v>
      </c>
      <c r="R113" s="275">
        <v>10299882</v>
      </c>
      <c r="S113" s="275">
        <v>10441435</v>
      </c>
      <c r="T113" s="275">
        <v>10445759</v>
      </c>
      <c r="U113" s="275">
        <v>10529959</v>
      </c>
      <c r="V113" s="275">
        <v>10194874</v>
      </c>
      <c r="W113" s="275">
        <v>10833460</v>
      </c>
      <c r="X113" s="275">
        <v>11161408</v>
      </c>
    </row>
    <row r="114" spans="1:24" ht="14.25" thickBot="1" x14ac:dyDescent="0.3">
      <c r="A114" s="224" t="s">
        <v>27</v>
      </c>
      <c r="B114" s="273">
        <v>555443</v>
      </c>
      <c r="C114" s="273">
        <v>537166</v>
      </c>
      <c r="D114" s="273">
        <v>523018</v>
      </c>
      <c r="E114" s="273">
        <v>486253</v>
      </c>
      <c r="F114" s="273">
        <v>1425825</v>
      </c>
      <c r="G114" s="273">
        <v>1721512</v>
      </c>
      <c r="H114" s="273">
        <v>1829545</v>
      </c>
      <c r="I114" s="273">
        <v>1049976</v>
      </c>
      <c r="J114" s="273">
        <v>1164974</v>
      </c>
      <c r="K114" s="273">
        <v>1213657</v>
      </c>
      <c r="L114" s="273">
        <v>1219478</v>
      </c>
      <c r="M114" s="273">
        <v>1170341</v>
      </c>
      <c r="N114" s="273">
        <v>1332733</v>
      </c>
      <c r="O114" s="273">
        <v>1548039</v>
      </c>
      <c r="P114" s="273">
        <v>1647855</v>
      </c>
      <c r="Q114" s="273">
        <v>2119996</v>
      </c>
      <c r="R114" s="273">
        <v>2093782</v>
      </c>
      <c r="S114" s="273">
        <v>2059313</v>
      </c>
      <c r="T114" s="273">
        <v>2049178</v>
      </c>
      <c r="U114" s="273">
        <v>2520203</v>
      </c>
      <c r="V114" s="273">
        <v>2699587</v>
      </c>
      <c r="W114" s="273">
        <v>3021871</v>
      </c>
      <c r="X114" s="273">
        <v>3237779</v>
      </c>
    </row>
    <row r="115" spans="1:24" ht="14.25" thickBot="1" x14ac:dyDescent="0.3">
      <c r="A115" s="225" t="s">
        <v>265</v>
      </c>
      <c r="B115" s="276">
        <v>24913398</v>
      </c>
      <c r="C115" s="276">
        <v>25431401</v>
      </c>
      <c r="D115" s="276">
        <v>25545731</v>
      </c>
      <c r="E115" s="276">
        <v>26368455</v>
      </c>
      <c r="F115" s="276">
        <v>27868234</v>
      </c>
      <c r="G115" s="276">
        <v>29091786</v>
      </c>
      <c r="H115" s="276">
        <v>29294227</v>
      </c>
      <c r="I115" s="276">
        <v>32398553</v>
      </c>
      <c r="J115" s="276">
        <v>33690065</v>
      </c>
      <c r="K115" s="276">
        <v>34402090</v>
      </c>
      <c r="L115" s="276">
        <v>35816681</v>
      </c>
      <c r="M115" s="276">
        <v>38428868</v>
      </c>
      <c r="N115" s="276">
        <v>37985495</v>
      </c>
      <c r="O115" s="276">
        <v>38320652</v>
      </c>
      <c r="P115" s="276">
        <v>40322179</v>
      </c>
      <c r="Q115" s="276">
        <v>40824560</v>
      </c>
      <c r="R115" s="276">
        <v>40453816</v>
      </c>
      <c r="S115" s="276">
        <v>40812574</v>
      </c>
      <c r="T115" s="276">
        <v>40384117</v>
      </c>
      <c r="U115" s="276">
        <v>41877392</v>
      </c>
      <c r="V115" s="276">
        <v>39951103</v>
      </c>
      <c r="W115" s="276">
        <v>40488834</v>
      </c>
      <c r="X115" s="276">
        <v>40161405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2073341</v>
      </c>
      <c r="C118" s="273">
        <v>1550586</v>
      </c>
      <c r="D118" s="273">
        <v>1184339</v>
      </c>
      <c r="E118" s="273">
        <v>1448196</v>
      </c>
      <c r="F118" s="273">
        <v>1534053</v>
      </c>
      <c r="G118" s="273">
        <v>1220620</v>
      </c>
      <c r="H118" s="273">
        <v>1014748</v>
      </c>
      <c r="I118" s="273">
        <v>1588166</v>
      </c>
      <c r="J118" s="273">
        <v>1950442</v>
      </c>
      <c r="K118" s="273">
        <v>2030723</v>
      </c>
      <c r="L118" s="273">
        <v>1966190</v>
      </c>
      <c r="M118" s="273">
        <v>1882036</v>
      </c>
      <c r="N118" s="273">
        <v>1699952</v>
      </c>
      <c r="O118" s="273">
        <v>1361700</v>
      </c>
      <c r="P118" s="273">
        <v>1227258</v>
      </c>
      <c r="Q118" s="273">
        <v>1018146</v>
      </c>
      <c r="R118" s="273">
        <v>657075</v>
      </c>
      <c r="S118" s="273">
        <v>639985</v>
      </c>
      <c r="T118" s="273">
        <v>634364</v>
      </c>
      <c r="U118" s="273">
        <v>596461</v>
      </c>
      <c r="V118" s="273">
        <v>430000</v>
      </c>
      <c r="W118" s="273">
        <v>330000</v>
      </c>
      <c r="X118" s="273">
        <v>320000</v>
      </c>
    </row>
    <row r="119" spans="1:24" ht="14.25" thickBot="1" x14ac:dyDescent="0.3">
      <c r="A119" s="225" t="s">
        <v>29</v>
      </c>
      <c r="B119" s="275">
        <v>139673</v>
      </c>
      <c r="C119" s="275">
        <v>139682</v>
      </c>
      <c r="D119" s="275">
        <v>139284</v>
      </c>
      <c r="E119" s="275">
        <v>139706</v>
      </c>
      <c r="F119" s="275">
        <v>139295</v>
      </c>
      <c r="G119" s="275">
        <v>139711</v>
      </c>
      <c r="H119" s="275">
        <v>149356</v>
      </c>
      <c r="I119" s="275">
        <v>149340</v>
      </c>
      <c r="J119" s="275">
        <v>149473</v>
      </c>
      <c r="K119" s="275">
        <v>149311</v>
      </c>
      <c r="L119" s="275">
        <v>149401</v>
      </c>
      <c r="M119" s="275">
        <v>149377</v>
      </c>
      <c r="N119" s="275">
        <v>149463</v>
      </c>
      <c r="O119" s="275">
        <v>149216</v>
      </c>
      <c r="P119" s="275">
        <v>149532</v>
      </c>
      <c r="Q119" s="275">
        <v>149288</v>
      </c>
      <c r="R119" s="275">
        <v>149605</v>
      </c>
      <c r="S119" s="275">
        <v>149380</v>
      </c>
      <c r="T119" s="275">
        <v>149482</v>
      </c>
      <c r="U119" s="275">
        <v>149472</v>
      </c>
      <c r="V119" s="275">
        <v>149545</v>
      </c>
      <c r="W119" s="275">
        <v>149314</v>
      </c>
      <c r="X119" s="275">
        <v>149607</v>
      </c>
    </row>
    <row r="120" spans="1:24" ht="14.25" thickBot="1" x14ac:dyDescent="0.3">
      <c r="A120" s="224" t="s">
        <v>266</v>
      </c>
      <c r="B120" s="273">
        <v>2036954</v>
      </c>
      <c r="C120" s="273">
        <v>2035579</v>
      </c>
      <c r="D120" s="273">
        <v>1970598</v>
      </c>
      <c r="E120" s="273">
        <v>1655985</v>
      </c>
      <c r="F120" s="273">
        <v>1730008</v>
      </c>
      <c r="G120" s="273">
        <v>2064369</v>
      </c>
      <c r="H120" s="273">
        <v>1671556</v>
      </c>
      <c r="I120" s="273">
        <v>1995940</v>
      </c>
      <c r="J120" s="273">
        <v>1917209</v>
      </c>
      <c r="K120" s="273">
        <v>1941790</v>
      </c>
      <c r="L120" s="273">
        <v>1904377</v>
      </c>
      <c r="M120" s="273">
        <v>2022275</v>
      </c>
      <c r="N120" s="273">
        <v>1770662</v>
      </c>
      <c r="O120" s="273">
        <v>1783863</v>
      </c>
      <c r="P120" s="273">
        <v>1595785</v>
      </c>
      <c r="Q120" s="273">
        <v>1510949</v>
      </c>
      <c r="R120" s="273">
        <v>1479617</v>
      </c>
      <c r="S120" s="273">
        <v>1654678</v>
      </c>
      <c r="T120" s="273">
        <v>1550990</v>
      </c>
      <c r="U120" s="273">
        <v>2006534</v>
      </c>
      <c r="V120" s="273">
        <v>2193596</v>
      </c>
      <c r="W120" s="273">
        <v>2385536</v>
      </c>
      <c r="X120" s="273">
        <v>2116222</v>
      </c>
    </row>
    <row r="121" spans="1:24" ht="14.25" thickBot="1" x14ac:dyDescent="0.3">
      <c r="A121" s="225" t="s">
        <v>267</v>
      </c>
      <c r="B121" s="275">
        <v>229832</v>
      </c>
      <c r="C121" s="275">
        <v>187026</v>
      </c>
      <c r="D121" s="275">
        <v>208681</v>
      </c>
      <c r="E121" s="275">
        <v>161975</v>
      </c>
      <c r="F121" s="275">
        <v>325370</v>
      </c>
      <c r="G121" s="275">
        <v>270189</v>
      </c>
      <c r="H121" s="275">
        <v>277677</v>
      </c>
      <c r="I121" s="275">
        <v>255828</v>
      </c>
      <c r="J121" s="275">
        <v>374230</v>
      </c>
      <c r="K121" s="275">
        <v>359909</v>
      </c>
      <c r="L121" s="275">
        <v>375777</v>
      </c>
      <c r="M121" s="275">
        <v>264425</v>
      </c>
      <c r="N121" s="275">
        <v>420069</v>
      </c>
      <c r="O121" s="275">
        <v>305497</v>
      </c>
      <c r="P121" s="275">
        <v>301955</v>
      </c>
      <c r="Q121" s="275">
        <v>255008</v>
      </c>
      <c r="R121" s="275">
        <v>397861</v>
      </c>
      <c r="S121" s="275">
        <v>316339</v>
      </c>
      <c r="T121" s="275">
        <v>306769</v>
      </c>
      <c r="U121" s="275">
        <v>304820</v>
      </c>
      <c r="V121" s="275">
        <v>404297</v>
      </c>
      <c r="W121" s="275">
        <v>260043</v>
      </c>
      <c r="X121" s="275">
        <v>237367</v>
      </c>
    </row>
    <row r="122" spans="1:24" ht="14.25" thickBot="1" x14ac:dyDescent="0.3">
      <c r="A122" s="224" t="s">
        <v>30</v>
      </c>
      <c r="B122" s="273">
        <v>847316</v>
      </c>
      <c r="C122" s="273">
        <v>1081781</v>
      </c>
      <c r="D122" s="273">
        <v>1090943</v>
      </c>
      <c r="E122" s="273">
        <v>1118234</v>
      </c>
      <c r="F122" s="273">
        <v>1020333</v>
      </c>
      <c r="G122" s="273">
        <v>1083185</v>
      </c>
      <c r="H122" s="273">
        <v>815961</v>
      </c>
      <c r="I122" s="273">
        <v>801568</v>
      </c>
      <c r="J122" s="273">
        <v>1185385</v>
      </c>
      <c r="K122" s="273">
        <v>1149081</v>
      </c>
      <c r="L122" s="273">
        <v>904185</v>
      </c>
      <c r="M122" s="273">
        <v>1450699</v>
      </c>
      <c r="N122" s="273">
        <v>1366040</v>
      </c>
      <c r="O122" s="273">
        <v>2001953</v>
      </c>
      <c r="P122" s="273">
        <v>2936390</v>
      </c>
      <c r="Q122" s="273">
        <v>1779971</v>
      </c>
      <c r="R122" s="273">
        <v>2023174</v>
      </c>
      <c r="S122" s="273">
        <v>1589443</v>
      </c>
      <c r="T122" s="273">
        <v>1902580</v>
      </c>
      <c r="U122" s="273">
        <v>2888218</v>
      </c>
      <c r="V122" s="273">
        <v>2168479</v>
      </c>
      <c r="W122" s="273">
        <v>2619587</v>
      </c>
      <c r="X122" s="273">
        <v>2017105</v>
      </c>
    </row>
    <row r="123" spans="1:24" ht="14.25" thickBot="1" x14ac:dyDescent="0.3">
      <c r="A123" s="225" t="s">
        <v>31</v>
      </c>
      <c r="B123" s="275">
        <v>1267779</v>
      </c>
      <c r="C123" s="275">
        <v>2473236</v>
      </c>
      <c r="D123" s="275">
        <v>1587994</v>
      </c>
      <c r="E123" s="275">
        <v>1647915</v>
      </c>
      <c r="F123" s="275">
        <v>1706393</v>
      </c>
      <c r="G123" s="275">
        <v>3101859</v>
      </c>
      <c r="H123" s="275">
        <v>3147947</v>
      </c>
      <c r="I123" s="275">
        <v>2293967</v>
      </c>
      <c r="J123" s="275">
        <v>2098298</v>
      </c>
      <c r="K123" s="275">
        <v>3758122</v>
      </c>
      <c r="L123" s="275">
        <v>3776770</v>
      </c>
      <c r="M123" s="275">
        <v>2501334</v>
      </c>
      <c r="N123" s="275">
        <v>2208324</v>
      </c>
      <c r="O123" s="275">
        <v>4056035</v>
      </c>
      <c r="P123" s="275">
        <v>4100112</v>
      </c>
      <c r="Q123" s="275">
        <v>2411242</v>
      </c>
      <c r="R123" s="275">
        <v>2167770</v>
      </c>
      <c r="S123" s="275">
        <v>4096280</v>
      </c>
      <c r="T123" s="275">
        <v>4034148</v>
      </c>
      <c r="U123" s="275">
        <v>2237419</v>
      </c>
      <c r="V123" s="275">
        <v>1746539</v>
      </c>
      <c r="W123" s="275">
        <v>3668756</v>
      </c>
      <c r="X123" s="275">
        <v>1877811</v>
      </c>
    </row>
    <row r="124" spans="1:24" ht="14.25" thickBot="1" x14ac:dyDescent="0.3">
      <c r="A124" s="224" t="s">
        <v>268</v>
      </c>
      <c r="B124" s="273">
        <v>6594895</v>
      </c>
      <c r="C124" s="273">
        <v>7467890</v>
      </c>
      <c r="D124" s="273">
        <v>6181839</v>
      </c>
      <c r="E124" s="273">
        <v>6172011</v>
      </c>
      <c r="F124" s="273">
        <v>6455452</v>
      </c>
      <c r="G124" s="273">
        <v>7879933</v>
      </c>
      <c r="H124" s="273">
        <v>7077245</v>
      </c>
      <c r="I124" s="273">
        <v>7084809</v>
      </c>
      <c r="J124" s="273">
        <v>7675037</v>
      </c>
      <c r="K124" s="273">
        <v>9388936</v>
      </c>
      <c r="L124" s="273">
        <v>9076700</v>
      </c>
      <c r="M124" s="273">
        <v>8270146</v>
      </c>
      <c r="N124" s="273">
        <v>7614510</v>
      </c>
      <c r="O124" s="273">
        <v>9658264</v>
      </c>
      <c r="P124" s="273">
        <v>10311032</v>
      </c>
      <c r="Q124" s="273">
        <v>7124604</v>
      </c>
      <c r="R124" s="273">
        <v>6875102</v>
      </c>
      <c r="S124" s="273">
        <v>8446105</v>
      </c>
      <c r="T124" s="273">
        <v>8578333</v>
      </c>
      <c r="U124" s="273">
        <v>8182924</v>
      </c>
      <c r="V124" s="273">
        <v>7092456</v>
      </c>
      <c r="W124" s="273">
        <v>9413236</v>
      </c>
      <c r="X124" s="273">
        <v>6718112</v>
      </c>
    </row>
    <row r="125" spans="1:24" ht="14.25" thickBot="1" x14ac:dyDescent="0.3">
      <c r="A125" s="225" t="s">
        <v>32</v>
      </c>
      <c r="B125" s="275">
        <v>3625282</v>
      </c>
      <c r="C125" s="275">
        <v>3515771</v>
      </c>
      <c r="D125" s="275">
        <v>4523506</v>
      </c>
      <c r="E125" s="275">
        <v>4550771</v>
      </c>
      <c r="F125" s="275">
        <v>5989137</v>
      </c>
      <c r="G125" s="275">
        <v>5911947</v>
      </c>
      <c r="H125" s="275">
        <v>6280699</v>
      </c>
      <c r="I125" s="275">
        <v>8501078</v>
      </c>
      <c r="J125" s="275">
        <v>8077656</v>
      </c>
      <c r="K125" s="275">
        <v>7892006</v>
      </c>
      <c r="L125" s="275">
        <v>8344464</v>
      </c>
      <c r="M125" s="275">
        <v>9985887</v>
      </c>
      <c r="N125" s="275">
        <v>9939230</v>
      </c>
      <c r="O125" s="275">
        <v>9458928</v>
      </c>
      <c r="P125" s="275">
        <v>8775854</v>
      </c>
      <c r="Q125" s="275">
        <v>12013571</v>
      </c>
      <c r="R125" s="275">
        <v>11602072</v>
      </c>
      <c r="S125" s="275">
        <v>11709364</v>
      </c>
      <c r="T125" s="275">
        <v>11162695</v>
      </c>
      <c r="U125" s="275">
        <v>12153822</v>
      </c>
      <c r="V125" s="275">
        <v>12414465</v>
      </c>
      <c r="W125" s="275">
        <v>12030944</v>
      </c>
      <c r="X125" s="275">
        <v>14085768</v>
      </c>
    </row>
    <row r="126" spans="1:24" ht="14.25" thickBot="1" x14ac:dyDescent="0.3">
      <c r="A126" s="224" t="s">
        <v>33</v>
      </c>
      <c r="B126" s="273">
        <v>1272926</v>
      </c>
      <c r="C126" s="273">
        <v>1291814</v>
      </c>
      <c r="D126" s="273">
        <v>1228552</v>
      </c>
      <c r="E126" s="273">
        <v>1241127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11493103</v>
      </c>
      <c r="C127" s="275">
        <v>12275475</v>
      </c>
      <c r="D127" s="275">
        <v>11933897</v>
      </c>
      <c r="E127" s="275">
        <v>11963909</v>
      </c>
      <c r="F127" s="275">
        <v>12444589</v>
      </c>
      <c r="G127" s="275">
        <v>13791880</v>
      </c>
      <c r="H127" s="275">
        <v>13357944</v>
      </c>
      <c r="I127" s="275">
        <v>15585887</v>
      </c>
      <c r="J127" s="275">
        <v>15752693</v>
      </c>
      <c r="K127" s="275">
        <v>17280942</v>
      </c>
      <c r="L127" s="275">
        <v>17421164</v>
      </c>
      <c r="M127" s="275">
        <v>18256033</v>
      </c>
      <c r="N127" s="275">
        <v>17553740</v>
      </c>
      <c r="O127" s="275">
        <v>19117192</v>
      </c>
      <c r="P127" s="275">
        <v>19086886</v>
      </c>
      <c r="Q127" s="275">
        <v>19138175</v>
      </c>
      <c r="R127" s="275">
        <v>18477174</v>
      </c>
      <c r="S127" s="275">
        <v>20155469</v>
      </c>
      <c r="T127" s="275">
        <v>19741028</v>
      </c>
      <c r="U127" s="275">
        <v>20336746</v>
      </c>
      <c r="V127" s="275">
        <v>19506921</v>
      </c>
      <c r="W127" s="275">
        <v>21444180</v>
      </c>
      <c r="X127" s="275">
        <v>20803880</v>
      </c>
    </row>
    <row r="128" spans="1:24" ht="14.25" thickBot="1" x14ac:dyDescent="0.3">
      <c r="A128" s="224" t="s">
        <v>34</v>
      </c>
      <c r="B128" s="273">
        <v>13420295</v>
      </c>
      <c r="C128" s="273">
        <v>13155926</v>
      </c>
      <c r="D128" s="273">
        <v>13611834</v>
      </c>
      <c r="E128" s="273">
        <v>14404546</v>
      </c>
      <c r="F128" s="273">
        <v>15423645</v>
      </c>
      <c r="G128" s="273">
        <v>15299906</v>
      </c>
      <c r="H128" s="273">
        <v>15936283</v>
      </c>
      <c r="I128" s="273">
        <v>16812666</v>
      </c>
      <c r="J128" s="273">
        <v>17937372</v>
      </c>
      <c r="K128" s="273">
        <v>17121148</v>
      </c>
      <c r="L128" s="273">
        <v>18395517</v>
      </c>
      <c r="M128" s="273">
        <v>20172835</v>
      </c>
      <c r="N128" s="273">
        <v>20431755</v>
      </c>
      <c r="O128" s="273">
        <v>19203460</v>
      </c>
      <c r="P128" s="273">
        <v>21235293</v>
      </c>
      <c r="Q128" s="273">
        <v>21686385</v>
      </c>
      <c r="R128" s="273">
        <v>21976642</v>
      </c>
      <c r="S128" s="273">
        <v>20657105</v>
      </c>
      <c r="T128" s="273">
        <v>20643089</v>
      </c>
      <c r="U128" s="273">
        <v>21540646</v>
      </c>
      <c r="V128" s="273">
        <v>20444182</v>
      </c>
      <c r="W128" s="273">
        <v>19044654</v>
      </c>
      <c r="X128" s="273">
        <v>19357525</v>
      </c>
    </row>
    <row r="129" spans="1:24" ht="14.25" thickBot="1" x14ac:dyDescent="0.3">
      <c r="A129" s="225" t="s">
        <v>35</v>
      </c>
      <c r="B129" s="276">
        <v>24913398</v>
      </c>
      <c r="C129" s="276">
        <v>25431401</v>
      </c>
      <c r="D129" s="276">
        <v>25545731</v>
      </c>
      <c r="E129" s="276">
        <v>26368455</v>
      </c>
      <c r="F129" s="276">
        <v>27868234</v>
      </c>
      <c r="G129" s="276">
        <v>29091786</v>
      </c>
      <c r="H129" s="276">
        <v>29294227</v>
      </c>
      <c r="I129" s="276">
        <v>32398553</v>
      </c>
      <c r="J129" s="276">
        <v>33690065</v>
      </c>
      <c r="K129" s="276">
        <v>34402090</v>
      </c>
      <c r="L129" s="276">
        <v>35816681</v>
      </c>
      <c r="M129" s="276">
        <v>38428868</v>
      </c>
      <c r="N129" s="276">
        <v>37985495</v>
      </c>
      <c r="O129" s="276">
        <v>38320652</v>
      </c>
      <c r="P129" s="276">
        <v>40322179</v>
      </c>
      <c r="Q129" s="276">
        <v>40824560</v>
      </c>
      <c r="R129" s="276">
        <v>40453816</v>
      </c>
      <c r="S129" s="276">
        <v>40812574</v>
      </c>
      <c r="T129" s="276">
        <v>40384117</v>
      </c>
      <c r="U129" s="276">
        <v>41877392</v>
      </c>
      <c r="V129" s="276">
        <v>39951103</v>
      </c>
      <c r="W129" s="276">
        <v>40488834</v>
      </c>
      <c r="X129" s="276">
        <v>40161405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6.42</v>
      </c>
      <c r="C132" s="68">
        <v>6</v>
      </c>
      <c r="D132" s="68">
        <v>5.08</v>
      </c>
      <c r="E132" s="68">
        <v>6.43</v>
      </c>
      <c r="F132" s="68">
        <v>5.12</v>
      </c>
    </row>
    <row r="133" spans="1:24" ht="14.25" thickBot="1" x14ac:dyDescent="0.3">
      <c r="A133" s="225" t="s">
        <v>37</v>
      </c>
      <c r="B133" s="274">
        <v>-2.41</v>
      </c>
      <c r="C133" s="274">
        <v>-4.24</v>
      </c>
      <c r="D133" s="274">
        <v>-4.29</v>
      </c>
      <c r="E133" s="274">
        <v>-3.7</v>
      </c>
      <c r="F133" s="274">
        <v>-2.77</v>
      </c>
    </row>
    <row r="134" spans="1:24" ht="14.25" thickBot="1" x14ac:dyDescent="0.3">
      <c r="A134" s="224" t="s">
        <v>38</v>
      </c>
      <c r="B134" s="68">
        <v>-0.12</v>
      </c>
      <c r="C134" s="68">
        <v>-0.46</v>
      </c>
      <c r="D134" s="68">
        <v>0.75</v>
      </c>
      <c r="E134" s="68">
        <v>-0.42</v>
      </c>
      <c r="F134" s="68">
        <v>-0.57999999999999996</v>
      </c>
    </row>
    <row r="135" spans="1:24" ht="14.25" thickBot="1" x14ac:dyDescent="0.3">
      <c r="A135" s="225" t="s">
        <v>270</v>
      </c>
      <c r="B135" s="274">
        <v>4.01</v>
      </c>
      <c r="C135" s="274">
        <v>1.76</v>
      </c>
      <c r="D135" s="274">
        <v>0.78</v>
      </c>
      <c r="E135" s="274">
        <v>2.73</v>
      </c>
      <c r="F135" s="274">
        <v>2.35</v>
      </c>
    </row>
    <row r="136" spans="1:24" ht="14.25" thickBot="1" x14ac:dyDescent="0.3">
      <c r="A136" s="229" t="s">
        <v>39</v>
      </c>
      <c r="B136" s="72">
        <v>3.89</v>
      </c>
      <c r="C136" s="72">
        <v>1.3</v>
      </c>
      <c r="D136" s="72">
        <v>1.53</v>
      </c>
      <c r="E136" s="72">
        <v>2.31</v>
      </c>
      <c r="F136" s="72">
        <v>1.77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1.7</v>
      </c>
      <c r="C140" s="68">
        <v>1.8</v>
      </c>
      <c r="D140" s="68">
        <v>2.25</v>
      </c>
      <c r="E140" s="68">
        <v>2.2000000000000002</v>
      </c>
      <c r="F140" s="68">
        <v>2</v>
      </c>
    </row>
    <row r="141" spans="1:24" ht="14.25" thickBot="1" x14ac:dyDescent="0.3">
      <c r="A141" s="227" t="s">
        <v>1</v>
      </c>
      <c r="B141" s="73">
        <v>0.4</v>
      </c>
      <c r="C141" s="73">
        <v>0.7</v>
      </c>
      <c r="D141" s="73">
        <v>0.5</v>
      </c>
      <c r="E141" s="73">
        <v>0.2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0.46575342465753428</v>
      </c>
      <c r="C142" s="234">
        <f>IF(C140&lt;&gt;"無",IF(ISNA(HLOOKUP(C139,$B$64:$F$69,6,FALSE)),"",C140/HLOOKUP(C139,$B$64:$F$69,6,FALSE)),"")</f>
        <v>0.41570438799076215</v>
      </c>
      <c r="D142" s="234">
        <f>IF(D140&lt;&gt;"無",IF(ISNA(HLOOKUP(D139,$B$64:$F$69,6,FALSE)),"",D140/HLOOKUP(D139,$B$64:$F$69,6,FALSE)),"")</f>
        <v>0.48387096774193544</v>
      </c>
      <c r="E142" s="234">
        <f>IF(E140&lt;&gt;"無",IF(ISNA(HLOOKUP(E139,$B$64:$F$69,6,FALSE)),"",E140/HLOOKUP(E139,$B$64:$F$69,6,FALSE)),"")</f>
        <v>0.53398058252427183</v>
      </c>
      <c r="F142" s="234">
        <f>IF(F140&lt;&gt;"無",IF(ISNA(HLOOKUP(F139,$B$64:$F$69,6,FALSE)),"",F140/HLOOKUP(F139,$B$64:$F$69,6,FALSE)),"")</f>
        <v>0.56022408963585435</v>
      </c>
    </row>
    <row r="143" spans="1:24" x14ac:dyDescent="0.25">
      <c r="A143" s="233" t="s">
        <v>216</v>
      </c>
      <c r="B143" s="234">
        <f>IF(OR(B140=0,B140="無"),"",B135/B140)</f>
        <v>2.3588235294117648</v>
      </c>
      <c r="C143" s="234">
        <f>IF(OR(C140=0,C140="無"),"",C135/C140)</f>
        <v>0.97777777777777775</v>
      </c>
      <c r="D143" s="234">
        <f>IF(OR(D140=0,D140="無"),"",D135/D140)</f>
        <v>0.34666666666666668</v>
      </c>
      <c r="E143" s="234">
        <f>IF(OR(E140=0,E140="無"),"",E135/E140)</f>
        <v>1.2409090909090907</v>
      </c>
      <c r="F143" s="234">
        <f>IF(OR(F140=0,F140="無"),"",F135/F140)</f>
        <v>1.175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18.89</v>
      </c>
      <c r="C146" s="68">
        <v>20.34</v>
      </c>
      <c r="D146" s="68">
        <v>22.27</v>
      </c>
      <c r="E146" s="68">
        <v>26.53</v>
      </c>
      <c r="F146" s="68">
        <v>24.75</v>
      </c>
      <c r="G146" s="68">
        <v>26.09</v>
      </c>
      <c r="H146" s="68">
        <v>25.3</v>
      </c>
      <c r="I146" s="68">
        <v>26.07</v>
      </c>
      <c r="J146" s="68">
        <v>25.62</v>
      </c>
      <c r="K146" s="68">
        <v>26.25</v>
      </c>
      <c r="L146" s="68">
        <v>26.82</v>
      </c>
      <c r="M146" s="68">
        <v>27.12</v>
      </c>
      <c r="N146" s="68">
        <v>25.08</v>
      </c>
      <c r="O146" s="68">
        <v>28.23</v>
      </c>
      <c r="P146" s="68">
        <v>26.96</v>
      </c>
      <c r="Q146" s="68">
        <v>29.7</v>
      </c>
      <c r="R146" s="68">
        <v>27.62</v>
      </c>
      <c r="S146" s="68">
        <v>28.66</v>
      </c>
      <c r="T146" s="68">
        <v>27.25</v>
      </c>
      <c r="U146" s="68">
        <v>24.41</v>
      </c>
      <c r="V146" s="68">
        <v>21.34</v>
      </c>
      <c r="W146" s="68">
        <v>18.739999999999998</v>
      </c>
      <c r="X146" s="68">
        <v>20.25</v>
      </c>
    </row>
    <row r="147" spans="1:24" s="93" customFormat="1" ht="14.25" thickBot="1" x14ac:dyDescent="0.3">
      <c r="A147" s="225" t="s">
        <v>19</v>
      </c>
      <c r="B147" s="274">
        <v>9.48</v>
      </c>
      <c r="C147" s="274">
        <v>10.87</v>
      </c>
      <c r="D147" s="274">
        <v>12.49</v>
      </c>
      <c r="E147" s="274">
        <v>14.34</v>
      </c>
      <c r="F147" s="274">
        <v>13.63</v>
      </c>
      <c r="G147" s="274">
        <v>14.51</v>
      </c>
      <c r="H147" s="274">
        <v>13.24</v>
      </c>
      <c r="I147" s="274">
        <v>12.24</v>
      </c>
      <c r="J147" s="274">
        <v>12.62</v>
      </c>
      <c r="K147" s="274">
        <v>13.47</v>
      </c>
      <c r="L147" s="274">
        <v>14.18</v>
      </c>
      <c r="M147" s="274">
        <v>11.2</v>
      </c>
      <c r="N147" s="274">
        <v>9.69</v>
      </c>
      <c r="O147" s="274">
        <v>13.93</v>
      </c>
      <c r="P147" s="274">
        <v>12.45</v>
      </c>
      <c r="Q147" s="274">
        <v>11.36</v>
      </c>
      <c r="R147" s="274">
        <v>11.65</v>
      </c>
      <c r="S147" s="274">
        <v>12.96</v>
      </c>
      <c r="T147" s="274">
        <v>11.42</v>
      </c>
      <c r="U147" s="274">
        <v>9.26</v>
      </c>
      <c r="V147" s="274">
        <v>5.95</v>
      </c>
      <c r="W147" s="274">
        <v>3.28</v>
      </c>
      <c r="X147" s="274">
        <v>4.21</v>
      </c>
    </row>
    <row r="148" spans="1:24" s="93" customFormat="1" ht="14.25" thickBot="1" x14ac:dyDescent="0.3">
      <c r="A148" s="224" t="s">
        <v>41</v>
      </c>
      <c r="B148" s="68">
        <v>9.1</v>
      </c>
      <c r="C148" s="68">
        <v>10.89</v>
      </c>
      <c r="D148" s="68">
        <v>12.49</v>
      </c>
      <c r="E148" s="68">
        <v>14.08</v>
      </c>
      <c r="F148" s="68">
        <v>14.28</v>
      </c>
      <c r="G148" s="68">
        <v>14.98</v>
      </c>
      <c r="H148" s="68">
        <v>13.61</v>
      </c>
      <c r="I148" s="68">
        <v>12.95</v>
      </c>
      <c r="J148" s="68">
        <v>13.65</v>
      </c>
      <c r="K148" s="68">
        <v>13.1</v>
      </c>
      <c r="L148" s="68">
        <v>14.78</v>
      </c>
      <c r="M148" s="68">
        <v>13.5</v>
      </c>
      <c r="N148" s="68">
        <v>9.32</v>
      </c>
      <c r="O148" s="68">
        <v>14.05</v>
      </c>
      <c r="P148" s="68">
        <v>18.399999999999999</v>
      </c>
      <c r="Q148" s="68">
        <v>12.67</v>
      </c>
      <c r="R148" s="68">
        <v>10.36</v>
      </c>
      <c r="S148" s="68">
        <v>14.82</v>
      </c>
      <c r="T148" s="68">
        <v>11.88</v>
      </c>
      <c r="U148" s="68">
        <v>14.26</v>
      </c>
      <c r="V148" s="68">
        <v>3.45</v>
      </c>
      <c r="W148" s="68">
        <v>2.1800000000000002</v>
      </c>
      <c r="X148" s="68">
        <v>2.78</v>
      </c>
    </row>
    <row r="149" spans="1:24" s="93" customFormat="1" ht="14.25" thickBot="1" x14ac:dyDescent="0.3">
      <c r="A149" s="225" t="s">
        <v>13</v>
      </c>
      <c r="B149" s="73">
        <v>7.07</v>
      </c>
      <c r="C149" s="73">
        <v>6.83</v>
      </c>
      <c r="D149" s="73">
        <v>9.92</v>
      </c>
      <c r="E149" s="73">
        <v>12.48</v>
      </c>
      <c r="F149" s="73">
        <v>11.35</v>
      </c>
      <c r="G149" s="73">
        <v>11.26</v>
      </c>
      <c r="H149" s="73">
        <v>10.99</v>
      </c>
      <c r="I149" s="73">
        <v>10.07</v>
      </c>
      <c r="J149" s="73">
        <v>10.83</v>
      </c>
      <c r="K149" s="73">
        <v>10</v>
      </c>
      <c r="L149" s="73">
        <v>11.12</v>
      </c>
      <c r="M149" s="73">
        <v>12.38</v>
      </c>
      <c r="N149" s="73">
        <v>7.64</v>
      </c>
      <c r="O149" s="73">
        <v>9.99</v>
      </c>
      <c r="P149" s="73">
        <v>15.67</v>
      </c>
      <c r="Q149" s="73">
        <v>10.81</v>
      </c>
      <c r="R149" s="73">
        <v>8.8800000000000008</v>
      </c>
      <c r="S149" s="73">
        <v>10.9</v>
      </c>
      <c r="T149" s="73">
        <v>10.42</v>
      </c>
      <c r="U149" s="73">
        <v>11.7</v>
      </c>
      <c r="V149" s="73">
        <v>2.8</v>
      </c>
      <c r="W149" s="73">
        <v>7.0000000000000007E-2</v>
      </c>
      <c r="X149" s="73">
        <v>1.73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21.95</v>
      </c>
      <c r="C152" s="68">
        <v>24.92</v>
      </c>
      <c r="D152" s="68">
        <v>26.45</v>
      </c>
      <c r="E152" s="68">
        <v>27.49</v>
      </c>
      <c r="F152" s="68">
        <v>27.03</v>
      </c>
    </row>
    <row r="153" spans="1:24" s="93" customFormat="1" ht="14.25" thickBot="1" x14ac:dyDescent="0.3">
      <c r="A153" s="225" t="s">
        <v>19</v>
      </c>
      <c r="B153" s="274">
        <v>11.77</v>
      </c>
      <c r="C153" s="274">
        <v>13.01</v>
      </c>
      <c r="D153" s="274">
        <v>12.91</v>
      </c>
      <c r="E153" s="274">
        <v>11.94</v>
      </c>
      <c r="F153" s="274">
        <v>11.36</v>
      </c>
    </row>
    <row r="154" spans="1:24" s="93" customFormat="1" ht="14.25" thickBot="1" x14ac:dyDescent="0.3">
      <c r="A154" s="224" t="s">
        <v>41</v>
      </c>
      <c r="B154" s="68">
        <v>11.62</v>
      </c>
      <c r="C154" s="68">
        <v>13.37</v>
      </c>
      <c r="D154" s="68">
        <v>13.75</v>
      </c>
      <c r="E154" s="68">
        <v>13.74</v>
      </c>
      <c r="F154" s="68">
        <v>12.88</v>
      </c>
    </row>
    <row r="155" spans="1:24" s="93" customFormat="1" ht="14.25" thickBot="1" x14ac:dyDescent="0.3">
      <c r="A155" s="225" t="s">
        <v>13</v>
      </c>
      <c r="B155" s="73">
        <v>9.01</v>
      </c>
      <c r="C155" s="73">
        <v>10.38</v>
      </c>
      <c r="D155" s="73">
        <v>11.05</v>
      </c>
      <c r="E155" s="73">
        <v>11.1</v>
      </c>
      <c r="F155" s="73">
        <v>10.49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2.1</v>
      </c>
      <c r="C158" s="68">
        <v>2.23</v>
      </c>
      <c r="D158" s="68">
        <v>3</v>
      </c>
      <c r="E158" s="68">
        <v>3.41</v>
      </c>
      <c r="F158" s="68">
        <v>2.91</v>
      </c>
      <c r="G158" s="68">
        <v>3.16</v>
      </c>
      <c r="H158" s="68">
        <v>2.82</v>
      </c>
      <c r="I158" s="68">
        <v>2.61</v>
      </c>
      <c r="J158" s="68">
        <v>2.67</v>
      </c>
      <c r="K158" s="68">
        <v>2.75</v>
      </c>
      <c r="L158" s="68">
        <v>2.74</v>
      </c>
      <c r="M158" s="68">
        <v>2.73</v>
      </c>
      <c r="N158" s="68">
        <v>1.58</v>
      </c>
      <c r="O158" s="68">
        <v>2.2999999999999998</v>
      </c>
      <c r="P158" s="68">
        <v>3.32</v>
      </c>
      <c r="Q158" s="68">
        <v>2.0299999999999998</v>
      </c>
      <c r="R158" s="68">
        <v>1.66</v>
      </c>
      <c r="S158" s="68">
        <v>2.21</v>
      </c>
      <c r="T158" s="68">
        <v>1.92</v>
      </c>
      <c r="U158" s="68">
        <v>2.14</v>
      </c>
      <c r="V158" s="68">
        <v>0.59</v>
      </c>
      <c r="W158" s="68">
        <v>0.02</v>
      </c>
      <c r="X158" s="68">
        <v>0.39</v>
      </c>
    </row>
    <row r="159" spans="1:24" s="93" customFormat="1" ht="14.25" thickBot="1" x14ac:dyDescent="0.3">
      <c r="A159" s="225" t="s">
        <v>45</v>
      </c>
      <c r="B159" s="73">
        <v>3.71</v>
      </c>
      <c r="C159" s="73">
        <v>4.08</v>
      </c>
      <c r="D159" s="73">
        <v>5.55</v>
      </c>
      <c r="E159" s="73">
        <v>6.17</v>
      </c>
      <c r="F159" s="73">
        <v>5.16</v>
      </c>
      <c r="G159" s="73">
        <v>5.78</v>
      </c>
      <c r="H159" s="73">
        <v>5.19</v>
      </c>
      <c r="I159" s="73">
        <v>4.71</v>
      </c>
      <c r="J159" s="73">
        <v>4.93</v>
      </c>
      <c r="K159" s="73">
        <v>5.19</v>
      </c>
      <c r="L159" s="73">
        <v>5.27</v>
      </c>
      <c r="M159" s="73">
        <v>5.0599999999999996</v>
      </c>
      <c r="N159" s="73">
        <v>2.8</v>
      </c>
      <c r="O159" s="73">
        <v>4.26</v>
      </c>
      <c r="P159" s="73">
        <v>6.29</v>
      </c>
      <c r="Q159" s="73">
        <v>3.65</v>
      </c>
      <c r="R159" s="73">
        <v>2.93</v>
      </c>
      <c r="S159" s="73">
        <v>4.0599999999999996</v>
      </c>
      <c r="T159" s="73">
        <v>3.61</v>
      </c>
      <c r="U159" s="73">
        <v>3.99</v>
      </c>
      <c r="V159" s="73">
        <v>0.97</v>
      </c>
      <c r="W159" s="73">
        <v>0.03</v>
      </c>
      <c r="X159" s="73">
        <v>0.68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9.01</v>
      </c>
      <c r="C162" s="68">
        <v>10.38</v>
      </c>
      <c r="D162" s="68">
        <v>11.05</v>
      </c>
      <c r="E162" s="68">
        <v>11.1</v>
      </c>
      <c r="F162" s="68">
        <v>10.49</v>
      </c>
    </row>
    <row r="163" spans="1:72" s="93" customFormat="1" ht="14.25" thickBot="1" x14ac:dyDescent="0.3">
      <c r="A163" s="225" t="s">
        <v>18</v>
      </c>
      <c r="B163" s="274">
        <v>1.1100000000000001</v>
      </c>
      <c r="C163" s="274">
        <v>1</v>
      </c>
      <c r="D163" s="274">
        <v>0.87</v>
      </c>
      <c r="E163" s="274">
        <v>0.77</v>
      </c>
      <c r="F163" s="274">
        <v>0.7</v>
      </c>
    </row>
    <row r="164" spans="1:72" s="93" customFormat="1" ht="14.25" thickBot="1" x14ac:dyDescent="0.3">
      <c r="A164" s="224" t="s">
        <v>15</v>
      </c>
      <c r="B164" s="68">
        <v>1.83</v>
      </c>
      <c r="C164" s="68">
        <v>1.93</v>
      </c>
      <c r="D164" s="68">
        <v>1.9</v>
      </c>
      <c r="E164" s="68">
        <v>1.88</v>
      </c>
      <c r="F164" s="68">
        <v>1.94</v>
      </c>
    </row>
    <row r="165" spans="1:72" s="93" customFormat="1" ht="14.25" thickBot="1" x14ac:dyDescent="0.3">
      <c r="A165" s="225" t="s">
        <v>45</v>
      </c>
      <c r="B165" s="73">
        <v>19.13</v>
      </c>
      <c r="C165" s="73">
        <v>21.57</v>
      </c>
      <c r="D165" s="73">
        <v>19.89</v>
      </c>
      <c r="E165" s="73">
        <v>16.559999999999999</v>
      </c>
      <c r="F165" s="73">
        <v>14.31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48.91</v>
      </c>
      <c r="C168" s="68">
        <v>44.78</v>
      </c>
      <c r="D168" s="68">
        <v>45.23</v>
      </c>
      <c r="E168" s="68">
        <v>46.15</v>
      </c>
      <c r="F168" s="68">
        <v>50.56</v>
      </c>
      <c r="G168" s="68">
        <v>47.62</v>
      </c>
      <c r="H168" s="68">
        <v>48.39</v>
      </c>
      <c r="I168" s="68">
        <v>41.86</v>
      </c>
      <c r="J168" s="68">
        <v>43.06</v>
      </c>
      <c r="K168" s="68">
        <v>39.299999999999997</v>
      </c>
      <c r="L168" s="68">
        <v>43.06</v>
      </c>
      <c r="M168" s="68">
        <v>47.37</v>
      </c>
      <c r="N168" s="68">
        <v>48.39</v>
      </c>
      <c r="O168" s="68">
        <v>42.25</v>
      </c>
      <c r="P168" s="68">
        <v>45</v>
      </c>
      <c r="Q168" s="68">
        <v>47.62</v>
      </c>
      <c r="R168" s="68">
        <v>47.62</v>
      </c>
      <c r="S168" s="68">
        <v>43.48</v>
      </c>
      <c r="T168" s="68">
        <v>44.12</v>
      </c>
      <c r="U168" s="68">
        <v>43.9</v>
      </c>
      <c r="V168" s="68">
        <v>46.63</v>
      </c>
      <c r="W168" s="68">
        <v>45.45</v>
      </c>
      <c r="X168" s="68">
        <v>45.69</v>
      </c>
    </row>
    <row r="169" spans="1:72" s="93" customFormat="1" ht="14.25" thickBot="1" x14ac:dyDescent="0.3">
      <c r="A169" s="225" t="s">
        <v>17</v>
      </c>
      <c r="B169" s="274">
        <v>86.54</v>
      </c>
      <c r="C169" s="274">
        <v>74.38</v>
      </c>
      <c r="D169" s="274">
        <v>74.38</v>
      </c>
      <c r="E169" s="274">
        <v>78.95</v>
      </c>
      <c r="F169" s="274">
        <v>76.92</v>
      </c>
      <c r="G169" s="274">
        <v>70.31</v>
      </c>
      <c r="H169" s="274">
        <v>72</v>
      </c>
      <c r="I169" s="274">
        <v>78.95</v>
      </c>
      <c r="J169" s="274">
        <v>91.84</v>
      </c>
      <c r="K169" s="274">
        <v>83.33</v>
      </c>
      <c r="L169" s="274">
        <v>90.91</v>
      </c>
      <c r="M169" s="274">
        <v>100</v>
      </c>
      <c r="N169" s="274">
        <v>102.27</v>
      </c>
      <c r="O169" s="274">
        <v>90</v>
      </c>
      <c r="P169" s="274">
        <v>91.84</v>
      </c>
      <c r="Q169" s="274">
        <v>104.65</v>
      </c>
      <c r="R169" s="274">
        <v>94.74</v>
      </c>
      <c r="S169" s="274">
        <v>81.819999999999993</v>
      </c>
      <c r="T169" s="274">
        <v>88.24</v>
      </c>
      <c r="U169" s="274">
        <v>89.11</v>
      </c>
      <c r="V169" s="274">
        <v>90</v>
      </c>
      <c r="W169" s="274">
        <v>87.38</v>
      </c>
      <c r="X169" s="274">
        <v>94.74</v>
      </c>
    </row>
    <row r="170" spans="1:72" s="93" customFormat="1" ht="14.25" thickBot="1" x14ac:dyDescent="0.3">
      <c r="A170" s="224" t="s">
        <v>42</v>
      </c>
      <c r="B170" s="72">
        <v>135.44999999999999</v>
      </c>
      <c r="C170" s="72">
        <v>119.16</v>
      </c>
      <c r="D170" s="72">
        <v>119.61</v>
      </c>
      <c r="E170" s="72">
        <v>125.1</v>
      </c>
      <c r="F170" s="72">
        <v>127.48</v>
      </c>
      <c r="G170" s="72">
        <v>117.93</v>
      </c>
      <c r="H170" s="72">
        <v>120.39</v>
      </c>
      <c r="I170" s="72">
        <v>120.81</v>
      </c>
      <c r="J170" s="72">
        <v>134.9</v>
      </c>
      <c r="K170" s="72">
        <v>122.63</v>
      </c>
      <c r="L170" s="72">
        <v>133.97</v>
      </c>
      <c r="M170" s="72">
        <v>147.37</v>
      </c>
      <c r="N170" s="72">
        <v>150.66</v>
      </c>
      <c r="O170" s="72">
        <v>132.25</v>
      </c>
      <c r="P170" s="72">
        <v>136.84</v>
      </c>
      <c r="Q170" s="72">
        <v>152.27000000000001</v>
      </c>
      <c r="R170" s="72">
        <v>142.36000000000001</v>
      </c>
      <c r="S170" s="72">
        <v>125.3</v>
      </c>
      <c r="T170" s="72">
        <v>132.35</v>
      </c>
      <c r="U170" s="72">
        <v>133.01</v>
      </c>
      <c r="V170" s="72">
        <v>136.63</v>
      </c>
      <c r="W170" s="72">
        <v>132.83000000000001</v>
      </c>
      <c r="X170" s="72">
        <v>140.41999999999999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177.93</v>
      </c>
      <c r="C173" s="72">
        <v>136.22999999999999</v>
      </c>
      <c r="D173" s="72">
        <v>113.11</v>
      </c>
      <c r="E173" s="72">
        <v>159.78</v>
      </c>
      <c r="F173" s="72">
        <v>144.72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7.19</v>
      </c>
      <c r="C176" s="72">
        <v>7.83</v>
      </c>
      <c r="D176" s="72">
        <v>8.14</v>
      </c>
      <c r="E176" s="72">
        <v>7.6</v>
      </c>
      <c r="F176" s="72">
        <v>14.32</v>
      </c>
      <c r="G176" s="72">
        <v>14.3</v>
      </c>
      <c r="H176" s="72">
        <v>15.33</v>
      </c>
      <c r="I176" s="72">
        <v>16.18</v>
      </c>
      <c r="J176" s="72">
        <v>15.74</v>
      </c>
      <c r="K176" s="72">
        <v>15.49</v>
      </c>
      <c r="L176" s="72">
        <v>12.36</v>
      </c>
      <c r="M176" s="72">
        <v>13.03</v>
      </c>
      <c r="N176" s="72">
        <v>13.31</v>
      </c>
      <c r="O176" s="72">
        <v>15.06</v>
      </c>
      <c r="P176" s="72">
        <v>17.649999999999999</v>
      </c>
      <c r="Q176" s="72">
        <v>16.440000000000001</v>
      </c>
      <c r="R176" s="72">
        <v>14.84</v>
      </c>
      <c r="S176" s="72">
        <v>16.559999999999999</v>
      </c>
      <c r="T176" s="72">
        <v>18.61</v>
      </c>
      <c r="U176" s="72">
        <v>14.91</v>
      </c>
      <c r="V176" s="72">
        <v>13.81</v>
      </c>
      <c r="W176" s="72">
        <v>13.4</v>
      </c>
      <c r="X176" s="72">
        <v>13.63</v>
      </c>
      <c r="Y176" s="72">
        <v>14.52</v>
      </c>
      <c r="Z176" s="72">
        <v>15.59</v>
      </c>
      <c r="AA176" s="72">
        <v>16.02</v>
      </c>
      <c r="AB176" s="72">
        <v>16.940000000000001</v>
      </c>
      <c r="AC176" s="72">
        <v>17.12</v>
      </c>
      <c r="AD176" s="72">
        <v>16.100000000000001</v>
      </c>
      <c r="AE176" s="72">
        <v>15.4</v>
      </c>
      <c r="AF176" s="72">
        <v>15.06</v>
      </c>
      <c r="AG176" s="72">
        <v>15.22</v>
      </c>
      <c r="AH176" s="72">
        <v>13.98</v>
      </c>
      <c r="AI176" s="72">
        <v>13.91</v>
      </c>
      <c r="AJ176" s="72">
        <v>14.71</v>
      </c>
      <c r="AK176" s="72">
        <v>14.79</v>
      </c>
      <c r="AL176" s="72">
        <v>14.74</v>
      </c>
      <c r="AM176" s="72">
        <v>15.19</v>
      </c>
      <c r="AN176" s="72">
        <v>14.05</v>
      </c>
      <c r="AO176" s="72">
        <v>13.44</v>
      </c>
      <c r="AP176" s="72">
        <v>13.49</v>
      </c>
      <c r="AQ176" s="72">
        <v>11.87</v>
      </c>
      <c r="AR176" s="72">
        <v>11.29</v>
      </c>
      <c r="AS176" s="72">
        <v>11.48</v>
      </c>
      <c r="AT176" s="72">
        <v>11.48</v>
      </c>
      <c r="AU176" s="72">
        <v>12.73</v>
      </c>
      <c r="AV176" s="72">
        <v>12.23</v>
      </c>
      <c r="AW176" s="72">
        <v>11.57</v>
      </c>
      <c r="AX176" s="72">
        <v>10.96</v>
      </c>
      <c r="AY176" s="72">
        <v>11.19</v>
      </c>
      <c r="AZ176" s="72">
        <v>12.59</v>
      </c>
      <c r="BA176" s="72">
        <v>13.5</v>
      </c>
      <c r="BB176" s="72">
        <v>12.77</v>
      </c>
      <c r="BC176" s="72">
        <v>12.39</v>
      </c>
      <c r="BD176" s="72">
        <v>12.27</v>
      </c>
      <c r="BE176" s="72">
        <v>12.62</v>
      </c>
      <c r="BF176" s="72">
        <v>12.1</v>
      </c>
      <c r="BG176" s="72">
        <v>11.8</v>
      </c>
      <c r="BH176" s="72">
        <v>13.59</v>
      </c>
      <c r="BI176" s="72">
        <v>13.86</v>
      </c>
      <c r="BJ176" s="72">
        <v>14.01</v>
      </c>
      <c r="BK176" s="72">
        <v>14.35</v>
      </c>
      <c r="BL176" s="72">
        <v>14.14</v>
      </c>
      <c r="BM176" s="72">
        <v>13.9</v>
      </c>
      <c r="BN176" s="72">
        <v>15.88</v>
      </c>
      <c r="BO176" s="72">
        <v>15.93</v>
      </c>
      <c r="BP176" s="72">
        <v>15.93</v>
      </c>
      <c r="BQ176" s="72">
        <v>21.88</v>
      </c>
      <c r="BR176" s="72">
        <v>21.05</v>
      </c>
      <c r="BS176" s="72">
        <v>20.16</v>
      </c>
      <c r="BT176" s="72">
        <v>28.17</v>
      </c>
    </row>
  </sheetData>
  <phoneticPr fontId="3" type="noConversion"/>
  <conditionalFormatting sqref="E4">
    <cfRule type="cellIs" dxfId="6446" priority="103" operator="greaterThan">
      <formula>0.2</formula>
    </cfRule>
    <cfRule type="cellIs" dxfId="6445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6444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443" priority="97" operator="greaterThan">
      <formula>$B$19</formula>
    </cfRule>
  </conditionalFormatting>
  <conditionalFormatting sqref="D33:D34">
    <cfRule type="cellIs" dxfId="6442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6441" priority="91" operator="lessThan">
      <formula>$H$62</formula>
    </cfRule>
    <cfRule type="cellIs" dxfId="6440" priority="92" operator="greaterThan">
      <formula>$H$62</formula>
    </cfRule>
  </conditionalFormatting>
  <conditionalFormatting sqref="J62">
    <cfRule type="cellIs" dxfId="6439" priority="89" operator="lessThan">
      <formula>$K$62</formula>
    </cfRule>
    <cfRule type="cellIs" dxfId="6438" priority="90" operator="greaterThan">
      <formula>$K$62</formula>
    </cfRule>
  </conditionalFormatting>
  <conditionalFormatting sqref="M62">
    <cfRule type="cellIs" dxfId="6437" priority="87" operator="lessThan">
      <formula>$N$62</formula>
    </cfRule>
    <cfRule type="cellIs" dxfId="6436" priority="88" operator="greaterThan">
      <formula>$N$62</formula>
    </cfRule>
  </conditionalFormatting>
  <conditionalFormatting sqref="B44:E44">
    <cfRule type="cellIs" dxfId="6435" priority="85" operator="greaterThan">
      <formula>0</formula>
    </cfRule>
    <cfRule type="cellIs" dxfId="6434" priority="86" operator="lessThan">
      <formula>0</formula>
    </cfRule>
  </conditionalFormatting>
  <conditionalFormatting sqref="F72">
    <cfRule type="cellIs" dxfId="6433" priority="84" operator="lessThan">
      <formula>$E$72*90%</formula>
    </cfRule>
  </conditionalFormatting>
  <conditionalFormatting sqref="F73">
    <cfRule type="cellIs" dxfId="6432" priority="83" operator="lessThan">
      <formula>$E$73*90%</formula>
    </cfRule>
  </conditionalFormatting>
  <conditionalFormatting sqref="F74">
    <cfRule type="cellIs" dxfId="6431" priority="82" operator="lessThan">
      <formula>$E$74*90%</formula>
    </cfRule>
  </conditionalFormatting>
  <conditionalFormatting sqref="F75">
    <cfRule type="cellIs" dxfId="6430" priority="81" operator="lessThan">
      <formula>$E$75*90%</formula>
    </cfRule>
  </conditionalFormatting>
  <conditionalFormatting sqref="H44:K44">
    <cfRule type="cellIs" dxfId="6429" priority="79" operator="greaterThan">
      <formula>0</formula>
    </cfRule>
    <cfRule type="cellIs" dxfId="6428" priority="80" operator="lessThan">
      <formula>0</formula>
    </cfRule>
  </conditionalFormatting>
  <conditionalFormatting sqref="H51:K51">
    <cfRule type="cellIs" dxfId="6427" priority="77" operator="greaterThan">
      <formula>0</formula>
    </cfRule>
    <cfRule type="cellIs" dxfId="6426" priority="78" operator="lessThan">
      <formula>0</formula>
    </cfRule>
  </conditionalFormatting>
  <conditionalFormatting sqref="B51:E51">
    <cfRule type="cellIs" dxfId="6425" priority="75" operator="greaterThan">
      <formula>0</formula>
    </cfRule>
    <cfRule type="cellIs" dxfId="6424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423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422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421" priority="58" operator="lessThan">
      <formula>0</formula>
    </cfRule>
  </conditionalFormatting>
  <conditionalFormatting sqref="A25 E25 C25">
    <cfRule type="cellIs" dxfId="6420" priority="59" operator="lessThan">
      <formula>0</formula>
    </cfRule>
  </conditionalFormatting>
  <conditionalFormatting sqref="F25">
    <cfRule type="cellIs" dxfId="6419" priority="57" operator="lessThan">
      <formula>0</formula>
    </cfRule>
  </conditionalFormatting>
  <conditionalFormatting sqref="E1">
    <cfRule type="containsText" dxfId="6418" priority="56" operator="containsText" text="本季業外損益/平均=-">
      <formula>NOT(ISERROR(SEARCH("本季業外損益/平均=-",E1)))</formula>
    </cfRule>
  </conditionalFormatting>
  <conditionalFormatting sqref="M65">
    <cfRule type="cellIs" dxfId="6417" priority="55" operator="lessThan">
      <formula>$L$65*90%</formula>
    </cfRule>
  </conditionalFormatting>
  <conditionalFormatting sqref="M66">
    <cfRule type="cellIs" dxfId="6416" priority="54" operator="lessThan">
      <formula>$L$66*90%</formula>
    </cfRule>
  </conditionalFormatting>
  <conditionalFormatting sqref="M67">
    <cfRule type="cellIs" dxfId="6415" priority="53" operator="lessThan">
      <formula>$L$67*90%</formula>
    </cfRule>
  </conditionalFormatting>
  <conditionalFormatting sqref="M68">
    <cfRule type="cellIs" dxfId="6414" priority="52" operator="lessThan">
      <formula>$L$68*90%</formula>
    </cfRule>
  </conditionalFormatting>
  <conditionalFormatting sqref="B60">
    <cfRule type="cellIs" dxfId="6413" priority="51" operator="lessThan">
      <formula>0</formula>
    </cfRule>
  </conditionalFormatting>
  <conditionalFormatting sqref="B59:F59">
    <cfRule type="cellIs" dxfId="6412" priority="50" operator="lessThanOrEqual">
      <formula>0</formula>
    </cfRule>
  </conditionalFormatting>
  <conditionalFormatting sqref="D62">
    <cfRule type="cellIs" dxfId="6411" priority="48" operator="lessThan">
      <formula>$E$62</formula>
    </cfRule>
    <cfRule type="cellIs" dxfId="6410" priority="49" operator="greaterThan">
      <formula>$E$62</formula>
    </cfRule>
  </conditionalFormatting>
  <conditionalFormatting sqref="F69">
    <cfRule type="cellIs" dxfId="6409" priority="46" operator="lessThan">
      <formula>0</formula>
    </cfRule>
  </conditionalFormatting>
  <conditionalFormatting sqref="B65:E67 B69:E69 B68:D68">
    <cfRule type="cellIs" dxfId="6408" priority="47" operator="lessThan">
      <formula>0</formula>
    </cfRule>
  </conditionalFormatting>
  <conditionalFormatting sqref="E68">
    <cfRule type="cellIs" dxfId="6407" priority="45" operator="lessThan">
      <formula>0</formula>
    </cfRule>
  </conditionalFormatting>
  <conditionalFormatting sqref="F65:F68">
    <cfRule type="cellIs" dxfId="6406" priority="44" operator="lessThan">
      <formula>0</formula>
    </cfRule>
  </conditionalFormatting>
  <conditionalFormatting sqref="F65:F68">
    <cfRule type="cellIs" dxfId="6405" priority="43" operator="lessThan">
      <formula>$E$65*0.9</formula>
    </cfRule>
  </conditionalFormatting>
  <conditionalFormatting sqref="F66">
    <cfRule type="cellIs" dxfId="6404" priority="42" operator="lessThan">
      <formula>$E$66*0.9</formula>
    </cfRule>
  </conditionalFormatting>
  <conditionalFormatting sqref="F67:F68">
    <cfRule type="cellIs" dxfId="6403" priority="41" operator="lessThan">
      <formula>$E$67*0.9</formula>
    </cfRule>
  </conditionalFormatting>
  <conditionalFormatting sqref="F68">
    <cfRule type="cellIs" dxfId="6402" priority="40" operator="lessThan">
      <formula>$E$68*0.9</formula>
    </cfRule>
  </conditionalFormatting>
  <conditionalFormatting sqref="B13:F13">
    <cfRule type="cellIs" dxfId="6401" priority="29" operator="greaterThan">
      <formula>$I$16</formula>
    </cfRule>
    <cfRule type="cellIs" dxfId="6400" priority="30" operator="lessThanOrEqual">
      <formula>$I$16</formula>
    </cfRule>
  </conditionalFormatting>
  <conditionalFormatting sqref="B10:F10">
    <cfRule type="cellIs" dxfId="6399" priority="31" operator="greaterThan">
      <formula>15</formula>
    </cfRule>
    <cfRule type="cellIs" dxfId="6398" priority="38" operator="lessThan">
      <formula>$I$9</formula>
    </cfRule>
    <cfRule type="cellIs" dxfId="6397" priority="39" operator="greaterThan">
      <formula>$I$9</formula>
    </cfRule>
  </conditionalFormatting>
  <conditionalFormatting sqref="B16:F16">
    <cfRule type="cellIs" dxfId="6396" priority="36" operator="greaterThan">
      <formula>$I$16</formula>
    </cfRule>
    <cfRule type="cellIs" dxfId="6395" priority="37" operator="lessThanOrEqual">
      <formula>$I$16</formula>
    </cfRule>
  </conditionalFormatting>
  <conditionalFormatting sqref="B15:F15">
    <cfRule type="cellIs" dxfId="6394" priority="34" operator="lessThanOrEqual">
      <formula>$I$16</formula>
    </cfRule>
    <cfRule type="cellIs" dxfId="6393" priority="35" operator="greaterThan">
      <formula>$I$16</formula>
    </cfRule>
  </conditionalFormatting>
  <conditionalFormatting sqref="B14:F14">
    <cfRule type="cellIs" dxfId="6392" priority="32" operator="greaterThan">
      <formula>$I$16</formula>
    </cfRule>
    <cfRule type="cellIs" dxfId="6391" priority="33" operator="lessThanOrEqual">
      <formula>$I$16</formula>
    </cfRule>
  </conditionalFormatting>
  <conditionalFormatting sqref="K6">
    <cfRule type="containsText" dxfId="6390" priority="27" operator="containsText" text="衰退">
      <formula>NOT(ISERROR(SEARCH("衰退",K6)))</formula>
    </cfRule>
    <cfRule type="containsText" dxfId="6389" priority="28" operator="containsText" text="成長">
      <formula>NOT(ISERROR(SEARCH("成長",K6)))</formula>
    </cfRule>
  </conditionalFormatting>
  <conditionalFormatting sqref="I4:K4">
    <cfRule type="cellIs" dxfId="6388" priority="25" operator="lessThan">
      <formula>0</formula>
    </cfRule>
    <cfRule type="cellIs" dxfId="6387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386" priority="22" operator="lessThanOrEqual">
      <formula>$I$16</formula>
    </cfRule>
    <cfRule type="cellIs" dxfId="6385" priority="23" operator="greaterThan">
      <formula>$I$16</formula>
    </cfRule>
  </conditionalFormatting>
  <conditionalFormatting sqref="I6">
    <cfRule type="containsText" dxfId="6384" priority="20" operator="containsText" text="衰退">
      <formula>NOT(ISERROR(SEARCH("衰退",I6)))</formula>
    </cfRule>
    <cfRule type="containsText" dxfId="6383" priority="21" operator="containsText" text="成長">
      <formula>NOT(ISERROR(SEARCH("成長",I6)))</formula>
    </cfRule>
  </conditionalFormatting>
  <conditionalFormatting sqref="M9">
    <cfRule type="cellIs" dxfId="6382" priority="19" operator="lessThan">
      <formula>$I$9</formula>
    </cfRule>
  </conditionalFormatting>
  <conditionalFormatting sqref="M10">
    <cfRule type="cellIs" dxfId="6381" priority="18" operator="greaterThan">
      <formula>$I$9</formula>
    </cfRule>
  </conditionalFormatting>
  <conditionalFormatting sqref="M11">
    <cfRule type="cellIs" dxfId="6380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379" priority="14" operator="lessThan">
      <formula>0</formula>
    </cfRule>
    <cfRule type="cellIs" dxfId="6378" priority="15" operator="greaterThan">
      <formula>0.5</formula>
    </cfRule>
  </conditionalFormatting>
  <conditionalFormatting sqref="N14">
    <cfRule type="cellIs" dxfId="6377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376" priority="10" operator="lessThan">
      <formula>0.1</formula>
    </cfRule>
  </conditionalFormatting>
  <conditionalFormatting sqref="I14">
    <cfRule type="cellIs" dxfId="6375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374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373" priority="1" operator="lessThan">
      <formula>$N$5*0.9</formula>
    </cfRule>
    <cfRule type="cellIs" dxfId="6372" priority="2" operator="greaterThan">
      <formula>$N$5*1.1</formula>
    </cfRule>
  </conditionalFormatting>
  <hyperlinks>
    <hyperlink ref="L1" location="儀表板!A1" display="(回首頁)" xr:uid="{00000000-0004-0000-1200-000000000000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5.1 ~ 32.88</v>
      </c>
      <c r="L1" s="83" t="s">
        <v>176</v>
      </c>
      <c r="M1" s="84" t="str">
        <f ca="1">VLOOKUP(_xlfn.NUMBERVALUE(N1),儀表板!A:B,2,FALSE)</f>
        <v>鑫永銓</v>
      </c>
      <c r="N1" s="85" t="str">
        <f ca="1">MID(CELL("filename",L1),FIND("]",CELL("filename",L1))+1,255)</f>
        <v>2114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0.18504675955467981</v>
      </c>
    </row>
    <row r="3" spans="1:15" s="93" customFormat="1" x14ac:dyDescent="0.25">
      <c r="A3" s="81" t="s">
        <v>179</v>
      </c>
      <c r="B3" s="94">
        <f>SUM(F19:F22,F24:F27,J19)</f>
        <v>85.392923649906891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52.005468480981918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58.126425974384333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65.267543050020464</v>
      </c>
      <c r="L3" s="100"/>
      <c r="M3" s="79" t="s">
        <v>385</v>
      </c>
      <c r="N3" s="92">
        <f>(F69-E69)/E69</f>
        <v>-0.13823637097652078</v>
      </c>
    </row>
    <row r="4" spans="1:15" s="93" customFormat="1" x14ac:dyDescent="0.25">
      <c r="A4" s="81" t="s">
        <v>182</v>
      </c>
      <c r="B4" s="96">
        <f>SUM(G36:G40)*2</f>
        <v>76</v>
      </c>
      <c r="C4" s="101"/>
      <c r="D4" s="102">
        <f>F4*(1+F141/10)</f>
        <v>6.75</v>
      </c>
      <c r="E4" s="82">
        <f>(D4-F4)/F4</f>
        <v>0</v>
      </c>
      <c r="F4" s="103">
        <v>6.75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4.4725532346318575</v>
      </c>
    </row>
    <row r="5" spans="1:15" s="93" customFormat="1" x14ac:dyDescent="0.25">
      <c r="A5" s="81" t="s">
        <v>184</v>
      </c>
      <c r="B5" s="107">
        <f>SUM(F30:F34)*2</f>
        <v>98.581901489117982</v>
      </c>
      <c r="C5" s="87"/>
      <c r="D5" s="87"/>
      <c r="E5" s="87"/>
      <c r="F5" s="86"/>
      <c r="G5" s="88"/>
      <c r="M5" s="79" t="s">
        <v>375</v>
      </c>
      <c r="N5" s="152">
        <f>D62</f>
        <v>4.78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連4月成長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5.2782501030118656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19.07</v>
      </c>
      <c r="N9" s="129"/>
    </row>
    <row r="10" spans="1:15" s="93" customFormat="1" x14ac:dyDescent="0.25">
      <c r="A10" s="123" t="s">
        <v>194</v>
      </c>
      <c r="B10" s="126">
        <f>PERCENTILE(176:176,B9)</f>
        <v>10.78</v>
      </c>
      <c r="C10" s="126">
        <f>PERCENTILE(176:176,C9)</f>
        <v>11.469999999999999</v>
      </c>
      <c r="D10" s="126">
        <f>PERCENTILE(176:176,D9)</f>
        <v>12.82</v>
      </c>
      <c r="E10" s="126">
        <f>PERCENTILE(176:176,E9)</f>
        <v>14.395</v>
      </c>
      <c r="F10" s="126">
        <f>PERCENTILE(176:176,F9)</f>
        <v>15.61</v>
      </c>
      <c r="G10" s="95"/>
      <c r="H10" s="135"/>
      <c r="I10" s="135"/>
      <c r="J10" s="135"/>
      <c r="K10" s="135"/>
      <c r="L10" s="136" t="s">
        <v>374</v>
      </c>
      <c r="M10" s="130">
        <f>MIN(176:176)</f>
        <v>7.74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31.27</v>
      </c>
      <c r="L11" s="272" t="s">
        <v>193</v>
      </c>
      <c r="M11" s="128">
        <f>STDEV(176:176)</f>
        <v>2.6587800261330696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70.0280112044818</v>
      </c>
      <c r="C13" s="141">
        <f>$B$34/5.88%</f>
        <v>85.034013605442183</v>
      </c>
      <c r="D13" s="141">
        <f>$B$34/5%</f>
        <v>100</v>
      </c>
      <c r="E13" s="141">
        <f>$B$34/4.35%</f>
        <v>114.94252873563219</v>
      </c>
      <c r="F13" s="141">
        <f>$B$34/3.85%</f>
        <v>129.87012987012986</v>
      </c>
      <c r="G13" s="138" t="str">
        <f>"$"&amp;ROUND(B34,2)&amp;"/"&amp;IF(STDEV(C140:F140)/AVERAGE(C140:F140)&lt;15%,"高",IF(STDEV(C140:F140)/AVERAGE(C140:F140)&lt;30%,"中","低"))</f>
        <v>$5/高</v>
      </c>
      <c r="H13" s="142" t="s">
        <v>199</v>
      </c>
      <c r="I13" s="143">
        <f>MAX(0,1-J15)</f>
        <v>3.6608863198458685E-2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70.582049999999995</v>
      </c>
      <c r="C14" s="141">
        <f>$B$33*C10</f>
        <v>75.099824999999996</v>
      </c>
      <c r="D14" s="141">
        <f>$B$33*D10</f>
        <v>83.938950000000006</v>
      </c>
      <c r="E14" s="141">
        <f>$B$33*E10</f>
        <v>94.251262499999996</v>
      </c>
      <c r="F14" s="141">
        <f>$B$33*F10</f>
        <v>102.206475</v>
      </c>
      <c r="G14" s="138" t="str">
        <f>"$"&amp;ROUND(B33,2)&amp;"/"&amp;IF(STDEV(B69:E69)/AVERAGE(B69:E69)&lt;15%,"高",IF(STDEV(B69:E69)/AVERAGE(B69:E69)&lt;30%,"中","低"))</f>
        <v>$6.55/中</v>
      </c>
      <c r="H14" s="142" t="s">
        <v>203</v>
      </c>
      <c r="I14" s="145">
        <f>G62/100*I13</f>
        <v>5.5645472061657203E-3</v>
      </c>
      <c r="J14" s="76" t="s">
        <v>204</v>
      </c>
      <c r="K14" s="146"/>
      <c r="L14" s="147">
        <f>(HLOOKUP($C$1,$105:$106,2,FALSE)-HLOOKUP($C$1,$117:$127,9,FALSE))/(HLOOKUP($C$1,$117:$128,12,FALSE)/K11)</f>
        <v>6.6933236504421005</v>
      </c>
      <c r="M14" s="148">
        <f>E135/E69</f>
        <v>1.1946050096339114</v>
      </c>
      <c r="N14" s="149">
        <f>F173/100</f>
        <v>1.2531000000000001</v>
      </c>
    </row>
    <row r="15" spans="1:15" s="93" customFormat="1" x14ac:dyDescent="0.25">
      <c r="A15" s="140" t="s">
        <v>375</v>
      </c>
      <c r="B15" s="141">
        <f>$D$62*B10</f>
        <v>51.528399999999998</v>
      </c>
      <c r="C15" s="141">
        <f>$D$62*C10</f>
        <v>54.826599999999999</v>
      </c>
      <c r="D15" s="141">
        <f>$D$62*D10</f>
        <v>61.279600000000002</v>
      </c>
      <c r="E15" s="141">
        <f>$D$62*E10</f>
        <v>68.808099999999996</v>
      </c>
      <c r="F15" s="141">
        <f>$D$62*F10</f>
        <v>74.615800000000007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0.96339113680154131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48.214123869331424</v>
      </c>
      <c r="C16" s="141">
        <f>$F$69*C10</f>
        <v>51.300185601227398</v>
      </c>
      <c r="D16" s="141">
        <f>$F$69*D10</f>
        <v>57.338132467980415</v>
      </c>
      <c r="E16" s="141">
        <f>$F$69*E10</f>
        <v>64.382403812525581</v>
      </c>
      <c r="F16" s="141">
        <f>$F$69*F10</f>
        <v>69.816555992603298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39</v>
      </c>
      <c r="J17" s="92">
        <f ca="1">IF(I17&lt;=0,"",IF(I17&lt;=MIN($B$13:$F$16),(I17-MIN($B$13:$F$16))/MIN($B$13:$F$16),IF(I17&gt;=MAX($B$13:$F$16),I17/MAX($B$13:$F$16),PERCENTRANK($B$13:$F$16,I17))))</f>
        <v>-0.1911083958365247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5.9550000000000001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1.1910000000000001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0.12814692185482315</v>
      </c>
      <c r="J20" s="171">
        <f>HLOOKUP($C$1,$117:$127,11,FALSE)/HLOOKUP($C$1,$105:$115,11,FALSE)</f>
        <v>0.19907832423139313</v>
      </c>
      <c r="K20" s="163"/>
    </row>
    <row r="21" spans="1:14" s="93" customFormat="1" x14ac:dyDescent="0.25">
      <c r="A21" s="151" t="s">
        <v>201</v>
      </c>
      <c r="B21" s="161">
        <f>AVERAGE(C173:F173)/100</f>
        <v>1.2524999999999999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2.9091252063192643</v>
      </c>
      <c r="J21" s="78"/>
      <c r="K21" s="164" t="s">
        <v>356</v>
      </c>
      <c r="L21" s="165">
        <f>HLOOKUP($C$1,$105:$115,7,FALSE)/HLOOKUP($C$1,$105:$115,11,FALSE)</f>
        <v>0.538234977246414</v>
      </c>
      <c r="M21" s="123" t="s">
        <v>268</v>
      </c>
      <c r="N21" s="165">
        <f>HLOOKUP($C$1,$117:$127,8,FALSE)/HLOOKUP($C$1,$117:$127,11,FALSE)</f>
        <v>0.92936331900362812</v>
      </c>
    </row>
    <row r="22" spans="1:14" s="93" customFormat="1" x14ac:dyDescent="0.25">
      <c r="A22" s="140" t="s">
        <v>222</v>
      </c>
      <c r="B22" s="161">
        <f>(-1)*SUM(C133:F133)/SUM(C132:F132)</f>
        <v>0.26070763500931099</v>
      </c>
      <c r="C22" s="157"/>
      <c r="D22" s="166"/>
      <c r="E22" s="140"/>
      <c r="F22" s="159">
        <f>IF(B22&lt;=0,10,IF(B22&gt;=100%,0,(1-B22)*10))</f>
        <v>7.3929236499068907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2.3644054417026337</v>
      </c>
      <c r="J22" s="78"/>
      <c r="K22" s="142" t="s">
        <v>357</v>
      </c>
      <c r="L22" s="165">
        <f>HLOOKUP($C$1,$105:$115,4,FALSE)/HLOOKUP($C$1,$105:$115,11,FALSE)</f>
        <v>7.3605840213530158E-2</v>
      </c>
      <c r="M22" s="123" t="s">
        <v>353</v>
      </c>
      <c r="N22" s="165">
        <f>HLOOKUP($C$1,$117:$127,4,FALSE)/HLOOKUP($C$1,$117:$127,11,FALSE)</f>
        <v>0.35629897252965032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1.2485615388550284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0.10078192216589253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1.0015032957468128</v>
      </c>
      <c r="C24" s="169">
        <f>STDEV(C103:F103)</f>
        <v>2.1200317296497539E-3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36.590000000000003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4.7020031349722387E-2</v>
      </c>
      <c r="M24" s="123" t="s">
        <v>355</v>
      </c>
      <c r="N24" s="165">
        <f>HLOOKUP($C$1,$117:$127,9,FALSE)/HLOOKUP($C$1,$117:$127,11,FALSE)</f>
        <v>7.063668099637184E-2</v>
      </c>
    </row>
    <row r="25" spans="1:14" s="93" customFormat="1" x14ac:dyDescent="0.25">
      <c r="A25" s="151" t="s">
        <v>366</v>
      </c>
      <c r="B25" s="255">
        <f>AVERAGE(94:94)</f>
        <v>1612.1739130434783</v>
      </c>
      <c r="C25" s="254">
        <f>STDEV(94:94)/AVERAGE(94:94)</f>
        <v>14.405849815273605</v>
      </c>
      <c r="D25" s="76" t="str">
        <f>IF(C25&lt;=1,"高",IF(C25&lt;=2,"中","低"))</f>
        <v>低</v>
      </c>
      <c r="E25" s="149"/>
      <c r="F25" s="160">
        <f>MAX(0,10-ABS(C25))</f>
        <v>0</v>
      </c>
      <c r="G25" s="88" t="s">
        <v>213</v>
      </c>
      <c r="H25" s="123" t="s">
        <v>232</v>
      </c>
      <c r="I25" s="170">
        <f>IF(HLOOKUP(C1,167:170,3,FALSE)="無",0,HLOOKUP(C1,167:170,3,FALSE))</f>
        <v>71.430000000000007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43.291739130434777</v>
      </c>
      <c r="C26" s="172">
        <f>IF(COUNTIF(168:168,"&gt;0")=0,0,STDEV(168:168))</f>
        <v>6.7995251519860043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66.035652173913036</v>
      </c>
      <c r="C27" s="172">
        <f>IF(COUNTIF(169:169,"&gt;0")=0,0,STDEV(169:169))</f>
        <v>9.2844683727409993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0.35364999999999996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0.23037500000000002</v>
      </c>
      <c r="C31" s="157" t="s">
        <v>217</v>
      </c>
      <c r="D31" s="174">
        <f>COUNTIF(149:149,"&gt;8")/COUNT(149:149)</f>
        <v>0.95652173913043481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20.584999999999997</v>
      </c>
      <c r="C32" s="157" t="s">
        <v>217</v>
      </c>
      <c r="D32" s="174">
        <f>COUNTIF(159:159,"&gt;3")/COUNT(159:159)</f>
        <v>0.95652173913043481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6.5475000000000003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9.2909507445589909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1842067.25</v>
      </c>
      <c r="C36" s="178">
        <f>STDEV(C97:F97)</f>
        <v>242936.81005887795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35.364999999999995</v>
      </c>
      <c r="C37" s="180">
        <f>STDEV(C152:F152)</f>
        <v>2.0251831192923428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26.902500000000003</v>
      </c>
      <c r="C38" s="180">
        <f>STDEV(C153:F153)</f>
        <v>1.319782178997732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20.584999999999997</v>
      </c>
      <c r="C39" s="181">
        <f>STDEV(C165:F165)</f>
        <v>3.9683119837029066</v>
      </c>
      <c r="D39" s="76" t="str">
        <f>IF(C39/B39&lt;15%,"高",IF(C39/B39&lt;30%,"中","低"))</f>
        <v>中</v>
      </c>
      <c r="E39" s="107">
        <f>IF(F165&gt;E165,1,0)+IF(E165&gt;D165,1,0)+IF(D165&gt;C165,1,0)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6.5475000000000003</v>
      </c>
      <c r="C40" s="183">
        <f>STDEV(B69:E69)</f>
        <v>1.0869644275074823</v>
      </c>
      <c r="D40" s="76" t="str">
        <f>IF(C40/B40&lt;15%,"高",IF(C40/B40&lt;30%,"中","低"))</f>
        <v>中</v>
      </c>
      <c r="E40" s="107">
        <f>IF(E69&gt;D69,1,0)+IF(D69&gt;C69,1,0)+IF(C69&gt;B69,1,0)</f>
        <v>1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0.65999999999999992</v>
      </c>
      <c r="C44" s="186">
        <f>(C46-C49)/C49</f>
        <v>-9.9290780141843907E-2</v>
      </c>
      <c r="D44" s="186">
        <f>(D46-D49)/D49</f>
        <v>-0.79487179487179482</v>
      </c>
      <c r="E44" s="186">
        <f>(E46-E49)/E49</f>
        <v>0.15827338129496418</v>
      </c>
      <c r="G44" s="86" t="s">
        <v>175</v>
      </c>
      <c r="H44" s="186">
        <f>(H47-H50)/H50</f>
        <v>-4.7961630695444067E-3</v>
      </c>
      <c r="I44" s="186">
        <f>(I47-I50)/I50</f>
        <v>-0.24967105263157893</v>
      </c>
      <c r="J44" s="186">
        <f>(J47-J50)/J50</f>
        <v>-0.17098092643051763</v>
      </c>
      <c r="K44" s="186">
        <f>(K47-K50)/K50</f>
        <v>-9.321401938851611E-3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1.66</v>
      </c>
      <c r="C46" s="152">
        <f>HLOOKUP(C45,$81:$82,2,FALSE)</f>
        <v>1.27</v>
      </c>
      <c r="D46" s="152">
        <f>HLOOKUP(D45,$81:$82,2,FALSE)</f>
        <v>0.24</v>
      </c>
      <c r="E46" s="152">
        <f>HLOOKUP(E45,$81:$82,2,FALSE)</f>
        <v>1.61</v>
      </c>
      <c r="G46" s="86" t="s">
        <v>164</v>
      </c>
      <c r="H46" s="145">
        <f>HLOOKUP(H45,$145:$147,2,FALSE)/100</f>
        <v>0.36990000000000001</v>
      </c>
      <c r="I46" s="145">
        <f>HLOOKUP(I45,$145:$147,2,FALSE)/100</f>
        <v>0.31609999999999999</v>
      </c>
      <c r="J46" s="145">
        <f>HLOOKUP(J45,$145:$147,2,FALSE)/100</f>
        <v>0.34139999999999998</v>
      </c>
      <c r="K46" s="145">
        <f>HLOOKUP(K45,$145:$147,2,FALSE)/100</f>
        <v>0.36849999999999999</v>
      </c>
    </row>
    <row r="47" spans="1:14" x14ac:dyDescent="0.25">
      <c r="A47" s="188" t="s">
        <v>165</v>
      </c>
      <c r="B47" s="189">
        <f>HLOOKUP(B45,$157:$159,3,FALSE)</f>
        <v>5.46</v>
      </c>
      <c r="C47" s="189">
        <f>HLOOKUP(C45,$157:$159,3,FALSE)</f>
        <v>4.05</v>
      </c>
      <c r="D47" s="189">
        <f>HLOOKUP(D45,$157:$159,3,FALSE)</f>
        <v>0.74</v>
      </c>
      <c r="E47" s="189">
        <f>HLOOKUP(E45,$157:$159,3,FALSE)</f>
        <v>4.95</v>
      </c>
      <c r="G47" s="190" t="s">
        <v>166</v>
      </c>
      <c r="H47" s="145">
        <f>HLOOKUP(H45,$145:$147,3,FALSE)/100</f>
        <v>0.29049999999999998</v>
      </c>
      <c r="I47" s="145">
        <f>HLOOKUP(I45,$145:$147,3,FALSE)/100</f>
        <v>0.2281</v>
      </c>
      <c r="J47" s="145">
        <f>HLOOKUP(J45,$145:$147,3,FALSE)/100</f>
        <v>0.24340000000000001</v>
      </c>
      <c r="K47" s="145">
        <f>HLOOKUP(K45,$145:$147,3,FALSE)/100</f>
        <v>0.26569999999999999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</v>
      </c>
      <c r="C49" s="152">
        <f>HLOOKUP(C48,$81:$82,2,FALSE)</f>
        <v>1.41</v>
      </c>
      <c r="D49" s="152">
        <f>HLOOKUP(D48,$81:$82,2,FALSE)</f>
        <v>1.17</v>
      </c>
      <c r="E49" s="152">
        <f>HLOOKUP(E48,$81:$82,2,FALSE)</f>
        <v>1.39</v>
      </c>
      <c r="G49" s="86" t="s">
        <v>164</v>
      </c>
      <c r="H49" s="145">
        <f>HLOOKUP(H48,$145:$147,2,FALSE)/100</f>
        <v>0.3765</v>
      </c>
      <c r="I49" s="145">
        <f>HLOOKUP(I48,$145:$147,2,FALSE)/100</f>
        <v>0.39770000000000005</v>
      </c>
      <c r="J49" s="145">
        <f>HLOOKUP(J48,$145:$147,2,FALSE)/100</f>
        <v>0.38929999999999998</v>
      </c>
      <c r="K49" s="145">
        <f>HLOOKUP(K48,$145:$147,2,FALSE)/100</f>
        <v>0.36729999999999996</v>
      </c>
    </row>
    <row r="50" spans="1:15" x14ac:dyDescent="0.25">
      <c r="A50" s="188" t="s">
        <v>165</v>
      </c>
      <c r="B50" s="189">
        <f>HLOOKUP(B48,$157:$159,3,FALSE)</f>
        <v>3.21</v>
      </c>
      <c r="C50" s="189">
        <f>HLOOKUP(C48,$157:$159,3,FALSE)</f>
        <v>4.33</v>
      </c>
      <c r="D50" s="189">
        <f>HLOOKUP(D48,$157:$159,3,FALSE)</f>
        <v>3.48</v>
      </c>
      <c r="E50" s="189">
        <f>HLOOKUP(E48,$157:$159,3,FALSE)</f>
        <v>4.29</v>
      </c>
      <c r="G50" s="190" t="s">
        <v>166</v>
      </c>
      <c r="H50" s="145">
        <f>HLOOKUP(H48,$145:$147,3,FALSE)/100</f>
        <v>0.29189999999999999</v>
      </c>
      <c r="I50" s="145">
        <f>HLOOKUP(I48,$145:$147,3,FALSE)/100</f>
        <v>0.30399999999999999</v>
      </c>
      <c r="J50" s="145">
        <f>HLOOKUP(J48,$145:$147,3,FALSE)/100</f>
        <v>0.29359999999999997</v>
      </c>
      <c r="K50" s="145">
        <f>HLOOKUP(K48,$145:$147,3,FALSE)/100</f>
        <v>0.26819999999999999</v>
      </c>
    </row>
    <row r="51" spans="1:15" x14ac:dyDescent="0.25">
      <c r="A51" s="86" t="s">
        <v>351</v>
      </c>
      <c r="B51" s="186">
        <f>(B47-B50)/B50</f>
        <v>0.7009345794392523</v>
      </c>
      <c r="C51" s="186">
        <f>(C47-C50)/C50</f>
        <v>-6.4665127020785279E-2</v>
      </c>
      <c r="D51" s="186">
        <f>(D47-D50)/D50</f>
        <v>-0.78735632183908055</v>
      </c>
      <c r="E51" s="186">
        <f>(E47-E50)/E50</f>
        <v>0.15384615384615388</v>
      </c>
      <c r="G51" s="235" t="s">
        <v>174</v>
      </c>
      <c r="H51" s="186">
        <f>(H46-H49)/H49</f>
        <v>-1.7529880478087637E-2</v>
      </c>
      <c r="I51" s="186">
        <f>(I46-I49)/I49</f>
        <v>-0.20517978375660059</v>
      </c>
      <c r="J51" s="186">
        <f>(J46-J49)/J49</f>
        <v>-0.12304135628050347</v>
      </c>
      <c r="K51" s="186">
        <f>(K46-K49)/K49</f>
        <v>3.2670841274163747E-3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5.2782501030118656</v>
      </c>
      <c r="B53" s="193">
        <f>B46</f>
        <v>1.66</v>
      </c>
      <c r="C53" s="193">
        <f>E46/HLOOKUP(E45,$87:$94,5,FALSE)*HLOOKUP(E45,$87:$94,4,FALSE)*($B$25/HLOOKUP(E45,$87:$94,4,FALSE)+SUM($B$57:$D$57)/SUM($B58:$D$58)*$G$69/100/K46)</f>
        <v>1.3025532346318576</v>
      </c>
      <c r="D53" s="193">
        <f>D46/HLOOKUP(D45,$87:$94,5,FALSE)*HLOOKUP(D45,$87:$94,4,FALSE)*($B$25/HLOOKUP(D45,$87:$94,4,FALSE)+SUM($B$57:$D$57)/SUM($B58:$D$58)*$G$69/100/J46)</f>
        <v>1.0319152272049756</v>
      </c>
      <c r="E53" s="193">
        <f>C46/HLOOKUP(C45,$87:$94,5,FALSE)*HLOOKUP(C45,$87:$94,4,FALSE)*($B$25/HLOOKUP(C45,$87:$94,4,FALSE)+SUM($B$57:$D$57)/SUM($B58:$D$58)*$G$69/100/I46)</f>
        <v>1.2837816411750322</v>
      </c>
    </row>
    <row r="54" spans="1:15" x14ac:dyDescent="0.25">
      <c r="A54" s="278">
        <f>SUM(B54:E54)</f>
        <v>4.120000000000001</v>
      </c>
      <c r="B54" s="277">
        <f t="shared" ref="B54:D54" si="0">HLOOKUP(B52-10,81:82,2,FALSE)</f>
        <v>1</v>
      </c>
      <c r="C54" s="277">
        <f t="shared" si="0"/>
        <v>1.61</v>
      </c>
      <c r="D54" s="277">
        <f t="shared" si="0"/>
        <v>0.24</v>
      </c>
      <c r="E54" s="277">
        <f>HLOOKUP(E52-10,81:82,2,FALSE)</f>
        <v>1.27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157722</v>
      </c>
      <c r="C57" s="196">
        <f>HLOOKUP(C56,78:79,2,FALSE)</f>
        <v>150392</v>
      </c>
      <c r="D57" s="196">
        <f>HLOOKUP(D56,78:79,2,FALSE)</f>
        <v>145483</v>
      </c>
      <c r="E57" s="196">
        <f>HLOOKUP(E56,78:79,2,FALSE)</f>
        <v>138590</v>
      </c>
      <c r="F57" s="196">
        <f>HLOOKUP(F56,78:79,2,FALSE)</f>
        <v>131611</v>
      </c>
      <c r="G57" s="196">
        <f t="shared" ref="G57:M57" si="2">HLOOKUP(G56,78:79,2,FALSE)</f>
        <v>130986</v>
      </c>
      <c r="H57" s="196">
        <f t="shared" si="2"/>
        <v>130590</v>
      </c>
      <c r="I57" s="196">
        <f t="shared" si="2"/>
        <v>120193</v>
      </c>
      <c r="J57" s="196">
        <f t="shared" si="2"/>
        <v>101864</v>
      </c>
      <c r="K57" s="196">
        <f t="shared" si="2"/>
        <v>101189</v>
      </c>
      <c r="L57" s="196">
        <f t="shared" si="2"/>
        <v>131149</v>
      </c>
      <c r="M57" s="196">
        <f t="shared" si="2"/>
        <v>130616</v>
      </c>
      <c r="N57" s="197"/>
    </row>
    <row r="58" spans="1:15" x14ac:dyDescent="0.25">
      <c r="A58" s="198" t="s">
        <v>253</v>
      </c>
      <c r="B58" s="196">
        <f>HLOOKUP(B56-100,78:79,2,FALSE)</f>
        <v>133388</v>
      </c>
      <c r="C58" s="196">
        <f>HLOOKUP(C56-100,78:79,2,FALSE)</f>
        <v>133980</v>
      </c>
      <c r="D58" s="196">
        <f>HLOOKUP(D56-100,78:79,2,FALSE)</f>
        <v>133733</v>
      </c>
      <c r="E58" s="196">
        <f>HLOOKUP(E56-100,78:79,2,FALSE)</f>
        <v>131934</v>
      </c>
      <c r="F58" s="196">
        <f>HLOOKUP(F56-100,78:79,2,FALSE)</f>
        <v>132340</v>
      </c>
      <c r="G58" s="196">
        <f t="shared" ref="G58:M58" si="3">HLOOKUP(G56-100,78:79,2,FALSE)</f>
        <v>131312</v>
      </c>
      <c r="H58" s="196">
        <f t="shared" si="3"/>
        <v>130902</v>
      </c>
      <c r="I58" s="196">
        <f t="shared" si="3"/>
        <v>130961</v>
      </c>
      <c r="J58" s="196">
        <f t="shared" si="3"/>
        <v>100978</v>
      </c>
      <c r="K58" s="196">
        <f t="shared" si="3"/>
        <v>140062</v>
      </c>
      <c r="L58" s="196">
        <f t="shared" si="3"/>
        <v>140314</v>
      </c>
      <c r="M58" s="196">
        <f t="shared" si="3"/>
        <v>140515</v>
      </c>
      <c r="N58" s="197"/>
    </row>
    <row r="59" spans="1:15" x14ac:dyDescent="0.25">
      <c r="A59" s="199" t="s">
        <v>254</v>
      </c>
      <c r="B59" s="165">
        <f>IF(B57&lt;&gt;"",(B57-B58)/B58,"")</f>
        <v>0.18243020361651724</v>
      </c>
      <c r="C59" s="165">
        <f>IF(C57&lt;&gt;"",(C57-C58)/C58,"")</f>
        <v>0.12249589490968801</v>
      </c>
      <c r="D59" s="165">
        <f>IF(D57&lt;&gt;"",(D57-D58)/D58,"")</f>
        <v>8.7861634749837367E-2</v>
      </c>
      <c r="E59" s="165">
        <f>IF(E57&lt;&gt;"",(E57-E58)/E58,"")</f>
        <v>5.0449467157821337E-2</v>
      </c>
      <c r="F59" s="165">
        <f>IF(F57&lt;&gt;"",(F57-F58)/F58,"")</f>
        <v>-5.5085386126643493E-3</v>
      </c>
      <c r="G59" s="165">
        <f t="shared" ref="G59:M59" si="4">IF(G57&lt;&gt;"",(G57-G58)/G58,"")</f>
        <v>-2.4826367734860485E-3</v>
      </c>
      <c r="H59" s="165">
        <f t="shared" si="4"/>
        <v>-2.3834624375487007E-3</v>
      </c>
      <c r="I59" s="165">
        <f t="shared" si="4"/>
        <v>-8.2222951871167752E-2</v>
      </c>
      <c r="J59" s="165">
        <f t="shared" si="4"/>
        <v>8.7741884370853059E-3</v>
      </c>
      <c r="K59" s="165">
        <f t="shared" si="4"/>
        <v>-0.27754137453413491</v>
      </c>
      <c r="L59" s="165">
        <f t="shared" si="4"/>
        <v>-6.5317787248599574E-2</v>
      </c>
      <c r="M59" s="165">
        <f t="shared" si="4"/>
        <v>-7.044799487599189E-2</v>
      </c>
    </row>
    <row r="60" spans="1:15" x14ac:dyDescent="0.25">
      <c r="A60" s="195" t="s">
        <v>255</v>
      </c>
      <c r="B60" s="196">
        <f>SUM(B57:M57)</f>
        <v>1570385</v>
      </c>
    </row>
    <row r="61" spans="1:15" x14ac:dyDescent="0.25">
      <c r="A61" s="198" t="s">
        <v>256</v>
      </c>
      <c r="B61" s="196">
        <f>SUM(B58:M58)</f>
        <v>1580419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0.99365105076565141</v>
      </c>
      <c r="D62" s="152">
        <f>SUM(B46:E46)</f>
        <v>4.78</v>
      </c>
      <c r="E62" s="152">
        <f>SUM(B49:E49)</f>
        <v>4.97</v>
      </c>
      <c r="G62" s="126">
        <f>SUM(B47:E47)</f>
        <v>15.2</v>
      </c>
      <c r="H62" s="126">
        <f>SUM(B50:E50)</f>
        <v>15.309999999999999</v>
      </c>
      <c r="J62" s="200">
        <f>AVERAGE(H46:K46)</f>
        <v>0.34897499999999998</v>
      </c>
      <c r="K62" s="200">
        <f>AVERAGE(H49:K49)</f>
        <v>0.38269999999999998</v>
      </c>
      <c r="M62" s="200">
        <f>AVERAGE(H47:K47)</f>
        <v>0.25692500000000001</v>
      </c>
      <c r="N62" s="200">
        <f>AVERAGE(H50:K50)</f>
        <v>0.28942499999999999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1.86</v>
      </c>
      <c r="C65" s="205">
        <f t="shared" si="5"/>
        <v>1.76</v>
      </c>
      <c r="D65" s="205">
        <f t="shared" si="5"/>
        <v>1.38</v>
      </c>
      <c r="E65" s="205">
        <f t="shared" si="5"/>
        <v>1.17</v>
      </c>
      <c r="F65" s="206">
        <f>IF(ISNA(HLOOKUP(F$64*10+$A65,$81:$82,2,FALSE)),(HLOOKUP(E$64*10+$A65,$87:$94,4,FALSE)*$G65+$B$25)/HLOOKUP(E$64*10+$A65,$87:$94,5,FALSE)*$E65,HLOOKUP(F$64*10+$A65,$81:$82,2,FALSE))</f>
        <v>0.24</v>
      </c>
      <c r="G65" s="101">
        <f>MIN(130%,SUM($B$57:$D$57)/SUM($B$58:$D$58)*$G$69/HLOOKUP(E$64*10+$A65,$145:$146,2,FALSE))</f>
        <v>0.93394595867428276</v>
      </c>
      <c r="H65" s="204">
        <v>1</v>
      </c>
      <c r="I65" s="208">
        <f t="shared" ref="I65:M68" si="6">IF(ISNA(HLOOKUP(I$64*10+$H65,$145:$147,3,FALSE)),"",HLOOKUP(I$64*10+$H65,$145:$147,3,FALSE)/100)</f>
        <v>0.2611</v>
      </c>
      <c r="J65" s="208">
        <f t="shared" si="6"/>
        <v>0.24690000000000001</v>
      </c>
      <c r="K65" s="208">
        <f t="shared" si="6"/>
        <v>0.2601</v>
      </c>
      <c r="L65" s="208">
        <f t="shared" si="6"/>
        <v>0.29359999999999997</v>
      </c>
      <c r="M65" s="209">
        <f t="shared" si="6"/>
        <v>0.24340000000000001</v>
      </c>
      <c r="N65" s="256">
        <f t="shared" ref="N65:O68" si="7">HLOOKUP(E$64*10+$A65,$87:$94,8,FALSE)</f>
        <v>-14896</v>
      </c>
      <c r="O65" s="256">
        <f t="shared" si="7"/>
        <v>-58822</v>
      </c>
      <c r="P65" s="210"/>
    </row>
    <row r="66" spans="1:71" x14ac:dyDescent="0.25">
      <c r="A66" s="204">
        <v>2</v>
      </c>
      <c r="B66" s="205">
        <f t="shared" si="5"/>
        <v>1.61</v>
      </c>
      <c r="C66" s="205">
        <f t="shared" si="5"/>
        <v>1.87</v>
      </c>
      <c r="D66" s="205">
        <f t="shared" si="5"/>
        <v>1.27</v>
      </c>
      <c r="E66" s="205">
        <f t="shared" si="5"/>
        <v>1.41</v>
      </c>
      <c r="F66" s="206">
        <f>IF(ISNA(HLOOKUP(F$64*10+$A66,$81:$82,2,FALSE)),(HLOOKUP(E$64*10+$A66,$87:$94,4,FALSE)*$G66+$B$25)/HLOOKUP(E$64*10+$A66,$87:$94,5,FALSE)*$E66,HLOOKUP(F$64*10+$A66,$81:$82,2,FALSE))</f>
        <v>1.27</v>
      </c>
      <c r="G66" s="101">
        <f>MIN(130%,SUM($B$57:$D$57)/SUM($B$58:$D$58)*$G$69/HLOOKUP(E$64*10+$A66,$145:$146,2,FALSE))</f>
        <v>0.91421966736710647</v>
      </c>
      <c r="H66" s="204">
        <v>2</v>
      </c>
      <c r="I66" s="208">
        <f t="shared" si="6"/>
        <v>0.25929999999999997</v>
      </c>
      <c r="J66" s="208">
        <f t="shared" si="6"/>
        <v>0.27940000000000004</v>
      </c>
      <c r="K66" s="208">
        <f t="shared" si="6"/>
        <v>0.26640000000000003</v>
      </c>
      <c r="L66" s="208">
        <f t="shared" si="6"/>
        <v>0.30399999999999999</v>
      </c>
      <c r="M66" s="209">
        <f t="shared" si="6"/>
        <v>0.2281</v>
      </c>
      <c r="N66" s="256">
        <f t="shared" si="7"/>
        <v>2220</v>
      </c>
      <c r="O66" s="256">
        <f t="shared" si="7"/>
        <v>13967</v>
      </c>
      <c r="P66" s="210"/>
    </row>
    <row r="67" spans="1:71" x14ac:dyDescent="0.25">
      <c r="A67" s="204">
        <v>3</v>
      </c>
      <c r="B67" s="205">
        <f t="shared" si="5"/>
        <v>1.8</v>
      </c>
      <c r="C67" s="205">
        <f t="shared" si="5"/>
        <v>1.99</v>
      </c>
      <c r="D67" s="205">
        <f t="shared" si="5"/>
        <v>2.17</v>
      </c>
      <c r="E67" s="205">
        <f t="shared" si="5"/>
        <v>1</v>
      </c>
      <c r="F67" s="206">
        <f>IF(ISNA(HLOOKUP(F$64*10+$A67,$81:$82,2,FALSE)),(HLOOKUP(E$64*10+$A67,$87:$94,4,FALSE)*$G67+$B$25)/HLOOKUP(E$64*10+$A67,$87:$94,5,FALSE)*$E67,HLOOKUP(F$64*10+$A67,$81:$82,2,FALSE))</f>
        <v>1.66</v>
      </c>
      <c r="G67" s="101">
        <f>MIN(130%,SUM($B$57:$D$57)/SUM($B$58:$D$58)*$G$69/HLOOKUP(E$64*10+$A67,$145:$146,2,FALSE))</f>
        <v>0.9656976406690525</v>
      </c>
      <c r="H67" s="204">
        <v>3</v>
      </c>
      <c r="I67" s="208">
        <f t="shared" si="6"/>
        <v>0.26919999999999999</v>
      </c>
      <c r="J67" s="208">
        <f t="shared" si="6"/>
        <v>0.27460000000000001</v>
      </c>
      <c r="K67" s="208">
        <f t="shared" si="6"/>
        <v>0.25730000000000003</v>
      </c>
      <c r="L67" s="208">
        <f t="shared" si="6"/>
        <v>0.29189999999999999</v>
      </c>
      <c r="M67" s="209">
        <f t="shared" si="6"/>
        <v>0.29049999999999998</v>
      </c>
      <c r="N67" s="256">
        <f t="shared" si="7"/>
        <v>-35569</v>
      </c>
      <c r="O67" s="256">
        <f t="shared" si="7"/>
        <v>8717</v>
      </c>
      <c r="P67" s="210"/>
    </row>
    <row r="68" spans="1:71" x14ac:dyDescent="0.25">
      <c r="A68" s="204">
        <v>4</v>
      </c>
      <c r="B68" s="205">
        <f>HLOOKUP(B$64*10+$A68,$81:$82,2,FALSE)</f>
        <v>1.85</v>
      </c>
      <c r="C68" s="205">
        <f>HLOOKUP(C$64*10+$A68,$81:$82,2,FALSE)</f>
        <v>2.0499999999999998</v>
      </c>
      <c r="D68" s="205">
        <f>HLOOKUP(D$64*10+$A68,$81:$82,2,FALSE)</f>
        <v>1.39</v>
      </c>
      <c r="E68" s="206">
        <f>IF(ISNA(HLOOKUP(E$64*10+$A68,$81:$82,2,FALSE)),D68*(1-$N68)*#REF!*(1+$B$25)/(1+$E$4),HLOOKUP(E$64*10+$A68,$81:$82,2,FALSE))</f>
        <v>1.61</v>
      </c>
      <c r="F68" s="206">
        <f>IF(ISNA(HLOOKUP(F$64*10+$A68,$81:$82,2,FALSE)),(HLOOKUP(E$64*10+$A68,$87:$94,4,FALSE)*$G68+$B$25)/HLOOKUP(E$64*10+$A68,$87:$94,5,FALSE)*$E68,HLOOKUP(F$64*10+$A68,$81:$82,2,FALSE))</f>
        <v>1.3025532346318573</v>
      </c>
      <c r="G68" s="101">
        <f>MIN(130%,SUM($B$57:$D$57)/SUM($B$58:$D$58)*$G$69/HLOOKUP(E$64*10+$A68,$145:$146,2,FALSE))</f>
        <v>0.9866625826645814</v>
      </c>
      <c r="H68" s="204">
        <v>4</v>
      </c>
      <c r="I68" s="208">
        <f t="shared" si="6"/>
        <v>0.26629999999999998</v>
      </c>
      <c r="J68" s="208">
        <f t="shared" si="6"/>
        <v>0.23960000000000001</v>
      </c>
      <c r="K68" s="208">
        <f t="shared" si="6"/>
        <v>0.26819999999999999</v>
      </c>
      <c r="L68" s="208">
        <f t="shared" si="6"/>
        <v>0.26569999999999999</v>
      </c>
      <c r="M68" s="209" t="str">
        <f t="shared" si="6"/>
        <v/>
      </c>
      <c r="N68" s="256">
        <f t="shared" si="7"/>
        <v>25078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7.120000000000001</v>
      </c>
      <c r="C69" s="213">
        <f>SUM(C65:C68)</f>
        <v>7.67</v>
      </c>
      <c r="D69" s="213">
        <f>SUM(D65:D68)</f>
        <v>6.21</v>
      </c>
      <c r="E69" s="213">
        <f>SUM(E65:E68)</f>
        <v>5.19</v>
      </c>
      <c r="F69" s="213">
        <f>SUM(F65:F68)</f>
        <v>4.4725532346318575</v>
      </c>
      <c r="G69" s="257">
        <f>_xlfn.FORECAST.ETS(23,B146:W146,{1,2,3,4,5,6,7,8,9,10,11,12,13,14,15,16,17,18,19,20,21,22})</f>
        <v>32.150647369317724</v>
      </c>
      <c r="H69" s="214" t="s">
        <v>19</v>
      </c>
      <c r="I69" s="215">
        <f>HLOOKUP(I64,151:155,3,FALSE)/100</f>
        <v>0.26400000000000001</v>
      </c>
      <c r="J69" s="215">
        <f>HLOOKUP(J64,151:155,3,FALSE)/100</f>
        <v>0.26050000000000001</v>
      </c>
      <c r="K69" s="215">
        <f>HLOOKUP(K64,151:155,3,FALSE)/100</f>
        <v>0.26289999999999997</v>
      </c>
      <c r="L69" s="215">
        <f>IF(ISNA(HLOOKUP(L64,151:155,3,FALSE)/100),AVERAGE(L65:L68),HLOOKUP(L64,151:155,3,FALSE)/100)</f>
        <v>0.28870000000000001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6.12</v>
      </c>
      <c r="C72" s="205">
        <f t="shared" si="8"/>
        <v>5.39</v>
      </c>
      <c r="D72" s="205">
        <f t="shared" si="8"/>
        <v>4.2699999999999996</v>
      </c>
      <c r="E72" s="205">
        <f t="shared" si="8"/>
        <v>3.48</v>
      </c>
      <c r="F72" s="205">
        <f t="shared" si="8"/>
        <v>0.74</v>
      </c>
    </row>
    <row r="73" spans="1:71" s="135" customFormat="1" x14ac:dyDescent="0.25">
      <c r="A73" s="204">
        <v>2</v>
      </c>
      <c r="B73" s="205">
        <f t="shared" si="8"/>
        <v>5.42</v>
      </c>
      <c r="C73" s="205">
        <f t="shared" si="8"/>
        <v>5.88</v>
      </c>
      <c r="D73" s="205">
        <f t="shared" si="8"/>
        <v>4.09</v>
      </c>
      <c r="E73" s="205">
        <f t="shared" si="8"/>
        <v>4.33</v>
      </c>
      <c r="F73" s="205">
        <f t="shared" si="8"/>
        <v>4.05</v>
      </c>
    </row>
    <row r="74" spans="1:71" s="135" customFormat="1" x14ac:dyDescent="0.25">
      <c r="A74" s="204">
        <v>3</v>
      </c>
      <c r="B74" s="205">
        <f t="shared" si="8"/>
        <v>6.23</v>
      </c>
      <c r="C74" s="205">
        <f t="shared" si="8"/>
        <v>6.97</v>
      </c>
      <c r="D74" s="205">
        <f t="shared" si="8"/>
        <v>7.12</v>
      </c>
      <c r="E74" s="205">
        <f t="shared" si="8"/>
        <v>3.21</v>
      </c>
      <c r="F74" s="205">
        <f t="shared" si="8"/>
        <v>5.46</v>
      </c>
    </row>
    <row r="75" spans="1:71" s="135" customFormat="1" x14ac:dyDescent="0.25">
      <c r="A75" s="204">
        <v>4</v>
      </c>
      <c r="B75" s="205">
        <f t="shared" si="8"/>
        <v>6.01</v>
      </c>
      <c r="C75" s="205">
        <f t="shared" si="8"/>
        <v>6.69</v>
      </c>
      <c r="D75" s="205">
        <f t="shared" si="8"/>
        <v>4.29</v>
      </c>
      <c r="E75" s="205">
        <f t="shared" si="8"/>
        <v>4.95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23.78</v>
      </c>
      <c r="C76" s="213">
        <f>SUM(C72:C75)</f>
        <v>24.93</v>
      </c>
      <c r="D76" s="213">
        <f>SUM(D72:D75)</f>
        <v>19.77</v>
      </c>
      <c r="E76" s="213">
        <f>AVERAGE(E72:E75)*4</f>
        <v>15.969999999999999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121116</v>
      </c>
      <c r="C79" s="270">
        <v>157625</v>
      </c>
      <c r="D79" s="270">
        <v>193193</v>
      </c>
      <c r="E79" s="270">
        <v>197419</v>
      </c>
      <c r="F79" s="270">
        <v>198306</v>
      </c>
      <c r="G79" s="270">
        <v>197562</v>
      </c>
      <c r="H79" s="270">
        <v>194915</v>
      </c>
      <c r="I79" s="270">
        <v>193804</v>
      </c>
      <c r="J79" s="270">
        <v>195809</v>
      </c>
      <c r="K79" s="270">
        <v>197326</v>
      </c>
      <c r="L79" s="270">
        <v>182802</v>
      </c>
      <c r="M79" s="270">
        <v>196652</v>
      </c>
      <c r="N79" s="270">
        <v>155026</v>
      </c>
      <c r="O79" s="270">
        <v>120616</v>
      </c>
      <c r="P79" s="270">
        <v>158629</v>
      </c>
      <c r="Q79" s="270">
        <v>161593</v>
      </c>
      <c r="R79" s="270">
        <v>150245</v>
      </c>
      <c r="S79" s="270">
        <v>150742</v>
      </c>
      <c r="T79" s="270">
        <v>153804</v>
      </c>
      <c r="U79" s="270">
        <v>155321</v>
      </c>
      <c r="V79" s="270">
        <v>155780</v>
      </c>
      <c r="W79" s="270">
        <v>150876</v>
      </c>
      <c r="X79" s="270">
        <v>147584</v>
      </c>
      <c r="Y79" s="270">
        <v>158637</v>
      </c>
      <c r="Z79" s="270">
        <v>143660</v>
      </c>
      <c r="AA79" s="270">
        <v>125210</v>
      </c>
      <c r="AB79" s="270">
        <v>157098</v>
      </c>
      <c r="AC79" s="270">
        <v>175182</v>
      </c>
      <c r="AD79" s="270">
        <v>181127</v>
      </c>
      <c r="AE79" s="270">
        <v>185199</v>
      </c>
      <c r="AF79" s="270">
        <v>192383</v>
      </c>
      <c r="AG79" s="270">
        <v>195639</v>
      </c>
      <c r="AH79" s="270">
        <v>198226</v>
      </c>
      <c r="AI79" s="270">
        <v>202183</v>
      </c>
      <c r="AJ79" s="270">
        <v>205820</v>
      </c>
      <c r="AK79" s="270">
        <v>192441</v>
      </c>
      <c r="AL79" s="270">
        <v>198182</v>
      </c>
      <c r="AM79" s="270">
        <v>139440</v>
      </c>
      <c r="AN79" s="270">
        <v>158068</v>
      </c>
      <c r="AO79" s="270">
        <v>160628</v>
      </c>
      <c r="AP79" s="270">
        <v>155187</v>
      </c>
      <c r="AQ79" s="270">
        <v>153297</v>
      </c>
      <c r="AR79" s="270">
        <v>155569</v>
      </c>
      <c r="AS79" s="270">
        <v>143281</v>
      </c>
      <c r="AT79" s="270">
        <v>145077</v>
      </c>
      <c r="AU79" s="270">
        <v>141662</v>
      </c>
      <c r="AV79" s="270">
        <v>140515</v>
      </c>
      <c r="AW79" s="270">
        <v>140314</v>
      </c>
      <c r="AX79" s="270">
        <v>140062</v>
      </c>
      <c r="AY79" s="270">
        <v>100978</v>
      </c>
      <c r="AZ79" s="270">
        <v>130961</v>
      </c>
      <c r="BA79" s="270">
        <v>130902</v>
      </c>
      <c r="BB79" s="270">
        <v>131312</v>
      </c>
      <c r="BC79" s="270">
        <v>132340</v>
      </c>
      <c r="BD79" s="270">
        <v>131934</v>
      </c>
      <c r="BE79" s="270">
        <v>133733</v>
      </c>
      <c r="BF79" s="270">
        <v>133980</v>
      </c>
      <c r="BG79" s="270">
        <v>133388</v>
      </c>
      <c r="BH79" s="270">
        <v>130616</v>
      </c>
      <c r="BI79" s="270">
        <v>131149</v>
      </c>
      <c r="BJ79" s="270">
        <v>101189</v>
      </c>
      <c r="BK79" s="270">
        <v>101864</v>
      </c>
      <c r="BL79" s="270">
        <v>120193</v>
      </c>
      <c r="BM79" s="270">
        <v>130590</v>
      </c>
      <c r="BN79" s="270">
        <v>130986</v>
      </c>
      <c r="BO79" s="270">
        <v>131611</v>
      </c>
      <c r="BP79" s="270">
        <v>138590</v>
      </c>
      <c r="BQ79" s="270">
        <v>145483</v>
      </c>
      <c r="BR79" s="270">
        <v>150392</v>
      </c>
      <c r="BS79" s="270">
        <v>157722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1.36</v>
      </c>
      <c r="C82" s="72">
        <v>1.93</v>
      </c>
      <c r="D82" s="72">
        <v>2.15</v>
      </c>
      <c r="E82" s="72">
        <v>2.02</v>
      </c>
      <c r="F82" s="72">
        <v>1.86</v>
      </c>
      <c r="G82" s="72">
        <v>1.61</v>
      </c>
      <c r="H82" s="72">
        <v>1.8</v>
      </c>
      <c r="I82" s="72">
        <v>1.85</v>
      </c>
      <c r="J82" s="72">
        <v>1.76</v>
      </c>
      <c r="K82" s="72">
        <v>1.87</v>
      </c>
      <c r="L82" s="72">
        <v>1.99</v>
      </c>
      <c r="M82" s="72">
        <v>2.0499999999999998</v>
      </c>
      <c r="N82" s="72">
        <v>1.38</v>
      </c>
      <c r="O82" s="72">
        <v>1.27</v>
      </c>
      <c r="P82" s="72">
        <v>2.17</v>
      </c>
      <c r="Q82" s="72">
        <v>1.39</v>
      </c>
      <c r="R82" s="72">
        <v>1.17</v>
      </c>
      <c r="S82" s="72">
        <v>1.41</v>
      </c>
      <c r="T82" s="72">
        <v>1</v>
      </c>
      <c r="U82" s="72">
        <v>1.61</v>
      </c>
      <c r="V82" s="72">
        <v>0.24</v>
      </c>
      <c r="W82" s="72">
        <v>1.27</v>
      </c>
      <c r="X82" s="72">
        <v>1.66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27.48</v>
      </c>
      <c r="C85" s="72">
        <v>25.41</v>
      </c>
      <c r="D85" s="72">
        <v>27.56</v>
      </c>
      <c r="E85" s="72">
        <v>29.58</v>
      </c>
      <c r="F85" s="72">
        <v>31.34</v>
      </c>
      <c r="G85" s="72">
        <v>27.95</v>
      </c>
      <c r="H85" s="72">
        <v>29.74</v>
      </c>
      <c r="I85" s="72">
        <v>31.69</v>
      </c>
      <c r="J85" s="72">
        <v>33.450000000000003</v>
      </c>
      <c r="K85" s="72">
        <v>30.32</v>
      </c>
      <c r="L85" s="72">
        <v>29.55</v>
      </c>
      <c r="M85" s="72">
        <v>31.59</v>
      </c>
      <c r="N85" s="72">
        <v>32.97</v>
      </c>
      <c r="O85" s="72">
        <v>29.24</v>
      </c>
      <c r="P85" s="72">
        <v>31.41</v>
      </c>
      <c r="Q85" s="72">
        <v>32.93</v>
      </c>
      <c r="R85" s="72">
        <v>34.1</v>
      </c>
      <c r="S85" s="72">
        <v>30.51</v>
      </c>
      <c r="T85" s="72">
        <v>31.51</v>
      </c>
      <c r="U85" s="72">
        <v>33.090000000000003</v>
      </c>
      <c r="V85" s="72">
        <v>33.33</v>
      </c>
      <c r="W85" s="72">
        <v>29.6</v>
      </c>
      <c r="X85" s="72">
        <v>31.27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471989</v>
      </c>
      <c r="C88" s="273">
        <v>593355</v>
      </c>
      <c r="D88" s="273">
        <v>585360</v>
      </c>
      <c r="E88" s="273">
        <v>577069</v>
      </c>
      <c r="F88" s="273">
        <v>435561</v>
      </c>
      <c r="G88" s="273">
        <v>461577</v>
      </c>
      <c r="H88" s="273">
        <v>465753</v>
      </c>
      <c r="I88" s="273">
        <v>455962</v>
      </c>
      <c r="J88" s="273">
        <v>427099</v>
      </c>
      <c r="K88" s="273">
        <v>540759</v>
      </c>
      <c r="L88" s="273">
        <v>586220</v>
      </c>
      <c r="M88" s="273">
        <v>601111</v>
      </c>
      <c r="N88" s="273">
        <v>499256</v>
      </c>
      <c r="O88" s="273">
        <v>465977</v>
      </c>
      <c r="P88" s="273">
        <v>443654</v>
      </c>
      <c r="Q88" s="273">
        <v>423222</v>
      </c>
      <c r="R88" s="273">
        <v>373418</v>
      </c>
      <c r="S88" s="273">
        <v>393159</v>
      </c>
      <c r="T88" s="273">
        <v>399754</v>
      </c>
      <c r="U88" s="273">
        <v>395787</v>
      </c>
      <c r="V88" s="273">
        <v>323246</v>
      </c>
      <c r="W88" s="273">
        <v>393420</v>
      </c>
      <c r="X88" s="273">
        <v>435534</v>
      </c>
    </row>
    <row r="89" spans="1:25" ht="14.25" thickBot="1" x14ac:dyDescent="0.3">
      <c r="A89" s="250" t="s">
        <v>4</v>
      </c>
      <c r="B89" s="275">
        <v>138040</v>
      </c>
      <c r="C89" s="275">
        <v>179046</v>
      </c>
      <c r="D89" s="275">
        <v>191547</v>
      </c>
      <c r="E89" s="275">
        <v>190324</v>
      </c>
      <c r="F89" s="275">
        <v>148330</v>
      </c>
      <c r="G89" s="275">
        <v>157011</v>
      </c>
      <c r="H89" s="275">
        <v>161410</v>
      </c>
      <c r="I89" s="275">
        <v>157054</v>
      </c>
      <c r="J89" s="275">
        <v>141176</v>
      </c>
      <c r="K89" s="275">
        <v>189400</v>
      </c>
      <c r="L89" s="275">
        <v>203681</v>
      </c>
      <c r="M89" s="275">
        <v>193483</v>
      </c>
      <c r="N89" s="275">
        <v>171106</v>
      </c>
      <c r="O89" s="275">
        <v>163578</v>
      </c>
      <c r="P89" s="275">
        <v>152914</v>
      </c>
      <c r="Q89" s="275">
        <v>155435</v>
      </c>
      <c r="R89" s="275">
        <v>145385</v>
      </c>
      <c r="S89" s="275">
        <v>156366</v>
      </c>
      <c r="T89" s="275">
        <v>150518</v>
      </c>
      <c r="U89" s="275">
        <v>145849</v>
      </c>
      <c r="V89" s="275">
        <v>110363</v>
      </c>
      <c r="W89" s="275">
        <v>124350</v>
      </c>
      <c r="X89" s="275">
        <v>161106</v>
      </c>
    </row>
    <row r="90" spans="1:25" ht="14.25" thickBot="1" x14ac:dyDescent="0.3">
      <c r="A90" s="251" t="s">
        <v>5</v>
      </c>
      <c r="B90" s="273">
        <v>102546</v>
      </c>
      <c r="C90" s="273">
        <v>131358</v>
      </c>
      <c r="D90" s="273">
        <v>143887</v>
      </c>
      <c r="E90" s="273">
        <v>145889</v>
      </c>
      <c r="F90" s="273">
        <v>113713</v>
      </c>
      <c r="G90" s="273">
        <v>119673</v>
      </c>
      <c r="H90" s="273">
        <v>125403</v>
      </c>
      <c r="I90" s="273">
        <v>121430</v>
      </c>
      <c r="J90" s="273">
        <v>105453</v>
      </c>
      <c r="K90" s="273">
        <v>151065</v>
      </c>
      <c r="L90" s="273">
        <v>160965</v>
      </c>
      <c r="M90" s="273">
        <v>144012</v>
      </c>
      <c r="N90" s="273">
        <v>129867</v>
      </c>
      <c r="O90" s="273">
        <v>124131</v>
      </c>
      <c r="P90" s="273">
        <v>114170</v>
      </c>
      <c r="Q90" s="273">
        <v>113519</v>
      </c>
      <c r="R90" s="273">
        <v>109627</v>
      </c>
      <c r="S90" s="273">
        <v>119516</v>
      </c>
      <c r="T90" s="273">
        <v>116702</v>
      </c>
      <c r="U90" s="273">
        <v>105149</v>
      </c>
      <c r="V90" s="273">
        <v>78687</v>
      </c>
      <c r="W90" s="273">
        <v>89735</v>
      </c>
      <c r="X90" s="273">
        <v>126513</v>
      </c>
    </row>
    <row r="91" spans="1:25" ht="14.25" thickBot="1" x14ac:dyDescent="0.3">
      <c r="A91" s="250" t="s">
        <v>6</v>
      </c>
      <c r="B91" s="275">
        <v>91192</v>
      </c>
      <c r="C91" s="275">
        <v>139907</v>
      </c>
      <c r="D91" s="275">
        <v>143523</v>
      </c>
      <c r="E91" s="275">
        <v>140535</v>
      </c>
      <c r="F91" s="275">
        <v>130280</v>
      </c>
      <c r="G91" s="275">
        <v>123304</v>
      </c>
      <c r="H91" s="275">
        <v>123003</v>
      </c>
      <c r="I91" s="275">
        <v>133218</v>
      </c>
      <c r="J91" s="275">
        <v>129940</v>
      </c>
      <c r="K91" s="275">
        <v>141596</v>
      </c>
      <c r="L91" s="275">
        <v>162607</v>
      </c>
      <c r="M91" s="275">
        <v>167187</v>
      </c>
      <c r="N91" s="275">
        <v>112046</v>
      </c>
      <c r="O91" s="275">
        <v>115991</v>
      </c>
      <c r="P91" s="275">
        <v>175800</v>
      </c>
      <c r="Q91" s="275">
        <v>113337</v>
      </c>
      <c r="R91" s="275">
        <v>94731</v>
      </c>
      <c r="S91" s="275">
        <v>121736</v>
      </c>
      <c r="T91" s="275">
        <v>81133</v>
      </c>
      <c r="U91" s="275">
        <v>130227</v>
      </c>
      <c r="V91" s="275">
        <v>19865</v>
      </c>
      <c r="W91" s="275">
        <v>103702</v>
      </c>
      <c r="X91" s="275">
        <v>135230</v>
      </c>
    </row>
    <row r="92" spans="1:25" ht="14.25" thickBot="1" x14ac:dyDescent="0.3">
      <c r="A92" s="251" t="s">
        <v>7</v>
      </c>
      <c r="B92" s="273">
        <v>83362</v>
      </c>
      <c r="C92" s="273">
        <v>118619</v>
      </c>
      <c r="D92" s="273">
        <v>131930</v>
      </c>
      <c r="E92" s="273">
        <v>124187</v>
      </c>
      <c r="F92" s="273">
        <v>114477</v>
      </c>
      <c r="G92" s="273">
        <v>98563</v>
      </c>
      <c r="H92" s="273">
        <v>110361</v>
      </c>
      <c r="I92" s="273">
        <v>113312</v>
      </c>
      <c r="J92" s="273">
        <v>107850</v>
      </c>
      <c r="K92" s="273">
        <v>115083</v>
      </c>
      <c r="L92" s="273">
        <v>134359</v>
      </c>
      <c r="M92" s="273">
        <v>138218</v>
      </c>
      <c r="N92" s="273">
        <v>92998</v>
      </c>
      <c r="O92" s="273">
        <v>85954</v>
      </c>
      <c r="P92" s="273">
        <v>145855</v>
      </c>
      <c r="Q92" s="273">
        <v>93412</v>
      </c>
      <c r="R92" s="273">
        <v>78777</v>
      </c>
      <c r="S92" s="273">
        <v>94579</v>
      </c>
      <c r="T92" s="273">
        <v>67282</v>
      </c>
      <c r="U92" s="273">
        <v>108021</v>
      </c>
      <c r="V92" s="273">
        <v>16488</v>
      </c>
      <c r="W92" s="273">
        <v>86035</v>
      </c>
      <c r="X92" s="273">
        <v>112241</v>
      </c>
    </row>
    <row r="93" spans="1:25" ht="26.25" thickBot="1" x14ac:dyDescent="0.3">
      <c r="A93" s="252" t="s">
        <v>8</v>
      </c>
      <c r="B93" s="276">
        <v>83362</v>
      </c>
      <c r="C93" s="276">
        <v>118619</v>
      </c>
      <c r="D93" s="276">
        <v>131930</v>
      </c>
      <c r="E93" s="276">
        <v>124187</v>
      </c>
      <c r="F93" s="276">
        <v>114477</v>
      </c>
      <c r="G93" s="276">
        <v>98563</v>
      </c>
      <c r="H93" s="276">
        <v>110361</v>
      </c>
      <c r="I93" s="276">
        <v>113312</v>
      </c>
      <c r="J93" s="276">
        <v>107850</v>
      </c>
      <c r="K93" s="276">
        <v>115083</v>
      </c>
      <c r="L93" s="276">
        <v>134359</v>
      </c>
      <c r="M93" s="276">
        <v>138218</v>
      </c>
      <c r="N93" s="276">
        <v>92998</v>
      </c>
      <c r="O93" s="276">
        <v>85954</v>
      </c>
      <c r="P93" s="276">
        <v>146200</v>
      </c>
      <c r="Q93" s="276">
        <v>93701</v>
      </c>
      <c r="R93" s="276">
        <v>79218</v>
      </c>
      <c r="S93" s="276">
        <v>94963</v>
      </c>
      <c r="T93" s="276">
        <v>67628</v>
      </c>
      <c r="U93" s="276">
        <v>108418</v>
      </c>
      <c r="V93" s="276">
        <v>16488</v>
      </c>
      <c r="W93" s="276">
        <v>86035</v>
      </c>
      <c r="X93" s="276">
        <v>112241</v>
      </c>
    </row>
    <row r="94" spans="1:25" x14ac:dyDescent="0.25">
      <c r="A94" s="233" t="s">
        <v>365</v>
      </c>
      <c r="B94" s="253">
        <f>IF(B91="","",B91-B90)</f>
        <v>-11354</v>
      </c>
      <c r="C94" s="253">
        <f>IF(C91="","",C91-C90)</f>
        <v>8549</v>
      </c>
      <c r="D94" s="253">
        <f t="shared" ref="D94:Y94" si="9">IF(D91="","",D91-D90)</f>
        <v>-364</v>
      </c>
      <c r="E94" s="253">
        <f t="shared" si="9"/>
        <v>-5354</v>
      </c>
      <c r="F94" s="253">
        <f t="shared" si="9"/>
        <v>16567</v>
      </c>
      <c r="G94" s="253">
        <f t="shared" si="9"/>
        <v>3631</v>
      </c>
      <c r="H94" s="253">
        <f t="shared" si="9"/>
        <v>-2400</v>
      </c>
      <c r="I94" s="253">
        <f t="shared" si="9"/>
        <v>11788</v>
      </c>
      <c r="J94" s="253">
        <f t="shared" si="9"/>
        <v>24487</v>
      </c>
      <c r="K94" s="253">
        <f t="shared" si="9"/>
        <v>-9469</v>
      </c>
      <c r="L94" s="253">
        <f t="shared" si="9"/>
        <v>1642</v>
      </c>
      <c r="M94" s="253">
        <f t="shared" si="9"/>
        <v>23175</v>
      </c>
      <c r="N94" s="253">
        <f t="shared" si="9"/>
        <v>-17821</v>
      </c>
      <c r="O94" s="253">
        <f t="shared" si="9"/>
        <v>-8140</v>
      </c>
      <c r="P94" s="253">
        <f t="shared" si="9"/>
        <v>61630</v>
      </c>
      <c r="Q94" s="253">
        <f t="shared" si="9"/>
        <v>-182</v>
      </c>
      <c r="R94" s="253">
        <f t="shared" si="9"/>
        <v>-14896</v>
      </c>
      <c r="S94" s="253">
        <f t="shared" si="9"/>
        <v>2220</v>
      </c>
      <c r="T94" s="253">
        <f t="shared" si="9"/>
        <v>-35569</v>
      </c>
      <c r="U94" s="253">
        <f t="shared" si="9"/>
        <v>25078</v>
      </c>
      <c r="V94" s="253">
        <f t="shared" si="9"/>
        <v>-58822</v>
      </c>
      <c r="W94" s="253">
        <f t="shared" si="9"/>
        <v>13967</v>
      </c>
      <c r="X94" s="253">
        <f t="shared" si="9"/>
        <v>8717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2227773</v>
      </c>
      <c r="C97" s="273">
        <v>1818853</v>
      </c>
      <c r="D97" s="273">
        <v>2155189</v>
      </c>
      <c r="E97" s="273">
        <v>1832109</v>
      </c>
      <c r="F97" s="273">
        <v>1562118</v>
      </c>
    </row>
    <row r="98" spans="1:24" ht="14.25" thickBot="1" x14ac:dyDescent="0.3">
      <c r="A98" s="225" t="s">
        <v>4</v>
      </c>
      <c r="B98" s="275">
        <v>698957</v>
      </c>
      <c r="C98" s="275">
        <v>623805</v>
      </c>
      <c r="D98" s="275">
        <v>727740</v>
      </c>
      <c r="E98" s="275">
        <v>643033</v>
      </c>
      <c r="F98" s="275">
        <v>598118</v>
      </c>
    </row>
    <row r="99" spans="1:24" ht="14.25" thickBot="1" x14ac:dyDescent="0.3">
      <c r="A99" s="224" t="s">
        <v>5</v>
      </c>
      <c r="B99" s="273">
        <v>523680</v>
      </c>
      <c r="C99" s="273">
        <v>480219</v>
      </c>
      <c r="D99" s="273">
        <v>561495</v>
      </c>
      <c r="E99" s="273">
        <v>481687</v>
      </c>
      <c r="F99" s="273">
        <v>450994</v>
      </c>
    </row>
    <row r="100" spans="1:24" ht="14.25" thickBot="1" x14ac:dyDescent="0.3">
      <c r="A100" s="225" t="s">
        <v>6</v>
      </c>
      <c r="B100" s="275">
        <v>515157</v>
      </c>
      <c r="C100" s="275">
        <v>509805</v>
      </c>
      <c r="D100" s="275">
        <v>601330</v>
      </c>
      <c r="E100" s="275">
        <v>517174</v>
      </c>
      <c r="F100" s="275">
        <v>427827</v>
      </c>
    </row>
    <row r="101" spans="1:24" ht="14.25" thickBot="1" x14ac:dyDescent="0.3">
      <c r="A101" s="224" t="s">
        <v>7</v>
      </c>
      <c r="B101" s="273">
        <v>458098</v>
      </c>
      <c r="C101" s="273">
        <v>436713</v>
      </c>
      <c r="D101" s="273">
        <v>495510</v>
      </c>
      <c r="E101" s="273">
        <v>418219</v>
      </c>
      <c r="F101" s="273">
        <v>348659</v>
      </c>
    </row>
    <row r="102" spans="1:24" ht="14.25" thickBot="1" x14ac:dyDescent="0.3">
      <c r="A102" s="227" t="s">
        <v>8</v>
      </c>
      <c r="B102" s="276">
        <v>458098</v>
      </c>
      <c r="C102" s="276">
        <v>436713</v>
      </c>
      <c r="D102" s="276">
        <v>495510</v>
      </c>
      <c r="E102" s="276">
        <v>418853</v>
      </c>
      <c r="F102" s="276">
        <v>350227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1.0015159521686006</v>
      </c>
      <c r="F103" s="234">
        <f>IF(OR(F102="",F102="無"),"",F102/F101)</f>
        <v>1.0044972308186508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691019</v>
      </c>
      <c r="C106" s="273">
        <v>806114</v>
      </c>
      <c r="D106" s="273">
        <v>602107</v>
      </c>
      <c r="E106" s="273">
        <v>724007</v>
      </c>
      <c r="F106" s="273">
        <v>624806</v>
      </c>
      <c r="G106" s="273">
        <v>701614</v>
      </c>
      <c r="H106" s="273">
        <v>787705</v>
      </c>
      <c r="I106" s="273">
        <v>793042</v>
      </c>
      <c r="J106" s="273">
        <v>722697</v>
      </c>
      <c r="K106" s="273">
        <v>729113</v>
      </c>
      <c r="L106" s="273">
        <v>625088</v>
      </c>
      <c r="M106" s="273">
        <v>794324</v>
      </c>
      <c r="N106" s="273">
        <v>934012</v>
      </c>
      <c r="O106" s="273">
        <v>969368</v>
      </c>
      <c r="P106" s="273">
        <v>734456</v>
      </c>
      <c r="Q106" s="273">
        <v>878446</v>
      </c>
      <c r="R106" s="273">
        <v>880796</v>
      </c>
      <c r="S106" s="273">
        <v>929033</v>
      </c>
      <c r="T106" s="273">
        <v>1104765</v>
      </c>
      <c r="U106" s="273">
        <v>1009452</v>
      </c>
      <c r="V106" s="273">
        <v>907579</v>
      </c>
      <c r="W106" s="273">
        <v>937454</v>
      </c>
      <c r="X106" s="273">
        <v>488988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76</v>
      </c>
      <c r="G107" s="275">
        <v>1114</v>
      </c>
      <c r="H107" s="274">
        <v>0</v>
      </c>
      <c r="I107" s="274">
        <v>0</v>
      </c>
      <c r="J107" s="275">
        <v>60014</v>
      </c>
      <c r="K107" s="275">
        <v>85086</v>
      </c>
      <c r="L107" s="275">
        <v>44979</v>
      </c>
      <c r="M107" s="275">
        <v>75882</v>
      </c>
      <c r="N107" s="275">
        <v>39823</v>
      </c>
      <c r="O107" s="275">
        <v>25149</v>
      </c>
      <c r="P107" s="274">
        <v>0</v>
      </c>
      <c r="Q107" s="274">
        <v>0</v>
      </c>
      <c r="R107" s="275">
        <v>91313</v>
      </c>
      <c r="S107" s="275">
        <v>45086</v>
      </c>
      <c r="T107" s="275">
        <v>31424</v>
      </c>
      <c r="U107" s="275">
        <v>31636</v>
      </c>
      <c r="V107" s="275">
        <v>30080</v>
      </c>
      <c r="W107" s="275">
        <v>30535</v>
      </c>
      <c r="X107" s="275">
        <v>257384</v>
      </c>
    </row>
    <row r="108" spans="1:24" ht="14.25" thickBot="1" x14ac:dyDescent="0.3">
      <c r="A108" s="224" t="s">
        <v>263</v>
      </c>
      <c r="B108" s="273">
        <v>198694</v>
      </c>
      <c r="C108" s="273">
        <v>201526</v>
      </c>
      <c r="D108" s="273">
        <v>240228</v>
      </c>
      <c r="E108" s="273">
        <v>266551</v>
      </c>
      <c r="F108" s="273">
        <v>248096</v>
      </c>
      <c r="G108" s="273">
        <v>272310</v>
      </c>
      <c r="H108" s="273">
        <v>243680</v>
      </c>
      <c r="I108" s="273">
        <v>273310</v>
      </c>
      <c r="J108" s="273">
        <v>261356</v>
      </c>
      <c r="K108" s="273">
        <v>314975</v>
      </c>
      <c r="L108" s="273">
        <v>293079</v>
      </c>
      <c r="M108" s="273">
        <v>286415</v>
      </c>
      <c r="N108" s="273">
        <v>256645</v>
      </c>
      <c r="O108" s="273">
        <v>202345</v>
      </c>
      <c r="P108" s="273">
        <v>232846</v>
      </c>
      <c r="Q108" s="273">
        <v>199721</v>
      </c>
      <c r="R108" s="273">
        <v>170375</v>
      </c>
      <c r="S108" s="273">
        <v>179586</v>
      </c>
      <c r="T108" s="273">
        <v>169158</v>
      </c>
      <c r="U108" s="273">
        <v>162040</v>
      </c>
      <c r="V108" s="273">
        <v>133594</v>
      </c>
      <c r="W108" s="273">
        <v>160293</v>
      </c>
      <c r="X108" s="273">
        <v>194030</v>
      </c>
    </row>
    <row r="109" spans="1:24" ht="14.25" thickBot="1" x14ac:dyDescent="0.3">
      <c r="A109" s="225" t="s">
        <v>264</v>
      </c>
      <c r="B109" s="275">
        <v>359711</v>
      </c>
      <c r="C109" s="275">
        <v>296879</v>
      </c>
      <c r="D109" s="275">
        <v>253951</v>
      </c>
      <c r="E109" s="275">
        <v>212205</v>
      </c>
      <c r="F109" s="275">
        <v>285198</v>
      </c>
      <c r="G109" s="275">
        <v>263291</v>
      </c>
      <c r="H109" s="275">
        <v>204806</v>
      </c>
      <c r="I109" s="275">
        <v>183435</v>
      </c>
      <c r="J109" s="275">
        <v>232490</v>
      </c>
      <c r="K109" s="275">
        <v>244725</v>
      </c>
      <c r="L109" s="275">
        <v>256500</v>
      </c>
      <c r="M109" s="275">
        <v>249124</v>
      </c>
      <c r="N109" s="275">
        <v>251879</v>
      </c>
      <c r="O109" s="275">
        <v>219934</v>
      </c>
      <c r="P109" s="275">
        <v>183715</v>
      </c>
      <c r="Q109" s="275">
        <v>166627</v>
      </c>
      <c r="R109" s="275">
        <v>150685</v>
      </c>
      <c r="S109" s="275">
        <v>146912</v>
      </c>
      <c r="T109" s="275">
        <v>160628</v>
      </c>
      <c r="U109" s="275">
        <v>171714</v>
      </c>
      <c r="V109" s="275">
        <v>217299</v>
      </c>
      <c r="W109" s="275">
        <v>171417</v>
      </c>
      <c r="X109" s="275">
        <v>265668</v>
      </c>
    </row>
    <row r="110" spans="1:24" ht="14.25" thickBot="1" x14ac:dyDescent="0.3">
      <c r="A110" s="224" t="s">
        <v>23</v>
      </c>
      <c r="B110" s="273">
        <v>54557</v>
      </c>
      <c r="C110" s="273">
        <v>64501</v>
      </c>
      <c r="D110" s="273">
        <v>57244</v>
      </c>
      <c r="E110" s="273">
        <v>98900</v>
      </c>
      <c r="F110" s="273">
        <v>89361</v>
      </c>
      <c r="G110" s="273">
        <v>71039</v>
      </c>
      <c r="H110" s="273">
        <v>20647</v>
      </c>
      <c r="I110" s="273">
        <v>62959</v>
      </c>
      <c r="J110" s="273">
        <v>23579</v>
      </c>
      <c r="K110" s="273">
        <v>34573</v>
      </c>
      <c r="L110" s="273">
        <v>44919</v>
      </c>
      <c r="M110" s="273">
        <v>39997</v>
      </c>
      <c r="N110" s="273">
        <v>30467</v>
      </c>
      <c r="O110" s="273">
        <v>46891</v>
      </c>
      <c r="P110" s="273">
        <v>59517</v>
      </c>
      <c r="Q110" s="273">
        <v>55986</v>
      </c>
      <c r="R110" s="273">
        <v>64141</v>
      </c>
      <c r="S110" s="273">
        <v>160427</v>
      </c>
      <c r="T110" s="273">
        <v>61889</v>
      </c>
      <c r="U110" s="273">
        <v>57183</v>
      </c>
      <c r="V110" s="273">
        <v>59138</v>
      </c>
      <c r="W110" s="273">
        <v>113393</v>
      </c>
      <c r="X110" s="273">
        <v>212754</v>
      </c>
    </row>
    <row r="111" spans="1:24" ht="14.25" thickBot="1" x14ac:dyDescent="0.3">
      <c r="A111" s="225" t="s">
        <v>24</v>
      </c>
      <c r="B111" s="275">
        <v>1303981</v>
      </c>
      <c r="C111" s="275">
        <v>1369020</v>
      </c>
      <c r="D111" s="275">
        <v>1153530</v>
      </c>
      <c r="E111" s="275">
        <v>1301663</v>
      </c>
      <c r="F111" s="275">
        <v>1247537</v>
      </c>
      <c r="G111" s="275">
        <v>1309368</v>
      </c>
      <c r="H111" s="275">
        <v>1256838</v>
      </c>
      <c r="I111" s="275">
        <v>1312746</v>
      </c>
      <c r="J111" s="275">
        <v>1300136</v>
      </c>
      <c r="K111" s="275">
        <v>1408472</v>
      </c>
      <c r="L111" s="275">
        <v>1264565</v>
      </c>
      <c r="M111" s="275">
        <v>1445742</v>
      </c>
      <c r="N111" s="275">
        <v>1512826</v>
      </c>
      <c r="O111" s="275">
        <v>1463687</v>
      </c>
      <c r="P111" s="275">
        <v>1210534</v>
      </c>
      <c r="Q111" s="275">
        <v>1300780</v>
      </c>
      <c r="R111" s="275">
        <v>1357310</v>
      </c>
      <c r="S111" s="275">
        <v>1461044</v>
      </c>
      <c r="T111" s="275">
        <v>1527864</v>
      </c>
      <c r="U111" s="275">
        <v>1432025</v>
      </c>
      <c r="V111" s="275">
        <v>1347690</v>
      </c>
      <c r="W111" s="275">
        <v>1413092</v>
      </c>
      <c r="X111" s="275">
        <v>1418824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1014375</v>
      </c>
      <c r="C113" s="275">
        <v>1039116</v>
      </c>
      <c r="D113" s="275">
        <v>1051251</v>
      </c>
      <c r="E113" s="275">
        <v>1098258</v>
      </c>
      <c r="F113" s="275">
        <v>937283</v>
      </c>
      <c r="G113" s="275">
        <v>945786</v>
      </c>
      <c r="H113" s="275">
        <v>946785</v>
      </c>
      <c r="I113" s="275">
        <v>999452</v>
      </c>
      <c r="J113" s="275">
        <v>1035467</v>
      </c>
      <c r="K113" s="275">
        <v>1039570</v>
      </c>
      <c r="L113" s="275">
        <v>1052827</v>
      </c>
      <c r="M113" s="275">
        <v>1061692</v>
      </c>
      <c r="N113" s="275">
        <v>1041259</v>
      </c>
      <c r="O113" s="275">
        <v>1023013</v>
      </c>
      <c r="P113" s="275">
        <v>1023831</v>
      </c>
      <c r="Q113" s="275">
        <v>1118088</v>
      </c>
      <c r="R113" s="275">
        <v>1098074</v>
      </c>
      <c r="S113" s="275">
        <v>1075412</v>
      </c>
      <c r="T113" s="275">
        <v>1098422</v>
      </c>
      <c r="U113" s="275">
        <v>1081131</v>
      </c>
      <c r="V113" s="275">
        <v>1113939</v>
      </c>
      <c r="W113" s="275">
        <v>1096918</v>
      </c>
      <c r="X113" s="275">
        <v>1093296</v>
      </c>
    </row>
    <row r="114" spans="1:24" ht="14.25" thickBot="1" x14ac:dyDescent="0.3">
      <c r="A114" s="224" t="s">
        <v>27</v>
      </c>
      <c r="B114" s="273">
        <v>27978</v>
      </c>
      <c r="C114" s="273">
        <v>26314</v>
      </c>
      <c r="D114" s="273">
        <v>23213</v>
      </c>
      <c r="E114" s="273">
        <v>22236</v>
      </c>
      <c r="F114" s="273">
        <v>239695</v>
      </c>
      <c r="G114" s="273">
        <v>239178</v>
      </c>
      <c r="H114" s="273">
        <v>230388</v>
      </c>
      <c r="I114" s="273">
        <v>179527</v>
      </c>
      <c r="J114" s="273">
        <v>142584</v>
      </c>
      <c r="K114" s="273">
        <v>144169</v>
      </c>
      <c r="L114" s="273">
        <v>155815</v>
      </c>
      <c r="M114" s="273">
        <v>156377</v>
      </c>
      <c r="N114" s="273">
        <v>185665</v>
      </c>
      <c r="O114" s="273">
        <v>181733</v>
      </c>
      <c r="P114" s="273">
        <v>195241</v>
      </c>
      <c r="Q114" s="273">
        <v>137149</v>
      </c>
      <c r="R114" s="273">
        <v>136795</v>
      </c>
      <c r="S114" s="273">
        <v>153339</v>
      </c>
      <c r="T114" s="273">
        <v>117345</v>
      </c>
      <c r="U114" s="273">
        <v>128810</v>
      </c>
      <c r="V114" s="273">
        <v>93146</v>
      </c>
      <c r="W114" s="273">
        <v>117377</v>
      </c>
      <c r="X114" s="273">
        <v>123948</v>
      </c>
    </row>
    <row r="115" spans="1:24" ht="14.25" thickBot="1" x14ac:dyDescent="0.3">
      <c r="A115" s="225" t="s">
        <v>265</v>
      </c>
      <c r="B115" s="276">
        <v>2346334</v>
      </c>
      <c r="C115" s="276">
        <v>2434450</v>
      </c>
      <c r="D115" s="276">
        <v>2227994</v>
      </c>
      <c r="E115" s="276">
        <v>2422157</v>
      </c>
      <c r="F115" s="276">
        <v>2424515</v>
      </c>
      <c r="G115" s="276">
        <v>2494332</v>
      </c>
      <c r="H115" s="276">
        <v>2434011</v>
      </c>
      <c r="I115" s="276">
        <v>2491725</v>
      </c>
      <c r="J115" s="276">
        <v>2478187</v>
      </c>
      <c r="K115" s="276">
        <v>2592211</v>
      </c>
      <c r="L115" s="276">
        <v>2473207</v>
      </c>
      <c r="M115" s="276">
        <v>2663811</v>
      </c>
      <c r="N115" s="276">
        <v>2739750</v>
      </c>
      <c r="O115" s="276">
        <v>2668433</v>
      </c>
      <c r="P115" s="276">
        <v>2429606</v>
      </c>
      <c r="Q115" s="276">
        <v>2556017</v>
      </c>
      <c r="R115" s="276">
        <v>2592179</v>
      </c>
      <c r="S115" s="276">
        <v>2689795</v>
      </c>
      <c r="T115" s="276">
        <v>2743631</v>
      </c>
      <c r="U115" s="276">
        <v>2641966</v>
      </c>
      <c r="V115" s="276">
        <v>2554775</v>
      </c>
      <c r="W115" s="276">
        <v>2627387</v>
      </c>
      <c r="X115" s="276">
        <v>2636068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273">
        <v>38000</v>
      </c>
      <c r="E118" s="273">
        <v>38000</v>
      </c>
      <c r="F118" s="273">
        <v>38000</v>
      </c>
      <c r="G118" s="273">
        <v>38000</v>
      </c>
      <c r="H118" s="273">
        <v>200000</v>
      </c>
      <c r="I118" s="273">
        <v>100000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273">
        <v>340000</v>
      </c>
      <c r="U118" s="273">
        <v>100000</v>
      </c>
      <c r="V118" s="68">
        <v>0</v>
      </c>
      <c r="W118" s="68">
        <v>0</v>
      </c>
      <c r="X118" s="273">
        <v>200000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262679</v>
      </c>
      <c r="C120" s="273">
        <v>286834</v>
      </c>
      <c r="D120" s="273">
        <v>232803</v>
      </c>
      <c r="E120" s="273">
        <v>236458</v>
      </c>
      <c r="F120" s="273">
        <v>164680</v>
      </c>
      <c r="G120" s="273">
        <v>158900</v>
      </c>
      <c r="H120" s="273">
        <v>141880</v>
      </c>
      <c r="I120" s="273">
        <v>183370</v>
      </c>
      <c r="J120" s="273">
        <v>186293</v>
      </c>
      <c r="K120" s="273">
        <v>196134</v>
      </c>
      <c r="L120" s="273">
        <v>234156</v>
      </c>
      <c r="M120" s="273">
        <v>260862</v>
      </c>
      <c r="N120" s="273">
        <v>215078</v>
      </c>
      <c r="O120" s="273">
        <v>145642</v>
      </c>
      <c r="P120" s="273">
        <v>137596</v>
      </c>
      <c r="Q120" s="273">
        <v>156489</v>
      </c>
      <c r="R120" s="273">
        <v>120226</v>
      </c>
      <c r="S120" s="273">
        <v>130522</v>
      </c>
      <c r="T120" s="273">
        <v>151865</v>
      </c>
      <c r="U120" s="273">
        <v>157706</v>
      </c>
      <c r="V120" s="273">
        <v>140901</v>
      </c>
      <c r="W120" s="273">
        <v>141242</v>
      </c>
      <c r="X120" s="273">
        <v>186980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5">
        <v>53595</v>
      </c>
      <c r="E121" s="275">
        <v>46293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19116</v>
      </c>
      <c r="C122" s="273">
        <v>8880</v>
      </c>
      <c r="D122" s="273">
        <v>6000</v>
      </c>
      <c r="E122" s="273">
        <v>6000</v>
      </c>
      <c r="F122" s="273">
        <v>6000</v>
      </c>
      <c r="G122" s="273">
        <v>6000</v>
      </c>
      <c r="H122" s="273">
        <v>6000</v>
      </c>
      <c r="I122" s="273">
        <v>6000</v>
      </c>
      <c r="J122" s="273">
        <v>6000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192391</v>
      </c>
      <c r="C123" s="275">
        <v>438046</v>
      </c>
      <c r="D123" s="275">
        <v>101776</v>
      </c>
      <c r="E123" s="275">
        <v>176269</v>
      </c>
      <c r="F123" s="275">
        <v>184076</v>
      </c>
      <c r="G123" s="275">
        <v>469480</v>
      </c>
      <c r="H123" s="275">
        <v>155345</v>
      </c>
      <c r="I123" s="275">
        <v>159775</v>
      </c>
      <c r="J123" s="275">
        <v>167085</v>
      </c>
      <c r="K123" s="275">
        <v>490155</v>
      </c>
      <c r="L123" s="275">
        <v>198752</v>
      </c>
      <c r="M123" s="275">
        <v>222651</v>
      </c>
      <c r="N123" s="275">
        <v>254813</v>
      </c>
      <c r="O123" s="275">
        <v>505107</v>
      </c>
      <c r="P123" s="275">
        <v>116295</v>
      </c>
      <c r="Q123" s="275">
        <v>133561</v>
      </c>
      <c r="R123" s="275">
        <v>130928</v>
      </c>
      <c r="S123" s="275">
        <v>460959</v>
      </c>
      <c r="T123" s="275">
        <v>90817</v>
      </c>
      <c r="U123" s="275">
        <v>113190</v>
      </c>
      <c r="V123" s="275">
        <v>126316</v>
      </c>
      <c r="W123" s="275">
        <v>450151</v>
      </c>
      <c r="X123" s="275">
        <v>100735</v>
      </c>
    </row>
    <row r="124" spans="1:24" ht="14.25" thickBot="1" x14ac:dyDescent="0.3">
      <c r="A124" s="224" t="s">
        <v>268</v>
      </c>
      <c r="B124" s="273">
        <v>474186</v>
      </c>
      <c r="C124" s="273">
        <v>733760</v>
      </c>
      <c r="D124" s="273">
        <v>432174</v>
      </c>
      <c r="E124" s="273">
        <v>503020</v>
      </c>
      <c r="F124" s="273">
        <v>392756</v>
      </c>
      <c r="G124" s="273">
        <v>672380</v>
      </c>
      <c r="H124" s="273">
        <v>503225</v>
      </c>
      <c r="I124" s="273">
        <v>449145</v>
      </c>
      <c r="J124" s="273">
        <v>359378</v>
      </c>
      <c r="K124" s="273">
        <v>686289</v>
      </c>
      <c r="L124" s="273">
        <v>432908</v>
      </c>
      <c r="M124" s="273">
        <v>483513</v>
      </c>
      <c r="N124" s="273">
        <v>469891</v>
      </c>
      <c r="O124" s="273">
        <v>650749</v>
      </c>
      <c r="P124" s="273">
        <v>253891</v>
      </c>
      <c r="Q124" s="273">
        <v>290050</v>
      </c>
      <c r="R124" s="273">
        <v>251154</v>
      </c>
      <c r="S124" s="273">
        <v>591481</v>
      </c>
      <c r="T124" s="273">
        <v>582682</v>
      </c>
      <c r="U124" s="273">
        <v>370896</v>
      </c>
      <c r="V124" s="273">
        <v>267217</v>
      </c>
      <c r="W124" s="273">
        <v>591393</v>
      </c>
      <c r="X124" s="273">
        <v>487715</v>
      </c>
    </row>
    <row r="125" spans="1:24" ht="14.25" thickBot="1" x14ac:dyDescent="0.3">
      <c r="A125" s="225" t="s">
        <v>32</v>
      </c>
      <c r="B125" s="275">
        <v>141278</v>
      </c>
      <c r="C125" s="275">
        <v>96706</v>
      </c>
      <c r="D125" s="275">
        <v>59992</v>
      </c>
      <c r="E125" s="275">
        <v>58493</v>
      </c>
      <c r="F125" s="275">
        <v>107854</v>
      </c>
      <c r="G125" s="275">
        <v>106363</v>
      </c>
      <c r="H125" s="275">
        <v>104871</v>
      </c>
      <c r="I125" s="275">
        <v>97216</v>
      </c>
      <c r="J125" s="275">
        <v>65605</v>
      </c>
      <c r="K125" s="275">
        <v>44619</v>
      </c>
      <c r="L125" s="275">
        <v>44626</v>
      </c>
      <c r="M125" s="275">
        <v>46962</v>
      </c>
      <c r="N125" s="275">
        <v>43525</v>
      </c>
      <c r="O125" s="275">
        <v>43022</v>
      </c>
      <c r="P125" s="275">
        <v>51714</v>
      </c>
      <c r="Q125" s="275">
        <v>39805</v>
      </c>
      <c r="R125" s="275">
        <v>36114</v>
      </c>
      <c r="S125" s="275">
        <v>36503</v>
      </c>
      <c r="T125" s="275">
        <v>31764</v>
      </c>
      <c r="U125" s="275">
        <v>36924</v>
      </c>
      <c r="V125" s="275">
        <v>36924</v>
      </c>
      <c r="W125" s="275">
        <v>36951</v>
      </c>
      <c r="X125" s="275">
        <v>37069</v>
      </c>
    </row>
    <row r="126" spans="1:24" ht="14.25" thickBot="1" x14ac:dyDescent="0.3">
      <c r="A126" s="224" t="s">
        <v>33</v>
      </c>
      <c r="B126" s="273">
        <v>43917</v>
      </c>
      <c r="C126" s="273">
        <v>43924</v>
      </c>
      <c r="D126" s="273">
        <v>43932</v>
      </c>
      <c r="E126" s="273">
        <v>45082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659381</v>
      </c>
      <c r="C127" s="275">
        <v>874390</v>
      </c>
      <c r="D127" s="275">
        <v>536098</v>
      </c>
      <c r="E127" s="275">
        <v>606595</v>
      </c>
      <c r="F127" s="275">
        <v>500610</v>
      </c>
      <c r="G127" s="275">
        <v>778743</v>
      </c>
      <c r="H127" s="275">
        <v>608096</v>
      </c>
      <c r="I127" s="275">
        <v>546361</v>
      </c>
      <c r="J127" s="275">
        <v>424983</v>
      </c>
      <c r="K127" s="275">
        <v>730908</v>
      </c>
      <c r="L127" s="275">
        <v>477534</v>
      </c>
      <c r="M127" s="275">
        <v>530475</v>
      </c>
      <c r="N127" s="275">
        <v>513416</v>
      </c>
      <c r="O127" s="275">
        <v>693771</v>
      </c>
      <c r="P127" s="275">
        <v>305605</v>
      </c>
      <c r="Q127" s="275">
        <v>329855</v>
      </c>
      <c r="R127" s="275">
        <v>287268</v>
      </c>
      <c r="S127" s="275">
        <v>627984</v>
      </c>
      <c r="T127" s="275">
        <v>614446</v>
      </c>
      <c r="U127" s="275">
        <v>407820</v>
      </c>
      <c r="V127" s="275">
        <v>304141</v>
      </c>
      <c r="W127" s="275">
        <v>628344</v>
      </c>
      <c r="X127" s="275">
        <v>524784</v>
      </c>
    </row>
    <row r="128" spans="1:24" ht="14.25" thickBot="1" x14ac:dyDescent="0.3">
      <c r="A128" s="224" t="s">
        <v>34</v>
      </c>
      <c r="B128" s="273">
        <v>1686953</v>
      </c>
      <c r="C128" s="273">
        <v>1560060</v>
      </c>
      <c r="D128" s="273">
        <v>1691896</v>
      </c>
      <c r="E128" s="273">
        <v>1815562</v>
      </c>
      <c r="F128" s="273">
        <v>1923905</v>
      </c>
      <c r="G128" s="273">
        <v>1715589</v>
      </c>
      <c r="H128" s="273">
        <v>1825915</v>
      </c>
      <c r="I128" s="273">
        <v>1945364</v>
      </c>
      <c r="J128" s="273">
        <v>2053204</v>
      </c>
      <c r="K128" s="273">
        <v>1861303</v>
      </c>
      <c r="L128" s="273">
        <v>1995673</v>
      </c>
      <c r="M128" s="273">
        <v>2133336</v>
      </c>
      <c r="N128" s="273">
        <v>2226334</v>
      </c>
      <c r="O128" s="273">
        <v>1974662</v>
      </c>
      <c r="P128" s="273">
        <v>2124001</v>
      </c>
      <c r="Q128" s="273">
        <v>2226162</v>
      </c>
      <c r="R128" s="273">
        <v>2304911</v>
      </c>
      <c r="S128" s="273">
        <v>2061811</v>
      </c>
      <c r="T128" s="273">
        <v>2129185</v>
      </c>
      <c r="U128" s="273">
        <v>2234146</v>
      </c>
      <c r="V128" s="273">
        <v>2250634</v>
      </c>
      <c r="W128" s="273">
        <v>1999043</v>
      </c>
      <c r="X128" s="273">
        <v>2111284</v>
      </c>
    </row>
    <row r="129" spans="1:24" ht="14.25" thickBot="1" x14ac:dyDescent="0.3">
      <c r="A129" s="225" t="s">
        <v>35</v>
      </c>
      <c r="B129" s="276">
        <v>2346334</v>
      </c>
      <c r="C129" s="276">
        <v>2434450</v>
      </c>
      <c r="D129" s="276">
        <v>2227994</v>
      </c>
      <c r="E129" s="276">
        <v>2422157</v>
      </c>
      <c r="F129" s="276">
        <v>2424515</v>
      </c>
      <c r="G129" s="276">
        <v>2494332</v>
      </c>
      <c r="H129" s="276">
        <v>2434011</v>
      </c>
      <c r="I129" s="276">
        <v>2491725</v>
      </c>
      <c r="J129" s="276">
        <v>2478187</v>
      </c>
      <c r="K129" s="276">
        <v>2592211</v>
      </c>
      <c r="L129" s="276">
        <v>2473207</v>
      </c>
      <c r="M129" s="276">
        <v>2663811</v>
      </c>
      <c r="N129" s="276">
        <v>2739750</v>
      </c>
      <c r="O129" s="276">
        <v>2668433</v>
      </c>
      <c r="P129" s="276">
        <v>2429606</v>
      </c>
      <c r="Q129" s="276">
        <v>2556017</v>
      </c>
      <c r="R129" s="276">
        <v>2592179</v>
      </c>
      <c r="S129" s="276">
        <v>2689795</v>
      </c>
      <c r="T129" s="276">
        <v>2743631</v>
      </c>
      <c r="U129" s="276">
        <v>2641966</v>
      </c>
      <c r="V129" s="276">
        <v>2554775</v>
      </c>
      <c r="W129" s="276">
        <v>2627387</v>
      </c>
      <c r="X129" s="276">
        <v>2636068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9</v>
      </c>
      <c r="C132" s="68">
        <v>8.0299999999999994</v>
      </c>
      <c r="D132" s="68">
        <v>8.99</v>
      </c>
      <c r="E132" s="68">
        <v>8.73</v>
      </c>
      <c r="F132" s="68">
        <v>6.47</v>
      </c>
    </row>
    <row r="133" spans="1:24" ht="14.25" thickBot="1" x14ac:dyDescent="0.3">
      <c r="A133" s="225" t="s">
        <v>37</v>
      </c>
      <c r="B133" s="274">
        <v>-2.37</v>
      </c>
      <c r="C133" s="274">
        <v>-2.98</v>
      </c>
      <c r="D133" s="274">
        <v>-1.91</v>
      </c>
      <c r="E133" s="274">
        <v>-2.52</v>
      </c>
      <c r="F133" s="274">
        <v>-0.99</v>
      </c>
    </row>
    <row r="134" spans="1:24" ht="14.25" thickBot="1" x14ac:dyDescent="0.3">
      <c r="A134" s="224" t="s">
        <v>38</v>
      </c>
      <c r="B134" s="68">
        <v>-5.01</v>
      </c>
      <c r="C134" s="68">
        <v>-4.0999999999999996</v>
      </c>
      <c r="D134" s="68">
        <v>-6.9</v>
      </c>
      <c r="E134" s="68">
        <v>-4.95</v>
      </c>
      <c r="F134" s="68">
        <v>-3.54</v>
      </c>
    </row>
    <row r="135" spans="1:24" ht="14.25" thickBot="1" x14ac:dyDescent="0.3">
      <c r="A135" s="225" t="s">
        <v>270</v>
      </c>
      <c r="B135" s="274">
        <v>6.63</v>
      </c>
      <c r="C135" s="274">
        <v>5.05</v>
      </c>
      <c r="D135" s="274">
        <v>7.09</v>
      </c>
      <c r="E135" s="274">
        <v>6.2</v>
      </c>
      <c r="F135" s="274">
        <v>5.48</v>
      </c>
    </row>
    <row r="136" spans="1:24" ht="14.25" thickBot="1" x14ac:dyDescent="0.3">
      <c r="A136" s="229" t="s">
        <v>39</v>
      </c>
      <c r="B136" s="72">
        <v>1.62</v>
      </c>
      <c r="C136" s="72">
        <v>0.95</v>
      </c>
      <c r="D136" s="72">
        <v>0.18</v>
      </c>
      <c r="E136" s="72">
        <v>1.25</v>
      </c>
      <c r="F136" s="72">
        <v>1.94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5</v>
      </c>
      <c r="C140" s="68">
        <v>5</v>
      </c>
      <c r="D140" s="68">
        <v>5</v>
      </c>
      <c r="E140" s="68">
        <v>5</v>
      </c>
      <c r="F140" s="68">
        <v>5</v>
      </c>
    </row>
    <row r="141" spans="1:24" ht="14.25" thickBot="1" x14ac:dyDescent="0.3">
      <c r="A141" s="227" t="s">
        <v>1</v>
      </c>
      <c r="B141" s="73">
        <v>0</v>
      </c>
      <c r="C141" s="73">
        <v>1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0.67024128686327089</v>
      </c>
      <c r="C142" s="234">
        <f>IF(C140&lt;&gt;"無",IF(ISNA(HLOOKUP(C139,$B$64:$F$69,6,FALSE)),"",C140/HLOOKUP(C139,$B$64:$F$69,6,FALSE)),"")</f>
        <v>0.70224719101123589</v>
      </c>
      <c r="D142" s="234">
        <f>IF(D140&lt;&gt;"無",IF(ISNA(HLOOKUP(D139,$B$64:$F$69,6,FALSE)),"",D140/HLOOKUP(D139,$B$64:$F$69,6,FALSE)),"")</f>
        <v>0.65189048239895697</v>
      </c>
      <c r="E142" s="234">
        <f>IF(E140&lt;&gt;"無",IF(ISNA(HLOOKUP(E139,$B$64:$F$69,6,FALSE)),"",E140/HLOOKUP(E139,$B$64:$F$69,6,FALSE)),"")</f>
        <v>0.80515297906602257</v>
      </c>
      <c r="F142" s="234">
        <f>IF(F140&lt;&gt;"無",IF(ISNA(HLOOKUP(F139,$B$64:$F$69,6,FALSE)),"",F140/HLOOKUP(F139,$B$64:$F$69,6,FALSE)),"")</f>
        <v>0.96339113680154131</v>
      </c>
    </row>
    <row r="143" spans="1:24" x14ac:dyDescent="0.25">
      <c r="A143" s="233" t="s">
        <v>216</v>
      </c>
      <c r="B143" s="234">
        <f>IF(OR(B140=0,B140="無"),"",B135/B140)</f>
        <v>1.3260000000000001</v>
      </c>
      <c r="C143" s="234">
        <f>IF(OR(C140=0,C140="無"),"",C135/C140)</f>
        <v>1.01</v>
      </c>
      <c r="D143" s="234">
        <f>IF(OR(D140=0,D140="無"),"",D135/D140)</f>
        <v>1.4179999999999999</v>
      </c>
      <c r="E143" s="234">
        <f>IF(OR(E140=0,E140="無"),"",E135/E140)</f>
        <v>1.24</v>
      </c>
      <c r="F143" s="234">
        <f>IF(OR(F140=0,F140="無"),"",F135/F140)</f>
        <v>1.0960000000000001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29.25</v>
      </c>
      <c r="C146" s="68">
        <v>30.18</v>
      </c>
      <c r="D146" s="68">
        <v>32.72</v>
      </c>
      <c r="E146" s="68">
        <v>32.979999999999997</v>
      </c>
      <c r="F146" s="68">
        <v>34.049999999999997</v>
      </c>
      <c r="G146" s="68">
        <v>34.020000000000003</v>
      </c>
      <c r="H146" s="68">
        <v>34.659999999999997</v>
      </c>
      <c r="I146" s="68">
        <v>34.44</v>
      </c>
      <c r="J146" s="68">
        <v>33.049999999999997</v>
      </c>
      <c r="K146" s="68">
        <v>35.020000000000003</v>
      </c>
      <c r="L146" s="68">
        <v>34.74</v>
      </c>
      <c r="M146" s="68">
        <v>32.19</v>
      </c>
      <c r="N146" s="68">
        <v>34.270000000000003</v>
      </c>
      <c r="O146" s="68">
        <v>35.1</v>
      </c>
      <c r="P146" s="68">
        <v>34.47</v>
      </c>
      <c r="Q146" s="68">
        <v>36.729999999999997</v>
      </c>
      <c r="R146" s="68">
        <v>38.93</v>
      </c>
      <c r="S146" s="68">
        <v>39.770000000000003</v>
      </c>
      <c r="T146" s="68">
        <v>37.65</v>
      </c>
      <c r="U146" s="68">
        <v>36.85</v>
      </c>
      <c r="V146" s="68">
        <v>34.14</v>
      </c>
      <c r="W146" s="68">
        <v>31.61</v>
      </c>
      <c r="X146" s="68">
        <v>36.99</v>
      </c>
    </row>
    <row r="147" spans="1:24" s="93" customFormat="1" ht="14.25" thickBot="1" x14ac:dyDescent="0.3">
      <c r="A147" s="225" t="s">
        <v>19</v>
      </c>
      <c r="B147" s="274">
        <v>21.73</v>
      </c>
      <c r="C147" s="274">
        <v>22.14</v>
      </c>
      <c r="D147" s="274">
        <v>24.58</v>
      </c>
      <c r="E147" s="274">
        <v>25.28</v>
      </c>
      <c r="F147" s="274">
        <v>26.11</v>
      </c>
      <c r="G147" s="274">
        <v>25.93</v>
      </c>
      <c r="H147" s="274">
        <v>26.92</v>
      </c>
      <c r="I147" s="274">
        <v>26.63</v>
      </c>
      <c r="J147" s="274">
        <v>24.69</v>
      </c>
      <c r="K147" s="274">
        <v>27.94</v>
      </c>
      <c r="L147" s="274">
        <v>27.46</v>
      </c>
      <c r="M147" s="274">
        <v>23.96</v>
      </c>
      <c r="N147" s="274">
        <v>26.01</v>
      </c>
      <c r="O147" s="274">
        <v>26.64</v>
      </c>
      <c r="P147" s="274">
        <v>25.73</v>
      </c>
      <c r="Q147" s="274">
        <v>26.82</v>
      </c>
      <c r="R147" s="274">
        <v>29.36</v>
      </c>
      <c r="S147" s="274">
        <v>30.4</v>
      </c>
      <c r="T147" s="274">
        <v>29.19</v>
      </c>
      <c r="U147" s="274">
        <v>26.57</v>
      </c>
      <c r="V147" s="274">
        <v>24.34</v>
      </c>
      <c r="W147" s="274">
        <v>22.81</v>
      </c>
      <c r="X147" s="274">
        <v>29.05</v>
      </c>
    </row>
    <row r="148" spans="1:24" s="93" customFormat="1" ht="14.25" thickBot="1" x14ac:dyDescent="0.3">
      <c r="A148" s="224" t="s">
        <v>41</v>
      </c>
      <c r="B148" s="68">
        <v>19.32</v>
      </c>
      <c r="C148" s="68">
        <v>23.58</v>
      </c>
      <c r="D148" s="68">
        <v>24.52</v>
      </c>
      <c r="E148" s="68">
        <v>24.35</v>
      </c>
      <c r="F148" s="68">
        <v>29.91</v>
      </c>
      <c r="G148" s="68">
        <v>26.71</v>
      </c>
      <c r="H148" s="68">
        <v>26.41</v>
      </c>
      <c r="I148" s="68">
        <v>29.22</v>
      </c>
      <c r="J148" s="68">
        <v>30.42</v>
      </c>
      <c r="K148" s="68">
        <v>26.18</v>
      </c>
      <c r="L148" s="68">
        <v>27.74</v>
      </c>
      <c r="M148" s="68">
        <v>27.81</v>
      </c>
      <c r="N148" s="68">
        <v>22.44</v>
      </c>
      <c r="O148" s="68">
        <v>24.89</v>
      </c>
      <c r="P148" s="68">
        <v>39.630000000000003</v>
      </c>
      <c r="Q148" s="68">
        <v>26.78</v>
      </c>
      <c r="R148" s="68">
        <v>25.37</v>
      </c>
      <c r="S148" s="68">
        <v>30.96</v>
      </c>
      <c r="T148" s="68">
        <v>20.3</v>
      </c>
      <c r="U148" s="68">
        <v>32.9</v>
      </c>
      <c r="V148" s="68">
        <v>6.15</v>
      </c>
      <c r="W148" s="68">
        <v>26.36</v>
      </c>
      <c r="X148" s="68">
        <v>31.05</v>
      </c>
    </row>
    <row r="149" spans="1:24" s="93" customFormat="1" ht="14.25" thickBot="1" x14ac:dyDescent="0.3">
      <c r="A149" s="225" t="s">
        <v>13</v>
      </c>
      <c r="B149" s="73">
        <v>17.66</v>
      </c>
      <c r="C149" s="73">
        <v>19.989999999999998</v>
      </c>
      <c r="D149" s="73">
        <v>22.54</v>
      </c>
      <c r="E149" s="73">
        <v>21.52</v>
      </c>
      <c r="F149" s="73">
        <v>26.28</v>
      </c>
      <c r="G149" s="73">
        <v>21.35</v>
      </c>
      <c r="H149" s="73">
        <v>23.7</v>
      </c>
      <c r="I149" s="73">
        <v>24.85</v>
      </c>
      <c r="J149" s="73">
        <v>25.25</v>
      </c>
      <c r="K149" s="73">
        <v>21.28</v>
      </c>
      <c r="L149" s="73">
        <v>22.92</v>
      </c>
      <c r="M149" s="73">
        <v>22.99</v>
      </c>
      <c r="N149" s="73">
        <v>18.63</v>
      </c>
      <c r="O149" s="73">
        <v>18.45</v>
      </c>
      <c r="P149" s="73">
        <v>32.880000000000003</v>
      </c>
      <c r="Q149" s="73">
        <v>22.07</v>
      </c>
      <c r="R149" s="73">
        <v>21.1</v>
      </c>
      <c r="S149" s="73">
        <v>24.06</v>
      </c>
      <c r="T149" s="73">
        <v>16.829999999999998</v>
      </c>
      <c r="U149" s="73">
        <v>27.29</v>
      </c>
      <c r="V149" s="73">
        <v>5.0999999999999996</v>
      </c>
      <c r="W149" s="73">
        <v>21.87</v>
      </c>
      <c r="X149" s="73">
        <v>25.77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31.37</v>
      </c>
      <c r="C152" s="68">
        <v>34.299999999999997</v>
      </c>
      <c r="D152" s="68">
        <v>33.770000000000003</v>
      </c>
      <c r="E152" s="68">
        <v>35.1</v>
      </c>
      <c r="F152" s="68">
        <v>38.29</v>
      </c>
    </row>
    <row r="153" spans="1:24" s="93" customFormat="1" ht="14.25" thickBot="1" x14ac:dyDescent="0.3">
      <c r="A153" s="225" t="s">
        <v>19</v>
      </c>
      <c r="B153" s="274">
        <v>23.51</v>
      </c>
      <c r="C153" s="274">
        <v>26.4</v>
      </c>
      <c r="D153" s="274">
        <v>26.05</v>
      </c>
      <c r="E153" s="274">
        <v>26.29</v>
      </c>
      <c r="F153" s="274">
        <v>28.87</v>
      </c>
    </row>
    <row r="154" spans="1:24" s="93" customFormat="1" ht="14.25" thickBot="1" x14ac:dyDescent="0.3">
      <c r="A154" s="224" t="s">
        <v>41</v>
      </c>
      <c r="B154" s="68">
        <v>23.12</v>
      </c>
      <c r="C154" s="68">
        <v>28.03</v>
      </c>
      <c r="D154" s="68">
        <v>27.9</v>
      </c>
      <c r="E154" s="68">
        <v>28.23</v>
      </c>
      <c r="F154" s="68">
        <v>27.39</v>
      </c>
    </row>
    <row r="155" spans="1:24" s="93" customFormat="1" ht="14.25" thickBot="1" x14ac:dyDescent="0.3">
      <c r="A155" s="225" t="s">
        <v>13</v>
      </c>
      <c r="B155" s="73">
        <v>20.56</v>
      </c>
      <c r="C155" s="73">
        <v>24.01</v>
      </c>
      <c r="D155" s="73">
        <v>22.99</v>
      </c>
      <c r="E155" s="73">
        <v>22.83</v>
      </c>
      <c r="F155" s="73">
        <v>22.32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3.71</v>
      </c>
      <c r="C158" s="68">
        <v>4.96</v>
      </c>
      <c r="D158" s="68">
        <v>5.66</v>
      </c>
      <c r="E158" s="68">
        <v>5.34</v>
      </c>
      <c r="F158" s="68">
        <v>4.74</v>
      </c>
      <c r="G158" s="68">
        <v>4.0199999999999996</v>
      </c>
      <c r="H158" s="68">
        <v>4.5</v>
      </c>
      <c r="I158" s="68">
        <v>4.63</v>
      </c>
      <c r="J158" s="68">
        <v>4.3499999999999996</v>
      </c>
      <c r="K158" s="68">
        <v>4.54</v>
      </c>
      <c r="L158" s="68">
        <v>5.31</v>
      </c>
      <c r="M158" s="68">
        <v>5.38</v>
      </c>
      <c r="N158" s="68">
        <v>3.44</v>
      </c>
      <c r="O158" s="68">
        <v>3.18</v>
      </c>
      <c r="P158" s="68">
        <v>5.72</v>
      </c>
      <c r="Q158" s="68">
        <v>3.75</v>
      </c>
      <c r="R158" s="68">
        <v>3.06</v>
      </c>
      <c r="S158" s="68">
        <v>3.58</v>
      </c>
      <c r="T158" s="68">
        <v>2.46</v>
      </c>
      <c r="U158" s="68">
        <v>4.0599999999999996</v>
      </c>
      <c r="V158" s="68">
        <v>0.63</v>
      </c>
      <c r="W158" s="68">
        <v>3.32</v>
      </c>
      <c r="X158" s="68">
        <v>4.2699999999999996</v>
      </c>
    </row>
    <row r="159" spans="1:24" s="93" customFormat="1" ht="14.25" thickBot="1" x14ac:dyDescent="0.3">
      <c r="A159" s="225" t="s">
        <v>45</v>
      </c>
      <c r="B159" s="73">
        <v>5.07</v>
      </c>
      <c r="C159" s="73">
        <v>7.31</v>
      </c>
      <c r="D159" s="73">
        <v>8.11</v>
      </c>
      <c r="E159" s="73">
        <v>7.08</v>
      </c>
      <c r="F159" s="73">
        <v>6.12</v>
      </c>
      <c r="G159" s="73">
        <v>5.42</v>
      </c>
      <c r="H159" s="73">
        <v>6.23</v>
      </c>
      <c r="I159" s="73">
        <v>6.01</v>
      </c>
      <c r="J159" s="73">
        <v>5.39</v>
      </c>
      <c r="K159" s="73">
        <v>5.88</v>
      </c>
      <c r="L159" s="73">
        <v>6.97</v>
      </c>
      <c r="M159" s="73">
        <v>6.69</v>
      </c>
      <c r="N159" s="73">
        <v>4.2699999999999996</v>
      </c>
      <c r="O159" s="73">
        <v>4.09</v>
      </c>
      <c r="P159" s="73">
        <v>7.12</v>
      </c>
      <c r="Q159" s="73">
        <v>4.29</v>
      </c>
      <c r="R159" s="73">
        <v>3.48</v>
      </c>
      <c r="S159" s="73">
        <v>4.33</v>
      </c>
      <c r="T159" s="73">
        <v>3.21</v>
      </c>
      <c r="U159" s="73">
        <v>4.95</v>
      </c>
      <c r="V159" s="73">
        <v>0.74</v>
      </c>
      <c r="W159" s="73">
        <v>4.05</v>
      </c>
      <c r="X159" s="73">
        <v>5.46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20.56</v>
      </c>
      <c r="C162" s="68">
        <v>24.01</v>
      </c>
      <c r="D162" s="68">
        <v>22.99</v>
      </c>
      <c r="E162" s="68">
        <v>22.83</v>
      </c>
      <c r="F162" s="68">
        <v>22.32</v>
      </c>
    </row>
    <row r="163" spans="1:72" s="93" customFormat="1" ht="14.25" thickBot="1" x14ac:dyDescent="0.3">
      <c r="A163" s="225" t="s">
        <v>18</v>
      </c>
      <c r="B163" s="274">
        <v>0.92</v>
      </c>
      <c r="C163" s="274">
        <v>0.73</v>
      </c>
      <c r="D163" s="274">
        <v>0.81</v>
      </c>
      <c r="E163" s="274">
        <v>0.72</v>
      </c>
      <c r="F163" s="274">
        <v>0.59</v>
      </c>
    </row>
    <row r="164" spans="1:72" s="93" customFormat="1" ht="14.25" thickBot="1" x14ac:dyDescent="0.3">
      <c r="A164" s="224" t="s">
        <v>15</v>
      </c>
      <c r="B164" s="68">
        <v>1.33</v>
      </c>
      <c r="C164" s="68">
        <v>1.28</v>
      </c>
      <c r="D164" s="68">
        <v>1.25</v>
      </c>
      <c r="E164" s="68">
        <v>1.1499999999999999</v>
      </c>
      <c r="F164" s="68">
        <v>1.18</v>
      </c>
    </row>
    <row r="165" spans="1:72" s="93" customFormat="1" ht="14.25" thickBot="1" x14ac:dyDescent="0.3">
      <c r="A165" s="225" t="s">
        <v>45</v>
      </c>
      <c r="B165" s="73">
        <v>26.8</v>
      </c>
      <c r="C165" s="73">
        <v>23.22</v>
      </c>
      <c r="D165" s="73">
        <v>24.3</v>
      </c>
      <c r="E165" s="73">
        <v>19.190000000000001</v>
      </c>
      <c r="F165" s="73">
        <v>15.63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36.729999999999997</v>
      </c>
      <c r="C168" s="68">
        <v>30.3</v>
      </c>
      <c r="D168" s="68">
        <v>33.96</v>
      </c>
      <c r="E168" s="68">
        <v>39.47</v>
      </c>
      <c r="F168" s="68">
        <v>53.25</v>
      </c>
      <c r="G168" s="68">
        <v>50.85</v>
      </c>
      <c r="H168" s="68">
        <v>49.72</v>
      </c>
      <c r="I168" s="68">
        <v>51.14</v>
      </c>
      <c r="J168" s="68">
        <v>56.25</v>
      </c>
      <c r="K168" s="68">
        <v>47.87</v>
      </c>
      <c r="L168" s="68">
        <v>46.63</v>
      </c>
      <c r="M168" s="68">
        <v>43.48</v>
      </c>
      <c r="N168" s="68">
        <v>48.91</v>
      </c>
      <c r="O168" s="68">
        <v>44.33</v>
      </c>
      <c r="P168" s="68">
        <v>44.12</v>
      </c>
      <c r="Q168" s="68">
        <v>45.92</v>
      </c>
      <c r="R168" s="68">
        <v>44.55</v>
      </c>
      <c r="S168" s="68">
        <v>40</v>
      </c>
      <c r="T168" s="68">
        <v>39.299999999999997</v>
      </c>
      <c r="U168" s="68">
        <v>37.659999999999997</v>
      </c>
      <c r="V168" s="68">
        <v>41.1</v>
      </c>
      <c r="W168" s="68">
        <v>33.58</v>
      </c>
      <c r="X168" s="68">
        <v>36.590000000000003</v>
      </c>
    </row>
    <row r="169" spans="1:72" s="93" customFormat="1" ht="14.25" thickBot="1" x14ac:dyDescent="0.3">
      <c r="A169" s="225" t="s">
        <v>17</v>
      </c>
      <c r="B169" s="274">
        <v>87.38</v>
      </c>
      <c r="C169" s="274">
        <v>71.430000000000007</v>
      </c>
      <c r="D169" s="274">
        <v>62.94</v>
      </c>
      <c r="E169" s="274">
        <v>54.22</v>
      </c>
      <c r="F169" s="274">
        <v>78.260000000000005</v>
      </c>
      <c r="G169" s="274">
        <v>81.08</v>
      </c>
      <c r="H169" s="274">
        <v>69.23</v>
      </c>
      <c r="I169" s="274">
        <v>58.44</v>
      </c>
      <c r="J169" s="274">
        <v>65.69</v>
      </c>
      <c r="K169" s="274">
        <v>61.22</v>
      </c>
      <c r="L169" s="274">
        <v>58.82</v>
      </c>
      <c r="M169" s="274">
        <v>55.9</v>
      </c>
      <c r="N169" s="274">
        <v>68.7</v>
      </c>
      <c r="O169" s="274">
        <v>70.31</v>
      </c>
      <c r="P169" s="274">
        <v>62.5</v>
      </c>
      <c r="Q169" s="274">
        <v>58.82</v>
      </c>
      <c r="R169" s="274">
        <v>62.5</v>
      </c>
      <c r="S169" s="274">
        <v>56.6</v>
      </c>
      <c r="T169" s="274">
        <v>55.56</v>
      </c>
      <c r="U169" s="274">
        <v>60</v>
      </c>
      <c r="V169" s="274">
        <v>82.57</v>
      </c>
      <c r="W169" s="274">
        <v>65.22</v>
      </c>
      <c r="X169" s="274">
        <v>71.430000000000007</v>
      </c>
    </row>
    <row r="170" spans="1:72" s="93" customFormat="1" ht="14.25" thickBot="1" x14ac:dyDescent="0.3">
      <c r="A170" s="224" t="s">
        <v>42</v>
      </c>
      <c r="B170" s="72">
        <v>124.11</v>
      </c>
      <c r="C170" s="72">
        <v>101.73</v>
      </c>
      <c r="D170" s="72">
        <v>96.9</v>
      </c>
      <c r="E170" s="72">
        <v>93.69</v>
      </c>
      <c r="F170" s="72">
        <v>131.52000000000001</v>
      </c>
      <c r="G170" s="72">
        <v>131.93</v>
      </c>
      <c r="H170" s="72">
        <v>118.95</v>
      </c>
      <c r="I170" s="72">
        <v>109.58</v>
      </c>
      <c r="J170" s="72">
        <v>121.94</v>
      </c>
      <c r="K170" s="72">
        <v>109.1</v>
      </c>
      <c r="L170" s="72">
        <v>105.46</v>
      </c>
      <c r="M170" s="72">
        <v>99.38</v>
      </c>
      <c r="N170" s="72">
        <v>117.62</v>
      </c>
      <c r="O170" s="72">
        <v>114.65</v>
      </c>
      <c r="P170" s="72">
        <v>106.62</v>
      </c>
      <c r="Q170" s="72">
        <v>104.74</v>
      </c>
      <c r="R170" s="72">
        <v>107.05</v>
      </c>
      <c r="S170" s="72">
        <v>96.6</v>
      </c>
      <c r="T170" s="72">
        <v>94.86</v>
      </c>
      <c r="U170" s="72">
        <v>97.66</v>
      </c>
      <c r="V170" s="72">
        <v>123.66</v>
      </c>
      <c r="W170" s="72">
        <v>98.8</v>
      </c>
      <c r="X170" s="72">
        <v>108.01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120.81</v>
      </c>
      <c r="C173" s="72">
        <v>112.66</v>
      </c>
      <c r="D173" s="72">
        <v>122.36</v>
      </c>
      <c r="E173" s="72">
        <v>140.66999999999999</v>
      </c>
      <c r="F173" s="72">
        <v>125.31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7.74</v>
      </c>
      <c r="C176" s="72">
        <v>8.58</v>
      </c>
      <c r="D176" s="72">
        <v>8.7799999999999994</v>
      </c>
      <c r="E176" s="72">
        <v>10</v>
      </c>
      <c r="F176" s="72">
        <v>9.92</v>
      </c>
      <c r="G176" s="72">
        <v>9.82</v>
      </c>
      <c r="H176" s="72">
        <v>10.050000000000001</v>
      </c>
      <c r="I176" s="72">
        <v>10.85</v>
      </c>
      <c r="J176" s="72">
        <v>10.95</v>
      </c>
      <c r="K176" s="72">
        <v>11.98</v>
      </c>
      <c r="L176" s="72">
        <v>12.42</v>
      </c>
      <c r="M176" s="72">
        <v>12.64</v>
      </c>
      <c r="N176" s="72">
        <v>12.54</v>
      </c>
      <c r="O176" s="72">
        <v>12.39</v>
      </c>
      <c r="P176" s="72">
        <v>12.92</v>
      </c>
      <c r="Q176" s="72">
        <v>11.78</v>
      </c>
      <c r="R176" s="72">
        <v>11.01</v>
      </c>
      <c r="S176" s="72">
        <v>10.54</v>
      </c>
      <c r="T176" s="72">
        <v>10.19</v>
      </c>
      <c r="U176" s="72">
        <v>10.29</v>
      </c>
      <c r="V176" s="72">
        <v>10.119999999999999</v>
      </c>
      <c r="W176" s="72">
        <v>10.33</v>
      </c>
      <c r="X176" s="72">
        <v>10.9</v>
      </c>
      <c r="Y176" s="72">
        <v>11.35</v>
      </c>
      <c r="Z176" s="72">
        <v>11.13</v>
      </c>
      <c r="AA176" s="72">
        <v>11.28</v>
      </c>
      <c r="AB176" s="72">
        <v>12.48</v>
      </c>
      <c r="AC176" s="72">
        <v>13.18</v>
      </c>
      <c r="AD176" s="72">
        <v>14.7</v>
      </c>
      <c r="AE176" s="72">
        <v>15.9</v>
      </c>
      <c r="AF176" s="72">
        <v>17.12</v>
      </c>
      <c r="AG176" s="72">
        <v>16.52</v>
      </c>
      <c r="AH176" s="72">
        <v>16.36</v>
      </c>
      <c r="AI176" s="72">
        <v>15.38</v>
      </c>
      <c r="AJ176" s="72">
        <v>15.52</v>
      </c>
      <c r="AK176" s="72">
        <v>15.61</v>
      </c>
      <c r="AL176" s="72">
        <v>15.47</v>
      </c>
      <c r="AM176" s="72">
        <v>15.63</v>
      </c>
      <c r="AN176" s="72">
        <v>16.899999999999999</v>
      </c>
      <c r="AO176" s="72">
        <v>16.45</v>
      </c>
      <c r="AP176" s="72">
        <v>14.7</v>
      </c>
      <c r="AQ176" s="72">
        <v>12.1</v>
      </c>
      <c r="AR176" s="72">
        <v>10.99</v>
      </c>
      <c r="AS176" s="72">
        <v>10.119999999999999</v>
      </c>
      <c r="AT176" s="72">
        <v>10.93</v>
      </c>
      <c r="AU176" s="72">
        <v>11.9</v>
      </c>
      <c r="AV176" s="72">
        <v>11.59</v>
      </c>
      <c r="AW176" s="72">
        <v>10.78</v>
      </c>
      <c r="AX176" s="72">
        <v>10.46</v>
      </c>
      <c r="AY176" s="72">
        <v>11.28</v>
      </c>
      <c r="AZ176" s="72">
        <v>13.02</v>
      </c>
      <c r="BA176" s="72">
        <v>12.85</v>
      </c>
      <c r="BB176" s="72">
        <v>13.24</v>
      </c>
      <c r="BC176" s="72">
        <v>13.31</v>
      </c>
      <c r="BD176" s="72">
        <v>13.19</v>
      </c>
      <c r="BE176" s="72">
        <v>12.95</v>
      </c>
      <c r="BF176" s="72">
        <v>13.04</v>
      </c>
      <c r="BG176" s="72">
        <v>12.82</v>
      </c>
      <c r="BH176" s="72">
        <v>15.58</v>
      </c>
      <c r="BI176" s="72">
        <v>15.56</v>
      </c>
      <c r="BJ176" s="72">
        <v>15.6</v>
      </c>
      <c r="BK176" s="72">
        <v>15.51</v>
      </c>
      <c r="BL176" s="72">
        <v>14.91</v>
      </c>
      <c r="BM176" s="72">
        <v>14.09</v>
      </c>
      <c r="BN176" s="72">
        <v>16.71</v>
      </c>
      <c r="BO176" s="72">
        <v>16.87</v>
      </c>
      <c r="BP176" s="72">
        <v>17.04</v>
      </c>
      <c r="BQ176" s="72">
        <v>17.02</v>
      </c>
      <c r="BR176" s="72">
        <v>17.399999999999999</v>
      </c>
      <c r="BS176" s="72">
        <v>19.07</v>
      </c>
      <c r="BT176" s="72">
        <v>18.37</v>
      </c>
    </row>
  </sheetData>
  <phoneticPr fontId="3" type="noConversion"/>
  <conditionalFormatting sqref="E4">
    <cfRule type="cellIs" dxfId="6371" priority="101" operator="greaterThan">
      <formula>0.2</formula>
    </cfRule>
    <cfRule type="cellIs" dxfId="6370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6369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368" priority="95" operator="greaterThan">
      <formula>$B$19</formula>
    </cfRule>
  </conditionalFormatting>
  <conditionalFormatting sqref="D33:D34">
    <cfRule type="cellIs" dxfId="6367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6366" priority="89" operator="lessThan">
      <formula>$H$62</formula>
    </cfRule>
    <cfRule type="cellIs" dxfId="6365" priority="90" operator="greaterThan">
      <formula>$H$62</formula>
    </cfRule>
  </conditionalFormatting>
  <conditionalFormatting sqref="J62">
    <cfRule type="cellIs" dxfId="6364" priority="87" operator="lessThan">
      <formula>$K$62</formula>
    </cfRule>
    <cfRule type="cellIs" dxfId="6363" priority="88" operator="greaterThan">
      <formula>$K$62</formula>
    </cfRule>
  </conditionalFormatting>
  <conditionalFormatting sqref="M62">
    <cfRule type="cellIs" dxfId="6362" priority="85" operator="lessThan">
      <formula>$N$62</formula>
    </cfRule>
    <cfRule type="cellIs" dxfId="6361" priority="86" operator="greaterThan">
      <formula>$N$62</formula>
    </cfRule>
  </conditionalFormatting>
  <conditionalFormatting sqref="B44:E44">
    <cfRule type="cellIs" dxfId="6360" priority="83" operator="greaterThan">
      <formula>0</formula>
    </cfRule>
    <cfRule type="cellIs" dxfId="6359" priority="84" operator="lessThan">
      <formula>0</formula>
    </cfRule>
  </conditionalFormatting>
  <conditionalFormatting sqref="F72">
    <cfRule type="cellIs" dxfId="6358" priority="82" operator="lessThan">
      <formula>$E$72*90%</formula>
    </cfRule>
  </conditionalFormatting>
  <conditionalFormatting sqref="F73">
    <cfRule type="cellIs" dxfId="6357" priority="81" operator="lessThan">
      <formula>$E$73*90%</formula>
    </cfRule>
  </conditionalFormatting>
  <conditionalFormatting sqref="F74">
    <cfRule type="cellIs" dxfId="6356" priority="80" operator="lessThan">
      <formula>$E$74*90%</formula>
    </cfRule>
  </conditionalFormatting>
  <conditionalFormatting sqref="F75">
    <cfRule type="cellIs" dxfId="6355" priority="79" operator="lessThan">
      <formula>$E$75*90%</formula>
    </cfRule>
  </conditionalFormatting>
  <conditionalFormatting sqref="H44:K44">
    <cfRule type="cellIs" dxfId="6354" priority="77" operator="greaterThan">
      <formula>0</formula>
    </cfRule>
    <cfRule type="cellIs" dxfId="6353" priority="78" operator="lessThan">
      <formula>0</formula>
    </cfRule>
  </conditionalFormatting>
  <conditionalFormatting sqref="H51:K51">
    <cfRule type="cellIs" dxfId="6352" priority="75" operator="greaterThan">
      <formula>0</formula>
    </cfRule>
    <cfRule type="cellIs" dxfId="6351" priority="76" operator="lessThan">
      <formula>0</formula>
    </cfRule>
  </conditionalFormatting>
  <conditionalFormatting sqref="B51:E51">
    <cfRule type="cellIs" dxfId="6350" priority="73" operator="greaterThan">
      <formula>0</formula>
    </cfRule>
    <cfRule type="cellIs" dxfId="6349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348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347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346" priority="56" operator="lessThan">
      <formula>0</formula>
    </cfRule>
  </conditionalFormatting>
  <conditionalFormatting sqref="A25 E25 C25">
    <cfRule type="cellIs" dxfId="6345" priority="57" operator="lessThan">
      <formula>0</formula>
    </cfRule>
  </conditionalFormatting>
  <conditionalFormatting sqref="F25">
    <cfRule type="cellIs" dxfId="6344" priority="55" operator="lessThan">
      <formula>0</formula>
    </cfRule>
  </conditionalFormatting>
  <conditionalFormatting sqref="E1">
    <cfRule type="containsText" dxfId="6343" priority="54" operator="containsText" text="本季業外損益/平均=-">
      <formula>NOT(ISERROR(SEARCH("本季業外損益/平均=-",E1)))</formula>
    </cfRule>
  </conditionalFormatting>
  <conditionalFormatting sqref="M65">
    <cfRule type="cellIs" dxfId="6342" priority="53" operator="lessThan">
      <formula>$L$65*90%</formula>
    </cfRule>
  </conditionalFormatting>
  <conditionalFormatting sqref="M66">
    <cfRule type="cellIs" dxfId="6341" priority="52" operator="lessThan">
      <formula>$L$66*90%</formula>
    </cfRule>
  </conditionalFormatting>
  <conditionalFormatting sqref="M67">
    <cfRule type="cellIs" dxfId="6340" priority="51" operator="lessThan">
      <formula>$L$67*90%</formula>
    </cfRule>
  </conditionalFormatting>
  <conditionalFormatting sqref="M68">
    <cfRule type="cellIs" dxfId="6339" priority="50" operator="lessThan">
      <formula>$L$68*90%</formula>
    </cfRule>
  </conditionalFormatting>
  <conditionalFormatting sqref="B60">
    <cfRule type="cellIs" dxfId="6338" priority="49" operator="lessThan">
      <formula>0</formula>
    </cfRule>
  </conditionalFormatting>
  <conditionalFormatting sqref="B59:F59">
    <cfRule type="cellIs" dxfId="6337" priority="48" operator="lessThanOrEqual">
      <formula>0</formula>
    </cfRule>
  </conditionalFormatting>
  <conditionalFormatting sqref="D62">
    <cfRule type="cellIs" dxfId="6336" priority="46" operator="lessThan">
      <formula>$E$62</formula>
    </cfRule>
    <cfRule type="cellIs" dxfId="6335" priority="47" operator="greaterThan">
      <formula>$E$62</formula>
    </cfRule>
  </conditionalFormatting>
  <conditionalFormatting sqref="F69">
    <cfRule type="cellIs" dxfId="6334" priority="44" operator="lessThan">
      <formula>0</formula>
    </cfRule>
  </conditionalFormatting>
  <conditionalFormatting sqref="B65:E67 B69:E69 B68:D68">
    <cfRule type="cellIs" dxfId="6333" priority="45" operator="lessThan">
      <formula>0</formula>
    </cfRule>
  </conditionalFormatting>
  <conditionalFormatting sqref="E68">
    <cfRule type="cellIs" dxfId="6332" priority="43" operator="lessThan">
      <formula>0</formula>
    </cfRule>
  </conditionalFormatting>
  <conditionalFormatting sqref="F65:F68">
    <cfRule type="cellIs" dxfId="6331" priority="42" operator="lessThan">
      <formula>0</formula>
    </cfRule>
  </conditionalFormatting>
  <conditionalFormatting sqref="F65:F68">
    <cfRule type="cellIs" dxfId="6330" priority="41" operator="lessThan">
      <formula>$E$65*0.9</formula>
    </cfRule>
  </conditionalFormatting>
  <conditionalFormatting sqref="F66">
    <cfRule type="cellIs" dxfId="6329" priority="40" operator="lessThan">
      <formula>$E$66*0.9</formula>
    </cfRule>
  </conditionalFormatting>
  <conditionalFormatting sqref="F67:F68">
    <cfRule type="cellIs" dxfId="6328" priority="39" operator="lessThan">
      <formula>$E$67*0.9</formula>
    </cfRule>
  </conditionalFormatting>
  <conditionalFormatting sqref="F68">
    <cfRule type="cellIs" dxfId="6327" priority="38" operator="lessThan">
      <formula>$E$68*0.9</formula>
    </cfRule>
  </conditionalFormatting>
  <conditionalFormatting sqref="B13:F13">
    <cfRule type="cellIs" dxfId="6326" priority="27" operator="greaterThan">
      <formula>$I$16</formula>
    </cfRule>
    <cfRule type="cellIs" dxfId="6325" priority="28" operator="lessThanOrEqual">
      <formula>$I$16</formula>
    </cfRule>
  </conditionalFormatting>
  <conditionalFormatting sqref="B10:F10">
    <cfRule type="cellIs" dxfId="6324" priority="29" operator="greaterThan">
      <formula>15</formula>
    </cfRule>
    <cfRule type="cellIs" dxfId="6323" priority="36" operator="lessThan">
      <formula>$I$9</formula>
    </cfRule>
    <cfRule type="cellIs" dxfId="6322" priority="37" operator="greaterThan">
      <formula>$I$9</formula>
    </cfRule>
  </conditionalFormatting>
  <conditionalFormatting sqref="B16:F16">
    <cfRule type="cellIs" dxfId="6321" priority="34" operator="greaterThan">
      <formula>$I$16</formula>
    </cfRule>
    <cfRule type="cellIs" dxfId="6320" priority="35" operator="lessThanOrEqual">
      <formula>$I$16</formula>
    </cfRule>
  </conditionalFormatting>
  <conditionalFormatting sqref="B15:F15">
    <cfRule type="cellIs" dxfId="6319" priority="32" operator="lessThanOrEqual">
      <formula>$I$16</formula>
    </cfRule>
    <cfRule type="cellIs" dxfId="6318" priority="33" operator="greaterThan">
      <formula>$I$16</formula>
    </cfRule>
  </conditionalFormatting>
  <conditionalFormatting sqref="B14:F14">
    <cfRule type="cellIs" dxfId="6317" priority="30" operator="greaterThan">
      <formula>$I$16</formula>
    </cfRule>
    <cfRule type="cellIs" dxfId="6316" priority="31" operator="lessThanOrEqual">
      <formula>$I$16</formula>
    </cfRule>
  </conditionalFormatting>
  <conditionalFormatting sqref="K6">
    <cfRule type="containsText" dxfId="6315" priority="25" operator="containsText" text="衰退">
      <formula>NOT(ISERROR(SEARCH("衰退",K6)))</formula>
    </cfRule>
    <cfRule type="containsText" dxfId="6314" priority="26" operator="containsText" text="成長">
      <formula>NOT(ISERROR(SEARCH("成長",K6)))</formula>
    </cfRule>
  </conditionalFormatting>
  <conditionalFormatting sqref="I4:K4">
    <cfRule type="cellIs" dxfId="6313" priority="23" operator="lessThan">
      <formula>0</formula>
    </cfRule>
    <cfRule type="cellIs" dxfId="6312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311" priority="20" operator="lessThanOrEqual">
      <formula>$I$16</formula>
    </cfRule>
    <cfRule type="cellIs" dxfId="6310" priority="21" operator="greaterThan">
      <formula>$I$16</formula>
    </cfRule>
  </conditionalFormatting>
  <conditionalFormatting sqref="I6">
    <cfRule type="containsText" dxfId="6309" priority="18" operator="containsText" text="衰退">
      <formula>NOT(ISERROR(SEARCH("衰退",I6)))</formula>
    </cfRule>
    <cfRule type="containsText" dxfId="6308" priority="19" operator="containsText" text="成長">
      <formula>NOT(ISERROR(SEARCH("成長",I6)))</formula>
    </cfRule>
  </conditionalFormatting>
  <conditionalFormatting sqref="M9">
    <cfRule type="cellIs" dxfId="6307" priority="17" operator="lessThan">
      <formula>$I$9</formula>
    </cfRule>
  </conditionalFormatting>
  <conditionalFormatting sqref="M10">
    <cfRule type="cellIs" dxfId="6306" priority="16" operator="greaterThan">
      <formula>$I$9</formula>
    </cfRule>
  </conditionalFormatting>
  <conditionalFormatting sqref="M11">
    <cfRule type="cellIs" dxfId="6305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304" priority="12" operator="lessThan">
      <formula>0</formula>
    </cfRule>
    <cfRule type="cellIs" dxfId="6303" priority="13" operator="greaterThan">
      <formula>0.5</formula>
    </cfRule>
  </conditionalFormatting>
  <conditionalFormatting sqref="N14">
    <cfRule type="cellIs" dxfId="6302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301" priority="8" operator="lessThan">
      <formula>0.1</formula>
    </cfRule>
  </conditionalFormatting>
  <conditionalFormatting sqref="I14">
    <cfRule type="cellIs" dxfId="6300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299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298" priority="1" operator="lessThan">
      <formula>$N$5*0.9</formula>
    </cfRule>
    <cfRule type="cellIs" dxfId="6297" priority="2" operator="greaterThan">
      <formula>$N$5*1.1</formula>
    </cfRule>
  </conditionalFormatting>
  <hyperlinks>
    <hyperlink ref="L1" location="儀表板!A1" display="(回首頁)" xr:uid="{00000000-0004-0000-1300-000000000000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8.32 ~ 17.67</v>
      </c>
      <c r="L1" s="83" t="s">
        <v>176</v>
      </c>
      <c r="M1" s="84" t="str">
        <f ca="1">VLOOKUP(_xlfn.NUMBERVALUE(N1),儀表板!A:B,2,FALSE)</f>
        <v>劍麟</v>
      </c>
      <c r="N1" s="85" t="str">
        <f ca="1">MID(CELL("filename",L1),FIND("]",CELL("filename",L1))+1,255)</f>
        <v>2228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0.26039064188865813</v>
      </c>
    </row>
    <row r="3" spans="1:15" s="93" customFormat="1" x14ac:dyDescent="0.25">
      <c r="A3" s="81" t="s">
        <v>179</v>
      </c>
      <c r="B3" s="94">
        <f>SUM(F19:F22,F24:F27,J19)</f>
        <v>86.157572073810826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133.16356923611249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139.51897923857342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144.73900751849169</v>
      </c>
      <c r="L3" s="100"/>
      <c r="M3" s="79" t="s">
        <v>385</v>
      </c>
      <c r="N3" s="92">
        <f>(F69-E69)/E69</f>
        <v>-0.25261178941385132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7.58</v>
      </c>
      <c r="E4" s="82">
        <f>(D4-F4)/F4</f>
        <v>0</v>
      </c>
      <c r="F4" s="103">
        <v>7.58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6.8012327163339528</v>
      </c>
    </row>
    <row r="5" spans="1:15" s="93" customFormat="1" x14ac:dyDescent="0.25">
      <c r="A5" s="81" t="s">
        <v>184</v>
      </c>
      <c r="B5" s="107">
        <f>SUM(F30:F34)*2</f>
        <v>97.287837837837841</v>
      </c>
      <c r="C5" s="87"/>
      <c r="D5" s="87"/>
      <c r="E5" s="87"/>
      <c r="F5" s="86"/>
      <c r="G5" s="88"/>
      <c r="M5" s="79" t="s">
        <v>386</v>
      </c>
      <c r="N5" s="152">
        <f>D62</f>
        <v>6.98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連3年成長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7.2648455301732877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27.15</v>
      </c>
      <c r="N9" s="129"/>
    </row>
    <row r="10" spans="1:15" s="93" customFormat="1" x14ac:dyDescent="0.25">
      <c r="A10" s="123" t="s">
        <v>194</v>
      </c>
      <c r="B10" s="126">
        <f>PERCENTILE(176:176,B9)</f>
        <v>18.518000000000001</v>
      </c>
      <c r="C10" s="126">
        <f>PERCENTILE(176:176,C9)</f>
        <v>19.527999999999999</v>
      </c>
      <c r="D10" s="126">
        <f>PERCENTILE(176:176,D9)</f>
        <v>20.46</v>
      </c>
      <c r="E10" s="126">
        <f>PERCENTILE(176:176,E9)</f>
        <v>21.2255</v>
      </c>
      <c r="F10" s="126">
        <f>PERCENTILE(176:176,F9)</f>
        <v>22.655999999999999</v>
      </c>
      <c r="G10" s="95"/>
      <c r="H10" s="135"/>
      <c r="I10" s="135"/>
      <c r="J10" s="135"/>
      <c r="K10" s="135"/>
      <c r="L10" s="136" t="s">
        <v>374</v>
      </c>
      <c r="M10" s="130">
        <f>MIN(176:176)</f>
        <v>16.86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47.82</v>
      </c>
      <c r="L11" s="272" t="s">
        <v>193</v>
      </c>
      <c r="M11" s="128">
        <f>STDEV(176:176)</f>
        <v>2.4641627154850485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56.792717086834735</v>
      </c>
      <c r="C13" s="141">
        <f>$B$34/5.88%</f>
        <v>68.9625850340136</v>
      </c>
      <c r="D13" s="141">
        <f>$B$34/5%</f>
        <v>81.099999999999994</v>
      </c>
      <c r="E13" s="141">
        <f>$B$34/4.35%</f>
        <v>93.218390804597703</v>
      </c>
      <c r="F13" s="141">
        <f>$B$34/3.85%</f>
        <v>105.32467532467531</v>
      </c>
      <c r="G13" s="138" t="str">
        <f>"$"&amp;ROUND(B34,2)&amp;"/"&amp;IF(STDEV(C140:F140)/AVERAGE(C140:F140)&lt;15%,"高",IF(STDEV(C140:F140)/AVERAGE(C140:F140)&lt;30%,"中","低"))</f>
        <v>$4.06/中</v>
      </c>
      <c r="H13" s="142" t="s">
        <v>199</v>
      </c>
      <c r="I13" s="143">
        <f>MAX(0,1-J15)</f>
        <v>0.47802197802197799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137.03320000000002</v>
      </c>
      <c r="C14" s="141">
        <f>$B$33*C10</f>
        <v>144.50719999999998</v>
      </c>
      <c r="D14" s="141">
        <f>$B$33*D10</f>
        <v>151.40400000000002</v>
      </c>
      <c r="E14" s="141">
        <f>$B$33*E10</f>
        <v>157.06870000000001</v>
      </c>
      <c r="F14" s="141">
        <f>$B$33*F10</f>
        <v>167.65440000000001</v>
      </c>
      <c r="G14" s="138" t="str">
        <f>"$"&amp;ROUND(B33,2)&amp;"/"&amp;IF(STDEV(B69:E69)/AVERAGE(B69:E69)&lt;15%,"高",IF(STDEV(B69:E69)/AVERAGE(B69:E69)&lt;30%,"中","低"))</f>
        <v>$7.4/中</v>
      </c>
      <c r="H14" s="142" t="s">
        <v>203</v>
      </c>
      <c r="I14" s="145">
        <f>G62/100*I13</f>
        <v>7.0269230769230778E-2</v>
      </c>
      <c r="J14" s="76" t="s">
        <v>204</v>
      </c>
      <c r="K14" s="146"/>
      <c r="L14" s="147">
        <f>(HLOOKUP($C$1,$105:$106,2,FALSE)-HLOOKUP($C$1,$117:$127,9,FALSE))/(HLOOKUP($C$1,$117:$128,12,FALSE)/K11)</f>
        <v>5.1016936795821444</v>
      </c>
      <c r="M14" s="148">
        <f>E135/E69</f>
        <v>0.28351648351648351</v>
      </c>
      <c r="N14" s="149">
        <f>F173/100</f>
        <v>1.1279000000000001</v>
      </c>
    </row>
    <row r="15" spans="1:15" s="93" customFormat="1" x14ac:dyDescent="0.25">
      <c r="A15" s="140" t="s">
        <v>375</v>
      </c>
      <c r="B15" s="141">
        <f>$D$62*B10</f>
        <v>129.25564</v>
      </c>
      <c r="C15" s="141">
        <f>$D$62*C10</f>
        <v>136.30544</v>
      </c>
      <c r="D15" s="141">
        <f>$D$62*D10</f>
        <v>142.81080000000003</v>
      </c>
      <c r="E15" s="141">
        <f>$D$62*E10</f>
        <v>148.15399000000002</v>
      </c>
      <c r="F15" s="141">
        <f>$D$62*F10</f>
        <v>158.13888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0.52197802197802201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125.94522744107215</v>
      </c>
      <c r="C16" s="141">
        <f>$F$69*C10</f>
        <v>132.81447248456942</v>
      </c>
      <c r="D16" s="141">
        <f>$F$69*D10</f>
        <v>139.15322137619268</v>
      </c>
      <c r="E16" s="141">
        <f>$F$69*E10</f>
        <v>144.35956502054631</v>
      </c>
      <c r="F16" s="141">
        <f>$F$69*F10</f>
        <v>154.08872842126203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269</v>
      </c>
      <c r="J17" s="92">
        <f ca="1">IF(I17&lt;=0,"",IF(I17&lt;=MIN($B$13:$F$16),(I17-MIN($B$13:$F$16))/MIN($B$13:$F$16),IF(I17&gt;=MAX($B$13:$F$16),I17/MAX($B$13:$F$16),PERCENTRANK($B$13:$F$16,I17))))</f>
        <v>1.6044911436860589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3.7199999999999998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0.91738594327990131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0.15019655221839018</v>
      </c>
      <c r="J20" s="171">
        <f>HLOOKUP($C$1,$117:$127,11,FALSE)/HLOOKUP($C$1,$105:$115,11,FALSE)</f>
        <v>0.1984763774581193</v>
      </c>
      <c r="K20" s="163"/>
    </row>
    <row r="21" spans="1:14" s="93" customFormat="1" x14ac:dyDescent="0.25">
      <c r="A21" s="151" t="s">
        <v>201</v>
      </c>
      <c r="B21" s="161">
        <f>AVERAGE(C173:F173)/100</f>
        <v>1.1307750000000001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4.6265383956346398</v>
      </c>
      <c r="J21" s="78"/>
      <c r="K21" s="164" t="s">
        <v>356</v>
      </c>
      <c r="L21" s="165">
        <f>HLOOKUP($C$1,$105:$115,7,FALSE)/HLOOKUP($C$1,$105:$115,11,FALSE)</f>
        <v>0.57931609737452594</v>
      </c>
      <c r="M21" s="123" t="s">
        <v>268</v>
      </c>
      <c r="N21" s="165">
        <f>HLOOKUP($C$1,$117:$127,8,FALSE)/HLOOKUP($C$1,$117:$127,11,FALSE)</f>
        <v>0.630885579946038</v>
      </c>
    </row>
    <row r="22" spans="1:14" s="93" customFormat="1" x14ac:dyDescent="0.25">
      <c r="A22" s="140" t="s">
        <v>222</v>
      </c>
      <c r="B22" s="161">
        <f>(-1)*SUM(C133:F133)/SUM(C132:F132)</f>
        <v>0.55839524517087669</v>
      </c>
      <c r="C22" s="157"/>
      <c r="D22" s="166"/>
      <c r="E22" s="140"/>
      <c r="F22" s="159">
        <f>IF(B22&lt;=0,10,IF(B22&gt;=100%,0,(1-B22)*10))</f>
        <v>4.4160475482912336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3.4106569061973917</v>
      </c>
      <c r="J22" s="78"/>
      <c r="K22" s="142" t="s">
        <v>357</v>
      </c>
      <c r="L22" s="165">
        <f>HLOOKUP($C$1,$105:$115,4,FALSE)/HLOOKUP($C$1,$105:$115,11,FALSE)</f>
        <v>0.195039257357326</v>
      </c>
      <c r="M22" s="123" t="s">
        <v>353</v>
      </c>
      <c r="N22" s="165">
        <f>HLOOKUP($C$1,$117:$127,4,FALSE)/HLOOKUP($C$1,$117:$127,11,FALSE)</f>
        <v>0.24325224925024991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1.2476238651940026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0.15224767614493989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69.77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5.8592512700909725E-2</v>
      </c>
      <c r="M24" s="123" t="s">
        <v>355</v>
      </c>
      <c r="N24" s="165">
        <f>HLOOKUP($C$1,$117:$127,9,FALSE)/HLOOKUP($C$1,$117:$127,11,FALSE)</f>
        <v>0.36911442005396194</v>
      </c>
    </row>
    <row r="25" spans="1:14" s="93" customFormat="1" x14ac:dyDescent="0.25">
      <c r="A25" s="151" t="s">
        <v>366</v>
      </c>
      <c r="B25" s="255">
        <f>AVERAGE(94:94)</f>
        <v>19566.952380952382</v>
      </c>
      <c r="C25" s="254">
        <f>STDEV(94:94)/AVERAGE(94:94)</f>
        <v>1.2584754744804141</v>
      </c>
      <c r="D25" s="76" t="str">
        <f>IF(C25&lt;=1,"高",IF(C25&lt;=2,"中","低"))</f>
        <v>中</v>
      </c>
      <c r="E25" s="149"/>
      <c r="F25" s="160">
        <f>MAX(0,10-ABS(C25))</f>
        <v>8.7415245255195853</v>
      </c>
      <c r="G25" s="88" t="s">
        <v>213</v>
      </c>
      <c r="H25" s="123" t="s">
        <v>232</v>
      </c>
      <c r="I25" s="170">
        <f>IF(HLOOKUP(C1,167:170,3,FALSE)="無",0,HLOOKUP(C1,167:170,3,FALSE))</f>
        <v>83.33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62.055263157894736</v>
      </c>
      <c r="C26" s="172">
        <f>IF(COUNTIF(168:168,"&gt;0")=0,0,STDEV(168:168))</f>
        <v>12.101368778604733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85.985789473684207</v>
      </c>
      <c r="C27" s="172">
        <f>IF(COUNTIF(169:169,"&gt;0")=0,0,STDEV(169:169))</f>
        <v>7.5545477957096017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0.30515000000000003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0.1401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19.427500000000002</v>
      </c>
      <c r="C32" s="157" t="s">
        <v>217</v>
      </c>
      <c r="D32" s="174">
        <f>COUNTIF(159:159,"&gt;3")/COUNT(159:159)</f>
        <v>0.94736842105263153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7.4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4.0549999999999997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8.6439189189189189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3733331</v>
      </c>
      <c r="C36" s="178">
        <f>STDEV(C97:F97)</f>
        <v>614721.65150253172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30.515000000000001</v>
      </c>
      <c r="C37" s="180">
        <f>STDEV(C152:F152)</f>
        <v>1.9751877547885583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16.7425</v>
      </c>
      <c r="C38" s="180">
        <f>STDEV(C153:F153)</f>
        <v>2.7931150471591182</v>
      </c>
      <c r="D38" s="76" t="str">
        <f>IF(C38/B38&lt;15%,"高",IF(C38/B38&lt;30%,"中","低"))</f>
        <v>中</v>
      </c>
      <c r="E38" s="107">
        <f>IF(F153&gt;E153,1,0)+IF(E153&gt;D153,1,0)+IF(D153&gt;C153,1,0)</f>
        <v>3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19.427500000000002</v>
      </c>
      <c r="C39" s="181">
        <f>STDEV(C165:F165)</f>
        <v>1.5530051513114826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7.4</v>
      </c>
      <c r="C40" s="183">
        <f>STDEV(B69:E69)</f>
        <v>1.8241527713799988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-9.677419354838708E-2</v>
      </c>
      <c r="C44" s="186">
        <f>(C46-C49)/C49</f>
        <v>-0.51091703056768556</v>
      </c>
      <c r="D44" s="186">
        <f>(D46-D49)/D49</f>
        <v>-0.30962343096234318</v>
      </c>
      <c r="E44" s="186">
        <f>(E46-E49)/E49</f>
        <v>-5.4621848739495757E-2</v>
      </c>
      <c r="G44" s="86" t="s">
        <v>175</v>
      </c>
      <c r="H44" s="186">
        <f>(H47-H50)/H50</f>
        <v>-0.25953079178885635</v>
      </c>
      <c r="I44" s="186">
        <f>(I47-I50)/I50</f>
        <v>-0.32267884322678836</v>
      </c>
      <c r="J44" s="186">
        <f>(J47-J50)/J50</f>
        <v>-0.17007125890736352</v>
      </c>
      <c r="K44" s="186">
        <f>(K47-K50)/K50</f>
        <v>-0.12611275964391674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1.96</v>
      </c>
      <c r="C46" s="152">
        <f>HLOOKUP(C45,$81:$82,2,FALSE)</f>
        <v>1.1200000000000001</v>
      </c>
      <c r="D46" s="152">
        <f>HLOOKUP(D45,$81:$82,2,FALSE)</f>
        <v>1.65</v>
      </c>
      <c r="E46" s="152">
        <f>HLOOKUP(E45,$81:$82,2,FALSE)</f>
        <v>2.25</v>
      </c>
      <c r="G46" s="86" t="s">
        <v>164</v>
      </c>
      <c r="H46" s="145">
        <f>HLOOKUP(H45,$145:$147,2,FALSE)/100</f>
        <v>0.29699999999999999</v>
      </c>
      <c r="I46" s="145">
        <f>HLOOKUP(I45,$145:$147,2,FALSE)/100</f>
        <v>0.2797</v>
      </c>
      <c r="J46" s="145">
        <f>HLOOKUP(J45,$145:$147,2,FALSE)/100</f>
        <v>0.30469999999999997</v>
      </c>
      <c r="K46" s="145">
        <f>HLOOKUP(K45,$145:$147,2,FALSE)/100</f>
        <v>0.31040000000000001</v>
      </c>
    </row>
    <row r="47" spans="1:14" x14ac:dyDescent="0.25">
      <c r="A47" s="188" t="s">
        <v>165</v>
      </c>
      <c r="B47" s="189">
        <f>HLOOKUP(B45,$157:$159,3,FALSE)</f>
        <v>4.1900000000000004</v>
      </c>
      <c r="C47" s="189">
        <f>HLOOKUP(C45,$157:$159,3,FALSE)</f>
        <v>2.37</v>
      </c>
      <c r="D47" s="189">
        <f>HLOOKUP(D45,$157:$159,3,FALSE)</f>
        <v>3.41</v>
      </c>
      <c r="E47" s="189">
        <f>HLOOKUP(E45,$157:$159,3,FALSE)</f>
        <v>4.7300000000000004</v>
      </c>
      <c r="G47" s="190" t="s">
        <v>166</v>
      </c>
      <c r="H47" s="145">
        <f>HLOOKUP(H45,$145:$147,3,FALSE)/100</f>
        <v>0.1515</v>
      </c>
      <c r="I47" s="145">
        <f>HLOOKUP(I45,$145:$147,3,FALSE)/100</f>
        <v>0.13350000000000001</v>
      </c>
      <c r="J47" s="145">
        <f>HLOOKUP(J45,$145:$147,3,FALSE)/100</f>
        <v>0.17469999999999999</v>
      </c>
      <c r="K47" s="145">
        <f>HLOOKUP(K45,$145:$147,3,FALSE)/100</f>
        <v>0.17670000000000002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2.17</v>
      </c>
      <c r="C49" s="152">
        <f>HLOOKUP(C48,$81:$82,2,FALSE)</f>
        <v>2.29</v>
      </c>
      <c r="D49" s="152">
        <f>HLOOKUP(D48,$81:$82,2,FALSE)</f>
        <v>2.39</v>
      </c>
      <c r="E49" s="152">
        <f>HLOOKUP(E48,$81:$82,2,FALSE)</f>
        <v>2.38</v>
      </c>
      <c r="G49" s="86" t="s">
        <v>164</v>
      </c>
      <c r="H49" s="145">
        <f>HLOOKUP(H48,$145:$147,2,FALSE)/100</f>
        <v>0.32369999999999999</v>
      </c>
      <c r="I49" s="145">
        <f>HLOOKUP(I48,$145:$147,2,FALSE)/100</f>
        <v>0.31209999999999999</v>
      </c>
      <c r="J49" s="145">
        <f>HLOOKUP(J48,$145:$147,2,FALSE)/100</f>
        <v>0.3301</v>
      </c>
      <c r="K49" s="145">
        <f>HLOOKUP(K48,$145:$147,2,FALSE)/100</f>
        <v>0.34149999999999997</v>
      </c>
    </row>
    <row r="50" spans="1:15" x14ac:dyDescent="0.25">
      <c r="A50" s="188" t="s">
        <v>165</v>
      </c>
      <c r="B50" s="189">
        <f>HLOOKUP(B48,$157:$159,3,FALSE)</f>
        <v>4.78</v>
      </c>
      <c r="C50" s="189">
        <f>HLOOKUP(C48,$157:$159,3,FALSE)</f>
        <v>5.04</v>
      </c>
      <c r="D50" s="189">
        <f>HLOOKUP(D48,$157:$159,3,FALSE)</f>
        <v>5.25</v>
      </c>
      <c r="E50" s="189">
        <f>HLOOKUP(E48,$157:$159,3,FALSE)</f>
        <v>5.41</v>
      </c>
      <c r="G50" s="190" t="s">
        <v>166</v>
      </c>
      <c r="H50" s="145">
        <f>HLOOKUP(H48,$145:$147,3,FALSE)/100</f>
        <v>0.2046</v>
      </c>
      <c r="I50" s="145">
        <f>HLOOKUP(I48,$145:$147,3,FALSE)/100</f>
        <v>0.1971</v>
      </c>
      <c r="J50" s="145">
        <f>HLOOKUP(J48,$145:$147,3,FALSE)/100</f>
        <v>0.21050000000000002</v>
      </c>
      <c r="K50" s="145">
        <f>HLOOKUP(K48,$145:$147,3,FALSE)/100</f>
        <v>0.20219999999999999</v>
      </c>
    </row>
    <row r="51" spans="1:15" x14ac:dyDescent="0.25">
      <c r="A51" s="86" t="s">
        <v>351</v>
      </c>
      <c r="B51" s="186">
        <f>(B47-B50)/B50</f>
        <v>-0.1234309623430962</v>
      </c>
      <c r="C51" s="186">
        <f>(C47-C50)/C50</f>
        <v>-0.52976190476190477</v>
      </c>
      <c r="D51" s="186">
        <f>(D47-D50)/D50</f>
        <v>-0.35047619047619044</v>
      </c>
      <c r="E51" s="186">
        <f>(E47-E50)/E50</f>
        <v>-0.12569316081330864</v>
      </c>
      <c r="G51" s="235" t="s">
        <v>174</v>
      </c>
      <c r="H51" s="186">
        <f>(H46-H49)/H49</f>
        <v>-8.2483781278962012E-2</v>
      </c>
      <c r="I51" s="186">
        <f>(I46-I49)/I49</f>
        <v>-0.10381288048702335</v>
      </c>
      <c r="J51" s="186">
        <f>(J46-J49)/J49</f>
        <v>-7.6946379884883467E-2</v>
      </c>
      <c r="K51" s="186">
        <f>(K46-K49)/K49</f>
        <v>-9.1068814055636785E-2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7.2648455301732877</v>
      </c>
      <c r="B53" s="193">
        <f>B46</f>
        <v>1.96</v>
      </c>
      <c r="C53" s="193">
        <f>E46/HLOOKUP(E45,$87:$94,5,FALSE)*HLOOKUP(E45,$87:$94,4,FALSE)*($B$25/HLOOKUP(E45,$87:$94,4,FALSE)+SUM($B$57:$D$57)/SUM($B58:$D$58)*$G$69/100/K46)</f>
        <v>2.0712327163339528</v>
      </c>
      <c r="D53" s="193">
        <f>D46/HLOOKUP(D45,$87:$94,5,FALSE)*HLOOKUP(D45,$87:$94,4,FALSE)*($B$25/HLOOKUP(D45,$87:$94,4,FALSE)+SUM($B$57:$D$57)/SUM($B58:$D$58)*$G$69/100/J46)</f>
        <v>2.1454595617172165</v>
      </c>
      <c r="E53" s="193">
        <f>C46/HLOOKUP(C45,$87:$94,5,FALSE)*HLOOKUP(C45,$87:$94,4,FALSE)*($B$25/HLOOKUP(C45,$87:$94,4,FALSE)+SUM($B$57:$D$57)/SUM($B58:$D$58)*$G$69/100/I46)</f>
        <v>1.088153252122118</v>
      </c>
    </row>
    <row r="54" spans="1:15" x14ac:dyDescent="0.25">
      <c r="A54" s="278">
        <f>SUM(B54:E54)</f>
        <v>7.19</v>
      </c>
      <c r="B54" s="277">
        <f t="shared" ref="B54:D54" si="0">HLOOKUP(B52-10,81:82,2,FALSE)</f>
        <v>2.17</v>
      </c>
      <c r="C54" s="277">
        <f t="shared" si="0"/>
        <v>2.25</v>
      </c>
      <c r="D54" s="277">
        <f t="shared" si="0"/>
        <v>1.65</v>
      </c>
      <c r="E54" s="277">
        <f>HLOOKUP(E52-10,81:82,2,FALSE)</f>
        <v>1.1200000000000001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318780</v>
      </c>
      <c r="C57" s="196">
        <f>HLOOKUP(C56,78:79,2,FALSE)</f>
        <v>391892</v>
      </c>
      <c r="D57" s="196">
        <f>HLOOKUP(D56,78:79,2,FALSE)</f>
        <v>386659</v>
      </c>
      <c r="E57" s="196">
        <f>HLOOKUP(E56,78:79,2,FALSE)</f>
        <v>314251</v>
      </c>
      <c r="F57" s="196">
        <f>HLOOKUP(F56,78:79,2,FALSE)</f>
        <v>361316</v>
      </c>
      <c r="G57" s="196">
        <f t="shared" ref="G57:M57" si="2">HLOOKUP(G56,78:79,2,FALSE)</f>
        <v>333666</v>
      </c>
      <c r="H57" s="196">
        <f t="shared" si="2"/>
        <v>323539</v>
      </c>
      <c r="I57" s="196">
        <f t="shared" si="2"/>
        <v>429394</v>
      </c>
      <c r="J57" s="196">
        <f t="shared" si="2"/>
        <v>361243</v>
      </c>
      <c r="K57" s="196">
        <f t="shared" si="2"/>
        <v>375135</v>
      </c>
      <c r="L57" s="196">
        <f t="shared" si="2"/>
        <v>392003</v>
      </c>
      <c r="M57" s="196">
        <f t="shared" si="2"/>
        <v>334983</v>
      </c>
      <c r="N57" s="197"/>
    </row>
    <row r="58" spans="1:15" x14ac:dyDescent="0.25">
      <c r="A58" s="198" t="s">
        <v>253</v>
      </c>
      <c r="B58" s="196">
        <f>HLOOKUP(B56-100,78:79,2,FALSE)</f>
        <v>359780</v>
      </c>
      <c r="C58" s="196">
        <f>HLOOKUP(C56-100,78:79,2,FALSE)</f>
        <v>373365</v>
      </c>
      <c r="D58" s="196">
        <f>HLOOKUP(D56-100,78:79,2,FALSE)</f>
        <v>403503</v>
      </c>
      <c r="E58" s="196">
        <f>HLOOKUP(E56-100,78:79,2,FALSE)</f>
        <v>364290</v>
      </c>
      <c r="F58" s="196">
        <f>HLOOKUP(F56-100,78:79,2,FALSE)</f>
        <v>387089</v>
      </c>
      <c r="G58" s="196">
        <f t="shared" ref="G58:M58" si="3">HLOOKUP(G56-100,78:79,2,FALSE)</f>
        <v>364081</v>
      </c>
      <c r="H58" s="196">
        <f t="shared" si="3"/>
        <v>377359</v>
      </c>
      <c r="I58" s="196">
        <f t="shared" si="3"/>
        <v>383343</v>
      </c>
      <c r="J58" s="196">
        <f t="shared" si="3"/>
        <v>303056</v>
      </c>
      <c r="K58" s="196">
        <f t="shared" si="3"/>
        <v>413835</v>
      </c>
      <c r="L58" s="196">
        <f t="shared" si="3"/>
        <v>357257</v>
      </c>
      <c r="M58" s="196">
        <f t="shared" si="3"/>
        <v>334301</v>
      </c>
      <c r="N58" s="197"/>
    </row>
    <row r="59" spans="1:15" x14ac:dyDescent="0.25">
      <c r="A59" s="199" t="s">
        <v>254</v>
      </c>
      <c r="B59" s="165">
        <f>IF(B57&lt;&gt;"",(B57-B58)/B58,"")</f>
        <v>-0.11395853021290789</v>
      </c>
      <c r="C59" s="165">
        <f>IF(C57&lt;&gt;"",(C57-C58)/C58,"")</f>
        <v>4.9621683875028459E-2</v>
      </c>
      <c r="D59" s="165">
        <f>IF(D57&lt;&gt;"",(D57-D58)/D58,"")</f>
        <v>-4.1744423213705972E-2</v>
      </c>
      <c r="E59" s="165">
        <f>IF(E57&lt;&gt;"",(E57-E58)/E58,"")</f>
        <v>-0.13736034478025749</v>
      </c>
      <c r="F59" s="165">
        <f>IF(F57&lt;&gt;"",(F57-F58)/F58,"")</f>
        <v>-6.6581587180209206E-2</v>
      </c>
      <c r="G59" s="165">
        <f t="shared" ref="G59:M59" si="4">IF(G57&lt;&gt;"",(G57-G58)/G58,"")</f>
        <v>-8.3539102562341899E-2</v>
      </c>
      <c r="H59" s="165">
        <f t="shared" si="4"/>
        <v>-0.14262280745920994</v>
      </c>
      <c r="I59" s="165">
        <f t="shared" si="4"/>
        <v>0.12013001411268759</v>
      </c>
      <c r="J59" s="165">
        <f t="shared" si="4"/>
        <v>0.19200081833060556</v>
      </c>
      <c r="K59" s="165">
        <f t="shared" si="4"/>
        <v>-9.3515531552430323E-2</v>
      </c>
      <c r="L59" s="165">
        <f t="shared" si="4"/>
        <v>9.7257716433827746E-2</v>
      </c>
      <c r="M59" s="165">
        <f t="shared" si="4"/>
        <v>2.0400776545687867E-3</v>
      </c>
    </row>
    <row r="60" spans="1:15" x14ac:dyDescent="0.25">
      <c r="A60" s="195" t="s">
        <v>255</v>
      </c>
      <c r="B60" s="196">
        <f>SUM(B57:M57)</f>
        <v>4322861</v>
      </c>
    </row>
    <row r="61" spans="1:15" x14ac:dyDescent="0.25">
      <c r="A61" s="198" t="s">
        <v>256</v>
      </c>
      <c r="B61" s="196">
        <f>SUM(B58:M58)</f>
        <v>4421259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0.97774434838583313</v>
      </c>
      <c r="D62" s="152">
        <f>SUM(B46:E46)</f>
        <v>6.98</v>
      </c>
      <c r="E62" s="152">
        <f>SUM(B49:E49)</f>
        <v>9.23</v>
      </c>
      <c r="G62" s="126">
        <f>SUM(B47:E47)</f>
        <v>14.700000000000001</v>
      </c>
      <c r="H62" s="126">
        <f>SUM(B50:E50)</f>
        <v>20.48</v>
      </c>
      <c r="J62" s="200">
        <f>AVERAGE(H46:K46)</f>
        <v>0.29794999999999999</v>
      </c>
      <c r="K62" s="200">
        <f>AVERAGE(H49:K49)</f>
        <v>0.32684999999999997</v>
      </c>
      <c r="M62" s="200">
        <f>AVERAGE(H47:K47)</f>
        <v>0.15910000000000002</v>
      </c>
      <c r="N62" s="200">
        <f>AVERAGE(H50:K50)</f>
        <v>0.2036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1.24</v>
      </c>
      <c r="C65" s="205">
        <f t="shared" si="5"/>
        <v>1.78</v>
      </c>
      <c r="D65" s="205">
        <f t="shared" si="5"/>
        <v>1.96</v>
      </c>
      <c r="E65" s="205">
        <f t="shared" si="5"/>
        <v>2.39</v>
      </c>
      <c r="F65" s="206">
        <f>IF(ISNA(HLOOKUP(F$64*10+$A65,$81:$82,2,FALSE)),(HLOOKUP(E$64*10+$A65,$87:$94,4,FALSE)*$G65+$B$25)/HLOOKUP(E$64*10+$A65,$87:$94,5,FALSE)*$E65,HLOOKUP(F$64*10+$A65,$81:$82,2,FALSE))</f>
        <v>1.65</v>
      </c>
      <c r="G65" s="101">
        <f>MIN(130%,SUM($B$57:$D$57)/SUM($B$58:$D$58)*$G$69/HLOOKUP(E$64*10+$A65,$145:$146,2,FALSE))</f>
        <v>0.91353123752119714</v>
      </c>
      <c r="H65" s="204">
        <v>1</v>
      </c>
      <c r="I65" s="208">
        <f t="shared" ref="I65:M68" si="6">IF(ISNA(HLOOKUP(I$64*10+$H65,$145:$147,3,FALSE)),"",HLOOKUP(I$64*10+$H65,$145:$147,3,FALSE)/100)</f>
        <v>0.1288</v>
      </c>
      <c r="J65" s="208">
        <f t="shared" si="6"/>
        <v>0.16070000000000001</v>
      </c>
      <c r="K65" s="208">
        <f t="shared" si="6"/>
        <v>0.16550000000000001</v>
      </c>
      <c r="L65" s="208">
        <f t="shared" si="6"/>
        <v>0.21050000000000002</v>
      </c>
      <c r="M65" s="209">
        <f t="shared" si="6"/>
        <v>0.17469999999999999</v>
      </c>
      <c r="N65" s="256">
        <f t="shared" ref="N65:O68" si="7">HLOOKUP(E$64*10+$A65,$87:$94,8,FALSE)</f>
        <v>6038</v>
      </c>
      <c r="O65" s="256">
        <f t="shared" si="7"/>
        <v>-33579</v>
      </c>
      <c r="P65" s="210"/>
    </row>
    <row r="66" spans="1:71" x14ac:dyDescent="0.25">
      <c r="A66" s="204">
        <v>2</v>
      </c>
      <c r="B66" s="205">
        <f t="shared" si="5"/>
        <v>1.28</v>
      </c>
      <c r="C66" s="205">
        <f t="shared" si="5"/>
        <v>1.39</v>
      </c>
      <c r="D66" s="205">
        <f t="shared" si="5"/>
        <v>1.57</v>
      </c>
      <c r="E66" s="205">
        <f t="shared" si="5"/>
        <v>2.29</v>
      </c>
      <c r="F66" s="206">
        <f>IF(ISNA(HLOOKUP(F$64*10+$A66,$81:$82,2,FALSE)),(HLOOKUP(E$64*10+$A66,$87:$94,4,FALSE)*$G66+$B$25)/HLOOKUP(E$64*10+$A66,$87:$94,5,FALSE)*$E66,HLOOKUP(F$64*10+$A66,$81:$82,2,FALSE))</f>
        <v>1.1200000000000001</v>
      </c>
      <c r="G66" s="101">
        <f>MIN(130%,SUM($B$57:$D$57)/SUM($B$58:$D$58)*$G$69/HLOOKUP(E$64*10+$A66,$145:$146,2,FALSE))</f>
        <v>0.96621807595561415</v>
      </c>
      <c r="H66" s="204">
        <v>2</v>
      </c>
      <c r="I66" s="208">
        <f t="shared" si="6"/>
        <v>0.14169999999999999</v>
      </c>
      <c r="J66" s="208">
        <f t="shared" si="6"/>
        <v>0.17309999999999998</v>
      </c>
      <c r="K66" s="208">
        <f t="shared" si="6"/>
        <v>0.15029999999999999</v>
      </c>
      <c r="L66" s="208">
        <f t="shared" si="6"/>
        <v>0.1971</v>
      </c>
      <c r="M66" s="209">
        <f t="shared" si="6"/>
        <v>0.13350000000000001</v>
      </c>
      <c r="N66" s="256">
        <f t="shared" si="7"/>
        <v>22518</v>
      </c>
      <c r="O66" s="256">
        <f t="shared" si="7"/>
        <v>35047</v>
      </c>
      <c r="P66" s="210"/>
    </row>
    <row r="67" spans="1:71" x14ac:dyDescent="0.25">
      <c r="A67" s="204">
        <v>3</v>
      </c>
      <c r="B67" s="205">
        <f t="shared" si="5"/>
        <v>1.33</v>
      </c>
      <c r="C67" s="205">
        <f t="shared" si="5"/>
        <v>1.9</v>
      </c>
      <c r="D67" s="205">
        <f t="shared" si="5"/>
        <v>2.7</v>
      </c>
      <c r="E67" s="205">
        <f t="shared" si="5"/>
        <v>2.17</v>
      </c>
      <c r="F67" s="206">
        <f>IF(ISNA(HLOOKUP(F$64*10+$A67,$81:$82,2,FALSE)),(HLOOKUP(E$64*10+$A67,$87:$94,4,FALSE)*$G67+$B$25)/HLOOKUP(E$64*10+$A67,$87:$94,5,FALSE)*$E67,HLOOKUP(F$64*10+$A67,$81:$82,2,FALSE))</f>
        <v>1.96</v>
      </c>
      <c r="G67" s="101">
        <f>MIN(130%,SUM($B$57:$D$57)/SUM($B$58:$D$58)*$G$69/HLOOKUP(E$64*10+$A67,$145:$146,2,FALSE))</f>
        <v>0.93159302287842816</v>
      </c>
      <c r="H67" s="204">
        <v>3</v>
      </c>
      <c r="I67" s="208">
        <f t="shared" si="6"/>
        <v>0.1318</v>
      </c>
      <c r="J67" s="208">
        <f t="shared" si="6"/>
        <v>0.16210000000000002</v>
      </c>
      <c r="K67" s="208">
        <f t="shared" si="6"/>
        <v>0.19140000000000001</v>
      </c>
      <c r="L67" s="208">
        <f t="shared" si="6"/>
        <v>0.2046</v>
      </c>
      <c r="M67" s="209">
        <f t="shared" si="6"/>
        <v>0.1515</v>
      </c>
      <c r="N67" s="256">
        <f t="shared" si="7"/>
        <v>-10882</v>
      </c>
      <c r="O67" s="256">
        <f t="shared" si="7"/>
        <v>29787</v>
      </c>
      <c r="P67" s="210"/>
    </row>
    <row r="68" spans="1:71" x14ac:dyDescent="0.25">
      <c r="A68" s="204">
        <v>4</v>
      </c>
      <c r="B68" s="205">
        <f>HLOOKUP(B$64*10+$A68,$81:$82,2,FALSE)</f>
        <v>1.26</v>
      </c>
      <c r="C68" s="205">
        <f>HLOOKUP(C$64*10+$A68,$81:$82,2,FALSE)</f>
        <v>1.71</v>
      </c>
      <c r="D68" s="205">
        <f>HLOOKUP(D$64*10+$A68,$81:$82,2,FALSE)</f>
        <v>2.38</v>
      </c>
      <c r="E68" s="206">
        <f>IF(ISNA(HLOOKUP(E$64*10+$A68,$81:$82,2,FALSE)),D68*(1-$N68)*#REF!*(1+$B$25)/(1+$E$4),HLOOKUP(E$64*10+$A68,$81:$82,2,FALSE))</f>
        <v>2.25</v>
      </c>
      <c r="F68" s="206">
        <f>IF(ISNA(HLOOKUP(F$64*10+$A68,$81:$82,2,FALSE)),(HLOOKUP(E$64*10+$A68,$87:$94,4,FALSE)*$G68+$B$25)/HLOOKUP(E$64*10+$A68,$87:$94,5,FALSE)*$E68,HLOOKUP(F$64*10+$A68,$81:$82,2,FALSE))</f>
        <v>2.0712327163339528</v>
      </c>
      <c r="G68" s="101">
        <f>MIN(130%,SUM($B$57:$D$57)/SUM($B$58:$D$58)*$G$69/HLOOKUP(E$64*10+$A68,$145:$146,2,FALSE))</f>
        <v>0.97150986309841236</v>
      </c>
      <c r="H68" s="204">
        <v>4</v>
      </c>
      <c r="I68" s="208">
        <f t="shared" si="6"/>
        <v>0.1235</v>
      </c>
      <c r="J68" s="208">
        <f t="shared" si="6"/>
        <v>0.154</v>
      </c>
      <c r="K68" s="208">
        <f t="shared" si="6"/>
        <v>0.20219999999999999</v>
      </c>
      <c r="L68" s="208">
        <f t="shared" si="6"/>
        <v>0.17670000000000002</v>
      </c>
      <c r="M68" s="209" t="str">
        <f t="shared" si="6"/>
        <v/>
      </c>
      <c r="N68" s="256">
        <f t="shared" si="7"/>
        <v>31912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5.1100000000000003</v>
      </c>
      <c r="C69" s="213">
        <f>SUM(C65:C68)</f>
        <v>6.78</v>
      </c>
      <c r="D69" s="213">
        <f>SUM(D65:D68)</f>
        <v>8.61</v>
      </c>
      <c r="E69" s="213">
        <f>SUM(E65:E68)</f>
        <v>9.1</v>
      </c>
      <c r="F69" s="213">
        <f>SUM(F65:F68)</f>
        <v>6.8012327163339528</v>
      </c>
      <c r="G69" s="257">
        <f>_xlfn.FORECAST.ETS(23,B146:W146,{1,2,3,4,5,6,7,8,9,10,11,12,13,14,15,16,17,18,19,20,21,22})</f>
        <v>31.236133508229013</v>
      </c>
      <c r="H69" s="214" t="s">
        <v>19</v>
      </c>
      <c r="I69" s="215">
        <f>HLOOKUP(I64,151:155,3,FALSE)/100</f>
        <v>0.13140000000000002</v>
      </c>
      <c r="J69" s="215">
        <f>HLOOKUP(J64,151:155,3,FALSE)/100</f>
        <v>0.16239999999999999</v>
      </c>
      <c r="K69" s="215">
        <f>HLOOKUP(K64,151:155,3,FALSE)/100</f>
        <v>0.17859999999999998</v>
      </c>
      <c r="L69" s="215">
        <f>IF(ISNA(HLOOKUP(L64,151:155,3,FALSE)/100),AVERAGE(L65:L68),HLOOKUP(L64,151:155,3,FALSE)/100)</f>
        <v>0.1973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5.04</v>
      </c>
      <c r="C72" s="205">
        <f t="shared" si="8"/>
        <v>5.4</v>
      </c>
      <c r="D72" s="205">
        <f t="shared" si="8"/>
        <v>5.32</v>
      </c>
      <c r="E72" s="205">
        <f t="shared" si="8"/>
        <v>5.25</v>
      </c>
      <c r="F72" s="205">
        <f t="shared" si="8"/>
        <v>3.41</v>
      </c>
    </row>
    <row r="73" spans="1:71" s="135" customFormat="1" x14ac:dyDescent="0.25">
      <c r="A73" s="204">
        <v>2</v>
      </c>
      <c r="B73" s="205">
        <f t="shared" si="8"/>
        <v>5.12</v>
      </c>
      <c r="C73" s="205">
        <f t="shared" si="8"/>
        <v>4.2300000000000004</v>
      </c>
      <c r="D73" s="205">
        <f t="shared" si="8"/>
        <v>4.34</v>
      </c>
      <c r="E73" s="205">
        <f t="shared" si="8"/>
        <v>5.04</v>
      </c>
      <c r="F73" s="205">
        <f t="shared" si="8"/>
        <v>2.37</v>
      </c>
    </row>
    <row r="74" spans="1:71" s="135" customFormat="1" x14ac:dyDescent="0.25">
      <c r="A74" s="204">
        <v>3</v>
      </c>
      <c r="B74" s="205">
        <f t="shared" si="8"/>
        <v>5.28</v>
      </c>
      <c r="C74" s="205">
        <f t="shared" si="8"/>
        <v>5.86</v>
      </c>
      <c r="D74" s="205">
        <f t="shared" si="8"/>
        <v>6.97</v>
      </c>
      <c r="E74" s="205">
        <f t="shared" si="8"/>
        <v>4.78</v>
      </c>
      <c r="F74" s="205">
        <f t="shared" si="8"/>
        <v>4.1900000000000004</v>
      </c>
    </row>
    <row r="75" spans="1:71" s="135" customFormat="1" x14ac:dyDescent="0.25">
      <c r="A75" s="204">
        <v>4</v>
      </c>
      <c r="B75" s="205">
        <f t="shared" si="8"/>
        <v>4.1500000000000004</v>
      </c>
      <c r="C75" s="205">
        <f t="shared" si="8"/>
        <v>4.92</v>
      </c>
      <c r="D75" s="205">
        <f t="shared" si="8"/>
        <v>5.41</v>
      </c>
      <c r="E75" s="205">
        <f t="shared" si="8"/>
        <v>4.7300000000000004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19.590000000000003</v>
      </c>
      <c r="C76" s="213">
        <f>SUM(C72:C75)</f>
        <v>20.410000000000004</v>
      </c>
      <c r="D76" s="213">
        <f>SUM(D72:D75)</f>
        <v>22.04</v>
      </c>
      <c r="E76" s="213">
        <f>AVERAGE(E72:E75)*4</f>
        <v>19.8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164211</v>
      </c>
      <c r="C79" s="270">
        <v>129611</v>
      </c>
      <c r="D79" s="270">
        <v>132875</v>
      </c>
      <c r="E79" s="270">
        <v>122774</v>
      </c>
      <c r="F79" s="270">
        <v>130065</v>
      </c>
      <c r="G79" s="270">
        <v>105522</v>
      </c>
      <c r="H79" s="270">
        <v>159260</v>
      </c>
      <c r="I79" s="270">
        <v>142462</v>
      </c>
      <c r="J79" s="270">
        <v>147964</v>
      </c>
      <c r="K79" s="270">
        <v>139418</v>
      </c>
      <c r="L79" s="270">
        <v>119971</v>
      </c>
      <c r="M79" s="270">
        <v>113337</v>
      </c>
      <c r="N79" s="270">
        <v>314948</v>
      </c>
      <c r="O79" s="270">
        <v>205141</v>
      </c>
      <c r="P79" s="270">
        <v>243582</v>
      </c>
      <c r="Q79" s="270">
        <v>255289</v>
      </c>
      <c r="R79" s="270">
        <v>251123</v>
      </c>
      <c r="S79" s="270">
        <v>215091</v>
      </c>
      <c r="T79" s="270">
        <v>266044</v>
      </c>
      <c r="U79" s="270">
        <v>256549</v>
      </c>
      <c r="V79" s="270">
        <v>292371</v>
      </c>
      <c r="W79" s="270">
        <v>249602</v>
      </c>
      <c r="X79" s="270">
        <v>244383</v>
      </c>
      <c r="Y79" s="270">
        <v>236760</v>
      </c>
      <c r="Z79" s="270">
        <v>305573</v>
      </c>
      <c r="AA79" s="270">
        <v>279196</v>
      </c>
      <c r="AB79" s="270">
        <v>298713</v>
      </c>
      <c r="AC79" s="270">
        <v>278789</v>
      </c>
      <c r="AD79" s="270">
        <v>273155</v>
      </c>
      <c r="AE79" s="270">
        <v>257219</v>
      </c>
      <c r="AF79" s="270">
        <v>305201</v>
      </c>
      <c r="AG79" s="270">
        <v>327603</v>
      </c>
      <c r="AH79" s="270">
        <v>348712</v>
      </c>
      <c r="AI79" s="270">
        <v>264584</v>
      </c>
      <c r="AJ79" s="270">
        <v>271780</v>
      </c>
      <c r="AK79" s="270">
        <v>294033</v>
      </c>
      <c r="AL79" s="270">
        <v>356205</v>
      </c>
      <c r="AM79" s="270">
        <v>281142</v>
      </c>
      <c r="AN79" s="270">
        <v>301684</v>
      </c>
      <c r="AO79" s="270">
        <v>313999</v>
      </c>
      <c r="AP79" s="270">
        <v>277437</v>
      </c>
      <c r="AQ79" s="270">
        <v>310244</v>
      </c>
      <c r="AR79" s="270">
        <v>345873</v>
      </c>
      <c r="AS79" s="270">
        <v>387051</v>
      </c>
      <c r="AT79" s="270">
        <v>372056</v>
      </c>
      <c r="AU79" s="270">
        <v>312494</v>
      </c>
      <c r="AV79" s="270">
        <v>334301</v>
      </c>
      <c r="AW79" s="270">
        <v>357257</v>
      </c>
      <c r="AX79" s="270">
        <v>413835</v>
      </c>
      <c r="AY79" s="270">
        <v>303056</v>
      </c>
      <c r="AZ79" s="270">
        <v>383343</v>
      </c>
      <c r="BA79" s="270">
        <v>377359</v>
      </c>
      <c r="BB79" s="270">
        <v>364081</v>
      </c>
      <c r="BC79" s="270">
        <v>387089</v>
      </c>
      <c r="BD79" s="270">
        <v>364290</v>
      </c>
      <c r="BE79" s="270">
        <v>403503</v>
      </c>
      <c r="BF79" s="270">
        <v>373365</v>
      </c>
      <c r="BG79" s="270">
        <v>359780</v>
      </c>
      <c r="BH79" s="270">
        <v>334983</v>
      </c>
      <c r="BI79" s="270">
        <v>392003</v>
      </c>
      <c r="BJ79" s="270">
        <v>375135</v>
      </c>
      <c r="BK79" s="270">
        <v>361243</v>
      </c>
      <c r="BL79" s="270">
        <v>429394</v>
      </c>
      <c r="BM79" s="270">
        <v>323539</v>
      </c>
      <c r="BN79" s="270">
        <v>333666</v>
      </c>
      <c r="BO79" s="270">
        <v>361316</v>
      </c>
      <c r="BP79" s="270">
        <v>314251</v>
      </c>
      <c r="BQ79" s="270">
        <v>386659</v>
      </c>
      <c r="BR79" s="270">
        <v>391892</v>
      </c>
      <c r="BS79" s="270">
        <v>318780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 t="s">
        <v>43</v>
      </c>
      <c r="C82" s="72" t="s">
        <v>43</v>
      </c>
      <c r="D82" s="72" t="s">
        <v>43</v>
      </c>
      <c r="E82" s="72">
        <v>1.19</v>
      </c>
      <c r="F82" s="72">
        <v>1.24</v>
      </c>
      <c r="G82" s="72">
        <v>1.28</v>
      </c>
      <c r="H82" s="72">
        <v>1.33</v>
      </c>
      <c r="I82" s="72">
        <v>1.26</v>
      </c>
      <c r="J82" s="72">
        <v>1.78</v>
      </c>
      <c r="K82" s="72">
        <v>1.39</v>
      </c>
      <c r="L82" s="72">
        <v>1.9</v>
      </c>
      <c r="M82" s="72">
        <v>1.71</v>
      </c>
      <c r="N82" s="72">
        <v>1.96</v>
      </c>
      <c r="O82" s="72">
        <v>1.57</v>
      </c>
      <c r="P82" s="72">
        <v>2.7</v>
      </c>
      <c r="Q82" s="72">
        <v>2.38</v>
      </c>
      <c r="R82" s="72">
        <v>2.39</v>
      </c>
      <c r="S82" s="72">
        <v>2.29</v>
      </c>
      <c r="T82" s="72">
        <v>2.17</v>
      </c>
      <c r="U82" s="72">
        <v>2.25</v>
      </c>
      <c r="V82" s="72">
        <v>1.65</v>
      </c>
      <c r="W82" s="72">
        <v>1.1200000000000001</v>
      </c>
      <c r="X82" s="72">
        <v>1.96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 t="s">
        <v>43</v>
      </c>
      <c r="C85" s="72">
        <v>21.07</v>
      </c>
      <c r="D85" s="72" t="s">
        <v>43</v>
      </c>
      <c r="E85" s="72">
        <v>24.16</v>
      </c>
      <c r="F85" s="72">
        <v>25.21</v>
      </c>
      <c r="G85" s="72">
        <v>24.61</v>
      </c>
      <c r="H85" s="72">
        <v>25.9</v>
      </c>
      <c r="I85" s="72">
        <v>31.98</v>
      </c>
      <c r="J85" s="72">
        <v>33.96</v>
      </c>
      <c r="K85" s="72">
        <v>31.53</v>
      </c>
      <c r="L85" s="72">
        <v>33.5</v>
      </c>
      <c r="M85" s="72">
        <v>36.22</v>
      </c>
      <c r="N85" s="72">
        <v>37.29</v>
      </c>
      <c r="O85" s="72">
        <v>35.42</v>
      </c>
      <c r="P85" s="72">
        <v>41.1</v>
      </c>
      <c r="Q85" s="72">
        <v>44.37</v>
      </c>
      <c r="R85" s="72">
        <v>46.77</v>
      </c>
      <c r="S85" s="72">
        <v>44.16</v>
      </c>
      <c r="T85" s="72">
        <v>46.65</v>
      </c>
      <c r="U85" s="72">
        <v>48.29</v>
      </c>
      <c r="V85" s="72">
        <v>48.61</v>
      </c>
      <c r="W85" s="72">
        <v>45.7</v>
      </c>
      <c r="X85" s="72">
        <v>47.82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68"/>
      <c r="C88" s="68"/>
      <c r="D88" s="273">
        <v>760612</v>
      </c>
      <c r="E88" s="273">
        <v>757713</v>
      </c>
      <c r="F88" s="273">
        <v>760684</v>
      </c>
      <c r="G88" s="273">
        <v>718635</v>
      </c>
      <c r="H88" s="273">
        <v>811902</v>
      </c>
      <c r="I88" s="273">
        <v>729258</v>
      </c>
      <c r="J88" s="273">
        <v>881946</v>
      </c>
      <c r="K88" s="273">
        <v>809033</v>
      </c>
      <c r="L88" s="273">
        <v>989613</v>
      </c>
      <c r="M88" s="273">
        <v>826397</v>
      </c>
      <c r="N88" s="273">
        <v>940162</v>
      </c>
      <c r="O88" s="273">
        <v>901856</v>
      </c>
      <c r="P88" s="273">
        <v>1099670</v>
      </c>
      <c r="Q88" s="273">
        <v>1003154</v>
      </c>
      <c r="R88" s="273">
        <v>1098938</v>
      </c>
      <c r="S88" s="273">
        <v>1130310</v>
      </c>
      <c r="T88" s="273">
        <v>1142159</v>
      </c>
      <c r="U88" s="273">
        <v>1089607</v>
      </c>
      <c r="V88" s="273">
        <v>1165612</v>
      </c>
      <c r="W88" s="273">
        <v>1018050</v>
      </c>
      <c r="X88" s="273">
        <v>1092048</v>
      </c>
    </row>
    <row r="89" spans="1:25" ht="14.25" thickBot="1" x14ac:dyDescent="0.3">
      <c r="A89" s="250" t="s">
        <v>4</v>
      </c>
      <c r="B89" s="274"/>
      <c r="C89" s="274"/>
      <c r="D89" s="275">
        <v>199474</v>
      </c>
      <c r="E89" s="275">
        <v>204479</v>
      </c>
      <c r="F89" s="275">
        <v>209129</v>
      </c>
      <c r="G89" s="275">
        <v>208449</v>
      </c>
      <c r="H89" s="275">
        <v>211391</v>
      </c>
      <c r="I89" s="275">
        <v>205382</v>
      </c>
      <c r="J89" s="275">
        <v>264973</v>
      </c>
      <c r="K89" s="275">
        <v>267321</v>
      </c>
      <c r="L89" s="275">
        <v>297100</v>
      </c>
      <c r="M89" s="275">
        <v>254743</v>
      </c>
      <c r="N89" s="275">
        <v>285553</v>
      </c>
      <c r="O89" s="275">
        <v>267783</v>
      </c>
      <c r="P89" s="275">
        <v>351486</v>
      </c>
      <c r="Q89" s="275">
        <v>342541</v>
      </c>
      <c r="R89" s="275">
        <v>362711</v>
      </c>
      <c r="S89" s="275">
        <v>352787</v>
      </c>
      <c r="T89" s="275">
        <v>369755</v>
      </c>
      <c r="U89" s="275">
        <v>338196</v>
      </c>
      <c r="V89" s="275">
        <v>355197</v>
      </c>
      <c r="W89" s="275">
        <v>284744</v>
      </c>
      <c r="X89" s="275">
        <v>324358</v>
      </c>
    </row>
    <row r="90" spans="1:25" ht="14.25" thickBot="1" x14ac:dyDescent="0.3">
      <c r="A90" s="251" t="s">
        <v>5</v>
      </c>
      <c r="B90" s="68"/>
      <c r="C90" s="68"/>
      <c r="D90" s="68"/>
      <c r="E90" s="273">
        <v>99092</v>
      </c>
      <c r="F90" s="273">
        <v>97961</v>
      </c>
      <c r="G90" s="273">
        <v>101822</v>
      </c>
      <c r="H90" s="273">
        <v>106971</v>
      </c>
      <c r="I90" s="273">
        <v>90098</v>
      </c>
      <c r="J90" s="273">
        <v>141697</v>
      </c>
      <c r="K90" s="273">
        <v>140025</v>
      </c>
      <c r="L90" s="273">
        <v>160450</v>
      </c>
      <c r="M90" s="273">
        <v>127304</v>
      </c>
      <c r="N90" s="273">
        <v>155630</v>
      </c>
      <c r="O90" s="273">
        <v>135587</v>
      </c>
      <c r="P90" s="273">
        <v>210477</v>
      </c>
      <c r="Q90" s="273">
        <v>202861</v>
      </c>
      <c r="R90" s="273">
        <v>231277</v>
      </c>
      <c r="S90" s="273">
        <v>222759</v>
      </c>
      <c r="T90" s="273">
        <v>233693</v>
      </c>
      <c r="U90" s="273">
        <v>192488</v>
      </c>
      <c r="V90" s="273">
        <v>203574</v>
      </c>
      <c r="W90" s="273">
        <v>135896</v>
      </c>
      <c r="X90" s="273">
        <v>165487</v>
      </c>
    </row>
    <row r="91" spans="1:25" ht="14.25" thickBot="1" x14ac:dyDescent="0.3">
      <c r="A91" s="250" t="s">
        <v>6</v>
      </c>
      <c r="B91" s="274"/>
      <c r="C91" s="274"/>
      <c r="D91" s="275">
        <v>95733</v>
      </c>
      <c r="E91" s="275">
        <v>99111</v>
      </c>
      <c r="F91" s="275">
        <v>111879</v>
      </c>
      <c r="G91" s="275">
        <v>120327</v>
      </c>
      <c r="H91" s="275">
        <v>113750</v>
      </c>
      <c r="I91" s="275">
        <v>110814</v>
      </c>
      <c r="J91" s="275">
        <v>166691</v>
      </c>
      <c r="K91" s="275">
        <v>136191</v>
      </c>
      <c r="L91" s="275">
        <v>179920</v>
      </c>
      <c r="M91" s="275">
        <v>141524</v>
      </c>
      <c r="N91" s="275">
        <v>179602</v>
      </c>
      <c r="O91" s="275">
        <v>167817</v>
      </c>
      <c r="P91" s="275">
        <v>252820</v>
      </c>
      <c r="Q91" s="275">
        <v>223861</v>
      </c>
      <c r="R91" s="275">
        <v>237315</v>
      </c>
      <c r="S91" s="275">
        <v>245277</v>
      </c>
      <c r="T91" s="275">
        <v>222811</v>
      </c>
      <c r="U91" s="275">
        <v>224400</v>
      </c>
      <c r="V91" s="275">
        <v>169995</v>
      </c>
      <c r="W91" s="275">
        <v>170943</v>
      </c>
      <c r="X91" s="275">
        <v>195274</v>
      </c>
    </row>
    <row r="92" spans="1:25" ht="14.25" thickBot="1" x14ac:dyDescent="0.3">
      <c r="A92" s="251" t="s">
        <v>7</v>
      </c>
      <c r="B92" s="68"/>
      <c r="C92" s="68"/>
      <c r="D92" s="273">
        <v>72295</v>
      </c>
      <c r="E92" s="273">
        <v>73513</v>
      </c>
      <c r="F92" s="273">
        <v>80882</v>
      </c>
      <c r="G92" s="273">
        <v>82917</v>
      </c>
      <c r="H92" s="273">
        <v>86757</v>
      </c>
      <c r="I92" s="273">
        <v>82579</v>
      </c>
      <c r="J92" s="273">
        <v>127688</v>
      </c>
      <c r="K92" s="273">
        <v>99437</v>
      </c>
      <c r="L92" s="273">
        <v>136565</v>
      </c>
      <c r="M92" s="273">
        <v>122875</v>
      </c>
      <c r="N92" s="273">
        <v>140323</v>
      </c>
      <c r="O92" s="273">
        <v>113043</v>
      </c>
      <c r="P92" s="273">
        <v>194344</v>
      </c>
      <c r="Q92" s="273">
        <v>172333</v>
      </c>
      <c r="R92" s="273">
        <v>180236</v>
      </c>
      <c r="S92" s="273">
        <v>173209</v>
      </c>
      <c r="T92" s="273">
        <v>164214</v>
      </c>
      <c r="U92" s="273">
        <v>170032</v>
      </c>
      <c r="V92" s="273">
        <v>125341</v>
      </c>
      <c r="W92" s="273">
        <v>84664</v>
      </c>
      <c r="X92" s="273">
        <v>148544</v>
      </c>
    </row>
    <row r="93" spans="1:25" ht="26.25" thickBot="1" x14ac:dyDescent="0.3">
      <c r="A93" s="252" t="s">
        <v>8</v>
      </c>
      <c r="B93" s="73"/>
      <c r="C93" s="73"/>
      <c r="D93" s="73" t="s">
        <v>43</v>
      </c>
      <c r="E93" s="73" t="s">
        <v>43</v>
      </c>
      <c r="F93" s="276">
        <v>80882</v>
      </c>
      <c r="G93" s="276">
        <v>82917</v>
      </c>
      <c r="H93" s="276">
        <v>86757</v>
      </c>
      <c r="I93" s="276">
        <v>82579</v>
      </c>
      <c r="J93" s="276">
        <v>127688</v>
      </c>
      <c r="K93" s="276">
        <v>99437</v>
      </c>
      <c r="L93" s="276">
        <v>136565</v>
      </c>
      <c r="M93" s="276">
        <v>122875</v>
      </c>
      <c r="N93" s="276">
        <v>140323</v>
      </c>
      <c r="O93" s="276">
        <v>113043</v>
      </c>
      <c r="P93" s="276">
        <v>194344</v>
      </c>
      <c r="Q93" s="276">
        <v>172333</v>
      </c>
      <c r="R93" s="276">
        <v>180236</v>
      </c>
      <c r="S93" s="276">
        <v>173209</v>
      </c>
      <c r="T93" s="276">
        <v>164214</v>
      </c>
      <c r="U93" s="276">
        <v>170032</v>
      </c>
      <c r="V93" s="276">
        <v>125341</v>
      </c>
      <c r="W93" s="276">
        <v>84664</v>
      </c>
      <c r="X93" s="276">
        <v>148544</v>
      </c>
    </row>
    <row r="94" spans="1:25" x14ac:dyDescent="0.25">
      <c r="A94" s="233" t="s">
        <v>365</v>
      </c>
      <c r="B94" s="253" t="str">
        <f>IF(B91="","",B91-B90)</f>
        <v/>
      </c>
      <c r="C94" s="253" t="str">
        <f>IF(C91="","",C91-C90)</f>
        <v/>
      </c>
      <c r="D94" s="253">
        <f t="shared" ref="D94:Y94" si="9">IF(D91="","",D91-D90)</f>
        <v>95733</v>
      </c>
      <c r="E94" s="253">
        <f t="shared" si="9"/>
        <v>19</v>
      </c>
      <c r="F94" s="253">
        <f t="shared" si="9"/>
        <v>13918</v>
      </c>
      <c r="G94" s="253">
        <f t="shared" si="9"/>
        <v>18505</v>
      </c>
      <c r="H94" s="253">
        <f t="shared" si="9"/>
        <v>6779</v>
      </c>
      <c r="I94" s="253">
        <f t="shared" si="9"/>
        <v>20716</v>
      </c>
      <c r="J94" s="253">
        <f t="shared" si="9"/>
        <v>24994</v>
      </c>
      <c r="K94" s="253">
        <f t="shared" si="9"/>
        <v>-3834</v>
      </c>
      <c r="L94" s="253">
        <f t="shared" si="9"/>
        <v>19470</v>
      </c>
      <c r="M94" s="253">
        <f t="shared" si="9"/>
        <v>14220</v>
      </c>
      <c r="N94" s="253">
        <f t="shared" si="9"/>
        <v>23972</v>
      </c>
      <c r="O94" s="253">
        <f t="shared" si="9"/>
        <v>32230</v>
      </c>
      <c r="P94" s="253">
        <f t="shared" si="9"/>
        <v>42343</v>
      </c>
      <c r="Q94" s="253">
        <f t="shared" si="9"/>
        <v>21000</v>
      </c>
      <c r="R94" s="253">
        <f t="shared" si="9"/>
        <v>6038</v>
      </c>
      <c r="S94" s="253">
        <f t="shared" si="9"/>
        <v>22518</v>
      </c>
      <c r="T94" s="253">
        <f t="shared" si="9"/>
        <v>-10882</v>
      </c>
      <c r="U94" s="253">
        <f t="shared" si="9"/>
        <v>31912</v>
      </c>
      <c r="V94" s="253">
        <f t="shared" si="9"/>
        <v>-33579</v>
      </c>
      <c r="W94" s="253">
        <f t="shared" si="9"/>
        <v>35047</v>
      </c>
      <c r="X94" s="253">
        <f t="shared" si="9"/>
        <v>29787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2875987</v>
      </c>
      <c r="C97" s="273">
        <v>3020479</v>
      </c>
      <c r="D97" s="273">
        <v>3506989</v>
      </c>
      <c r="E97" s="273">
        <v>3944842</v>
      </c>
      <c r="F97" s="273">
        <v>4461014</v>
      </c>
    </row>
    <row r="98" spans="1:24" ht="14.25" thickBot="1" x14ac:dyDescent="0.3">
      <c r="A98" s="225" t="s">
        <v>4</v>
      </c>
      <c r="B98" s="275">
        <v>765110</v>
      </c>
      <c r="C98" s="275">
        <v>834351</v>
      </c>
      <c r="D98" s="275">
        <v>1084137</v>
      </c>
      <c r="E98" s="275">
        <v>1247363</v>
      </c>
      <c r="F98" s="275">
        <v>1423449</v>
      </c>
    </row>
    <row r="99" spans="1:24" ht="14.25" thickBot="1" x14ac:dyDescent="0.3">
      <c r="A99" s="224" t="s">
        <v>5</v>
      </c>
      <c r="B99" s="273">
        <v>337163</v>
      </c>
      <c r="C99" s="273">
        <v>396852</v>
      </c>
      <c r="D99" s="273">
        <v>569476</v>
      </c>
      <c r="E99" s="273">
        <v>704555</v>
      </c>
      <c r="F99" s="273">
        <v>880217</v>
      </c>
    </row>
    <row r="100" spans="1:24" ht="14.25" thickBot="1" x14ac:dyDescent="0.3">
      <c r="A100" s="225" t="s">
        <v>6</v>
      </c>
      <c r="B100" s="275">
        <v>356031</v>
      </c>
      <c r="C100" s="275">
        <v>456770</v>
      </c>
      <c r="D100" s="275">
        <v>624326</v>
      </c>
      <c r="E100" s="275">
        <v>824100</v>
      </c>
      <c r="F100" s="275">
        <v>929803</v>
      </c>
    </row>
    <row r="101" spans="1:24" ht="14.25" thickBot="1" x14ac:dyDescent="0.3">
      <c r="A101" s="224" t="s">
        <v>7</v>
      </c>
      <c r="B101" s="273">
        <v>270491</v>
      </c>
      <c r="C101" s="273">
        <v>333135</v>
      </c>
      <c r="D101" s="273">
        <v>486565</v>
      </c>
      <c r="E101" s="273">
        <v>620043</v>
      </c>
      <c r="F101" s="273">
        <v>687691</v>
      </c>
    </row>
    <row r="102" spans="1:24" ht="14.25" thickBot="1" x14ac:dyDescent="0.3">
      <c r="A102" s="227" t="s">
        <v>8</v>
      </c>
      <c r="B102" s="276">
        <v>270491</v>
      </c>
      <c r="C102" s="276">
        <v>333135</v>
      </c>
      <c r="D102" s="276">
        <v>486565</v>
      </c>
      <c r="E102" s="276">
        <v>620043</v>
      </c>
      <c r="F102" s="276">
        <v>687691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68" t="s">
        <v>43</v>
      </c>
      <c r="C106" s="273">
        <v>246585</v>
      </c>
      <c r="D106" s="273">
        <v>321675</v>
      </c>
      <c r="E106" s="273">
        <v>305763</v>
      </c>
      <c r="F106" s="273">
        <v>369057</v>
      </c>
      <c r="G106" s="273">
        <v>287869</v>
      </c>
      <c r="H106" s="273">
        <v>351891</v>
      </c>
      <c r="I106" s="273">
        <v>493268</v>
      </c>
      <c r="J106" s="273">
        <v>572390</v>
      </c>
      <c r="K106" s="273">
        <v>665963</v>
      </c>
      <c r="L106" s="273">
        <v>473815</v>
      </c>
      <c r="M106" s="273">
        <v>528517</v>
      </c>
      <c r="N106" s="273">
        <v>634819</v>
      </c>
      <c r="O106" s="273">
        <v>727716</v>
      </c>
      <c r="P106" s="273">
        <v>654297</v>
      </c>
      <c r="Q106" s="273">
        <v>943156</v>
      </c>
      <c r="R106" s="273">
        <v>878082</v>
      </c>
      <c r="S106" s="273">
        <v>1013911</v>
      </c>
      <c r="T106" s="273">
        <v>1120426</v>
      </c>
      <c r="U106" s="273">
        <v>1143248</v>
      </c>
      <c r="V106" s="273">
        <v>1144762</v>
      </c>
      <c r="W106" s="273">
        <v>957226</v>
      </c>
      <c r="X106" s="273">
        <v>717795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749</v>
      </c>
      <c r="F107" s="274">
        <v>0</v>
      </c>
      <c r="G107" s="275">
        <v>5771</v>
      </c>
      <c r="H107" s="275">
        <v>4111</v>
      </c>
      <c r="I107" s="275">
        <v>3081</v>
      </c>
      <c r="J107" s="274">
        <v>0</v>
      </c>
      <c r="K107" s="274">
        <v>0</v>
      </c>
      <c r="L107" s="275">
        <v>1673</v>
      </c>
      <c r="M107" s="275">
        <v>45163</v>
      </c>
      <c r="N107" s="275">
        <v>38102</v>
      </c>
      <c r="O107" s="275">
        <v>27141</v>
      </c>
      <c r="P107" s="275">
        <v>46927</v>
      </c>
      <c r="Q107" s="275">
        <v>66001</v>
      </c>
      <c r="R107" s="275">
        <v>61329</v>
      </c>
      <c r="S107" s="275">
        <v>61019</v>
      </c>
      <c r="T107" s="275">
        <v>289914</v>
      </c>
      <c r="U107" s="275">
        <v>274913</v>
      </c>
      <c r="V107" s="275">
        <v>280713</v>
      </c>
      <c r="W107" s="275">
        <v>277892</v>
      </c>
      <c r="X107" s="275">
        <v>253835</v>
      </c>
    </row>
    <row r="108" spans="1:24" ht="14.25" thickBot="1" x14ac:dyDescent="0.3">
      <c r="A108" s="224" t="s">
        <v>263</v>
      </c>
      <c r="B108" s="68">
        <v>0</v>
      </c>
      <c r="C108" s="273">
        <v>487858</v>
      </c>
      <c r="D108" s="68">
        <v>0</v>
      </c>
      <c r="E108" s="273">
        <v>500414</v>
      </c>
      <c r="F108" s="68">
        <v>0</v>
      </c>
      <c r="G108" s="273">
        <v>503836</v>
      </c>
      <c r="H108" s="273">
        <v>563709</v>
      </c>
      <c r="I108" s="273">
        <v>564566</v>
      </c>
      <c r="J108" s="273">
        <v>617636</v>
      </c>
      <c r="K108" s="273">
        <v>575365</v>
      </c>
      <c r="L108" s="273">
        <v>677888</v>
      </c>
      <c r="M108" s="273">
        <v>710178</v>
      </c>
      <c r="N108" s="273">
        <v>655085</v>
      </c>
      <c r="O108" s="273">
        <v>706506</v>
      </c>
      <c r="P108" s="273">
        <v>789908</v>
      </c>
      <c r="Q108" s="273">
        <v>704615</v>
      </c>
      <c r="R108" s="273">
        <v>834762</v>
      </c>
      <c r="S108" s="273">
        <v>792402</v>
      </c>
      <c r="T108" s="273">
        <v>767774</v>
      </c>
      <c r="U108" s="273">
        <v>842441</v>
      </c>
      <c r="V108" s="273">
        <v>891244</v>
      </c>
      <c r="W108" s="273">
        <v>805548</v>
      </c>
      <c r="X108" s="273">
        <v>881760</v>
      </c>
    </row>
    <row r="109" spans="1:24" ht="14.25" thickBot="1" x14ac:dyDescent="0.3">
      <c r="A109" s="225" t="s">
        <v>264</v>
      </c>
      <c r="B109" s="274">
        <v>0</v>
      </c>
      <c r="C109" s="275">
        <v>508908</v>
      </c>
      <c r="D109" s="275">
        <v>560345</v>
      </c>
      <c r="E109" s="275">
        <v>532300</v>
      </c>
      <c r="F109" s="275">
        <v>512798</v>
      </c>
      <c r="G109" s="275">
        <v>575739</v>
      </c>
      <c r="H109" s="275">
        <v>598481</v>
      </c>
      <c r="I109" s="275">
        <v>587365</v>
      </c>
      <c r="J109" s="275">
        <v>544383</v>
      </c>
      <c r="K109" s="275">
        <v>625946</v>
      </c>
      <c r="L109" s="275">
        <v>563422</v>
      </c>
      <c r="M109" s="275">
        <v>643275</v>
      </c>
      <c r="N109" s="275">
        <v>597314</v>
      </c>
      <c r="O109" s="275">
        <v>591189</v>
      </c>
      <c r="P109" s="275">
        <v>634687</v>
      </c>
      <c r="Q109" s="275">
        <v>717554</v>
      </c>
      <c r="R109" s="275">
        <v>727769</v>
      </c>
      <c r="S109" s="275">
        <v>693845</v>
      </c>
      <c r="T109" s="275">
        <v>678547</v>
      </c>
      <c r="U109" s="275">
        <v>702277</v>
      </c>
      <c r="V109" s="275">
        <v>653760</v>
      </c>
      <c r="W109" s="275">
        <v>728998</v>
      </c>
      <c r="X109" s="275">
        <v>688302</v>
      </c>
    </row>
    <row r="110" spans="1:24" ht="14.25" thickBot="1" x14ac:dyDescent="0.3">
      <c r="A110" s="224" t="s">
        <v>23</v>
      </c>
      <c r="B110" s="68" t="s">
        <v>43</v>
      </c>
      <c r="C110" s="273">
        <v>77694</v>
      </c>
      <c r="D110" s="273">
        <v>573312</v>
      </c>
      <c r="E110" s="273">
        <v>68498</v>
      </c>
      <c r="F110" s="273">
        <v>512805</v>
      </c>
      <c r="G110" s="273">
        <v>70057</v>
      </c>
      <c r="H110" s="273">
        <v>63974</v>
      </c>
      <c r="I110" s="273">
        <v>74624</v>
      </c>
      <c r="J110" s="273">
        <v>73423</v>
      </c>
      <c r="K110" s="273">
        <v>64206</v>
      </c>
      <c r="L110" s="273">
        <v>49269</v>
      </c>
      <c r="M110" s="273">
        <v>81247</v>
      </c>
      <c r="N110" s="273">
        <v>94666</v>
      </c>
      <c r="O110" s="273">
        <v>200293</v>
      </c>
      <c r="P110" s="273">
        <v>257349</v>
      </c>
      <c r="Q110" s="273">
        <v>130503</v>
      </c>
      <c r="R110" s="273">
        <v>95800</v>
      </c>
      <c r="S110" s="273">
        <v>98267</v>
      </c>
      <c r="T110" s="273">
        <v>78339</v>
      </c>
      <c r="U110" s="273">
        <v>52884</v>
      </c>
      <c r="V110" s="273">
        <v>82381</v>
      </c>
      <c r="W110" s="273">
        <v>84150</v>
      </c>
      <c r="X110" s="273">
        <v>77359</v>
      </c>
    </row>
    <row r="111" spans="1:24" ht="14.25" thickBot="1" x14ac:dyDescent="0.3">
      <c r="A111" s="225" t="s">
        <v>24</v>
      </c>
      <c r="B111" s="274" t="s">
        <v>43</v>
      </c>
      <c r="C111" s="275">
        <v>1321045</v>
      </c>
      <c r="D111" s="275">
        <v>1455332</v>
      </c>
      <c r="E111" s="275">
        <v>1407724</v>
      </c>
      <c r="F111" s="275">
        <v>1394660</v>
      </c>
      <c r="G111" s="275">
        <v>1443272</v>
      </c>
      <c r="H111" s="275">
        <v>1582166</v>
      </c>
      <c r="I111" s="275">
        <v>1722904</v>
      </c>
      <c r="J111" s="275">
        <v>1807832</v>
      </c>
      <c r="K111" s="275">
        <v>1931480</v>
      </c>
      <c r="L111" s="275">
        <v>1766067</v>
      </c>
      <c r="M111" s="275">
        <v>2008380</v>
      </c>
      <c r="N111" s="275">
        <v>2019986</v>
      </c>
      <c r="O111" s="275">
        <v>2252845</v>
      </c>
      <c r="P111" s="275">
        <v>2383168</v>
      </c>
      <c r="Q111" s="275">
        <v>2561829</v>
      </c>
      <c r="R111" s="275">
        <v>2597742</v>
      </c>
      <c r="S111" s="275">
        <v>2659444</v>
      </c>
      <c r="T111" s="275">
        <v>2935000</v>
      </c>
      <c r="U111" s="275">
        <v>3015763</v>
      </c>
      <c r="V111" s="275">
        <v>3052860</v>
      </c>
      <c r="W111" s="275">
        <v>2853814</v>
      </c>
      <c r="X111" s="275">
        <v>2619051</v>
      </c>
    </row>
    <row r="112" spans="1:24" ht="14.25" thickBot="1" x14ac:dyDescent="0.3">
      <c r="A112" s="224" t="s">
        <v>25</v>
      </c>
      <c r="B112" s="68" t="s">
        <v>43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273">
        <v>25000</v>
      </c>
      <c r="K112" s="273">
        <v>25000</v>
      </c>
      <c r="L112" s="273">
        <v>25000</v>
      </c>
      <c r="M112" s="68">
        <v>0</v>
      </c>
      <c r="N112" s="273">
        <v>140246</v>
      </c>
      <c r="O112" s="273">
        <v>140246</v>
      </c>
      <c r="P112" s="273">
        <v>140246</v>
      </c>
      <c r="Q112" s="273">
        <v>140246</v>
      </c>
      <c r="R112" s="273">
        <v>140246</v>
      </c>
      <c r="S112" s="273">
        <v>140246</v>
      </c>
      <c r="T112" s="273">
        <v>12000</v>
      </c>
      <c r="U112" s="273">
        <v>12000</v>
      </c>
      <c r="V112" s="273">
        <v>12000</v>
      </c>
      <c r="W112" s="273">
        <v>12000</v>
      </c>
      <c r="X112" s="273">
        <v>12000</v>
      </c>
    </row>
    <row r="113" spans="1:24" ht="14.25" thickBot="1" x14ac:dyDescent="0.3">
      <c r="A113" s="225" t="s">
        <v>26</v>
      </c>
      <c r="B113" s="274" t="s">
        <v>43</v>
      </c>
      <c r="C113" s="275">
        <v>966618</v>
      </c>
      <c r="D113" s="275">
        <v>922873</v>
      </c>
      <c r="E113" s="275">
        <v>982079</v>
      </c>
      <c r="F113" s="275">
        <v>968680</v>
      </c>
      <c r="G113" s="275">
        <v>973788</v>
      </c>
      <c r="H113" s="275">
        <v>969567</v>
      </c>
      <c r="I113" s="275">
        <v>974822</v>
      </c>
      <c r="J113" s="275">
        <v>1001971</v>
      </c>
      <c r="K113" s="275">
        <v>988519</v>
      </c>
      <c r="L113" s="275">
        <v>1033247</v>
      </c>
      <c r="M113" s="275">
        <v>1104390</v>
      </c>
      <c r="N113" s="275">
        <v>1126254</v>
      </c>
      <c r="O113" s="275">
        <v>1140570</v>
      </c>
      <c r="P113" s="275">
        <v>1256782</v>
      </c>
      <c r="Q113" s="275">
        <v>1349497</v>
      </c>
      <c r="R113" s="275">
        <v>1376166</v>
      </c>
      <c r="S113" s="275">
        <v>1392249</v>
      </c>
      <c r="T113" s="275">
        <v>1412893</v>
      </c>
      <c r="U113" s="275">
        <v>1584979</v>
      </c>
      <c r="V113" s="275">
        <v>1528998</v>
      </c>
      <c r="W113" s="275">
        <v>1611904</v>
      </c>
      <c r="X113" s="275">
        <v>1624992</v>
      </c>
    </row>
    <row r="114" spans="1:24" ht="14.25" thickBot="1" x14ac:dyDescent="0.3">
      <c r="A114" s="224" t="s">
        <v>27</v>
      </c>
      <c r="B114" s="68" t="s">
        <v>43</v>
      </c>
      <c r="C114" s="273">
        <v>71126</v>
      </c>
      <c r="D114" s="273">
        <v>144770</v>
      </c>
      <c r="E114" s="273">
        <v>81534</v>
      </c>
      <c r="F114" s="273">
        <v>127161</v>
      </c>
      <c r="G114" s="273">
        <v>134891</v>
      </c>
      <c r="H114" s="273">
        <v>139079</v>
      </c>
      <c r="I114" s="273">
        <v>155676</v>
      </c>
      <c r="J114" s="273">
        <v>150540</v>
      </c>
      <c r="K114" s="273">
        <v>164607</v>
      </c>
      <c r="L114" s="273">
        <v>176907</v>
      </c>
      <c r="M114" s="273">
        <v>205367</v>
      </c>
      <c r="N114" s="273">
        <v>203491</v>
      </c>
      <c r="O114" s="273">
        <v>194840</v>
      </c>
      <c r="P114" s="273">
        <v>199462</v>
      </c>
      <c r="Q114" s="273">
        <v>195077</v>
      </c>
      <c r="R114" s="273">
        <v>211456</v>
      </c>
      <c r="S114" s="273">
        <v>242305</v>
      </c>
      <c r="T114" s="273">
        <v>285235</v>
      </c>
      <c r="U114" s="273">
        <v>219315</v>
      </c>
      <c r="V114" s="273">
        <v>285134</v>
      </c>
      <c r="W114" s="273">
        <v>276116</v>
      </c>
      <c r="X114" s="273">
        <v>264893</v>
      </c>
    </row>
    <row r="115" spans="1:24" ht="14.25" thickBot="1" x14ac:dyDescent="0.3">
      <c r="A115" s="225" t="s">
        <v>265</v>
      </c>
      <c r="B115" s="73" t="s">
        <v>43</v>
      </c>
      <c r="C115" s="276">
        <v>2358789</v>
      </c>
      <c r="D115" s="276">
        <v>2522975</v>
      </c>
      <c r="E115" s="276">
        <v>2471337</v>
      </c>
      <c r="F115" s="276">
        <v>2490501</v>
      </c>
      <c r="G115" s="276">
        <v>2551951</v>
      </c>
      <c r="H115" s="276">
        <v>2690812</v>
      </c>
      <c r="I115" s="276">
        <v>2853402</v>
      </c>
      <c r="J115" s="276">
        <v>2985343</v>
      </c>
      <c r="K115" s="276">
        <v>3109606</v>
      </c>
      <c r="L115" s="276">
        <v>3001221</v>
      </c>
      <c r="M115" s="276">
        <v>3318137</v>
      </c>
      <c r="N115" s="276">
        <v>3489977</v>
      </c>
      <c r="O115" s="276">
        <v>3728501</v>
      </c>
      <c r="P115" s="276">
        <v>3979658</v>
      </c>
      <c r="Q115" s="276">
        <v>4246649</v>
      </c>
      <c r="R115" s="276">
        <v>4325610</v>
      </c>
      <c r="S115" s="276">
        <v>4434244</v>
      </c>
      <c r="T115" s="276">
        <v>4645128</v>
      </c>
      <c r="U115" s="276">
        <v>4832057</v>
      </c>
      <c r="V115" s="276">
        <v>4878992</v>
      </c>
      <c r="W115" s="276">
        <v>4753834</v>
      </c>
      <c r="X115" s="276">
        <v>4520936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273">
        <v>140000</v>
      </c>
      <c r="D118" s="273">
        <v>76167</v>
      </c>
      <c r="E118" s="273">
        <v>125492</v>
      </c>
      <c r="F118" s="273">
        <v>177571</v>
      </c>
      <c r="G118" s="273">
        <v>300000</v>
      </c>
      <c r="H118" s="273">
        <v>300000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273">
        <v>150000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273">
        <v>330000</v>
      </c>
      <c r="U118" s="273">
        <v>270000</v>
      </c>
      <c r="V118" s="273">
        <v>270000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68">
        <v>0</v>
      </c>
      <c r="C120" s="273">
        <v>193589</v>
      </c>
      <c r="D120" s="68">
        <v>0</v>
      </c>
      <c r="E120" s="273">
        <v>165649</v>
      </c>
      <c r="F120" s="68">
        <v>0</v>
      </c>
      <c r="G120" s="273">
        <v>162731</v>
      </c>
      <c r="H120" s="273">
        <v>213688</v>
      </c>
      <c r="I120" s="273">
        <v>182722</v>
      </c>
      <c r="J120" s="273">
        <v>166272</v>
      </c>
      <c r="K120" s="273">
        <v>206683</v>
      </c>
      <c r="L120" s="273">
        <v>183505</v>
      </c>
      <c r="M120" s="273">
        <v>201544</v>
      </c>
      <c r="N120" s="273">
        <v>203002</v>
      </c>
      <c r="O120" s="273">
        <v>175823</v>
      </c>
      <c r="P120" s="273">
        <v>227885</v>
      </c>
      <c r="Q120" s="273">
        <v>288973</v>
      </c>
      <c r="R120" s="273">
        <v>252216</v>
      </c>
      <c r="S120" s="273">
        <v>236689</v>
      </c>
      <c r="T120" s="273">
        <v>225806</v>
      </c>
      <c r="U120" s="273">
        <v>263615</v>
      </c>
      <c r="V120" s="273">
        <v>280640</v>
      </c>
      <c r="W120" s="273">
        <v>256587</v>
      </c>
      <c r="X120" s="273">
        <v>218270</v>
      </c>
    </row>
    <row r="121" spans="1:24" ht="14.25" thickBot="1" x14ac:dyDescent="0.3">
      <c r="A121" s="225" t="s">
        <v>267</v>
      </c>
      <c r="B121" s="274">
        <v>0</v>
      </c>
      <c r="C121" s="275">
        <v>17839</v>
      </c>
      <c r="D121" s="274">
        <v>0</v>
      </c>
      <c r="E121" s="275">
        <v>9800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4">
        <v>0</v>
      </c>
      <c r="C123" s="275">
        <v>670501</v>
      </c>
      <c r="D123" s="275">
        <v>881656</v>
      </c>
      <c r="E123" s="275">
        <v>220034</v>
      </c>
      <c r="F123" s="275">
        <v>346861</v>
      </c>
      <c r="G123" s="275">
        <v>351608</v>
      </c>
      <c r="H123" s="275">
        <v>351560</v>
      </c>
      <c r="I123" s="275">
        <v>246466</v>
      </c>
      <c r="J123" s="275">
        <v>243029</v>
      </c>
      <c r="K123" s="275">
        <v>504137</v>
      </c>
      <c r="L123" s="275">
        <v>263543</v>
      </c>
      <c r="M123" s="275">
        <v>348151</v>
      </c>
      <c r="N123" s="275">
        <v>290492</v>
      </c>
      <c r="O123" s="275">
        <v>551132</v>
      </c>
      <c r="P123" s="275">
        <v>269041</v>
      </c>
      <c r="Q123" s="275">
        <v>329801</v>
      </c>
      <c r="R123" s="275">
        <v>305914</v>
      </c>
      <c r="S123" s="275">
        <v>622056</v>
      </c>
      <c r="T123" s="275">
        <v>307471</v>
      </c>
      <c r="U123" s="275">
        <v>363500</v>
      </c>
      <c r="V123" s="275">
        <v>351767</v>
      </c>
      <c r="W123" s="275">
        <v>726892</v>
      </c>
      <c r="X123" s="275">
        <v>347823</v>
      </c>
    </row>
    <row r="124" spans="1:24" ht="14.25" thickBot="1" x14ac:dyDescent="0.3">
      <c r="A124" s="224" t="s">
        <v>268</v>
      </c>
      <c r="B124" s="68">
        <v>0</v>
      </c>
      <c r="C124" s="273">
        <v>1021929</v>
      </c>
      <c r="D124" s="273">
        <v>957823</v>
      </c>
      <c r="E124" s="273">
        <v>520975</v>
      </c>
      <c r="F124" s="273">
        <v>524432</v>
      </c>
      <c r="G124" s="273">
        <v>814339</v>
      </c>
      <c r="H124" s="273">
        <v>865248</v>
      </c>
      <c r="I124" s="273">
        <v>429188</v>
      </c>
      <c r="J124" s="273">
        <v>409301</v>
      </c>
      <c r="K124" s="273">
        <v>710820</v>
      </c>
      <c r="L124" s="273">
        <v>447048</v>
      </c>
      <c r="M124" s="273">
        <v>549695</v>
      </c>
      <c r="N124" s="273">
        <v>643494</v>
      </c>
      <c r="O124" s="273">
        <v>726955</v>
      </c>
      <c r="P124" s="273">
        <v>496926</v>
      </c>
      <c r="Q124" s="273">
        <v>618774</v>
      </c>
      <c r="R124" s="273">
        <v>558130</v>
      </c>
      <c r="S124" s="273">
        <v>858745</v>
      </c>
      <c r="T124" s="273">
        <v>863277</v>
      </c>
      <c r="U124" s="273">
        <v>897115</v>
      </c>
      <c r="V124" s="273">
        <v>902407</v>
      </c>
      <c r="W124" s="273">
        <v>983479</v>
      </c>
      <c r="X124" s="273">
        <v>566093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5">
        <v>104282</v>
      </c>
      <c r="E125" s="275">
        <v>300000</v>
      </c>
      <c r="F125" s="275">
        <v>326312</v>
      </c>
      <c r="G125" s="275">
        <v>137376</v>
      </c>
      <c r="H125" s="275">
        <v>141239</v>
      </c>
      <c r="I125" s="275">
        <v>131103</v>
      </c>
      <c r="J125" s="275">
        <v>140704</v>
      </c>
      <c r="K125" s="275">
        <v>137838</v>
      </c>
      <c r="L125" s="275">
        <v>151777</v>
      </c>
      <c r="M125" s="275">
        <v>171338</v>
      </c>
      <c r="N125" s="275">
        <v>172884</v>
      </c>
      <c r="O125" s="275">
        <v>462056</v>
      </c>
      <c r="P125" s="275">
        <v>446158</v>
      </c>
      <c r="Q125" s="275">
        <v>291710</v>
      </c>
      <c r="R125" s="275">
        <v>231660</v>
      </c>
      <c r="S125" s="275">
        <v>231617</v>
      </c>
      <c r="T125" s="275">
        <v>248176</v>
      </c>
      <c r="U125" s="275">
        <v>277092</v>
      </c>
      <c r="V125" s="275">
        <v>293652</v>
      </c>
      <c r="W125" s="275">
        <v>307244</v>
      </c>
      <c r="X125" s="275">
        <v>331206</v>
      </c>
    </row>
    <row r="126" spans="1:24" ht="14.25" thickBot="1" x14ac:dyDescent="0.3">
      <c r="A126" s="224" t="s">
        <v>33</v>
      </c>
      <c r="B126" s="68">
        <v>0</v>
      </c>
      <c r="C126" s="273">
        <v>67546</v>
      </c>
      <c r="D126" s="68">
        <v>0</v>
      </c>
      <c r="E126" s="273">
        <v>79374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4">
        <v>0</v>
      </c>
      <c r="C127" s="275">
        <v>1089475</v>
      </c>
      <c r="D127" s="275">
        <v>1062105</v>
      </c>
      <c r="E127" s="275">
        <v>900349</v>
      </c>
      <c r="F127" s="275">
        <v>850744</v>
      </c>
      <c r="G127" s="275">
        <v>951715</v>
      </c>
      <c r="H127" s="275">
        <v>1006487</v>
      </c>
      <c r="I127" s="275">
        <v>560291</v>
      </c>
      <c r="J127" s="275">
        <v>550005</v>
      </c>
      <c r="K127" s="275">
        <v>848658</v>
      </c>
      <c r="L127" s="275">
        <v>598825</v>
      </c>
      <c r="M127" s="275">
        <v>721033</v>
      </c>
      <c r="N127" s="275">
        <v>816378</v>
      </c>
      <c r="O127" s="275">
        <v>1189011</v>
      </c>
      <c r="P127" s="275">
        <v>943084</v>
      </c>
      <c r="Q127" s="275">
        <v>910484</v>
      </c>
      <c r="R127" s="275">
        <v>789790</v>
      </c>
      <c r="S127" s="275">
        <v>1090362</v>
      </c>
      <c r="T127" s="275">
        <v>1111453</v>
      </c>
      <c r="U127" s="275">
        <v>1174207</v>
      </c>
      <c r="V127" s="275">
        <v>1196059</v>
      </c>
      <c r="W127" s="275">
        <v>1290723</v>
      </c>
      <c r="X127" s="275">
        <v>897299</v>
      </c>
    </row>
    <row r="128" spans="1:24" ht="14.25" thickBot="1" x14ac:dyDescent="0.3">
      <c r="A128" s="224" t="s">
        <v>34</v>
      </c>
      <c r="B128" s="68" t="s">
        <v>43</v>
      </c>
      <c r="C128" s="273">
        <v>1269314</v>
      </c>
      <c r="D128" s="273">
        <v>1460870</v>
      </c>
      <c r="E128" s="273">
        <v>1570988</v>
      </c>
      <c r="F128" s="273">
        <v>1639757</v>
      </c>
      <c r="G128" s="273">
        <v>1600236</v>
      </c>
      <c r="H128" s="273">
        <v>1684325</v>
      </c>
      <c r="I128" s="273">
        <v>2293111</v>
      </c>
      <c r="J128" s="273">
        <v>2435338</v>
      </c>
      <c r="K128" s="273">
        <v>2260948</v>
      </c>
      <c r="L128" s="273">
        <v>2402396</v>
      </c>
      <c r="M128" s="273">
        <v>2597104</v>
      </c>
      <c r="N128" s="273">
        <v>2673599</v>
      </c>
      <c r="O128" s="273">
        <v>2539490</v>
      </c>
      <c r="P128" s="273">
        <v>3036574</v>
      </c>
      <c r="Q128" s="273">
        <v>3336165</v>
      </c>
      <c r="R128" s="273">
        <v>3535820</v>
      </c>
      <c r="S128" s="273">
        <v>3343882</v>
      </c>
      <c r="T128" s="273">
        <v>3533675</v>
      </c>
      <c r="U128" s="273">
        <v>3657850</v>
      </c>
      <c r="V128" s="273">
        <v>3682933</v>
      </c>
      <c r="W128" s="273">
        <v>3463111</v>
      </c>
      <c r="X128" s="273">
        <v>3623637</v>
      </c>
    </row>
    <row r="129" spans="1:24" ht="14.25" thickBot="1" x14ac:dyDescent="0.3">
      <c r="A129" s="225" t="s">
        <v>35</v>
      </c>
      <c r="B129" s="73" t="s">
        <v>43</v>
      </c>
      <c r="C129" s="276">
        <v>2358789</v>
      </c>
      <c r="D129" s="276">
        <v>2522975</v>
      </c>
      <c r="E129" s="276">
        <v>2471337</v>
      </c>
      <c r="F129" s="276">
        <v>2490501</v>
      </c>
      <c r="G129" s="276">
        <v>2551951</v>
      </c>
      <c r="H129" s="276">
        <v>2690812</v>
      </c>
      <c r="I129" s="276">
        <v>2853402</v>
      </c>
      <c r="J129" s="276">
        <v>2985343</v>
      </c>
      <c r="K129" s="276">
        <v>3109606</v>
      </c>
      <c r="L129" s="276">
        <v>3001221</v>
      </c>
      <c r="M129" s="276">
        <v>3318137</v>
      </c>
      <c r="N129" s="276">
        <v>3489977</v>
      </c>
      <c r="O129" s="276">
        <v>3728501</v>
      </c>
      <c r="P129" s="276">
        <v>3979658</v>
      </c>
      <c r="Q129" s="276">
        <v>4246649</v>
      </c>
      <c r="R129" s="276">
        <v>4325610</v>
      </c>
      <c r="S129" s="276">
        <v>4434244</v>
      </c>
      <c r="T129" s="276">
        <v>4645128</v>
      </c>
      <c r="U129" s="276">
        <v>4832057</v>
      </c>
      <c r="V129" s="276">
        <v>4878992</v>
      </c>
      <c r="W129" s="276">
        <v>4753834</v>
      </c>
      <c r="X129" s="276">
        <v>4520936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</v>
      </c>
      <c r="C132" s="68">
        <v>5.46</v>
      </c>
      <c r="D132" s="68">
        <v>7.27</v>
      </c>
      <c r="E132" s="68">
        <v>10.67</v>
      </c>
      <c r="F132" s="68">
        <v>10.25</v>
      </c>
    </row>
    <row r="133" spans="1:24" ht="14.25" thickBot="1" x14ac:dyDescent="0.3">
      <c r="A133" s="225" t="s">
        <v>37</v>
      </c>
      <c r="B133" s="274">
        <v>-2.19</v>
      </c>
      <c r="C133" s="274">
        <v>-1.92</v>
      </c>
      <c r="D133" s="274">
        <v>-3.4</v>
      </c>
      <c r="E133" s="274">
        <v>-8.09</v>
      </c>
      <c r="F133" s="274">
        <v>-5.38</v>
      </c>
    </row>
    <row r="134" spans="1:24" ht="14.25" thickBot="1" x14ac:dyDescent="0.3">
      <c r="A134" s="224" t="s">
        <v>38</v>
      </c>
      <c r="B134" s="68">
        <v>-0.46</v>
      </c>
      <c r="C134" s="68">
        <v>-1.24</v>
      </c>
      <c r="D134" s="68">
        <v>-3.49</v>
      </c>
      <c r="E134" s="68">
        <v>3.57</v>
      </c>
      <c r="F134" s="68">
        <v>-0.9</v>
      </c>
    </row>
    <row r="135" spans="1:24" ht="14.25" thickBot="1" x14ac:dyDescent="0.3">
      <c r="A135" s="225" t="s">
        <v>270</v>
      </c>
      <c r="B135" s="274">
        <v>1.81</v>
      </c>
      <c r="C135" s="274">
        <v>3.55</v>
      </c>
      <c r="D135" s="274">
        <v>3.87</v>
      </c>
      <c r="E135" s="274">
        <v>2.58</v>
      </c>
      <c r="F135" s="274">
        <v>4.88</v>
      </c>
    </row>
    <row r="136" spans="1:24" ht="14.25" thickBot="1" x14ac:dyDescent="0.3">
      <c r="A136" s="229" t="s">
        <v>39</v>
      </c>
      <c r="B136" s="72">
        <v>1.35</v>
      </c>
      <c r="C136" s="72">
        <v>2.2999999999999998</v>
      </c>
      <c r="D136" s="72">
        <v>0.38</v>
      </c>
      <c r="E136" s="72">
        <v>6.15</v>
      </c>
      <c r="F136" s="72">
        <v>3.97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2.2000000000000002</v>
      </c>
      <c r="C140" s="68">
        <v>3.5</v>
      </c>
      <c r="D140" s="68">
        <v>3.5</v>
      </c>
      <c r="E140" s="68">
        <v>4.47</v>
      </c>
      <c r="F140" s="68">
        <v>4.75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 t="e">
        <f>B140/(HLOOKUP(B139*10+1,81:82,2,FALSE)+HLOOKUP(B139*10+2,81:82,2,FALSE)+HLOOKUP(B139*10+3,81:82,2,FALSE)+HLOOKUP(B139*10+4,81:82,2,FALSE))</f>
        <v>#VALUE!</v>
      </c>
      <c r="C142" s="234">
        <f>IF(C140&lt;&gt;"無",IF(ISNA(HLOOKUP(C139,$B$64:$F$69,6,FALSE)),"",C140/HLOOKUP(C139,$B$64:$F$69,6,FALSE)),"")</f>
        <v>0.68493150684931503</v>
      </c>
      <c r="D142" s="234">
        <f>IF(D140&lt;&gt;"無",IF(ISNA(HLOOKUP(D139,$B$64:$F$69,6,FALSE)),"",D140/HLOOKUP(D139,$B$64:$F$69,6,FALSE)),"")</f>
        <v>0.51622418879056042</v>
      </c>
      <c r="E142" s="234">
        <f>IF(E140&lt;&gt;"無",IF(ISNA(HLOOKUP(E139,$B$64:$F$69,6,FALSE)),"",E140/HLOOKUP(E139,$B$64:$F$69,6,FALSE)),"")</f>
        <v>0.51916376306620204</v>
      </c>
      <c r="F142" s="234">
        <f>IF(F140&lt;&gt;"無",IF(ISNA(HLOOKUP(F139,$B$64:$F$69,6,FALSE)),"",F140/HLOOKUP(F139,$B$64:$F$69,6,FALSE)),"")</f>
        <v>0.52197802197802201</v>
      </c>
    </row>
    <row r="143" spans="1:24" x14ac:dyDescent="0.25">
      <c r="A143" s="233" t="s">
        <v>216</v>
      </c>
      <c r="B143" s="234">
        <f>IF(OR(B140=0,B140="無"),"",B135/B140)</f>
        <v>0.82272727272727264</v>
      </c>
      <c r="C143" s="234">
        <f>IF(OR(C140=0,C140="無"),"",C135/C140)</f>
        <v>1.0142857142857142</v>
      </c>
      <c r="D143" s="234">
        <f>IF(OR(D140=0,D140="無"),"",D135/D140)</f>
        <v>1.1057142857142856</v>
      </c>
      <c r="E143" s="234">
        <f>IF(OR(E140=0,E140="無"),"",E135/E140)</f>
        <v>0.57718120805369133</v>
      </c>
      <c r="F143" s="234">
        <f>IF(OR(F140=0,F140="無"),"",F135/F140)</f>
        <v>1.0273684210526315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 t="s">
        <v>43</v>
      </c>
      <c r="C146" s="68" t="s">
        <v>43</v>
      </c>
      <c r="D146" s="68" t="s">
        <v>43</v>
      </c>
      <c r="E146" s="68" t="s">
        <v>43</v>
      </c>
      <c r="F146" s="68">
        <v>27.49</v>
      </c>
      <c r="G146" s="68">
        <v>29.01</v>
      </c>
      <c r="H146" s="68">
        <v>26.04</v>
      </c>
      <c r="I146" s="68">
        <v>28.16</v>
      </c>
      <c r="J146" s="68">
        <v>30.04</v>
      </c>
      <c r="K146" s="68">
        <v>33.04</v>
      </c>
      <c r="L146" s="68">
        <v>30.02</v>
      </c>
      <c r="M146" s="68">
        <v>30.83</v>
      </c>
      <c r="N146" s="68">
        <v>30.37</v>
      </c>
      <c r="O146" s="68">
        <v>29.69</v>
      </c>
      <c r="P146" s="68">
        <v>31.96</v>
      </c>
      <c r="Q146" s="68">
        <v>34.15</v>
      </c>
      <c r="R146" s="68">
        <v>33.01</v>
      </c>
      <c r="S146" s="68">
        <v>31.21</v>
      </c>
      <c r="T146" s="68">
        <v>32.369999999999997</v>
      </c>
      <c r="U146" s="68">
        <v>31.04</v>
      </c>
      <c r="V146" s="68">
        <v>30.47</v>
      </c>
      <c r="W146" s="68">
        <v>27.97</v>
      </c>
      <c r="X146" s="68">
        <v>29.7</v>
      </c>
    </row>
    <row r="147" spans="1:24" s="93" customFormat="1" ht="14.25" thickBot="1" x14ac:dyDescent="0.3">
      <c r="A147" s="225" t="s">
        <v>19</v>
      </c>
      <c r="B147" s="274" t="s">
        <v>43</v>
      </c>
      <c r="C147" s="274" t="s">
        <v>43</v>
      </c>
      <c r="D147" s="274" t="s">
        <v>43</v>
      </c>
      <c r="E147" s="274" t="s">
        <v>43</v>
      </c>
      <c r="F147" s="274">
        <v>12.88</v>
      </c>
      <c r="G147" s="274">
        <v>14.17</v>
      </c>
      <c r="H147" s="274">
        <v>13.18</v>
      </c>
      <c r="I147" s="274">
        <v>12.35</v>
      </c>
      <c r="J147" s="274">
        <v>16.07</v>
      </c>
      <c r="K147" s="274">
        <v>17.309999999999999</v>
      </c>
      <c r="L147" s="274">
        <v>16.21</v>
      </c>
      <c r="M147" s="274">
        <v>15.4</v>
      </c>
      <c r="N147" s="274">
        <v>16.55</v>
      </c>
      <c r="O147" s="274">
        <v>15.03</v>
      </c>
      <c r="P147" s="274">
        <v>19.14</v>
      </c>
      <c r="Q147" s="274">
        <v>20.22</v>
      </c>
      <c r="R147" s="274">
        <v>21.05</v>
      </c>
      <c r="S147" s="274">
        <v>19.71</v>
      </c>
      <c r="T147" s="274">
        <v>20.46</v>
      </c>
      <c r="U147" s="274">
        <v>17.670000000000002</v>
      </c>
      <c r="V147" s="274">
        <v>17.47</v>
      </c>
      <c r="W147" s="274">
        <v>13.35</v>
      </c>
      <c r="X147" s="274">
        <v>15.15</v>
      </c>
    </row>
    <row r="148" spans="1:24" s="93" customFormat="1" ht="14.25" thickBot="1" x14ac:dyDescent="0.3">
      <c r="A148" s="224" t="s">
        <v>41</v>
      </c>
      <c r="B148" s="68" t="s">
        <v>43</v>
      </c>
      <c r="C148" s="68" t="s">
        <v>43</v>
      </c>
      <c r="D148" s="68" t="s">
        <v>43</v>
      </c>
      <c r="E148" s="68" t="s">
        <v>43</v>
      </c>
      <c r="F148" s="68">
        <v>14.71</v>
      </c>
      <c r="G148" s="68">
        <v>16.739999999999998</v>
      </c>
      <c r="H148" s="68">
        <v>14.01</v>
      </c>
      <c r="I148" s="68">
        <v>15.2</v>
      </c>
      <c r="J148" s="68">
        <v>18.899999999999999</v>
      </c>
      <c r="K148" s="68">
        <v>16.829999999999998</v>
      </c>
      <c r="L148" s="68">
        <v>18.18</v>
      </c>
      <c r="M148" s="68">
        <v>17.13</v>
      </c>
      <c r="N148" s="68">
        <v>19.100000000000001</v>
      </c>
      <c r="O148" s="68">
        <v>18.61</v>
      </c>
      <c r="P148" s="68">
        <v>22.99</v>
      </c>
      <c r="Q148" s="68">
        <v>22.32</v>
      </c>
      <c r="R148" s="68">
        <v>21.59</v>
      </c>
      <c r="S148" s="68">
        <v>21.7</v>
      </c>
      <c r="T148" s="68">
        <v>19.510000000000002</v>
      </c>
      <c r="U148" s="68">
        <v>20.59</v>
      </c>
      <c r="V148" s="68">
        <v>14.58</v>
      </c>
      <c r="W148" s="68">
        <v>16.79</v>
      </c>
      <c r="X148" s="68">
        <v>17.88</v>
      </c>
    </row>
    <row r="149" spans="1:24" s="93" customFormat="1" ht="14.25" thickBot="1" x14ac:dyDescent="0.3">
      <c r="A149" s="225" t="s">
        <v>13</v>
      </c>
      <c r="B149" s="73" t="s">
        <v>43</v>
      </c>
      <c r="C149" s="73" t="s">
        <v>43</v>
      </c>
      <c r="D149" s="73" t="s">
        <v>43</v>
      </c>
      <c r="E149" s="73" t="s">
        <v>43</v>
      </c>
      <c r="F149" s="73">
        <v>10.63</v>
      </c>
      <c r="G149" s="73">
        <v>11.54</v>
      </c>
      <c r="H149" s="73">
        <v>10.69</v>
      </c>
      <c r="I149" s="73">
        <v>11.32</v>
      </c>
      <c r="J149" s="73">
        <v>14.48</v>
      </c>
      <c r="K149" s="73">
        <v>12.29</v>
      </c>
      <c r="L149" s="73">
        <v>13.8</v>
      </c>
      <c r="M149" s="73">
        <v>14.87</v>
      </c>
      <c r="N149" s="73">
        <v>14.93</v>
      </c>
      <c r="O149" s="73">
        <v>12.53</v>
      </c>
      <c r="P149" s="73">
        <v>17.670000000000002</v>
      </c>
      <c r="Q149" s="73">
        <v>17.18</v>
      </c>
      <c r="R149" s="73">
        <v>16.399999999999999</v>
      </c>
      <c r="S149" s="73">
        <v>15.32</v>
      </c>
      <c r="T149" s="73">
        <v>14.38</v>
      </c>
      <c r="U149" s="73">
        <v>15.6</v>
      </c>
      <c r="V149" s="73">
        <v>10.75</v>
      </c>
      <c r="W149" s="73">
        <v>8.32</v>
      </c>
      <c r="X149" s="73">
        <v>13.6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26.6</v>
      </c>
      <c r="C152" s="68">
        <v>27.62</v>
      </c>
      <c r="D152" s="68">
        <v>30.91</v>
      </c>
      <c r="E152" s="68">
        <v>31.62</v>
      </c>
      <c r="F152" s="68">
        <v>31.91</v>
      </c>
    </row>
    <row r="153" spans="1:24" s="93" customFormat="1" ht="14.25" thickBot="1" x14ac:dyDescent="0.3">
      <c r="A153" s="225" t="s">
        <v>19</v>
      </c>
      <c r="B153" s="274">
        <v>11.72</v>
      </c>
      <c r="C153" s="274">
        <v>13.14</v>
      </c>
      <c r="D153" s="274">
        <v>16.239999999999998</v>
      </c>
      <c r="E153" s="274">
        <v>17.86</v>
      </c>
      <c r="F153" s="274">
        <v>19.73</v>
      </c>
    </row>
    <row r="154" spans="1:24" s="93" customFormat="1" ht="14.25" thickBot="1" x14ac:dyDescent="0.3">
      <c r="A154" s="224" t="s">
        <v>41</v>
      </c>
      <c r="B154" s="68">
        <v>12.38</v>
      </c>
      <c r="C154" s="68">
        <v>15.12</v>
      </c>
      <c r="D154" s="68">
        <v>17.8</v>
      </c>
      <c r="E154" s="68">
        <v>20.89</v>
      </c>
      <c r="F154" s="68">
        <v>20.84</v>
      </c>
    </row>
    <row r="155" spans="1:24" s="93" customFormat="1" ht="14.25" thickBot="1" x14ac:dyDescent="0.3">
      <c r="A155" s="225" t="s">
        <v>13</v>
      </c>
      <c r="B155" s="73">
        <v>9.41</v>
      </c>
      <c r="C155" s="73">
        <v>11.03</v>
      </c>
      <c r="D155" s="73">
        <v>13.87</v>
      </c>
      <c r="E155" s="73">
        <v>15.72</v>
      </c>
      <c r="F155" s="73">
        <v>15.42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 t="s">
        <v>43</v>
      </c>
      <c r="C158" s="68" t="s">
        <v>43</v>
      </c>
      <c r="D158" s="68" t="s">
        <v>43</v>
      </c>
      <c r="E158" s="68" t="s">
        <v>43</v>
      </c>
      <c r="F158" s="68">
        <v>3.26</v>
      </c>
      <c r="G158" s="68">
        <v>3.29</v>
      </c>
      <c r="H158" s="68">
        <v>3.35</v>
      </c>
      <c r="I158" s="68">
        <v>3.01</v>
      </c>
      <c r="J158" s="68">
        <v>4.37</v>
      </c>
      <c r="K158" s="68">
        <v>3.26</v>
      </c>
      <c r="L158" s="68">
        <v>4.47</v>
      </c>
      <c r="M158" s="68">
        <v>3.89</v>
      </c>
      <c r="N158" s="68">
        <v>4.12</v>
      </c>
      <c r="O158" s="68">
        <v>3.14</v>
      </c>
      <c r="P158" s="68">
        <v>5.09</v>
      </c>
      <c r="Q158" s="68">
        <v>4.2</v>
      </c>
      <c r="R158" s="68">
        <v>4.21</v>
      </c>
      <c r="S158" s="68">
        <v>3.96</v>
      </c>
      <c r="T158" s="68">
        <v>3.62</v>
      </c>
      <c r="U158" s="68">
        <v>3.6</v>
      </c>
      <c r="V158" s="68">
        <v>2.59</v>
      </c>
      <c r="W158" s="68">
        <v>1.76</v>
      </c>
      <c r="X158" s="68">
        <v>3.2</v>
      </c>
    </row>
    <row r="159" spans="1:24" s="93" customFormat="1" ht="14.25" thickBot="1" x14ac:dyDescent="0.3">
      <c r="A159" s="225" t="s">
        <v>45</v>
      </c>
      <c r="B159" s="73" t="s">
        <v>43</v>
      </c>
      <c r="C159" s="73" t="s">
        <v>43</v>
      </c>
      <c r="D159" s="73" t="s">
        <v>43</v>
      </c>
      <c r="E159" s="73" t="s">
        <v>43</v>
      </c>
      <c r="F159" s="73">
        <v>5.04</v>
      </c>
      <c r="G159" s="73">
        <v>5.12</v>
      </c>
      <c r="H159" s="73">
        <v>5.28</v>
      </c>
      <c r="I159" s="73">
        <v>4.1500000000000004</v>
      </c>
      <c r="J159" s="73">
        <v>5.4</v>
      </c>
      <c r="K159" s="73">
        <v>4.2300000000000004</v>
      </c>
      <c r="L159" s="73">
        <v>5.86</v>
      </c>
      <c r="M159" s="73">
        <v>4.92</v>
      </c>
      <c r="N159" s="73">
        <v>5.32</v>
      </c>
      <c r="O159" s="73">
        <v>4.34</v>
      </c>
      <c r="P159" s="73">
        <v>6.97</v>
      </c>
      <c r="Q159" s="73">
        <v>5.41</v>
      </c>
      <c r="R159" s="73">
        <v>5.25</v>
      </c>
      <c r="S159" s="73">
        <v>5.04</v>
      </c>
      <c r="T159" s="73">
        <v>4.78</v>
      </c>
      <c r="U159" s="73">
        <v>4.7300000000000004</v>
      </c>
      <c r="V159" s="73">
        <v>3.41</v>
      </c>
      <c r="W159" s="73">
        <v>2.37</v>
      </c>
      <c r="X159" s="73">
        <v>4.1900000000000004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9.41</v>
      </c>
      <c r="C162" s="68">
        <v>11.03</v>
      </c>
      <c r="D162" s="68">
        <v>13.87</v>
      </c>
      <c r="E162" s="68">
        <v>15.72</v>
      </c>
      <c r="F162" s="68">
        <v>15.42</v>
      </c>
    </row>
    <row r="163" spans="1:72" s="93" customFormat="1" ht="14.25" thickBot="1" x14ac:dyDescent="0.3">
      <c r="A163" s="225" t="s">
        <v>18</v>
      </c>
      <c r="B163" s="274">
        <v>1.1599999999999999</v>
      </c>
      <c r="C163" s="274">
        <v>1.06</v>
      </c>
      <c r="D163" s="274">
        <v>1.06</v>
      </c>
      <c r="E163" s="274">
        <v>0.93</v>
      </c>
      <c r="F163" s="274">
        <v>0.92</v>
      </c>
    </row>
    <row r="164" spans="1:72" s="93" customFormat="1" ht="14.25" thickBot="1" x14ac:dyDescent="0.3">
      <c r="A164" s="224" t="s">
        <v>15</v>
      </c>
      <c r="B164" s="68">
        <v>1.57</v>
      </c>
      <c r="C164" s="68">
        <v>1.24</v>
      </c>
      <c r="D164" s="68">
        <v>1.28</v>
      </c>
      <c r="E164" s="68">
        <v>1.27</v>
      </c>
      <c r="F164" s="68">
        <v>1.32</v>
      </c>
    </row>
    <row r="165" spans="1:72" s="93" customFormat="1" ht="14.25" thickBot="1" x14ac:dyDescent="0.3">
      <c r="A165" s="225" t="s">
        <v>45</v>
      </c>
      <c r="B165" s="73">
        <v>16.77</v>
      </c>
      <c r="C165" s="73">
        <v>17.239999999999998</v>
      </c>
      <c r="D165" s="73">
        <v>19.899999999999999</v>
      </c>
      <c r="E165" s="73">
        <v>20.9</v>
      </c>
      <c r="F165" s="73">
        <v>19.670000000000002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 t="s">
        <v>43</v>
      </c>
      <c r="C168" s="68" t="s">
        <v>43</v>
      </c>
      <c r="D168" s="68" t="s">
        <v>43</v>
      </c>
      <c r="E168" s="68" t="s">
        <v>43</v>
      </c>
      <c r="F168" s="68">
        <v>29.61</v>
      </c>
      <c r="G168" s="68">
        <v>31.58</v>
      </c>
      <c r="H168" s="68">
        <v>59.21</v>
      </c>
      <c r="I168" s="68">
        <v>69.77</v>
      </c>
      <c r="J168" s="68">
        <v>60.4</v>
      </c>
      <c r="K168" s="68">
        <v>66.180000000000007</v>
      </c>
      <c r="L168" s="68">
        <v>56.96</v>
      </c>
      <c r="M168" s="68">
        <v>75.63</v>
      </c>
      <c r="N168" s="68">
        <v>65.22</v>
      </c>
      <c r="O168" s="68">
        <v>68.180000000000007</v>
      </c>
      <c r="P168" s="68">
        <v>61.22</v>
      </c>
      <c r="Q168" s="68">
        <v>67.16</v>
      </c>
      <c r="R168" s="68">
        <v>62.94</v>
      </c>
      <c r="S168" s="68">
        <v>64.75</v>
      </c>
      <c r="T168" s="68">
        <v>61.64</v>
      </c>
      <c r="U168" s="68">
        <v>66.67</v>
      </c>
      <c r="V168" s="68">
        <v>67.16</v>
      </c>
      <c r="W168" s="68">
        <v>75</v>
      </c>
      <c r="X168" s="68">
        <v>69.77</v>
      </c>
    </row>
    <row r="169" spans="1:72" s="93" customFormat="1" ht="14.25" thickBot="1" x14ac:dyDescent="0.3">
      <c r="A169" s="225" t="s">
        <v>17</v>
      </c>
      <c r="B169" s="274" t="s">
        <v>43</v>
      </c>
      <c r="C169" s="274" t="s">
        <v>43</v>
      </c>
      <c r="D169" s="274" t="s">
        <v>43</v>
      </c>
      <c r="E169" s="274" t="s">
        <v>43</v>
      </c>
      <c r="F169" s="274">
        <v>84.91</v>
      </c>
      <c r="G169" s="274">
        <v>95.74</v>
      </c>
      <c r="H169" s="274">
        <v>88.24</v>
      </c>
      <c r="I169" s="274">
        <v>102.27</v>
      </c>
      <c r="J169" s="274">
        <v>82.57</v>
      </c>
      <c r="K169" s="274">
        <v>96.77</v>
      </c>
      <c r="L169" s="274">
        <v>77.59</v>
      </c>
      <c r="M169" s="274">
        <v>94.74</v>
      </c>
      <c r="N169" s="274">
        <v>84.91</v>
      </c>
      <c r="O169" s="274">
        <v>84.11</v>
      </c>
      <c r="P169" s="274">
        <v>73.77</v>
      </c>
      <c r="Q169" s="274">
        <v>91.84</v>
      </c>
      <c r="R169" s="274">
        <v>88.24</v>
      </c>
      <c r="S169" s="274">
        <v>82.57</v>
      </c>
      <c r="T169" s="274">
        <v>79.650000000000006</v>
      </c>
      <c r="U169" s="274">
        <v>82.57</v>
      </c>
      <c r="V169" s="274">
        <v>75</v>
      </c>
      <c r="W169" s="274">
        <v>84.91</v>
      </c>
      <c r="X169" s="274">
        <v>83.33</v>
      </c>
    </row>
    <row r="170" spans="1:72" s="93" customFormat="1" ht="14.25" thickBot="1" x14ac:dyDescent="0.3">
      <c r="A170" s="224" t="s">
        <v>42</v>
      </c>
      <c r="B170" s="72" t="s">
        <v>43</v>
      </c>
      <c r="C170" s="72" t="s">
        <v>43</v>
      </c>
      <c r="D170" s="72" t="s">
        <v>43</v>
      </c>
      <c r="E170" s="72" t="s">
        <v>43</v>
      </c>
      <c r="F170" s="72">
        <v>114.51</v>
      </c>
      <c r="G170" s="72">
        <v>127.32</v>
      </c>
      <c r="H170" s="72">
        <v>147.44999999999999</v>
      </c>
      <c r="I170" s="72">
        <v>172.04</v>
      </c>
      <c r="J170" s="72">
        <v>142.97</v>
      </c>
      <c r="K170" s="72">
        <v>162.94999999999999</v>
      </c>
      <c r="L170" s="72">
        <v>134.55000000000001</v>
      </c>
      <c r="M170" s="72">
        <v>170.37</v>
      </c>
      <c r="N170" s="72">
        <v>150.12</v>
      </c>
      <c r="O170" s="72">
        <v>152.29</v>
      </c>
      <c r="P170" s="72">
        <v>134.99</v>
      </c>
      <c r="Q170" s="72">
        <v>159</v>
      </c>
      <c r="R170" s="72">
        <v>151.16999999999999</v>
      </c>
      <c r="S170" s="72">
        <v>147.32</v>
      </c>
      <c r="T170" s="72">
        <v>141.29</v>
      </c>
      <c r="U170" s="72">
        <v>149.24</v>
      </c>
      <c r="V170" s="72">
        <v>142.16</v>
      </c>
      <c r="W170" s="72">
        <v>159.91</v>
      </c>
      <c r="X170" s="72">
        <v>153.1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91.24</v>
      </c>
      <c r="C173" s="72">
        <v>107.49</v>
      </c>
      <c r="D173" s="72">
        <v>107.44</v>
      </c>
      <c r="E173" s="72">
        <v>124.59</v>
      </c>
      <c r="F173" s="72">
        <v>112.79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 t="s">
        <v>43</v>
      </c>
      <c r="C176" s="72" t="s">
        <v>43</v>
      </c>
      <c r="D176" s="72" t="s">
        <v>43</v>
      </c>
      <c r="E176" s="72" t="s">
        <v>43</v>
      </c>
      <c r="F176" s="72" t="s">
        <v>43</v>
      </c>
      <c r="G176" s="72" t="s">
        <v>43</v>
      </c>
      <c r="H176" s="72" t="s">
        <v>43</v>
      </c>
      <c r="I176" s="72" t="s">
        <v>43</v>
      </c>
      <c r="J176" s="72" t="s">
        <v>43</v>
      </c>
      <c r="K176" s="72" t="s">
        <v>43</v>
      </c>
      <c r="L176" s="72" t="s">
        <v>43</v>
      </c>
      <c r="M176" s="72" t="s">
        <v>43</v>
      </c>
      <c r="N176" s="72" t="s">
        <v>43</v>
      </c>
      <c r="O176" s="72" t="s">
        <v>43</v>
      </c>
      <c r="P176" s="72" t="s">
        <v>43</v>
      </c>
      <c r="Q176" s="72" t="s">
        <v>43</v>
      </c>
      <c r="R176" s="72" t="s">
        <v>43</v>
      </c>
      <c r="S176" s="72" t="s">
        <v>43</v>
      </c>
      <c r="T176" s="72" t="s">
        <v>43</v>
      </c>
      <c r="U176" s="72">
        <v>16.86</v>
      </c>
      <c r="V176" s="72">
        <v>17.559999999999999</v>
      </c>
      <c r="W176" s="72">
        <v>20.71</v>
      </c>
      <c r="X176" s="72">
        <v>18.71</v>
      </c>
      <c r="Y176" s="72">
        <v>22.44</v>
      </c>
      <c r="Z176" s="72">
        <v>20.8</v>
      </c>
      <c r="AA176" s="72">
        <v>20.29</v>
      </c>
      <c r="AB176" s="72">
        <v>21.49</v>
      </c>
      <c r="AC176" s="72">
        <v>20.68</v>
      </c>
      <c r="AD176" s="72">
        <v>23.09</v>
      </c>
      <c r="AE176" s="72">
        <v>27.15</v>
      </c>
      <c r="AF176" s="72">
        <v>25.13</v>
      </c>
      <c r="AG176" s="72">
        <v>22.54</v>
      </c>
      <c r="AH176" s="72">
        <v>24.08</v>
      </c>
      <c r="AI176" s="72">
        <v>22.68</v>
      </c>
      <c r="AJ176" s="72">
        <v>18.5</v>
      </c>
      <c r="AK176" s="72">
        <v>19.79</v>
      </c>
      <c r="AL176" s="72">
        <v>19.46</v>
      </c>
      <c r="AM176" s="72">
        <v>19.03</v>
      </c>
      <c r="AN176" s="72">
        <v>18.59</v>
      </c>
      <c r="AO176" s="72">
        <v>19.66</v>
      </c>
      <c r="AP176" s="72">
        <v>19.78</v>
      </c>
      <c r="AQ176" s="72">
        <v>21.97</v>
      </c>
      <c r="AR176" s="72">
        <v>20.63</v>
      </c>
      <c r="AS176" s="72">
        <v>18.93</v>
      </c>
      <c r="AT176" s="72">
        <v>20.84</v>
      </c>
      <c r="AU176" s="72">
        <v>24.03</v>
      </c>
      <c r="AV176" s="72">
        <v>21.11</v>
      </c>
      <c r="AW176" s="72">
        <v>19.54</v>
      </c>
      <c r="AX176" s="72">
        <v>20.99</v>
      </c>
      <c r="AY176" s="72">
        <v>22.55</v>
      </c>
      <c r="AZ176" s="72">
        <v>21.37</v>
      </c>
      <c r="BA176" s="72">
        <v>24.91</v>
      </c>
      <c r="BB176" s="72">
        <v>22.56</v>
      </c>
      <c r="BC176" s="72">
        <v>23.31</v>
      </c>
      <c r="BD176" s="72">
        <v>25.48</v>
      </c>
      <c r="BE176" s="72">
        <v>24.3</v>
      </c>
      <c r="BF176" s="72">
        <v>24.76</v>
      </c>
      <c r="BG176" s="72">
        <v>21.2</v>
      </c>
      <c r="BH176" s="72">
        <v>20.28</v>
      </c>
      <c r="BI176" s="72">
        <v>18.18</v>
      </c>
      <c r="BJ176" s="72">
        <v>19.149999999999999</v>
      </c>
      <c r="BK176" s="72">
        <v>19.66</v>
      </c>
      <c r="BL176" s="72">
        <v>19.760000000000002</v>
      </c>
      <c r="BM176" s="72">
        <v>18.03</v>
      </c>
      <c r="BN176" s="72">
        <v>17.78</v>
      </c>
      <c r="BO176" s="72">
        <v>18.03</v>
      </c>
      <c r="BP176" s="72">
        <v>17.77</v>
      </c>
      <c r="BQ176" s="72">
        <v>17.559999999999999</v>
      </c>
      <c r="BR176" s="72">
        <v>18.09</v>
      </c>
      <c r="BS176" s="72">
        <v>18.77</v>
      </c>
      <c r="BT176" s="72">
        <v>17.420000000000002</v>
      </c>
    </row>
  </sheetData>
  <phoneticPr fontId="3" type="noConversion"/>
  <conditionalFormatting sqref="E4">
    <cfRule type="cellIs" dxfId="6296" priority="103" operator="greaterThan">
      <formula>0.2</formula>
    </cfRule>
    <cfRule type="cellIs" dxfId="6295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6294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293" priority="97" operator="greaterThan">
      <formula>$B$19</formula>
    </cfRule>
  </conditionalFormatting>
  <conditionalFormatting sqref="D33:D34">
    <cfRule type="cellIs" dxfId="6292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6291" priority="91" operator="lessThan">
      <formula>$H$62</formula>
    </cfRule>
    <cfRule type="cellIs" dxfId="6290" priority="92" operator="greaterThan">
      <formula>$H$62</formula>
    </cfRule>
  </conditionalFormatting>
  <conditionalFormatting sqref="J62">
    <cfRule type="cellIs" dxfId="6289" priority="89" operator="lessThan">
      <formula>$K$62</formula>
    </cfRule>
    <cfRule type="cellIs" dxfId="6288" priority="90" operator="greaterThan">
      <formula>$K$62</formula>
    </cfRule>
  </conditionalFormatting>
  <conditionalFormatting sqref="M62">
    <cfRule type="cellIs" dxfId="6287" priority="87" operator="lessThan">
      <formula>$N$62</formula>
    </cfRule>
    <cfRule type="cellIs" dxfId="6286" priority="88" operator="greaterThan">
      <formula>$N$62</formula>
    </cfRule>
  </conditionalFormatting>
  <conditionalFormatting sqref="B44:E44">
    <cfRule type="cellIs" dxfId="6285" priority="85" operator="greaterThan">
      <formula>0</formula>
    </cfRule>
    <cfRule type="cellIs" dxfId="6284" priority="86" operator="lessThan">
      <formula>0</formula>
    </cfRule>
  </conditionalFormatting>
  <conditionalFormatting sqref="F72">
    <cfRule type="cellIs" dxfId="6283" priority="84" operator="lessThan">
      <formula>$E$72*90%</formula>
    </cfRule>
  </conditionalFormatting>
  <conditionalFormatting sqref="F73">
    <cfRule type="cellIs" dxfId="6282" priority="83" operator="lessThan">
      <formula>$E$73*90%</formula>
    </cfRule>
  </conditionalFormatting>
  <conditionalFormatting sqref="F74">
    <cfRule type="cellIs" dxfId="6281" priority="82" operator="lessThan">
      <formula>$E$74*90%</formula>
    </cfRule>
  </conditionalFormatting>
  <conditionalFormatting sqref="F75">
    <cfRule type="cellIs" dxfId="6280" priority="81" operator="lessThan">
      <formula>$E$75*90%</formula>
    </cfRule>
  </conditionalFormatting>
  <conditionalFormatting sqref="H44:K44">
    <cfRule type="cellIs" dxfId="6279" priority="79" operator="greaterThan">
      <formula>0</formula>
    </cfRule>
    <cfRule type="cellIs" dxfId="6278" priority="80" operator="lessThan">
      <formula>0</formula>
    </cfRule>
  </conditionalFormatting>
  <conditionalFormatting sqref="H51:K51">
    <cfRule type="cellIs" dxfId="6277" priority="77" operator="greaterThan">
      <formula>0</formula>
    </cfRule>
    <cfRule type="cellIs" dxfId="6276" priority="78" operator="lessThan">
      <formula>0</formula>
    </cfRule>
  </conditionalFormatting>
  <conditionalFormatting sqref="B51:E51">
    <cfRule type="cellIs" dxfId="6275" priority="75" operator="greaterThan">
      <formula>0</formula>
    </cfRule>
    <cfRule type="cellIs" dxfId="6274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273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272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271" priority="58" operator="lessThan">
      <formula>0</formula>
    </cfRule>
  </conditionalFormatting>
  <conditionalFormatting sqref="A25 E25 C25">
    <cfRule type="cellIs" dxfId="6270" priority="59" operator="lessThan">
      <formula>0</formula>
    </cfRule>
  </conditionalFormatting>
  <conditionalFormatting sqref="F25">
    <cfRule type="cellIs" dxfId="6269" priority="57" operator="lessThan">
      <formula>0</formula>
    </cfRule>
  </conditionalFormatting>
  <conditionalFormatting sqref="E1">
    <cfRule type="containsText" dxfId="6268" priority="56" operator="containsText" text="本季業外損益/平均=-">
      <formula>NOT(ISERROR(SEARCH("本季業外損益/平均=-",E1)))</formula>
    </cfRule>
  </conditionalFormatting>
  <conditionalFormatting sqref="M65">
    <cfRule type="cellIs" dxfId="6267" priority="55" operator="lessThan">
      <formula>$L$65*90%</formula>
    </cfRule>
  </conditionalFormatting>
  <conditionalFormatting sqref="M66">
    <cfRule type="cellIs" dxfId="6266" priority="54" operator="lessThan">
      <formula>$L$66*90%</formula>
    </cfRule>
  </conditionalFormatting>
  <conditionalFormatting sqref="M67">
    <cfRule type="cellIs" dxfId="6265" priority="53" operator="lessThan">
      <formula>$L$67*90%</formula>
    </cfRule>
  </conditionalFormatting>
  <conditionalFormatting sqref="M68">
    <cfRule type="cellIs" dxfId="6264" priority="52" operator="lessThan">
      <formula>$L$68*90%</formula>
    </cfRule>
  </conditionalFormatting>
  <conditionalFormatting sqref="B60">
    <cfRule type="cellIs" dxfId="6263" priority="51" operator="lessThan">
      <formula>0</formula>
    </cfRule>
  </conditionalFormatting>
  <conditionalFormatting sqref="B59:F59">
    <cfRule type="cellIs" dxfId="6262" priority="50" operator="lessThanOrEqual">
      <formula>0</formula>
    </cfRule>
  </conditionalFormatting>
  <conditionalFormatting sqref="D62">
    <cfRule type="cellIs" dxfId="6261" priority="48" operator="lessThan">
      <formula>$E$62</formula>
    </cfRule>
    <cfRule type="cellIs" dxfId="6260" priority="49" operator="greaterThan">
      <formula>$E$62</formula>
    </cfRule>
  </conditionalFormatting>
  <conditionalFormatting sqref="F69">
    <cfRule type="cellIs" dxfId="6259" priority="46" operator="lessThan">
      <formula>0</formula>
    </cfRule>
  </conditionalFormatting>
  <conditionalFormatting sqref="B65:E67 B69:E69 B68:D68">
    <cfRule type="cellIs" dxfId="6258" priority="47" operator="lessThan">
      <formula>0</formula>
    </cfRule>
  </conditionalFormatting>
  <conditionalFormatting sqref="E68">
    <cfRule type="cellIs" dxfId="6257" priority="45" operator="lessThan">
      <formula>0</formula>
    </cfRule>
  </conditionalFormatting>
  <conditionalFormatting sqref="F65:F68">
    <cfRule type="cellIs" dxfId="6256" priority="44" operator="lessThan">
      <formula>0</formula>
    </cfRule>
  </conditionalFormatting>
  <conditionalFormatting sqref="F65:F68">
    <cfRule type="cellIs" dxfId="6255" priority="43" operator="lessThan">
      <formula>$E$65*0.9</formula>
    </cfRule>
  </conditionalFormatting>
  <conditionalFormatting sqref="F66">
    <cfRule type="cellIs" dxfId="6254" priority="42" operator="lessThan">
      <formula>$E$66*0.9</formula>
    </cfRule>
  </conditionalFormatting>
  <conditionalFormatting sqref="F67:F68">
    <cfRule type="cellIs" dxfId="6253" priority="41" operator="lessThan">
      <formula>$E$67*0.9</formula>
    </cfRule>
  </conditionalFormatting>
  <conditionalFormatting sqref="F68">
    <cfRule type="cellIs" dxfId="6252" priority="40" operator="lessThan">
      <formula>$E$68*0.9</formula>
    </cfRule>
  </conditionalFormatting>
  <conditionalFormatting sqref="B13:F13">
    <cfRule type="cellIs" dxfId="6251" priority="29" operator="greaterThan">
      <formula>$I$16</formula>
    </cfRule>
    <cfRule type="cellIs" dxfId="6250" priority="30" operator="lessThanOrEqual">
      <formula>$I$16</formula>
    </cfRule>
  </conditionalFormatting>
  <conditionalFormatting sqref="B10:F10">
    <cfRule type="cellIs" dxfId="6249" priority="31" operator="greaterThan">
      <formula>15</formula>
    </cfRule>
    <cfRule type="cellIs" dxfId="6248" priority="38" operator="lessThan">
      <formula>$I$9</formula>
    </cfRule>
    <cfRule type="cellIs" dxfId="6247" priority="39" operator="greaterThan">
      <formula>$I$9</formula>
    </cfRule>
  </conditionalFormatting>
  <conditionalFormatting sqref="B16:F16">
    <cfRule type="cellIs" dxfId="6246" priority="36" operator="greaterThan">
      <formula>$I$16</formula>
    </cfRule>
    <cfRule type="cellIs" dxfId="6245" priority="37" operator="lessThanOrEqual">
      <formula>$I$16</formula>
    </cfRule>
  </conditionalFormatting>
  <conditionalFormatting sqref="B15:F15">
    <cfRule type="cellIs" dxfId="6244" priority="34" operator="lessThanOrEqual">
      <formula>$I$16</formula>
    </cfRule>
    <cfRule type="cellIs" dxfId="6243" priority="35" operator="greaterThan">
      <formula>$I$16</formula>
    </cfRule>
  </conditionalFormatting>
  <conditionalFormatting sqref="B14:F14">
    <cfRule type="cellIs" dxfId="6242" priority="32" operator="greaterThan">
      <formula>$I$16</formula>
    </cfRule>
    <cfRule type="cellIs" dxfId="6241" priority="33" operator="lessThanOrEqual">
      <formula>$I$16</formula>
    </cfRule>
  </conditionalFormatting>
  <conditionalFormatting sqref="K6">
    <cfRule type="containsText" dxfId="6240" priority="27" operator="containsText" text="衰退">
      <formula>NOT(ISERROR(SEARCH("衰退",K6)))</formula>
    </cfRule>
    <cfRule type="containsText" dxfId="6239" priority="28" operator="containsText" text="成長">
      <formula>NOT(ISERROR(SEARCH("成長",K6)))</formula>
    </cfRule>
  </conditionalFormatting>
  <conditionalFormatting sqref="I4:K4">
    <cfRule type="cellIs" dxfId="6238" priority="25" operator="lessThan">
      <formula>0</formula>
    </cfRule>
    <cfRule type="cellIs" dxfId="6237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236" priority="22" operator="lessThanOrEqual">
      <formula>$I$16</formula>
    </cfRule>
    <cfRule type="cellIs" dxfId="6235" priority="23" operator="greaterThan">
      <formula>$I$16</formula>
    </cfRule>
  </conditionalFormatting>
  <conditionalFormatting sqref="I6">
    <cfRule type="containsText" dxfId="6234" priority="20" operator="containsText" text="衰退">
      <formula>NOT(ISERROR(SEARCH("衰退",I6)))</formula>
    </cfRule>
    <cfRule type="containsText" dxfId="6233" priority="21" operator="containsText" text="成長">
      <formula>NOT(ISERROR(SEARCH("成長",I6)))</formula>
    </cfRule>
  </conditionalFormatting>
  <conditionalFormatting sqref="M9">
    <cfRule type="cellIs" dxfId="6232" priority="19" operator="lessThan">
      <formula>$I$9</formula>
    </cfRule>
  </conditionalFormatting>
  <conditionalFormatting sqref="M10">
    <cfRule type="cellIs" dxfId="6231" priority="18" operator="greaterThan">
      <formula>$I$9</formula>
    </cfRule>
  </conditionalFormatting>
  <conditionalFormatting sqref="M11">
    <cfRule type="cellIs" dxfId="6230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229" priority="14" operator="lessThan">
      <formula>0</formula>
    </cfRule>
    <cfRule type="cellIs" dxfId="6228" priority="15" operator="greaterThan">
      <formula>0.5</formula>
    </cfRule>
  </conditionalFormatting>
  <conditionalFormatting sqref="N14">
    <cfRule type="cellIs" dxfId="6227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226" priority="10" operator="lessThan">
      <formula>0.1</formula>
    </cfRule>
  </conditionalFormatting>
  <conditionalFormatting sqref="I14">
    <cfRule type="cellIs" dxfId="6225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224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223" priority="1" operator="lessThan">
      <formula>$N$5*0.9</formula>
    </cfRule>
    <cfRule type="cellIs" dxfId="6222" priority="2" operator="greaterThan">
      <formula>$N$5*1.1</formula>
    </cfRule>
  </conditionalFormatting>
  <hyperlinks>
    <hyperlink ref="L1" location="儀表板!A1" display="(回首頁)" xr:uid="{00000000-0004-0000-1400-000000000000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15.94 ~ 46.21</v>
      </c>
      <c r="L1" s="83" t="s">
        <v>176</v>
      </c>
      <c r="M1" s="84" t="str">
        <f ca="1">VLOOKUP(_xlfn.NUMBERVALUE(N1),儀表板!A:B,2,FALSE)</f>
        <v>為升</v>
      </c>
      <c r="N1" s="85" t="str">
        <f ca="1">MID(CELL("filename",L1),FIND("]",CELL("filename",L1))+1,255)</f>
        <v>2231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0.16954961322144488</v>
      </c>
    </row>
    <row r="3" spans="1:15" s="93" customFormat="1" x14ac:dyDescent="0.25">
      <c r="A3" s="81" t="s">
        <v>179</v>
      </c>
      <c r="B3" s="94">
        <f>SUM(F19:F22,F24:F27,J19)</f>
        <v>71.778038255076595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228.44189358028447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280.59213126994598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321.52085211786118</v>
      </c>
      <c r="L3" s="100"/>
      <c r="M3" s="79" t="s">
        <v>385</v>
      </c>
      <c r="N3" s="92">
        <f>(F69-E69)/E69</f>
        <v>-0.17626293608622434</v>
      </c>
    </row>
    <row r="4" spans="1:15" s="93" customFormat="1" x14ac:dyDescent="0.25">
      <c r="A4" s="81" t="s">
        <v>182</v>
      </c>
      <c r="B4" s="96">
        <f>SUM(G36:G40)*2</f>
        <v>68</v>
      </c>
      <c r="C4" s="101"/>
      <c r="D4" s="102">
        <f>F4*(1+F141/10)</f>
        <v>10.119999999999999</v>
      </c>
      <c r="E4" s="82">
        <f>(D4-F4)/F4</f>
        <v>0.1</v>
      </c>
      <c r="F4" s="103">
        <v>9.1999999999999993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10.72505657215736</v>
      </c>
    </row>
    <row r="5" spans="1:15" s="93" customFormat="1" x14ac:dyDescent="0.25">
      <c r="A5" s="81" t="s">
        <v>184</v>
      </c>
      <c r="B5" s="107">
        <f>SUM(F30:F34)*2</f>
        <v>98.192546583850927</v>
      </c>
      <c r="C5" s="87"/>
      <c r="D5" s="87"/>
      <c r="E5" s="87"/>
      <c r="F5" s="86"/>
      <c r="G5" s="88"/>
      <c r="M5" s="79" t="s">
        <v>386</v>
      </c>
      <c r="N5" s="152">
        <f>D62</f>
        <v>11.31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12.037548096710262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54.39</v>
      </c>
      <c r="N9" s="129"/>
    </row>
    <row r="10" spans="1:15" s="93" customFormat="1" x14ac:dyDescent="0.25">
      <c r="A10" s="123" t="s">
        <v>194</v>
      </c>
      <c r="B10" s="126">
        <f>PERCENTILE(176:176,B9)</f>
        <v>19.670000000000002</v>
      </c>
      <c r="C10" s="126">
        <f>PERCENTILE(176:176,C9)</f>
        <v>21.07</v>
      </c>
      <c r="D10" s="126">
        <f>PERCENTILE(176:176,D9)</f>
        <v>25.88</v>
      </c>
      <c r="E10" s="126">
        <f>PERCENTILE(176:176,E9)</f>
        <v>29.655000000000001</v>
      </c>
      <c r="F10" s="126">
        <f>PERCENTILE(176:176,F9)</f>
        <v>33.93</v>
      </c>
      <c r="G10" s="95"/>
      <c r="H10" s="135"/>
      <c r="I10" s="135"/>
      <c r="J10" s="135"/>
      <c r="K10" s="135"/>
      <c r="L10" s="136" t="s">
        <v>374</v>
      </c>
      <c r="M10" s="130">
        <f>MIN(176:176)</f>
        <v>13.38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30.82</v>
      </c>
      <c r="L11" s="272" t="s">
        <v>193</v>
      </c>
      <c r="M11" s="128">
        <f>STDEV(176:176)</f>
        <v>8.3257773964677284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110.29411764705884</v>
      </c>
      <c r="C13" s="141">
        <f>$B$34/5.88%</f>
        <v>133.92857142857144</v>
      </c>
      <c r="D13" s="141">
        <f>$B$34/5%</f>
        <v>157.5</v>
      </c>
      <c r="E13" s="141">
        <f>$B$34/4.35%</f>
        <v>181.0344827586207</v>
      </c>
      <c r="F13" s="141">
        <f>$B$34/3.85%</f>
        <v>204.54545454545456</v>
      </c>
      <c r="G13" s="138" t="str">
        <f>"$"&amp;ROUND(B34,2)&amp;"/"&amp;IF(STDEV(C140:F140)/AVERAGE(C140:F140)&lt;15%,"高",IF(STDEV(C140:F140)/AVERAGE(C140:F140)&lt;30%,"中","低"))</f>
        <v>$7.88/中</v>
      </c>
      <c r="H13" s="142" t="s">
        <v>199</v>
      </c>
      <c r="I13" s="143">
        <f>MAX(0,1-J15)</f>
        <v>0.34715821812596015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221.68090000000004</v>
      </c>
      <c r="C14" s="141">
        <f>$B$33*C10</f>
        <v>237.45890000000003</v>
      </c>
      <c r="D14" s="141">
        <f>$B$33*D10</f>
        <v>291.66760000000005</v>
      </c>
      <c r="E14" s="141">
        <f>$B$33*E10</f>
        <v>334.21185000000003</v>
      </c>
      <c r="F14" s="141">
        <f>$B$33*F10</f>
        <v>382.39110000000005</v>
      </c>
      <c r="G14" s="138" t="str">
        <f>"$"&amp;ROUND(B33,2)&amp;"/"&amp;IF(STDEV(B69:E69)/AVERAGE(B69:E69)&lt;15%,"高",IF(STDEV(B69:E69)/AVERAGE(B69:E69)&lt;30%,"中","低"))</f>
        <v>$11.27/低</v>
      </c>
      <c r="H14" s="142" t="s">
        <v>203</v>
      </c>
      <c r="I14" s="145">
        <f>G62/100*I13</f>
        <v>0.1141803379416283</v>
      </c>
      <c r="J14" s="76" t="s">
        <v>204</v>
      </c>
      <c r="K14" s="146"/>
      <c r="L14" s="147">
        <f>(HLOOKUP($C$1,$105:$106,2,FALSE)-HLOOKUP($C$1,$117:$127,9,FALSE))/(HLOOKUP($C$1,$117:$128,12,FALSE)/K11)</f>
        <v>13.636533402092244</v>
      </c>
      <c r="M14" s="148">
        <f>E135/E69</f>
        <v>0.75652841781874025</v>
      </c>
      <c r="N14" s="149">
        <f>F173/100</f>
        <v>1.0972999999999999</v>
      </c>
    </row>
    <row r="15" spans="1:15" s="93" customFormat="1" x14ac:dyDescent="0.25">
      <c r="A15" s="140" t="s">
        <v>375</v>
      </c>
      <c r="B15" s="141">
        <f>$D$62*B10</f>
        <v>222.46770000000004</v>
      </c>
      <c r="C15" s="141">
        <f>$D$62*C10</f>
        <v>238.30170000000001</v>
      </c>
      <c r="D15" s="141">
        <f>$D$62*D10</f>
        <v>292.70280000000002</v>
      </c>
      <c r="E15" s="141">
        <f>$D$62*E10</f>
        <v>335.39805000000001</v>
      </c>
      <c r="F15" s="141">
        <f>$D$62*F10</f>
        <v>383.74830000000003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0.65284178187403985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210.96186277433529</v>
      </c>
      <c r="C16" s="141">
        <f>$F$69*C10</f>
        <v>225.97694197535557</v>
      </c>
      <c r="D16" s="141">
        <f>$F$69*D10</f>
        <v>277.56446408743244</v>
      </c>
      <c r="E16" s="141">
        <f>$F$69*E10</f>
        <v>318.0515526473265</v>
      </c>
      <c r="F16" s="141">
        <f>$F$69*F10</f>
        <v>363.90116949329922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972</v>
      </c>
      <c r="J17" s="92">
        <f ca="1">IF(I17&lt;=0,"",IF(I17&lt;=MIN($B$13:$F$16),(I17-MIN($B$13:$F$16))/MIN($B$13:$F$16),IF(I17&gt;=MAX($B$13:$F$16),I17/MAX($B$13:$F$16),PERCENTRANK($B$13:$F$16,I17))))</f>
        <v>2.5329102435111763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7.2524999999999995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11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0.92095238095238086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0.39425798755694635</v>
      </c>
      <c r="J20" s="171">
        <f>HLOOKUP($C$1,$117:$127,11,FALSE)/HLOOKUP($C$1,$105:$115,11,FALSE)</f>
        <v>0.43171395001937896</v>
      </c>
      <c r="K20" s="163"/>
    </row>
    <row r="21" spans="1:14" s="93" customFormat="1" x14ac:dyDescent="0.25">
      <c r="A21" s="151" t="s">
        <v>201</v>
      </c>
      <c r="B21" s="161">
        <f>AVERAGE(C173:F173)/100</f>
        <v>0.93015000000000003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14.37135</v>
      </c>
      <c r="G21" s="88" t="s">
        <v>220</v>
      </c>
      <c r="H21" s="123" t="s">
        <v>221</v>
      </c>
      <c r="I21" s="162">
        <f>HLOOKUP($C$1,$105:$115,7,FALSE)/HLOOKUP($C$1,$117:$127,8,FALSE)</f>
        <v>1.4374358895781247</v>
      </c>
      <c r="J21" s="78"/>
      <c r="K21" s="164" t="s">
        <v>356</v>
      </c>
      <c r="L21" s="165">
        <f>HLOOKUP($C$1,$105:$115,7,FALSE)/HLOOKUP($C$1,$105:$115,11,FALSE)</f>
        <v>0.60570632147944958</v>
      </c>
      <c r="M21" s="123" t="s">
        <v>268</v>
      </c>
      <c r="N21" s="165">
        <f>HLOOKUP($C$1,$117:$127,8,FALSE)/HLOOKUP($C$1,$117:$127,11,FALSE)</f>
        <v>0.97606230282142448</v>
      </c>
    </row>
    <row r="22" spans="1:14" s="93" customFormat="1" x14ac:dyDescent="0.25">
      <c r="A22" s="140" t="s">
        <v>222</v>
      </c>
      <c r="B22" s="161">
        <f>(-1)*SUM(C133:F133)/SUM(C132:F132)</f>
        <v>0.25869120654396727</v>
      </c>
      <c r="C22" s="157"/>
      <c r="D22" s="166"/>
      <c r="E22" s="140"/>
      <c r="F22" s="159">
        <f>IF(B22&lt;=0,10,IF(B22&gt;=100%,0,(1-B22)*10))</f>
        <v>7.4130879345603269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1.2223411146892353</v>
      </c>
      <c r="J22" s="78"/>
      <c r="K22" s="142" t="s">
        <v>357</v>
      </c>
      <c r="L22" s="165">
        <f>HLOOKUP($C$1,$105:$115,4,FALSE)/HLOOKUP($C$1,$105:$115,11,FALSE)</f>
        <v>0.22519365934786692</v>
      </c>
      <c r="M22" s="123" t="s">
        <v>353</v>
      </c>
      <c r="N22" s="165">
        <f>HLOOKUP($C$1,$117:$127,4,FALSE)/HLOOKUP($C$1,$117:$127,11,FALSE)</f>
        <v>8.6761065888075264E-2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1.7596771907987196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9.0636574341855944E-2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0.99872006410325298</v>
      </c>
      <c r="C24" s="169">
        <f>STDEV(C103:F103)</f>
        <v>2.8053798320330369E-3</v>
      </c>
      <c r="D24" s="76" t="str">
        <f>IF(C24/B24&lt;15%,"高",IF(C24/B24&lt;30%,"中","低"))</f>
        <v>高</v>
      </c>
      <c r="E24" s="149"/>
      <c r="F24" s="160">
        <f>MIN(100%,B24)*5</f>
        <v>4.9936003205162649</v>
      </c>
      <c r="G24" s="88" t="s">
        <v>229</v>
      </c>
      <c r="H24" s="123" t="s">
        <v>16</v>
      </c>
      <c r="I24" s="170">
        <f>HLOOKUP(C1,167:170,2,FALSE)</f>
        <v>118.42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0.15794327504227765</v>
      </c>
      <c r="M24" s="123" t="s">
        <v>355</v>
      </c>
      <c r="N24" s="165">
        <f>HLOOKUP($C$1,$117:$127,9,FALSE)/HLOOKUP($C$1,$117:$127,11,FALSE)</f>
        <v>2.3937697178575554E-2</v>
      </c>
    </row>
    <row r="25" spans="1:14" s="93" customFormat="1" x14ac:dyDescent="0.25">
      <c r="A25" s="151" t="s">
        <v>366</v>
      </c>
      <c r="B25" s="255">
        <f>AVERAGE(94:94)</f>
        <v>-176</v>
      </c>
      <c r="C25" s="254">
        <f>STDEV(94:94)/AVERAGE(94:94)</f>
        <v>-262.92788674625308</v>
      </c>
      <c r="D25" s="76" t="str">
        <f>IF(C25&lt;=1,"高",IF(C25&lt;=2,"中","低"))</f>
        <v>高</v>
      </c>
      <c r="E25" s="149"/>
      <c r="F25" s="160">
        <f>MAX(0,10-ABS(C25))</f>
        <v>0</v>
      </c>
      <c r="G25" s="88" t="s">
        <v>213</v>
      </c>
      <c r="H25" s="123" t="s">
        <v>232</v>
      </c>
      <c r="I25" s="170">
        <f>IF(HLOOKUP(C1,167:170,3,FALSE)="無",0,HLOOKUP(C1,167:170,3,FALSE))</f>
        <v>109.76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94.933478260869563</v>
      </c>
      <c r="C26" s="172">
        <f>IF(COUNTIF(168:168,"&gt;0")=0,0,STDEV(168:168))</f>
        <v>18.053416853301048</v>
      </c>
      <c r="D26" s="76" t="str">
        <f>IF(C26&lt;=15,"高",IF(C26&lt;=30,"中","低"))</f>
        <v>中</v>
      </c>
      <c r="E26" s="149"/>
      <c r="F26" s="160">
        <f>IF(I24&lt;=60,4,IF(I24&lt;=90,3,IF(I24&lt;=120,2,IF(I24&lt;=150,1,0))))+IF(D26="高",6,IF(D26="中",4,2))</f>
        <v>6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111.20130434782614</v>
      </c>
      <c r="C27" s="172">
        <f>IF(COUNTIF(169:169,"&gt;0")=0,0,STDEV(169:169))</f>
        <v>8.5782353050389446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0.50807499999999994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0.32835000000000003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39.854999999999997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11.270000000000001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7.875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9.0962732919254652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2473188.75</v>
      </c>
      <c r="C36" s="178">
        <f>STDEV(C97:F97)</f>
        <v>829043.1063410294</v>
      </c>
      <c r="D36" s="76" t="str">
        <f>IF(C36/B36&lt;15%,"高",IF(C36/B36&lt;30%,"中","低"))</f>
        <v>低</v>
      </c>
      <c r="E36" s="107">
        <f>IF(F97&gt;E97,1,0)+IF(E97&gt;D97,1,0)+IF(D97&gt;C97,1,0)</f>
        <v>3</v>
      </c>
      <c r="F36" s="179"/>
      <c r="G36" s="160">
        <f>IF(D36="高",6,IF(D36="中",4,2))+E36+1</f>
        <v>6</v>
      </c>
    </row>
    <row r="37" spans="1:14" x14ac:dyDescent="0.25">
      <c r="A37" s="164" t="s">
        <v>248</v>
      </c>
      <c r="B37" s="180">
        <f>AVERAGE(C152:F152)</f>
        <v>50.807499999999997</v>
      </c>
      <c r="C37" s="180">
        <f>STDEV(C152:F152)</f>
        <v>5.5266890329261935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37.380000000000003</v>
      </c>
      <c r="C38" s="180">
        <f>STDEV(C153:F153)</f>
        <v>7.0817559027875383</v>
      </c>
      <c r="D38" s="76" t="str">
        <f>IF(C38/B38&lt;15%,"高",IF(C38/B38&lt;30%,"中","低"))</f>
        <v>中</v>
      </c>
      <c r="E38" s="107">
        <f>IF(F153&gt;E153,1,0)+IF(E153&gt;D153,1,0)+IF(D153&gt;C153,1,0)</f>
        <v>2</v>
      </c>
      <c r="F38" s="179"/>
      <c r="G38" s="160">
        <f>IF(D38="高",6,IF(D38="中",4,2))+E38+1</f>
        <v>7</v>
      </c>
    </row>
    <row r="39" spans="1:14" x14ac:dyDescent="0.25">
      <c r="A39" s="142" t="s">
        <v>46</v>
      </c>
      <c r="B39" s="181">
        <f>AVERAGE(C165:F165)</f>
        <v>39.854999999999997</v>
      </c>
      <c r="C39" s="181">
        <f>STDEV(C165:F165)</f>
        <v>9.3241496484487687</v>
      </c>
      <c r="D39" s="76" t="str">
        <f>IF(C39/B39&lt;15%,"高",IF(C39/B39&lt;30%,"中","低"))</f>
        <v>中</v>
      </c>
      <c r="E39" s="107">
        <f>IF(F165&gt;E165,1,0)+IF(E165&gt;D165,1,0)+IF(D165&gt;C165,1,0)</f>
        <v>2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11.270000000000001</v>
      </c>
      <c r="C40" s="183">
        <f>STDEV(B69:E69)</f>
        <v>3.8539071083771566</v>
      </c>
      <c r="D40" s="76" t="str">
        <f>IF(C40/B40&lt;15%,"高",IF(C40/B40&lt;30%,"中","低"))</f>
        <v>低</v>
      </c>
      <c r="E40" s="107">
        <f>IF(E69&gt;D69,1,0)+IF(D69&gt;C69,1,0)+IF(C69&gt;B69,1,0)</f>
        <v>2</v>
      </c>
      <c r="G40" s="160">
        <f>IF(D40="高",6,IF(D40="中",4,2))+E40+1</f>
        <v>5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-5.7692307692307744E-2</v>
      </c>
      <c r="C44" s="186">
        <f>(C46-C49)/C49</f>
        <v>-2.3880597014925394E-2</v>
      </c>
      <c r="D44" s="186">
        <f>(D46-D49)/D49</f>
        <v>-0.45312500000000006</v>
      </c>
      <c r="E44" s="186">
        <f>(E46-E49)/E49</f>
        <v>6.0060060060060112E-3</v>
      </c>
      <c r="G44" s="86" t="s">
        <v>175</v>
      </c>
      <c r="H44" s="186">
        <f>(H47-H50)/H50</f>
        <v>-0.1816475005867168</v>
      </c>
      <c r="I44" s="186">
        <f>(I47-I50)/I50</f>
        <v>-0.13860887096774194</v>
      </c>
      <c r="J44" s="186">
        <f>(J47-J50)/J50</f>
        <v>-0.11813759555246708</v>
      </c>
      <c r="K44" s="186">
        <f>(K47-K50)/K50</f>
        <v>-0.25818838942850691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2.94</v>
      </c>
      <c r="C46" s="152">
        <f>HLOOKUP(C45,$81:$82,2,FALSE)</f>
        <v>3.27</v>
      </c>
      <c r="D46" s="152">
        <f>HLOOKUP(D45,$81:$82,2,FALSE)</f>
        <v>1.75</v>
      </c>
      <c r="E46" s="152">
        <f>HLOOKUP(E45,$81:$82,2,FALSE)</f>
        <v>3.35</v>
      </c>
      <c r="G46" s="86" t="s">
        <v>164</v>
      </c>
      <c r="H46" s="145">
        <f>HLOOKUP(H45,$145:$147,2,FALSE)/100</f>
        <v>0.51219999999999999</v>
      </c>
      <c r="I46" s="145">
        <f>HLOOKUP(I45,$145:$147,2,FALSE)/100</f>
        <v>0.51200000000000001</v>
      </c>
      <c r="J46" s="145">
        <f>HLOOKUP(J45,$145:$147,2,FALSE)/100</f>
        <v>0.53880000000000006</v>
      </c>
      <c r="K46" s="145">
        <f>HLOOKUP(K45,$145:$147,2,FALSE)/100</f>
        <v>0.4965</v>
      </c>
    </row>
    <row r="47" spans="1:14" x14ac:dyDescent="0.25">
      <c r="A47" s="188" t="s">
        <v>165</v>
      </c>
      <c r="B47" s="189">
        <f>HLOOKUP(B45,$157:$159,3,FALSE)</f>
        <v>9.1</v>
      </c>
      <c r="C47" s="189">
        <f>HLOOKUP(C45,$157:$159,3,FALSE)</f>
        <v>9.81</v>
      </c>
      <c r="D47" s="189">
        <f>HLOOKUP(D45,$157:$159,3,FALSE)</f>
        <v>4.3600000000000003</v>
      </c>
      <c r="E47" s="189">
        <f>HLOOKUP(E45,$157:$159,3,FALSE)</f>
        <v>9.6199999999999992</v>
      </c>
      <c r="G47" s="190" t="s">
        <v>166</v>
      </c>
      <c r="H47" s="145">
        <f>HLOOKUP(H45,$145:$147,3,FALSE)/100</f>
        <v>0.34869999999999995</v>
      </c>
      <c r="I47" s="145">
        <f>HLOOKUP(I45,$145:$147,3,FALSE)/100</f>
        <v>0.34179999999999999</v>
      </c>
      <c r="J47" s="145">
        <f>HLOOKUP(J45,$145:$147,3,FALSE)/100</f>
        <v>0.38069999999999998</v>
      </c>
      <c r="K47" s="145">
        <f>HLOOKUP(K45,$145:$147,3,FALSE)/100</f>
        <v>0.32840000000000003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3.12</v>
      </c>
      <c r="C49" s="152">
        <f>HLOOKUP(C48,$81:$82,2,FALSE)</f>
        <v>3.35</v>
      </c>
      <c r="D49" s="152">
        <f>HLOOKUP(D48,$81:$82,2,FALSE)</f>
        <v>3.2</v>
      </c>
      <c r="E49" s="152">
        <f>HLOOKUP(E48,$81:$82,2,FALSE)</f>
        <v>3.33</v>
      </c>
      <c r="G49" s="86" t="s">
        <v>164</v>
      </c>
      <c r="H49" s="145">
        <f>HLOOKUP(H48,$145:$147,2,FALSE)/100</f>
        <v>0.55459999999999998</v>
      </c>
      <c r="I49" s="145">
        <f>HLOOKUP(I48,$145:$147,2,FALSE)/100</f>
        <v>0.5615</v>
      </c>
      <c r="J49" s="145">
        <f>HLOOKUP(J48,$145:$147,2,FALSE)/100</f>
        <v>0.55649999999999999</v>
      </c>
      <c r="K49" s="145">
        <f>HLOOKUP(K48,$145:$147,2,FALSE)/100</f>
        <v>0.55579999999999996</v>
      </c>
    </row>
    <row r="50" spans="1:15" x14ac:dyDescent="0.25">
      <c r="A50" s="188" t="s">
        <v>165</v>
      </c>
      <c r="B50" s="189">
        <f>HLOOKUP(B48,$157:$159,3,FALSE)</f>
        <v>10.07</v>
      </c>
      <c r="C50" s="189">
        <f>HLOOKUP(C48,$157:$159,3,FALSE)</f>
        <v>10.17</v>
      </c>
      <c r="D50" s="189">
        <f>HLOOKUP(D48,$157:$159,3,FALSE)</f>
        <v>9.81</v>
      </c>
      <c r="E50" s="189">
        <f>HLOOKUP(E48,$157:$159,3,FALSE)</f>
        <v>11.49</v>
      </c>
      <c r="G50" s="190" t="s">
        <v>166</v>
      </c>
      <c r="H50" s="145">
        <f>HLOOKUP(H48,$145:$147,3,FALSE)/100</f>
        <v>0.42609999999999998</v>
      </c>
      <c r="I50" s="145">
        <f>HLOOKUP(I48,$145:$147,3,FALSE)/100</f>
        <v>0.39679999999999999</v>
      </c>
      <c r="J50" s="145">
        <f>HLOOKUP(J48,$145:$147,3,FALSE)/100</f>
        <v>0.43170000000000003</v>
      </c>
      <c r="K50" s="145">
        <f>HLOOKUP(K48,$145:$147,3,FALSE)/100</f>
        <v>0.44270000000000004</v>
      </c>
    </row>
    <row r="51" spans="1:15" x14ac:dyDescent="0.25">
      <c r="A51" s="86" t="s">
        <v>351</v>
      </c>
      <c r="B51" s="186">
        <f>(B47-B50)/B50</f>
        <v>-9.6325719960278111E-2</v>
      </c>
      <c r="C51" s="186">
        <f>(C47-C50)/C50</f>
        <v>-3.5398230088495519E-2</v>
      </c>
      <c r="D51" s="186">
        <f>(D47-D50)/D50</f>
        <v>-0.55555555555555558</v>
      </c>
      <c r="E51" s="186">
        <f>(E47-E50)/E50</f>
        <v>-0.16275021758050487</v>
      </c>
      <c r="G51" s="235" t="s">
        <v>174</v>
      </c>
      <c r="H51" s="186">
        <f>(H46-H49)/H49</f>
        <v>-7.645149657410745E-2</v>
      </c>
      <c r="I51" s="186">
        <f>(I46-I49)/I49</f>
        <v>-8.8156723063223488E-2</v>
      </c>
      <c r="J51" s="186">
        <f>(J46-J49)/J49</f>
        <v>-3.1805929919137353E-2</v>
      </c>
      <c r="K51" s="186">
        <f>(K46-K49)/K49</f>
        <v>-0.10669305505577541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12.037548096710262</v>
      </c>
      <c r="B53" s="193">
        <f>B46</f>
        <v>2.94</v>
      </c>
      <c r="C53" s="193">
        <f>E46/HLOOKUP(E45,$87:$94,5,FALSE)*HLOOKUP(E45,$87:$94,4,FALSE)*($B$25/HLOOKUP(E45,$87:$94,4,FALSE)+SUM($B$57:$D$57)/SUM($B58:$D$58)*$G$69/100/K46)</f>
        <v>2.7650565721573606</v>
      </c>
      <c r="D53" s="193">
        <f>D46/HLOOKUP(D45,$87:$94,5,FALSE)*HLOOKUP(D45,$87:$94,4,FALSE)*($B$25/HLOOKUP(D45,$87:$94,4,FALSE)+SUM($B$57:$D$57)/SUM($B58:$D$58)*$G$69/100/J46)</f>
        <v>3.3724086988318995</v>
      </c>
      <c r="E53" s="193">
        <f>C46/HLOOKUP(C45,$87:$94,5,FALSE)*HLOOKUP(C45,$87:$94,4,FALSE)*($B$25/HLOOKUP(C45,$87:$94,4,FALSE)+SUM($B$57:$D$57)/SUM($B58:$D$58)*$G$69/100/I46)</f>
        <v>2.9600828257210026</v>
      </c>
    </row>
    <row r="54" spans="1:15" x14ac:dyDescent="0.25">
      <c r="A54" s="278">
        <f>SUM(B54:E54)</f>
        <v>11.49</v>
      </c>
      <c r="B54" s="277">
        <f t="shared" ref="B54:D54" si="0">HLOOKUP(B52-10,81:82,2,FALSE)</f>
        <v>3.12</v>
      </c>
      <c r="C54" s="277">
        <f t="shared" si="0"/>
        <v>3.35</v>
      </c>
      <c r="D54" s="277">
        <f t="shared" si="0"/>
        <v>1.75</v>
      </c>
      <c r="E54" s="277">
        <f>HLOOKUP(E52-10,81:82,2,FALSE)</f>
        <v>3.27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300079</v>
      </c>
      <c r="C57" s="196">
        <f>HLOOKUP(C56,78:79,2,FALSE)</f>
        <v>308714</v>
      </c>
      <c r="D57" s="196">
        <f>HLOOKUP(D56,78:79,2,FALSE)</f>
        <v>310798</v>
      </c>
      <c r="E57" s="196">
        <f>HLOOKUP(E56,78:79,2,FALSE)</f>
        <v>297082</v>
      </c>
      <c r="F57" s="196">
        <f>HLOOKUP(F56,78:79,2,FALSE)</f>
        <v>295338</v>
      </c>
      <c r="G57" s="196">
        <f t="shared" ref="G57:M57" si="2">HLOOKUP(G56,78:79,2,FALSE)</f>
        <v>293595</v>
      </c>
      <c r="H57" s="196">
        <f t="shared" si="2"/>
        <v>301382</v>
      </c>
      <c r="I57" s="196">
        <f t="shared" si="2"/>
        <v>295118</v>
      </c>
      <c r="J57" s="196">
        <f t="shared" si="2"/>
        <v>264344</v>
      </c>
      <c r="K57" s="196">
        <f t="shared" si="2"/>
        <v>268993</v>
      </c>
      <c r="L57" s="196">
        <f t="shared" si="2"/>
        <v>268871</v>
      </c>
      <c r="M57" s="196">
        <f t="shared" si="2"/>
        <v>266243</v>
      </c>
      <c r="N57" s="197"/>
    </row>
    <row r="58" spans="1:15" x14ac:dyDescent="0.25">
      <c r="A58" s="198" t="s">
        <v>253</v>
      </c>
      <c r="B58" s="196">
        <f>HLOOKUP(B56-100,78:79,2,FALSE)</f>
        <v>285163</v>
      </c>
      <c r="C58" s="196">
        <f>HLOOKUP(C56-100,78:79,2,FALSE)</f>
        <v>307102</v>
      </c>
      <c r="D58" s="196">
        <f>HLOOKUP(D56-100,78:79,2,FALSE)</f>
        <v>297635</v>
      </c>
      <c r="E58" s="196">
        <f>HLOOKUP(E56-100,78:79,2,FALSE)</f>
        <v>296570</v>
      </c>
      <c r="F58" s="196">
        <f>HLOOKUP(F56-100,78:79,2,FALSE)</f>
        <v>285479</v>
      </c>
      <c r="G58" s="196">
        <f t="shared" ref="G58:M58" si="3">HLOOKUP(G56-100,78:79,2,FALSE)</f>
        <v>281457</v>
      </c>
      <c r="H58" s="196">
        <f t="shared" si="3"/>
        <v>304378</v>
      </c>
      <c r="I58" s="196">
        <f t="shared" si="3"/>
        <v>302307</v>
      </c>
      <c r="J58" s="196">
        <f t="shared" si="3"/>
        <v>264096</v>
      </c>
      <c r="K58" s="196">
        <f t="shared" si="3"/>
        <v>260935</v>
      </c>
      <c r="L58" s="196">
        <f t="shared" si="3"/>
        <v>248399</v>
      </c>
      <c r="M58" s="196">
        <f t="shared" si="3"/>
        <v>245598</v>
      </c>
      <c r="N58" s="197"/>
    </row>
    <row r="59" spans="1:15" x14ac:dyDescent="0.25">
      <c r="A59" s="199" t="s">
        <v>254</v>
      </c>
      <c r="B59" s="165">
        <f>IF(B57&lt;&gt;"",(B57-B58)/B58,"")</f>
        <v>5.2306926214130162E-2</v>
      </c>
      <c r="C59" s="165">
        <f>IF(C57&lt;&gt;"",(C57-C58)/C58,"")</f>
        <v>5.249070341450072E-3</v>
      </c>
      <c r="D59" s="165">
        <f>IF(D57&lt;&gt;"",(D57-D58)/D58,"")</f>
        <v>4.4225309523409542E-2</v>
      </c>
      <c r="E59" s="165">
        <f>IF(E57&lt;&gt;"",(E57-E58)/E58,"")</f>
        <v>1.726405233165863E-3</v>
      </c>
      <c r="F59" s="165">
        <f>IF(F57&lt;&gt;"",(F57-F58)/F58,"")</f>
        <v>3.4534939522696942E-2</v>
      </c>
      <c r="G59" s="165">
        <f t="shared" ref="G59:M59" si="4">IF(G57&lt;&gt;"",(G57-G58)/G58,"")</f>
        <v>4.3125592896961169E-2</v>
      </c>
      <c r="H59" s="165">
        <f t="shared" si="4"/>
        <v>-9.8430241344643829E-3</v>
      </c>
      <c r="I59" s="165">
        <f t="shared" si="4"/>
        <v>-2.3780461583754263E-2</v>
      </c>
      <c r="J59" s="165">
        <f t="shared" si="4"/>
        <v>9.3905246577002304E-4</v>
      </c>
      <c r="K59" s="165">
        <f t="shared" si="4"/>
        <v>3.0881253952133675E-2</v>
      </c>
      <c r="L59" s="165">
        <f t="shared" si="4"/>
        <v>8.2415790723795179E-2</v>
      </c>
      <c r="M59" s="165">
        <f t="shared" si="4"/>
        <v>8.4060130782823969E-2</v>
      </c>
    </row>
    <row r="60" spans="1:15" x14ac:dyDescent="0.25">
      <c r="A60" s="195" t="s">
        <v>255</v>
      </c>
      <c r="B60" s="196">
        <f>SUM(B57:M57)</f>
        <v>3470557</v>
      </c>
    </row>
    <row r="61" spans="1:15" x14ac:dyDescent="0.25">
      <c r="A61" s="198" t="s">
        <v>256</v>
      </c>
      <c r="B61" s="196">
        <f>SUM(B58:M58)</f>
        <v>3379119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1.0270597158608501</v>
      </c>
      <c r="D62" s="152">
        <f>SUM(B46:E46)</f>
        <v>11.31</v>
      </c>
      <c r="E62" s="152">
        <f>SUM(B49:E49)</f>
        <v>13.000000000000002</v>
      </c>
      <c r="G62" s="126">
        <f>SUM(B47:E47)</f>
        <v>32.89</v>
      </c>
      <c r="H62" s="126">
        <f>SUM(B50:E50)</f>
        <v>41.540000000000006</v>
      </c>
      <c r="J62" s="200">
        <f>AVERAGE(H46:K46)</f>
        <v>0.51487500000000008</v>
      </c>
      <c r="K62" s="200">
        <f>AVERAGE(H49:K49)</f>
        <v>0.55709999999999993</v>
      </c>
      <c r="M62" s="200">
        <f>AVERAGE(H47:K47)</f>
        <v>0.34989999999999999</v>
      </c>
      <c r="N62" s="200">
        <f>AVERAGE(H50:K50)</f>
        <v>0.42432500000000001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1.29</v>
      </c>
      <c r="C65" s="205">
        <f t="shared" si="5"/>
        <v>2.31</v>
      </c>
      <c r="D65" s="205">
        <f t="shared" si="5"/>
        <v>3.56</v>
      </c>
      <c r="E65" s="205">
        <f t="shared" si="5"/>
        <v>3.2</v>
      </c>
      <c r="F65" s="206">
        <f>IF(ISNA(HLOOKUP(F$64*10+$A65,$81:$82,2,FALSE)),(HLOOKUP(E$64*10+$A65,$87:$94,4,FALSE)*$G65+$B$25)/HLOOKUP(E$64*10+$A65,$87:$94,5,FALSE)*$E65,HLOOKUP(F$64*10+$A65,$81:$82,2,FALSE))</f>
        <v>1.75</v>
      </c>
      <c r="G65" s="101">
        <f>MIN(130%,SUM($B$57:$D$57)/SUM($B$58:$D$58)*$G$69/HLOOKUP(E$64*10+$A65,$145:$146,2,FALSE))</f>
        <v>0.96739312355124163</v>
      </c>
      <c r="H65" s="204">
        <v>1</v>
      </c>
      <c r="I65" s="208">
        <f t="shared" ref="I65:M68" si="6">IF(ISNA(HLOOKUP(I$64*10+$H65,$145:$147,3,FALSE)),"",HLOOKUP(I$64*10+$H65,$145:$147,3,FALSE)/100)</f>
        <v>0.2414</v>
      </c>
      <c r="J65" s="208">
        <f t="shared" si="6"/>
        <v>0.34649999999999997</v>
      </c>
      <c r="K65" s="208">
        <f t="shared" si="6"/>
        <v>0.44990000000000002</v>
      </c>
      <c r="L65" s="208">
        <f t="shared" si="6"/>
        <v>0.43170000000000003</v>
      </c>
      <c r="M65" s="209">
        <f t="shared" si="6"/>
        <v>0.38069999999999998</v>
      </c>
      <c r="N65" s="256">
        <f t="shared" ref="N65:O68" si="7">HLOOKUP(E$64*10+$A65,$87:$94,8,FALSE)</f>
        <v>-41206</v>
      </c>
      <c r="O65" s="256">
        <f t="shared" si="7"/>
        <v>-152151</v>
      </c>
      <c r="P65" s="210"/>
    </row>
    <row r="66" spans="1:71" x14ac:dyDescent="0.25">
      <c r="A66" s="204">
        <v>2</v>
      </c>
      <c r="B66" s="205">
        <f t="shared" si="5"/>
        <v>1.51</v>
      </c>
      <c r="C66" s="205">
        <f t="shared" si="5"/>
        <v>2.62</v>
      </c>
      <c r="D66" s="205">
        <f t="shared" si="5"/>
        <v>3.45</v>
      </c>
      <c r="E66" s="205">
        <f t="shared" si="5"/>
        <v>3.35</v>
      </c>
      <c r="F66" s="206">
        <f>IF(ISNA(HLOOKUP(F$64*10+$A66,$81:$82,2,FALSE)),(HLOOKUP(E$64*10+$A66,$87:$94,4,FALSE)*$G66+$B$25)/HLOOKUP(E$64*10+$A66,$87:$94,5,FALSE)*$E66,HLOOKUP(F$64*10+$A66,$81:$82,2,FALSE))</f>
        <v>3.27</v>
      </c>
      <c r="G66" s="101">
        <f>MIN(130%,SUM($B$57:$D$57)/SUM($B$58:$D$58)*$G$69/HLOOKUP(E$64*10+$A66,$145:$146,2,FALSE))</f>
        <v>0.95877875913849686</v>
      </c>
      <c r="H66" s="204">
        <v>2</v>
      </c>
      <c r="I66" s="208">
        <f t="shared" si="6"/>
        <v>0.27149999999999996</v>
      </c>
      <c r="J66" s="208">
        <f t="shared" si="6"/>
        <v>0.37969999999999998</v>
      </c>
      <c r="K66" s="208">
        <f t="shared" si="6"/>
        <v>0.44920000000000004</v>
      </c>
      <c r="L66" s="208">
        <f t="shared" si="6"/>
        <v>0.39679999999999999</v>
      </c>
      <c r="M66" s="209">
        <f t="shared" si="6"/>
        <v>0.34179999999999999</v>
      </c>
      <c r="N66" s="256">
        <f t="shared" si="7"/>
        <v>5662</v>
      </c>
      <c r="O66" s="256">
        <f t="shared" si="7"/>
        <v>48989</v>
      </c>
      <c r="P66" s="210"/>
    </row>
    <row r="67" spans="1:71" x14ac:dyDescent="0.25">
      <c r="A67" s="204">
        <v>3</v>
      </c>
      <c r="B67" s="205">
        <f t="shared" si="5"/>
        <v>1.25</v>
      </c>
      <c r="C67" s="205">
        <f t="shared" si="5"/>
        <v>2.73</v>
      </c>
      <c r="D67" s="205">
        <f t="shared" si="5"/>
        <v>4.63</v>
      </c>
      <c r="E67" s="205">
        <f t="shared" si="5"/>
        <v>3.12</v>
      </c>
      <c r="F67" s="206">
        <f>IF(ISNA(HLOOKUP(F$64*10+$A67,$81:$82,2,FALSE)),(HLOOKUP(E$64*10+$A67,$87:$94,4,FALSE)*$G67+$B$25)/HLOOKUP(E$64*10+$A67,$87:$94,5,FALSE)*$E67,HLOOKUP(F$64*10+$A67,$81:$82,2,FALSE))</f>
        <v>2.94</v>
      </c>
      <c r="G67" s="101">
        <f>MIN(130%,SUM($B$57:$D$57)/SUM($B$58:$D$58)*$G$69/HLOOKUP(E$64*10+$A67,$145:$146,2,FALSE))</f>
        <v>0.97070730843178143</v>
      </c>
      <c r="H67" s="204">
        <v>3</v>
      </c>
      <c r="I67" s="208">
        <f t="shared" si="6"/>
        <v>0.26590000000000003</v>
      </c>
      <c r="J67" s="208">
        <f t="shared" si="6"/>
        <v>0.38200000000000001</v>
      </c>
      <c r="K67" s="208">
        <f t="shared" si="6"/>
        <v>0.42969999999999997</v>
      </c>
      <c r="L67" s="208">
        <f t="shared" si="6"/>
        <v>0.42609999999999998</v>
      </c>
      <c r="M67" s="209">
        <f t="shared" si="6"/>
        <v>0.34869999999999995</v>
      </c>
      <c r="N67" s="256">
        <f t="shared" si="7"/>
        <v>-62160</v>
      </c>
      <c r="O67" s="256">
        <f t="shared" si="7"/>
        <v>-12483</v>
      </c>
      <c r="P67" s="210"/>
    </row>
    <row r="68" spans="1:71" x14ac:dyDescent="0.25">
      <c r="A68" s="204">
        <v>4</v>
      </c>
      <c r="B68" s="205">
        <f>HLOOKUP(B$64*10+$A68,$81:$82,2,FALSE)</f>
        <v>1.95</v>
      </c>
      <c r="C68" s="205">
        <f>HLOOKUP(C$64*10+$A68,$81:$82,2,FALSE)</f>
        <v>3.43</v>
      </c>
      <c r="D68" s="205">
        <f>HLOOKUP(D$64*10+$A68,$81:$82,2,FALSE)</f>
        <v>3.33</v>
      </c>
      <c r="E68" s="206">
        <f>IF(ISNA(HLOOKUP(E$64*10+$A68,$81:$82,2,FALSE)),D68*(1-$N68)*#REF!*(1+$B$25)/(1+$E$4),HLOOKUP(E$64*10+$A68,$81:$82,2,FALSE))</f>
        <v>3.35</v>
      </c>
      <c r="F68" s="206">
        <f>IF(ISNA(HLOOKUP(F$64*10+$A68,$81:$82,2,FALSE)),(HLOOKUP(E$64*10+$A68,$87:$94,4,FALSE)*$G68+$B$25)/HLOOKUP(E$64*10+$A68,$87:$94,5,FALSE)*$E68,HLOOKUP(F$64*10+$A68,$81:$82,2,FALSE))</f>
        <v>2.765056572157361</v>
      </c>
      <c r="G68" s="101">
        <f>MIN(130%,SUM($B$57:$D$57)/SUM($B$58:$D$58)*$G$69/HLOOKUP(E$64*10+$A68,$145:$146,2,FALSE))</f>
        <v>1.0842986369713312</v>
      </c>
      <c r="H68" s="204">
        <v>4</v>
      </c>
      <c r="I68" s="208">
        <f t="shared" si="6"/>
        <v>0.3115</v>
      </c>
      <c r="J68" s="208">
        <f t="shared" si="6"/>
        <v>0.4047</v>
      </c>
      <c r="K68" s="208">
        <f t="shared" si="6"/>
        <v>0.44270000000000004</v>
      </c>
      <c r="L68" s="208">
        <f t="shared" si="6"/>
        <v>0.32840000000000003</v>
      </c>
      <c r="M68" s="209" t="str">
        <f t="shared" si="6"/>
        <v/>
      </c>
      <c r="N68" s="256">
        <f t="shared" si="7"/>
        <v>83977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6</v>
      </c>
      <c r="C69" s="213">
        <f>SUM(C65:C68)</f>
        <v>11.09</v>
      </c>
      <c r="D69" s="213">
        <f>SUM(D65:D68)</f>
        <v>14.97</v>
      </c>
      <c r="E69" s="213">
        <f>SUM(E65:E68)</f>
        <v>13.020000000000001</v>
      </c>
      <c r="F69" s="213">
        <f>SUM(F65:F68)</f>
        <v>10.72505657215736</v>
      </c>
      <c r="G69" s="257">
        <f>_xlfn.FORECAST.ETS(23,B146:W146,{1,2,3,4,5,6,7,8,9,10,11,12,13,14,15,16,17,18,19,20,21,22})</f>
        <v>52.097233201581034</v>
      </c>
      <c r="H69" s="214" t="s">
        <v>19</v>
      </c>
      <c r="I69" s="215">
        <f>HLOOKUP(I64,151:155,3,FALSE)/100</f>
        <v>0.27510000000000001</v>
      </c>
      <c r="J69" s="215">
        <f>HLOOKUP(J64,151:155,3,FALSE)/100</f>
        <v>0.38090000000000002</v>
      </c>
      <c r="K69" s="215">
        <f>HLOOKUP(K64,151:155,3,FALSE)/100</f>
        <v>0.44259999999999999</v>
      </c>
      <c r="L69" s="215">
        <f>IF(ISNA(HLOOKUP(L64,151:155,3,FALSE)/100),AVERAGE(L65:L68),HLOOKUP(L64,151:155,3,FALSE)/100)</f>
        <v>0.39659999999999995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6.2</v>
      </c>
      <c r="C72" s="205">
        <f t="shared" si="8"/>
        <v>9.4499999999999993</v>
      </c>
      <c r="D72" s="205">
        <f t="shared" si="8"/>
        <v>12.17</v>
      </c>
      <c r="E72" s="205">
        <f t="shared" si="8"/>
        <v>9.81</v>
      </c>
      <c r="F72" s="205">
        <f t="shared" si="8"/>
        <v>4.3600000000000003</v>
      </c>
    </row>
    <row r="73" spans="1:71" s="135" customFormat="1" x14ac:dyDescent="0.25">
      <c r="A73" s="204">
        <v>2</v>
      </c>
      <c r="B73" s="205">
        <f t="shared" si="8"/>
        <v>7.39</v>
      </c>
      <c r="C73" s="205">
        <f t="shared" si="8"/>
        <v>10.68</v>
      </c>
      <c r="D73" s="205">
        <f t="shared" si="8"/>
        <v>11.64</v>
      </c>
      <c r="E73" s="205">
        <f t="shared" si="8"/>
        <v>10.17</v>
      </c>
      <c r="F73" s="205">
        <f t="shared" si="8"/>
        <v>9.81</v>
      </c>
    </row>
    <row r="74" spans="1:71" s="135" customFormat="1" x14ac:dyDescent="0.25">
      <c r="A74" s="204">
        <v>3</v>
      </c>
      <c r="B74" s="205">
        <f t="shared" si="8"/>
        <v>6.28</v>
      </c>
      <c r="C74" s="205">
        <f t="shared" si="8"/>
        <v>12.42</v>
      </c>
      <c r="D74" s="205">
        <f t="shared" si="8"/>
        <v>15.59</v>
      </c>
      <c r="E74" s="205">
        <f t="shared" si="8"/>
        <v>10.07</v>
      </c>
      <c r="F74" s="205">
        <f t="shared" si="8"/>
        <v>9.1</v>
      </c>
    </row>
    <row r="75" spans="1:71" s="135" customFormat="1" x14ac:dyDescent="0.25">
      <c r="A75" s="204">
        <v>4</v>
      </c>
      <c r="B75" s="205">
        <f t="shared" si="8"/>
        <v>8.82</v>
      </c>
      <c r="C75" s="205">
        <f t="shared" si="8"/>
        <v>13.36</v>
      </c>
      <c r="D75" s="205">
        <f t="shared" si="8"/>
        <v>11.49</v>
      </c>
      <c r="E75" s="205">
        <f t="shared" si="8"/>
        <v>9.6199999999999992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28.69</v>
      </c>
      <c r="C76" s="213">
        <f>SUM(C72:C75)</f>
        <v>45.91</v>
      </c>
      <c r="D76" s="213">
        <f>SUM(D72:D75)</f>
        <v>50.890000000000008</v>
      </c>
      <c r="E76" s="213">
        <f>AVERAGE(E72:E75)*4</f>
        <v>39.67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76184</v>
      </c>
      <c r="C79" s="270">
        <v>85310</v>
      </c>
      <c r="D79" s="270">
        <v>97799</v>
      </c>
      <c r="E79" s="270">
        <v>104117</v>
      </c>
      <c r="F79" s="270">
        <v>105329</v>
      </c>
      <c r="G79" s="270">
        <v>106162</v>
      </c>
      <c r="H79" s="270">
        <v>105626</v>
      </c>
      <c r="I79" s="270">
        <v>104852</v>
      </c>
      <c r="J79" s="270">
        <v>97233</v>
      </c>
      <c r="K79" s="270">
        <v>104704</v>
      </c>
      <c r="L79" s="270">
        <v>110207</v>
      </c>
      <c r="M79" s="270">
        <v>108601</v>
      </c>
      <c r="N79" s="270">
        <v>129994</v>
      </c>
      <c r="O79" s="270">
        <v>90297</v>
      </c>
      <c r="P79" s="270">
        <v>112792</v>
      </c>
      <c r="Q79" s="270">
        <v>112396</v>
      </c>
      <c r="R79" s="270">
        <v>119076</v>
      </c>
      <c r="S79" s="270">
        <v>132940</v>
      </c>
      <c r="T79" s="270">
        <v>120449</v>
      </c>
      <c r="U79" s="270">
        <v>124972</v>
      </c>
      <c r="V79" s="270">
        <v>121392</v>
      </c>
      <c r="W79" s="270">
        <v>134094</v>
      </c>
      <c r="X79" s="270">
        <v>141319</v>
      </c>
      <c r="Y79" s="270">
        <v>144480</v>
      </c>
      <c r="Z79" s="270">
        <v>151405</v>
      </c>
      <c r="AA79" s="270">
        <v>127503</v>
      </c>
      <c r="AB79" s="270">
        <v>164309</v>
      </c>
      <c r="AC79" s="270">
        <v>171009</v>
      </c>
      <c r="AD79" s="270">
        <v>181842</v>
      </c>
      <c r="AE79" s="270">
        <v>188640</v>
      </c>
      <c r="AF79" s="270">
        <v>190011</v>
      </c>
      <c r="AG79" s="270">
        <v>193400</v>
      </c>
      <c r="AH79" s="270">
        <v>141017</v>
      </c>
      <c r="AI79" s="270">
        <v>254532</v>
      </c>
      <c r="AJ79" s="270">
        <v>200091</v>
      </c>
      <c r="AK79" s="270">
        <v>205954</v>
      </c>
      <c r="AL79" s="270">
        <v>221320</v>
      </c>
      <c r="AM79" s="270">
        <v>201616</v>
      </c>
      <c r="AN79" s="270">
        <v>236083</v>
      </c>
      <c r="AO79" s="270">
        <v>230178</v>
      </c>
      <c r="AP79" s="270">
        <v>231189</v>
      </c>
      <c r="AQ79" s="270">
        <v>234714</v>
      </c>
      <c r="AR79" s="270">
        <v>241149</v>
      </c>
      <c r="AS79" s="270">
        <v>244380</v>
      </c>
      <c r="AT79" s="270">
        <v>244500</v>
      </c>
      <c r="AU79" s="270">
        <v>245231</v>
      </c>
      <c r="AV79" s="270">
        <v>245598</v>
      </c>
      <c r="AW79" s="270">
        <v>248399</v>
      </c>
      <c r="AX79" s="270">
        <v>260935</v>
      </c>
      <c r="AY79" s="270">
        <v>264096</v>
      </c>
      <c r="AZ79" s="270">
        <v>302307</v>
      </c>
      <c r="BA79" s="270">
        <v>304378</v>
      </c>
      <c r="BB79" s="270">
        <v>281457</v>
      </c>
      <c r="BC79" s="270">
        <v>285479</v>
      </c>
      <c r="BD79" s="270">
        <v>296570</v>
      </c>
      <c r="BE79" s="270">
        <v>297635</v>
      </c>
      <c r="BF79" s="270">
        <v>307102</v>
      </c>
      <c r="BG79" s="270">
        <v>285163</v>
      </c>
      <c r="BH79" s="270">
        <v>266243</v>
      </c>
      <c r="BI79" s="270">
        <v>268871</v>
      </c>
      <c r="BJ79" s="270">
        <v>268993</v>
      </c>
      <c r="BK79" s="270">
        <v>264344</v>
      </c>
      <c r="BL79" s="270">
        <v>295118</v>
      </c>
      <c r="BM79" s="270">
        <v>301382</v>
      </c>
      <c r="BN79" s="270">
        <v>293595</v>
      </c>
      <c r="BO79" s="270">
        <v>295338</v>
      </c>
      <c r="BP79" s="270">
        <v>297082</v>
      </c>
      <c r="BQ79" s="270">
        <v>310798</v>
      </c>
      <c r="BR79" s="270">
        <v>308714</v>
      </c>
      <c r="BS79" s="270">
        <v>300079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0.75</v>
      </c>
      <c r="C82" s="72">
        <v>1.17</v>
      </c>
      <c r="D82" s="72">
        <v>1.0900000000000001</v>
      </c>
      <c r="E82" s="72">
        <v>1.1299999999999999</v>
      </c>
      <c r="F82" s="72">
        <v>1.29</v>
      </c>
      <c r="G82" s="72">
        <v>1.51</v>
      </c>
      <c r="H82" s="72">
        <v>1.25</v>
      </c>
      <c r="I82" s="72">
        <v>1.95</v>
      </c>
      <c r="J82" s="72">
        <v>2.31</v>
      </c>
      <c r="K82" s="72">
        <v>2.62</v>
      </c>
      <c r="L82" s="72">
        <v>2.73</v>
      </c>
      <c r="M82" s="72">
        <v>3.43</v>
      </c>
      <c r="N82" s="72">
        <v>3.56</v>
      </c>
      <c r="O82" s="72">
        <v>3.45</v>
      </c>
      <c r="P82" s="72">
        <v>4.63</v>
      </c>
      <c r="Q82" s="72">
        <v>3.33</v>
      </c>
      <c r="R82" s="72">
        <v>3.2</v>
      </c>
      <c r="S82" s="72">
        <v>3.35</v>
      </c>
      <c r="T82" s="72">
        <v>3.12</v>
      </c>
      <c r="U82" s="72">
        <v>3.35</v>
      </c>
      <c r="V82" s="72">
        <v>1.75</v>
      </c>
      <c r="W82" s="72">
        <v>3.27</v>
      </c>
      <c r="X82" s="72">
        <v>2.94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18.28</v>
      </c>
      <c r="C85" s="72">
        <v>17.510000000000002</v>
      </c>
      <c r="D85" s="72">
        <v>18.62</v>
      </c>
      <c r="E85" s="72">
        <v>19.8</v>
      </c>
      <c r="F85" s="72">
        <v>21.25</v>
      </c>
      <c r="G85" s="72">
        <v>18.84</v>
      </c>
      <c r="H85" s="72">
        <v>20.190000000000001</v>
      </c>
      <c r="I85" s="72">
        <v>22.64</v>
      </c>
      <c r="J85" s="72">
        <v>25.42</v>
      </c>
      <c r="K85" s="72">
        <v>22.86</v>
      </c>
      <c r="L85" s="72">
        <v>22.93</v>
      </c>
      <c r="M85" s="72">
        <v>27.07</v>
      </c>
      <c r="N85" s="72">
        <v>30.58</v>
      </c>
      <c r="O85" s="72">
        <v>27.96</v>
      </c>
      <c r="P85" s="72">
        <v>30.93</v>
      </c>
      <c r="Q85" s="72">
        <v>30.03</v>
      </c>
      <c r="R85" s="72">
        <v>33.39</v>
      </c>
      <c r="S85" s="72">
        <v>27.88</v>
      </c>
      <c r="T85" s="72">
        <v>30.74</v>
      </c>
      <c r="U85" s="72">
        <v>31.18</v>
      </c>
      <c r="V85" s="72">
        <v>32.56</v>
      </c>
      <c r="W85" s="72">
        <v>27.47</v>
      </c>
      <c r="X85" s="72">
        <v>30.82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290184</v>
      </c>
      <c r="C88" s="273">
        <v>359180</v>
      </c>
      <c r="D88" s="273">
        <v>345088</v>
      </c>
      <c r="E88" s="273">
        <v>343788</v>
      </c>
      <c r="F88" s="273">
        <v>333067</v>
      </c>
      <c r="G88" s="273">
        <v>363867</v>
      </c>
      <c r="H88" s="273">
        <v>366670</v>
      </c>
      <c r="I88" s="273">
        <v>435338</v>
      </c>
      <c r="J88" s="273">
        <v>443106</v>
      </c>
      <c r="K88" s="273">
        <v>539997</v>
      </c>
      <c r="L88" s="273">
        <v>526179</v>
      </c>
      <c r="M88" s="273">
        <v>645902</v>
      </c>
      <c r="N88" s="273">
        <v>659764</v>
      </c>
      <c r="O88" s="273">
        <v>692144</v>
      </c>
      <c r="P88" s="273">
        <v>730276</v>
      </c>
      <c r="Q88" s="273">
        <v>739896</v>
      </c>
      <c r="R88" s="273">
        <v>827320</v>
      </c>
      <c r="S88" s="273">
        <v>871575</v>
      </c>
      <c r="T88" s="273">
        <v>900379</v>
      </c>
      <c r="U88" s="273">
        <v>817275</v>
      </c>
      <c r="V88" s="273">
        <v>829416</v>
      </c>
      <c r="W88" s="273">
        <v>890771</v>
      </c>
      <c r="X88" s="273">
        <v>914656</v>
      </c>
    </row>
    <row r="89" spans="1:25" ht="14.25" thickBot="1" x14ac:dyDescent="0.3">
      <c r="A89" s="250" t="s">
        <v>4</v>
      </c>
      <c r="B89" s="275">
        <v>102685</v>
      </c>
      <c r="C89" s="275">
        <v>134007</v>
      </c>
      <c r="D89" s="275">
        <v>138545</v>
      </c>
      <c r="E89" s="275">
        <v>141848</v>
      </c>
      <c r="F89" s="275">
        <v>139388</v>
      </c>
      <c r="G89" s="275">
        <v>159383</v>
      </c>
      <c r="H89" s="275">
        <v>156381</v>
      </c>
      <c r="I89" s="275">
        <v>191698</v>
      </c>
      <c r="J89" s="275">
        <v>212437</v>
      </c>
      <c r="K89" s="275">
        <v>264629</v>
      </c>
      <c r="L89" s="275">
        <v>264332</v>
      </c>
      <c r="M89" s="275">
        <v>345478</v>
      </c>
      <c r="N89" s="275">
        <v>367164</v>
      </c>
      <c r="O89" s="275">
        <v>387269</v>
      </c>
      <c r="P89" s="275">
        <v>396493</v>
      </c>
      <c r="Q89" s="275">
        <v>411237</v>
      </c>
      <c r="R89" s="275">
        <v>460429</v>
      </c>
      <c r="S89" s="275">
        <v>489412</v>
      </c>
      <c r="T89" s="275">
        <v>499325</v>
      </c>
      <c r="U89" s="275">
        <v>405745</v>
      </c>
      <c r="V89" s="275">
        <v>446887</v>
      </c>
      <c r="W89" s="275">
        <v>456040</v>
      </c>
      <c r="X89" s="275">
        <v>468509</v>
      </c>
    </row>
    <row r="90" spans="1:25" ht="14.25" thickBot="1" x14ac:dyDescent="0.3">
      <c r="A90" s="251" t="s">
        <v>5</v>
      </c>
      <c r="B90" s="273">
        <v>58344</v>
      </c>
      <c r="C90" s="273">
        <v>79902</v>
      </c>
      <c r="D90" s="273">
        <v>81066</v>
      </c>
      <c r="E90" s="273">
        <v>82640</v>
      </c>
      <c r="F90" s="273">
        <v>80411</v>
      </c>
      <c r="G90" s="273">
        <v>98782</v>
      </c>
      <c r="H90" s="273">
        <v>97513</v>
      </c>
      <c r="I90" s="273">
        <v>135600</v>
      </c>
      <c r="J90" s="273">
        <v>153537</v>
      </c>
      <c r="K90" s="273">
        <v>205062</v>
      </c>
      <c r="L90" s="273">
        <v>200995</v>
      </c>
      <c r="M90" s="273">
        <v>261408</v>
      </c>
      <c r="N90" s="273">
        <v>296819</v>
      </c>
      <c r="O90" s="273">
        <v>310928</v>
      </c>
      <c r="P90" s="273">
        <v>313785</v>
      </c>
      <c r="Q90" s="273">
        <v>327582</v>
      </c>
      <c r="R90" s="273">
        <v>357147</v>
      </c>
      <c r="S90" s="273">
        <v>345838</v>
      </c>
      <c r="T90" s="273">
        <v>383683</v>
      </c>
      <c r="U90" s="273">
        <v>268395</v>
      </c>
      <c r="V90" s="273">
        <v>315796</v>
      </c>
      <c r="W90" s="273">
        <v>304426</v>
      </c>
      <c r="X90" s="273">
        <v>318912</v>
      </c>
    </row>
    <row r="91" spans="1:25" ht="14.25" thickBot="1" x14ac:dyDescent="0.3">
      <c r="A91" s="250" t="s">
        <v>6</v>
      </c>
      <c r="B91" s="275">
        <v>53659</v>
      </c>
      <c r="C91" s="275">
        <v>82823</v>
      </c>
      <c r="D91" s="275">
        <v>75488</v>
      </c>
      <c r="E91" s="275">
        <v>82508</v>
      </c>
      <c r="F91" s="275">
        <v>91668</v>
      </c>
      <c r="G91" s="275">
        <v>105893</v>
      </c>
      <c r="H91" s="275">
        <v>91078</v>
      </c>
      <c r="I91" s="275">
        <v>142165</v>
      </c>
      <c r="J91" s="275">
        <v>166675</v>
      </c>
      <c r="K91" s="275">
        <v>194827</v>
      </c>
      <c r="L91" s="275">
        <v>220630</v>
      </c>
      <c r="M91" s="275">
        <v>298387</v>
      </c>
      <c r="N91" s="275">
        <v>292051</v>
      </c>
      <c r="O91" s="275">
        <v>296719</v>
      </c>
      <c r="P91" s="275">
        <v>392266</v>
      </c>
      <c r="Q91" s="275">
        <v>322861</v>
      </c>
      <c r="R91" s="275">
        <v>315941</v>
      </c>
      <c r="S91" s="275">
        <v>351500</v>
      </c>
      <c r="T91" s="275">
        <v>321523</v>
      </c>
      <c r="U91" s="275">
        <v>352372</v>
      </c>
      <c r="V91" s="275">
        <v>163645</v>
      </c>
      <c r="W91" s="275">
        <v>353415</v>
      </c>
      <c r="X91" s="275">
        <v>306429</v>
      </c>
    </row>
    <row r="92" spans="1:25" ht="14.25" thickBot="1" x14ac:dyDescent="0.3">
      <c r="A92" s="251" t="s">
        <v>7</v>
      </c>
      <c r="B92" s="273">
        <v>46249</v>
      </c>
      <c r="C92" s="273">
        <v>70855</v>
      </c>
      <c r="D92" s="273">
        <v>66140</v>
      </c>
      <c r="E92" s="273">
        <v>68392</v>
      </c>
      <c r="F92" s="273">
        <v>79178</v>
      </c>
      <c r="G92" s="273">
        <v>92198</v>
      </c>
      <c r="H92" s="273">
        <v>76321</v>
      </c>
      <c r="I92" s="273">
        <v>117946</v>
      </c>
      <c r="J92" s="273">
        <v>142661</v>
      </c>
      <c r="K92" s="273">
        <v>163225</v>
      </c>
      <c r="L92" s="273">
        <v>194558</v>
      </c>
      <c r="M92" s="273">
        <v>245055</v>
      </c>
      <c r="N92" s="273">
        <v>257985</v>
      </c>
      <c r="O92" s="273">
        <v>250327</v>
      </c>
      <c r="P92" s="273">
        <v>337454</v>
      </c>
      <c r="Q92" s="273">
        <v>276334</v>
      </c>
      <c r="R92" s="273">
        <v>270480</v>
      </c>
      <c r="S92" s="273">
        <v>279087</v>
      </c>
      <c r="T92" s="273">
        <v>270735</v>
      </c>
      <c r="U92" s="273">
        <v>293611</v>
      </c>
      <c r="V92" s="273">
        <v>143558</v>
      </c>
      <c r="W92" s="273">
        <v>305606</v>
      </c>
      <c r="X92" s="273">
        <v>275234</v>
      </c>
    </row>
    <row r="93" spans="1:25" ht="26.25" thickBot="1" x14ac:dyDescent="0.3">
      <c r="A93" s="252" t="s">
        <v>8</v>
      </c>
      <c r="B93" s="276">
        <v>44963</v>
      </c>
      <c r="C93" s="276">
        <v>70226</v>
      </c>
      <c r="D93" s="276">
        <v>65725</v>
      </c>
      <c r="E93" s="276">
        <v>68143</v>
      </c>
      <c r="F93" s="276">
        <v>78198</v>
      </c>
      <c r="G93" s="276">
        <v>91296</v>
      </c>
      <c r="H93" s="276">
        <v>75839</v>
      </c>
      <c r="I93" s="276">
        <v>118508</v>
      </c>
      <c r="J93" s="276">
        <v>141917</v>
      </c>
      <c r="K93" s="276">
        <v>162615</v>
      </c>
      <c r="L93" s="276">
        <v>195815</v>
      </c>
      <c r="M93" s="276">
        <v>244904</v>
      </c>
      <c r="N93" s="276">
        <v>257841</v>
      </c>
      <c r="O93" s="276">
        <v>249665</v>
      </c>
      <c r="P93" s="276">
        <v>335586</v>
      </c>
      <c r="Q93" s="276">
        <v>277182</v>
      </c>
      <c r="R93" s="276">
        <v>267373</v>
      </c>
      <c r="S93" s="276">
        <v>279823</v>
      </c>
      <c r="T93" s="276">
        <v>261100</v>
      </c>
      <c r="U93" s="276">
        <v>307584</v>
      </c>
      <c r="V93" s="276">
        <v>160762</v>
      </c>
      <c r="W93" s="276">
        <v>301215</v>
      </c>
      <c r="X93" s="276">
        <v>297850</v>
      </c>
    </row>
    <row r="94" spans="1:25" x14ac:dyDescent="0.25">
      <c r="A94" s="233" t="s">
        <v>365</v>
      </c>
      <c r="B94" s="253">
        <f>IF(B91="","",B91-B90)</f>
        <v>-4685</v>
      </c>
      <c r="C94" s="253">
        <f>IF(C91="","",C91-C90)</f>
        <v>2921</v>
      </c>
      <c r="D94" s="253">
        <f t="shared" ref="D94:Y94" si="9">IF(D91="","",D91-D90)</f>
        <v>-5578</v>
      </c>
      <c r="E94" s="253">
        <f t="shared" si="9"/>
        <v>-132</v>
      </c>
      <c r="F94" s="253">
        <f t="shared" si="9"/>
        <v>11257</v>
      </c>
      <c r="G94" s="253">
        <f t="shared" si="9"/>
        <v>7111</v>
      </c>
      <c r="H94" s="253">
        <f t="shared" si="9"/>
        <v>-6435</v>
      </c>
      <c r="I94" s="253">
        <f t="shared" si="9"/>
        <v>6565</v>
      </c>
      <c r="J94" s="253">
        <f t="shared" si="9"/>
        <v>13138</v>
      </c>
      <c r="K94" s="253">
        <f t="shared" si="9"/>
        <v>-10235</v>
      </c>
      <c r="L94" s="253">
        <f t="shared" si="9"/>
        <v>19635</v>
      </c>
      <c r="M94" s="253">
        <f t="shared" si="9"/>
        <v>36979</v>
      </c>
      <c r="N94" s="253">
        <f t="shared" si="9"/>
        <v>-4768</v>
      </c>
      <c r="O94" s="253">
        <f t="shared" si="9"/>
        <v>-14209</v>
      </c>
      <c r="P94" s="253">
        <f t="shared" si="9"/>
        <v>78481</v>
      </c>
      <c r="Q94" s="253">
        <f t="shared" si="9"/>
        <v>-4721</v>
      </c>
      <c r="R94" s="253">
        <f t="shared" si="9"/>
        <v>-41206</v>
      </c>
      <c r="S94" s="253">
        <f t="shared" si="9"/>
        <v>5662</v>
      </c>
      <c r="T94" s="253">
        <f t="shared" si="9"/>
        <v>-62160</v>
      </c>
      <c r="U94" s="253">
        <f t="shared" si="9"/>
        <v>83977</v>
      </c>
      <c r="V94" s="253">
        <f t="shared" si="9"/>
        <v>-152151</v>
      </c>
      <c r="W94" s="253">
        <f t="shared" si="9"/>
        <v>48989</v>
      </c>
      <c r="X94" s="253">
        <f t="shared" si="9"/>
        <v>-12483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1338240</v>
      </c>
      <c r="C97" s="273">
        <v>1498942</v>
      </c>
      <c r="D97" s="273">
        <v>2155184</v>
      </c>
      <c r="E97" s="273">
        <v>2822080</v>
      </c>
      <c r="F97" s="273">
        <v>3416549</v>
      </c>
    </row>
    <row r="98" spans="1:24" ht="14.25" thickBot="1" x14ac:dyDescent="0.3">
      <c r="A98" s="225" t="s">
        <v>4</v>
      </c>
      <c r="B98" s="275">
        <v>517085</v>
      </c>
      <c r="C98" s="275">
        <v>646850</v>
      </c>
      <c r="D98" s="275">
        <v>1086876</v>
      </c>
      <c r="E98" s="275">
        <v>1562163</v>
      </c>
      <c r="F98" s="275">
        <v>1854911</v>
      </c>
    </row>
    <row r="99" spans="1:24" ht="14.25" thickBot="1" x14ac:dyDescent="0.3">
      <c r="A99" s="224" t="s">
        <v>5</v>
      </c>
      <c r="B99" s="273">
        <v>301952</v>
      </c>
      <c r="C99" s="273">
        <v>412306</v>
      </c>
      <c r="D99" s="273">
        <v>821002</v>
      </c>
      <c r="E99" s="273">
        <v>1249114</v>
      </c>
      <c r="F99" s="273">
        <v>1355063</v>
      </c>
    </row>
    <row r="100" spans="1:24" ht="14.25" thickBot="1" x14ac:dyDescent="0.3">
      <c r="A100" s="225" t="s">
        <v>6</v>
      </c>
      <c r="B100" s="275">
        <v>294478</v>
      </c>
      <c r="C100" s="275">
        <v>430804</v>
      </c>
      <c r="D100" s="275">
        <v>880519</v>
      </c>
      <c r="E100" s="275">
        <v>1303897</v>
      </c>
      <c r="F100" s="275">
        <v>1341336</v>
      </c>
    </row>
    <row r="101" spans="1:24" ht="14.25" thickBot="1" x14ac:dyDescent="0.3">
      <c r="A101" s="224" t="s">
        <v>7</v>
      </c>
      <c r="B101" s="273">
        <v>251636</v>
      </c>
      <c r="C101" s="273">
        <v>365643</v>
      </c>
      <c r="D101" s="273">
        <v>745499</v>
      </c>
      <c r="E101" s="273">
        <v>1122100</v>
      </c>
      <c r="F101" s="273">
        <v>1113913</v>
      </c>
    </row>
    <row r="102" spans="1:24" ht="14.25" thickBot="1" x14ac:dyDescent="0.3">
      <c r="A102" s="227" t="s">
        <v>8</v>
      </c>
      <c r="B102" s="276">
        <v>249057</v>
      </c>
      <c r="C102" s="276">
        <v>363841</v>
      </c>
      <c r="D102" s="276">
        <v>745253</v>
      </c>
      <c r="E102" s="276">
        <v>1120274</v>
      </c>
      <c r="F102" s="276">
        <v>1115880</v>
      </c>
    </row>
    <row r="103" spans="1:24" x14ac:dyDescent="0.25">
      <c r="A103" s="233" t="s">
        <v>262</v>
      </c>
      <c r="B103" s="234">
        <f>IF(OR(B102="",B102="無"),"",B102/B101)</f>
        <v>0.98975106900443499</v>
      </c>
      <c r="C103" s="234">
        <f>IF(OR(C102="",C102="無"),"",C102/C101)</f>
        <v>0.99507169561566888</v>
      </c>
      <c r="D103" s="234">
        <f>IF(OR(D102="",D102="無"),"",D102/D101)</f>
        <v>0.99967001967809477</v>
      </c>
      <c r="E103" s="234">
        <f>IF(OR(E102="",E102="無"),"",E102/E101)</f>
        <v>0.99837269405578821</v>
      </c>
      <c r="F103" s="234">
        <f>IF(OR(F102="",F102="無"),"",F102/F101)</f>
        <v>1.0017658470634601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95903</v>
      </c>
      <c r="C106" s="273">
        <v>81299</v>
      </c>
      <c r="D106" s="273">
        <v>61743</v>
      </c>
      <c r="E106" s="273">
        <v>109026</v>
      </c>
      <c r="F106" s="273">
        <v>234519</v>
      </c>
      <c r="G106" s="273">
        <v>511087</v>
      </c>
      <c r="H106" s="273">
        <v>482954</v>
      </c>
      <c r="I106" s="273">
        <v>425721</v>
      </c>
      <c r="J106" s="273">
        <v>465559</v>
      </c>
      <c r="K106" s="273">
        <v>517698</v>
      </c>
      <c r="L106" s="273">
        <v>237896</v>
      </c>
      <c r="M106" s="273">
        <v>465660</v>
      </c>
      <c r="N106" s="273">
        <v>625832</v>
      </c>
      <c r="O106" s="273">
        <v>781224</v>
      </c>
      <c r="P106" s="273">
        <v>871504</v>
      </c>
      <c r="Q106" s="273">
        <v>989342</v>
      </c>
      <c r="R106" s="273">
        <v>1421514</v>
      </c>
      <c r="S106" s="273">
        <v>1664398</v>
      </c>
      <c r="T106" s="273">
        <v>2337991</v>
      </c>
      <c r="U106" s="273">
        <v>2975709</v>
      </c>
      <c r="V106" s="273">
        <v>2624301</v>
      </c>
      <c r="W106" s="273">
        <v>1553605</v>
      </c>
      <c r="X106" s="273">
        <v>1459572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200</v>
      </c>
      <c r="J107" s="274">
        <v>510</v>
      </c>
      <c r="K107" s="274">
        <v>101</v>
      </c>
      <c r="L107" s="274">
        <v>70</v>
      </c>
      <c r="M107" s="274">
        <v>37</v>
      </c>
      <c r="N107" s="274">
        <v>6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420</v>
      </c>
      <c r="X107" s="274">
        <v>0</v>
      </c>
    </row>
    <row r="108" spans="1:24" ht="14.25" thickBot="1" x14ac:dyDescent="0.3">
      <c r="A108" s="224" t="s">
        <v>263</v>
      </c>
      <c r="B108" s="273">
        <v>222584</v>
      </c>
      <c r="C108" s="273">
        <v>311416</v>
      </c>
      <c r="D108" s="273">
        <v>273436</v>
      </c>
      <c r="E108" s="273">
        <v>307082</v>
      </c>
      <c r="F108" s="273">
        <v>261468</v>
      </c>
      <c r="G108" s="273">
        <v>318779</v>
      </c>
      <c r="H108" s="273">
        <v>315734</v>
      </c>
      <c r="I108" s="273">
        <v>430304</v>
      </c>
      <c r="J108" s="273">
        <v>484027</v>
      </c>
      <c r="K108" s="273">
        <v>563649</v>
      </c>
      <c r="L108" s="273">
        <v>672171</v>
      </c>
      <c r="M108" s="273">
        <v>614095</v>
      </c>
      <c r="N108" s="273">
        <v>703598</v>
      </c>
      <c r="O108" s="273">
        <v>835361</v>
      </c>
      <c r="P108" s="273">
        <v>971005</v>
      </c>
      <c r="Q108" s="273">
        <v>928308</v>
      </c>
      <c r="R108" s="273">
        <v>1046631</v>
      </c>
      <c r="S108" s="273">
        <v>1127835</v>
      </c>
      <c r="T108" s="273">
        <v>1203596</v>
      </c>
      <c r="U108" s="273">
        <v>1019346</v>
      </c>
      <c r="V108" s="273">
        <v>1016837</v>
      </c>
      <c r="W108" s="273">
        <v>1151325</v>
      </c>
      <c r="X108" s="273">
        <v>1255599</v>
      </c>
    </row>
    <row r="109" spans="1:24" ht="14.25" thickBot="1" x14ac:dyDescent="0.3">
      <c r="A109" s="225" t="s">
        <v>264</v>
      </c>
      <c r="B109" s="275">
        <v>257263</v>
      </c>
      <c r="C109" s="275">
        <v>246472</v>
      </c>
      <c r="D109" s="275">
        <v>255243</v>
      </c>
      <c r="E109" s="275">
        <v>266104</v>
      </c>
      <c r="F109" s="275">
        <v>282251</v>
      </c>
      <c r="G109" s="275">
        <v>267307</v>
      </c>
      <c r="H109" s="275">
        <v>288633</v>
      </c>
      <c r="I109" s="275">
        <v>288320</v>
      </c>
      <c r="J109" s="275">
        <v>311978</v>
      </c>
      <c r="K109" s="275">
        <v>298122</v>
      </c>
      <c r="L109" s="275">
        <v>332878</v>
      </c>
      <c r="M109" s="275">
        <v>327495</v>
      </c>
      <c r="N109" s="275">
        <v>370269</v>
      </c>
      <c r="O109" s="275">
        <v>357089</v>
      </c>
      <c r="P109" s="275">
        <v>379375</v>
      </c>
      <c r="Q109" s="275">
        <v>355930</v>
      </c>
      <c r="R109" s="275">
        <v>504840</v>
      </c>
      <c r="S109" s="275">
        <v>496389</v>
      </c>
      <c r="T109" s="275">
        <v>481666</v>
      </c>
      <c r="U109" s="275">
        <v>513400</v>
      </c>
      <c r="V109" s="275">
        <v>554464</v>
      </c>
      <c r="W109" s="275">
        <v>578800</v>
      </c>
      <c r="X109" s="275">
        <v>505357</v>
      </c>
    </row>
    <row r="110" spans="1:24" ht="14.25" thickBot="1" x14ac:dyDescent="0.3">
      <c r="A110" s="224" t="s">
        <v>23</v>
      </c>
      <c r="B110" s="273">
        <v>23629</v>
      </c>
      <c r="C110" s="273">
        <v>21586</v>
      </c>
      <c r="D110" s="273">
        <v>27959</v>
      </c>
      <c r="E110" s="273">
        <v>19227</v>
      </c>
      <c r="F110" s="273">
        <v>16761</v>
      </c>
      <c r="G110" s="273">
        <v>23685</v>
      </c>
      <c r="H110" s="273">
        <v>28811</v>
      </c>
      <c r="I110" s="273">
        <v>30601</v>
      </c>
      <c r="J110" s="273">
        <v>36722</v>
      </c>
      <c r="K110" s="273">
        <v>40105</v>
      </c>
      <c r="L110" s="273">
        <v>41717</v>
      </c>
      <c r="M110" s="273">
        <v>98396</v>
      </c>
      <c r="N110" s="273">
        <v>90855</v>
      </c>
      <c r="O110" s="273">
        <v>39855</v>
      </c>
      <c r="P110" s="273">
        <v>46895</v>
      </c>
      <c r="Q110" s="273">
        <v>90298</v>
      </c>
      <c r="R110" s="273">
        <v>139878</v>
      </c>
      <c r="S110" s="273">
        <v>156769</v>
      </c>
      <c r="T110" s="273">
        <v>142859</v>
      </c>
      <c r="U110" s="273">
        <v>129846</v>
      </c>
      <c r="V110" s="273">
        <v>138189</v>
      </c>
      <c r="W110" s="273">
        <v>142391</v>
      </c>
      <c r="X110" s="273">
        <v>156673</v>
      </c>
    </row>
    <row r="111" spans="1:24" ht="14.25" thickBot="1" x14ac:dyDescent="0.3">
      <c r="A111" s="225" t="s">
        <v>24</v>
      </c>
      <c r="B111" s="275">
        <v>599379</v>
      </c>
      <c r="C111" s="275">
        <v>660773</v>
      </c>
      <c r="D111" s="275">
        <v>618381</v>
      </c>
      <c r="E111" s="275">
        <v>701439</v>
      </c>
      <c r="F111" s="275">
        <v>794999</v>
      </c>
      <c r="G111" s="275">
        <v>1120858</v>
      </c>
      <c r="H111" s="275">
        <v>1116132</v>
      </c>
      <c r="I111" s="275">
        <v>1175146</v>
      </c>
      <c r="J111" s="275">
        <v>1298796</v>
      </c>
      <c r="K111" s="275">
        <v>1419675</v>
      </c>
      <c r="L111" s="275">
        <v>1284732</v>
      </c>
      <c r="M111" s="275">
        <v>1505683</v>
      </c>
      <c r="N111" s="275">
        <v>1790560</v>
      </c>
      <c r="O111" s="275">
        <v>2013529</v>
      </c>
      <c r="P111" s="275">
        <v>2268779</v>
      </c>
      <c r="Q111" s="275">
        <v>2363878</v>
      </c>
      <c r="R111" s="275">
        <v>3112863</v>
      </c>
      <c r="S111" s="275">
        <v>3445391</v>
      </c>
      <c r="T111" s="275">
        <v>4166112</v>
      </c>
      <c r="U111" s="275">
        <v>4638301</v>
      </c>
      <c r="V111" s="275">
        <v>4333791</v>
      </c>
      <c r="W111" s="275">
        <v>3426541</v>
      </c>
      <c r="X111" s="275">
        <v>3377201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691293</v>
      </c>
      <c r="C113" s="275">
        <v>682968</v>
      </c>
      <c r="D113" s="275">
        <v>676079</v>
      </c>
      <c r="E113" s="275">
        <v>669613</v>
      </c>
      <c r="F113" s="275">
        <v>744414</v>
      </c>
      <c r="G113" s="275">
        <v>750058</v>
      </c>
      <c r="H113" s="275">
        <v>739953</v>
      </c>
      <c r="I113" s="275">
        <v>733470</v>
      </c>
      <c r="J113" s="275">
        <v>752131</v>
      </c>
      <c r="K113" s="275">
        <v>750906</v>
      </c>
      <c r="L113" s="275">
        <v>804112</v>
      </c>
      <c r="M113" s="275">
        <v>852418</v>
      </c>
      <c r="N113" s="275">
        <v>848093</v>
      </c>
      <c r="O113" s="275">
        <v>864402</v>
      </c>
      <c r="P113" s="275">
        <v>876761</v>
      </c>
      <c r="Q113" s="275">
        <v>862419</v>
      </c>
      <c r="R113" s="275">
        <v>1129162</v>
      </c>
      <c r="S113" s="275">
        <v>1118102</v>
      </c>
      <c r="T113" s="275">
        <v>1098187</v>
      </c>
      <c r="U113" s="275">
        <v>1123390</v>
      </c>
      <c r="V113" s="275">
        <v>1123232</v>
      </c>
      <c r="W113" s="275">
        <v>1169471</v>
      </c>
      <c r="X113" s="275">
        <v>1317805</v>
      </c>
    </row>
    <row r="114" spans="1:24" ht="14.25" thickBot="1" x14ac:dyDescent="0.3">
      <c r="A114" s="224" t="s">
        <v>27</v>
      </c>
      <c r="B114" s="273">
        <v>146933</v>
      </c>
      <c r="C114" s="273">
        <v>146364</v>
      </c>
      <c r="D114" s="273">
        <v>143034</v>
      </c>
      <c r="E114" s="273">
        <v>141935</v>
      </c>
      <c r="F114" s="273">
        <v>70722</v>
      </c>
      <c r="G114" s="273">
        <v>76113</v>
      </c>
      <c r="H114" s="273">
        <v>79155</v>
      </c>
      <c r="I114" s="273">
        <v>90685</v>
      </c>
      <c r="J114" s="273">
        <v>92110</v>
      </c>
      <c r="K114" s="273">
        <v>118115</v>
      </c>
      <c r="L114" s="273">
        <v>118608</v>
      </c>
      <c r="M114" s="273">
        <v>95248</v>
      </c>
      <c r="N114" s="273">
        <v>112026</v>
      </c>
      <c r="O114" s="273">
        <v>135831</v>
      </c>
      <c r="P114" s="273">
        <v>150500</v>
      </c>
      <c r="Q114" s="273">
        <v>115796</v>
      </c>
      <c r="R114" s="273">
        <v>482119</v>
      </c>
      <c r="S114" s="273">
        <v>721466</v>
      </c>
      <c r="T114" s="273">
        <v>522360</v>
      </c>
      <c r="U114" s="273">
        <v>670826</v>
      </c>
      <c r="V114" s="273">
        <v>659298</v>
      </c>
      <c r="W114" s="273">
        <v>773167</v>
      </c>
      <c r="X114" s="273">
        <v>880635</v>
      </c>
    </row>
    <row r="115" spans="1:24" ht="14.25" thickBot="1" x14ac:dyDescent="0.3">
      <c r="A115" s="225" t="s">
        <v>265</v>
      </c>
      <c r="B115" s="276">
        <v>1437605</v>
      </c>
      <c r="C115" s="276">
        <v>1490105</v>
      </c>
      <c r="D115" s="276">
        <v>1437494</v>
      </c>
      <c r="E115" s="276">
        <v>1512987</v>
      </c>
      <c r="F115" s="276">
        <v>1610135</v>
      </c>
      <c r="G115" s="276">
        <v>1947029</v>
      </c>
      <c r="H115" s="276">
        <v>1935240</v>
      </c>
      <c r="I115" s="276">
        <v>1999301</v>
      </c>
      <c r="J115" s="276">
        <v>2143037</v>
      </c>
      <c r="K115" s="276">
        <v>2288696</v>
      </c>
      <c r="L115" s="276">
        <v>2207452</v>
      </c>
      <c r="M115" s="276">
        <v>2453349</v>
      </c>
      <c r="N115" s="276">
        <v>2750679</v>
      </c>
      <c r="O115" s="276">
        <v>3013762</v>
      </c>
      <c r="P115" s="276">
        <v>3296040</v>
      </c>
      <c r="Q115" s="276">
        <v>3342093</v>
      </c>
      <c r="R115" s="276">
        <v>4724144</v>
      </c>
      <c r="S115" s="276">
        <v>5284959</v>
      </c>
      <c r="T115" s="276">
        <v>5786659</v>
      </c>
      <c r="U115" s="276">
        <v>6432517</v>
      </c>
      <c r="V115" s="276">
        <v>6116321</v>
      </c>
      <c r="W115" s="276">
        <v>5369179</v>
      </c>
      <c r="X115" s="276">
        <v>5575641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76348</v>
      </c>
      <c r="C118" s="273">
        <v>76881</v>
      </c>
      <c r="D118" s="273">
        <v>53709</v>
      </c>
      <c r="E118" s="273">
        <v>59209</v>
      </c>
      <c r="F118" s="273">
        <v>65779</v>
      </c>
      <c r="G118" s="273">
        <v>66443</v>
      </c>
      <c r="H118" s="273">
        <v>170973</v>
      </c>
      <c r="I118" s="273">
        <v>95250</v>
      </c>
      <c r="J118" s="273">
        <v>72985</v>
      </c>
      <c r="K118" s="273">
        <v>71985</v>
      </c>
      <c r="L118" s="273">
        <v>24248</v>
      </c>
      <c r="M118" s="273">
        <v>25286</v>
      </c>
      <c r="N118" s="273">
        <v>25223</v>
      </c>
      <c r="O118" s="273">
        <v>24695</v>
      </c>
      <c r="P118" s="68">
        <v>0</v>
      </c>
      <c r="Q118" s="273">
        <v>110832</v>
      </c>
      <c r="R118" s="273">
        <v>857423</v>
      </c>
      <c r="S118" s="273">
        <v>524628</v>
      </c>
      <c r="T118" s="273">
        <v>1308082</v>
      </c>
      <c r="U118" s="273">
        <v>1300219</v>
      </c>
      <c r="V118" s="273">
        <v>902084</v>
      </c>
      <c r="W118" s="273">
        <v>462103</v>
      </c>
      <c r="X118" s="273">
        <v>403863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80729</v>
      </c>
      <c r="C120" s="273">
        <v>61694</v>
      </c>
      <c r="D120" s="273">
        <v>70885</v>
      </c>
      <c r="E120" s="273">
        <v>68604</v>
      </c>
      <c r="F120" s="273">
        <v>74151</v>
      </c>
      <c r="G120" s="273">
        <v>98708</v>
      </c>
      <c r="H120" s="273">
        <v>112779</v>
      </c>
      <c r="I120" s="273">
        <v>132491</v>
      </c>
      <c r="J120" s="273">
        <v>124475</v>
      </c>
      <c r="K120" s="273">
        <v>126151</v>
      </c>
      <c r="L120" s="273">
        <v>135317</v>
      </c>
      <c r="M120" s="273">
        <v>137461</v>
      </c>
      <c r="N120" s="273">
        <v>157417</v>
      </c>
      <c r="O120" s="273">
        <v>173332</v>
      </c>
      <c r="P120" s="273">
        <v>183660</v>
      </c>
      <c r="Q120" s="273">
        <v>189132</v>
      </c>
      <c r="R120" s="273">
        <v>244209</v>
      </c>
      <c r="S120" s="273">
        <v>234756</v>
      </c>
      <c r="T120" s="273">
        <v>204355</v>
      </c>
      <c r="U120" s="273">
        <v>253719</v>
      </c>
      <c r="V120" s="273">
        <v>216576</v>
      </c>
      <c r="W120" s="273">
        <v>193223</v>
      </c>
      <c r="X120" s="273">
        <v>208841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273">
        <v>45000</v>
      </c>
      <c r="F122" s="273">
        <v>30000</v>
      </c>
      <c r="G122" s="273">
        <v>250000</v>
      </c>
      <c r="H122" s="68">
        <v>0</v>
      </c>
      <c r="I122" s="68">
        <v>0</v>
      </c>
      <c r="J122" s="68">
        <v>0</v>
      </c>
      <c r="K122" s="68">
        <v>0</v>
      </c>
      <c r="L122" s="273">
        <v>110000</v>
      </c>
      <c r="M122" s="273">
        <v>29550</v>
      </c>
      <c r="N122" s="273">
        <v>47854</v>
      </c>
      <c r="O122" s="273">
        <v>85750</v>
      </c>
      <c r="P122" s="273">
        <v>22056</v>
      </c>
      <c r="Q122" s="273">
        <v>16354</v>
      </c>
      <c r="R122" s="273">
        <v>9054</v>
      </c>
      <c r="S122" s="273">
        <v>2615</v>
      </c>
      <c r="T122" s="273">
        <v>418555</v>
      </c>
      <c r="U122" s="273">
        <v>548563</v>
      </c>
      <c r="V122" s="273">
        <v>547000</v>
      </c>
      <c r="W122" s="68">
        <v>0</v>
      </c>
      <c r="X122" s="273">
        <v>681693</v>
      </c>
    </row>
    <row r="123" spans="1:24" ht="14.25" thickBot="1" x14ac:dyDescent="0.3">
      <c r="A123" s="225" t="s">
        <v>31</v>
      </c>
      <c r="B123" s="275">
        <v>77317</v>
      </c>
      <c r="C123" s="275">
        <v>212187</v>
      </c>
      <c r="D123" s="275">
        <v>106777</v>
      </c>
      <c r="E123" s="275">
        <v>104685</v>
      </c>
      <c r="F123" s="275">
        <v>111703</v>
      </c>
      <c r="G123" s="275">
        <v>349575</v>
      </c>
      <c r="H123" s="275">
        <v>121457</v>
      </c>
      <c r="I123" s="275">
        <v>131650</v>
      </c>
      <c r="J123" s="275">
        <v>162140</v>
      </c>
      <c r="K123" s="275">
        <v>524939</v>
      </c>
      <c r="L123" s="275">
        <v>165205</v>
      </c>
      <c r="M123" s="275">
        <v>249639</v>
      </c>
      <c r="N123" s="275">
        <v>255235</v>
      </c>
      <c r="O123" s="275">
        <v>658478</v>
      </c>
      <c r="P123" s="275">
        <v>794419</v>
      </c>
      <c r="Q123" s="275">
        <v>265820</v>
      </c>
      <c r="R123" s="275">
        <v>362705</v>
      </c>
      <c r="S123" s="275">
        <v>1080376</v>
      </c>
      <c r="T123" s="275">
        <v>291503</v>
      </c>
      <c r="U123" s="275">
        <v>377800</v>
      </c>
      <c r="V123" s="275">
        <v>369713</v>
      </c>
      <c r="W123" s="275">
        <v>1093975</v>
      </c>
      <c r="X123" s="275">
        <v>1055065</v>
      </c>
    </row>
    <row r="124" spans="1:24" ht="14.25" thickBot="1" x14ac:dyDescent="0.3">
      <c r="A124" s="224" t="s">
        <v>268</v>
      </c>
      <c r="B124" s="273">
        <v>234394</v>
      </c>
      <c r="C124" s="273">
        <v>350762</v>
      </c>
      <c r="D124" s="273">
        <v>231371</v>
      </c>
      <c r="E124" s="273">
        <v>277498</v>
      </c>
      <c r="F124" s="273">
        <v>281633</v>
      </c>
      <c r="G124" s="273">
        <v>764726</v>
      </c>
      <c r="H124" s="273">
        <v>405209</v>
      </c>
      <c r="I124" s="273">
        <v>359391</v>
      </c>
      <c r="J124" s="273">
        <v>359600</v>
      </c>
      <c r="K124" s="273">
        <v>723075</v>
      </c>
      <c r="L124" s="273">
        <v>434770</v>
      </c>
      <c r="M124" s="273">
        <v>441936</v>
      </c>
      <c r="N124" s="273">
        <v>485729</v>
      </c>
      <c r="O124" s="273">
        <v>942255</v>
      </c>
      <c r="P124" s="273">
        <v>1000135</v>
      </c>
      <c r="Q124" s="273">
        <v>582138</v>
      </c>
      <c r="R124" s="273">
        <v>1473391</v>
      </c>
      <c r="S124" s="273">
        <v>1842375</v>
      </c>
      <c r="T124" s="273">
        <v>2222495</v>
      </c>
      <c r="U124" s="273">
        <v>2480301</v>
      </c>
      <c r="V124" s="273">
        <v>2035373</v>
      </c>
      <c r="W124" s="273">
        <v>1749301</v>
      </c>
      <c r="X124" s="273">
        <v>2349462</v>
      </c>
    </row>
    <row r="125" spans="1:24" ht="14.25" thickBot="1" x14ac:dyDescent="0.3">
      <c r="A125" s="225" t="s">
        <v>32</v>
      </c>
      <c r="B125" s="275">
        <v>65000</v>
      </c>
      <c r="C125" s="275">
        <v>45000</v>
      </c>
      <c r="D125" s="275">
        <v>45000</v>
      </c>
      <c r="E125" s="274">
        <v>0</v>
      </c>
      <c r="F125" s="275">
        <v>6963</v>
      </c>
      <c r="G125" s="275">
        <v>7983</v>
      </c>
      <c r="H125" s="275">
        <v>273984</v>
      </c>
      <c r="I125" s="275">
        <v>221127</v>
      </c>
      <c r="J125" s="275">
        <v>183710</v>
      </c>
      <c r="K125" s="275">
        <v>107308</v>
      </c>
      <c r="L125" s="275">
        <v>96978</v>
      </c>
      <c r="M125" s="275">
        <v>19712</v>
      </c>
      <c r="N125" s="275">
        <v>18338</v>
      </c>
      <c r="O125" s="275">
        <v>16640</v>
      </c>
      <c r="P125" s="275">
        <v>20980</v>
      </c>
      <c r="Q125" s="275">
        <v>222895</v>
      </c>
      <c r="R125" s="275">
        <v>275720</v>
      </c>
      <c r="S125" s="275">
        <v>927612</v>
      </c>
      <c r="T125" s="275">
        <v>703216</v>
      </c>
      <c r="U125" s="275">
        <v>709591</v>
      </c>
      <c r="V125" s="275">
        <v>734193</v>
      </c>
      <c r="W125" s="275">
        <v>736519</v>
      </c>
      <c r="X125" s="275">
        <v>57620</v>
      </c>
    </row>
    <row r="126" spans="1:24" ht="14.25" thickBot="1" x14ac:dyDescent="0.3">
      <c r="A126" s="224" t="s">
        <v>33</v>
      </c>
      <c r="B126" s="273">
        <v>4732</v>
      </c>
      <c r="C126" s="273">
        <v>5036</v>
      </c>
      <c r="D126" s="273">
        <v>4406</v>
      </c>
      <c r="E126" s="273">
        <v>4347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304126</v>
      </c>
      <c r="C127" s="275">
        <v>400798</v>
      </c>
      <c r="D127" s="275">
        <v>280777</v>
      </c>
      <c r="E127" s="275">
        <v>281845</v>
      </c>
      <c r="F127" s="275">
        <v>288596</v>
      </c>
      <c r="G127" s="275">
        <v>772709</v>
      </c>
      <c r="H127" s="275">
        <v>679193</v>
      </c>
      <c r="I127" s="275">
        <v>580518</v>
      </c>
      <c r="J127" s="275">
        <v>543310</v>
      </c>
      <c r="K127" s="275">
        <v>830383</v>
      </c>
      <c r="L127" s="275">
        <v>531748</v>
      </c>
      <c r="M127" s="275">
        <v>461648</v>
      </c>
      <c r="N127" s="275">
        <v>504067</v>
      </c>
      <c r="O127" s="275">
        <v>958895</v>
      </c>
      <c r="P127" s="275">
        <v>1021115</v>
      </c>
      <c r="Q127" s="275">
        <v>805033</v>
      </c>
      <c r="R127" s="275">
        <v>1749111</v>
      </c>
      <c r="S127" s="275">
        <v>2769987</v>
      </c>
      <c r="T127" s="275">
        <v>2925711</v>
      </c>
      <c r="U127" s="275">
        <v>3189892</v>
      </c>
      <c r="V127" s="275">
        <v>2769566</v>
      </c>
      <c r="W127" s="275">
        <v>2485820</v>
      </c>
      <c r="X127" s="275">
        <v>2407082</v>
      </c>
    </row>
    <row r="128" spans="1:24" ht="14.25" thickBot="1" x14ac:dyDescent="0.3">
      <c r="A128" s="224" t="s">
        <v>34</v>
      </c>
      <c r="B128" s="273">
        <v>1133479</v>
      </c>
      <c r="C128" s="273">
        <v>1089307</v>
      </c>
      <c r="D128" s="273">
        <v>1156717</v>
      </c>
      <c r="E128" s="273">
        <v>1231142</v>
      </c>
      <c r="F128" s="273">
        <v>1321539</v>
      </c>
      <c r="G128" s="273">
        <v>1174320</v>
      </c>
      <c r="H128" s="273">
        <v>1256047</v>
      </c>
      <c r="I128" s="273">
        <v>1418783</v>
      </c>
      <c r="J128" s="273">
        <v>1599727</v>
      </c>
      <c r="K128" s="273">
        <v>1458313</v>
      </c>
      <c r="L128" s="273">
        <v>1675704</v>
      </c>
      <c r="M128" s="273">
        <v>1991701</v>
      </c>
      <c r="N128" s="273">
        <v>2246612</v>
      </c>
      <c r="O128" s="273">
        <v>2054867</v>
      </c>
      <c r="P128" s="273">
        <v>2274925</v>
      </c>
      <c r="Q128" s="273">
        <v>2537060</v>
      </c>
      <c r="R128" s="273">
        <v>2975033</v>
      </c>
      <c r="S128" s="273">
        <v>2514972</v>
      </c>
      <c r="T128" s="273">
        <v>2860948</v>
      </c>
      <c r="U128" s="273">
        <v>3242625</v>
      </c>
      <c r="V128" s="273">
        <v>3346755</v>
      </c>
      <c r="W128" s="273">
        <v>2883359</v>
      </c>
      <c r="X128" s="273">
        <v>3168559</v>
      </c>
    </row>
    <row r="129" spans="1:24" ht="14.25" thickBot="1" x14ac:dyDescent="0.3">
      <c r="A129" s="225" t="s">
        <v>35</v>
      </c>
      <c r="B129" s="276">
        <v>1437605</v>
      </c>
      <c r="C129" s="276">
        <v>1490105</v>
      </c>
      <c r="D129" s="276">
        <v>1437494</v>
      </c>
      <c r="E129" s="276">
        <v>1512987</v>
      </c>
      <c r="F129" s="276">
        <v>1610135</v>
      </c>
      <c r="G129" s="276">
        <v>1947029</v>
      </c>
      <c r="H129" s="276">
        <v>1935240</v>
      </c>
      <c r="I129" s="276">
        <v>1999301</v>
      </c>
      <c r="J129" s="276">
        <v>2143037</v>
      </c>
      <c r="K129" s="276">
        <v>2288696</v>
      </c>
      <c r="L129" s="276">
        <v>2207452</v>
      </c>
      <c r="M129" s="276">
        <v>2453349</v>
      </c>
      <c r="N129" s="276">
        <v>2750679</v>
      </c>
      <c r="O129" s="276">
        <v>3013762</v>
      </c>
      <c r="P129" s="276">
        <v>3296040</v>
      </c>
      <c r="Q129" s="276">
        <v>3342093</v>
      </c>
      <c r="R129" s="276">
        <v>4724144</v>
      </c>
      <c r="S129" s="276">
        <v>5284959</v>
      </c>
      <c r="T129" s="276">
        <v>5786659</v>
      </c>
      <c r="U129" s="276">
        <v>6432517</v>
      </c>
      <c r="V129" s="276">
        <v>6116321</v>
      </c>
      <c r="W129" s="276">
        <v>5369179</v>
      </c>
      <c r="X129" s="276">
        <v>5575641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5.42</v>
      </c>
      <c r="C132" s="68">
        <v>5.6</v>
      </c>
      <c r="D132" s="68">
        <v>8.9</v>
      </c>
      <c r="E132" s="68">
        <v>11.32</v>
      </c>
      <c r="F132" s="68">
        <v>13.3</v>
      </c>
    </row>
    <row r="133" spans="1:24" ht="14.25" thickBot="1" x14ac:dyDescent="0.3">
      <c r="A133" s="225" t="s">
        <v>37</v>
      </c>
      <c r="B133" s="274">
        <v>-0.78</v>
      </c>
      <c r="C133" s="274">
        <v>-0.57999999999999996</v>
      </c>
      <c r="D133" s="274">
        <v>-2.23</v>
      </c>
      <c r="E133" s="274">
        <v>-1.48</v>
      </c>
      <c r="F133" s="274">
        <v>-5.83</v>
      </c>
    </row>
    <row r="134" spans="1:24" ht="14.25" thickBot="1" x14ac:dyDescent="0.3">
      <c r="A134" s="224" t="s">
        <v>38</v>
      </c>
      <c r="B134" s="68">
        <v>-3.7</v>
      </c>
      <c r="C134" s="68">
        <v>0.13</v>
      </c>
      <c r="D134" s="68">
        <v>-6.18</v>
      </c>
      <c r="E134" s="68">
        <v>-3.52</v>
      </c>
      <c r="F134" s="68">
        <v>14.47</v>
      </c>
    </row>
    <row r="135" spans="1:24" ht="14.25" thickBot="1" x14ac:dyDescent="0.3">
      <c r="A135" s="225" t="s">
        <v>270</v>
      </c>
      <c r="B135" s="274">
        <v>4.6500000000000004</v>
      </c>
      <c r="C135" s="274">
        <v>5.0199999999999996</v>
      </c>
      <c r="D135" s="274">
        <v>6.67</v>
      </c>
      <c r="E135" s="274">
        <v>9.85</v>
      </c>
      <c r="F135" s="274">
        <v>7.47</v>
      </c>
    </row>
    <row r="136" spans="1:24" ht="14.25" thickBot="1" x14ac:dyDescent="0.3">
      <c r="A136" s="229" t="s">
        <v>39</v>
      </c>
      <c r="B136" s="72">
        <v>0.94</v>
      </c>
      <c r="C136" s="72">
        <v>5.15</v>
      </c>
      <c r="D136" s="72">
        <v>0.48</v>
      </c>
      <c r="E136" s="72">
        <v>6.33</v>
      </c>
      <c r="F136" s="72">
        <v>21.94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借錢配息?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4</v>
      </c>
      <c r="C140" s="68">
        <v>6</v>
      </c>
      <c r="D140" s="68">
        <v>8</v>
      </c>
      <c r="E140" s="68">
        <v>9</v>
      </c>
      <c r="F140" s="68">
        <v>8.5</v>
      </c>
    </row>
    <row r="141" spans="1:24" ht="14.25" thickBot="1" x14ac:dyDescent="0.3">
      <c r="A141" s="227" t="s">
        <v>1</v>
      </c>
      <c r="B141" s="73">
        <v>0</v>
      </c>
      <c r="C141" s="73">
        <v>1.5</v>
      </c>
      <c r="D141" s="73">
        <v>1.5</v>
      </c>
      <c r="E141" s="73">
        <v>1</v>
      </c>
      <c r="F141" s="73">
        <v>1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0.96618357487922713</v>
      </c>
      <c r="C142" s="234">
        <f>IF(C140&lt;&gt;"無",IF(ISNA(HLOOKUP(C139,$B$64:$F$69,6,FALSE)),"",C140/HLOOKUP(C139,$B$64:$F$69,6,FALSE)),"")</f>
        <v>1</v>
      </c>
      <c r="D142" s="234">
        <f>IF(D140&lt;&gt;"無",IF(ISNA(HLOOKUP(D139,$B$64:$F$69,6,FALSE)),"",D140/HLOOKUP(D139,$B$64:$F$69,6,FALSE)),"")</f>
        <v>0.72137060414788101</v>
      </c>
      <c r="E142" s="234">
        <f>IF(E140&lt;&gt;"無",IF(ISNA(HLOOKUP(E139,$B$64:$F$69,6,FALSE)),"",E140/HLOOKUP(E139,$B$64:$F$69,6,FALSE)),"")</f>
        <v>0.60120240480961917</v>
      </c>
      <c r="F142" s="234">
        <f>IF(F140&lt;&gt;"無",IF(ISNA(HLOOKUP(F139,$B$64:$F$69,6,FALSE)),"",F140/HLOOKUP(F139,$B$64:$F$69,6,FALSE)),"")</f>
        <v>0.65284178187403985</v>
      </c>
    </row>
    <row r="143" spans="1:24" x14ac:dyDescent="0.25">
      <c r="A143" s="233" t="s">
        <v>216</v>
      </c>
      <c r="B143" s="234">
        <f>IF(OR(B140=0,B140="無"),"",B135/B140)</f>
        <v>1.1625000000000001</v>
      </c>
      <c r="C143" s="234">
        <f>IF(OR(C140=0,C140="無"),"",C135/C140)</f>
        <v>0.83666666666666656</v>
      </c>
      <c r="D143" s="234">
        <f>IF(OR(D140=0,D140="無"),"",D135/D140)</f>
        <v>0.83374999999999999</v>
      </c>
      <c r="E143" s="234">
        <f>IF(OR(E140=0,E140="無"),"",E135/E140)</f>
        <v>1.0944444444444443</v>
      </c>
      <c r="F143" s="234">
        <f>IF(OR(F140=0,F140="無"),"",F135/F140)</f>
        <v>0.87882352941176467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35.39</v>
      </c>
      <c r="C146" s="68">
        <v>37.31</v>
      </c>
      <c r="D146" s="68">
        <v>40.15</v>
      </c>
      <c r="E146" s="68">
        <v>41.26</v>
      </c>
      <c r="F146" s="68">
        <v>41.85</v>
      </c>
      <c r="G146" s="68">
        <v>43.8</v>
      </c>
      <c r="H146" s="68">
        <v>42.65</v>
      </c>
      <c r="I146" s="68">
        <v>44.03</v>
      </c>
      <c r="J146" s="68">
        <v>47.94</v>
      </c>
      <c r="K146" s="68">
        <v>49.01</v>
      </c>
      <c r="L146" s="68">
        <v>50.24</v>
      </c>
      <c r="M146" s="68">
        <v>53.49</v>
      </c>
      <c r="N146" s="68">
        <v>55.65</v>
      </c>
      <c r="O146" s="68">
        <v>55.95</v>
      </c>
      <c r="P146" s="68">
        <v>54.29</v>
      </c>
      <c r="Q146" s="68">
        <v>55.58</v>
      </c>
      <c r="R146" s="68">
        <v>55.65</v>
      </c>
      <c r="S146" s="68">
        <v>56.15</v>
      </c>
      <c r="T146" s="68">
        <v>55.46</v>
      </c>
      <c r="U146" s="68">
        <v>49.65</v>
      </c>
      <c r="V146" s="68">
        <v>53.88</v>
      </c>
      <c r="W146" s="68">
        <v>51.2</v>
      </c>
      <c r="X146" s="68">
        <v>51.22</v>
      </c>
    </row>
    <row r="147" spans="1:24" s="93" customFormat="1" ht="14.25" thickBot="1" x14ac:dyDescent="0.3">
      <c r="A147" s="225" t="s">
        <v>19</v>
      </c>
      <c r="B147" s="274">
        <v>20.11</v>
      </c>
      <c r="C147" s="274">
        <v>22.25</v>
      </c>
      <c r="D147" s="274">
        <v>23.49</v>
      </c>
      <c r="E147" s="274">
        <v>24.04</v>
      </c>
      <c r="F147" s="274">
        <v>24.14</v>
      </c>
      <c r="G147" s="274">
        <v>27.15</v>
      </c>
      <c r="H147" s="274">
        <v>26.59</v>
      </c>
      <c r="I147" s="274">
        <v>31.15</v>
      </c>
      <c r="J147" s="274">
        <v>34.65</v>
      </c>
      <c r="K147" s="274">
        <v>37.97</v>
      </c>
      <c r="L147" s="274">
        <v>38.200000000000003</v>
      </c>
      <c r="M147" s="274">
        <v>40.47</v>
      </c>
      <c r="N147" s="274">
        <v>44.99</v>
      </c>
      <c r="O147" s="274">
        <v>44.92</v>
      </c>
      <c r="P147" s="274">
        <v>42.97</v>
      </c>
      <c r="Q147" s="274">
        <v>44.27</v>
      </c>
      <c r="R147" s="274">
        <v>43.17</v>
      </c>
      <c r="S147" s="274">
        <v>39.68</v>
      </c>
      <c r="T147" s="274">
        <v>42.61</v>
      </c>
      <c r="U147" s="274">
        <v>32.840000000000003</v>
      </c>
      <c r="V147" s="274">
        <v>38.07</v>
      </c>
      <c r="W147" s="274">
        <v>34.18</v>
      </c>
      <c r="X147" s="274">
        <v>34.869999999999997</v>
      </c>
    </row>
    <row r="148" spans="1:24" s="93" customFormat="1" ht="14.25" thickBot="1" x14ac:dyDescent="0.3">
      <c r="A148" s="224" t="s">
        <v>41</v>
      </c>
      <c r="B148" s="68">
        <v>18.489999999999998</v>
      </c>
      <c r="C148" s="68">
        <v>23.06</v>
      </c>
      <c r="D148" s="68">
        <v>21.88</v>
      </c>
      <c r="E148" s="68">
        <v>24</v>
      </c>
      <c r="F148" s="68">
        <v>27.52</v>
      </c>
      <c r="G148" s="68">
        <v>29.1</v>
      </c>
      <c r="H148" s="68">
        <v>24.84</v>
      </c>
      <c r="I148" s="68">
        <v>32.659999999999997</v>
      </c>
      <c r="J148" s="68">
        <v>37.619999999999997</v>
      </c>
      <c r="K148" s="68">
        <v>36.08</v>
      </c>
      <c r="L148" s="68">
        <v>41.93</v>
      </c>
      <c r="M148" s="68">
        <v>46.2</v>
      </c>
      <c r="N148" s="68">
        <v>44.27</v>
      </c>
      <c r="O148" s="68">
        <v>42.87</v>
      </c>
      <c r="P148" s="68">
        <v>53.71</v>
      </c>
      <c r="Q148" s="68">
        <v>43.64</v>
      </c>
      <c r="R148" s="68">
        <v>38.19</v>
      </c>
      <c r="S148" s="68">
        <v>40.33</v>
      </c>
      <c r="T148" s="68">
        <v>35.71</v>
      </c>
      <c r="U148" s="68">
        <v>43.12</v>
      </c>
      <c r="V148" s="68">
        <v>19.73</v>
      </c>
      <c r="W148" s="68">
        <v>39.68</v>
      </c>
      <c r="X148" s="68">
        <v>33.5</v>
      </c>
    </row>
    <row r="149" spans="1:24" s="93" customFormat="1" ht="14.25" thickBot="1" x14ac:dyDescent="0.3">
      <c r="A149" s="225" t="s">
        <v>13</v>
      </c>
      <c r="B149" s="73">
        <v>15.94</v>
      </c>
      <c r="C149" s="73">
        <v>19.73</v>
      </c>
      <c r="D149" s="73">
        <v>19.170000000000002</v>
      </c>
      <c r="E149" s="73">
        <v>19.89</v>
      </c>
      <c r="F149" s="73">
        <v>23.77</v>
      </c>
      <c r="G149" s="73">
        <v>25.34</v>
      </c>
      <c r="H149" s="73">
        <v>20.81</v>
      </c>
      <c r="I149" s="73">
        <v>27.09</v>
      </c>
      <c r="J149" s="73">
        <v>32.200000000000003</v>
      </c>
      <c r="K149" s="73">
        <v>30.23</v>
      </c>
      <c r="L149" s="73">
        <v>36.979999999999997</v>
      </c>
      <c r="M149" s="73">
        <v>37.94</v>
      </c>
      <c r="N149" s="73">
        <v>39.1</v>
      </c>
      <c r="O149" s="73">
        <v>36.17</v>
      </c>
      <c r="P149" s="73">
        <v>46.21</v>
      </c>
      <c r="Q149" s="73">
        <v>37.35</v>
      </c>
      <c r="R149" s="73">
        <v>32.69</v>
      </c>
      <c r="S149" s="73">
        <v>32.020000000000003</v>
      </c>
      <c r="T149" s="73">
        <v>30.07</v>
      </c>
      <c r="U149" s="73">
        <v>35.93</v>
      </c>
      <c r="V149" s="73">
        <v>17.309999999999999</v>
      </c>
      <c r="W149" s="73">
        <v>34.31</v>
      </c>
      <c r="X149" s="73">
        <v>30.09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38.64</v>
      </c>
      <c r="C152" s="68">
        <v>43.15</v>
      </c>
      <c r="D152" s="68">
        <v>50.43</v>
      </c>
      <c r="E152" s="68">
        <v>55.36</v>
      </c>
      <c r="F152" s="68">
        <v>54.29</v>
      </c>
    </row>
    <row r="153" spans="1:24" s="93" customFormat="1" ht="14.25" thickBot="1" x14ac:dyDescent="0.3">
      <c r="A153" s="225" t="s">
        <v>19</v>
      </c>
      <c r="B153" s="274">
        <v>22.56</v>
      </c>
      <c r="C153" s="274">
        <v>27.51</v>
      </c>
      <c r="D153" s="274">
        <v>38.090000000000003</v>
      </c>
      <c r="E153" s="274">
        <v>44.26</v>
      </c>
      <c r="F153" s="274">
        <v>39.659999999999997</v>
      </c>
    </row>
    <row r="154" spans="1:24" s="93" customFormat="1" ht="14.25" thickBot="1" x14ac:dyDescent="0.3">
      <c r="A154" s="224" t="s">
        <v>41</v>
      </c>
      <c r="B154" s="68">
        <v>22</v>
      </c>
      <c r="C154" s="68">
        <v>28.74</v>
      </c>
      <c r="D154" s="68">
        <v>40.86</v>
      </c>
      <c r="E154" s="68">
        <v>46.2</v>
      </c>
      <c r="F154" s="68">
        <v>39.26</v>
      </c>
    </row>
    <row r="155" spans="1:24" s="93" customFormat="1" ht="14.25" thickBot="1" x14ac:dyDescent="0.3">
      <c r="A155" s="225" t="s">
        <v>13</v>
      </c>
      <c r="B155" s="73">
        <v>18.8</v>
      </c>
      <c r="C155" s="73">
        <v>24.39</v>
      </c>
      <c r="D155" s="73">
        <v>34.590000000000003</v>
      </c>
      <c r="E155" s="73">
        <v>39.76</v>
      </c>
      <c r="F155" s="73">
        <v>32.6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3.27</v>
      </c>
      <c r="C158" s="68">
        <v>4.91</v>
      </c>
      <c r="D158" s="68">
        <v>4.58</v>
      </c>
      <c r="E158" s="68">
        <v>4.6900000000000004</v>
      </c>
      <c r="F158" s="68">
        <v>5.1100000000000003</v>
      </c>
      <c r="G158" s="68">
        <v>5.22</v>
      </c>
      <c r="H158" s="68">
        <v>3.98</v>
      </c>
      <c r="I158" s="68">
        <v>6.07</v>
      </c>
      <c r="J158" s="68">
        <v>6.95</v>
      </c>
      <c r="K158" s="68">
        <v>7.41</v>
      </c>
      <c r="L158" s="68">
        <v>8.68</v>
      </c>
      <c r="M158" s="68">
        <v>10.58</v>
      </c>
      <c r="N158" s="68">
        <v>9.92</v>
      </c>
      <c r="O158" s="68">
        <v>8.69</v>
      </c>
      <c r="P158" s="68">
        <v>10.7</v>
      </c>
      <c r="Q158" s="68">
        <v>8.35</v>
      </c>
      <c r="R158" s="68">
        <v>6.77</v>
      </c>
      <c r="S158" s="68">
        <v>5.64</v>
      </c>
      <c r="T158" s="68">
        <v>4.9800000000000004</v>
      </c>
      <c r="U158" s="68">
        <v>4.91</v>
      </c>
      <c r="V158" s="68">
        <v>2.38</v>
      </c>
      <c r="W158" s="68">
        <v>5.4</v>
      </c>
      <c r="X158" s="68">
        <v>5.09</v>
      </c>
    </row>
    <row r="159" spans="1:24" s="93" customFormat="1" ht="14.25" thickBot="1" x14ac:dyDescent="0.3">
      <c r="A159" s="225" t="s">
        <v>45</v>
      </c>
      <c r="B159" s="73">
        <v>4.17</v>
      </c>
      <c r="C159" s="73">
        <v>6.38</v>
      </c>
      <c r="D159" s="73">
        <v>5.89</v>
      </c>
      <c r="E159" s="73">
        <v>5.73</v>
      </c>
      <c r="F159" s="73">
        <v>6.2</v>
      </c>
      <c r="G159" s="73">
        <v>7.39</v>
      </c>
      <c r="H159" s="73">
        <v>6.28</v>
      </c>
      <c r="I159" s="73">
        <v>8.82</v>
      </c>
      <c r="J159" s="73">
        <v>9.4499999999999993</v>
      </c>
      <c r="K159" s="73">
        <v>10.68</v>
      </c>
      <c r="L159" s="73">
        <v>12.42</v>
      </c>
      <c r="M159" s="73">
        <v>13.36</v>
      </c>
      <c r="N159" s="73">
        <v>12.17</v>
      </c>
      <c r="O159" s="73">
        <v>11.64</v>
      </c>
      <c r="P159" s="73">
        <v>15.59</v>
      </c>
      <c r="Q159" s="73">
        <v>11.49</v>
      </c>
      <c r="R159" s="73">
        <v>9.81</v>
      </c>
      <c r="S159" s="73">
        <v>10.17</v>
      </c>
      <c r="T159" s="73">
        <v>10.07</v>
      </c>
      <c r="U159" s="73">
        <v>9.6199999999999992</v>
      </c>
      <c r="V159" s="73">
        <v>4.3600000000000003</v>
      </c>
      <c r="W159" s="73">
        <v>9.81</v>
      </c>
      <c r="X159" s="73">
        <v>9.1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18.8</v>
      </c>
      <c r="C162" s="68">
        <v>24.39</v>
      </c>
      <c r="D162" s="68">
        <v>34.590000000000003</v>
      </c>
      <c r="E162" s="68">
        <v>39.76</v>
      </c>
      <c r="F162" s="68">
        <v>32.6</v>
      </c>
    </row>
    <row r="163" spans="1:72" s="93" customFormat="1" ht="14.25" thickBot="1" x14ac:dyDescent="0.3">
      <c r="A163" s="225" t="s">
        <v>18</v>
      </c>
      <c r="B163" s="274">
        <v>0.88</v>
      </c>
      <c r="C163" s="274">
        <v>0.75</v>
      </c>
      <c r="D163" s="274">
        <v>0.88</v>
      </c>
      <c r="E163" s="274">
        <v>0.84</v>
      </c>
      <c r="F163" s="274">
        <v>0.53</v>
      </c>
    </row>
    <row r="164" spans="1:72" s="93" customFormat="1" ht="14.25" thickBot="1" x14ac:dyDescent="0.3">
      <c r="A164" s="224" t="s">
        <v>15</v>
      </c>
      <c r="B164" s="68">
        <v>1.23</v>
      </c>
      <c r="C164" s="68">
        <v>1.41</v>
      </c>
      <c r="D164" s="68">
        <v>1.23</v>
      </c>
      <c r="E164" s="68">
        <v>1.32</v>
      </c>
      <c r="F164" s="68">
        <v>1.98</v>
      </c>
    </row>
    <row r="165" spans="1:72" s="93" customFormat="1" ht="14.25" thickBot="1" x14ac:dyDescent="0.3">
      <c r="A165" s="225" t="s">
        <v>45</v>
      </c>
      <c r="B165" s="73">
        <v>21.74</v>
      </c>
      <c r="C165" s="73">
        <v>27.6</v>
      </c>
      <c r="D165" s="73">
        <v>43.72</v>
      </c>
      <c r="E165" s="73">
        <v>49.55</v>
      </c>
      <c r="F165" s="73">
        <v>38.549999999999997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70.87</v>
      </c>
      <c r="C168" s="68">
        <v>66.67</v>
      </c>
      <c r="D168" s="68">
        <v>76.27</v>
      </c>
      <c r="E168" s="68">
        <v>76.27</v>
      </c>
      <c r="F168" s="68">
        <v>76.92</v>
      </c>
      <c r="G168" s="68">
        <v>72</v>
      </c>
      <c r="H168" s="68">
        <v>77.59</v>
      </c>
      <c r="I168" s="68">
        <v>76.92</v>
      </c>
      <c r="J168" s="68">
        <v>92.78</v>
      </c>
      <c r="K168" s="68">
        <v>87.38</v>
      </c>
      <c r="L168" s="68">
        <v>105.88</v>
      </c>
      <c r="M168" s="68">
        <v>90</v>
      </c>
      <c r="N168" s="68">
        <v>90</v>
      </c>
      <c r="O168" s="68">
        <v>100</v>
      </c>
      <c r="P168" s="68">
        <v>111.11</v>
      </c>
      <c r="Q168" s="68">
        <v>115.38</v>
      </c>
      <c r="R168" s="68">
        <v>107.14</v>
      </c>
      <c r="S168" s="68">
        <v>112.5</v>
      </c>
      <c r="T168" s="68">
        <v>116.88</v>
      </c>
      <c r="U168" s="68">
        <v>121.62</v>
      </c>
      <c r="V168" s="68">
        <v>111.11</v>
      </c>
      <c r="W168" s="68">
        <v>109.76</v>
      </c>
      <c r="X168" s="68">
        <v>118.42</v>
      </c>
    </row>
    <row r="169" spans="1:72" s="93" customFormat="1" ht="14.25" thickBot="1" x14ac:dyDescent="0.3">
      <c r="A169" s="225" t="s">
        <v>17</v>
      </c>
      <c r="B169" s="274">
        <v>123.29</v>
      </c>
      <c r="C169" s="274">
        <v>101.12</v>
      </c>
      <c r="D169" s="274">
        <v>109.76</v>
      </c>
      <c r="E169" s="274">
        <v>116.88</v>
      </c>
      <c r="F169" s="274">
        <v>126.76</v>
      </c>
      <c r="G169" s="274">
        <v>121.62</v>
      </c>
      <c r="H169" s="274">
        <v>118.42</v>
      </c>
      <c r="I169" s="274">
        <v>107.14</v>
      </c>
      <c r="J169" s="274">
        <v>116.88</v>
      </c>
      <c r="K169" s="274">
        <v>100</v>
      </c>
      <c r="L169" s="274">
        <v>108.43</v>
      </c>
      <c r="M169" s="274">
        <v>98.9</v>
      </c>
      <c r="N169" s="274">
        <v>107.14</v>
      </c>
      <c r="O169" s="274">
        <v>107.14</v>
      </c>
      <c r="P169" s="274">
        <v>98.9</v>
      </c>
      <c r="Q169" s="274">
        <v>101.12</v>
      </c>
      <c r="R169" s="274">
        <v>105.88</v>
      </c>
      <c r="S169" s="274">
        <v>118.42</v>
      </c>
      <c r="T169" s="274">
        <v>109.76</v>
      </c>
      <c r="U169" s="274">
        <v>108.43</v>
      </c>
      <c r="V169" s="274">
        <v>125</v>
      </c>
      <c r="W169" s="274">
        <v>116.88</v>
      </c>
      <c r="X169" s="274">
        <v>109.76</v>
      </c>
    </row>
    <row r="170" spans="1:72" s="93" customFormat="1" ht="14.25" thickBot="1" x14ac:dyDescent="0.3">
      <c r="A170" s="224" t="s">
        <v>42</v>
      </c>
      <c r="B170" s="72">
        <v>194.15</v>
      </c>
      <c r="C170" s="72">
        <v>167.79</v>
      </c>
      <c r="D170" s="72">
        <v>186.03</v>
      </c>
      <c r="E170" s="72">
        <v>193.15</v>
      </c>
      <c r="F170" s="72">
        <v>203.68</v>
      </c>
      <c r="G170" s="72">
        <v>193.62</v>
      </c>
      <c r="H170" s="72">
        <v>196.01</v>
      </c>
      <c r="I170" s="72">
        <v>184.07</v>
      </c>
      <c r="J170" s="72">
        <v>209.67</v>
      </c>
      <c r="K170" s="72">
        <v>187.38</v>
      </c>
      <c r="L170" s="72">
        <v>214.32</v>
      </c>
      <c r="M170" s="72">
        <v>188.9</v>
      </c>
      <c r="N170" s="72">
        <v>197.14</v>
      </c>
      <c r="O170" s="72">
        <v>207.14</v>
      </c>
      <c r="P170" s="72">
        <v>210.01</v>
      </c>
      <c r="Q170" s="72">
        <v>216.51</v>
      </c>
      <c r="R170" s="72">
        <v>213.03</v>
      </c>
      <c r="S170" s="72">
        <v>230.92</v>
      </c>
      <c r="T170" s="72">
        <v>226.64</v>
      </c>
      <c r="U170" s="72">
        <v>230.06</v>
      </c>
      <c r="V170" s="72">
        <v>236.11</v>
      </c>
      <c r="W170" s="72">
        <v>226.64</v>
      </c>
      <c r="X170" s="72">
        <v>228.18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129.97</v>
      </c>
      <c r="C173" s="72">
        <v>93.11</v>
      </c>
      <c r="D173" s="72">
        <v>85.23</v>
      </c>
      <c r="E173" s="72">
        <v>83.99</v>
      </c>
      <c r="F173" s="72">
        <v>109.73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13.38</v>
      </c>
      <c r="C176" s="72">
        <v>16.149999999999999</v>
      </c>
      <c r="D176" s="72">
        <v>19.88</v>
      </c>
      <c r="E176" s="72">
        <v>21.92</v>
      </c>
      <c r="F176" s="72">
        <v>20.12</v>
      </c>
      <c r="G176" s="72">
        <v>19.14</v>
      </c>
      <c r="H176" s="72">
        <v>21</v>
      </c>
      <c r="I176" s="72">
        <v>16.86</v>
      </c>
      <c r="J176" s="72">
        <v>18.59</v>
      </c>
      <c r="K176" s="72">
        <v>18.82</v>
      </c>
      <c r="L176" s="72">
        <v>18.579999999999998</v>
      </c>
      <c r="M176" s="72">
        <v>20.43</v>
      </c>
      <c r="N176" s="72">
        <v>21.18</v>
      </c>
      <c r="O176" s="72">
        <v>21.09</v>
      </c>
      <c r="P176" s="72">
        <v>20.94</v>
      </c>
      <c r="Q176" s="72">
        <v>18.91</v>
      </c>
      <c r="R176" s="72">
        <v>18.2</v>
      </c>
      <c r="S176" s="72">
        <v>17.11</v>
      </c>
      <c r="T176" s="72">
        <v>18.11</v>
      </c>
      <c r="U176" s="72">
        <v>19.600000000000001</v>
      </c>
      <c r="V176" s="72">
        <v>20.58</v>
      </c>
      <c r="W176" s="72">
        <v>19.72</v>
      </c>
      <c r="X176" s="72">
        <v>19.3</v>
      </c>
      <c r="Y176" s="72">
        <v>24.92</v>
      </c>
      <c r="Z176" s="72">
        <v>25.53</v>
      </c>
      <c r="AA176" s="72">
        <v>31.78</v>
      </c>
      <c r="AB176" s="72">
        <v>36.630000000000003</v>
      </c>
      <c r="AC176" s="72">
        <v>41.69</v>
      </c>
      <c r="AD176" s="72">
        <v>40.229999999999997</v>
      </c>
      <c r="AE176" s="72">
        <v>49.7</v>
      </c>
      <c r="AF176" s="72">
        <v>54.39</v>
      </c>
      <c r="AG176" s="72">
        <v>36.5</v>
      </c>
      <c r="AH176" s="72">
        <v>41.26</v>
      </c>
      <c r="AI176" s="72">
        <v>41.53</v>
      </c>
      <c r="AJ176" s="72">
        <v>34.81</v>
      </c>
      <c r="AK176" s="72">
        <v>35.25</v>
      </c>
      <c r="AL176" s="72">
        <v>35.380000000000003</v>
      </c>
      <c r="AM176" s="72">
        <v>39.42</v>
      </c>
      <c r="AN176" s="72">
        <v>33.69</v>
      </c>
      <c r="AO176" s="72">
        <v>36.03</v>
      </c>
      <c r="AP176" s="72">
        <v>33.28</v>
      </c>
      <c r="AQ176" s="72">
        <v>33.15</v>
      </c>
      <c r="AR176" s="72">
        <v>29.6</v>
      </c>
      <c r="AS176" s="72">
        <v>26.27</v>
      </c>
      <c r="AT176" s="72">
        <v>28.5</v>
      </c>
      <c r="AU176" s="72">
        <v>29.85</v>
      </c>
      <c r="AV176" s="72">
        <v>25.88</v>
      </c>
      <c r="AW176" s="72">
        <v>26.32</v>
      </c>
      <c r="AX176" s="72">
        <v>24.81</v>
      </c>
      <c r="AY176" s="72">
        <v>25.64</v>
      </c>
      <c r="AZ176" s="72">
        <v>28.4</v>
      </c>
      <c r="BA176" s="72">
        <v>29.71</v>
      </c>
      <c r="BB176" s="72">
        <v>26.89</v>
      </c>
      <c r="BC176" s="72">
        <v>25.31</v>
      </c>
      <c r="BD176" s="72">
        <v>27.51</v>
      </c>
      <c r="BE176" s="72">
        <v>27.72</v>
      </c>
      <c r="BF176" s="72">
        <v>26.39</v>
      </c>
      <c r="BG176" s="72">
        <v>22.68</v>
      </c>
      <c r="BH176" s="72">
        <v>20.18</v>
      </c>
      <c r="BI176" s="72">
        <v>19.670000000000002</v>
      </c>
      <c r="BJ176" s="72">
        <v>19.329999999999998</v>
      </c>
      <c r="BK176" s="72">
        <v>20.190000000000001</v>
      </c>
      <c r="BL176" s="72">
        <v>21.05</v>
      </c>
      <c r="BM176" s="72">
        <v>23.81</v>
      </c>
      <c r="BN176" s="72">
        <v>30.12</v>
      </c>
      <c r="BO176" s="72">
        <v>33.93</v>
      </c>
      <c r="BP176" s="72">
        <v>34.5</v>
      </c>
      <c r="BQ176" s="72">
        <v>32.799999999999997</v>
      </c>
      <c r="BR176" s="72">
        <v>32.49</v>
      </c>
      <c r="BS176" s="72">
        <v>28.57</v>
      </c>
      <c r="BT176" s="72">
        <v>30.23</v>
      </c>
    </row>
  </sheetData>
  <phoneticPr fontId="3" type="noConversion"/>
  <conditionalFormatting sqref="E4">
    <cfRule type="cellIs" dxfId="6221" priority="103" operator="greaterThan">
      <formula>0.2</formula>
    </cfRule>
    <cfRule type="cellIs" dxfId="6220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6219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218" priority="97" operator="greaterThan">
      <formula>$B$19</formula>
    </cfRule>
  </conditionalFormatting>
  <conditionalFormatting sqref="D33:D34">
    <cfRule type="cellIs" dxfId="6217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6216" priority="91" operator="lessThan">
      <formula>$H$62</formula>
    </cfRule>
    <cfRule type="cellIs" dxfId="6215" priority="92" operator="greaterThan">
      <formula>$H$62</formula>
    </cfRule>
  </conditionalFormatting>
  <conditionalFormatting sqref="J62">
    <cfRule type="cellIs" dxfId="6214" priority="89" operator="lessThan">
      <formula>$K$62</formula>
    </cfRule>
    <cfRule type="cellIs" dxfId="6213" priority="90" operator="greaterThan">
      <formula>$K$62</formula>
    </cfRule>
  </conditionalFormatting>
  <conditionalFormatting sqref="M62">
    <cfRule type="cellIs" dxfId="6212" priority="87" operator="lessThan">
      <formula>$N$62</formula>
    </cfRule>
    <cfRule type="cellIs" dxfId="6211" priority="88" operator="greaterThan">
      <formula>$N$62</formula>
    </cfRule>
  </conditionalFormatting>
  <conditionalFormatting sqref="B44:E44">
    <cfRule type="cellIs" dxfId="6210" priority="85" operator="greaterThan">
      <formula>0</formula>
    </cfRule>
    <cfRule type="cellIs" dxfId="6209" priority="86" operator="lessThan">
      <formula>0</formula>
    </cfRule>
  </conditionalFormatting>
  <conditionalFormatting sqref="F72">
    <cfRule type="cellIs" dxfId="6208" priority="84" operator="lessThan">
      <formula>$E$72*90%</formula>
    </cfRule>
  </conditionalFormatting>
  <conditionalFormatting sqref="F73">
    <cfRule type="cellIs" dxfId="6207" priority="83" operator="lessThan">
      <formula>$E$73*90%</formula>
    </cfRule>
  </conditionalFormatting>
  <conditionalFormatting sqref="F74">
    <cfRule type="cellIs" dxfId="6206" priority="82" operator="lessThan">
      <formula>$E$74*90%</formula>
    </cfRule>
  </conditionalFormatting>
  <conditionalFormatting sqref="F75">
    <cfRule type="cellIs" dxfId="6205" priority="81" operator="lessThan">
      <formula>$E$75*90%</formula>
    </cfRule>
  </conditionalFormatting>
  <conditionalFormatting sqref="H44:K44">
    <cfRule type="cellIs" dxfId="6204" priority="79" operator="greaterThan">
      <formula>0</formula>
    </cfRule>
    <cfRule type="cellIs" dxfId="6203" priority="80" operator="lessThan">
      <formula>0</formula>
    </cfRule>
  </conditionalFormatting>
  <conditionalFormatting sqref="H51:K51">
    <cfRule type="cellIs" dxfId="6202" priority="77" operator="greaterThan">
      <formula>0</formula>
    </cfRule>
    <cfRule type="cellIs" dxfId="6201" priority="78" operator="lessThan">
      <formula>0</formula>
    </cfRule>
  </conditionalFormatting>
  <conditionalFormatting sqref="B51:E51">
    <cfRule type="cellIs" dxfId="6200" priority="75" operator="greaterThan">
      <formula>0</formula>
    </cfRule>
    <cfRule type="cellIs" dxfId="6199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198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197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196" priority="58" operator="lessThan">
      <formula>0</formula>
    </cfRule>
  </conditionalFormatting>
  <conditionalFormatting sqref="A25 E25 C25">
    <cfRule type="cellIs" dxfId="6195" priority="59" operator="lessThan">
      <formula>0</formula>
    </cfRule>
  </conditionalFormatting>
  <conditionalFormatting sqref="F25">
    <cfRule type="cellIs" dxfId="6194" priority="57" operator="lessThan">
      <formula>0</formula>
    </cfRule>
  </conditionalFormatting>
  <conditionalFormatting sqref="E1">
    <cfRule type="containsText" dxfId="6193" priority="56" operator="containsText" text="本季業外損益/平均=-">
      <formula>NOT(ISERROR(SEARCH("本季業外損益/平均=-",E1)))</formula>
    </cfRule>
  </conditionalFormatting>
  <conditionalFormatting sqref="M65">
    <cfRule type="cellIs" dxfId="6192" priority="55" operator="lessThan">
      <formula>$L$65*90%</formula>
    </cfRule>
  </conditionalFormatting>
  <conditionalFormatting sqref="M66">
    <cfRule type="cellIs" dxfId="6191" priority="54" operator="lessThan">
      <formula>$L$66*90%</formula>
    </cfRule>
  </conditionalFormatting>
  <conditionalFormatting sqref="M67">
    <cfRule type="cellIs" dxfId="6190" priority="53" operator="lessThan">
      <formula>$L$67*90%</formula>
    </cfRule>
  </conditionalFormatting>
  <conditionalFormatting sqref="M68">
    <cfRule type="cellIs" dxfId="6189" priority="52" operator="lessThan">
      <formula>$L$68*90%</formula>
    </cfRule>
  </conditionalFormatting>
  <conditionalFormatting sqref="B60">
    <cfRule type="cellIs" dxfId="6188" priority="51" operator="lessThan">
      <formula>0</formula>
    </cfRule>
  </conditionalFormatting>
  <conditionalFormatting sqref="B59:F59">
    <cfRule type="cellIs" dxfId="6187" priority="50" operator="lessThanOrEqual">
      <formula>0</formula>
    </cfRule>
  </conditionalFormatting>
  <conditionalFormatting sqref="D62">
    <cfRule type="cellIs" dxfId="6186" priority="48" operator="lessThan">
      <formula>$E$62</formula>
    </cfRule>
    <cfRule type="cellIs" dxfId="6185" priority="49" operator="greaterThan">
      <formula>$E$62</formula>
    </cfRule>
  </conditionalFormatting>
  <conditionalFormatting sqref="F69">
    <cfRule type="cellIs" dxfId="6184" priority="46" operator="lessThan">
      <formula>0</formula>
    </cfRule>
  </conditionalFormatting>
  <conditionalFormatting sqref="B65:E67 B69:E69 B68:D68">
    <cfRule type="cellIs" dxfId="6183" priority="47" operator="lessThan">
      <formula>0</formula>
    </cfRule>
  </conditionalFormatting>
  <conditionalFormatting sqref="E68">
    <cfRule type="cellIs" dxfId="6182" priority="45" operator="lessThan">
      <formula>0</formula>
    </cfRule>
  </conditionalFormatting>
  <conditionalFormatting sqref="F65:F68">
    <cfRule type="cellIs" dxfId="6181" priority="44" operator="lessThan">
      <formula>0</formula>
    </cfRule>
  </conditionalFormatting>
  <conditionalFormatting sqref="F65:F68">
    <cfRule type="cellIs" dxfId="6180" priority="43" operator="lessThan">
      <formula>$E$65*0.9</formula>
    </cfRule>
  </conditionalFormatting>
  <conditionalFormatting sqref="F66">
    <cfRule type="cellIs" dxfId="6179" priority="42" operator="lessThan">
      <formula>$E$66*0.9</formula>
    </cfRule>
  </conditionalFormatting>
  <conditionalFormatting sqref="F67:F68">
    <cfRule type="cellIs" dxfId="6178" priority="41" operator="lessThan">
      <formula>$E$67*0.9</formula>
    </cfRule>
  </conditionalFormatting>
  <conditionalFormatting sqref="F68">
    <cfRule type="cellIs" dxfId="6177" priority="40" operator="lessThan">
      <formula>$E$68*0.9</formula>
    </cfRule>
  </conditionalFormatting>
  <conditionalFormatting sqref="B13:F13">
    <cfRule type="cellIs" dxfId="6176" priority="29" operator="greaterThan">
      <formula>$I$16</formula>
    </cfRule>
    <cfRule type="cellIs" dxfId="6175" priority="30" operator="lessThanOrEqual">
      <formula>$I$16</formula>
    </cfRule>
  </conditionalFormatting>
  <conditionalFormatting sqref="B10:F10">
    <cfRule type="cellIs" dxfId="6174" priority="31" operator="greaterThan">
      <formula>15</formula>
    </cfRule>
    <cfRule type="cellIs" dxfId="6173" priority="38" operator="lessThan">
      <formula>$I$9</formula>
    </cfRule>
    <cfRule type="cellIs" dxfId="6172" priority="39" operator="greaterThan">
      <formula>$I$9</formula>
    </cfRule>
  </conditionalFormatting>
  <conditionalFormatting sqref="B16:F16">
    <cfRule type="cellIs" dxfId="6171" priority="36" operator="greaterThan">
      <formula>$I$16</formula>
    </cfRule>
    <cfRule type="cellIs" dxfId="6170" priority="37" operator="lessThanOrEqual">
      <formula>$I$16</formula>
    </cfRule>
  </conditionalFormatting>
  <conditionalFormatting sqref="B15:F15">
    <cfRule type="cellIs" dxfId="6169" priority="34" operator="lessThanOrEqual">
      <formula>$I$16</formula>
    </cfRule>
    <cfRule type="cellIs" dxfId="6168" priority="35" operator="greaterThan">
      <formula>$I$16</formula>
    </cfRule>
  </conditionalFormatting>
  <conditionalFormatting sqref="B14:F14">
    <cfRule type="cellIs" dxfId="6167" priority="32" operator="greaterThan">
      <formula>$I$16</formula>
    </cfRule>
    <cfRule type="cellIs" dxfId="6166" priority="33" operator="lessThanOrEqual">
      <formula>$I$16</formula>
    </cfRule>
  </conditionalFormatting>
  <conditionalFormatting sqref="K6">
    <cfRule type="containsText" dxfId="6165" priority="27" operator="containsText" text="衰退">
      <formula>NOT(ISERROR(SEARCH("衰退",K6)))</formula>
    </cfRule>
    <cfRule type="containsText" dxfId="6164" priority="28" operator="containsText" text="成長">
      <formula>NOT(ISERROR(SEARCH("成長",K6)))</formula>
    </cfRule>
  </conditionalFormatting>
  <conditionalFormatting sqref="I4:K4">
    <cfRule type="cellIs" dxfId="6163" priority="25" operator="lessThan">
      <formula>0</formula>
    </cfRule>
    <cfRule type="cellIs" dxfId="6162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161" priority="22" operator="lessThanOrEqual">
      <formula>$I$16</formula>
    </cfRule>
    <cfRule type="cellIs" dxfId="6160" priority="23" operator="greaterThan">
      <formula>$I$16</formula>
    </cfRule>
  </conditionalFormatting>
  <conditionalFormatting sqref="I6">
    <cfRule type="containsText" dxfId="6159" priority="20" operator="containsText" text="衰退">
      <formula>NOT(ISERROR(SEARCH("衰退",I6)))</formula>
    </cfRule>
    <cfRule type="containsText" dxfId="6158" priority="21" operator="containsText" text="成長">
      <formula>NOT(ISERROR(SEARCH("成長",I6)))</formula>
    </cfRule>
  </conditionalFormatting>
  <conditionalFormatting sqref="M9">
    <cfRule type="cellIs" dxfId="6157" priority="19" operator="lessThan">
      <formula>$I$9</formula>
    </cfRule>
  </conditionalFormatting>
  <conditionalFormatting sqref="M10">
    <cfRule type="cellIs" dxfId="6156" priority="18" operator="greaterThan">
      <formula>$I$9</formula>
    </cfRule>
  </conditionalFormatting>
  <conditionalFormatting sqref="M11">
    <cfRule type="cellIs" dxfId="6155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154" priority="14" operator="lessThan">
      <formula>0</formula>
    </cfRule>
    <cfRule type="cellIs" dxfId="6153" priority="15" operator="greaterThan">
      <formula>0.5</formula>
    </cfRule>
  </conditionalFormatting>
  <conditionalFormatting sqref="N14">
    <cfRule type="cellIs" dxfId="6152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151" priority="10" operator="lessThan">
      <formula>0.1</formula>
    </cfRule>
  </conditionalFormatting>
  <conditionalFormatting sqref="I14">
    <cfRule type="cellIs" dxfId="6150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149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148" priority="1" operator="lessThan">
      <formula>$N$5*0.9</formula>
    </cfRule>
    <cfRule type="cellIs" dxfId="6147" priority="2" operator="greaterThan">
      <formula>$N$5*1.1</formula>
    </cfRule>
  </conditionalFormatting>
  <hyperlinks>
    <hyperlink ref="L1" location="儀表板!A1" display="(回首頁)" xr:uid="{00000000-0004-0000-1500-000000000000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8.05 ~ 12.34</v>
      </c>
      <c r="L1" s="83" t="s">
        <v>176</v>
      </c>
      <c r="M1" s="84" t="str">
        <f ca="1">VLOOKUP(_xlfn.NUMBERVALUE(N1),儀表板!A:B,2,FALSE)</f>
        <v>台達電</v>
      </c>
      <c r="N1" s="85" t="str">
        <f ca="1">MID(CELL("filename",L1),FIND("]",CELL("filename",L1))+1,255)</f>
        <v>2308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0.2230733239152736</v>
      </c>
    </row>
    <row r="3" spans="1:15" s="93" customFormat="1" x14ac:dyDescent="0.25">
      <c r="A3" s="81" t="s">
        <v>179</v>
      </c>
      <c r="B3" s="94">
        <f>SUM(F19:F22,F24:F27,J19)</f>
        <v>83.362867472057218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143.75299464189905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152.3695577572976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160.77070679481119</v>
      </c>
      <c r="L3" s="100"/>
      <c r="M3" s="79" t="s">
        <v>385</v>
      </c>
      <c r="N3" s="92">
        <f>(F69-E69)/E69</f>
        <v>-1.9097849336599971E-3</v>
      </c>
    </row>
    <row r="4" spans="1:15" s="93" customFormat="1" x14ac:dyDescent="0.25">
      <c r="A4" s="81" t="s">
        <v>182</v>
      </c>
      <c r="B4" s="96">
        <f>SUM(G36:G40)*2</f>
        <v>88</v>
      </c>
      <c r="C4" s="101"/>
      <c r="D4" s="102">
        <f>F4*(1+F141/10)</f>
        <v>260</v>
      </c>
      <c r="E4" s="82">
        <f>(D4-F4)/F4</f>
        <v>0</v>
      </c>
      <c r="F4" s="103">
        <v>260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7.2261731570803018</v>
      </c>
    </row>
    <row r="5" spans="1:15" s="93" customFormat="1" x14ac:dyDescent="0.25">
      <c r="A5" s="81" t="s">
        <v>184</v>
      </c>
      <c r="B5" s="107">
        <f>SUM(F30:F34)*2</f>
        <v>98.393101204035148</v>
      </c>
      <c r="C5" s="87"/>
      <c r="D5" s="87"/>
      <c r="E5" s="87"/>
      <c r="F5" s="86"/>
      <c r="G5" s="88"/>
      <c r="M5" s="79" t="s">
        <v>386</v>
      </c>
      <c r="N5" s="152">
        <f>D62</f>
        <v>7.15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連2季衰退</v>
      </c>
      <c r="L6" s="112"/>
      <c r="M6" s="79" t="s">
        <v>190</v>
      </c>
      <c r="N6" s="152">
        <f>A53</f>
        <v>7.4695919131748649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27.89</v>
      </c>
      <c r="N9" s="129"/>
    </row>
    <row r="10" spans="1:15" s="93" customFormat="1" x14ac:dyDescent="0.25">
      <c r="A10" s="123" t="s">
        <v>194</v>
      </c>
      <c r="B10" s="126">
        <f>PERCENTILE(176:176,B9)</f>
        <v>18.940000000000001</v>
      </c>
      <c r="C10" s="126">
        <f>PERCENTILE(176:176,C9)</f>
        <v>20.02</v>
      </c>
      <c r="D10" s="126">
        <f>PERCENTILE(176:176,D9)</f>
        <v>21.22</v>
      </c>
      <c r="E10" s="126">
        <f>PERCENTILE(176:176,E9)</f>
        <v>22.39</v>
      </c>
      <c r="F10" s="126">
        <f>PERCENTILE(176:176,F9)</f>
        <v>23.35</v>
      </c>
      <c r="G10" s="95"/>
      <c r="H10" s="135"/>
      <c r="I10" s="135"/>
      <c r="J10" s="135"/>
      <c r="K10" s="135"/>
      <c r="L10" s="136" t="s">
        <v>374</v>
      </c>
      <c r="M10" s="130">
        <f>MIN(176:176)</f>
        <v>15.2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46.57</v>
      </c>
      <c r="L11" s="272" t="s">
        <v>193</v>
      </c>
      <c r="M11" s="128">
        <f>STDEV(176:176)</f>
        <v>2.6031826055942431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78.781512605042025</v>
      </c>
      <c r="C13" s="141">
        <f>$B$34/5.88%</f>
        <v>95.663265306122454</v>
      </c>
      <c r="D13" s="141">
        <f>$B$34/5%</f>
        <v>112.5</v>
      </c>
      <c r="E13" s="141">
        <f>$B$34/4.35%</f>
        <v>129.31034482758622</v>
      </c>
      <c r="F13" s="141">
        <f>$B$34/3.85%</f>
        <v>146.10389610389612</v>
      </c>
      <c r="G13" s="138" t="str">
        <f>"$"&amp;ROUND(B34,2)&amp;"/"&amp;IF(STDEV(C140:F140)/AVERAGE(C140:F140)&lt;15%,"高",IF(STDEV(C140:F140)/AVERAGE(C140:F140)&lt;30%,"中","低"))</f>
        <v>$5.63/高</v>
      </c>
      <c r="H13" s="142" t="s">
        <v>199</v>
      </c>
      <c r="I13" s="143">
        <f>MAX(0,1-J15)</f>
        <v>0.30939226519337015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145.50655000000003</v>
      </c>
      <c r="C14" s="141">
        <f>$B$33*C10</f>
        <v>153.80365</v>
      </c>
      <c r="D14" s="141">
        <f>$B$33*D10</f>
        <v>163.02265</v>
      </c>
      <c r="E14" s="141">
        <f>$B$33*E10</f>
        <v>172.01117500000004</v>
      </c>
      <c r="F14" s="141">
        <f>$B$33*F10</f>
        <v>179.38637500000004</v>
      </c>
      <c r="G14" s="138" t="str">
        <f>"$"&amp;ROUND(B33,2)&amp;"/"&amp;IF(STDEV(B69:E69)/AVERAGE(B69:E69)&lt;15%,"高",IF(STDEV(B69:E69)/AVERAGE(B69:E69)&lt;30%,"中","低"))</f>
        <v>$7.68/高</v>
      </c>
      <c r="H14" s="142" t="s">
        <v>203</v>
      </c>
      <c r="I14" s="145">
        <f>G62/100*I13</f>
        <v>4.678011049723757E-2</v>
      </c>
      <c r="J14" s="76" t="s">
        <v>204</v>
      </c>
      <c r="K14" s="146"/>
      <c r="L14" s="147">
        <f>(HLOOKUP($C$1,$105:$106,2,FALSE)-HLOOKUP($C$1,$117:$127,9,FALSE))/(HLOOKUP($C$1,$117:$128,12,FALSE)/K11)</f>
        <v>9.7527217144159533</v>
      </c>
      <c r="M14" s="148">
        <f>E135/E69</f>
        <v>0.42403314917127066</v>
      </c>
      <c r="N14" s="149">
        <f>F173/100</f>
        <v>1.6044</v>
      </c>
    </row>
    <row r="15" spans="1:15" s="93" customFormat="1" x14ac:dyDescent="0.25">
      <c r="A15" s="140" t="s">
        <v>375</v>
      </c>
      <c r="B15" s="141">
        <f>$D$62*B10</f>
        <v>135.42100000000002</v>
      </c>
      <c r="C15" s="141">
        <f>$D$62*C10</f>
        <v>143.143</v>
      </c>
      <c r="D15" s="141">
        <f>$D$62*D10</f>
        <v>151.72300000000001</v>
      </c>
      <c r="E15" s="141">
        <f>$D$62*E10</f>
        <v>160.08850000000001</v>
      </c>
      <c r="F15" s="141">
        <f>$D$62*F10</f>
        <v>166.95250000000001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0.69060773480662985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136.86371959510092</v>
      </c>
      <c r="C16" s="141">
        <f>$F$69*C10</f>
        <v>144.66798660474765</v>
      </c>
      <c r="D16" s="141">
        <f>$F$69*D10</f>
        <v>153.33939439324399</v>
      </c>
      <c r="E16" s="141">
        <f>$F$69*E10</f>
        <v>161.79401698702796</v>
      </c>
      <c r="F16" s="141">
        <f>$F$69*F10</f>
        <v>168.73114321782506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5514</v>
      </c>
      <c r="J17" s="92">
        <f ca="1">IF(I17&lt;=0,"",IF(I17&lt;=MIN($B$13:$F$16),(I17-MIN($B$13:$F$16))/MIN($B$13:$F$16),IF(I17&gt;=MAX($B$13:$F$16),I17/MAX($B$13:$F$16),PERCENTRANK($B$13:$F$16,I17))))</f>
        <v>30.73812043974911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5.8350000000000009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12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1.0373333333333334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0.36646940855004778</v>
      </c>
      <c r="J20" s="171">
        <f>HLOOKUP($C$1,$117:$127,11,FALSE)/HLOOKUP($C$1,$105:$115,11,FALSE)</f>
        <v>0.51210108415478894</v>
      </c>
      <c r="K20" s="163"/>
    </row>
    <row r="21" spans="1:14" s="93" customFormat="1" x14ac:dyDescent="0.25">
      <c r="A21" s="151" t="s">
        <v>201</v>
      </c>
      <c r="B21" s="161">
        <f>AVERAGE(C173:F173)/100</f>
        <v>1.4374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1.7525119879953894</v>
      </c>
      <c r="J21" s="78"/>
      <c r="K21" s="164" t="s">
        <v>356</v>
      </c>
      <c r="L21" s="165">
        <f>HLOOKUP($C$1,$105:$115,7,FALSE)/HLOOKUP($C$1,$105:$115,11,FALSE)</f>
        <v>0.60791500516143782</v>
      </c>
      <c r="M21" s="123" t="s">
        <v>268</v>
      </c>
      <c r="N21" s="165">
        <f>HLOOKUP($C$1,$117:$127,8,FALSE)/HLOOKUP($C$1,$117:$127,11,FALSE)</f>
        <v>0.67737033099946931</v>
      </c>
    </row>
    <row r="22" spans="1:14" s="93" customFormat="1" x14ac:dyDescent="0.25">
      <c r="A22" s="140" t="s">
        <v>222</v>
      </c>
      <c r="B22" s="161">
        <f>(-1)*SUM(C133:F133)/SUM(C132:F132)</f>
        <v>0.49817400644468313</v>
      </c>
      <c r="C22" s="157"/>
      <c r="D22" s="166"/>
      <c r="E22" s="140"/>
      <c r="F22" s="159">
        <f>IF(B22&lt;=0,10,IF(B22&gt;=100%,0,(1-B22)*10))</f>
        <v>5.0182599355531687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1.4275238504981191</v>
      </c>
      <c r="J22" s="78"/>
      <c r="K22" s="142" t="s">
        <v>357</v>
      </c>
      <c r="L22" s="165">
        <f>HLOOKUP($C$1,$105:$115,4,FALSE)/HLOOKUP($C$1,$105:$115,11,FALSE)</f>
        <v>0.20583930339682091</v>
      </c>
      <c r="M22" s="123" t="s">
        <v>353</v>
      </c>
      <c r="N22" s="165">
        <f>HLOOKUP($C$1,$117:$127,4,FALSE)/HLOOKUP($C$1,$117:$127,11,FALSE)</f>
        <v>0.28438072113263124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2.0496048823302901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0.11273256139608157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0.94470361713871964</v>
      </c>
      <c r="C24" s="169">
        <f>STDEV(C103:F103)</f>
        <v>2.1596107189657252E-2</v>
      </c>
      <c r="D24" s="76" t="str">
        <f>IF(C24/B24&lt;15%,"高",IF(C24/B24&lt;30%,"中","低"))</f>
        <v>高</v>
      </c>
      <c r="E24" s="149"/>
      <c r="F24" s="160">
        <f>MIN(100%,B24)*5</f>
        <v>4.7235180856935983</v>
      </c>
      <c r="G24" s="88" t="s">
        <v>229</v>
      </c>
      <c r="H24" s="123" t="s">
        <v>16</v>
      </c>
      <c r="I24" s="170">
        <f>HLOOKUP(C1,167:170,2,FALSE)</f>
        <v>75.63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0.17089934177486291</v>
      </c>
      <c r="M24" s="123" t="s">
        <v>355</v>
      </c>
      <c r="N24" s="165">
        <f>HLOOKUP($C$1,$117:$127,9,FALSE)/HLOOKUP($C$1,$117:$127,11,FALSE)</f>
        <v>0.32262966900053069</v>
      </c>
    </row>
    <row r="25" spans="1:14" s="93" customFormat="1" x14ac:dyDescent="0.25">
      <c r="A25" s="151" t="s">
        <v>366</v>
      </c>
      <c r="B25" s="255">
        <f>AVERAGE(94:94)</f>
        <v>1020312.1739130435</v>
      </c>
      <c r="C25" s="254">
        <f>STDEV(94:94)/AVERAGE(94:94)</f>
        <v>0.37891054918954881</v>
      </c>
      <c r="D25" s="76" t="str">
        <f>IF(C25&lt;=1,"高",IF(C25&lt;=2,"中","低"))</f>
        <v>高</v>
      </c>
      <c r="E25" s="149"/>
      <c r="F25" s="160">
        <f>MAX(0,10-ABS(C25))</f>
        <v>9.6210894508104516</v>
      </c>
      <c r="G25" s="88" t="s">
        <v>213</v>
      </c>
      <c r="H25" s="123" t="s">
        <v>232</v>
      </c>
      <c r="I25" s="170">
        <f>IF(HLOOKUP(C1,167:170,3,FALSE)="無",0,HLOOKUP(C1,167:170,3,FALSE))</f>
        <v>58.44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81.719999999999985</v>
      </c>
      <c r="C26" s="172">
        <f>IF(COUNTIF(168:168,"&gt;0")=0,0,STDEV(168:168))</f>
        <v>5.0338382247274556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52.029130434782608</v>
      </c>
      <c r="C27" s="172">
        <f>IF(COUNTIF(169:169,"&gt;0")=0,0,STDEV(169:169))</f>
        <v>6.1278165420582082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0.26850000000000002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0.10302500000000001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17.365000000000002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7.682500000000001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5.625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9.196550602017572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196373868.5</v>
      </c>
      <c r="C36" s="178">
        <f>STDEV(C97:F97)</f>
        <v>16121013.730894603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26.85</v>
      </c>
      <c r="C37" s="180">
        <f>STDEV(C152:F152)</f>
        <v>0.99692861663544763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10.6975</v>
      </c>
      <c r="C38" s="180">
        <f>STDEV(C153:F153)</f>
        <v>1.0099628706046575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17.365000000000002</v>
      </c>
      <c r="C39" s="181">
        <f>STDEV(C165:F165)</f>
        <v>2.249688867376975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7.682500000000001</v>
      </c>
      <c r="C40" s="183">
        <f>STDEV(B69:E69)</f>
        <v>0.57133615324080445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-3.6697247706422048E-2</v>
      </c>
      <c r="C44" s="186">
        <f>(C46-C49)/C49</f>
        <v>-1.2121212121212133E-2</v>
      </c>
      <c r="D44" s="186">
        <f>(D46-D49)/D49</f>
        <v>6.6666666666666723E-3</v>
      </c>
      <c r="E44" s="186">
        <f>(E46-E49)/E49</f>
        <v>-9.9056603773584995E-2</v>
      </c>
      <c r="G44" s="86" t="s">
        <v>175</v>
      </c>
      <c r="H44" s="186">
        <f>(H47-H50)/H50</f>
        <v>-0.18425760286225409</v>
      </c>
      <c r="I44" s="186">
        <f>(I47-I50)/I50</f>
        <v>-0.13663967611336056</v>
      </c>
      <c r="J44" s="186">
        <f>(J47-J50)/J50</f>
        <v>-2.4600246002462432E-3</v>
      </c>
      <c r="K44" s="186">
        <f>(K47-K50)/K50</f>
        <v>-1.7708333333333406E-2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2.1</v>
      </c>
      <c r="C46" s="152">
        <f>HLOOKUP(C45,$81:$82,2,FALSE)</f>
        <v>1.63</v>
      </c>
      <c r="D46" s="152">
        <f>HLOOKUP(D45,$81:$82,2,FALSE)</f>
        <v>1.51</v>
      </c>
      <c r="E46" s="152">
        <f>HLOOKUP(E45,$81:$82,2,FALSE)</f>
        <v>1.91</v>
      </c>
      <c r="G46" s="86" t="s">
        <v>164</v>
      </c>
      <c r="H46" s="145">
        <f>HLOOKUP(H45,$145:$147,2,FALSE)/100</f>
        <v>0.27079999999999999</v>
      </c>
      <c r="I46" s="145">
        <f>HLOOKUP(I45,$145:$147,2,FALSE)/100</f>
        <v>0.2747</v>
      </c>
      <c r="J46" s="145">
        <f>HLOOKUP(J45,$145:$147,2,FALSE)/100</f>
        <v>0.27200000000000002</v>
      </c>
      <c r="K46" s="145">
        <f>HLOOKUP(K45,$145:$147,2,FALSE)/100</f>
        <v>0.27260000000000001</v>
      </c>
    </row>
    <row r="47" spans="1:14" x14ac:dyDescent="0.25">
      <c r="A47" s="188" t="s">
        <v>165</v>
      </c>
      <c r="B47" s="189">
        <f>HLOOKUP(B45,$157:$159,3,FALSE)</f>
        <v>4.53</v>
      </c>
      <c r="C47" s="189">
        <f>HLOOKUP(C45,$157:$159,3,FALSE)</f>
        <v>3.48</v>
      </c>
      <c r="D47" s="189">
        <f>HLOOKUP(D45,$157:$159,3,FALSE)</f>
        <v>3.1</v>
      </c>
      <c r="E47" s="189">
        <f>HLOOKUP(E45,$157:$159,3,FALSE)</f>
        <v>4.01</v>
      </c>
      <c r="G47" s="190" t="s">
        <v>166</v>
      </c>
      <c r="H47" s="145">
        <f>HLOOKUP(H45,$145:$147,3,FALSE)/100</f>
        <v>9.1199999999999989E-2</v>
      </c>
      <c r="I47" s="145">
        <f>HLOOKUP(I45,$145:$147,3,FALSE)/100</f>
        <v>8.5299999999999987E-2</v>
      </c>
      <c r="J47" s="145">
        <f>HLOOKUP(J45,$145:$147,3,FALSE)/100</f>
        <v>8.1099999999999992E-2</v>
      </c>
      <c r="K47" s="145">
        <f>HLOOKUP(K45,$145:$147,3,FALSE)/100</f>
        <v>9.4299999999999995E-2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2.1800000000000002</v>
      </c>
      <c r="C49" s="152">
        <f>HLOOKUP(C48,$81:$82,2,FALSE)</f>
        <v>1.65</v>
      </c>
      <c r="D49" s="152">
        <f>HLOOKUP(D48,$81:$82,2,FALSE)</f>
        <v>1.5</v>
      </c>
      <c r="E49" s="152">
        <f>HLOOKUP(E48,$81:$82,2,FALSE)</f>
        <v>2.12</v>
      </c>
      <c r="G49" s="86" t="s">
        <v>164</v>
      </c>
      <c r="H49" s="145">
        <f>HLOOKUP(H48,$145:$147,2,FALSE)/100</f>
        <v>0.28649999999999998</v>
      </c>
      <c r="I49" s="145">
        <f>HLOOKUP(I48,$145:$147,2,FALSE)/100</f>
        <v>0.28050000000000003</v>
      </c>
      <c r="J49" s="145">
        <f>HLOOKUP(J48,$145:$147,2,FALSE)/100</f>
        <v>0.26940000000000003</v>
      </c>
      <c r="K49" s="145">
        <f>HLOOKUP(K48,$145:$147,2,FALSE)/100</f>
        <v>0.27390000000000003</v>
      </c>
    </row>
    <row r="50" spans="1:15" x14ac:dyDescent="0.25">
      <c r="A50" s="188" t="s">
        <v>165</v>
      </c>
      <c r="B50" s="189">
        <f>HLOOKUP(B48,$157:$159,3,FALSE)</f>
        <v>4.71</v>
      </c>
      <c r="C50" s="189">
        <f>HLOOKUP(C48,$157:$159,3,FALSE)</f>
        <v>3.46</v>
      </c>
      <c r="D50" s="189">
        <f>HLOOKUP(D48,$157:$159,3,FALSE)</f>
        <v>3.1</v>
      </c>
      <c r="E50" s="189">
        <f>HLOOKUP(E48,$157:$159,3,FALSE)</f>
        <v>4.59</v>
      </c>
      <c r="G50" s="190" t="s">
        <v>166</v>
      </c>
      <c r="H50" s="145">
        <f>HLOOKUP(H48,$145:$147,3,FALSE)/100</f>
        <v>0.1118</v>
      </c>
      <c r="I50" s="145">
        <f>HLOOKUP(I48,$145:$147,3,FALSE)/100</f>
        <v>9.8800000000000013E-2</v>
      </c>
      <c r="J50" s="145">
        <f>HLOOKUP(J48,$145:$147,3,FALSE)/100</f>
        <v>8.1300000000000011E-2</v>
      </c>
      <c r="K50" s="145">
        <f>HLOOKUP(K48,$145:$147,3,FALSE)/100</f>
        <v>9.6000000000000002E-2</v>
      </c>
    </row>
    <row r="51" spans="1:15" x14ac:dyDescent="0.25">
      <c r="A51" s="86" t="s">
        <v>351</v>
      </c>
      <c r="B51" s="186">
        <f>(B47-B50)/B50</f>
        <v>-3.8216560509554083E-2</v>
      </c>
      <c r="C51" s="186">
        <f>(C47-C50)/C50</f>
        <v>5.7803468208092535E-3</v>
      </c>
      <c r="D51" s="186">
        <f>(D47-D50)/D50</f>
        <v>0</v>
      </c>
      <c r="E51" s="186">
        <f>(E47-E50)/E50</f>
        <v>-0.12636165577342051</v>
      </c>
      <c r="G51" s="235" t="s">
        <v>174</v>
      </c>
      <c r="H51" s="186">
        <f>(H46-H49)/H49</f>
        <v>-5.4799301919720746E-2</v>
      </c>
      <c r="I51" s="186">
        <f>(I46-I49)/I49</f>
        <v>-2.0677361853832538E-2</v>
      </c>
      <c r="J51" s="186">
        <f>(J46-J49)/J49</f>
        <v>9.6510764662211986E-3</v>
      </c>
      <c r="K51" s="186">
        <f>(K46-K49)/K49</f>
        <v>-4.7462577583060354E-3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7.4695919131748649</v>
      </c>
      <c r="B53" s="193">
        <f>B46</f>
        <v>2.1</v>
      </c>
      <c r="C53" s="193">
        <f>E46/HLOOKUP(E45,$87:$94,5,FALSE)*HLOOKUP(E45,$87:$94,4,FALSE)*($B$25/HLOOKUP(E45,$87:$94,4,FALSE)+SUM($B$57:$D$57)/SUM($B58:$D$58)*$G$69/100/K46)</f>
        <v>1.9861731570803023</v>
      </c>
      <c r="D53" s="193">
        <f>D46/HLOOKUP(D45,$87:$94,5,FALSE)*HLOOKUP(D45,$87:$94,4,FALSE)*($B$25/HLOOKUP(D45,$87:$94,4,FALSE)+SUM($B$57:$D$57)/SUM($B58:$D$58)*$G$69/100/J46)</f>
        <v>1.6146989536268528</v>
      </c>
      <c r="E53" s="193">
        <f>C46/HLOOKUP(C45,$87:$94,5,FALSE)*HLOOKUP(C45,$87:$94,4,FALSE)*($B$25/HLOOKUP(C45,$87:$94,4,FALSE)+SUM($B$57:$D$57)/SUM($B58:$D$58)*$G$69/100/I46)</f>
        <v>1.7687198024677102</v>
      </c>
    </row>
    <row r="54" spans="1:15" x14ac:dyDescent="0.25">
      <c r="A54" s="278">
        <f>SUM(B54:E54)</f>
        <v>7.2299999999999995</v>
      </c>
      <c r="B54" s="277">
        <f t="shared" ref="B54:D54" si="0">HLOOKUP(B52-10,81:82,2,FALSE)</f>
        <v>2.1800000000000002</v>
      </c>
      <c r="C54" s="277">
        <f t="shared" si="0"/>
        <v>1.91</v>
      </c>
      <c r="D54" s="277">
        <f t="shared" si="0"/>
        <v>1.51</v>
      </c>
      <c r="E54" s="277">
        <f>HLOOKUP(E52-10,81:82,2,FALSE)</f>
        <v>1.63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19442817</v>
      </c>
      <c r="C57" s="196">
        <f>HLOOKUP(C56,78:79,2,FALSE)</f>
        <v>20749145</v>
      </c>
      <c r="D57" s="196">
        <f>HLOOKUP(D56,78:79,2,FALSE)</f>
        <v>19920756</v>
      </c>
      <c r="E57" s="196">
        <f>HLOOKUP(E56,78:79,2,FALSE)</f>
        <v>19152574</v>
      </c>
      <c r="F57" s="196">
        <f>HLOOKUP(F56,78:79,2,FALSE)</f>
        <v>18694262</v>
      </c>
      <c r="G57" s="196">
        <f t="shared" ref="G57:M57" si="2">HLOOKUP(G56,78:79,2,FALSE)</f>
        <v>17286218</v>
      </c>
      <c r="H57" s="196">
        <f t="shared" si="2"/>
        <v>17492850</v>
      </c>
      <c r="I57" s="196">
        <f t="shared" si="2"/>
        <v>18464898</v>
      </c>
      <c r="J57" s="196">
        <f t="shared" si="2"/>
        <v>16025797</v>
      </c>
      <c r="K57" s="196">
        <f t="shared" si="2"/>
        <v>14433964</v>
      </c>
      <c r="L57" s="196">
        <f t="shared" si="2"/>
        <v>19488991</v>
      </c>
      <c r="M57" s="196">
        <f t="shared" si="2"/>
        <v>19320829</v>
      </c>
      <c r="N57" s="197"/>
    </row>
    <row r="58" spans="1:15" x14ac:dyDescent="0.25">
      <c r="A58" s="198" t="s">
        <v>253</v>
      </c>
      <c r="B58" s="196">
        <f>HLOOKUP(B56-100,78:79,2,FALSE)</f>
        <v>18204555</v>
      </c>
      <c r="C58" s="196">
        <f>HLOOKUP(C56-100,78:79,2,FALSE)</f>
        <v>19614120</v>
      </c>
      <c r="D58" s="196">
        <f>HLOOKUP(D56-100,78:79,2,FALSE)</f>
        <v>18737411</v>
      </c>
      <c r="E58" s="196">
        <f>HLOOKUP(E56-100,78:79,2,FALSE)</f>
        <v>18716402</v>
      </c>
      <c r="F58" s="196">
        <f>HLOOKUP(F56-100,78:79,2,FALSE)</f>
        <v>17873867</v>
      </c>
      <c r="G58" s="196">
        <f t="shared" ref="G58:M58" si="3">HLOOKUP(G56-100,78:79,2,FALSE)</f>
        <v>17784648</v>
      </c>
      <c r="H58" s="196">
        <f t="shared" si="3"/>
        <v>17007532</v>
      </c>
      <c r="I58" s="196">
        <f t="shared" si="3"/>
        <v>18038490</v>
      </c>
      <c r="J58" s="196">
        <f t="shared" si="3"/>
        <v>12420728</v>
      </c>
      <c r="K58" s="196">
        <f t="shared" si="3"/>
        <v>17147998</v>
      </c>
      <c r="L58" s="196">
        <f t="shared" si="3"/>
        <v>18459051</v>
      </c>
      <c r="M58" s="196">
        <f t="shared" si="3"/>
        <v>18248999</v>
      </c>
      <c r="N58" s="197"/>
    </row>
    <row r="59" spans="1:15" x14ac:dyDescent="0.25">
      <c r="A59" s="199" t="s">
        <v>254</v>
      </c>
      <c r="B59" s="165">
        <f>IF(B57&lt;&gt;"",(B57-B58)/B58,"")</f>
        <v>6.8019350102213424E-2</v>
      </c>
      <c r="C59" s="165">
        <f>IF(C57&lt;&gt;"",(C57-C58)/C58,"")</f>
        <v>5.7867750375749712E-2</v>
      </c>
      <c r="D59" s="165">
        <f>IF(D57&lt;&gt;"",(D57-D58)/D58,"")</f>
        <v>6.3154135862206362E-2</v>
      </c>
      <c r="E59" s="165">
        <f>IF(E57&lt;&gt;"",(E57-E58)/E58,"")</f>
        <v>2.3304265424519095E-2</v>
      </c>
      <c r="F59" s="165">
        <f>IF(F57&lt;&gt;"",(F57-F58)/F58,"")</f>
        <v>4.5899133075120231E-2</v>
      </c>
      <c r="G59" s="165">
        <f t="shared" ref="G59:M59" si="4">IF(G57&lt;&gt;"",(G57-G58)/G58,"")</f>
        <v>-2.8025856907598058E-2</v>
      </c>
      <c r="H59" s="165">
        <f t="shared" si="4"/>
        <v>2.8535474753185824E-2</v>
      </c>
      <c r="I59" s="165">
        <f t="shared" si="4"/>
        <v>2.3638785729847674E-2</v>
      </c>
      <c r="J59" s="165">
        <f t="shared" si="4"/>
        <v>0.29024619168860311</v>
      </c>
      <c r="K59" s="165">
        <f t="shared" si="4"/>
        <v>-0.15827118710883917</v>
      </c>
      <c r="L59" s="165">
        <f t="shared" si="4"/>
        <v>5.5795934471387504E-2</v>
      </c>
      <c r="M59" s="165">
        <f t="shared" si="4"/>
        <v>5.8733632458415938E-2</v>
      </c>
    </row>
    <row r="60" spans="1:15" x14ac:dyDescent="0.25">
      <c r="A60" s="195" t="s">
        <v>255</v>
      </c>
      <c r="B60" s="196">
        <f>SUM(B57:M57)</f>
        <v>220473101</v>
      </c>
    </row>
    <row r="61" spans="1:15" x14ac:dyDescent="0.25">
      <c r="A61" s="198" t="s">
        <v>256</v>
      </c>
      <c r="B61" s="196">
        <f>SUM(B58:M58)</f>
        <v>212253801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1.03872392372375</v>
      </c>
      <c r="D62" s="152">
        <f>SUM(B46:E46)</f>
        <v>7.15</v>
      </c>
      <c r="E62" s="152">
        <f>SUM(B49:E49)</f>
        <v>7.45</v>
      </c>
      <c r="G62" s="126">
        <f>SUM(B47:E47)</f>
        <v>15.12</v>
      </c>
      <c r="H62" s="126">
        <f>SUM(B50:E50)</f>
        <v>15.86</v>
      </c>
      <c r="J62" s="200">
        <f>AVERAGE(H46:K46)</f>
        <v>0.27252500000000002</v>
      </c>
      <c r="K62" s="200">
        <f>AVERAGE(H49:K49)</f>
        <v>0.27757500000000002</v>
      </c>
      <c r="M62" s="200">
        <f>AVERAGE(H47:K47)</f>
        <v>8.7974999999999998E-2</v>
      </c>
      <c r="N62" s="200">
        <f>AVERAGE(H50:K50)</f>
        <v>9.6975000000000006E-2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1.73</v>
      </c>
      <c r="C65" s="205">
        <f t="shared" si="5"/>
        <v>1.87</v>
      </c>
      <c r="D65" s="205">
        <f t="shared" si="5"/>
        <v>1.59</v>
      </c>
      <c r="E65" s="205">
        <f t="shared" si="5"/>
        <v>1.5</v>
      </c>
      <c r="F65" s="206">
        <f>IF(ISNA(HLOOKUP(F$64*10+$A65,$81:$82,2,FALSE)),(HLOOKUP(E$64*10+$A65,$87:$94,4,FALSE)*$G65+$B$25)/HLOOKUP(E$64*10+$A65,$87:$94,5,FALSE)*$E65,HLOOKUP(F$64*10+$A65,$81:$82,2,FALSE))</f>
        <v>1.51</v>
      </c>
      <c r="G65" s="101">
        <f>MIN(130%,SUM($B$57:$D$57)/SUM($B$58:$D$58)*$G$69/HLOOKUP(E$64*10+$A65,$145:$146,2,FALSE))</f>
        <v>1.0919745719496605</v>
      </c>
      <c r="H65" s="204">
        <v>1</v>
      </c>
      <c r="I65" s="208">
        <f t="shared" ref="I65:M68" si="6">IF(ISNA(HLOOKUP(I$64*10+$H65,$145:$147,3,FALSE)),"",HLOOKUP(I$64*10+$H65,$145:$147,3,FALSE)/100)</f>
        <v>0.10920000000000001</v>
      </c>
      <c r="J65" s="208">
        <f t="shared" si="6"/>
        <v>0.1186</v>
      </c>
      <c r="K65" s="208">
        <f t="shared" si="6"/>
        <v>9.8800000000000013E-2</v>
      </c>
      <c r="L65" s="208">
        <f t="shared" si="6"/>
        <v>8.1300000000000011E-2</v>
      </c>
      <c r="M65" s="209">
        <f t="shared" si="6"/>
        <v>8.1099999999999992E-2</v>
      </c>
      <c r="N65" s="256">
        <f t="shared" ref="N65:O68" si="7">HLOOKUP(E$64*10+$A65,$87:$94,8,FALSE)</f>
        <v>1366153</v>
      </c>
      <c r="O65" s="256">
        <f t="shared" si="7"/>
        <v>999415</v>
      </c>
      <c r="P65" s="210"/>
    </row>
    <row r="66" spans="1:71" x14ac:dyDescent="0.25">
      <c r="A66" s="204">
        <v>2</v>
      </c>
      <c r="B66" s="205">
        <f t="shared" si="5"/>
        <v>1.78</v>
      </c>
      <c r="C66" s="205">
        <f t="shared" si="5"/>
        <v>2.16</v>
      </c>
      <c r="D66" s="205">
        <f t="shared" si="5"/>
        <v>1.55</v>
      </c>
      <c r="E66" s="205">
        <f t="shared" si="5"/>
        <v>1.65</v>
      </c>
      <c r="F66" s="206">
        <f>IF(ISNA(HLOOKUP(F$64*10+$A66,$81:$82,2,FALSE)),(HLOOKUP(E$64*10+$A66,$87:$94,4,FALSE)*$G66+$B$25)/HLOOKUP(E$64*10+$A66,$87:$94,5,FALSE)*$E66,HLOOKUP(F$64*10+$A66,$81:$82,2,FALSE))</f>
        <v>1.63</v>
      </c>
      <c r="G66" s="101">
        <f>MIN(130%,SUM($B$57:$D$57)/SUM($B$58:$D$58)*$G$69/HLOOKUP(E$64*10+$A66,$145:$146,2,FALSE))</f>
        <v>1.048762743968765</v>
      </c>
      <c r="H66" s="204">
        <v>2</v>
      </c>
      <c r="I66" s="208">
        <f t="shared" si="6"/>
        <v>0.10640000000000001</v>
      </c>
      <c r="J66" s="208">
        <f t="shared" si="6"/>
        <v>0.12560000000000002</v>
      </c>
      <c r="K66" s="208">
        <f t="shared" si="6"/>
        <v>9.7299999999999998E-2</v>
      </c>
      <c r="L66" s="208">
        <f t="shared" si="6"/>
        <v>9.8800000000000013E-2</v>
      </c>
      <c r="M66" s="209">
        <f t="shared" si="6"/>
        <v>8.5299999999999987E-2</v>
      </c>
      <c r="N66" s="256">
        <f t="shared" si="7"/>
        <v>638091</v>
      </c>
      <c r="O66" s="256">
        <f t="shared" si="7"/>
        <v>880620</v>
      </c>
      <c r="P66" s="210"/>
    </row>
    <row r="67" spans="1:71" x14ac:dyDescent="0.25">
      <c r="A67" s="204">
        <v>3</v>
      </c>
      <c r="B67" s="205">
        <f t="shared" si="5"/>
        <v>1.86</v>
      </c>
      <c r="C67" s="205">
        <f t="shared" si="5"/>
        <v>2.4</v>
      </c>
      <c r="D67" s="205">
        <f t="shared" si="5"/>
        <v>2.42</v>
      </c>
      <c r="E67" s="205">
        <f t="shared" si="5"/>
        <v>2.1800000000000002</v>
      </c>
      <c r="F67" s="206">
        <f>IF(ISNA(HLOOKUP(F$64*10+$A67,$81:$82,2,FALSE)),(HLOOKUP(E$64*10+$A67,$87:$94,4,FALSE)*$G67+$B$25)/HLOOKUP(E$64*10+$A67,$87:$94,5,FALSE)*$E67,HLOOKUP(F$64*10+$A67,$81:$82,2,FALSE))</f>
        <v>2.1</v>
      </c>
      <c r="G67" s="101">
        <f>MIN(130%,SUM($B$57:$D$57)/SUM($B$58:$D$58)*$G$69/HLOOKUP(E$64*10+$A67,$145:$146,2,FALSE))</f>
        <v>1.0267991262940266</v>
      </c>
      <c r="H67" s="204">
        <v>3</v>
      </c>
      <c r="I67" s="208">
        <f t="shared" si="6"/>
        <v>0.1066</v>
      </c>
      <c r="J67" s="208">
        <f t="shared" si="6"/>
        <v>0.124</v>
      </c>
      <c r="K67" s="208">
        <f t="shared" si="6"/>
        <v>0.1099</v>
      </c>
      <c r="L67" s="208">
        <f t="shared" si="6"/>
        <v>0.1118</v>
      </c>
      <c r="M67" s="209">
        <f t="shared" si="6"/>
        <v>9.1199999999999989E-2</v>
      </c>
      <c r="N67" s="256">
        <f t="shared" si="7"/>
        <v>775869</v>
      </c>
      <c r="O67" s="256">
        <f t="shared" si="7"/>
        <v>1505099</v>
      </c>
      <c r="P67" s="210"/>
    </row>
    <row r="68" spans="1:71" x14ac:dyDescent="0.25">
      <c r="A68" s="204">
        <v>4</v>
      </c>
      <c r="B68" s="205">
        <f>HLOOKUP(B$64*10+$A68,$81:$82,2,FALSE)</f>
        <v>1.95</v>
      </c>
      <c r="C68" s="205">
        <f>HLOOKUP(C$64*10+$A68,$81:$82,2,FALSE)</f>
        <v>2.06</v>
      </c>
      <c r="D68" s="205">
        <f>HLOOKUP(D$64*10+$A68,$81:$82,2,FALSE)</f>
        <v>2.12</v>
      </c>
      <c r="E68" s="206">
        <f>IF(ISNA(HLOOKUP(E$64*10+$A68,$81:$82,2,FALSE)),D68*(1-$N68)*#REF!*(1+$B$25)/(1+$E$4),HLOOKUP(E$64*10+$A68,$81:$82,2,FALSE))</f>
        <v>1.91</v>
      </c>
      <c r="F68" s="206">
        <f>IF(ISNA(HLOOKUP(F$64*10+$A68,$81:$82,2,FALSE)),(HLOOKUP(E$64*10+$A68,$87:$94,4,FALSE)*$G68+$B$25)/HLOOKUP(E$64*10+$A68,$87:$94,5,FALSE)*$E68,HLOOKUP(F$64*10+$A68,$81:$82,2,FALSE))</f>
        <v>1.9861731570803021</v>
      </c>
      <c r="G68" s="101">
        <f>MIN(130%,SUM($B$57:$D$57)/SUM($B$58:$D$58)*$G$69/HLOOKUP(E$64*10+$A68,$145:$146,2,FALSE))</f>
        <v>1.0791560883464364</v>
      </c>
      <c r="H68" s="204">
        <v>4</v>
      </c>
      <c r="I68" s="208">
        <f t="shared" si="6"/>
        <v>0.1177</v>
      </c>
      <c r="J68" s="208">
        <f t="shared" si="6"/>
        <v>0.1105</v>
      </c>
      <c r="K68" s="208">
        <f t="shared" si="6"/>
        <v>9.6000000000000002E-2</v>
      </c>
      <c r="L68" s="208">
        <f t="shared" si="6"/>
        <v>9.4299999999999995E-2</v>
      </c>
      <c r="M68" s="209" t="str">
        <f t="shared" si="6"/>
        <v/>
      </c>
      <c r="N68" s="256">
        <f t="shared" si="7"/>
        <v>1184177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7.32</v>
      </c>
      <c r="C69" s="213">
        <f>SUM(C65:C68)</f>
        <v>8.49</v>
      </c>
      <c r="D69" s="213">
        <f>SUM(D65:D68)</f>
        <v>7.6800000000000006</v>
      </c>
      <c r="E69" s="213">
        <f>SUM(E65:E68)</f>
        <v>7.24</v>
      </c>
      <c r="F69" s="213">
        <f>SUM(F65:F68)</f>
        <v>7.2261731570803018</v>
      </c>
      <c r="G69" s="257">
        <f>_xlfn.FORECAST.ETS(23,B146:W146,{1,2,3,4,5,6,7,8,9,10,11,12,13,14,15,16,17,18,19,20,21,22})</f>
        <v>27.677260278912883</v>
      </c>
      <c r="H69" s="214" t="s">
        <v>19</v>
      </c>
      <c r="I69" s="215">
        <f>HLOOKUP(I64,151:155,3,FALSE)/100</f>
        <v>0.11019999999999999</v>
      </c>
      <c r="J69" s="215">
        <f>HLOOKUP(J64,151:155,3,FALSE)/100</f>
        <v>0.1197</v>
      </c>
      <c r="K69" s="215">
        <f>HLOOKUP(K64,151:155,3,FALSE)/100</f>
        <v>0.1008</v>
      </c>
      <c r="L69" s="215">
        <f>IF(ISNA(HLOOKUP(L64,151:155,3,FALSE)/100),AVERAGE(L65:L68),HLOOKUP(L64,151:155,3,FALSE)/100)</f>
        <v>9.7200000000000009E-2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4.07</v>
      </c>
      <c r="C72" s="205">
        <f t="shared" si="8"/>
        <v>4.46</v>
      </c>
      <c r="D72" s="205">
        <f t="shared" si="8"/>
        <v>3.68</v>
      </c>
      <c r="E72" s="205">
        <f t="shared" si="8"/>
        <v>3.1</v>
      </c>
      <c r="F72" s="205">
        <f t="shared" si="8"/>
        <v>3.1</v>
      </c>
    </row>
    <row r="73" spans="1:71" s="135" customFormat="1" x14ac:dyDescent="0.25">
      <c r="A73" s="204">
        <v>2</v>
      </c>
      <c r="B73" s="205">
        <f t="shared" si="8"/>
        <v>4.7300000000000004</v>
      </c>
      <c r="C73" s="205">
        <f t="shared" si="8"/>
        <v>5.34</v>
      </c>
      <c r="D73" s="205">
        <f t="shared" si="8"/>
        <v>3.89</v>
      </c>
      <c r="E73" s="205">
        <f t="shared" si="8"/>
        <v>3.46</v>
      </c>
      <c r="F73" s="205">
        <f t="shared" si="8"/>
        <v>3.48</v>
      </c>
    </row>
    <row r="74" spans="1:71" s="135" customFormat="1" x14ac:dyDescent="0.25">
      <c r="A74" s="204">
        <v>3</v>
      </c>
      <c r="B74" s="205">
        <f t="shared" si="8"/>
        <v>5.03</v>
      </c>
      <c r="C74" s="205">
        <f t="shared" si="8"/>
        <v>5.92</v>
      </c>
      <c r="D74" s="205">
        <f t="shared" si="8"/>
        <v>6.08</v>
      </c>
      <c r="E74" s="205">
        <f t="shared" si="8"/>
        <v>4.71</v>
      </c>
      <c r="F74" s="205">
        <f t="shared" si="8"/>
        <v>4.53</v>
      </c>
    </row>
    <row r="75" spans="1:71" s="135" customFormat="1" x14ac:dyDescent="0.25">
      <c r="A75" s="204">
        <v>4</v>
      </c>
      <c r="B75" s="205">
        <f t="shared" si="8"/>
        <v>5.07</v>
      </c>
      <c r="C75" s="205">
        <f t="shared" si="8"/>
        <v>4.83</v>
      </c>
      <c r="D75" s="205">
        <f t="shared" si="8"/>
        <v>4.59</v>
      </c>
      <c r="E75" s="205">
        <f t="shared" si="8"/>
        <v>4.01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18.900000000000002</v>
      </c>
      <c r="C76" s="213">
        <f>SUM(C72:C75)</f>
        <v>20.55</v>
      </c>
      <c r="D76" s="213">
        <f>SUM(D72:D75)</f>
        <v>18.240000000000002</v>
      </c>
      <c r="E76" s="213">
        <f>AVERAGE(E72:E75)*4</f>
        <v>15.28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12061347</v>
      </c>
      <c r="C79" s="270">
        <v>12769677</v>
      </c>
      <c r="D79" s="270">
        <v>15219576</v>
      </c>
      <c r="E79" s="270">
        <v>14707567</v>
      </c>
      <c r="F79" s="270">
        <v>15609729</v>
      </c>
      <c r="G79" s="270">
        <v>15645713</v>
      </c>
      <c r="H79" s="270">
        <v>16050513</v>
      </c>
      <c r="I79" s="270">
        <v>16246202</v>
      </c>
      <c r="J79" s="270">
        <v>15197701</v>
      </c>
      <c r="K79" s="270">
        <v>14389417</v>
      </c>
      <c r="L79" s="270">
        <v>14674452</v>
      </c>
      <c r="M79" s="270">
        <v>13432026</v>
      </c>
      <c r="N79" s="270">
        <v>14401434</v>
      </c>
      <c r="O79" s="270">
        <v>10339773</v>
      </c>
      <c r="P79" s="270">
        <v>14093906</v>
      </c>
      <c r="Q79" s="270">
        <v>14387001</v>
      </c>
      <c r="R79" s="270">
        <v>14880079</v>
      </c>
      <c r="S79" s="270">
        <v>14172504</v>
      </c>
      <c r="T79" s="270">
        <v>14765827</v>
      </c>
      <c r="U79" s="270">
        <v>15411305</v>
      </c>
      <c r="V79" s="270">
        <v>15963337</v>
      </c>
      <c r="W79" s="270">
        <v>16186071</v>
      </c>
      <c r="X79" s="270">
        <v>16213524</v>
      </c>
      <c r="Y79" s="270">
        <v>16238361</v>
      </c>
      <c r="Z79" s="270">
        <v>14743548</v>
      </c>
      <c r="AA79" s="270">
        <v>12939436</v>
      </c>
      <c r="AB79" s="270">
        <v>15352612</v>
      </c>
      <c r="AC79" s="270">
        <v>16214800</v>
      </c>
      <c r="AD79" s="270">
        <v>15881302</v>
      </c>
      <c r="AE79" s="270">
        <v>15520186</v>
      </c>
      <c r="AF79" s="270">
        <v>16566925</v>
      </c>
      <c r="AG79" s="270">
        <v>16436693</v>
      </c>
      <c r="AH79" s="270">
        <v>17451277</v>
      </c>
      <c r="AI79" s="270">
        <v>16494786</v>
      </c>
      <c r="AJ79" s="270">
        <v>16797072</v>
      </c>
      <c r="AK79" s="270">
        <v>16236482</v>
      </c>
      <c r="AL79" s="270">
        <v>16785051</v>
      </c>
      <c r="AM79" s="270">
        <v>11673008</v>
      </c>
      <c r="AN79" s="270">
        <v>14744926</v>
      </c>
      <c r="AO79" s="270">
        <v>15516504</v>
      </c>
      <c r="AP79" s="270">
        <v>16163528</v>
      </c>
      <c r="AQ79" s="270">
        <v>17052255</v>
      </c>
      <c r="AR79" s="270">
        <v>18023341</v>
      </c>
      <c r="AS79" s="270">
        <v>18207429</v>
      </c>
      <c r="AT79" s="270">
        <v>19681956</v>
      </c>
      <c r="AU79" s="270">
        <v>18884560</v>
      </c>
      <c r="AV79" s="270">
        <v>18248999</v>
      </c>
      <c r="AW79" s="270">
        <v>18459051</v>
      </c>
      <c r="AX79" s="270">
        <v>17147998</v>
      </c>
      <c r="AY79" s="270">
        <v>12420728</v>
      </c>
      <c r="AZ79" s="270">
        <v>18038490</v>
      </c>
      <c r="BA79" s="270">
        <v>17007532</v>
      </c>
      <c r="BB79" s="270">
        <v>17784648</v>
      </c>
      <c r="BC79" s="270">
        <v>17873867</v>
      </c>
      <c r="BD79" s="270">
        <v>18716402</v>
      </c>
      <c r="BE79" s="270">
        <v>18737411</v>
      </c>
      <c r="BF79" s="270">
        <v>19614120</v>
      </c>
      <c r="BG79" s="270">
        <v>18204555</v>
      </c>
      <c r="BH79" s="270">
        <v>19320829</v>
      </c>
      <c r="BI79" s="270">
        <v>19488991</v>
      </c>
      <c r="BJ79" s="270">
        <v>14433964</v>
      </c>
      <c r="BK79" s="270">
        <v>16025797</v>
      </c>
      <c r="BL79" s="270">
        <v>18464898</v>
      </c>
      <c r="BM79" s="270">
        <v>17492850</v>
      </c>
      <c r="BN79" s="270">
        <v>17286218</v>
      </c>
      <c r="BO79" s="270">
        <v>18694262</v>
      </c>
      <c r="BP79" s="270">
        <v>19152574</v>
      </c>
      <c r="BQ79" s="270">
        <v>19920756</v>
      </c>
      <c r="BR79" s="270">
        <v>20749145</v>
      </c>
      <c r="BS79" s="270">
        <v>19442817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1.52</v>
      </c>
      <c r="C82" s="72">
        <v>1.66</v>
      </c>
      <c r="D82" s="72">
        <v>1.95</v>
      </c>
      <c r="E82" s="72">
        <v>1.56</v>
      </c>
      <c r="F82" s="72">
        <v>1.73</v>
      </c>
      <c r="G82" s="72">
        <v>1.78</v>
      </c>
      <c r="H82" s="72">
        <v>1.86</v>
      </c>
      <c r="I82" s="72">
        <v>1.95</v>
      </c>
      <c r="J82" s="72">
        <v>1.87</v>
      </c>
      <c r="K82" s="72">
        <v>2.16</v>
      </c>
      <c r="L82" s="72">
        <v>2.4</v>
      </c>
      <c r="M82" s="72">
        <v>2.06</v>
      </c>
      <c r="N82" s="72">
        <v>1.59</v>
      </c>
      <c r="O82" s="72">
        <v>1.55</v>
      </c>
      <c r="P82" s="72">
        <v>2.42</v>
      </c>
      <c r="Q82" s="72">
        <v>2.12</v>
      </c>
      <c r="R82" s="72">
        <v>1.5</v>
      </c>
      <c r="S82" s="72">
        <v>1.65</v>
      </c>
      <c r="T82" s="72">
        <v>2.1800000000000002</v>
      </c>
      <c r="U82" s="72">
        <v>1.91</v>
      </c>
      <c r="V82" s="72">
        <v>1.51</v>
      </c>
      <c r="W82" s="72">
        <v>1.63</v>
      </c>
      <c r="X82" s="72">
        <v>2.1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33.39</v>
      </c>
      <c r="C85" s="72">
        <v>31.89</v>
      </c>
      <c r="D85" s="72">
        <v>33.35</v>
      </c>
      <c r="E85" s="72">
        <v>34.56</v>
      </c>
      <c r="F85" s="72">
        <v>36.700000000000003</v>
      </c>
      <c r="G85" s="72">
        <v>33.380000000000003</v>
      </c>
      <c r="H85" s="72">
        <v>35.19</v>
      </c>
      <c r="I85" s="72">
        <v>38.42</v>
      </c>
      <c r="J85" s="72">
        <v>40.4</v>
      </c>
      <c r="K85" s="72">
        <v>36.22</v>
      </c>
      <c r="L85" s="72">
        <v>39.08</v>
      </c>
      <c r="M85" s="72">
        <v>42.21</v>
      </c>
      <c r="N85" s="72">
        <v>43.31</v>
      </c>
      <c r="O85" s="72">
        <v>37.4</v>
      </c>
      <c r="P85" s="72">
        <v>39.17</v>
      </c>
      <c r="Q85" s="72">
        <v>47.88</v>
      </c>
      <c r="R85" s="72">
        <v>48.45</v>
      </c>
      <c r="S85" s="72">
        <v>44.61</v>
      </c>
      <c r="T85" s="72">
        <v>45.49</v>
      </c>
      <c r="U85" s="72">
        <v>47.78</v>
      </c>
      <c r="V85" s="72">
        <v>47.27</v>
      </c>
      <c r="W85" s="72">
        <v>44.25</v>
      </c>
      <c r="X85" s="72">
        <v>46.57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40051236</v>
      </c>
      <c r="C88" s="273">
        <v>45961512</v>
      </c>
      <c r="D88" s="273">
        <v>47495873</v>
      </c>
      <c r="E88" s="273">
        <v>38251303</v>
      </c>
      <c r="F88" s="273">
        <v>38830600</v>
      </c>
      <c r="G88" s="273">
        <v>43444097</v>
      </c>
      <c r="H88" s="273">
        <v>46140469</v>
      </c>
      <c r="I88" s="273">
        <v>48637956</v>
      </c>
      <c r="J88" s="273">
        <v>43035596</v>
      </c>
      <c r="K88" s="273">
        <v>47616288</v>
      </c>
      <c r="L88" s="273">
        <v>50454895</v>
      </c>
      <c r="M88" s="273">
        <v>49528341</v>
      </c>
      <c r="N88" s="273">
        <v>43202985</v>
      </c>
      <c r="O88" s="273">
        <v>48732287</v>
      </c>
      <c r="P88" s="273">
        <v>55908144</v>
      </c>
      <c r="Q88" s="273">
        <v>55608245</v>
      </c>
      <c r="R88" s="273">
        <v>47607216</v>
      </c>
      <c r="S88" s="273">
        <v>52666047</v>
      </c>
      <c r="T88" s="273">
        <v>57068020</v>
      </c>
      <c r="U88" s="273">
        <v>57014288</v>
      </c>
      <c r="V88" s="273">
        <v>48924659</v>
      </c>
      <c r="W88" s="273">
        <v>53473330</v>
      </c>
      <c r="X88" s="273">
        <v>59822476</v>
      </c>
    </row>
    <row r="89" spans="1:25" ht="14.25" thickBot="1" x14ac:dyDescent="0.3">
      <c r="A89" s="250" t="s">
        <v>4</v>
      </c>
      <c r="B89" s="275">
        <v>8205265</v>
      </c>
      <c r="C89" s="275">
        <v>10573649</v>
      </c>
      <c r="D89" s="275">
        <v>11614298</v>
      </c>
      <c r="E89" s="275">
        <v>11766941</v>
      </c>
      <c r="F89" s="275">
        <v>9944077</v>
      </c>
      <c r="G89" s="275">
        <v>10949029</v>
      </c>
      <c r="H89" s="275">
        <v>11463324</v>
      </c>
      <c r="I89" s="275">
        <v>12663500</v>
      </c>
      <c r="J89" s="275">
        <v>11437384</v>
      </c>
      <c r="K89" s="275">
        <v>13062860</v>
      </c>
      <c r="L89" s="275">
        <v>13765756</v>
      </c>
      <c r="M89" s="275">
        <v>13228538</v>
      </c>
      <c r="N89" s="275">
        <v>11232238</v>
      </c>
      <c r="O89" s="275">
        <v>13154445</v>
      </c>
      <c r="P89" s="275">
        <v>15753016</v>
      </c>
      <c r="Q89" s="275">
        <v>15228966</v>
      </c>
      <c r="R89" s="275">
        <v>12826595</v>
      </c>
      <c r="S89" s="275">
        <v>14773326</v>
      </c>
      <c r="T89" s="275">
        <v>16352345</v>
      </c>
      <c r="U89" s="275">
        <v>15541465</v>
      </c>
      <c r="V89" s="275">
        <v>13308754</v>
      </c>
      <c r="W89" s="275">
        <v>14689587</v>
      </c>
      <c r="X89" s="275">
        <v>16198338</v>
      </c>
    </row>
    <row r="90" spans="1:25" ht="14.25" thickBot="1" x14ac:dyDescent="0.3">
      <c r="A90" s="251" t="s">
        <v>5</v>
      </c>
      <c r="B90" s="273">
        <v>2333430</v>
      </c>
      <c r="C90" s="273">
        <v>4203221</v>
      </c>
      <c r="D90" s="273">
        <v>5044986</v>
      </c>
      <c r="E90" s="273">
        <v>5770352</v>
      </c>
      <c r="F90" s="273">
        <v>4240023</v>
      </c>
      <c r="G90" s="273">
        <v>4621442</v>
      </c>
      <c r="H90" s="273">
        <v>4919964</v>
      </c>
      <c r="I90" s="273">
        <v>5726953</v>
      </c>
      <c r="J90" s="273">
        <v>5105078</v>
      </c>
      <c r="K90" s="273">
        <v>5982507</v>
      </c>
      <c r="L90" s="273">
        <v>6255517</v>
      </c>
      <c r="M90" s="273">
        <v>5474206</v>
      </c>
      <c r="N90" s="273">
        <v>4269362</v>
      </c>
      <c r="O90" s="273">
        <v>4743348</v>
      </c>
      <c r="P90" s="273">
        <v>6145393</v>
      </c>
      <c r="Q90" s="273">
        <v>5340811</v>
      </c>
      <c r="R90" s="273">
        <v>3869121</v>
      </c>
      <c r="S90" s="273">
        <v>5203367</v>
      </c>
      <c r="T90" s="273">
        <v>6378465</v>
      </c>
      <c r="U90" s="273">
        <v>5374718</v>
      </c>
      <c r="V90" s="273">
        <v>3967312</v>
      </c>
      <c r="W90" s="273">
        <v>4560370</v>
      </c>
      <c r="X90" s="273">
        <v>5458523</v>
      </c>
    </row>
    <row r="91" spans="1:25" ht="14.25" thickBot="1" x14ac:dyDescent="0.3">
      <c r="A91" s="250" t="s">
        <v>6</v>
      </c>
      <c r="B91" s="275">
        <v>4708601</v>
      </c>
      <c r="C91" s="275">
        <v>5044468</v>
      </c>
      <c r="D91" s="275">
        <v>5977940</v>
      </c>
      <c r="E91" s="275">
        <v>6775328</v>
      </c>
      <c r="F91" s="275">
        <v>4960324</v>
      </c>
      <c r="G91" s="275">
        <v>5237147</v>
      </c>
      <c r="H91" s="275">
        <v>5856529</v>
      </c>
      <c r="I91" s="275">
        <v>6442554</v>
      </c>
      <c r="J91" s="275">
        <v>5911126</v>
      </c>
      <c r="K91" s="275">
        <v>6974799</v>
      </c>
      <c r="L91" s="275">
        <v>7348303</v>
      </c>
      <c r="M91" s="275">
        <v>6282434</v>
      </c>
      <c r="N91" s="275">
        <v>5083137</v>
      </c>
      <c r="O91" s="275">
        <v>5506386</v>
      </c>
      <c r="P91" s="275">
        <v>7615882</v>
      </c>
      <c r="Q91" s="275">
        <v>6569391</v>
      </c>
      <c r="R91" s="275">
        <v>5235274</v>
      </c>
      <c r="S91" s="275">
        <v>5841458</v>
      </c>
      <c r="T91" s="275">
        <v>7154334</v>
      </c>
      <c r="U91" s="275">
        <v>6558895</v>
      </c>
      <c r="V91" s="275">
        <v>4966727</v>
      </c>
      <c r="W91" s="275">
        <v>5440990</v>
      </c>
      <c r="X91" s="275">
        <v>6963622</v>
      </c>
    </row>
    <row r="92" spans="1:25" ht="14.25" thickBot="1" x14ac:dyDescent="0.3">
      <c r="A92" s="251" t="s">
        <v>7</v>
      </c>
      <c r="B92" s="273">
        <v>3799525</v>
      </c>
      <c r="C92" s="273">
        <v>4525074</v>
      </c>
      <c r="D92" s="273">
        <v>4983968</v>
      </c>
      <c r="E92" s="273">
        <v>3908921</v>
      </c>
      <c r="F92" s="273">
        <v>4173956</v>
      </c>
      <c r="G92" s="273">
        <v>4732859</v>
      </c>
      <c r="H92" s="273">
        <v>4874010</v>
      </c>
      <c r="I92" s="273">
        <v>5253571</v>
      </c>
      <c r="J92" s="273">
        <v>4924335</v>
      </c>
      <c r="K92" s="273">
        <v>5756758</v>
      </c>
      <c r="L92" s="273">
        <v>6228162</v>
      </c>
      <c r="M92" s="273">
        <v>5405585</v>
      </c>
      <c r="N92" s="273">
        <v>4258167</v>
      </c>
      <c r="O92" s="273">
        <v>4213408</v>
      </c>
      <c r="P92" s="273">
        <v>6127529</v>
      </c>
      <c r="Q92" s="273">
        <v>5283270</v>
      </c>
      <c r="R92" s="273">
        <v>4046315</v>
      </c>
      <c r="S92" s="273">
        <v>4366382</v>
      </c>
      <c r="T92" s="273">
        <v>5777361</v>
      </c>
      <c r="U92" s="273">
        <v>5069924</v>
      </c>
      <c r="V92" s="273">
        <v>3973686</v>
      </c>
      <c r="W92" s="273">
        <v>4302850</v>
      </c>
      <c r="X92" s="273">
        <v>5574808</v>
      </c>
    </row>
    <row r="93" spans="1:25" ht="26.25" thickBot="1" x14ac:dyDescent="0.3">
      <c r="A93" s="252" t="s">
        <v>8</v>
      </c>
      <c r="B93" s="276">
        <v>3655683</v>
      </c>
      <c r="C93" s="276">
        <v>3997202</v>
      </c>
      <c r="D93" s="276">
        <v>4707017</v>
      </c>
      <c r="E93" s="276">
        <v>3749640</v>
      </c>
      <c r="F93" s="276">
        <v>4188751</v>
      </c>
      <c r="G93" s="276">
        <v>4328644</v>
      </c>
      <c r="H93" s="276">
        <v>4527614</v>
      </c>
      <c r="I93" s="276">
        <v>4731193</v>
      </c>
      <c r="J93" s="276">
        <v>4568818</v>
      </c>
      <c r="K93" s="276">
        <v>5264028</v>
      </c>
      <c r="L93" s="276">
        <v>5836641</v>
      </c>
      <c r="M93" s="276">
        <v>5030583</v>
      </c>
      <c r="N93" s="276">
        <v>3865704</v>
      </c>
      <c r="O93" s="276">
        <v>3794616</v>
      </c>
      <c r="P93" s="276">
        <v>5896052</v>
      </c>
      <c r="Q93" s="276">
        <v>5158251</v>
      </c>
      <c r="R93" s="276">
        <v>3886768</v>
      </c>
      <c r="S93" s="276">
        <v>4293167</v>
      </c>
      <c r="T93" s="276">
        <v>5666218</v>
      </c>
      <c r="U93" s="276">
        <v>4951646</v>
      </c>
      <c r="V93" s="276">
        <v>3919106</v>
      </c>
      <c r="W93" s="276">
        <v>4232525</v>
      </c>
      <c r="X93" s="276">
        <v>5466101</v>
      </c>
    </row>
    <row r="94" spans="1:25" x14ac:dyDescent="0.25">
      <c r="A94" s="233" t="s">
        <v>365</v>
      </c>
      <c r="B94" s="253">
        <f>IF(B91="","",B91-B90)</f>
        <v>2375171</v>
      </c>
      <c r="C94" s="253">
        <f>IF(C91="","",C91-C90)</f>
        <v>841247</v>
      </c>
      <c r="D94" s="253">
        <f t="shared" ref="D94:Y94" si="9">IF(D91="","",D91-D90)</f>
        <v>932954</v>
      </c>
      <c r="E94" s="253">
        <f t="shared" si="9"/>
        <v>1004976</v>
      </c>
      <c r="F94" s="253">
        <f t="shared" si="9"/>
        <v>720301</v>
      </c>
      <c r="G94" s="253">
        <f t="shared" si="9"/>
        <v>615705</v>
      </c>
      <c r="H94" s="253">
        <f t="shared" si="9"/>
        <v>936565</v>
      </c>
      <c r="I94" s="253">
        <f t="shared" si="9"/>
        <v>715601</v>
      </c>
      <c r="J94" s="253">
        <f t="shared" si="9"/>
        <v>806048</v>
      </c>
      <c r="K94" s="253">
        <f t="shared" si="9"/>
        <v>992292</v>
      </c>
      <c r="L94" s="253">
        <f t="shared" si="9"/>
        <v>1092786</v>
      </c>
      <c r="M94" s="253">
        <f t="shared" si="9"/>
        <v>808228</v>
      </c>
      <c r="N94" s="253">
        <f t="shared" si="9"/>
        <v>813775</v>
      </c>
      <c r="O94" s="253">
        <f t="shared" si="9"/>
        <v>763038</v>
      </c>
      <c r="P94" s="253">
        <f t="shared" si="9"/>
        <v>1470489</v>
      </c>
      <c r="Q94" s="253">
        <f t="shared" si="9"/>
        <v>1228580</v>
      </c>
      <c r="R94" s="253">
        <f t="shared" si="9"/>
        <v>1366153</v>
      </c>
      <c r="S94" s="253">
        <f t="shared" si="9"/>
        <v>638091</v>
      </c>
      <c r="T94" s="253">
        <f t="shared" si="9"/>
        <v>775869</v>
      </c>
      <c r="U94" s="253">
        <f t="shared" si="9"/>
        <v>1184177</v>
      </c>
      <c r="V94" s="253">
        <f t="shared" si="9"/>
        <v>999415</v>
      </c>
      <c r="W94" s="253">
        <f t="shared" si="9"/>
        <v>880620</v>
      </c>
      <c r="X94" s="253">
        <f t="shared" si="9"/>
        <v>1505099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171759924</v>
      </c>
      <c r="C97" s="273">
        <v>177053122</v>
      </c>
      <c r="D97" s="273">
        <v>190635120</v>
      </c>
      <c r="E97" s="273">
        <v>203451661</v>
      </c>
      <c r="F97" s="273">
        <v>214355571</v>
      </c>
    </row>
    <row r="98" spans="1:24" ht="14.25" thickBot="1" x14ac:dyDescent="0.3">
      <c r="A98" s="225" t="s">
        <v>4</v>
      </c>
      <c r="B98" s="275">
        <v>42160153</v>
      </c>
      <c r="C98" s="275">
        <v>45019930</v>
      </c>
      <c r="D98" s="275">
        <v>51494538</v>
      </c>
      <c r="E98" s="275">
        <v>55368665</v>
      </c>
      <c r="F98" s="275">
        <v>59493731</v>
      </c>
    </row>
    <row r="99" spans="1:24" ht="14.25" thickBot="1" x14ac:dyDescent="0.3">
      <c r="A99" s="224" t="s">
        <v>5</v>
      </c>
      <c r="B99" s="273">
        <v>17351989</v>
      </c>
      <c r="C99" s="273">
        <v>19508382</v>
      </c>
      <c r="D99" s="273">
        <v>22816888</v>
      </c>
      <c r="E99" s="273">
        <v>20498914</v>
      </c>
      <c r="F99" s="273">
        <v>20825671</v>
      </c>
    </row>
    <row r="100" spans="1:24" ht="14.25" thickBot="1" x14ac:dyDescent="0.3">
      <c r="A100" s="225" t="s">
        <v>6</v>
      </c>
      <c r="B100" s="275">
        <v>22506337</v>
      </c>
      <c r="C100" s="275">
        <v>22496554</v>
      </c>
      <c r="D100" s="275">
        <v>26514857</v>
      </c>
      <c r="E100" s="275">
        <v>24774796</v>
      </c>
      <c r="F100" s="275">
        <v>24789961</v>
      </c>
    </row>
    <row r="101" spans="1:24" ht="14.25" thickBot="1" x14ac:dyDescent="0.3">
      <c r="A101" s="224" t="s">
        <v>7</v>
      </c>
      <c r="B101" s="273">
        <v>17217488</v>
      </c>
      <c r="C101" s="273">
        <v>19034396</v>
      </c>
      <c r="D101" s="273">
        <v>22313371</v>
      </c>
      <c r="E101" s="273">
        <v>19882374</v>
      </c>
      <c r="F101" s="273">
        <v>19259982</v>
      </c>
    </row>
    <row r="102" spans="1:24" ht="14.25" thickBot="1" x14ac:dyDescent="0.3">
      <c r="A102" s="227" t="s">
        <v>8</v>
      </c>
      <c r="B102" s="276">
        <v>16109542</v>
      </c>
      <c r="C102" s="276">
        <v>17776202</v>
      </c>
      <c r="D102" s="276">
        <v>20698900</v>
      </c>
      <c r="E102" s="276">
        <v>18714623</v>
      </c>
      <c r="F102" s="276">
        <v>18797799</v>
      </c>
    </row>
    <row r="103" spans="1:24" x14ac:dyDescent="0.25">
      <c r="A103" s="233" t="s">
        <v>262</v>
      </c>
      <c r="B103" s="234">
        <f>IF(OR(B102="",B102="無"),"",B102/B101)</f>
        <v>0.93564996241031217</v>
      </c>
      <c r="C103" s="234">
        <f>IF(OR(C102="",C102="無"),"",C102/C101)</f>
        <v>0.93389892697409471</v>
      </c>
      <c r="D103" s="234">
        <f>IF(OR(D102="",D102="無"),"",D102/D101)</f>
        <v>0.92764558075962611</v>
      </c>
      <c r="E103" s="234">
        <f>IF(OR(E102="",E102="無"),"",E102/E101)</f>
        <v>0.94126702374676186</v>
      </c>
      <c r="F103" s="234">
        <f>IF(OR(F102="",F102="無"),"",F102/F101)</f>
        <v>0.976002937074396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62364431</v>
      </c>
      <c r="C106" s="273">
        <v>67307627</v>
      </c>
      <c r="D106" s="273">
        <v>57610816</v>
      </c>
      <c r="E106" s="273">
        <v>51096128</v>
      </c>
      <c r="F106" s="273">
        <v>55296148</v>
      </c>
      <c r="G106" s="273">
        <v>53943741</v>
      </c>
      <c r="H106" s="273">
        <v>54971544</v>
      </c>
      <c r="I106" s="273">
        <v>59023870</v>
      </c>
      <c r="J106" s="273">
        <v>58817841</v>
      </c>
      <c r="K106" s="273">
        <v>60504492</v>
      </c>
      <c r="L106" s="273">
        <v>62816642</v>
      </c>
      <c r="M106" s="273">
        <v>73459818</v>
      </c>
      <c r="N106" s="273">
        <v>73315741</v>
      </c>
      <c r="O106" s="273">
        <v>60258877</v>
      </c>
      <c r="P106" s="273">
        <v>50758119</v>
      </c>
      <c r="Q106" s="273">
        <v>51252453</v>
      </c>
      <c r="R106" s="273">
        <v>56210911</v>
      </c>
      <c r="S106" s="273">
        <v>63929027</v>
      </c>
      <c r="T106" s="273">
        <v>54511453</v>
      </c>
      <c r="U106" s="273">
        <v>55572744</v>
      </c>
      <c r="V106" s="273">
        <v>54036446</v>
      </c>
      <c r="W106" s="273">
        <v>60222748</v>
      </c>
      <c r="X106" s="273">
        <v>69058351</v>
      </c>
    </row>
    <row r="107" spans="1:24" ht="14.25" thickBot="1" x14ac:dyDescent="0.3">
      <c r="A107" s="225" t="s">
        <v>22</v>
      </c>
      <c r="B107" s="275">
        <v>666066</v>
      </c>
      <c r="C107" s="275">
        <v>615164</v>
      </c>
      <c r="D107" s="275">
        <v>1543589</v>
      </c>
      <c r="E107" s="275">
        <v>1373559</v>
      </c>
      <c r="F107" s="275">
        <v>1435713</v>
      </c>
      <c r="G107" s="275">
        <v>695976</v>
      </c>
      <c r="H107" s="275">
        <v>1051174</v>
      </c>
      <c r="I107" s="275">
        <v>782600</v>
      </c>
      <c r="J107" s="275">
        <v>746351</v>
      </c>
      <c r="K107" s="275">
        <v>837808</v>
      </c>
      <c r="L107" s="275">
        <v>699574</v>
      </c>
      <c r="M107" s="275">
        <v>727950</v>
      </c>
      <c r="N107" s="275">
        <v>800314</v>
      </c>
      <c r="O107" s="275">
        <v>609228</v>
      </c>
      <c r="P107" s="275">
        <v>553150</v>
      </c>
      <c r="Q107" s="275">
        <v>558670</v>
      </c>
      <c r="R107" s="275">
        <v>811196</v>
      </c>
      <c r="S107" s="275">
        <v>869798</v>
      </c>
      <c r="T107" s="275">
        <v>748999</v>
      </c>
      <c r="U107" s="275">
        <v>739777</v>
      </c>
      <c r="V107" s="275">
        <v>1146238</v>
      </c>
      <c r="W107" s="275">
        <v>1074541</v>
      </c>
      <c r="X107" s="275">
        <v>1544212</v>
      </c>
    </row>
    <row r="108" spans="1:24" ht="14.25" thickBot="1" x14ac:dyDescent="0.3">
      <c r="A108" s="224" t="s">
        <v>263</v>
      </c>
      <c r="B108" s="273">
        <v>36408512</v>
      </c>
      <c r="C108" s="273">
        <v>39956090</v>
      </c>
      <c r="D108" s="273">
        <v>40635055</v>
      </c>
      <c r="E108" s="273">
        <v>37529946</v>
      </c>
      <c r="F108" s="273">
        <v>35730540</v>
      </c>
      <c r="G108" s="273">
        <v>37942518</v>
      </c>
      <c r="H108" s="273">
        <v>41126778</v>
      </c>
      <c r="I108" s="273">
        <v>43740732</v>
      </c>
      <c r="J108" s="273">
        <v>39985426</v>
      </c>
      <c r="K108" s="273">
        <v>42602649</v>
      </c>
      <c r="L108" s="273">
        <v>46565860</v>
      </c>
      <c r="M108" s="273">
        <v>46187319</v>
      </c>
      <c r="N108" s="273">
        <v>40687179</v>
      </c>
      <c r="O108" s="273">
        <v>46534710</v>
      </c>
      <c r="P108" s="273">
        <v>54335025</v>
      </c>
      <c r="Q108" s="273">
        <v>50032774</v>
      </c>
      <c r="R108" s="273">
        <v>43400214</v>
      </c>
      <c r="S108" s="273">
        <v>49029671</v>
      </c>
      <c r="T108" s="273">
        <v>52281323</v>
      </c>
      <c r="U108" s="273">
        <v>51741616</v>
      </c>
      <c r="V108" s="273">
        <v>44964012</v>
      </c>
      <c r="W108" s="273">
        <v>47736479</v>
      </c>
      <c r="X108" s="273">
        <v>53160739</v>
      </c>
    </row>
    <row r="109" spans="1:24" ht="14.25" thickBot="1" x14ac:dyDescent="0.3">
      <c r="A109" s="225" t="s">
        <v>264</v>
      </c>
      <c r="B109" s="275">
        <v>16938578</v>
      </c>
      <c r="C109" s="275">
        <v>17472941</v>
      </c>
      <c r="D109" s="275">
        <v>16694318</v>
      </c>
      <c r="E109" s="275">
        <v>15461032</v>
      </c>
      <c r="F109" s="275">
        <v>15751272</v>
      </c>
      <c r="G109" s="275">
        <v>16520408</v>
      </c>
      <c r="H109" s="275">
        <v>16871646</v>
      </c>
      <c r="I109" s="275">
        <v>18041829</v>
      </c>
      <c r="J109" s="275">
        <v>18218592</v>
      </c>
      <c r="K109" s="275">
        <v>18716271</v>
      </c>
      <c r="L109" s="275">
        <v>20510542</v>
      </c>
      <c r="M109" s="275">
        <v>21571975</v>
      </c>
      <c r="N109" s="275">
        <v>21140731</v>
      </c>
      <c r="O109" s="275">
        <v>22373268</v>
      </c>
      <c r="P109" s="275">
        <v>23143121</v>
      </c>
      <c r="Q109" s="275">
        <v>23912036</v>
      </c>
      <c r="R109" s="275">
        <v>23481348</v>
      </c>
      <c r="S109" s="275">
        <v>23056897</v>
      </c>
      <c r="T109" s="275">
        <v>24379323</v>
      </c>
      <c r="U109" s="275">
        <v>25953182</v>
      </c>
      <c r="V109" s="275">
        <v>24523872</v>
      </c>
      <c r="W109" s="275">
        <v>27477638</v>
      </c>
      <c r="X109" s="275">
        <v>29114684</v>
      </c>
    </row>
    <row r="110" spans="1:24" ht="14.25" thickBot="1" x14ac:dyDescent="0.3">
      <c r="A110" s="224" t="s">
        <v>23</v>
      </c>
      <c r="B110" s="273">
        <v>5430289</v>
      </c>
      <c r="C110" s="273">
        <v>5753229</v>
      </c>
      <c r="D110" s="273">
        <v>5282715</v>
      </c>
      <c r="E110" s="273">
        <v>16429083</v>
      </c>
      <c r="F110" s="273">
        <v>15958463</v>
      </c>
      <c r="G110" s="273">
        <v>4889576</v>
      </c>
      <c r="H110" s="273">
        <v>5346615</v>
      </c>
      <c r="I110" s="273">
        <v>4914070</v>
      </c>
      <c r="J110" s="273">
        <v>5966298</v>
      </c>
      <c r="K110" s="273">
        <v>4791870</v>
      </c>
      <c r="L110" s="273">
        <v>5546918</v>
      </c>
      <c r="M110" s="273">
        <v>5885094</v>
      </c>
      <c r="N110" s="273">
        <v>7733992</v>
      </c>
      <c r="O110" s="273">
        <v>7641289</v>
      </c>
      <c r="P110" s="273">
        <v>8021683</v>
      </c>
      <c r="Q110" s="273">
        <v>6397548</v>
      </c>
      <c r="R110" s="273">
        <v>6003889</v>
      </c>
      <c r="S110" s="273">
        <v>5572554</v>
      </c>
      <c r="T110" s="273">
        <v>4567706</v>
      </c>
      <c r="U110" s="273">
        <v>4394379</v>
      </c>
      <c r="V110" s="273">
        <v>6315236</v>
      </c>
      <c r="W110" s="273">
        <v>4348029</v>
      </c>
      <c r="X110" s="273">
        <v>4124153</v>
      </c>
    </row>
    <row r="111" spans="1:24" ht="14.25" thickBot="1" x14ac:dyDescent="0.3">
      <c r="A111" s="225" t="s">
        <v>24</v>
      </c>
      <c r="B111" s="275">
        <v>121807876</v>
      </c>
      <c r="C111" s="275">
        <v>131105051</v>
      </c>
      <c r="D111" s="275">
        <v>121766493</v>
      </c>
      <c r="E111" s="275">
        <v>121889748</v>
      </c>
      <c r="F111" s="275">
        <v>124172136</v>
      </c>
      <c r="G111" s="275">
        <v>113992219</v>
      </c>
      <c r="H111" s="275">
        <v>119367757</v>
      </c>
      <c r="I111" s="275">
        <v>126503101</v>
      </c>
      <c r="J111" s="275">
        <v>123734508</v>
      </c>
      <c r="K111" s="275">
        <v>127453090</v>
      </c>
      <c r="L111" s="275">
        <v>136139536</v>
      </c>
      <c r="M111" s="275">
        <v>147832156</v>
      </c>
      <c r="N111" s="275">
        <v>143677957</v>
      </c>
      <c r="O111" s="275">
        <v>137417372</v>
      </c>
      <c r="P111" s="275">
        <v>136811098</v>
      </c>
      <c r="Q111" s="275">
        <v>132153481</v>
      </c>
      <c r="R111" s="275">
        <v>129907558</v>
      </c>
      <c r="S111" s="275">
        <v>142457947</v>
      </c>
      <c r="T111" s="275">
        <v>136488804</v>
      </c>
      <c r="U111" s="275">
        <v>138401698</v>
      </c>
      <c r="V111" s="275">
        <v>130985804</v>
      </c>
      <c r="W111" s="275">
        <v>140859435</v>
      </c>
      <c r="X111" s="275">
        <v>157002139</v>
      </c>
    </row>
    <row r="112" spans="1:24" ht="14.25" thickBot="1" x14ac:dyDescent="0.3">
      <c r="A112" s="224" t="s">
        <v>25</v>
      </c>
      <c r="B112" s="273">
        <v>13581813</v>
      </c>
      <c r="C112" s="273">
        <v>11238196</v>
      </c>
      <c r="D112" s="273">
        <v>10332037</v>
      </c>
      <c r="E112" s="273">
        <v>10618604</v>
      </c>
      <c r="F112" s="273">
        <v>10411963</v>
      </c>
      <c r="G112" s="273">
        <v>12086060</v>
      </c>
      <c r="H112" s="273">
        <v>12678777</v>
      </c>
      <c r="I112" s="273">
        <v>14884480</v>
      </c>
      <c r="J112" s="273">
        <v>13836815</v>
      </c>
      <c r="K112" s="273">
        <v>13982642</v>
      </c>
      <c r="L112" s="273">
        <v>13846441</v>
      </c>
      <c r="M112" s="273">
        <v>14932120</v>
      </c>
      <c r="N112" s="273">
        <v>14312208</v>
      </c>
      <c r="O112" s="273">
        <v>13926050</v>
      </c>
      <c r="P112" s="273">
        <v>14387500</v>
      </c>
      <c r="Q112" s="273">
        <v>16398061</v>
      </c>
      <c r="R112" s="273">
        <v>15781831</v>
      </c>
      <c r="S112" s="273">
        <v>14543245</v>
      </c>
      <c r="T112" s="273">
        <v>14688519</v>
      </c>
      <c r="U112" s="273">
        <v>15359532</v>
      </c>
      <c r="V112" s="273">
        <v>14341170</v>
      </c>
      <c r="W112" s="273">
        <v>14324413</v>
      </c>
      <c r="X112" s="273">
        <v>14150041</v>
      </c>
    </row>
    <row r="113" spans="1:24" ht="14.25" thickBot="1" x14ac:dyDescent="0.3">
      <c r="A113" s="225" t="s">
        <v>26</v>
      </c>
      <c r="B113" s="275">
        <v>39070977</v>
      </c>
      <c r="C113" s="275">
        <v>41611131</v>
      </c>
      <c r="D113" s="275">
        <v>41672781</v>
      </c>
      <c r="E113" s="275">
        <v>34908430</v>
      </c>
      <c r="F113" s="275">
        <v>36630192</v>
      </c>
      <c r="G113" s="275">
        <v>37213864</v>
      </c>
      <c r="H113" s="275">
        <v>36900998</v>
      </c>
      <c r="I113" s="275">
        <v>37194762</v>
      </c>
      <c r="J113" s="275">
        <v>36232740</v>
      </c>
      <c r="K113" s="275">
        <v>35623106</v>
      </c>
      <c r="L113" s="275">
        <v>36208791</v>
      </c>
      <c r="M113" s="275">
        <v>36814759</v>
      </c>
      <c r="N113" s="275">
        <v>36567039</v>
      </c>
      <c r="O113" s="275">
        <v>37666822</v>
      </c>
      <c r="P113" s="275">
        <v>41852446</v>
      </c>
      <c r="Q113" s="275">
        <v>41891417</v>
      </c>
      <c r="R113" s="275">
        <v>41421277</v>
      </c>
      <c r="S113" s="275">
        <v>41362927</v>
      </c>
      <c r="T113" s="275">
        <v>40581762</v>
      </c>
      <c r="U113" s="275">
        <v>40558137</v>
      </c>
      <c r="V113" s="275">
        <v>39446485</v>
      </c>
      <c r="W113" s="275">
        <v>42017848</v>
      </c>
      <c r="X113" s="275">
        <v>42974097</v>
      </c>
    </row>
    <row r="114" spans="1:24" ht="14.25" thickBot="1" x14ac:dyDescent="0.3">
      <c r="A114" s="224" t="s">
        <v>27</v>
      </c>
      <c r="B114" s="273">
        <v>13926656</v>
      </c>
      <c r="C114" s="273">
        <v>15258154</v>
      </c>
      <c r="D114" s="273">
        <v>15136067</v>
      </c>
      <c r="E114" s="273">
        <v>14471815</v>
      </c>
      <c r="F114" s="273">
        <v>16962133</v>
      </c>
      <c r="G114" s="273">
        <v>17496377</v>
      </c>
      <c r="H114" s="273">
        <v>17992454</v>
      </c>
      <c r="I114" s="273">
        <v>18746471</v>
      </c>
      <c r="J114" s="273">
        <v>19202722</v>
      </c>
      <c r="K114" s="273">
        <v>19133356</v>
      </c>
      <c r="L114" s="273">
        <v>20291556</v>
      </c>
      <c r="M114" s="273">
        <v>20873387</v>
      </c>
      <c r="N114" s="273">
        <v>20763742</v>
      </c>
      <c r="O114" s="273">
        <v>35287823</v>
      </c>
      <c r="P114" s="273">
        <v>36535216</v>
      </c>
      <c r="Q114" s="273">
        <v>35832977</v>
      </c>
      <c r="R114" s="273">
        <v>34787929</v>
      </c>
      <c r="S114" s="273">
        <v>36571951</v>
      </c>
      <c r="T114" s="273">
        <v>40087614</v>
      </c>
      <c r="U114" s="273">
        <v>40795303</v>
      </c>
      <c r="V114" s="273">
        <v>38772668</v>
      </c>
      <c r="W114" s="273">
        <v>40460249</v>
      </c>
      <c r="X114" s="273">
        <v>44137029</v>
      </c>
    </row>
    <row r="115" spans="1:24" ht="14.25" thickBot="1" x14ac:dyDescent="0.3">
      <c r="A115" s="225" t="s">
        <v>265</v>
      </c>
      <c r="B115" s="276">
        <v>188387322</v>
      </c>
      <c r="C115" s="276">
        <v>199212532</v>
      </c>
      <c r="D115" s="276">
        <v>188907378</v>
      </c>
      <c r="E115" s="276">
        <v>181888597</v>
      </c>
      <c r="F115" s="276">
        <v>188176424</v>
      </c>
      <c r="G115" s="276">
        <v>180788520</v>
      </c>
      <c r="H115" s="276">
        <v>186939986</v>
      </c>
      <c r="I115" s="276">
        <v>197328814</v>
      </c>
      <c r="J115" s="276">
        <v>193006785</v>
      </c>
      <c r="K115" s="276">
        <v>196192194</v>
      </c>
      <c r="L115" s="276">
        <v>206486324</v>
      </c>
      <c r="M115" s="276">
        <v>220452422</v>
      </c>
      <c r="N115" s="276">
        <v>215320946</v>
      </c>
      <c r="O115" s="276">
        <v>224298067</v>
      </c>
      <c r="P115" s="276">
        <v>229586260</v>
      </c>
      <c r="Q115" s="276">
        <v>226275936</v>
      </c>
      <c r="R115" s="276">
        <v>221898595</v>
      </c>
      <c r="S115" s="276">
        <v>234936070</v>
      </c>
      <c r="T115" s="276">
        <v>231846699</v>
      </c>
      <c r="U115" s="276">
        <v>235114670</v>
      </c>
      <c r="V115" s="276">
        <v>223546127</v>
      </c>
      <c r="W115" s="276">
        <v>237661945</v>
      </c>
      <c r="X115" s="276">
        <v>258263306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18147503</v>
      </c>
      <c r="C118" s="273">
        <v>14687680</v>
      </c>
      <c r="D118" s="273">
        <v>16007732</v>
      </c>
      <c r="E118" s="273">
        <v>5037267</v>
      </c>
      <c r="F118" s="273">
        <v>9399117</v>
      </c>
      <c r="G118" s="273">
        <v>4816555</v>
      </c>
      <c r="H118" s="273">
        <v>4867605</v>
      </c>
      <c r="I118" s="273">
        <v>4561722</v>
      </c>
      <c r="J118" s="273">
        <v>11332534</v>
      </c>
      <c r="K118" s="273">
        <v>5778802</v>
      </c>
      <c r="L118" s="273">
        <v>7151499</v>
      </c>
      <c r="M118" s="273">
        <v>5801298</v>
      </c>
      <c r="N118" s="273">
        <v>11928468</v>
      </c>
      <c r="O118" s="273">
        <v>12172321</v>
      </c>
      <c r="P118" s="273">
        <v>18834167</v>
      </c>
      <c r="Q118" s="273">
        <v>11109573</v>
      </c>
      <c r="R118" s="273">
        <v>12228634</v>
      </c>
      <c r="S118" s="273">
        <v>16059464</v>
      </c>
      <c r="T118" s="273">
        <v>10647626</v>
      </c>
      <c r="U118" s="273">
        <v>12539294</v>
      </c>
      <c r="V118" s="273">
        <v>8275834</v>
      </c>
      <c r="W118" s="273">
        <v>10530201</v>
      </c>
      <c r="X118" s="273">
        <v>20858370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28354755</v>
      </c>
      <c r="C120" s="273">
        <v>31766159</v>
      </c>
      <c r="D120" s="273">
        <v>30068835</v>
      </c>
      <c r="E120" s="273">
        <v>27046496</v>
      </c>
      <c r="F120" s="273">
        <v>25820580</v>
      </c>
      <c r="G120" s="273">
        <v>29443742</v>
      </c>
      <c r="H120" s="273">
        <v>30869115</v>
      </c>
      <c r="I120" s="273">
        <v>32816423</v>
      </c>
      <c r="J120" s="273">
        <v>28867759</v>
      </c>
      <c r="K120" s="273">
        <v>30819706</v>
      </c>
      <c r="L120" s="273">
        <v>33856134</v>
      </c>
      <c r="M120" s="273">
        <v>33748983</v>
      </c>
      <c r="N120" s="273">
        <v>28356549</v>
      </c>
      <c r="O120" s="273">
        <v>31945449</v>
      </c>
      <c r="P120" s="273">
        <v>35235933</v>
      </c>
      <c r="Q120" s="273">
        <v>35882259</v>
      </c>
      <c r="R120" s="273">
        <v>30293282</v>
      </c>
      <c r="S120" s="273">
        <v>33473598</v>
      </c>
      <c r="T120" s="273">
        <v>37052324</v>
      </c>
      <c r="U120" s="273">
        <v>37514151</v>
      </c>
      <c r="V120" s="273">
        <v>31313849</v>
      </c>
      <c r="W120" s="273">
        <v>35270783</v>
      </c>
      <c r="X120" s="273">
        <v>37611318</v>
      </c>
    </row>
    <row r="121" spans="1:24" ht="14.25" thickBot="1" x14ac:dyDescent="0.3">
      <c r="A121" s="225" t="s">
        <v>267</v>
      </c>
      <c r="B121" s="275">
        <v>963369</v>
      </c>
      <c r="C121" s="275">
        <v>1282750</v>
      </c>
      <c r="D121" s="275">
        <v>1327461</v>
      </c>
      <c r="E121" s="275">
        <v>1454815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1143681</v>
      </c>
      <c r="C122" s="273">
        <v>1687698</v>
      </c>
      <c r="D122" s="273">
        <v>1567992</v>
      </c>
      <c r="E122" s="273">
        <v>72933</v>
      </c>
      <c r="F122" s="273">
        <v>1458953</v>
      </c>
      <c r="G122" s="273">
        <v>65822</v>
      </c>
      <c r="H122" s="273">
        <v>85653</v>
      </c>
      <c r="I122" s="273">
        <v>80379</v>
      </c>
      <c r="J122" s="273">
        <v>71461</v>
      </c>
      <c r="K122" s="273">
        <v>58839</v>
      </c>
      <c r="L122" s="273">
        <v>62479</v>
      </c>
      <c r="M122" s="273">
        <v>52111</v>
      </c>
      <c r="N122" s="273">
        <v>47727</v>
      </c>
      <c r="O122" s="273">
        <v>43359</v>
      </c>
      <c r="P122" s="273">
        <v>53083</v>
      </c>
      <c r="Q122" s="273">
        <v>55241</v>
      </c>
      <c r="R122" s="273">
        <v>54930</v>
      </c>
      <c r="S122" s="273">
        <v>60032</v>
      </c>
      <c r="T122" s="273">
        <v>58004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17589090</v>
      </c>
      <c r="C123" s="275">
        <v>26969785</v>
      </c>
      <c r="D123" s="275">
        <v>17893404</v>
      </c>
      <c r="E123" s="275">
        <v>25083691</v>
      </c>
      <c r="F123" s="275">
        <v>25552986</v>
      </c>
      <c r="G123" s="275">
        <v>35152751</v>
      </c>
      <c r="H123" s="275">
        <v>20445463</v>
      </c>
      <c r="I123" s="275">
        <v>21909288</v>
      </c>
      <c r="J123" s="275">
        <v>22259475</v>
      </c>
      <c r="K123" s="275">
        <v>38501315</v>
      </c>
      <c r="L123" s="275">
        <v>24136816</v>
      </c>
      <c r="M123" s="275">
        <v>25021970</v>
      </c>
      <c r="N123" s="275">
        <v>25161236</v>
      </c>
      <c r="O123" s="275">
        <v>43511212</v>
      </c>
      <c r="P123" s="275">
        <v>26827202</v>
      </c>
      <c r="Q123" s="275">
        <v>29305223</v>
      </c>
      <c r="R123" s="275">
        <v>26756819</v>
      </c>
      <c r="S123" s="275">
        <v>42590240</v>
      </c>
      <c r="T123" s="275">
        <v>27034708</v>
      </c>
      <c r="U123" s="275">
        <v>31210192</v>
      </c>
      <c r="V123" s="275">
        <v>30850882</v>
      </c>
      <c r="W123" s="275">
        <v>47103528</v>
      </c>
      <c r="X123" s="275">
        <v>31117225</v>
      </c>
    </row>
    <row r="124" spans="1:24" ht="14.25" thickBot="1" x14ac:dyDescent="0.3">
      <c r="A124" s="224" t="s">
        <v>268</v>
      </c>
      <c r="B124" s="273">
        <v>66198398</v>
      </c>
      <c r="C124" s="273">
        <v>76394072</v>
      </c>
      <c r="D124" s="273">
        <v>66865424</v>
      </c>
      <c r="E124" s="273">
        <v>58695202</v>
      </c>
      <c r="F124" s="273">
        <v>62231636</v>
      </c>
      <c r="G124" s="273">
        <v>69478870</v>
      </c>
      <c r="H124" s="273">
        <v>56267836</v>
      </c>
      <c r="I124" s="273">
        <v>59367812</v>
      </c>
      <c r="J124" s="273">
        <v>62531229</v>
      </c>
      <c r="K124" s="273">
        <v>75158662</v>
      </c>
      <c r="L124" s="273">
        <v>65206928</v>
      </c>
      <c r="M124" s="273">
        <v>64624362</v>
      </c>
      <c r="N124" s="273">
        <v>65493980</v>
      </c>
      <c r="O124" s="273">
        <v>87672341</v>
      </c>
      <c r="P124" s="273">
        <v>80950385</v>
      </c>
      <c r="Q124" s="273">
        <v>76352296</v>
      </c>
      <c r="R124" s="273">
        <v>69333665</v>
      </c>
      <c r="S124" s="273">
        <v>92183334</v>
      </c>
      <c r="T124" s="273">
        <v>74792662</v>
      </c>
      <c r="U124" s="273">
        <v>81263637</v>
      </c>
      <c r="V124" s="273">
        <v>70440565</v>
      </c>
      <c r="W124" s="273">
        <v>92904512</v>
      </c>
      <c r="X124" s="273">
        <v>89586913</v>
      </c>
    </row>
    <row r="125" spans="1:24" ht="14.25" thickBot="1" x14ac:dyDescent="0.3">
      <c r="A125" s="225" t="s">
        <v>32</v>
      </c>
      <c r="B125" s="275">
        <v>20316067</v>
      </c>
      <c r="C125" s="275">
        <v>24108675</v>
      </c>
      <c r="D125" s="275">
        <v>19747993</v>
      </c>
      <c r="E125" s="275">
        <v>16491517</v>
      </c>
      <c r="F125" s="275">
        <v>20228126</v>
      </c>
      <c r="G125" s="275">
        <v>16762013</v>
      </c>
      <c r="H125" s="275">
        <v>31407382</v>
      </c>
      <c r="I125" s="275">
        <v>30075372</v>
      </c>
      <c r="J125" s="275">
        <v>17386341</v>
      </c>
      <c r="K125" s="275">
        <v>18697857</v>
      </c>
      <c r="L125" s="275">
        <v>33221890</v>
      </c>
      <c r="M125" s="275">
        <v>40188983</v>
      </c>
      <c r="N125" s="275">
        <v>34117258</v>
      </c>
      <c r="O125" s="275">
        <v>35499645</v>
      </c>
      <c r="P125" s="275">
        <v>48147285</v>
      </c>
      <c r="Q125" s="275">
        <v>20370831</v>
      </c>
      <c r="R125" s="275">
        <v>21361021</v>
      </c>
      <c r="S125" s="275">
        <v>21229511</v>
      </c>
      <c r="T125" s="275">
        <v>33237042</v>
      </c>
      <c r="U125" s="275">
        <v>24842167</v>
      </c>
      <c r="V125" s="275">
        <v>25723652</v>
      </c>
      <c r="W125" s="275">
        <v>24801340</v>
      </c>
      <c r="X125" s="275">
        <v>42670006</v>
      </c>
    </row>
    <row r="126" spans="1:24" ht="14.25" thickBot="1" x14ac:dyDescent="0.3">
      <c r="A126" s="224" t="s">
        <v>33</v>
      </c>
      <c r="B126" s="273">
        <v>7051654</v>
      </c>
      <c r="C126" s="273">
        <v>6772648</v>
      </c>
      <c r="D126" s="273">
        <v>6712811</v>
      </c>
      <c r="E126" s="273">
        <v>7298052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93566119</v>
      </c>
      <c r="C127" s="275">
        <v>107275395</v>
      </c>
      <c r="D127" s="275">
        <v>93326228</v>
      </c>
      <c r="E127" s="275">
        <v>82484771</v>
      </c>
      <c r="F127" s="275">
        <v>82459762</v>
      </c>
      <c r="G127" s="275">
        <v>86240883</v>
      </c>
      <c r="H127" s="275">
        <v>87675218</v>
      </c>
      <c r="I127" s="275">
        <v>89443184</v>
      </c>
      <c r="J127" s="275">
        <v>79917570</v>
      </c>
      <c r="K127" s="275">
        <v>93856519</v>
      </c>
      <c r="L127" s="275">
        <v>98428818</v>
      </c>
      <c r="M127" s="275">
        <v>104813345</v>
      </c>
      <c r="N127" s="275">
        <v>99611238</v>
      </c>
      <c r="O127" s="275">
        <v>123171986</v>
      </c>
      <c r="P127" s="275">
        <v>129097670</v>
      </c>
      <c r="Q127" s="275">
        <v>96723127</v>
      </c>
      <c r="R127" s="275">
        <v>90694686</v>
      </c>
      <c r="S127" s="275">
        <v>113412845</v>
      </c>
      <c r="T127" s="275">
        <v>108029704</v>
      </c>
      <c r="U127" s="275">
        <v>106105804</v>
      </c>
      <c r="V127" s="275">
        <v>96164217</v>
      </c>
      <c r="W127" s="275">
        <v>117705852</v>
      </c>
      <c r="X127" s="275">
        <v>132256919</v>
      </c>
    </row>
    <row r="128" spans="1:24" ht="14.25" thickBot="1" x14ac:dyDescent="0.3">
      <c r="A128" s="224" t="s">
        <v>34</v>
      </c>
      <c r="B128" s="273">
        <v>94821203</v>
      </c>
      <c r="C128" s="273">
        <v>91937137</v>
      </c>
      <c r="D128" s="273">
        <v>95581150</v>
      </c>
      <c r="E128" s="273">
        <v>99403826</v>
      </c>
      <c r="F128" s="273">
        <v>105716662</v>
      </c>
      <c r="G128" s="273">
        <v>94547637</v>
      </c>
      <c r="H128" s="273">
        <v>99264768</v>
      </c>
      <c r="I128" s="273">
        <v>107885630</v>
      </c>
      <c r="J128" s="273">
        <v>113089215</v>
      </c>
      <c r="K128" s="273">
        <v>102335675</v>
      </c>
      <c r="L128" s="273">
        <v>108057506</v>
      </c>
      <c r="M128" s="273">
        <v>115639077</v>
      </c>
      <c r="N128" s="273">
        <v>115709708</v>
      </c>
      <c r="O128" s="273">
        <v>101126081</v>
      </c>
      <c r="P128" s="273">
        <v>100488590</v>
      </c>
      <c r="Q128" s="273">
        <v>129552809</v>
      </c>
      <c r="R128" s="273">
        <v>131203909</v>
      </c>
      <c r="S128" s="273">
        <v>121523225</v>
      </c>
      <c r="T128" s="273">
        <v>123816995</v>
      </c>
      <c r="U128" s="273">
        <v>129008866</v>
      </c>
      <c r="V128" s="273">
        <v>127381910</v>
      </c>
      <c r="W128" s="273">
        <v>119956093</v>
      </c>
      <c r="X128" s="273">
        <v>126006387</v>
      </c>
    </row>
    <row r="129" spans="1:24" ht="14.25" thickBot="1" x14ac:dyDescent="0.3">
      <c r="A129" s="225" t="s">
        <v>35</v>
      </c>
      <c r="B129" s="276">
        <v>188387322</v>
      </c>
      <c r="C129" s="276">
        <v>199212532</v>
      </c>
      <c r="D129" s="276">
        <v>188907378</v>
      </c>
      <c r="E129" s="276">
        <v>181888597</v>
      </c>
      <c r="F129" s="276">
        <v>188176424</v>
      </c>
      <c r="G129" s="276">
        <v>180788520</v>
      </c>
      <c r="H129" s="276">
        <v>186939986</v>
      </c>
      <c r="I129" s="276">
        <v>197328814</v>
      </c>
      <c r="J129" s="276">
        <v>193006785</v>
      </c>
      <c r="K129" s="276">
        <v>196192194</v>
      </c>
      <c r="L129" s="276">
        <v>206486324</v>
      </c>
      <c r="M129" s="276">
        <v>220452422</v>
      </c>
      <c r="N129" s="276">
        <v>215320946</v>
      </c>
      <c r="O129" s="276">
        <v>224298067</v>
      </c>
      <c r="P129" s="276">
        <v>229586260</v>
      </c>
      <c r="Q129" s="276">
        <v>226275936</v>
      </c>
      <c r="R129" s="276">
        <v>221898595</v>
      </c>
      <c r="S129" s="276">
        <v>234936070</v>
      </c>
      <c r="T129" s="276">
        <v>231846699</v>
      </c>
      <c r="U129" s="276">
        <v>235114670</v>
      </c>
      <c r="V129" s="276">
        <v>223546127</v>
      </c>
      <c r="W129" s="276">
        <v>237661945</v>
      </c>
      <c r="X129" s="276">
        <v>258263306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9.83</v>
      </c>
      <c r="C132" s="68">
        <v>10.48</v>
      </c>
      <c r="D132" s="68">
        <v>11.4</v>
      </c>
      <c r="E132" s="68">
        <v>12.77</v>
      </c>
      <c r="F132" s="68">
        <v>11.9</v>
      </c>
    </row>
    <row r="133" spans="1:24" ht="14.25" thickBot="1" x14ac:dyDescent="0.3">
      <c r="A133" s="225" t="s">
        <v>37</v>
      </c>
      <c r="B133" s="274">
        <v>-4.9400000000000004</v>
      </c>
      <c r="C133" s="274">
        <v>-3.74</v>
      </c>
      <c r="D133" s="274">
        <v>-3.85</v>
      </c>
      <c r="E133" s="274">
        <v>-9.69</v>
      </c>
      <c r="F133" s="274">
        <v>-5.91</v>
      </c>
    </row>
    <row r="134" spans="1:24" ht="14.25" thickBot="1" x14ac:dyDescent="0.3">
      <c r="A134" s="224" t="s">
        <v>38</v>
      </c>
      <c r="B134" s="68">
        <v>-9.9499999999999993</v>
      </c>
      <c r="C134" s="68">
        <v>-4.62</v>
      </c>
      <c r="D134" s="68">
        <v>-3.05</v>
      </c>
      <c r="E134" s="68">
        <v>-12.6</v>
      </c>
      <c r="F134" s="68">
        <v>-3.16</v>
      </c>
    </row>
    <row r="135" spans="1:24" ht="14.25" thickBot="1" x14ac:dyDescent="0.3">
      <c r="A135" s="225" t="s">
        <v>270</v>
      </c>
      <c r="B135" s="274">
        <v>4.8899999999999997</v>
      </c>
      <c r="C135" s="274">
        <v>6.74</v>
      </c>
      <c r="D135" s="274">
        <v>7.54</v>
      </c>
      <c r="E135" s="274">
        <v>3.07</v>
      </c>
      <c r="F135" s="274">
        <v>5.99</v>
      </c>
    </row>
    <row r="136" spans="1:24" ht="14.25" thickBot="1" x14ac:dyDescent="0.3">
      <c r="A136" s="229" t="s">
        <v>39</v>
      </c>
      <c r="B136" s="72">
        <v>-5.0599999999999996</v>
      </c>
      <c r="C136" s="72">
        <v>2.13</v>
      </c>
      <c r="D136" s="72">
        <v>4.49</v>
      </c>
      <c r="E136" s="72">
        <v>-9.5299999999999994</v>
      </c>
      <c r="F136" s="72">
        <v>2.83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5.29</v>
      </c>
      <c r="C140" s="68">
        <v>5.8</v>
      </c>
      <c r="D140" s="68">
        <v>6.7</v>
      </c>
      <c r="E140" s="68">
        <v>5</v>
      </c>
      <c r="F140" s="68">
        <v>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0.79073243647234681</v>
      </c>
      <c r="C142" s="234">
        <f>IF(C140&lt;&gt;"無",IF(ISNA(HLOOKUP(C139,$B$64:$F$69,6,FALSE)),"",C140/HLOOKUP(C139,$B$64:$F$69,6,FALSE)),"")</f>
        <v>0.79234972677595628</v>
      </c>
      <c r="D142" s="234">
        <f>IF(D140&lt;&gt;"無",IF(ISNA(HLOOKUP(D139,$B$64:$F$69,6,FALSE)),"",D140/HLOOKUP(D139,$B$64:$F$69,6,FALSE)),"")</f>
        <v>0.78916372202591289</v>
      </c>
      <c r="E142" s="234">
        <f>IF(E140&lt;&gt;"無",IF(ISNA(HLOOKUP(E139,$B$64:$F$69,6,FALSE)),"",E140/HLOOKUP(E139,$B$64:$F$69,6,FALSE)),"")</f>
        <v>0.65104166666666663</v>
      </c>
      <c r="F142" s="234">
        <f>IF(F140&lt;&gt;"無",IF(ISNA(HLOOKUP(F139,$B$64:$F$69,6,FALSE)),"",F140/HLOOKUP(F139,$B$64:$F$69,6,FALSE)),"")</f>
        <v>0.69060773480662985</v>
      </c>
    </row>
    <row r="143" spans="1:24" x14ac:dyDescent="0.25">
      <c r="A143" s="233" t="s">
        <v>216</v>
      </c>
      <c r="B143" s="234">
        <f>IF(OR(B140=0,B140="無"),"",B135/B140)</f>
        <v>0.92438563327032131</v>
      </c>
      <c r="C143" s="234">
        <f>IF(OR(C140=0,C140="無"),"",C135/C140)</f>
        <v>1.1620689655172414</v>
      </c>
      <c r="D143" s="234">
        <f>IF(OR(D140=0,D140="無"),"",D135/D140)</f>
        <v>1.1253731343283582</v>
      </c>
      <c r="E143" s="234">
        <f>IF(OR(E140=0,E140="無"),"",E135/E140)</f>
        <v>0.61399999999999999</v>
      </c>
      <c r="F143" s="234">
        <f>IF(OR(F140=0,F140="無"),"",F135/F140)</f>
        <v>1.198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20.49</v>
      </c>
      <c r="C146" s="68">
        <v>23.01</v>
      </c>
      <c r="D146" s="68">
        <v>24.45</v>
      </c>
      <c r="E146" s="68">
        <v>30.76</v>
      </c>
      <c r="F146" s="68">
        <v>25.61</v>
      </c>
      <c r="G146" s="68">
        <v>25.2</v>
      </c>
      <c r="H146" s="68">
        <v>24.84</v>
      </c>
      <c r="I146" s="68">
        <v>26.04</v>
      </c>
      <c r="J146" s="68">
        <v>26.58</v>
      </c>
      <c r="K146" s="68">
        <v>27.43</v>
      </c>
      <c r="L146" s="68">
        <v>27.28</v>
      </c>
      <c r="M146" s="68">
        <v>26.71</v>
      </c>
      <c r="N146" s="68">
        <v>26</v>
      </c>
      <c r="O146" s="68">
        <v>26.99</v>
      </c>
      <c r="P146" s="68">
        <v>28.18</v>
      </c>
      <c r="Q146" s="68">
        <v>27.39</v>
      </c>
      <c r="R146" s="68">
        <v>26.94</v>
      </c>
      <c r="S146" s="68">
        <v>28.05</v>
      </c>
      <c r="T146" s="68">
        <v>28.65</v>
      </c>
      <c r="U146" s="68">
        <v>27.26</v>
      </c>
      <c r="V146" s="68">
        <v>27.2</v>
      </c>
      <c r="W146" s="68">
        <v>27.47</v>
      </c>
      <c r="X146" s="68">
        <v>27.08</v>
      </c>
    </row>
    <row r="147" spans="1:24" s="93" customFormat="1" ht="14.25" thickBot="1" x14ac:dyDescent="0.3">
      <c r="A147" s="225" t="s">
        <v>19</v>
      </c>
      <c r="B147" s="274">
        <v>5.83</v>
      </c>
      <c r="C147" s="274">
        <v>9.15</v>
      </c>
      <c r="D147" s="274">
        <v>10.62</v>
      </c>
      <c r="E147" s="274">
        <v>15.09</v>
      </c>
      <c r="F147" s="274">
        <v>10.92</v>
      </c>
      <c r="G147" s="274">
        <v>10.64</v>
      </c>
      <c r="H147" s="274">
        <v>10.66</v>
      </c>
      <c r="I147" s="274">
        <v>11.77</v>
      </c>
      <c r="J147" s="274">
        <v>11.86</v>
      </c>
      <c r="K147" s="274">
        <v>12.56</v>
      </c>
      <c r="L147" s="274">
        <v>12.4</v>
      </c>
      <c r="M147" s="274">
        <v>11.05</v>
      </c>
      <c r="N147" s="274">
        <v>9.8800000000000008</v>
      </c>
      <c r="O147" s="274">
        <v>9.73</v>
      </c>
      <c r="P147" s="274">
        <v>10.99</v>
      </c>
      <c r="Q147" s="274">
        <v>9.6</v>
      </c>
      <c r="R147" s="274">
        <v>8.1300000000000008</v>
      </c>
      <c r="S147" s="274">
        <v>9.8800000000000008</v>
      </c>
      <c r="T147" s="274">
        <v>11.18</v>
      </c>
      <c r="U147" s="274">
        <v>9.43</v>
      </c>
      <c r="V147" s="274">
        <v>8.11</v>
      </c>
      <c r="W147" s="274">
        <v>8.5299999999999994</v>
      </c>
      <c r="X147" s="274">
        <v>9.1199999999999992</v>
      </c>
    </row>
    <row r="148" spans="1:24" s="93" customFormat="1" ht="14.25" thickBot="1" x14ac:dyDescent="0.3">
      <c r="A148" s="224" t="s">
        <v>41</v>
      </c>
      <c r="B148" s="68">
        <v>11.76</v>
      </c>
      <c r="C148" s="68">
        <v>10.98</v>
      </c>
      <c r="D148" s="68">
        <v>12.59</v>
      </c>
      <c r="E148" s="68">
        <v>17.71</v>
      </c>
      <c r="F148" s="68">
        <v>12.77</v>
      </c>
      <c r="G148" s="68">
        <v>12.05</v>
      </c>
      <c r="H148" s="68">
        <v>12.69</v>
      </c>
      <c r="I148" s="68">
        <v>13.25</v>
      </c>
      <c r="J148" s="68">
        <v>13.74</v>
      </c>
      <c r="K148" s="68">
        <v>14.65</v>
      </c>
      <c r="L148" s="68">
        <v>14.56</v>
      </c>
      <c r="M148" s="68">
        <v>12.68</v>
      </c>
      <c r="N148" s="68">
        <v>11.77</v>
      </c>
      <c r="O148" s="68">
        <v>11.3</v>
      </c>
      <c r="P148" s="68">
        <v>13.62</v>
      </c>
      <c r="Q148" s="68">
        <v>11.81</v>
      </c>
      <c r="R148" s="68">
        <v>11</v>
      </c>
      <c r="S148" s="68">
        <v>11.09</v>
      </c>
      <c r="T148" s="68">
        <v>12.54</v>
      </c>
      <c r="U148" s="68">
        <v>11.5</v>
      </c>
      <c r="V148" s="68">
        <v>10.15</v>
      </c>
      <c r="W148" s="68">
        <v>10.18</v>
      </c>
      <c r="X148" s="68">
        <v>11.64</v>
      </c>
    </row>
    <row r="149" spans="1:24" s="93" customFormat="1" ht="14.25" thickBot="1" x14ac:dyDescent="0.3">
      <c r="A149" s="225" t="s">
        <v>13</v>
      </c>
      <c r="B149" s="73">
        <v>9.49</v>
      </c>
      <c r="C149" s="73">
        <v>9.85</v>
      </c>
      <c r="D149" s="73">
        <v>10.49</v>
      </c>
      <c r="E149" s="73">
        <v>10.220000000000001</v>
      </c>
      <c r="F149" s="73">
        <v>10.75</v>
      </c>
      <c r="G149" s="73">
        <v>10.89</v>
      </c>
      <c r="H149" s="73">
        <v>10.56</v>
      </c>
      <c r="I149" s="73">
        <v>10.8</v>
      </c>
      <c r="J149" s="73">
        <v>11.44</v>
      </c>
      <c r="K149" s="73">
        <v>12.09</v>
      </c>
      <c r="L149" s="73">
        <v>12.34</v>
      </c>
      <c r="M149" s="73">
        <v>10.91</v>
      </c>
      <c r="N149" s="73">
        <v>9.86</v>
      </c>
      <c r="O149" s="73">
        <v>8.65</v>
      </c>
      <c r="P149" s="73">
        <v>10.96</v>
      </c>
      <c r="Q149" s="73">
        <v>9.5</v>
      </c>
      <c r="R149" s="73">
        <v>8.5</v>
      </c>
      <c r="S149" s="73">
        <v>8.2899999999999991</v>
      </c>
      <c r="T149" s="73">
        <v>10.119999999999999</v>
      </c>
      <c r="U149" s="73">
        <v>8.89</v>
      </c>
      <c r="V149" s="73">
        <v>8.1199999999999992</v>
      </c>
      <c r="W149" s="73">
        <v>8.0500000000000007</v>
      </c>
      <c r="X149" s="73">
        <v>9.32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24.55</v>
      </c>
      <c r="C152" s="68">
        <v>25.43</v>
      </c>
      <c r="D152" s="68">
        <v>27.01</v>
      </c>
      <c r="E152" s="68">
        <v>27.21</v>
      </c>
      <c r="F152" s="68">
        <v>27.75</v>
      </c>
    </row>
    <row r="153" spans="1:24" s="93" customFormat="1" ht="14.25" thickBot="1" x14ac:dyDescent="0.3">
      <c r="A153" s="225" t="s">
        <v>19</v>
      </c>
      <c r="B153" s="274">
        <v>10.1</v>
      </c>
      <c r="C153" s="274">
        <v>11.02</v>
      </c>
      <c r="D153" s="274">
        <v>11.97</v>
      </c>
      <c r="E153" s="274">
        <v>10.08</v>
      </c>
      <c r="F153" s="274">
        <v>9.7200000000000006</v>
      </c>
    </row>
    <row r="154" spans="1:24" s="93" customFormat="1" ht="14.25" thickBot="1" x14ac:dyDescent="0.3">
      <c r="A154" s="224" t="s">
        <v>41</v>
      </c>
      <c r="B154" s="68">
        <v>13.1</v>
      </c>
      <c r="C154" s="68">
        <v>12.71</v>
      </c>
      <c r="D154" s="68">
        <v>13.91</v>
      </c>
      <c r="E154" s="68">
        <v>12.18</v>
      </c>
      <c r="F154" s="68">
        <v>11.56</v>
      </c>
    </row>
    <row r="155" spans="1:24" s="93" customFormat="1" ht="14.25" thickBot="1" x14ac:dyDescent="0.3">
      <c r="A155" s="225" t="s">
        <v>13</v>
      </c>
      <c r="B155" s="73">
        <v>10.02</v>
      </c>
      <c r="C155" s="73">
        <v>10.75</v>
      </c>
      <c r="D155" s="73">
        <v>11.7</v>
      </c>
      <c r="E155" s="73">
        <v>9.77</v>
      </c>
      <c r="F155" s="73">
        <v>8.99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2.0499999999999998</v>
      </c>
      <c r="C158" s="68">
        <v>2.39</v>
      </c>
      <c r="D158" s="68">
        <v>2.62</v>
      </c>
      <c r="E158" s="68">
        <v>2.11</v>
      </c>
      <c r="F158" s="68">
        <v>2.2799999999999998</v>
      </c>
      <c r="G158" s="68">
        <v>2.59</v>
      </c>
      <c r="H158" s="68">
        <v>2.69</v>
      </c>
      <c r="I158" s="68">
        <v>2.76</v>
      </c>
      <c r="J158" s="68">
        <v>2.54</v>
      </c>
      <c r="K158" s="68">
        <v>2.97</v>
      </c>
      <c r="L158" s="68">
        <v>3.11</v>
      </c>
      <c r="M158" s="68">
        <v>2.5499999999999998</v>
      </c>
      <c r="N158" s="68">
        <v>1.98</v>
      </c>
      <c r="O158" s="68">
        <v>1.96</v>
      </c>
      <c r="P158" s="68">
        <v>2.75</v>
      </c>
      <c r="Q158" s="68">
        <v>2.36</v>
      </c>
      <c r="R158" s="68">
        <v>1.83</v>
      </c>
      <c r="S158" s="68">
        <v>1.94</v>
      </c>
      <c r="T158" s="68">
        <v>2.5099999999999998</v>
      </c>
      <c r="U158" s="68">
        <v>2.21</v>
      </c>
      <c r="V158" s="68">
        <v>1.77</v>
      </c>
      <c r="W158" s="68">
        <v>1.9</v>
      </c>
      <c r="X158" s="68">
        <v>2.27</v>
      </c>
    </row>
    <row r="159" spans="1:24" s="93" customFormat="1" ht="14.25" thickBot="1" x14ac:dyDescent="0.3">
      <c r="A159" s="225" t="s">
        <v>45</v>
      </c>
      <c r="B159" s="73">
        <v>4.0599999999999996</v>
      </c>
      <c r="C159" s="73">
        <v>4.8499999999999996</v>
      </c>
      <c r="D159" s="73">
        <v>5.32</v>
      </c>
      <c r="E159" s="73">
        <v>4.01</v>
      </c>
      <c r="F159" s="73">
        <v>4.07</v>
      </c>
      <c r="G159" s="73">
        <v>4.7300000000000004</v>
      </c>
      <c r="H159" s="73">
        <v>5.03</v>
      </c>
      <c r="I159" s="73">
        <v>5.07</v>
      </c>
      <c r="J159" s="73">
        <v>4.46</v>
      </c>
      <c r="K159" s="73">
        <v>5.34</v>
      </c>
      <c r="L159" s="73">
        <v>5.92</v>
      </c>
      <c r="M159" s="73">
        <v>4.83</v>
      </c>
      <c r="N159" s="73">
        <v>3.68</v>
      </c>
      <c r="O159" s="73">
        <v>3.89</v>
      </c>
      <c r="P159" s="73">
        <v>6.08</v>
      </c>
      <c r="Q159" s="73">
        <v>4.59</v>
      </c>
      <c r="R159" s="73">
        <v>3.1</v>
      </c>
      <c r="S159" s="73">
        <v>3.46</v>
      </c>
      <c r="T159" s="73">
        <v>4.71</v>
      </c>
      <c r="U159" s="73">
        <v>4.01</v>
      </c>
      <c r="V159" s="73">
        <v>3.1</v>
      </c>
      <c r="W159" s="73">
        <v>3.48</v>
      </c>
      <c r="X159" s="73">
        <v>4.53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10.02</v>
      </c>
      <c r="C162" s="68">
        <v>10.75</v>
      </c>
      <c r="D162" s="68">
        <v>11.7</v>
      </c>
      <c r="E162" s="68">
        <v>9.77</v>
      </c>
      <c r="F162" s="68">
        <v>8.99</v>
      </c>
    </row>
    <row r="163" spans="1:72" s="93" customFormat="1" ht="14.25" thickBot="1" x14ac:dyDescent="0.3">
      <c r="A163" s="225" t="s">
        <v>18</v>
      </c>
      <c r="B163" s="274">
        <v>0.94</v>
      </c>
      <c r="C163" s="274">
        <v>0.9</v>
      </c>
      <c r="D163" s="274">
        <v>0.86</v>
      </c>
      <c r="E163" s="274">
        <v>0.9</v>
      </c>
      <c r="F163" s="274">
        <v>0.91</v>
      </c>
    </row>
    <row r="164" spans="1:72" s="93" customFormat="1" ht="14.25" thickBot="1" x14ac:dyDescent="0.3">
      <c r="A164" s="224" t="s">
        <v>15</v>
      </c>
      <c r="B164" s="68">
        <v>1.83</v>
      </c>
      <c r="C164" s="68">
        <v>1.83</v>
      </c>
      <c r="D164" s="68">
        <v>1.91</v>
      </c>
      <c r="E164" s="68">
        <v>1.75</v>
      </c>
      <c r="F164" s="68">
        <v>1.82</v>
      </c>
    </row>
    <row r="165" spans="1:72" s="93" customFormat="1" ht="14.25" thickBot="1" x14ac:dyDescent="0.3">
      <c r="A165" s="225" t="s">
        <v>45</v>
      </c>
      <c r="B165" s="73">
        <v>17.95</v>
      </c>
      <c r="C165" s="73">
        <v>18.37</v>
      </c>
      <c r="D165" s="73">
        <v>19.97</v>
      </c>
      <c r="E165" s="73">
        <v>16.22</v>
      </c>
      <c r="F165" s="73">
        <v>14.9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82.57</v>
      </c>
      <c r="C168" s="68">
        <v>75</v>
      </c>
      <c r="D168" s="68">
        <v>76.27</v>
      </c>
      <c r="E168" s="68">
        <v>91.84</v>
      </c>
      <c r="F168" s="68">
        <v>84.91</v>
      </c>
      <c r="G168" s="68">
        <v>76.27</v>
      </c>
      <c r="H168" s="68">
        <v>76.92</v>
      </c>
      <c r="I168" s="68">
        <v>78.260000000000005</v>
      </c>
      <c r="J168" s="68">
        <v>87.38</v>
      </c>
      <c r="K168" s="68">
        <v>78.260000000000005</v>
      </c>
      <c r="L168" s="68">
        <v>79.650000000000006</v>
      </c>
      <c r="M168" s="68">
        <v>84.11</v>
      </c>
      <c r="N168" s="68">
        <v>90.91</v>
      </c>
      <c r="O168" s="68">
        <v>80.36</v>
      </c>
      <c r="P168" s="68">
        <v>81.08</v>
      </c>
      <c r="Q168" s="68">
        <v>84.11</v>
      </c>
      <c r="R168" s="68">
        <v>88.24</v>
      </c>
      <c r="S168" s="68">
        <v>78.95</v>
      </c>
      <c r="T168" s="68">
        <v>79.650000000000006</v>
      </c>
      <c r="U168" s="68">
        <v>81.819999999999993</v>
      </c>
      <c r="V168" s="68">
        <v>89.11</v>
      </c>
      <c r="W168" s="68">
        <v>78.260000000000005</v>
      </c>
      <c r="X168" s="68">
        <v>75.63</v>
      </c>
    </row>
    <row r="169" spans="1:72" s="93" customFormat="1" ht="14.25" thickBot="1" x14ac:dyDescent="0.3">
      <c r="A169" s="225" t="s">
        <v>17</v>
      </c>
      <c r="B169" s="274">
        <v>50.85</v>
      </c>
      <c r="C169" s="274">
        <v>43.69</v>
      </c>
      <c r="D169" s="274">
        <v>42.86</v>
      </c>
      <c r="E169" s="274">
        <v>54.55</v>
      </c>
      <c r="F169" s="274">
        <v>48.65</v>
      </c>
      <c r="G169" s="274">
        <v>44.78</v>
      </c>
      <c r="H169" s="274">
        <v>43.27</v>
      </c>
      <c r="I169" s="274">
        <v>43.69</v>
      </c>
      <c r="J169" s="274">
        <v>51.72</v>
      </c>
      <c r="K169" s="274">
        <v>48.13</v>
      </c>
      <c r="L169" s="274">
        <v>48.13</v>
      </c>
      <c r="M169" s="274">
        <v>52.02</v>
      </c>
      <c r="N169" s="274">
        <v>60</v>
      </c>
      <c r="O169" s="274">
        <v>54.88</v>
      </c>
      <c r="P169" s="274">
        <v>51.14</v>
      </c>
      <c r="Q169" s="274">
        <v>52.33</v>
      </c>
      <c r="R169" s="274">
        <v>61.22</v>
      </c>
      <c r="S169" s="274">
        <v>55.21</v>
      </c>
      <c r="T169" s="274">
        <v>52.33</v>
      </c>
      <c r="U169" s="274">
        <v>54.55</v>
      </c>
      <c r="V169" s="274">
        <v>63.83</v>
      </c>
      <c r="W169" s="274">
        <v>60.4</v>
      </c>
      <c r="X169" s="274">
        <v>58.44</v>
      </c>
    </row>
    <row r="170" spans="1:72" s="93" customFormat="1" ht="14.25" thickBot="1" x14ac:dyDescent="0.3">
      <c r="A170" s="224" t="s">
        <v>42</v>
      </c>
      <c r="B170" s="72">
        <v>133.41999999999999</v>
      </c>
      <c r="C170" s="72">
        <v>118.69</v>
      </c>
      <c r="D170" s="72">
        <v>119.13</v>
      </c>
      <c r="E170" s="72">
        <v>146.38</v>
      </c>
      <c r="F170" s="72">
        <v>133.55000000000001</v>
      </c>
      <c r="G170" s="72">
        <v>121.05</v>
      </c>
      <c r="H170" s="72">
        <v>120.19</v>
      </c>
      <c r="I170" s="72">
        <v>121.95</v>
      </c>
      <c r="J170" s="72">
        <v>139.1</v>
      </c>
      <c r="K170" s="72">
        <v>126.39</v>
      </c>
      <c r="L170" s="72">
        <v>127.77</v>
      </c>
      <c r="M170" s="72">
        <v>136.13999999999999</v>
      </c>
      <c r="N170" s="72">
        <v>150.91</v>
      </c>
      <c r="O170" s="72">
        <v>135.24</v>
      </c>
      <c r="P170" s="72">
        <v>132.22</v>
      </c>
      <c r="Q170" s="72">
        <v>136.44</v>
      </c>
      <c r="R170" s="72">
        <v>149.46</v>
      </c>
      <c r="S170" s="72">
        <v>134.16</v>
      </c>
      <c r="T170" s="72">
        <v>131.97</v>
      </c>
      <c r="U170" s="72">
        <v>136.36000000000001</v>
      </c>
      <c r="V170" s="72">
        <v>152.94</v>
      </c>
      <c r="W170" s="72">
        <v>138.66</v>
      </c>
      <c r="X170" s="72">
        <v>134.07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137.25</v>
      </c>
      <c r="C173" s="72">
        <v>133.56</v>
      </c>
      <c r="D173" s="72">
        <v>124.75</v>
      </c>
      <c r="E173" s="72">
        <v>156.21</v>
      </c>
      <c r="F173" s="72">
        <v>160.44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15.2</v>
      </c>
      <c r="C176" s="72">
        <v>16.04</v>
      </c>
      <c r="D176" s="72">
        <v>17.12</v>
      </c>
      <c r="E176" s="72">
        <v>18.93</v>
      </c>
      <c r="F176" s="72">
        <v>18.78</v>
      </c>
      <c r="G176" s="72">
        <v>17.95</v>
      </c>
      <c r="H176" s="72">
        <v>19.739999999999998</v>
      </c>
      <c r="I176" s="72">
        <v>18.91</v>
      </c>
      <c r="J176" s="72">
        <v>20.61</v>
      </c>
      <c r="K176" s="72">
        <v>19.43</v>
      </c>
      <c r="L176" s="72">
        <v>17.04</v>
      </c>
      <c r="M176" s="72">
        <v>17.3</v>
      </c>
      <c r="N176" s="72">
        <v>17.190000000000001</v>
      </c>
      <c r="O176" s="72">
        <v>17.940000000000001</v>
      </c>
      <c r="P176" s="72">
        <v>19.21</v>
      </c>
      <c r="Q176" s="72">
        <v>20.02</v>
      </c>
      <c r="R176" s="72">
        <v>21.12</v>
      </c>
      <c r="S176" s="72">
        <v>20.02</v>
      </c>
      <c r="T176" s="72">
        <v>21.04</v>
      </c>
      <c r="U176" s="72">
        <v>19.39</v>
      </c>
      <c r="V176" s="72">
        <v>19.86</v>
      </c>
      <c r="W176" s="72">
        <v>21.27</v>
      </c>
      <c r="X176" s="72">
        <v>21.55</v>
      </c>
      <c r="Y176" s="72">
        <v>23.43</v>
      </c>
      <c r="Z176" s="72">
        <v>24.21</v>
      </c>
      <c r="AA176" s="72">
        <v>23.63</v>
      </c>
      <c r="AB176" s="72">
        <v>24.03</v>
      </c>
      <c r="AC176" s="72">
        <v>25.2</v>
      </c>
      <c r="AD176" s="72">
        <v>25.33</v>
      </c>
      <c r="AE176" s="72">
        <v>26.85</v>
      </c>
      <c r="AF176" s="72">
        <v>27.89</v>
      </c>
      <c r="AG176" s="72">
        <v>26.39</v>
      </c>
      <c r="AH176" s="72">
        <v>25.4</v>
      </c>
      <c r="AI176" s="72">
        <v>23.89</v>
      </c>
      <c r="AJ176" s="72">
        <v>20.95</v>
      </c>
      <c r="AK176" s="72">
        <v>21.97</v>
      </c>
      <c r="AL176" s="72">
        <v>22.24</v>
      </c>
      <c r="AM176" s="72">
        <v>23.78</v>
      </c>
      <c r="AN176" s="72">
        <v>23.95</v>
      </c>
      <c r="AO176" s="72">
        <v>22.78</v>
      </c>
      <c r="AP176" s="72">
        <v>21.49</v>
      </c>
      <c r="AQ176" s="72">
        <v>20.02</v>
      </c>
      <c r="AR176" s="72">
        <v>19.2</v>
      </c>
      <c r="AS176" s="72">
        <v>20.239999999999998</v>
      </c>
      <c r="AT176" s="72">
        <v>21.18</v>
      </c>
      <c r="AU176" s="72">
        <v>21.71</v>
      </c>
      <c r="AV176" s="72">
        <v>21.22</v>
      </c>
      <c r="AW176" s="72">
        <v>20.55</v>
      </c>
      <c r="AX176" s="72">
        <v>18.489999999999998</v>
      </c>
      <c r="AY176" s="72">
        <v>17.899999999999999</v>
      </c>
      <c r="AZ176" s="72">
        <v>18.329999999999998</v>
      </c>
      <c r="BA176" s="72">
        <v>18.940000000000001</v>
      </c>
      <c r="BB176" s="72">
        <v>19.61</v>
      </c>
      <c r="BC176" s="72">
        <v>21.07</v>
      </c>
      <c r="BD176" s="72">
        <v>22.81</v>
      </c>
      <c r="BE176" s="72">
        <v>23.28</v>
      </c>
      <c r="BF176" s="72">
        <v>22.67</v>
      </c>
      <c r="BG176" s="72">
        <v>22.51</v>
      </c>
      <c r="BH176" s="72">
        <v>21.88</v>
      </c>
      <c r="BI176" s="72">
        <v>21.66</v>
      </c>
      <c r="BJ176" s="72">
        <v>22.67</v>
      </c>
      <c r="BK176" s="72">
        <v>23.75</v>
      </c>
      <c r="BL176" s="72">
        <v>22.97</v>
      </c>
      <c r="BM176" s="72">
        <v>23.1</v>
      </c>
      <c r="BN176" s="72">
        <v>23.35</v>
      </c>
      <c r="BO176" s="72">
        <v>22.97</v>
      </c>
      <c r="BP176" s="72">
        <v>22.43</v>
      </c>
      <c r="BQ176" s="72">
        <v>22.35</v>
      </c>
      <c r="BR176" s="72">
        <v>22.11</v>
      </c>
      <c r="BS176" s="72">
        <v>20.84</v>
      </c>
      <c r="BT176" s="72">
        <v>19.2</v>
      </c>
    </row>
  </sheetData>
  <phoneticPr fontId="3" type="noConversion"/>
  <conditionalFormatting sqref="E4">
    <cfRule type="cellIs" dxfId="6146" priority="103" operator="greaterThan">
      <formula>0.2</formula>
    </cfRule>
    <cfRule type="cellIs" dxfId="6145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6144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143" priority="97" operator="greaterThan">
      <formula>$B$19</formula>
    </cfRule>
  </conditionalFormatting>
  <conditionalFormatting sqref="D33:D34">
    <cfRule type="cellIs" dxfId="6142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6141" priority="91" operator="lessThan">
      <formula>$H$62</formula>
    </cfRule>
    <cfRule type="cellIs" dxfId="6140" priority="92" operator="greaterThan">
      <formula>$H$62</formula>
    </cfRule>
  </conditionalFormatting>
  <conditionalFormatting sqref="J62">
    <cfRule type="cellIs" dxfId="6139" priority="89" operator="lessThan">
      <formula>$K$62</formula>
    </cfRule>
    <cfRule type="cellIs" dxfId="6138" priority="90" operator="greaterThan">
      <formula>$K$62</formula>
    </cfRule>
  </conditionalFormatting>
  <conditionalFormatting sqref="M62">
    <cfRule type="cellIs" dxfId="6137" priority="87" operator="lessThan">
      <formula>$N$62</formula>
    </cfRule>
    <cfRule type="cellIs" dxfId="6136" priority="88" operator="greaterThan">
      <formula>$N$62</formula>
    </cfRule>
  </conditionalFormatting>
  <conditionalFormatting sqref="B44:E44">
    <cfRule type="cellIs" dxfId="6135" priority="85" operator="greaterThan">
      <formula>0</formula>
    </cfRule>
    <cfRule type="cellIs" dxfId="6134" priority="86" operator="lessThan">
      <formula>0</formula>
    </cfRule>
  </conditionalFormatting>
  <conditionalFormatting sqref="F72">
    <cfRule type="cellIs" dxfId="6133" priority="84" operator="lessThan">
      <formula>$E$72*90%</formula>
    </cfRule>
  </conditionalFormatting>
  <conditionalFormatting sqref="F73">
    <cfRule type="cellIs" dxfId="6132" priority="83" operator="lessThan">
      <formula>$E$73*90%</formula>
    </cfRule>
  </conditionalFormatting>
  <conditionalFormatting sqref="F74">
    <cfRule type="cellIs" dxfId="6131" priority="82" operator="lessThan">
      <formula>$E$74*90%</formula>
    </cfRule>
  </conditionalFormatting>
  <conditionalFormatting sqref="F75">
    <cfRule type="cellIs" dxfId="6130" priority="81" operator="lessThan">
      <formula>$E$75*90%</formula>
    </cfRule>
  </conditionalFormatting>
  <conditionalFormatting sqref="H44:K44">
    <cfRule type="cellIs" dxfId="6129" priority="79" operator="greaterThan">
      <formula>0</formula>
    </cfRule>
    <cfRule type="cellIs" dxfId="6128" priority="80" operator="lessThan">
      <formula>0</formula>
    </cfRule>
  </conditionalFormatting>
  <conditionalFormatting sqref="H51:K51">
    <cfRule type="cellIs" dxfId="6127" priority="77" operator="greaterThan">
      <formula>0</formula>
    </cfRule>
    <cfRule type="cellIs" dxfId="6126" priority="78" operator="lessThan">
      <formula>0</formula>
    </cfRule>
  </conditionalFormatting>
  <conditionalFormatting sqref="B51:E51">
    <cfRule type="cellIs" dxfId="6125" priority="75" operator="greaterThan">
      <formula>0</formula>
    </cfRule>
    <cfRule type="cellIs" dxfId="6124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123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122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121" priority="58" operator="lessThan">
      <formula>0</formula>
    </cfRule>
  </conditionalFormatting>
  <conditionalFormatting sqref="A25 E25 C25">
    <cfRule type="cellIs" dxfId="6120" priority="59" operator="lessThan">
      <formula>0</formula>
    </cfRule>
  </conditionalFormatting>
  <conditionalFormatting sqref="F25">
    <cfRule type="cellIs" dxfId="6119" priority="57" operator="lessThan">
      <formula>0</formula>
    </cfRule>
  </conditionalFormatting>
  <conditionalFormatting sqref="E1">
    <cfRule type="containsText" dxfId="6118" priority="56" operator="containsText" text="本季業外損益/平均=-">
      <formula>NOT(ISERROR(SEARCH("本季業外損益/平均=-",E1)))</formula>
    </cfRule>
  </conditionalFormatting>
  <conditionalFormatting sqref="M65">
    <cfRule type="cellIs" dxfId="6117" priority="55" operator="lessThan">
      <formula>$L$65*90%</formula>
    </cfRule>
  </conditionalFormatting>
  <conditionalFormatting sqref="M66">
    <cfRule type="cellIs" dxfId="6116" priority="54" operator="lessThan">
      <formula>$L$66*90%</formula>
    </cfRule>
  </conditionalFormatting>
  <conditionalFormatting sqref="M67">
    <cfRule type="cellIs" dxfId="6115" priority="53" operator="lessThan">
      <formula>$L$67*90%</formula>
    </cfRule>
  </conditionalFormatting>
  <conditionalFormatting sqref="M68">
    <cfRule type="cellIs" dxfId="6114" priority="52" operator="lessThan">
      <formula>$L$68*90%</formula>
    </cfRule>
  </conditionalFormatting>
  <conditionalFormatting sqref="B60">
    <cfRule type="cellIs" dxfId="6113" priority="51" operator="lessThan">
      <formula>0</formula>
    </cfRule>
  </conditionalFormatting>
  <conditionalFormatting sqref="B59:F59">
    <cfRule type="cellIs" dxfId="6112" priority="50" operator="lessThanOrEqual">
      <formula>0</formula>
    </cfRule>
  </conditionalFormatting>
  <conditionalFormatting sqref="D62">
    <cfRule type="cellIs" dxfId="6111" priority="48" operator="lessThan">
      <formula>$E$62</formula>
    </cfRule>
    <cfRule type="cellIs" dxfId="6110" priority="49" operator="greaterThan">
      <formula>$E$62</formula>
    </cfRule>
  </conditionalFormatting>
  <conditionalFormatting sqref="F69">
    <cfRule type="cellIs" dxfId="6109" priority="46" operator="lessThan">
      <formula>0</formula>
    </cfRule>
  </conditionalFormatting>
  <conditionalFormatting sqref="B65:E67 B69:E69 B68:D68">
    <cfRule type="cellIs" dxfId="6108" priority="47" operator="lessThan">
      <formula>0</formula>
    </cfRule>
  </conditionalFormatting>
  <conditionalFormatting sqref="E68">
    <cfRule type="cellIs" dxfId="6107" priority="45" operator="lessThan">
      <formula>0</formula>
    </cfRule>
  </conditionalFormatting>
  <conditionalFormatting sqref="F65:F68">
    <cfRule type="cellIs" dxfId="6106" priority="44" operator="lessThan">
      <formula>0</formula>
    </cfRule>
  </conditionalFormatting>
  <conditionalFormatting sqref="F65:F68">
    <cfRule type="cellIs" dxfId="6105" priority="43" operator="lessThan">
      <formula>$E$65*0.9</formula>
    </cfRule>
  </conditionalFormatting>
  <conditionalFormatting sqref="F66">
    <cfRule type="cellIs" dxfId="6104" priority="42" operator="lessThan">
      <formula>$E$66*0.9</formula>
    </cfRule>
  </conditionalFormatting>
  <conditionalFormatting sqref="F67:F68">
    <cfRule type="cellIs" dxfId="6103" priority="41" operator="lessThan">
      <formula>$E$67*0.9</formula>
    </cfRule>
  </conditionalFormatting>
  <conditionalFormatting sqref="F68">
    <cfRule type="cellIs" dxfId="6102" priority="40" operator="lessThan">
      <formula>$E$68*0.9</formula>
    </cfRule>
  </conditionalFormatting>
  <conditionalFormatting sqref="B13:F13">
    <cfRule type="cellIs" dxfId="6101" priority="29" operator="greaterThan">
      <formula>$I$16</formula>
    </cfRule>
    <cfRule type="cellIs" dxfId="6100" priority="30" operator="lessThanOrEqual">
      <formula>$I$16</formula>
    </cfRule>
  </conditionalFormatting>
  <conditionalFormatting sqref="B10:F10">
    <cfRule type="cellIs" dxfId="6099" priority="31" operator="greaterThan">
      <formula>15</formula>
    </cfRule>
    <cfRule type="cellIs" dxfId="6098" priority="38" operator="lessThan">
      <formula>$I$9</formula>
    </cfRule>
    <cfRule type="cellIs" dxfId="6097" priority="39" operator="greaterThan">
      <formula>$I$9</formula>
    </cfRule>
  </conditionalFormatting>
  <conditionalFormatting sqref="B16:F16">
    <cfRule type="cellIs" dxfId="6096" priority="36" operator="greaterThan">
      <formula>$I$16</formula>
    </cfRule>
    <cfRule type="cellIs" dxfId="6095" priority="37" operator="lessThanOrEqual">
      <formula>$I$16</formula>
    </cfRule>
  </conditionalFormatting>
  <conditionalFormatting sqref="B15:F15">
    <cfRule type="cellIs" dxfId="6094" priority="34" operator="lessThanOrEqual">
      <formula>$I$16</formula>
    </cfRule>
    <cfRule type="cellIs" dxfId="6093" priority="35" operator="greaterThan">
      <formula>$I$16</formula>
    </cfRule>
  </conditionalFormatting>
  <conditionalFormatting sqref="B14:F14">
    <cfRule type="cellIs" dxfId="6092" priority="32" operator="greaterThan">
      <formula>$I$16</formula>
    </cfRule>
    <cfRule type="cellIs" dxfId="6091" priority="33" operator="lessThanOrEqual">
      <formula>$I$16</formula>
    </cfRule>
  </conditionalFormatting>
  <conditionalFormatting sqref="K6">
    <cfRule type="containsText" dxfId="6090" priority="27" operator="containsText" text="衰退">
      <formula>NOT(ISERROR(SEARCH("衰退",K6)))</formula>
    </cfRule>
    <cfRule type="containsText" dxfId="6089" priority="28" operator="containsText" text="成長">
      <formula>NOT(ISERROR(SEARCH("成長",K6)))</formula>
    </cfRule>
  </conditionalFormatting>
  <conditionalFormatting sqref="I4:K4">
    <cfRule type="cellIs" dxfId="6088" priority="25" operator="lessThan">
      <formula>0</formula>
    </cfRule>
    <cfRule type="cellIs" dxfId="6087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086" priority="22" operator="lessThanOrEqual">
      <formula>$I$16</formula>
    </cfRule>
    <cfRule type="cellIs" dxfId="6085" priority="23" operator="greaterThan">
      <formula>$I$16</formula>
    </cfRule>
  </conditionalFormatting>
  <conditionalFormatting sqref="I6">
    <cfRule type="containsText" dxfId="6084" priority="20" operator="containsText" text="衰退">
      <formula>NOT(ISERROR(SEARCH("衰退",I6)))</formula>
    </cfRule>
    <cfRule type="containsText" dxfId="6083" priority="21" operator="containsText" text="成長">
      <formula>NOT(ISERROR(SEARCH("成長",I6)))</formula>
    </cfRule>
  </conditionalFormatting>
  <conditionalFormatting sqref="M9">
    <cfRule type="cellIs" dxfId="6082" priority="19" operator="lessThan">
      <formula>$I$9</formula>
    </cfRule>
  </conditionalFormatting>
  <conditionalFormatting sqref="M10">
    <cfRule type="cellIs" dxfId="6081" priority="18" operator="greaterThan">
      <formula>$I$9</formula>
    </cfRule>
  </conditionalFormatting>
  <conditionalFormatting sqref="M11">
    <cfRule type="cellIs" dxfId="6080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079" priority="14" operator="lessThan">
      <formula>0</formula>
    </cfRule>
    <cfRule type="cellIs" dxfId="6078" priority="15" operator="greaterThan">
      <formula>0.5</formula>
    </cfRule>
  </conditionalFormatting>
  <conditionalFormatting sqref="N14">
    <cfRule type="cellIs" dxfId="6077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076" priority="10" operator="lessThan">
      <formula>0.1</formula>
    </cfRule>
  </conditionalFormatting>
  <conditionalFormatting sqref="I14">
    <cfRule type="cellIs" dxfId="6075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074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073" priority="1" operator="lessThan">
      <formula>$N$5*0.9</formula>
    </cfRule>
    <cfRule type="cellIs" dxfId="6072" priority="2" operator="greaterThan">
      <formula>$N$5*1.1</formula>
    </cfRule>
  </conditionalFormatting>
  <hyperlinks>
    <hyperlink ref="L1" location="儀表板!A1" display="(回首頁)" xr:uid="{00000000-0004-0000-1600-000000000000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1.28 ~ 5.02</v>
      </c>
      <c r="L1" s="83" t="s">
        <v>176</v>
      </c>
      <c r="M1" s="84" t="str">
        <f ca="1">VLOOKUP(_xlfn.NUMBERVALUE(N1),儀表板!A:B,2,FALSE)</f>
        <v>鴻海</v>
      </c>
      <c r="N1" s="85" t="str">
        <f ca="1">MID(CELL("filename",L1),FIND("]",CELL("filename",L1))+1,255)</f>
        <v>2317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0.23537580712720796</v>
      </c>
    </row>
    <row r="3" spans="1:15" s="93" customFormat="1" x14ac:dyDescent="0.25">
      <c r="A3" s="81" t="s">
        <v>179</v>
      </c>
      <c r="B3" s="94">
        <f>SUM(F19:F22,F24:F27,J19)</f>
        <v>86.617329795831779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73.889970794528551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77.528628546965123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81.563575757587842</v>
      </c>
      <c r="L3" s="100"/>
      <c r="M3" s="79" t="s">
        <v>385</v>
      </c>
      <c r="N3" s="92">
        <f>(F69-E69)/E69</f>
        <v>-0.19588143891095885</v>
      </c>
    </row>
    <row r="4" spans="1:15" s="93" customFormat="1" x14ac:dyDescent="0.25">
      <c r="A4" s="81" t="s">
        <v>182</v>
      </c>
      <c r="B4" s="96">
        <f>SUM(G36:G40)*2</f>
        <v>88</v>
      </c>
      <c r="C4" s="101"/>
      <c r="D4" s="102">
        <f>F4*(1+F141/10)</f>
        <v>1733</v>
      </c>
      <c r="E4" s="82">
        <f>(D4-F4)/F4</f>
        <v>0</v>
      </c>
      <c r="F4" s="103">
        <v>1733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7.0440785951400002</v>
      </c>
    </row>
    <row r="5" spans="1:15" s="93" customFormat="1" x14ac:dyDescent="0.25">
      <c r="A5" s="81" t="s">
        <v>184</v>
      </c>
      <c r="B5" s="107">
        <f>SUM(F30:F34)*2</f>
        <v>67.538408771436593</v>
      </c>
      <c r="C5" s="87"/>
      <c r="D5" s="87"/>
      <c r="E5" s="87"/>
      <c r="F5" s="86"/>
      <c r="G5" s="88"/>
      <c r="M5" s="79" t="s">
        <v>375</v>
      </c>
      <c r="N5" s="152">
        <f>D62</f>
        <v>7.85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7.4747579157580111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16.350000000000001</v>
      </c>
      <c r="N9" s="129"/>
    </row>
    <row r="10" spans="1:15" s="93" customFormat="1" x14ac:dyDescent="0.25">
      <c r="A10" s="123" t="s">
        <v>194</v>
      </c>
      <c r="B10" s="126">
        <f>PERCENTILE(176:176,B9)</f>
        <v>9.6199999999999992</v>
      </c>
      <c r="C10" s="126">
        <f>PERCENTILE(176:176,C9)</f>
        <v>10.254999999999999</v>
      </c>
      <c r="D10" s="126">
        <f>PERCENTILE(176:176,D9)</f>
        <v>10.76</v>
      </c>
      <c r="E10" s="126">
        <f>PERCENTILE(176:176,E9)</f>
        <v>11.32</v>
      </c>
      <c r="F10" s="126">
        <f>PERCENTILE(176:176,F9)</f>
        <v>12.63</v>
      </c>
      <c r="G10" s="95"/>
      <c r="H10" s="135"/>
      <c r="I10" s="135"/>
      <c r="J10" s="135"/>
      <c r="K10" s="135"/>
      <c r="L10" s="136" t="s">
        <v>374</v>
      </c>
      <c r="M10" s="130">
        <f>MIN(176:176)</f>
        <v>7.92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61.75</v>
      </c>
      <c r="L11" s="272" t="s">
        <v>193</v>
      </c>
      <c r="M11" s="128">
        <f>STDEV(176:176)</f>
        <v>1.7341734124785193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49.36974789915967</v>
      </c>
      <c r="C13" s="141">
        <f>$B$34/5.88%</f>
        <v>59.948979591836732</v>
      </c>
      <c r="D13" s="141">
        <f>$B$34/5%</f>
        <v>70.5</v>
      </c>
      <c r="E13" s="141">
        <f>$B$34/4.35%</f>
        <v>81.034482758620697</v>
      </c>
      <c r="F13" s="141">
        <f>$B$34/3.85%</f>
        <v>91.558441558441558</v>
      </c>
      <c r="G13" s="138" t="str">
        <f>"$"&amp;ROUND(B34,2)&amp;"/"&amp;IF(STDEV(C140:F140)/AVERAGE(C140:F140)&lt;15%,"高",IF(STDEV(C140:F140)/AVERAGE(C140:F140)&lt;30%,"中","低"))</f>
        <v>$3.53/低</v>
      </c>
      <c r="H13" s="142" t="s">
        <v>199</v>
      </c>
      <c r="I13" s="143">
        <f>MAX(0,1-J15)</f>
        <v>0.48630136986301364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85.545849999999987</v>
      </c>
      <c r="C14" s="141">
        <f>$B$33*C10</f>
        <v>91.192587499999988</v>
      </c>
      <c r="D14" s="141">
        <f>$B$33*D10</f>
        <v>95.683300000000003</v>
      </c>
      <c r="E14" s="141">
        <f>$B$33*E10</f>
        <v>100.6631</v>
      </c>
      <c r="F14" s="141">
        <f>$B$33*F10</f>
        <v>112.31227500000001</v>
      </c>
      <c r="G14" s="138" t="str">
        <f>"$"&amp;ROUND(B33,2)&amp;"/"&amp;IF(STDEV(B69:E69)/AVERAGE(B69:E69)&lt;15%,"高",IF(STDEV(B69:E69)/AVERAGE(B69:E69)&lt;30%,"中","低"))</f>
        <v>$8.89/高</v>
      </c>
      <c r="H14" s="142" t="s">
        <v>203</v>
      </c>
      <c r="I14" s="145">
        <f>G62/100*I13</f>
        <v>5.8356164383561636E-2</v>
      </c>
      <c r="J14" s="76" t="s">
        <v>204</v>
      </c>
      <c r="K14" s="146"/>
      <c r="L14" s="147">
        <f>(HLOOKUP($C$1,$105:$106,2,FALSE)-HLOOKUP($C$1,$117:$127,9,FALSE))/(HLOOKUP($C$1,$117:$128,12,FALSE)/K11)</f>
        <v>22.026701709149339</v>
      </c>
      <c r="M14" s="148">
        <f>E135/E69</f>
        <v>1.2945205479452055</v>
      </c>
      <c r="N14" s="149">
        <f>F173/100</f>
        <v>1.1496999999999999</v>
      </c>
    </row>
    <row r="15" spans="1:15" s="93" customFormat="1" x14ac:dyDescent="0.25">
      <c r="A15" s="140" t="s">
        <v>375</v>
      </c>
      <c r="B15" s="141">
        <f>$D$62*B10</f>
        <v>75.516999999999996</v>
      </c>
      <c r="C15" s="141">
        <f>$D$62*C10</f>
        <v>80.501749999999987</v>
      </c>
      <c r="D15" s="141">
        <f>$D$62*D10</f>
        <v>84.465999999999994</v>
      </c>
      <c r="E15" s="141">
        <f>$D$62*E10</f>
        <v>88.861999999999995</v>
      </c>
      <c r="F15" s="141">
        <f>$D$62*F10</f>
        <v>99.145499999999998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0.51369863013698636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67.764036085246801</v>
      </c>
      <c r="C16" s="141">
        <f>$F$69*C10</f>
        <v>72.237025993160699</v>
      </c>
      <c r="D16" s="141">
        <f>$F$69*D10</f>
        <v>75.794285683706406</v>
      </c>
      <c r="E16" s="141">
        <f>$F$69*E10</f>
        <v>79.73896969698481</v>
      </c>
      <c r="F16" s="141">
        <f>$F$69*F10</f>
        <v>88.966712656618213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67540</v>
      </c>
      <c r="J17" s="92">
        <f ca="1">IF(I17&lt;=0,"",IF(I17&lt;=MIN($B$13:$F$16),(I17-MIN($B$13:$F$16))/MIN($B$13:$F$16),IF(I17&gt;=MAX($B$13:$F$16),I17/MAX($B$13:$F$16),PERCENTRANK($B$13:$F$16,I17))))</f>
        <v>601.3590233124562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7.12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16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2.019858156028369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0.30954410292781881</v>
      </c>
      <c r="J20" s="171">
        <f>HLOOKUP($C$1,$117:$127,11,FALSE)/HLOOKUP($C$1,$105:$115,11,FALSE)</f>
        <v>0.58133108897220842</v>
      </c>
      <c r="K20" s="163"/>
    </row>
    <row r="21" spans="1:14" s="93" customFormat="1" x14ac:dyDescent="0.25">
      <c r="A21" s="151" t="s">
        <v>201</v>
      </c>
      <c r="B21" s="161">
        <f>AVERAGE(C173:F173)/100</f>
        <v>1.4529000000000003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1.4554356951955194</v>
      </c>
      <c r="J21" s="78"/>
      <c r="K21" s="164" t="s">
        <v>356</v>
      </c>
      <c r="L21" s="165">
        <f>HLOOKUP($C$1,$105:$115,7,FALSE)/HLOOKUP($C$1,$105:$115,11,FALSE)</f>
        <v>0.74042155010793753</v>
      </c>
      <c r="M21" s="123" t="s">
        <v>268</v>
      </c>
      <c r="N21" s="165">
        <f>HLOOKUP($C$1,$117:$127,8,FALSE)/HLOOKUP($C$1,$117:$127,11,FALSE)</f>
        <v>0.87510966290950187</v>
      </c>
    </row>
    <row r="22" spans="1:14" s="93" customFormat="1" x14ac:dyDescent="0.25">
      <c r="A22" s="140" t="s">
        <v>222</v>
      </c>
      <c r="B22" s="161">
        <f>(-1)*SUM(C133:F133)/SUM(C132:F132)</f>
        <v>0.45008688936088048</v>
      </c>
      <c r="C22" s="157"/>
      <c r="D22" s="166"/>
      <c r="E22" s="140"/>
      <c r="F22" s="159">
        <f>IF(B22&lt;=0,10,IF(B22&gt;=100%,0,(1-B22)*10))</f>
        <v>5.4991311063911947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1.0858203562323803</v>
      </c>
      <c r="J22" s="78"/>
      <c r="K22" s="142" t="s">
        <v>357</v>
      </c>
      <c r="L22" s="165">
        <f>HLOOKUP($C$1,$105:$115,4,FALSE)/HLOOKUP($C$1,$105:$115,11,FALSE)</f>
        <v>0.25063419146829613</v>
      </c>
      <c r="M22" s="123" t="s">
        <v>353</v>
      </c>
      <c r="N22" s="165">
        <f>HLOOKUP($C$1,$117:$127,4,FALSE)/HLOOKUP($C$1,$117:$127,11,FALSE)</f>
        <v>0.46752529014904071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2.3885222276120213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0.18803383971010409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0.98481493583358948</v>
      </c>
      <c r="C24" s="169">
        <f>STDEV(C103:F103)</f>
        <v>6.8277799238164981E-3</v>
      </c>
      <c r="D24" s="76" t="str">
        <f>IF(C24/B24&lt;15%,"高",IF(C24/B24&lt;30%,"中","低"))</f>
        <v>高</v>
      </c>
      <c r="E24" s="149"/>
      <c r="F24" s="160">
        <f>MIN(100%,B24)*5</f>
        <v>4.9240746791679477</v>
      </c>
      <c r="G24" s="88" t="s">
        <v>229</v>
      </c>
      <c r="H24" s="123" t="s">
        <v>16</v>
      </c>
      <c r="I24" s="170">
        <f>HLOOKUP(C1,167:170,2,FALSE)</f>
        <v>52.02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2.1902156792065992E-2</v>
      </c>
      <c r="M24" s="123" t="s">
        <v>355</v>
      </c>
      <c r="N24" s="165">
        <f>HLOOKUP($C$1,$117:$127,9,FALSE)/HLOOKUP($C$1,$117:$127,11,FALSE)</f>
        <v>0.12489033709049814</v>
      </c>
    </row>
    <row r="25" spans="1:14" s="93" customFormat="1" x14ac:dyDescent="0.25">
      <c r="A25" s="151" t="s">
        <v>366</v>
      </c>
      <c r="B25" s="255">
        <f>AVERAGE(94:94)</f>
        <v>5769496.5652173916</v>
      </c>
      <c r="C25" s="254">
        <f>STDEV(94:94)/AVERAGE(94:94)</f>
        <v>0.8058759897273694</v>
      </c>
      <c r="D25" s="76" t="str">
        <f>IF(C25&lt;=1,"高",IF(C25&lt;=2,"中","低"))</f>
        <v>高</v>
      </c>
      <c r="E25" s="149"/>
      <c r="F25" s="160">
        <f>MAX(0,10-ABS(C25))</f>
        <v>9.1941240102726312</v>
      </c>
      <c r="G25" s="88" t="s">
        <v>213</v>
      </c>
      <c r="H25" s="123" t="s">
        <v>232</v>
      </c>
      <c r="I25" s="170">
        <f>IF(HLOOKUP(C1,167:170,3,FALSE)="無",0,HLOOKUP(C1,167:170,3,FALSE))</f>
        <v>39.65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45.9304347826087</v>
      </c>
      <c r="C26" s="172">
        <f>IF(COUNTIF(168:168,"&gt;0")=0,0,STDEV(168:168))</f>
        <v>6.3658395706092739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36.109130434782607</v>
      </c>
      <c r="C27" s="172">
        <f>IF(COUNTIF(169:169,"&gt;0")=0,0,STDEV(169:169))</f>
        <v>4.9000648539711289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6.9750000000000006E-2</v>
      </c>
      <c r="C30" s="157" t="s">
        <v>217</v>
      </c>
      <c r="D30" s="174">
        <f>COUNTIF(146:146,"&gt;20")/COUNT(146:146)</f>
        <v>0</v>
      </c>
      <c r="E30" s="140" t="s">
        <v>239</v>
      </c>
      <c r="F30" s="159">
        <f>MIN(B30/25%*10,10)</f>
        <v>2.79</v>
      </c>
      <c r="G30" s="175"/>
      <c r="H30" s="176"/>
    </row>
    <row r="31" spans="1:14" x14ac:dyDescent="0.25">
      <c r="A31" s="164" t="s">
        <v>240</v>
      </c>
      <c r="B31" s="173">
        <f>AVERAGE(C155:F155)/100</f>
        <v>3.1700000000000006E-2</v>
      </c>
      <c r="C31" s="157" t="s">
        <v>217</v>
      </c>
      <c r="D31" s="174">
        <f>COUNTIF(149:149,"&gt;8")/COUNT(149:149)</f>
        <v>0</v>
      </c>
      <c r="E31" s="140" t="s">
        <v>241</v>
      </c>
      <c r="F31" s="159">
        <f>MIN(B31/10%*10,10)</f>
        <v>3.1700000000000008</v>
      </c>
      <c r="G31" s="175"/>
    </row>
    <row r="32" spans="1:14" x14ac:dyDescent="0.25">
      <c r="A32" s="155" t="s">
        <v>47</v>
      </c>
      <c r="B32" s="177">
        <f>AVERAGE(C165:F165)</f>
        <v>14.43</v>
      </c>
      <c r="C32" s="157" t="s">
        <v>217</v>
      </c>
      <c r="D32" s="174">
        <f>COUNTIF(159:159,"&gt;3")/COUNT(159:159)</f>
        <v>0.47826086956521741</v>
      </c>
      <c r="E32" s="140" t="s">
        <v>242</v>
      </c>
      <c r="F32" s="159">
        <f>MIN(B32/15*10,10)</f>
        <v>9.6199999999999992</v>
      </c>
      <c r="G32" s="135"/>
    </row>
    <row r="33" spans="1:14" x14ac:dyDescent="0.25">
      <c r="A33" s="155" t="s">
        <v>14</v>
      </c>
      <c r="B33" s="156">
        <f>AVERAGE(B69:E69)</f>
        <v>8.8925000000000001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3.5249999999999999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8.1892043857183019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4251592296.25</v>
      </c>
      <c r="C36" s="178">
        <f>STDEV(C97:F97)</f>
        <v>227797919.38005206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6.9750000000000005</v>
      </c>
      <c r="C37" s="180">
        <f>STDEV(C152:F152)</f>
        <v>0.40120651373907995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3.4624999999999999</v>
      </c>
      <c r="C38" s="180">
        <f>STDEV(C153:F153)</f>
        <v>0.52480948924347626</v>
      </c>
      <c r="D38" s="76" t="str">
        <f>IF(C38/B38&lt;15%,"高",IF(C38/B38&lt;30%,"中","低"))</f>
        <v>中</v>
      </c>
      <c r="E38" s="107">
        <f>IF(F153&gt;E153,1,0)+IF(E153&gt;D153,1,0)+IF(D153&gt;C153,1,0)</f>
        <v>3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14.43</v>
      </c>
      <c r="C39" s="181">
        <f>STDEV(C165:F165)</f>
        <v>0.44773504069557307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8.8925000000000001</v>
      </c>
      <c r="C40" s="183">
        <f>STDEV(B69:E69)</f>
        <v>0.51648652773652615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-0.39500000000000002</v>
      </c>
      <c r="C44" s="186">
        <f>(C46-C49)/C49</f>
        <v>9.8039215686274595E-3</v>
      </c>
      <c r="D44" s="186">
        <f>(D46-D49)/D49</f>
        <v>-7.3863636363636423E-2</v>
      </c>
      <c r="E44" s="186">
        <f>(E46-E49)/E49</f>
        <v>0.17058823529411768</v>
      </c>
      <c r="G44" s="86" t="s">
        <v>175</v>
      </c>
      <c r="H44" s="186">
        <f>(H47-H50)/H50</f>
        <v>-0.55867346938775508</v>
      </c>
      <c r="I44" s="186">
        <f>(I47-I50)/I50</f>
        <v>0.19911504424778764</v>
      </c>
      <c r="J44" s="186">
        <f>(J47-J50)/J50</f>
        <v>1.3550135501355025E-2</v>
      </c>
      <c r="K44" s="186">
        <f>(K47-K50)/K50</f>
        <v>0.43684210526315798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1.21</v>
      </c>
      <c r="C46" s="152">
        <f>HLOOKUP(C45,$81:$82,2,FALSE)</f>
        <v>1.03</v>
      </c>
      <c r="D46" s="152">
        <f>HLOOKUP(D45,$81:$82,2,FALSE)</f>
        <v>1.63</v>
      </c>
      <c r="E46" s="152">
        <f>HLOOKUP(E45,$81:$82,2,FALSE)</f>
        <v>3.98</v>
      </c>
      <c r="G46" s="86" t="s">
        <v>164</v>
      </c>
      <c r="H46" s="145">
        <f>HLOOKUP(H45,$145:$147,2,FALSE)/100</f>
        <v>5.8299999999999998E-2</v>
      </c>
      <c r="I46" s="145">
        <f>HLOOKUP(I45,$145:$147,2,FALSE)/100</f>
        <v>6.8099999999999994E-2</v>
      </c>
      <c r="J46" s="145">
        <f>HLOOKUP(J45,$145:$147,2,FALSE)/100</f>
        <v>7.3599999999999999E-2</v>
      </c>
      <c r="K46" s="145">
        <f>HLOOKUP(K45,$145:$147,2,FALSE)/100</f>
        <v>8.4399999999999989E-2</v>
      </c>
    </row>
    <row r="47" spans="1:14" x14ac:dyDescent="0.25">
      <c r="A47" s="188" t="s">
        <v>165</v>
      </c>
      <c r="B47" s="189">
        <f>HLOOKUP(B45,$157:$159,3,FALSE)</f>
        <v>1.72</v>
      </c>
      <c r="C47" s="189">
        <f>HLOOKUP(C45,$157:$159,3,FALSE)</f>
        <v>1.29</v>
      </c>
      <c r="D47" s="189">
        <f>HLOOKUP(D45,$157:$159,3,FALSE)</f>
        <v>2.52</v>
      </c>
      <c r="E47" s="189">
        <f>HLOOKUP(E45,$157:$159,3,FALSE)</f>
        <v>6.47</v>
      </c>
      <c r="G47" s="190" t="s">
        <v>166</v>
      </c>
      <c r="H47" s="145">
        <f>HLOOKUP(H45,$145:$147,3,FALSE)/100</f>
        <v>1.7299999999999999E-2</v>
      </c>
      <c r="I47" s="145">
        <f>HLOOKUP(I45,$145:$147,3,FALSE)/100</f>
        <v>2.7099999999999999E-2</v>
      </c>
      <c r="J47" s="145">
        <f>HLOOKUP(J45,$145:$147,3,FALSE)/100</f>
        <v>3.7400000000000003E-2</v>
      </c>
      <c r="K47" s="145">
        <f>HLOOKUP(K45,$145:$147,3,FALSE)/100</f>
        <v>5.4600000000000003E-2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</v>
      </c>
      <c r="C49" s="152">
        <f>HLOOKUP(C48,$81:$82,2,FALSE)</f>
        <v>1.02</v>
      </c>
      <c r="D49" s="152">
        <f>HLOOKUP(D48,$81:$82,2,FALSE)</f>
        <v>1.76</v>
      </c>
      <c r="E49" s="152">
        <f>HLOOKUP(E48,$81:$82,2,FALSE)</f>
        <v>3.4</v>
      </c>
      <c r="G49" s="86" t="s">
        <v>164</v>
      </c>
      <c r="H49" s="145">
        <f>HLOOKUP(H48,$145:$147,2,FALSE)/100</f>
        <v>7.4400000000000008E-2</v>
      </c>
      <c r="I49" s="145">
        <f>HLOOKUP(I48,$145:$147,2,FALSE)/100</f>
        <v>6.0199999999999997E-2</v>
      </c>
      <c r="J49" s="145">
        <f>HLOOKUP(J48,$145:$147,2,FALSE)/100</f>
        <v>7.0499999999999993E-2</v>
      </c>
      <c r="K49" s="145">
        <f>HLOOKUP(K48,$145:$147,2,FALSE)/100</f>
        <v>7.1099999999999997E-2</v>
      </c>
    </row>
    <row r="50" spans="1:15" x14ac:dyDescent="0.25">
      <c r="A50" s="188" t="s">
        <v>165</v>
      </c>
      <c r="B50" s="189">
        <f>HLOOKUP(B48,$157:$159,3,FALSE)</f>
        <v>3.41</v>
      </c>
      <c r="C50" s="189">
        <f>HLOOKUP(C48,$157:$159,3,FALSE)</f>
        <v>1.72</v>
      </c>
      <c r="D50" s="189">
        <f>HLOOKUP(D48,$157:$159,3,FALSE)</f>
        <v>2.58</v>
      </c>
      <c r="E50" s="189">
        <f>HLOOKUP(E48,$157:$159,3,FALSE)</f>
        <v>5.14</v>
      </c>
      <c r="G50" s="190" t="s">
        <v>166</v>
      </c>
      <c r="H50" s="145">
        <f>HLOOKUP(H48,$145:$147,3,FALSE)/100</f>
        <v>3.9199999999999999E-2</v>
      </c>
      <c r="I50" s="145">
        <f>HLOOKUP(I48,$145:$147,3,FALSE)/100</f>
        <v>2.2599999999999999E-2</v>
      </c>
      <c r="J50" s="145">
        <f>HLOOKUP(J48,$145:$147,3,FALSE)/100</f>
        <v>3.6900000000000002E-2</v>
      </c>
      <c r="K50" s="145">
        <f>HLOOKUP(K48,$145:$147,3,FALSE)/100</f>
        <v>3.7999999999999999E-2</v>
      </c>
    </row>
    <row r="51" spans="1:15" x14ac:dyDescent="0.25">
      <c r="A51" s="86" t="s">
        <v>351</v>
      </c>
      <c r="B51" s="186">
        <f>(B47-B50)/B50</f>
        <v>-0.49560117302052786</v>
      </c>
      <c r="C51" s="186">
        <f>(C47-C50)/C50</f>
        <v>-0.24999999999999997</v>
      </c>
      <c r="D51" s="186">
        <f>(D47-D50)/D50</f>
        <v>-2.3255813953488393E-2</v>
      </c>
      <c r="E51" s="186">
        <f>(E47-E50)/E50</f>
        <v>0.2587548638132296</v>
      </c>
      <c r="G51" s="235" t="s">
        <v>174</v>
      </c>
      <c r="H51" s="186">
        <f>(H46-H49)/H49</f>
        <v>-0.2163978494623657</v>
      </c>
      <c r="I51" s="186">
        <f>(I46-I49)/I49</f>
        <v>0.13122923588039864</v>
      </c>
      <c r="J51" s="186">
        <f>(J46-J49)/J49</f>
        <v>4.3971631205673843E-2</v>
      </c>
      <c r="K51" s="186">
        <f>(K46-K49)/K49</f>
        <v>0.18706047819971861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7.4747579157580111</v>
      </c>
      <c r="B53" s="193">
        <f>B46</f>
        <v>1.21</v>
      </c>
      <c r="C53" s="193">
        <f>E46/HLOOKUP(E45,$87:$94,5,FALSE)*HLOOKUP(E45,$87:$94,4,FALSE)*($B$25/HLOOKUP(E45,$87:$94,4,FALSE)+SUM($B$57:$D$57)/SUM($B58:$D$58)*$G$69/100/K46)</f>
        <v>3.1740785951400001</v>
      </c>
      <c r="D53" s="193">
        <f>D46/HLOOKUP(D45,$87:$94,5,FALSE)*HLOOKUP(D45,$87:$94,4,FALSE)*($B$25/HLOOKUP(D45,$87:$94,4,FALSE)+SUM($B$57:$D$57)/SUM($B58:$D$58)*$G$69/100/J46)</f>
        <v>1.8217482775844029</v>
      </c>
      <c r="E53" s="193">
        <f>C46/HLOOKUP(C45,$87:$94,5,FALSE)*HLOOKUP(C45,$87:$94,4,FALSE)*($B$25/HLOOKUP(C45,$87:$94,4,FALSE)+SUM($B$57:$D$57)/SUM($B58:$D$58)*$G$69/100/I46)</f>
        <v>1.2689310430336078</v>
      </c>
    </row>
    <row r="54" spans="1:15" x14ac:dyDescent="0.25">
      <c r="A54" s="278">
        <f>SUM(B54:E54)</f>
        <v>8.64</v>
      </c>
      <c r="B54" s="277">
        <f t="shared" ref="B54:D54" si="0">HLOOKUP(B52-10,81:82,2,FALSE)</f>
        <v>2</v>
      </c>
      <c r="C54" s="277">
        <f t="shared" si="0"/>
        <v>3.98</v>
      </c>
      <c r="D54" s="277">
        <f t="shared" si="0"/>
        <v>1.63</v>
      </c>
      <c r="E54" s="277">
        <f>HLOOKUP(E52-10,81:82,2,FALSE)</f>
        <v>1.03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485457987</v>
      </c>
      <c r="C57" s="196">
        <f>HLOOKUP(C56,78:79,2,FALSE)</f>
        <v>451040000</v>
      </c>
      <c r="D57" s="196">
        <f>HLOOKUP(D56,78:79,2,FALSE)</f>
        <v>316793293</v>
      </c>
      <c r="E57" s="196">
        <f>HLOOKUP(E56,78:79,2,FALSE)</f>
        <v>315057364</v>
      </c>
      <c r="F57" s="196">
        <f>HLOOKUP(F56,78:79,2,FALSE)</f>
        <v>315139646</v>
      </c>
      <c r="G57" s="196">
        <f t="shared" ref="G57:M57" si="2">HLOOKUP(G56,78:79,2,FALSE)</f>
        <v>279845611</v>
      </c>
      <c r="H57" s="196">
        <f t="shared" si="2"/>
        <v>322787873</v>
      </c>
      <c r="I57" s="196">
        <f t="shared" si="2"/>
        <v>341690438</v>
      </c>
      <c r="J57" s="196">
        <f t="shared" si="2"/>
        <v>289580345</v>
      </c>
      <c r="K57" s="196">
        <f t="shared" si="2"/>
        <v>345331557</v>
      </c>
      <c r="L57" s="196">
        <f t="shared" si="2"/>
        <v>449639072</v>
      </c>
      <c r="M57" s="196">
        <f t="shared" si="2"/>
        <v>480671537</v>
      </c>
      <c r="N57" s="197"/>
    </row>
    <row r="58" spans="1:15" x14ac:dyDescent="0.25">
      <c r="A58" s="198" t="s">
        <v>253</v>
      </c>
      <c r="B58" s="196">
        <f>HLOOKUP(B56-100,78:79,2,FALSE)</f>
        <v>471933062</v>
      </c>
      <c r="C58" s="196">
        <f>HLOOKUP(C56-100,78:79,2,FALSE)</f>
        <v>468361676</v>
      </c>
      <c r="D58" s="196">
        <f>HLOOKUP(D56-100,78:79,2,FALSE)</f>
        <v>312697365</v>
      </c>
      <c r="E58" s="196">
        <f>HLOOKUP(E56-100,78:79,2,FALSE)</f>
        <v>293000389</v>
      </c>
      <c r="F58" s="196">
        <f>HLOOKUP(F56-100,78:79,2,FALSE)</f>
        <v>305011247</v>
      </c>
      <c r="G58" s="196">
        <f t="shared" ref="G58:M58" si="3">HLOOKUP(G56-100,78:79,2,FALSE)</f>
        <v>295411010</v>
      </c>
      <c r="H58" s="196">
        <f t="shared" si="3"/>
        <v>322388621</v>
      </c>
      <c r="I58" s="196">
        <f t="shared" si="3"/>
        <v>339621426</v>
      </c>
      <c r="J58" s="196">
        <f t="shared" si="3"/>
        <v>280647668</v>
      </c>
      <c r="K58" s="196">
        <f t="shared" si="3"/>
        <v>337605177</v>
      </c>
      <c r="L58" s="196">
        <f t="shared" si="3"/>
        <v>409654099</v>
      </c>
      <c r="M58" s="196">
        <f t="shared" si="3"/>
        <v>517519561</v>
      </c>
      <c r="N58" s="197"/>
    </row>
    <row r="59" spans="1:15" x14ac:dyDescent="0.25">
      <c r="A59" s="199" t="s">
        <v>254</v>
      </c>
      <c r="B59" s="165">
        <f>IF(B57&lt;&gt;"",(B57-B58)/B58,"")</f>
        <v>2.8658566413386821E-2</v>
      </c>
      <c r="C59" s="165">
        <f>IF(C57&lt;&gt;"",(C57-C58)/C58,"")</f>
        <v>-3.6983546877563056E-2</v>
      </c>
      <c r="D59" s="165">
        <f>IF(D57&lt;&gt;"",(D57-D58)/D58,"")</f>
        <v>1.3098696882207498E-2</v>
      </c>
      <c r="E59" s="165">
        <f>IF(E57&lt;&gt;"",(E57-E58)/E58,"")</f>
        <v>7.5279678212304357E-2</v>
      </c>
      <c r="F59" s="165">
        <f>IF(F57&lt;&gt;"",(F57-F58)/F58,"")</f>
        <v>3.3206641065271929E-2</v>
      </c>
      <c r="G59" s="165">
        <f t="shared" ref="G59:M59" si="4">IF(G57&lt;&gt;"",(G57-G58)/G58,"")</f>
        <v>-5.2690652931317625E-2</v>
      </c>
      <c r="H59" s="165">
        <f t="shared" si="4"/>
        <v>1.2384183993888543E-3</v>
      </c>
      <c r="I59" s="165">
        <f t="shared" si="4"/>
        <v>6.092112692560216E-3</v>
      </c>
      <c r="J59" s="165">
        <f t="shared" si="4"/>
        <v>3.1828794672186619E-2</v>
      </c>
      <c r="K59" s="165">
        <f t="shared" si="4"/>
        <v>2.288584573452794E-2</v>
      </c>
      <c r="L59" s="165">
        <f t="shared" si="4"/>
        <v>9.7606671329804023E-2</v>
      </c>
      <c r="M59" s="165">
        <f t="shared" si="4"/>
        <v>-7.1201219773797106E-2</v>
      </c>
    </row>
    <row r="60" spans="1:15" x14ac:dyDescent="0.25">
      <c r="A60" s="195" t="s">
        <v>255</v>
      </c>
      <c r="B60" s="196">
        <f>SUM(B57:M57)</f>
        <v>4393034723</v>
      </c>
    </row>
    <row r="61" spans="1:15" x14ac:dyDescent="0.25">
      <c r="A61" s="198" t="s">
        <v>256</v>
      </c>
      <c r="B61" s="196">
        <f>SUM(B58:M58)</f>
        <v>4353851301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1.0089997152615204</v>
      </c>
      <c r="D62" s="152">
        <f>SUM(B46:E46)</f>
        <v>7.85</v>
      </c>
      <c r="E62" s="152">
        <f>SUM(B49:E49)</f>
        <v>8.18</v>
      </c>
      <c r="G62" s="126">
        <f>SUM(B47:E47)</f>
        <v>12</v>
      </c>
      <c r="H62" s="126">
        <f>SUM(B50:E50)</f>
        <v>12.85</v>
      </c>
      <c r="J62" s="200">
        <f>AVERAGE(H46:K46)</f>
        <v>7.1099999999999997E-2</v>
      </c>
      <c r="K62" s="200">
        <f>AVERAGE(H49:K49)</f>
        <v>6.905E-2</v>
      </c>
      <c r="M62" s="200">
        <f>AVERAGE(H47:K47)</f>
        <v>3.4099999999999998E-2</v>
      </c>
      <c r="N62" s="200">
        <f>AVERAGE(H50:K50)</f>
        <v>3.4174999999999997E-2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1.38</v>
      </c>
      <c r="C65" s="205">
        <f t="shared" si="5"/>
        <v>1.49</v>
      </c>
      <c r="D65" s="205">
        <f t="shared" si="5"/>
        <v>2.0499999999999998</v>
      </c>
      <c r="E65" s="205">
        <f t="shared" si="5"/>
        <v>1.76</v>
      </c>
      <c r="F65" s="206">
        <f>IF(ISNA(HLOOKUP(F$64*10+$A65,$81:$82,2,FALSE)),(HLOOKUP(E$64*10+$A65,$87:$94,4,FALSE)*$G65+$B$25)/HLOOKUP(E$64*10+$A65,$87:$94,5,FALSE)*$E65,HLOOKUP(F$64*10+$A65,$81:$82,2,FALSE))</f>
        <v>1.63</v>
      </c>
      <c r="G65" s="101">
        <f>MIN(130%,SUM($B$57:$D$57)/SUM($B$58:$D$58)*$G$69/HLOOKUP(E$64*10+$A65,$145:$146,2,FALSE))</f>
        <v>1.0000701295922441</v>
      </c>
      <c r="H65" s="204">
        <v>1</v>
      </c>
      <c r="I65" s="208">
        <f t="shared" ref="I65:M68" si="6">IF(ISNA(HLOOKUP(I$64*10+$H65,$145:$147,3,FALSE)),"",HLOOKUP(I$64*10+$H65,$145:$147,3,FALSE)/100)</f>
        <v>1.72E-2</v>
      </c>
      <c r="J65" s="208">
        <f t="shared" si="6"/>
        <v>2.3700000000000002E-2</v>
      </c>
      <c r="K65" s="208">
        <f t="shared" si="6"/>
        <v>3.8100000000000002E-2</v>
      </c>
      <c r="L65" s="208">
        <f t="shared" si="6"/>
        <v>3.6900000000000002E-2</v>
      </c>
      <c r="M65" s="209">
        <f t="shared" si="6"/>
        <v>3.7400000000000003E-2</v>
      </c>
      <c r="N65" s="256">
        <f t="shared" ref="N65:O68" si="7">HLOOKUP(E$64*10+$A65,$87:$94,8,FALSE)</f>
        <v>981284</v>
      </c>
      <c r="O65" s="256">
        <f t="shared" si="7"/>
        <v>-51470</v>
      </c>
      <c r="P65" s="210"/>
    </row>
    <row r="66" spans="1:71" x14ac:dyDescent="0.25">
      <c r="A66" s="204">
        <v>2</v>
      </c>
      <c r="B66" s="205">
        <f t="shared" si="5"/>
        <v>1.3</v>
      </c>
      <c r="C66" s="205">
        <f t="shared" si="5"/>
        <v>1.37</v>
      </c>
      <c r="D66" s="205">
        <f t="shared" si="5"/>
        <v>1.65</v>
      </c>
      <c r="E66" s="205">
        <f t="shared" si="5"/>
        <v>1.02</v>
      </c>
      <c r="F66" s="206">
        <f>IF(ISNA(HLOOKUP(F$64*10+$A66,$81:$82,2,FALSE)),(HLOOKUP(E$64*10+$A66,$87:$94,4,FALSE)*$G66+$B$25)/HLOOKUP(E$64*10+$A66,$87:$94,5,FALSE)*$E66,HLOOKUP(F$64*10+$A66,$81:$82,2,FALSE))</f>
        <v>1.03</v>
      </c>
      <c r="G66" s="101">
        <f>MIN(130%,SUM($B$57:$D$57)/SUM($B$58:$D$58)*$G$69/HLOOKUP(E$64*10+$A66,$145:$146,2,FALSE))</f>
        <v>1.1711784740241398</v>
      </c>
      <c r="H66" s="204">
        <v>2</v>
      </c>
      <c r="I66" s="208">
        <f t="shared" si="6"/>
        <v>2.0799999999999999E-2</v>
      </c>
      <c r="J66" s="208">
        <f t="shared" si="6"/>
        <v>3.1800000000000002E-2</v>
      </c>
      <c r="K66" s="208">
        <f t="shared" si="6"/>
        <v>3.4000000000000002E-2</v>
      </c>
      <c r="L66" s="208">
        <f t="shared" si="6"/>
        <v>2.2599999999999999E-2</v>
      </c>
      <c r="M66" s="209">
        <f t="shared" si="6"/>
        <v>2.7099999999999999E-2</v>
      </c>
      <c r="N66" s="256">
        <f t="shared" si="7"/>
        <v>10418105</v>
      </c>
      <c r="O66" s="256">
        <f t="shared" si="7"/>
        <v>700203</v>
      </c>
      <c r="P66" s="210"/>
    </row>
    <row r="67" spans="1:71" x14ac:dyDescent="0.25">
      <c r="A67" s="204">
        <v>3</v>
      </c>
      <c r="B67" s="205">
        <f t="shared" si="5"/>
        <v>2.34</v>
      </c>
      <c r="C67" s="205">
        <f t="shared" si="5"/>
        <v>2.2999999999999998</v>
      </c>
      <c r="D67" s="205">
        <f t="shared" si="5"/>
        <v>2.42</v>
      </c>
      <c r="E67" s="205">
        <f t="shared" si="5"/>
        <v>2</v>
      </c>
      <c r="F67" s="206">
        <f>IF(ISNA(HLOOKUP(F$64*10+$A67,$81:$82,2,FALSE)),(HLOOKUP(E$64*10+$A67,$87:$94,4,FALSE)*$G67+$B$25)/HLOOKUP(E$64*10+$A67,$87:$94,5,FALSE)*$E67,HLOOKUP(F$64*10+$A67,$81:$82,2,FALSE))</f>
        <v>1.21</v>
      </c>
      <c r="G67" s="101">
        <f>MIN(130%,SUM($B$57:$D$57)/SUM($B$58:$D$58)*$G$69/HLOOKUP(E$64*10+$A67,$145:$146,2,FALSE))</f>
        <v>0.94764709860555385</v>
      </c>
      <c r="H67" s="204">
        <v>3</v>
      </c>
      <c r="I67" s="208">
        <f t="shared" si="6"/>
        <v>3.4599999999999999E-2</v>
      </c>
      <c r="J67" s="208">
        <f t="shared" si="6"/>
        <v>3.3000000000000002E-2</v>
      </c>
      <c r="K67" s="208">
        <f t="shared" si="6"/>
        <v>3.5799999999999998E-2</v>
      </c>
      <c r="L67" s="208">
        <f t="shared" si="6"/>
        <v>3.9199999999999999E-2</v>
      </c>
      <c r="M67" s="209">
        <f t="shared" si="6"/>
        <v>1.7299999999999999E-2</v>
      </c>
      <c r="N67" s="256">
        <f t="shared" si="7"/>
        <v>736002</v>
      </c>
      <c r="O67" s="256">
        <f t="shared" si="7"/>
        <v>6430828</v>
      </c>
      <c r="P67" s="210"/>
    </row>
    <row r="68" spans="1:71" x14ac:dyDescent="0.25">
      <c r="A68" s="204">
        <v>4</v>
      </c>
      <c r="B68" s="205">
        <f>HLOOKUP(B$64*10+$A68,$81:$82,2,FALSE)</f>
        <v>3.26</v>
      </c>
      <c r="C68" s="205">
        <f>HLOOKUP(C$64*10+$A68,$81:$82,2,FALSE)</f>
        <v>3.85</v>
      </c>
      <c r="D68" s="205">
        <f>HLOOKUP(D$64*10+$A68,$81:$82,2,FALSE)</f>
        <v>3.4</v>
      </c>
      <c r="E68" s="206">
        <f>IF(ISNA(HLOOKUP(E$64*10+$A68,$81:$82,2,FALSE)),D68*(1-$N68)*#REF!*(1+$B$25)/(1+$E$4),HLOOKUP(E$64*10+$A68,$81:$82,2,FALSE))</f>
        <v>3.98</v>
      </c>
      <c r="F68" s="206">
        <f>IF(ISNA(HLOOKUP(F$64*10+$A68,$81:$82,2,FALSE)),(HLOOKUP(E$64*10+$A68,$87:$94,4,FALSE)*$G68+$B$25)/HLOOKUP(E$64*10+$A68,$87:$94,5,FALSE)*$E68,HLOOKUP(F$64*10+$A68,$81:$82,2,FALSE))</f>
        <v>3.1740785951399997</v>
      </c>
      <c r="G68" s="101">
        <f>MIN(130%,SUM($B$57:$D$57)/SUM($B$58:$D$58)*$G$69/HLOOKUP(E$64*10+$A68,$145:$146,2,FALSE))</f>
        <v>0.83536663668546463</v>
      </c>
      <c r="H68" s="204">
        <v>4</v>
      </c>
      <c r="I68" s="208">
        <f t="shared" si="6"/>
        <v>3.3799999999999997E-2</v>
      </c>
      <c r="J68" s="208">
        <f t="shared" si="6"/>
        <v>4.2000000000000003E-2</v>
      </c>
      <c r="K68" s="208">
        <f t="shared" si="6"/>
        <v>3.7999999999999999E-2</v>
      </c>
      <c r="L68" s="208">
        <f t="shared" si="6"/>
        <v>5.4600000000000003E-2</v>
      </c>
      <c r="M68" s="209" t="str">
        <f t="shared" si="6"/>
        <v/>
      </c>
      <c r="N68" s="256">
        <f t="shared" si="7"/>
        <v>10874853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8.2799999999999994</v>
      </c>
      <c r="C69" s="213">
        <f>SUM(C65:C68)</f>
        <v>9.01</v>
      </c>
      <c r="D69" s="213">
        <f>SUM(D65:D68)</f>
        <v>9.52</v>
      </c>
      <c r="E69" s="213">
        <f>SUM(E65:E68)</f>
        <v>8.76</v>
      </c>
      <c r="F69" s="213">
        <f>SUM(F65:F68)</f>
        <v>7.0440785951400002</v>
      </c>
      <c r="G69" s="257">
        <f>_xlfn.FORECAST.ETS(23,B146:W146,{1,2,3,4,5,6,7,8,9,10,11,12,13,14,15,16,17,18,19,20,21,22})</f>
        <v>7.0488113685097549</v>
      </c>
      <c r="H69" s="214" t="s">
        <v>19</v>
      </c>
      <c r="I69" s="215">
        <f>HLOOKUP(I64,151:155,3,FALSE)/100</f>
        <v>2.7699999999999999E-2</v>
      </c>
      <c r="J69" s="215">
        <f>HLOOKUP(J64,151:155,3,FALSE)/100</f>
        <v>3.4000000000000002E-2</v>
      </c>
      <c r="K69" s="215">
        <f>HLOOKUP(K64,151:155,3,FALSE)/100</f>
        <v>3.6699999999999997E-2</v>
      </c>
      <c r="L69" s="215">
        <f>IF(ISNA(HLOOKUP(L64,151:155,3,FALSE)/100),AVERAGE(L65:L68),HLOOKUP(L64,151:155,3,FALSE)/100)</f>
        <v>4.0099999999999997E-2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2.34</v>
      </c>
      <c r="C72" s="205">
        <f t="shared" si="8"/>
        <v>2.42</v>
      </c>
      <c r="D72" s="205">
        <f t="shared" si="8"/>
        <v>3.15</v>
      </c>
      <c r="E72" s="205">
        <f t="shared" si="8"/>
        <v>2.58</v>
      </c>
      <c r="F72" s="205">
        <f t="shared" si="8"/>
        <v>2.52</v>
      </c>
    </row>
    <row r="73" spans="1:71" s="135" customFormat="1" x14ac:dyDescent="0.25">
      <c r="A73" s="204">
        <v>2</v>
      </c>
      <c r="B73" s="205">
        <f t="shared" si="8"/>
        <v>2.34</v>
      </c>
      <c r="C73" s="205">
        <f t="shared" si="8"/>
        <v>2.4700000000000002</v>
      </c>
      <c r="D73" s="205">
        <f t="shared" si="8"/>
        <v>2.68</v>
      </c>
      <c r="E73" s="205">
        <f t="shared" si="8"/>
        <v>1.72</v>
      </c>
      <c r="F73" s="205">
        <f t="shared" si="8"/>
        <v>1.29</v>
      </c>
    </row>
    <row r="74" spans="1:71" s="135" customFormat="1" x14ac:dyDescent="0.25">
      <c r="A74" s="204">
        <v>3</v>
      </c>
      <c r="B74" s="205">
        <f t="shared" si="8"/>
        <v>4.1500000000000004</v>
      </c>
      <c r="C74" s="205">
        <f t="shared" si="8"/>
        <v>3.97</v>
      </c>
      <c r="D74" s="205">
        <f t="shared" si="8"/>
        <v>3.89</v>
      </c>
      <c r="E74" s="205">
        <f t="shared" si="8"/>
        <v>3.41</v>
      </c>
      <c r="F74" s="205">
        <f t="shared" si="8"/>
        <v>1.72</v>
      </c>
    </row>
    <row r="75" spans="1:71" s="135" customFormat="1" x14ac:dyDescent="0.25">
      <c r="A75" s="204">
        <v>4</v>
      </c>
      <c r="B75" s="205">
        <f t="shared" si="8"/>
        <v>5.56</v>
      </c>
      <c r="C75" s="205">
        <f t="shared" si="8"/>
        <v>6.06</v>
      </c>
      <c r="D75" s="205">
        <f t="shared" si="8"/>
        <v>5.14</v>
      </c>
      <c r="E75" s="205">
        <f t="shared" si="8"/>
        <v>6.47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14.39</v>
      </c>
      <c r="C76" s="213">
        <f>SUM(C72:C75)</f>
        <v>14.920000000000002</v>
      </c>
      <c r="D76" s="213">
        <f>SUM(D72:D75)</f>
        <v>14.86</v>
      </c>
      <c r="E76" s="213">
        <f>AVERAGE(E72:E75)*4</f>
        <v>14.18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274663333</v>
      </c>
      <c r="C79" s="270">
        <v>236551454</v>
      </c>
      <c r="D79" s="270">
        <v>278728101</v>
      </c>
      <c r="E79" s="270">
        <v>251736194</v>
      </c>
      <c r="F79" s="270">
        <v>241088217</v>
      </c>
      <c r="G79" s="270">
        <v>236829407</v>
      </c>
      <c r="H79" s="270">
        <v>248694832</v>
      </c>
      <c r="I79" s="270">
        <v>222312278</v>
      </c>
      <c r="J79" s="270">
        <v>240536665</v>
      </c>
      <c r="K79" s="270">
        <v>275702457</v>
      </c>
      <c r="L79" s="270">
        <v>351733052</v>
      </c>
      <c r="M79" s="270">
        <v>360944136</v>
      </c>
      <c r="N79" s="270">
        <v>313527033</v>
      </c>
      <c r="O79" s="270">
        <v>235059730</v>
      </c>
      <c r="P79" s="270">
        <v>260382567</v>
      </c>
      <c r="Q79" s="270">
        <v>291758983</v>
      </c>
      <c r="R79" s="270">
        <v>300471866</v>
      </c>
      <c r="S79" s="270">
        <v>304636671</v>
      </c>
      <c r="T79" s="270">
        <v>300252609</v>
      </c>
      <c r="U79" s="270">
        <v>280428415</v>
      </c>
      <c r="V79" s="270">
        <v>337862387</v>
      </c>
      <c r="W79" s="270">
        <v>382620610</v>
      </c>
      <c r="X79" s="270">
        <v>456186788</v>
      </c>
      <c r="Y79" s="270">
        <v>490931771</v>
      </c>
      <c r="Z79" s="270">
        <v>314551279</v>
      </c>
      <c r="AA79" s="270">
        <v>260625536</v>
      </c>
      <c r="AB79" s="270">
        <v>307819243</v>
      </c>
      <c r="AC79" s="270">
        <v>294441622</v>
      </c>
      <c r="AD79" s="270">
        <v>267966271</v>
      </c>
      <c r="AE79" s="270">
        <v>316993273</v>
      </c>
      <c r="AF79" s="270">
        <v>260217686</v>
      </c>
      <c r="AG79" s="270">
        <v>275084930</v>
      </c>
      <c r="AH79" s="270">
        <v>415412293</v>
      </c>
      <c r="AI79" s="270">
        <v>468999424</v>
      </c>
      <c r="AJ79" s="270">
        <v>514793265</v>
      </c>
      <c r="AK79" s="270">
        <v>515569088</v>
      </c>
      <c r="AL79" s="270">
        <v>396005475</v>
      </c>
      <c r="AM79" s="270">
        <v>280021542</v>
      </c>
      <c r="AN79" s="270">
        <v>338297389</v>
      </c>
      <c r="AO79" s="270">
        <v>352467560</v>
      </c>
      <c r="AP79" s="270">
        <v>301599386</v>
      </c>
      <c r="AQ79" s="270">
        <v>318555965</v>
      </c>
      <c r="AR79" s="270">
        <v>312192660</v>
      </c>
      <c r="AS79" s="270">
        <v>292915013</v>
      </c>
      <c r="AT79" s="270">
        <v>460903278</v>
      </c>
      <c r="AU79" s="270">
        <v>502963649</v>
      </c>
      <c r="AV79" s="270">
        <v>517519561</v>
      </c>
      <c r="AW79" s="270">
        <v>409654099</v>
      </c>
      <c r="AX79" s="270">
        <v>337605177</v>
      </c>
      <c r="AY79" s="270">
        <v>280647668</v>
      </c>
      <c r="AZ79" s="270">
        <v>339621426</v>
      </c>
      <c r="BA79" s="270">
        <v>322388621</v>
      </c>
      <c r="BB79" s="270">
        <v>295411010</v>
      </c>
      <c r="BC79" s="270">
        <v>305011247</v>
      </c>
      <c r="BD79" s="270">
        <v>293000389</v>
      </c>
      <c r="BE79" s="270">
        <v>312697365</v>
      </c>
      <c r="BF79" s="270">
        <v>468361676</v>
      </c>
      <c r="BG79" s="270">
        <v>471933062</v>
      </c>
      <c r="BH79" s="270">
        <v>480671537</v>
      </c>
      <c r="BI79" s="270">
        <v>449639072</v>
      </c>
      <c r="BJ79" s="270">
        <v>345331557</v>
      </c>
      <c r="BK79" s="270">
        <v>289580345</v>
      </c>
      <c r="BL79" s="270">
        <v>341690438</v>
      </c>
      <c r="BM79" s="270">
        <v>322787873</v>
      </c>
      <c r="BN79" s="270">
        <v>279845611</v>
      </c>
      <c r="BO79" s="270">
        <v>315139646</v>
      </c>
      <c r="BP79" s="270">
        <v>315057364</v>
      </c>
      <c r="BQ79" s="270">
        <v>316793293</v>
      </c>
      <c r="BR79" s="270">
        <v>451040000</v>
      </c>
      <c r="BS79" s="270">
        <v>485457987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1.4</v>
      </c>
      <c r="C82" s="72">
        <v>1.07</v>
      </c>
      <c r="D82" s="72">
        <v>2.57</v>
      </c>
      <c r="E82" s="72">
        <v>3.13</v>
      </c>
      <c r="F82" s="72">
        <v>1.38</v>
      </c>
      <c r="G82" s="72">
        <v>1.3</v>
      </c>
      <c r="H82" s="72">
        <v>2.34</v>
      </c>
      <c r="I82" s="72">
        <v>3.26</v>
      </c>
      <c r="J82" s="72">
        <v>1.49</v>
      </c>
      <c r="K82" s="72">
        <v>1.37</v>
      </c>
      <c r="L82" s="72">
        <v>2.2999999999999998</v>
      </c>
      <c r="M82" s="72">
        <v>3.85</v>
      </c>
      <c r="N82" s="72">
        <v>2.0499999999999998</v>
      </c>
      <c r="O82" s="72">
        <v>1.65</v>
      </c>
      <c r="P82" s="72">
        <v>2.42</v>
      </c>
      <c r="Q82" s="72">
        <v>3.4</v>
      </c>
      <c r="R82" s="72">
        <v>1.76</v>
      </c>
      <c r="S82" s="72">
        <v>1.02</v>
      </c>
      <c r="T82" s="72">
        <v>2</v>
      </c>
      <c r="U82" s="72">
        <v>3.98</v>
      </c>
      <c r="V82" s="72">
        <v>1.63</v>
      </c>
      <c r="W82" s="72">
        <v>1.03</v>
      </c>
      <c r="X82" s="72">
        <v>1.21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54.4</v>
      </c>
      <c r="C85" s="72">
        <v>54.73</v>
      </c>
      <c r="D85" s="72">
        <v>51.16</v>
      </c>
      <c r="E85" s="72">
        <v>54.63</v>
      </c>
      <c r="F85" s="72">
        <v>57.33</v>
      </c>
      <c r="G85" s="72">
        <v>58.37</v>
      </c>
      <c r="H85" s="72">
        <v>54.46</v>
      </c>
      <c r="I85" s="72">
        <v>58.25</v>
      </c>
      <c r="J85" s="72">
        <v>60.1</v>
      </c>
      <c r="K85" s="72">
        <v>60.3</v>
      </c>
      <c r="L85" s="72">
        <v>58.21</v>
      </c>
      <c r="M85" s="72">
        <v>62.89</v>
      </c>
      <c r="N85" s="72">
        <v>63.96</v>
      </c>
      <c r="O85" s="72">
        <v>60.59</v>
      </c>
      <c r="P85" s="72">
        <v>60.71</v>
      </c>
      <c r="Q85" s="72">
        <v>64.44</v>
      </c>
      <c r="R85" s="72">
        <v>65.63</v>
      </c>
      <c r="S85" s="72">
        <v>62.3</v>
      </c>
      <c r="T85" s="72">
        <v>57.28</v>
      </c>
      <c r="U85" s="72">
        <v>62.26</v>
      </c>
      <c r="V85" s="72">
        <v>64.19</v>
      </c>
      <c r="W85" s="72">
        <v>61.19</v>
      </c>
      <c r="X85" s="72">
        <v>61.75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1001285660</v>
      </c>
      <c r="C88" s="273">
        <v>891917151</v>
      </c>
      <c r="D88" s="273">
        <v>874442214</v>
      </c>
      <c r="E88" s="273">
        <v>1137750297</v>
      </c>
      <c r="F88" s="273">
        <v>809011951</v>
      </c>
      <c r="G88" s="273">
        <v>895617497</v>
      </c>
      <c r="H88" s="273">
        <v>919301218</v>
      </c>
      <c r="I88" s="273">
        <v>1328386874</v>
      </c>
      <c r="J88" s="273">
        <v>883479325</v>
      </c>
      <c r="K88" s="273">
        <v>879094312</v>
      </c>
      <c r="L88" s="273">
        <v>950494021</v>
      </c>
      <c r="M88" s="273">
        <v>1500104663</v>
      </c>
      <c r="N88" s="273">
        <v>1014122421</v>
      </c>
      <c r="O88" s="273">
        <v>972708221</v>
      </c>
      <c r="P88" s="273">
        <v>1065601878</v>
      </c>
      <c r="Q88" s="273">
        <v>1429713447</v>
      </c>
      <c r="R88" s="273">
        <v>958009217</v>
      </c>
      <c r="S88" s="273">
        <v>922136921</v>
      </c>
      <c r="T88" s="273">
        <v>1075348211</v>
      </c>
      <c r="U88" s="273">
        <v>1403239008</v>
      </c>
      <c r="V88" s="273">
        <v>975043856</v>
      </c>
      <c r="W88" s="273">
        <v>922412465</v>
      </c>
      <c r="X88" s="273">
        <v>1078891633</v>
      </c>
    </row>
    <row r="89" spans="1:25" ht="14.25" thickBot="1" x14ac:dyDescent="0.3">
      <c r="A89" s="250" t="s">
        <v>4</v>
      </c>
      <c r="B89" s="275">
        <v>66526053</v>
      </c>
      <c r="C89" s="275">
        <v>70699551</v>
      </c>
      <c r="D89" s="275">
        <v>83439137</v>
      </c>
      <c r="E89" s="275">
        <v>108964296</v>
      </c>
      <c r="F89" s="275">
        <v>45913087</v>
      </c>
      <c r="G89" s="275">
        <v>51932926</v>
      </c>
      <c r="H89" s="275">
        <v>64999796</v>
      </c>
      <c r="I89" s="275">
        <v>91848692</v>
      </c>
      <c r="J89" s="275">
        <v>53375905</v>
      </c>
      <c r="K89" s="275">
        <v>61990039</v>
      </c>
      <c r="L89" s="275">
        <v>67497296</v>
      </c>
      <c r="M89" s="275">
        <v>109080616</v>
      </c>
      <c r="N89" s="275">
        <v>72423358</v>
      </c>
      <c r="O89" s="275">
        <v>70041890</v>
      </c>
      <c r="P89" s="275">
        <v>76522124</v>
      </c>
      <c r="Q89" s="275">
        <v>101604597</v>
      </c>
      <c r="R89" s="275">
        <v>67576473</v>
      </c>
      <c r="S89" s="275">
        <v>55489841</v>
      </c>
      <c r="T89" s="275">
        <v>80022935</v>
      </c>
      <c r="U89" s="275">
        <v>118495731</v>
      </c>
      <c r="V89" s="275">
        <v>71724616</v>
      </c>
      <c r="W89" s="275">
        <v>62774423</v>
      </c>
      <c r="X89" s="275">
        <v>62942317</v>
      </c>
    </row>
    <row r="90" spans="1:25" ht="14.25" thickBot="1" x14ac:dyDescent="0.3">
      <c r="A90" s="251" t="s">
        <v>5</v>
      </c>
      <c r="B90" s="273">
        <v>15225191</v>
      </c>
      <c r="C90" s="273">
        <v>21518855</v>
      </c>
      <c r="D90" s="273">
        <v>29964863</v>
      </c>
      <c r="E90" s="273">
        <v>41741572</v>
      </c>
      <c r="F90" s="273">
        <v>13906991</v>
      </c>
      <c r="G90" s="273">
        <v>18602832</v>
      </c>
      <c r="H90" s="273">
        <v>31846487</v>
      </c>
      <c r="I90" s="273">
        <v>44958086</v>
      </c>
      <c r="J90" s="273">
        <v>20905719</v>
      </c>
      <c r="K90" s="273">
        <v>27931770</v>
      </c>
      <c r="L90" s="273">
        <v>31372557</v>
      </c>
      <c r="M90" s="273">
        <v>62981365</v>
      </c>
      <c r="N90" s="273">
        <v>38602603</v>
      </c>
      <c r="O90" s="273">
        <v>33110917</v>
      </c>
      <c r="P90" s="273">
        <v>38165643</v>
      </c>
      <c r="Q90" s="273">
        <v>54389408</v>
      </c>
      <c r="R90" s="273">
        <v>35324664</v>
      </c>
      <c r="S90" s="273">
        <v>20821790</v>
      </c>
      <c r="T90" s="273">
        <v>42107393</v>
      </c>
      <c r="U90" s="273">
        <v>76685654</v>
      </c>
      <c r="V90" s="273">
        <v>36489726</v>
      </c>
      <c r="W90" s="273">
        <v>24951394</v>
      </c>
      <c r="X90" s="273">
        <v>18715944</v>
      </c>
    </row>
    <row r="91" spans="1:25" ht="14.25" thickBot="1" x14ac:dyDescent="0.3">
      <c r="A91" s="250" t="s">
        <v>6</v>
      </c>
      <c r="B91" s="275">
        <v>19380549</v>
      </c>
      <c r="C91" s="275">
        <v>17145565</v>
      </c>
      <c r="D91" s="275">
        <v>34438079</v>
      </c>
      <c r="E91" s="275">
        <v>47414898</v>
      </c>
      <c r="F91" s="275">
        <v>22597173</v>
      </c>
      <c r="G91" s="275">
        <v>25543817</v>
      </c>
      <c r="H91" s="275">
        <v>35759671</v>
      </c>
      <c r="I91" s="275">
        <v>52395036</v>
      </c>
      <c r="J91" s="275">
        <v>25540869</v>
      </c>
      <c r="K91" s="275">
        <v>32417184</v>
      </c>
      <c r="L91" s="275">
        <v>41809123</v>
      </c>
      <c r="M91" s="275">
        <v>74353196</v>
      </c>
      <c r="N91" s="275">
        <v>40247534</v>
      </c>
      <c r="O91" s="275">
        <v>40537726</v>
      </c>
      <c r="P91" s="275">
        <v>47833814</v>
      </c>
      <c r="Q91" s="275">
        <v>70419241</v>
      </c>
      <c r="R91" s="275">
        <v>36305948</v>
      </c>
      <c r="S91" s="275">
        <v>31239895</v>
      </c>
      <c r="T91" s="275">
        <v>42843395</v>
      </c>
      <c r="U91" s="275">
        <v>87560507</v>
      </c>
      <c r="V91" s="275">
        <v>36438256</v>
      </c>
      <c r="W91" s="275">
        <v>25651597</v>
      </c>
      <c r="X91" s="275">
        <v>25146772</v>
      </c>
    </row>
    <row r="92" spans="1:25" ht="14.25" thickBot="1" x14ac:dyDescent="0.3">
      <c r="A92" s="251" t="s">
        <v>7</v>
      </c>
      <c r="B92" s="273">
        <v>14114680</v>
      </c>
      <c r="C92" s="273">
        <v>11394715</v>
      </c>
      <c r="D92" s="273">
        <v>29827139</v>
      </c>
      <c r="E92" s="273">
        <v>36450607</v>
      </c>
      <c r="F92" s="273">
        <v>16350324</v>
      </c>
      <c r="G92" s="273">
        <v>16930385</v>
      </c>
      <c r="H92" s="273">
        <v>30721326</v>
      </c>
      <c r="I92" s="273">
        <v>43343841</v>
      </c>
      <c r="J92" s="273">
        <v>19829790</v>
      </c>
      <c r="K92" s="273">
        <v>20625501</v>
      </c>
      <c r="L92" s="273">
        <v>34624630</v>
      </c>
      <c r="M92" s="273">
        <v>57401901</v>
      </c>
      <c r="N92" s="273">
        <v>31259557</v>
      </c>
      <c r="O92" s="273">
        <v>26393678</v>
      </c>
      <c r="P92" s="273">
        <v>38858067</v>
      </c>
      <c r="Q92" s="273">
        <v>53690114</v>
      </c>
      <c r="R92" s="273">
        <v>27548860</v>
      </c>
      <c r="S92" s="273">
        <v>18075096</v>
      </c>
      <c r="T92" s="273">
        <v>35260821</v>
      </c>
      <c r="U92" s="273">
        <v>70472387</v>
      </c>
      <c r="V92" s="273">
        <v>29207446</v>
      </c>
      <c r="W92" s="273">
        <v>14918776</v>
      </c>
      <c r="X92" s="273">
        <v>19665150</v>
      </c>
    </row>
    <row r="93" spans="1:25" ht="26.25" thickBot="1" x14ac:dyDescent="0.3">
      <c r="A93" s="252" t="s">
        <v>8</v>
      </c>
      <c r="B93" s="276">
        <v>14923869</v>
      </c>
      <c r="C93" s="276">
        <v>12609624</v>
      </c>
      <c r="D93" s="276">
        <v>30256126</v>
      </c>
      <c r="E93" s="276">
        <v>36972758</v>
      </c>
      <c r="F93" s="276">
        <v>16352513</v>
      </c>
      <c r="G93" s="276">
        <v>16977649</v>
      </c>
      <c r="H93" s="276">
        <v>30753428</v>
      </c>
      <c r="I93" s="276">
        <v>42613567</v>
      </c>
      <c r="J93" s="276">
        <v>19542763</v>
      </c>
      <c r="K93" s="276">
        <v>20186135</v>
      </c>
      <c r="L93" s="276">
        <v>34089122</v>
      </c>
      <c r="M93" s="276">
        <v>56716709</v>
      </c>
      <c r="N93" s="276">
        <v>30385267</v>
      </c>
      <c r="O93" s="276">
        <v>25689564</v>
      </c>
      <c r="P93" s="276">
        <v>37858448</v>
      </c>
      <c r="Q93" s="276">
        <v>52933698</v>
      </c>
      <c r="R93" s="276">
        <v>27576758</v>
      </c>
      <c r="S93" s="276">
        <v>17684751</v>
      </c>
      <c r="T93" s="276">
        <v>34635381</v>
      </c>
      <c r="U93" s="276">
        <v>68766093</v>
      </c>
      <c r="V93" s="276">
        <v>28167531</v>
      </c>
      <c r="W93" s="276">
        <v>17879442</v>
      </c>
      <c r="X93" s="276">
        <v>21028838</v>
      </c>
    </row>
    <row r="94" spans="1:25" x14ac:dyDescent="0.25">
      <c r="A94" s="233" t="s">
        <v>365</v>
      </c>
      <c r="B94" s="253">
        <f>IF(B91="","",B91-B90)</f>
        <v>4155358</v>
      </c>
      <c r="C94" s="253">
        <f>IF(C91="","",C91-C90)</f>
        <v>-4373290</v>
      </c>
      <c r="D94" s="253">
        <f t="shared" ref="D94:Y94" si="9">IF(D91="","",D91-D90)</f>
        <v>4473216</v>
      </c>
      <c r="E94" s="253">
        <f t="shared" si="9"/>
        <v>5673326</v>
      </c>
      <c r="F94" s="253">
        <f t="shared" si="9"/>
        <v>8690182</v>
      </c>
      <c r="G94" s="253">
        <f t="shared" si="9"/>
        <v>6940985</v>
      </c>
      <c r="H94" s="253">
        <f t="shared" si="9"/>
        <v>3913184</v>
      </c>
      <c r="I94" s="253">
        <f t="shared" si="9"/>
        <v>7436950</v>
      </c>
      <c r="J94" s="253">
        <f t="shared" si="9"/>
        <v>4635150</v>
      </c>
      <c r="K94" s="253">
        <f t="shared" si="9"/>
        <v>4485414</v>
      </c>
      <c r="L94" s="253">
        <f t="shared" si="9"/>
        <v>10436566</v>
      </c>
      <c r="M94" s="253">
        <f t="shared" si="9"/>
        <v>11371831</v>
      </c>
      <c r="N94" s="253">
        <f t="shared" si="9"/>
        <v>1644931</v>
      </c>
      <c r="O94" s="253">
        <f t="shared" si="9"/>
        <v>7426809</v>
      </c>
      <c r="P94" s="253">
        <f t="shared" si="9"/>
        <v>9668171</v>
      </c>
      <c r="Q94" s="253">
        <f t="shared" si="9"/>
        <v>16029833</v>
      </c>
      <c r="R94" s="253">
        <f t="shared" si="9"/>
        <v>981284</v>
      </c>
      <c r="S94" s="253">
        <f t="shared" si="9"/>
        <v>10418105</v>
      </c>
      <c r="T94" s="253">
        <f t="shared" si="9"/>
        <v>736002</v>
      </c>
      <c r="U94" s="253">
        <f t="shared" si="9"/>
        <v>10874853</v>
      </c>
      <c r="V94" s="253">
        <f t="shared" si="9"/>
        <v>-51470</v>
      </c>
      <c r="W94" s="253">
        <f t="shared" si="9"/>
        <v>700203</v>
      </c>
      <c r="X94" s="253">
        <f t="shared" si="9"/>
        <v>6430828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3905395322</v>
      </c>
      <c r="C97" s="273">
        <v>3952317540</v>
      </c>
      <c r="D97" s="273">
        <v>4213172321</v>
      </c>
      <c r="E97" s="273">
        <v>4482145967</v>
      </c>
      <c r="F97" s="273">
        <v>4358733357</v>
      </c>
    </row>
    <row r="98" spans="1:24" ht="14.25" thickBot="1" x14ac:dyDescent="0.3">
      <c r="A98" s="225" t="s">
        <v>4</v>
      </c>
      <c r="B98" s="275">
        <v>329629037</v>
      </c>
      <c r="C98" s="275">
        <v>254694501</v>
      </c>
      <c r="D98" s="275">
        <v>291943856</v>
      </c>
      <c r="E98" s="275">
        <v>320591969</v>
      </c>
      <c r="F98" s="275">
        <v>321584980</v>
      </c>
    </row>
    <row r="99" spans="1:24" ht="14.25" thickBot="1" x14ac:dyDescent="0.3">
      <c r="A99" s="224" t="s">
        <v>5</v>
      </c>
      <c r="B99" s="273">
        <v>108450481</v>
      </c>
      <c r="C99" s="273">
        <v>109314396</v>
      </c>
      <c r="D99" s="273">
        <v>143191411</v>
      </c>
      <c r="E99" s="273">
        <v>164268571</v>
      </c>
      <c r="F99" s="273">
        <v>174939501</v>
      </c>
    </row>
    <row r="100" spans="1:24" ht="14.25" thickBot="1" x14ac:dyDescent="0.3">
      <c r="A100" s="225" t="s">
        <v>6</v>
      </c>
      <c r="B100" s="275">
        <v>118379091</v>
      </c>
      <c r="C100" s="275">
        <v>136295697</v>
      </c>
      <c r="D100" s="275">
        <v>174120372</v>
      </c>
      <c r="E100" s="275">
        <v>199038315</v>
      </c>
      <c r="F100" s="275">
        <v>197949745</v>
      </c>
    </row>
    <row r="101" spans="1:24" ht="14.25" thickBot="1" x14ac:dyDescent="0.3">
      <c r="A101" s="224" t="s">
        <v>7</v>
      </c>
      <c r="B101" s="273">
        <v>91787141</v>
      </c>
      <c r="C101" s="273">
        <v>107345876</v>
      </c>
      <c r="D101" s="273">
        <v>132481822</v>
      </c>
      <c r="E101" s="273">
        <v>150201416</v>
      </c>
      <c r="F101" s="273">
        <v>151357164</v>
      </c>
    </row>
    <row r="102" spans="1:24" ht="14.25" thickBot="1" x14ac:dyDescent="0.3">
      <c r="A102" s="227" t="s">
        <v>8</v>
      </c>
      <c r="B102" s="276">
        <v>94762377</v>
      </c>
      <c r="C102" s="276">
        <v>106697157</v>
      </c>
      <c r="D102" s="276">
        <v>130534729</v>
      </c>
      <c r="E102" s="276">
        <v>146866977</v>
      </c>
      <c r="F102" s="276">
        <v>148662983</v>
      </c>
    </row>
    <row r="103" spans="1:24" x14ac:dyDescent="0.25">
      <c r="A103" s="233" t="s">
        <v>262</v>
      </c>
      <c r="B103" s="234">
        <f>IF(OR(B102="",B102="無"),"",B102/B101)</f>
        <v>1.0324145187178235</v>
      </c>
      <c r="C103" s="234">
        <f>IF(OR(C102="",C102="無"),"",C102/C101)</f>
        <v>0.99395674035954584</v>
      </c>
      <c r="D103" s="234">
        <f>IF(OR(D102="",D102="無"),"",D102/D101)</f>
        <v>0.98530294216515224</v>
      </c>
      <c r="E103" s="234">
        <f>IF(OR(E102="",E102="無"),"",E102/E101)</f>
        <v>0.9778002159447019</v>
      </c>
      <c r="F103" s="234">
        <f>IF(OR(F102="",F102="無"),"",F102/F101)</f>
        <v>0.98219984486495793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422699200</v>
      </c>
      <c r="C106" s="273">
        <v>637339044</v>
      </c>
      <c r="D106" s="273">
        <v>565131191</v>
      </c>
      <c r="E106" s="273">
        <v>505526956</v>
      </c>
      <c r="F106" s="273">
        <v>678906605</v>
      </c>
      <c r="G106" s="273">
        <v>602490947</v>
      </c>
      <c r="H106" s="273">
        <v>633483056</v>
      </c>
      <c r="I106" s="273">
        <v>694027045</v>
      </c>
      <c r="J106" s="273">
        <v>755095946</v>
      </c>
      <c r="K106" s="273">
        <v>567985516</v>
      </c>
      <c r="L106" s="273">
        <v>543460007</v>
      </c>
      <c r="M106" s="273">
        <v>679037301</v>
      </c>
      <c r="N106" s="273">
        <v>719156613</v>
      </c>
      <c r="O106" s="273">
        <v>614522028</v>
      </c>
      <c r="P106" s="273">
        <v>647246764</v>
      </c>
      <c r="Q106" s="273">
        <v>657137721</v>
      </c>
      <c r="R106" s="273">
        <v>640784019</v>
      </c>
      <c r="S106" s="273">
        <v>629265253</v>
      </c>
      <c r="T106" s="273">
        <v>653097371</v>
      </c>
      <c r="U106" s="273">
        <v>633155301</v>
      </c>
      <c r="V106" s="273">
        <v>534950315</v>
      </c>
      <c r="W106" s="273">
        <v>595905894</v>
      </c>
      <c r="X106" s="273">
        <v>613157572</v>
      </c>
    </row>
    <row r="107" spans="1:24" ht="14.25" thickBot="1" x14ac:dyDescent="0.3">
      <c r="A107" s="225" t="s">
        <v>22</v>
      </c>
      <c r="B107" s="275">
        <v>2322551</v>
      </c>
      <c r="C107" s="275">
        <v>811778</v>
      </c>
      <c r="D107" s="275">
        <v>802473</v>
      </c>
      <c r="E107" s="275">
        <v>917630</v>
      </c>
      <c r="F107" s="275">
        <v>996540</v>
      </c>
      <c r="G107" s="275">
        <v>1265215</v>
      </c>
      <c r="H107" s="275">
        <v>1379727</v>
      </c>
      <c r="I107" s="275">
        <v>2285283</v>
      </c>
      <c r="J107" s="275">
        <v>9905802</v>
      </c>
      <c r="K107" s="275">
        <v>57516043</v>
      </c>
      <c r="L107" s="275">
        <v>7658760</v>
      </c>
      <c r="M107" s="275">
        <v>4473959</v>
      </c>
      <c r="N107" s="275">
        <v>2769117</v>
      </c>
      <c r="O107" s="275">
        <v>2480392</v>
      </c>
      <c r="P107" s="275">
        <v>21990179</v>
      </c>
      <c r="Q107" s="275">
        <v>6742421</v>
      </c>
      <c r="R107" s="275">
        <v>2928091</v>
      </c>
      <c r="S107" s="275">
        <v>1333557</v>
      </c>
      <c r="T107" s="275">
        <v>1150444</v>
      </c>
      <c r="U107" s="275">
        <v>14114697</v>
      </c>
      <c r="V107" s="275">
        <v>6539125</v>
      </c>
      <c r="W107" s="275">
        <v>9386104</v>
      </c>
      <c r="X107" s="275">
        <v>6358294</v>
      </c>
    </row>
    <row r="108" spans="1:24" ht="14.25" thickBot="1" x14ac:dyDescent="0.3">
      <c r="A108" s="224" t="s">
        <v>263</v>
      </c>
      <c r="B108" s="273">
        <v>450394493</v>
      </c>
      <c r="C108" s="273">
        <v>428000209</v>
      </c>
      <c r="D108" s="273">
        <v>452099294</v>
      </c>
      <c r="E108" s="273">
        <v>633048641</v>
      </c>
      <c r="F108" s="273">
        <v>382455612</v>
      </c>
      <c r="G108" s="273">
        <v>452702265</v>
      </c>
      <c r="H108" s="273">
        <v>468557324</v>
      </c>
      <c r="I108" s="273">
        <v>747709800</v>
      </c>
      <c r="J108" s="273">
        <v>423145280</v>
      </c>
      <c r="K108" s="273">
        <v>454502554</v>
      </c>
      <c r="L108" s="273">
        <v>525550607</v>
      </c>
      <c r="M108" s="273">
        <v>772380781</v>
      </c>
      <c r="N108" s="273">
        <v>468834637</v>
      </c>
      <c r="O108" s="273">
        <v>437997778</v>
      </c>
      <c r="P108" s="273">
        <v>567637699</v>
      </c>
      <c r="Q108" s="273">
        <v>590908590</v>
      </c>
      <c r="R108" s="273">
        <v>425413957</v>
      </c>
      <c r="S108" s="273">
        <v>435951950</v>
      </c>
      <c r="T108" s="273">
        <v>531650286</v>
      </c>
      <c r="U108" s="273">
        <v>731057875</v>
      </c>
      <c r="V108" s="273">
        <v>503886611</v>
      </c>
      <c r="W108" s="273">
        <v>554354535</v>
      </c>
      <c r="X108" s="273">
        <v>692415711</v>
      </c>
    </row>
    <row r="109" spans="1:24" ht="14.25" thickBot="1" x14ac:dyDescent="0.3">
      <c r="A109" s="225" t="s">
        <v>264</v>
      </c>
      <c r="B109" s="275">
        <v>357507709</v>
      </c>
      <c r="C109" s="275">
        <v>309969848</v>
      </c>
      <c r="D109" s="275">
        <v>394431997</v>
      </c>
      <c r="E109" s="275">
        <v>349882643</v>
      </c>
      <c r="F109" s="275">
        <v>364369464</v>
      </c>
      <c r="G109" s="275">
        <v>325423059</v>
      </c>
      <c r="H109" s="275">
        <v>365293008</v>
      </c>
      <c r="I109" s="275">
        <v>312785092</v>
      </c>
      <c r="J109" s="275">
        <v>306481676</v>
      </c>
      <c r="K109" s="275">
        <v>331259509</v>
      </c>
      <c r="L109" s="275">
        <v>447960680</v>
      </c>
      <c r="M109" s="275">
        <v>369196813</v>
      </c>
      <c r="N109" s="275">
        <v>379221700</v>
      </c>
      <c r="O109" s="275">
        <v>453710737</v>
      </c>
      <c r="P109" s="275">
        <v>496268260</v>
      </c>
      <c r="Q109" s="275">
        <v>424625017</v>
      </c>
      <c r="R109" s="275">
        <v>393413461</v>
      </c>
      <c r="S109" s="275">
        <v>370696608</v>
      </c>
      <c r="T109" s="275">
        <v>419566810</v>
      </c>
      <c r="U109" s="275">
        <v>387274061</v>
      </c>
      <c r="V109" s="275">
        <v>351053527</v>
      </c>
      <c r="W109" s="275">
        <v>375334239</v>
      </c>
      <c r="X109" s="275">
        <v>519472559</v>
      </c>
    </row>
    <row r="110" spans="1:24" ht="14.25" thickBot="1" x14ac:dyDescent="0.3">
      <c r="A110" s="224" t="s">
        <v>23</v>
      </c>
      <c r="B110" s="273">
        <v>214413668</v>
      </c>
      <c r="C110" s="273">
        <v>102768115</v>
      </c>
      <c r="D110" s="273">
        <v>55310730</v>
      </c>
      <c r="E110" s="273">
        <v>53581572</v>
      </c>
      <c r="F110" s="273">
        <v>79664608</v>
      </c>
      <c r="G110" s="273">
        <v>59061368</v>
      </c>
      <c r="H110" s="273">
        <v>53276158</v>
      </c>
      <c r="I110" s="273">
        <v>51774268</v>
      </c>
      <c r="J110" s="273">
        <v>61825764</v>
      </c>
      <c r="K110" s="273">
        <v>72646233</v>
      </c>
      <c r="L110" s="273">
        <v>150800710</v>
      </c>
      <c r="M110" s="273">
        <v>107332501</v>
      </c>
      <c r="N110" s="273">
        <v>96924070</v>
      </c>
      <c r="O110" s="273">
        <v>275371086</v>
      </c>
      <c r="P110" s="273">
        <v>111647943</v>
      </c>
      <c r="Q110" s="273">
        <v>108805224</v>
      </c>
      <c r="R110" s="273">
        <v>126451466</v>
      </c>
      <c r="S110" s="273">
        <v>196588492</v>
      </c>
      <c r="T110" s="273">
        <v>167519286</v>
      </c>
      <c r="U110" s="273">
        <v>165599445</v>
      </c>
      <c r="V110" s="273">
        <v>207141644</v>
      </c>
      <c r="W110" s="273">
        <v>199532159</v>
      </c>
      <c r="X110" s="273">
        <v>214124892</v>
      </c>
    </row>
    <row r="111" spans="1:24" ht="14.25" thickBot="1" x14ac:dyDescent="0.3">
      <c r="A111" s="225" t="s">
        <v>24</v>
      </c>
      <c r="B111" s="275">
        <v>1447337621</v>
      </c>
      <c r="C111" s="275">
        <v>1478888994</v>
      </c>
      <c r="D111" s="275">
        <v>1467775685</v>
      </c>
      <c r="E111" s="275">
        <v>1542957442</v>
      </c>
      <c r="F111" s="275">
        <v>1506392829</v>
      </c>
      <c r="G111" s="275">
        <v>1440942854</v>
      </c>
      <c r="H111" s="275">
        <v>1521989273</v>
      </c>
      <c r="I111" s="275">
        <v>1808581488</v>
      </c>
      <c r="J111" s="275">
        <v>1556454468</v>
      </c>
      <c r="K111" s="275">
        <v>1483909855</v>
      </c>
      <c r="L111" s="275">
        <v>1675430764</v>
      </c>
      <c r="M111" s="275">
        <v>1932421355</v>
      </c>
      <c r="N111" s="275">
        <v>1666906137</v>
      </c>
      <c r="O111" s="275">
        <v>1784082021</v>
      </c>
      <c r="P111" s="275">
        <v>1844790845</v>
      </c>
      <c r="Q111" s="275">
        <v>1788218973</v>
      </c>
      <c r="R111" s="275">
        <v>1588990994</v>
      </c>
      <c r="S111" s="275">
        <v>1633835860</v>
      </c>
      <c r="T111" s="275">
        <v>1772984197</v>
      </c>
      <c r="U111" s="275">
        <v>1931201379</v>
      </c>
      <c r="V111" s="275">
        <v>1603571222</v>
      </c>
      <c r="W111" s="275">
        <v>1734512931</v>
      </c>
      <c r="X111" s="275">
        <v>2045529028</v>
      </c>
    </row>
    <row r="112" spans="1:24" ht="14.25" thickBot="1" x14ac:dyDescent="0.3">
      <c r="A112" s="224" t="s">
        <v>25</v>
      </c>
      <c r="B112" s="273">
        <v>49878992</v>
      </c>
      <c r="C112" s="273">
        <v>53417621</v>
      </c>
      <c r="D112" s="273">
        <v>52411689</v>
      </c>
      <c r="E112" s="273">
        <v>61594922</v>
      </c>
      <c r="F112" s="273">
        <v>65927793</v>
      </c>
      <c r="G112" s="273">
        <v>66457551</v>
      </c>
      <c r="H112" s="273">
        <v>66583472</v>
      </c>
      <c r="I112" s="273">
        <v>68981059</v>
      </c>
      <c r="J112" s="273">
        <v>71630990</v>
      </c>
      <c r="K112" s="273">
        <v>94043231</v>
      </c>
      <c r="L112" s="273">
        <v>129880861</v>
      </c>
      <c r="M112" s="273">
        <v>121997398</v>
      </c>
      <c r="N112" s="273">
        <v>123568289</v>
      </c>
      <c r="O112" s="273">
        <v>127330714</v>
      </c>
      <c r="P112" s="273">
        <v>127870577</v>
      </c>
      <c r="Q112" s="273">
        <v>135427220</v>
      </c>
      <c r="R112" s="273">
        <v>134730767</v>
      </c>
      <c r="S112" s="273">
        <v>130039895</v>
      </c>
      <c r="T112" s="273">
        <v>245407495</v>
      </c>
      <c r="U112" s="273">
        <v>293488701</v>
      </c>
      <c r="V112" s="273">
        <v>378906692</v>
      </c>
      <c r="W112" s="273">
        <v>368457989</v>
      </c>
      <c r="X112" s="273">
        <v>359124601</v>
      </c>
    </row>
    <row r="113" spans="1:24" ht="14.25" thickBot="1" x14ac:dyDescent="0.3">
      <c r="A113" s="225" t="s">
        <v>26</v>
      </c>
      <c r="B113" s="275">
        <v>343705596</v>
      </c>
      <c r="C113" s="275">
        <v>344839864</v>
      </c>
      <c r="D113" s="275">
        <v>366359656</v>
      </c>
      <c r="E113" s="275">
        <v>390298219</v>
      </c>
      <c r="F113" s="275">
        <v>408053543</v>
      </c>
      <c r="G113" s="275">
        <v>399687780</v>
      </c>
      <c r="H113" s="275">
        <v>384658914</v>
      </c>
      <c r="I113" s="275">
        <v>379561941</v>
      </c>
      <c r="J113" s="275">
        <v>363411267</v>
      </c>
      <c r="K113" s="275">
        <v>344836040</v>
      </c>
      <c r="L113" s="275">
        <v>347190993</v>
      </c>
      <c r="M113" s="275">
        <v>358868558</v>
      </c>
      <c r="N113" s="275">
        <v>341208380</v>
      </c>
      <c r="O113" s="275">
        <v>328559655</v>
      </c>
      <c r="P113" s="275">
        <v>328890569</v>
      </c>
      <c r="Q113" s="275">
        <v>336738466</v>
      </c>
      <c r="R113" s="275">
        <v>326574458</v>
      </c>
      <c r="S113" s="275">
        <v>317172144</v>
      </c>
      <c r="T113" s="275">
        <v>306954132</v>
      </c>
      <c r="U113" s="275">
        <v>309202470</v>
      </c>
      <c r="V113" s="275">
        <v>290076851</v>
      </c>
      <c r="W113" s="275">
        <v>294006017</v>
      </c>
      <c r="X113" s="275">
        <v>297492912</v>
      </c>
    </row>
    <row r="114" spans="1:24" ht="14.25" thickBot="1" x14ac:dyDescent="0.3">
      <c r="A114" s="224" t="s">
        <v>27</v>
      </c>
      <c r="B114" s="273">
        <v>36860829</v>
      </c>
      <c r="C114" s="273">
        <v>39331913</v>
      </c>
      <c r="D114" s="273">
        <v>42404953</v>
      </c>
      <c r="E114" s="273">
        <v>49552934</v>
      </c>
      <c r="F114" s="273">
        <v>44959615</v>
      </c>
      <c r="G114" s="273">
        <v>44277234</v>
      </c>
      <c r="H114" s="273">
        <v>43204568</v>
      </c>
      <c r="I114" s="273">
        <v>55336715</v>
      </c>
      <c r="J114" s="273">
        <v>58413227</v>
      </c>
      <c r="K114" s="273">
        <v>46197123</v>
      </c>
      <c r="L114" s="273">
        <v>48897475</v>
      </c>
      <c r="M114" s="273">
        <v>49427438</v>
      </c>
      <c r="N114" s="273">
        <v>49306373</v>
      </c>
      <c r="O114" s="273">
        <v>51095734</v>
      </c>
      <c r="P114" s="273">
        <v>68252893</v>
      </c>
      <c r="Q114" s="273">
        <v>47915218</v>
      </c>
      <c r="R114" s="273">
        <v>78454425</v>
      </c>
      <c r="S114" s="273">
        <v>77332897</v>
      </c>
      <c r="T114" s="273">
        <v>53702996</v>
      </c>
      <c r="U114" s="273">
        <v>58150390</v>
      </c>
      <c r="V114" s="273">
        <v>59787358</v>
      </c>
      <c r="W114" s="273">
        <v>60600859</v>
      </c>
      <c r="X114" s="273">
        <v>60508095</v>
      </c>
    </row>
    <row r="115" spans="1:24" ht="14.25" thickBot="1" x14ac:dyDescent="0.3">
      <c r="A115" s="225" t="s">
        <v>265</v>
      </c>
      <c r="B115" s="276">
        <v>1877783038</v>
      </c>
      <c r="C115" s="276">
        <v>1916478392</v>
      </c>
      <c r="D115" s="276">
        <v>1928951983</v>
      </c>
      <c r="E115" s="276">
        <v>2044403517</v>
      </c>
      <c r="F115" s="276">
        <v>2025333780</v>
      </c>
      <c r="G115" s="276">
        <v>1951365419</v>
      </c>
      <c r="H115" s="276">
        <v>2016436227</v>
      </c>
      <c r="I115" s="276">
        <v>2312461203</v>
      </c>
      <c r="J115" s="276">
        <v>2049909952</v>
      </c>
      <c r="K115" s="276">
        <v>1968986249</v>
      </c>
      <c r="L115" s="276">
        <v>2201400093</v>
      </c>
      <c r="M115" s="276">
        <v>2462714749</v>
      </c>
      <c r="N115" s="276">
        <v>2180989179</v>
      </c>
      <c r="O115" s="276">
        <v>2291068124</v>
      </c>
      <c r="P115" s="276">
        <v>2369804884</v>
      </c>
      <c r="Q115" s="276">
        <v>2308299877</v>
      </c>
      <c r="R115" s="276">
        <v>2128750644</v>
      </c>
      <c r="S115" s="276">
        <v>2158380796</v>
      </c>
      <c r="T115" s="276">
        <v>2379048820</v>
      </c>
      <c r="U115" s="276">
        <v>2592042940</v>
      </c>
      <c r="V115" s="276">
        <v>2332342123</v>
      </c>
      <c r="W115" s="276">
        <v>2457577796</v>
      </c>
      <c r="X115" s="276">
        <v>2762654636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479746304</v>
      </c>
      <c r="C118" s="273">
        <v>473585750</v>
      </c>
      <c r="D118" s="273">
        <v>370599719</v>
      </c>
      <c r="E118" s="273">
        <v>297572165</v>
      </c>
      <c r="F118" s="273">
        <v>436908076</v>
      </c>
      <c r="G118" s="273">
        <v>357221512</v>
      </c>
      <c r="H118" s="273">
        <v>330386817</v>
      </c>
      <c r="I118" s="273">
        <v>366233601</v>
      </c>
      <c r="J118" s="273">
        <v>319740473</v>
      </c>
      <c r="K118" s="273">
        <v>210288937</v>
      </c>
      <c r="L118" s="273">
        <v>209637029</v>
      </c>
      <c r="M118" s="273">
        <v>226500507</v>
      </c>
      <c r="N118" s="273">
        <v>174998976</v>
      </c>
      <c r="O118" s="273">
        <v>204559642</v>
      </c>
      <c r="P118" s="273">
        <v>84181823</v>
      </c>
      <c r="Q118" s="273">
        <v>70233209</v>
      </c>
      <c r="R118" s="273">
        <v>78832251</v>
      </c>
      <c r="S118" s="273">
        <v>83644765</v>
      </c>
      <c r="T118" s="273">
        <v>77184400</v>
      </c>
      <c r="U118" s="273">
        <v>171472143</v>
      </c>
      <c r="V118" s="273">
        <v>121126122</v>
      </c>
      <c r="W118" s="273">
        <v>165275140</v>
      </c>
      <c r="X118" s="273">
        <v>304622456</v>
      </c>
    </row>
    <row r="119" spans="1:24" ht="14.25" thickBot="1" x14ac:dyDescent="0.3">
      <c r="A119" s="225" t="s">
        <v>29</v>
      </c>
      <c r="B119" s="275">
        <v>7989206</v>
      </c>
      <c r="C119" s="275">
        <v>5494490</v>
      </c>
      <c r="D119" s="275">
        <v>7989206</v>
      </c>
      <c r="E119" s="275">
        <v>7991597</v>
      </c>
      <c r="F119" s="275">
        <v>11986891</v>
      </c>
      <c r="G119" s="275">
        <v>5593757</v>
      </c>
      <c r="H119" s="275">
        <v>12977502</v>
      </c>
      <c r="I119" s="275">
        <v>19982517</v>
      </c>
      <c r="J119" s="275">
        <v>11986280</v>
      </c>
      <c r="K119" s="275">
        <v>2996634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5">
        <v>7000000</v>
      </c>
      <c r="R119" s="275">
        <v>13979375</v>
      </c>
      <c r="S119" s="275">
        <v>27673850</v>
      </c>
      <c r="T119" s="275">
        <v>29576132</v>
      </c>
      <c r="U119" s="275">
        <v>15990844</v>
      </c>
      <c r="V119" s="275">
        <v>4198604</v>
      </c>
      <c r="W119" s="275">
        <v>1200000</v>
      </c>
      <c r="X119" s="275">
        <v>9767222</v>
      </c>
    </row>
    <row r="120" spans="1:24" ht="14.25" thickBot="1" x14ac:dyDescent="0.3">
      <c r="A120" s="224" t="s">
        <v>266</v>
      </c>
      <c r="B120" s="273">
        <v>478399741</v>
      </c>
      <c r="C120" s="273">
        <v>499851659</v>
      </c>
      <c r="D120" s="273">
        <v>558789462</v>
      </c>
      <c r="E120" s="273">
        <v>638370641</v>
      </c>
      <c r="F120" s="273">
        <v>434699559</v>
      </c>
      <c r="G120" s="273">
        <v>478119727</v>
      </c>
      <c r="H120" s="273">
        <v>526676997</v>
      </c>
      <c r="I120" s="273">
        <v>712704148</v>
      </c>
      <c r="J120" s="273">
        <v>493956836</v>
      </c>
      <c r="K120" s="273">
        <v>486413763</v>
      </c>
      <c r="L120" s="273">
        <v>642469158</v>
      </c>
      <c r="M120" s="273">
        <v>735329860</v>
      </c>
      <c r="N120" s="273">
        <v>541219505</v>
      </c>
      <c r="O120" s="273">
        <v>593472886</v>
      </c>
      <c r="P120" s="273">
        <v>708290582</v>
      </c>
      <c r="Q120" s="273">
        <v>644057776</v>
      </c>
      <c r="R120" s="273">
        <v>481339051</v>
      </c>
      <c r="S120" s="273">
        <v>487240944</v>
      </c>
      <c r="T120" s="273">
        <v>632380465</v>
      </c>
      <c r="U120" s="273">
        <v>709663186</v>
      </c>
      <c r="V120" s="273">
        <v>491249255</v>
      </c>
      <c r="W120" s="273">
        <v>563005612</v>
      </c>
      <c r="X120" s="273">
        <v>750853577</v>
      </c>
    </row>
    <row r="121" spans="1:24" ht="14.25" thickBot="1" x14ac:dyDescent="0.3">
      <c r="A121" s="225" t="s">
        <v>267</v>
      </c>
      <c r="B121" s="275">
        <v>4245509</v>
      </c>
      <c r="C121" s="275">
        <v>5686135</v>
      </c>
      <c r="D121" s="275">
        <v>23242407</v>
      </c>
      <c r="E121" s="275">
        <v>27681170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3000000</v>
      </c>
      <c r="C122" s="273">
        <v>3000000</v>
      </c>
      <c r="D122" s="273">
        <v>18459000</v>
      </c>
      <c r="E122" s="273">
        <v>50226736</v>
      </c>
      <c r="F122" s="273">
        <v>64489389</v>
      </c>
      <c r="G122" s="273">
        <v>64223227</v>
      </c>
      <c r="H122" s="273">
        <v>40737024</v>
      </c>
      <c r="I122" s="273">
        <v>14225888</v>
      </c>
      <c r="J122" s="273">
        <v>18093472</v>
      </c>
      <c r="K122" s="273">
        <v>18058865</v>
      </c>
      <c r="L122" s="273">
        <v>26997161</v>
      </c>
      <c r="M122" s="273">
        <v>28273239</v>
      </c>
      <c r="N122" s="273">
        <v>31151821</v>
      </c>
      <c r="O122" s="273">
        <v>33702373</v>
      </c>
      <c r="P122" s="273">
        <v>42827920</v>
      </c>
      <c r="Q122" s="273">
        <v>45670130</v>
      </c>
      <c r="R122" s="273">
        <v>45195885</v>
      </c>
      <c r="S122" s="273">
        <v>55717873</v>
      </c>
      <c r="T122" s="273">
        <v>46778800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159445782</v>
      </c>
      <c r="C123" s="275">
        <v>170039584</v>
      </c>
      <c r="D123" s="275">
        <v>185266176</v>
      </c>
      <c r="E123" s="275">
        <v>228181998</v>
      </c>
      <c r="F123" s="275">
        <v>241538378</v>
      </c>
      <c r="G123" s="275">
        <v>197585462</v>
      </c>
      <c r="H123" s="275">
        <v>212558656</v>
      </c>
      <c r="I123" s="275">
        <v>245814617</v>
      </c>
      <c r="J123" s="275">
        <v>226608509</v>
      </c>
      <c r="K123" s="275">
        <v>253383581</v>
      </c>
      <c r="L123" s="275">
        <v>243519342</v>
      </c>
      <c r="M123" s="275">
        <v>312498191</v>
      </c>
      <c r="N123" s="275">
        <v>251509305</v>
      </c>
      <c r="O123" s="275">
        <v>294882118</v>
      </c>
      <c r="P123" s="275">
        <v>318500806</v>
      </c>
      <c r="Q123" s="275">
        <v>289161086</v>
      </c>
      <c r="R123" s="275">
        <v>251351093</v>
      </c>
      <c r="S123" s="275">
        <v>303467756</v>
      </c>
      <c r="T123" s="275">
        <v>330834925</v>
      </c>
      <c r="U123" s="275">
        <v>355519058</v>
      </c>
      <c r="V123" s="275">
        <v>340598329</v>
      </c>
      <c r="W123" s="275">
        <v>404233323</v>
      </c>
      <c r="X123" s="275">
        <v>340197765</v>
      </c>
    </row>
    <row r="124" spans="1:24" ht="14.25" thickBot="1" x14ac:dyDescent="0.3">
      <c r="A124" s="224" t="s">
        <v>268</v>
      </c>
      <c r="B124" s="273">
        <v>1132826542</v>
      </c>
      <c r="C124" s="273">
        <v>1157657618</v>
      </c>
      <c r="D124" s="273">
        <v>1164345970</v>
      </c>
      <c r="E124" s="273">
        <v>1250024307</v>
      </c>
      <c r="F124" s="273">
        <v>1189622293</v>
      </c>
      <c r="G124" s="273">
        <v>1102743685</v>
      </c>
      <c r="H124" s="273">
        <v>1123336996</v>
      </c>
      <c r="I124" s="273">
        <v>1358960771</v>
      </c>
      <c r="J124" s="273">
        <v>1070385570</v>
      </c>
      <c r="K124" s="273">
        <v>971141780</v>
      </c>
      <c r="L124" s="273">
        <v>1122622690</v>
      </c>
      <c r="M124" s="273">
        <v>1302601797</v>
      </c>
      <c r="N124" s="273">
        <v>998879607</v>
      </c>
      <c r="O124" s="273">
        <v>1126617019</v>
      </c>
      <c r="P124" s="273">
        <v>1153801131</v>
      </c>
      <c r="Q124" s="273">
        <v>1056122201</v>
      </c>
      <c r="R124" s="273">
        <v>870697655</v>
      </c>
      <c r="S124" s="273">
        <v>957745188</v>
      </c>
      <c r="T124" s="273">
        <v>1116754722</v>
      </c>
      <c r="U124" s="273">
        <v>1252645231</v>
      </c>
      <c r="V124" s="273">
        <v>957172310</v>
      </c>
      <c r="W124" s="273">
        <v>1133714075</v>
      </c>
      <c r="X124" s="273">
        <v>1405441020</v>
      </c>
    </row>
    <row r="125" spans="1:24" ht="14.25" thickBot="1" x14ac:dyDescent="0.3">
      <c r="A125" s="225" t="s">
        <v>32</v>
      </c>
      <c r="B125" s="275">
        <v>118989148</v>
      </c>
      <c r="C125" s="275">
        <v>130831781</v>
      </c>
      <c r="D125" s="275">
        <v>118007277</v>
      </c>
      <c r="E125" s="275">
        <v>105688418</v>
      </c>
      <c r="F125" s="275">
        <v>119674734</v>
      </c>
      <c r="G125" s="275">
        <v>119562026</v>
      </c>
      <c r="H125" s="275">
        <v>140349493</v>
      </c>
      <c r="I125" s="275">
        <v>147575830</v>
      </c>
      <c r="J125" s="275">
        <v>147424157</v>
      </c>
      <c r="K125" s="275">
        <v>162134124</v>
      </c>
      <c r="L125" s="275">
        <v>170285728</v>
      </c>
      <c r="M125" s="275">
        <v>175436150</v>
      </c>
      <c r="N125" s="275">
        <v>180637854</v>
      </c>
      <c r="O125" s="275">
        <v>193835898</v>
      </c>
      <c r="P125" s="275">
        <v>188916270</v>
      </c>
      <c r="Q125" s="275">
        <v>191786597</v>
      </c>
      <c r="R125" s="275">
        <v>178822500</v>
      </c>
      <c r="S125" s="275">
        <v>175567883</v>
      </c>
      <c r="T125" s="275">
        <v>218830187</v>
      </c>
      <c r="U125" s="275">
        <v>205609111</v>
      </c>
      <c r="V125" s="275">
        <v>191664483</v>
      </c>
      <c r="W125" s="275">
        <v>191003873</v>
      </c>
      <c r="X125" s="275">
        <v>200576008</v>
      </c>
    </row>
    <row r="126" spans="1:24" ht="14.25" thickBot="1" x14ac:dyDescent="0.3">
      <c r="A126" s="224" t="s">
        <v>33</v>
      </c>
      <c r="B126" s="273">
        <v>8041718</v>
      </c>
      <c r="C126" s="273">
        <v>7522026</v>
      </c>
      <c r="D126" s="273">
        <v>6311227</v>
      </c>
      <c r="E126" s="273">
        <v>6959639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1259857408</v>
      </c>
      <c r="C127" s="275">
        <v>1296011425</v>
      </c>
      <c r="D127" s="275">
        <v>1288664474</v>
      </c>
      <c r="E127" s="275">
        <v>1362672364</v>
      </c>
      <c r="F127" s="275">
        <v>1309297027</v>
      </c>
      <c r="G127" s="275">
        <v>1222305711</v>
      </c>
      <c r="H127" s="275">
        <v>1263686489</v>
      </c>
      <c r="I127" s="275">
        <v>1506536601</v>
      </c>
      <c r="J127" s="275">
        <v>1217809727</v>
      </c>
      <c r="K127" s="275">
        <v>1133275904</v>
      </c>
      <c r="L127" s="275">
        <v>1292908418</v>
      </c>
      <c r="M127" s="275">
        <v>1478037947</v>
      </c>
      <c r="N127" s="275">
        <v>1179517461</v>
      </c>
      <c r="O127" s="275">
        <v>1320452917</v>
      </c>
      <c r="P127" s="275">
        <v>1342717401</v>
      </c>
      <c r="Q127" s="275">
        <v>1247908798</v>
      </c>
      <c r="R127" s="275">
        <v>1049520155</v>
      </c>
      <c r="S127" s="275">
        <v>1133313071</v>
      </c>
      <c r="T127" s="275">
        <v>1335584909</v>
      </c>
      <c r="U127" s="275">
        <v>1458254342</v>
      </c>
      <c r="V127" s="275">
        <v>1148836793</v>
      </c>
      <c r="W127" s="275">
        <v>1324717948</v>
      </c>
      <c r="X127" s="275">
        <v>1606017028</v>
      </c>
    </row>
    <row r="128" spans="1:24" ht="14.25" thickBot="1" x14ac:dyDescent="0.3">
      <c r="A128" s="224" t="s">
        <v>34</v>
      </c>
      <c r="B128" s="273">
        <v>617925630</v>
      </c>
      <c r="C128" s="273">
        <v>620466967</v>
      </c>
      <c r="D128" s="273">
        <v>640287509</v>
      </c>
      <c r="E128" s="273">
        <v>681731153</v>
      </c>
      <c r="F128" s="273">
        <v>716036753</v>
      </c>
      <c r="G128" s="273">
        <v>729059708</v>
      </c>
      <c r="H128" s="273">
        <v>752749738</v>
      </c>
      <c r="I128" s="273">
        <v>805924602</v>
      </c>
      <c r="J128" s="273">
        <v>832100225</v>
      </c>
      <c r="K128" s="273">
        <v>835710345</v>
      </c>
      <c r="L128" s="273">
        <v>908491675</v>
      </c>
      <c r="M128" s="273">
        <v>984676802</v>
      </c>
      <c r="N128" s="273">
        <v>1001471718</v>
      </c>
      <c r="O128" s="273">
        <v>970615207</v>
      </c>
      <c r="P128" s="273">
        <v>1027087483</v>
      </c>
      <c r="Q128" s="273">
        <v>1060391079</v>
      </c>
      <c r="R128" s="273">
        <v>1079230489</v>
      </c>
      <c r="S128" s="273">
        <v>1025067725</v>
      </c>
      <c r="T128" s="273">
        <v>1043463911</v>
      </c>
      <c r="U128" s="273">
        <v>1133788598</v>
      </c>
      <c r="V128" s="273">
        <v>1183505330</v>
      </c>
      <c r="W128" s="273">
        <v>1132859848</v>
      </c>
      <c r="X128" s="273">
        <v>1156637608</v>
      </c>
    </row>
    <row r="129" spans="1:24" ht="14.25" thickBot="1" x14ac:dyDescent="0.3">
      <c r="A129" s="225" t="s">
        <v>35</v>
      </c>
      <c r="B129" s="276">
        <v>1877783038</v>
      </c>
      <c r="C129" s="276">
        <v>1916478392</v>
      </c>
      <c r="D129" s="276">
        <v>1928951983</v>
      </c>
      <c r="E129" s="276">
        <v>2044403517</v>
      </c>
      <c r="F129" s="276">
        <v>2025333780</v>
      </c>
      <c r="G129" s="276">
        <v>1951365419</v>
      </c>
      <c r="H129" s="276">
        <v>2016436227</v>
      </c>
      <c r="I129" s="276">
        <v>2312461203</v>
      </c>
      <c r="J129" s="276">
        <v>2049909952</v>
      </c>
      <c r="K129" s="276">
        <v>1968986249</v>
      </c>
      <c r="L129" s="276">
        <v>2201400093</v>
      </c>
      <c r="M129" s="276">
        <v>2462714749</v>
      </c>
      <c r="N129" s="276">
        <v>2180989179</v>
      </c>
      <c r="O129" s="276">
        <v>2291068124</v>
      </c>
      <c r="P129" s="276">
        <v>2369804884</v>
      </c>
      <c r="Q129" s="276">
        <v>2308299877</v>
      </c>
      <c r="R129" s="276">
        <v>2128750644</v>
      </c>
      <c r="S129" s="276">
        <v>2158380796</v>
      </c>
      <c r="T129" s="276">
        <v>2379048820</v>
      </c>
      <c r="U129" s="276">
        <v>2592042940</v>
      </c>
      <c r="V129" s="276">
        <v>2332342123</v>
      </c>
      <c r="W129" s="276">
        <v>2457577796</v>
      </c>
      <c r="X129" s="276">
        <v>2762654636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15.22</v>
      </c>
      <c r="C132" s="68">
        <v>13.22</v>
      </c>
      <c r="D132" s="68">
        <v>12.94</v>
      </c>
      <c r="E132" s="68">
        <v>15.56</v>
      </c>
      <c r="F132" s="68">
        <v>10.07</v>
      </c>
    </row>
    <row r="133" spans="1:24" ht="14.25" thickBot="1" x14ac:dyDescent="0.3">
      <c r="A133" s="225" t="s">
        <v>37</v>
      </c>
      <c r="B133" s="274">
        <v>-3.65</v>
      </c>
      <c r="C133" s="274">
        <v>-2.59</v>
      </c>
      <c r="D133" s="274">
        <v>-4.2300000000000004</v>
      </c>
      <c r="E133" s="274">
        <v>-4.22</v>
      </c>
      <c r="F133" s="274">
        <v>-12.27</v>
      </c>
    </row>
    <row r="134" spans="1:24" ht="14.25" thickBot="1" x14ac:dyDescent="0.3">
      <c r="A134" s="224" t="s">
        <v>38</v>
      </c>
      <c r="B134" s="68">
        <v>5.45</v>
      </c>
      <c r="C134" s="68">
        <v>2.42</v>
      </c>
      <c r="D134" s="68">
        <v>-10.74</v>
      </c>
      <c r="E134" s="68">
        <v>-12.28</v>
      </c>
      <c r="F134" s="68">
        <v>3</v>
      </c>
    </row>
    <row r="135" spans="1:24" ht="14.25" thickBot="1" x14ac:dyDescent="0.3">
      <c r="A135" s="225" t="s">
        <v>270</v>
      </c>
      <c r="B135" s="274">
        <v>11.57</v>
      </c>
      <c r="C135" s="274">
        <v>10.62</v>
      </c>
      <c r="D135" s="274">
        <v>8.7200000000000006</v>
      </c>
      <c r="E135" s="274">
        <v>11.34</v>
      </c>
      <c r="F135" s="274">
        <v>-2.2000000000000002</v>
      </c>
    </row>
    <row r="136" spans="1:24" ht="14.25" thickBot="1" x14ac:dyDescent="0.3">
      <c r="A136" s="229" t="s">
        <v>39</v>
      </c>
      <c r="B136" s="72">
        <v>17.03</v>
      </c>
      <c r="C136" s="72">
        <v>13.05</v>
      </c>
      <c r="D136" s="72">
        <v>-2.02</v>
      </c>
      <c r="E136" s="72">
        <v>-0.94</v>
      </c>
      <c r="F136" s="72">
        <v>0.8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1.5</v>
      </c>
      <c r="C140" s="68">
        <v>1.8</v>
      </c>
      <c r="D140" s="68">
        <v>3.8</v>
      </c>
      <c r="E140" s="68">
        <v>4</v>
      </c>
      <c r="F140" s="68">
        <v>4.5</v>
      </c>
    </row>
    <row r="141" spans="1:24" ht="14.25" thickBot="1" x14ac:dyDescent="0.3">
      <c r="A141" s="227" t="s">
        <v>1</v>
      </c>
      <c r="B141" s="73">
        <v>1</v>
      </c>
      <c r="C141" s="73">
        <v>1.2</v>
      </c>
      <c r="D141" s="73">
        <v>0.5</v>
      </c>
      <c r="E141" s="73">
        <v>1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0.18359853121175035</v>
      </c>
      <c r="C142" s="234">
        <f>IF(C140&lt;&gt;"無",IF(ISNA(HLOOKUP(C139,$B$64:$F$69,6,FALSE)),"",C140/HLOOKUP(C139,$B$64:$F$69,6,FALSE)),"")</f>
        <v>0.21739130434782611</v>
      </c>
      <c r="D142" s="234">
        <f>IF(D140&lt;&gt;"無",IF(ISNA(HLOOKUP(D139,$B$64:$F$69,6,FALSE)),"",D140/HLOOKUP(D139,$B$64:$F$69,6,FALSE)),"")</f>
        <v>0.42175360710321863</v>
      </c>
      <c r="E142" s="234">
        <f>IF(E140&lt;&gt;"無",IF(ISNA(HLOOKUP(E139,$B$64:$F$69,6,FALSE)),"",E140/HLOOKUP(E139,$B$64:$F$69,6,FALSE)),"")</f>
        <v>0.42016806722689076</v>
      </c>
      <c r="F142" s="234">
        <f>IF(F140&lt;&gt;"無",IF(ISNA(HLOOKUP(F139,$B$64:$F$69,6,FALSE)),"",F140/HLOOKUP(F139,$B$64:$F$69,6,FALSE)),"")</f>
        <v>0.51369863013698636</v>
      </c>
    </row>
    <row r="143" spans="1:24" x14ac:dyDescent="0.25">
      <c r="A143" s="233" t="s">
        <v>216</v>
      </c>
      <c r="B143" s="234">
        <f>IF(OR(B140=0,B140="無"),"",B135/B140)</f>
        <v>7.7133333333333338</v>
      </c>
      <c r="C143" s="234">
        <f>IF(OR(C140=0,C140="無"),"",C135/C140)</f>
        <v>5.8999999999999995</v>
      </c>
      <c r="D143" s="234">
        <f>IF(OR(D140=0,D140="無"),"",D135/D140)</f>
        <v>2.2947368421052636</v>
      </c>
      <c r="E143" s="234">
        <f>IF(OR(E140=0,E140="無"),"",E135/E140)</f>
        <v>2.835</v>
      </c>
      <c r="F143" s="234">
        <f>IF(OR(F140=0,F140="無"),"",F135/F140)</f>
        <v>-0.48888888888888893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6.64</v>
      </c>
      <c r="C146" s="68">
        <v>7.93</v>
      </c>
      <c r="D146" s="68">
        <v>9.5399999999999991</v>
      </c>
      <c r="E146" s="68">
        <v>9.58</v>
      </c>
      <c r="F146" s="68">
        <v>5.68</v>
      </c>
      <c r="G146" s="68">
        <v>5.8</v>
      </c>
      <c r="H146" s="68">
        <v>7.07</v>
      </c>
      <c r="I146" s="68">
        <v>6.91</v>
      </c>
      <c r="J146" s="68">
        <v>6.04</v>
      </c>
      <c r="K146" s="68">
        <v>7.05</v>
      </c>
      <c r="L146" s="68">
        <v>7.1</v>
      </c>
      <c r="M146" s="68">
        <v>7.27</v>
      </c>
      <c r="N146" s="68">
        <v>7.14</v>
      </c>
      <c r="O146" s="68">
        <v>7.2</v>
      </c>
      <c r="P146" s="68">
        <v>7.18</v>
      </c>
      <c r="Q146" s="68">
        <v>7.11</v>
      </c>
      <c r="R146" s="68">
        <v>7.05</v>
      </c>
      <c r="S146" s="68">
        <v>6.02</v>
      </c>
      <c r="T146" s="68">
        <v>7.44</v>
      </c>
      <c r="U146" s="68">
        <v>8.44</v>
      </c>
      <c r="V146" s="68">
        <v>7.36</v>
      </c>
      <c r="W146" s="68">
        <v>6.81</v>
      </c>
      <c r="X146" s="68">
        <v>5.83</v>
      </c>
    </row>
    <row r="147" spans="1:24" s="93" customFormat="1" ht="14.25" thickBot="1" x14ac:dyDescent="0.3">
      <c r="A147" s="225" t="s">
        <v>19</v>
      </c>
      <c r="B147" s="274">
        <v>1.52</v>
      </c>
      <c r="C147" s="274">
        <v>2.41</v>
      </c>
      <c r="D147" s="274">
        <v>3.43</v>
      </c>
      <c r="E147" s="274">
        <v>3.67</v>
      </c>
      <c r="F147" s="274">
        <v>1.72</v>
      </c>
      <c r="G147" s="274">
        <v>2.08</v>
      </c>
      <c r="H147" s="274">
        <v>3.46</v>
      </c>
      <c r="I147" s="274">
        <v>3.38</v>
      </c>
      <c r="J147" s="274">
        <v>2.37</v>
      </c>
      <c r="K147" s="274">
        <v>3.18</v>
      </c>
      <c r="L147" s="274">
        <v>3.3</v>
      </c>
      <c r="M147" s="274">
        <v>4.2</v>
      </c>
      <c r="N147" s="274">
        <v>3.81</v>
      </c>
      <c r="O147" s="274">
        <v>3.4</v>
      </c>
      <c r="P147" s="274">
        <v>3.58</v>
      </c>
      <c r="Q147" s="274">
        <v>3.8</v>
      </c>
      <c r="R147" s="274">
        <v>3.69</v>
      </c>
      <c r="S147" s="274">
        <v>2.2599999999999998</v>
      </c>
      <c r="T147" s="274">
        <v>3.92</v>
      </c>
      <c r="U147" s="274">
        <v>5.46</v>
      </c>
      <c r="V147" s="274">
        <v>3.74</v>
      </c>
      <c r="W147" s="274">
        <v>2.71</v>
      </c>
      <c r="X147" s="274">
        <v>1.73</v>
      </c>
    </row>
    <row r="148" spans="1:24" s="93" customFormat="1" ht="14.25" thickBot="1" x14ac:dyDescent="0.3">
      <c r="A148" s="224" t="s">
        <v>41</v>
      </c>
      <c r="B148" s="68">
        <v>1.94</v>
      </c>
      <c r="C148" s="68">
        <v>1.92</v>
      </c>
      <c r="D148" s="68">
        <v>3.94</v>
      </c>
      <c r="E148" s="68">
        <v>4.17</v>
      </c>
      <c r="F148" s="68">
        <v>2.79</v>
      </c>
      <c r="G148" s="68">
        <v>2.85</v>
      </c>
      <c r="H148" s="68">
        <v>3.89</v>
      </c>
      <c r="I148" s="68">
        <v>3.94</v>
      </c>
      <c r="J148" s="68">
        <v>2.89</v>
      </c>
      <c r="K148" s="68">
        <v>3.69</v>
      </c>
      <c r="L148" s="68">
        <v>4.4000000000000004</v>
      </c>
      <c r="M148" s="68">
        <v>4.96</v>
      </c>
      <c r="N148" s="68">
        <v>3.97</v>
      </c>
      <c r="O148" s="68">
        <v>4.17</v>
      </c>
      <c r="P148" s="68">
        <v>4.49</v>
      </c>
      <c r="Q148" s="68">
        <v>4.93</v>
      </c>
      <c r="R148" s="68">
        <v>3.79</v>
      </c>
      <c r="S148" s="68">
        <v>3.39</v>
      </c>
      <c r="T148" s="68">
        <v>3.98</v>
      </c>
      <c r="U148" s="68">
        <v>6.24</v>
      </c>
      <c r="V148" s="68">
        <v>3.74</v>
      </c>
      <c r="W148" s="68">
        <v>2.78</v>
      </c>
      <c r="X148" s="68">
        <v>2.33</v>
      </c>
    </row>
    <row r="149" spans="1:24" s="93" customFormat="1" ht="14.25" thickBot="1" x14ac:dyDescent="0.3">
      <c r="A149" s="225" t="s">
        <v>13</v>
      </c>
      <c r="B149" s="73">
        <v>1.41</v>
      </c>
      <c r="C149" s="73">
        <v>1.28</v>
      </c>
      <c r="D149" s="73">
        <v>3.41</v>
      </c>
      <c r="E149" s="73">
        <v>3.2</v>
      </c>
      <c r="F149" s="73">
        <v>2.02</v>
      </c>
      <c r="G149" s="73">
        <v>1.89</v>
      </c>
      <c r="H149" s="73">
        <v>3.34</v>
      </c>
      <c r="I149" s="73">
        <v>3.26</v>
      </c>
      <c r="J149" s="73">
        <v>2.2400000000000002</v>
      </c>
      <c r="K149" s="73">
        <v>2.35</v>
      </c>
      <c r="L149" s="73">
        <v>3.64</v>
      </c>
      <c r="M149" s="73">
        <v>3.83</v>
      </c>
      <c r="N149" s="73">
        <v>3.08</v>
      </c>
      <c r="O149" s="73">
        <v>2.71</v>
      </c>
      <c r="P149" s="73">
        <v>3.65</v>
      </c>
      <c r="Q149" s="73">
        <v>3.76</v>
      </c>
      <c r="R149" s="73">
        <v>2.88</v>
      </c>
      <c r="S149" s="73">
        <v>1.96</v>
      </c>
      <c r="T149" s="73">
        <v>3.28</v>
      </c>
      <c r="U149" s="73">
        <v>5.0199999999999996</v>
      </c>
      <c r="V149" s="73">
        <v>3</v>
      </c>
      <c r="W149" s="73">
        <v>1.62</v>
      </c>
      <c r="X149" s="73">
        <v>1.82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8.44</v>
      </c>
      <c r="C152" s="68">
        <v>6.44</v>
      </c>
      <c r="D152" s="68">
        <v>6.93</v>
      </c>
      <c r="E152" s="68">
        <v>7.15</v>
      </c>
      <c r="F152" s="68">
        <v>7.38</v>
      </c>
    </row>
    <row r="153" spans="1:24" s="93" customFormat="1" ht="14.25" thickBot="1" x14ac:dyDescent="0.3">
      <c r="A153" s="225" t="s">
        <v>19</v>
      </c>
      <c r="B153" s="274">
        <v>2.78</v>
      </c>
      <c r="C153" s="274">
        <v>2.77</v>
      </c>
      <c r="D153" s="274">
        <v>3.4</v>
      </c>
      <c r="E153" s="274">
        <v>3.67</v>
      </c>
      <c r="F153" s="274">
        <v>4.01</v>
      </c>
    </row>
    <row r="154" spans="1:24" s="93" customFormat="1" ht="14.25" thickBot="1" x14ac:dyDescent="0.3">
      <c r="A154" s="224" t="s">
        <v>41</v>
      </c>
      <c r="B154" s="68">
        <v>3.03</v>
      </c>
      <c r="C154" s="68">
        <v>3.45</v>
      </c>
      <c r="D154" s="68">
        <v>4.13</v>
      </c>
      <c r="E154" s="68">
        <v>4.4400000000000004</v>
      </c>
      <c r="F154" s="68">
        <v>4.54</v>
      </c>
    </row>
    <row r="155" spans="1:24" s="93" customFormat="1" ht="14.25" thickBot="1" x14ac:dyDescent="0.3">
      <c r="A155" s="225" t="s">
        <v>13</v>
      </c>
      <c r="B155" s="73">
        <v>2.35</v>
      </c>
      <c r="C155" s="73">
        <v>2.72</v>
      </c>
      <c r="D155" s="73">
        <v>3.14</v>
      </c>
      <c r="E155" s="73">
        <v>3.35</v>
      </c>
      <c r="F155" s="73">
        <v>3.47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0.85</v>
      </c>
      <c r="C158" s="68">
        <v>0.71</v>
      </c>
      <c r="D158" s="68">
        <v>1.65</v>
      </c>
      <c r="E158" s="68">
        <v>1.93</v>
      </c>
      <c r="F158" s="68">
        <v>0.87</v>
      </c>
      <c r="G158" s="68">
        <v>0.92</v>
      </c>
      <c r="H158" s="68">
        <v>1.67</v>
      </c>
      <c r="I158" s="68">
        <v>2.09</v>
      </c>
      <c r="J158" s="68">
        <v>1.02</v>
      </c>
      <c r="K158" s="68">
        <v>1.1399999999999999</v>
      </c>
      <c r="L158" s="68">
        <v>1.82</v>
      </c>
      <c r="M158" s="68">
        <v>2.6</v>
      </c>
      <c r="N158" s="68">
        <v>1.49</v>
      </c>
      <c r="O158" s="68">
        <v>1.29</v>
      </c>
      <c r="P158" s="68">
        <v>1.84</v>
      </c>
      <c r="Q158" s="68">
        <v>2.4900000000000002</v>
      </c>
      <c r="R158" s="68">
        <v>1.42</v>
      </c>
      <c r="S158" s="68">
        <v>0.99</v>
      </c>
      <c r="T158" s="68">
        <v>1.84</v>
      </c>
      <c r="U158" s="68">
        <v>3.1</v>
      </c>
      <c r="V158" s="68">
        <v>1.46</v>
      </c>
      <c r="W158" s="68">
        <v>0.82</v>
      </c>
      <c r="X158" s="68">
        <v>1.06</v>
      </c>
    </row>
    <row r="159" spans="1:24" s="93" customFormat="1" ht="14.25" thickBot="1" x14ac:dyDescent="0.3">
      <c r="A159" s="225" t="s">
        <v>45</v>
      </c>
      <c r="B159" s="73">
        <v>2.29</v>
      </c>
      <c r="C159" s="73">
        <v>1.84</v>
      </c>
      <c r="D159" s="73">
        <v>4.7300000000000004</v>
      </c>
      <c r="E159" s="73">
        <v>5.51</v>
      </c>
      <c r="F159" s="73">
        <v>2.34</v>
      </c>
      <c r="G159" s="73">
        <v>2.34</v>
      </c>
      <c r="H159" s="73">
        <v>4.1500000000000004</v>
      </c>
      <c r="I159" s="73">
        <v>5.56</v>
      </c>
      <c r="J159" s="73">
        <v>2.42</v>
      </c>
      <c r="K159" s="73">
        <v>2.4700000000000002</v>
      </c>
      <c r="L159" s="73">
        <v>3.97</v>
      </c>
      <c r="M159" s="73">
        <v>6.06</v>
      </c>
      <c r="N159" s="73">
        <v>3.15</v>
      </c>
      <c r="O159" s="73">
        <v>2.68</v>
      </c>
      <c r="P159" s="73">
        <v>3.89</v>
      </c>
      <c r="Q159" s="73">
        <v>5.14</v>
      </c>
      <c r="R159" s="73">
        <v>2.58</v>
      </c>
      <c r="S159" s="73">
        <v>1.72</v>
      </c>
      <c r="T159" s="73">
        <v>3.41</v>
      </c>
      <c r="U159" s="73">
        <v>6.47</v>
      </c>
      <c r="V159" s="73">
        <v>2.52</v>
      </c>
      <c r="W159" s="73">
        <v>1.29</v>
      </c>
      <c r="X159" s="73">
        <v>1.72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2.35</v>
      </c>
      <c r="C162" s="68">
        <v>2.72</v>
      </c>
      <c r="D162" s="68">
        <v>3.14</v>
      </c>
      <c r="E162" s="68">
        <v>3.35</v>
      </c>
      <c r="F162" s="68">
        <v>3.47</v>
      </c>
    </row>
    <row r="163" spans="1:72" s="93" customFormat="1" ht="14.25" thickBot="1" x14ac:dyDescent="0.3">
      <c r="A163" s="225" t="s">
        <v>18</v>
      </c>
      <c r="B163" s="274">
        <v>1.91</v>
      </c>
      <c r="C163" s="274">
        <v>1.71</v>
      </c>
      <c r="D163" s="274">
        <v>1.71</v>
      </c>
      <c r="E163" s="274">
        <v>1.94</v>
      </c>
      <c r="F163" s="274">
        <v>1.68</v>
      </c>
    </row>
    <row r="164" spans="1:72" s="93" customFormat="1" ht="14.25" thickBot="1" x14ac:dyDescent="0.3">
      <c r="A164" s="224" t="s">
        <v>15</v>
      </c>
      <c r="B164" s="68">
        <v>3</v>
      </c>
      <c r="C164" s="68">
        <v>2.87</v>
      </c>
      <c r="D164" s="68">
        <v>2.5</v>
      </c>
      <c r="E164" s="68">
        <v>2.1800000000000002</v>
      </c>
      <c r="F164" s="68">
        <v>2.29</v>
      </c>
    </row>
    <row r="165" spans="1:72" s="93" customFormat="1" ht="14.25" thickBot="1" x14ac:dyDescent="0.3">
      <c r="A165" s="225" t="s">
        <v>45</v>
      </c>
      <c r="B165" s="73">
        <v>14.16</v>
      </c>
      <c r="C165" s="73">
        <v>14.43</v>
      </c>
      <c r="D165" s="73">
        <v>14.8</v>
      </c>
      <c r="E165" s="73">
        <v>14.69</v>
      </c>
      <c r="F165" s="73">
        <v>13.8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41.67</v>
      </c>
      <c r="C168" s="68">
        <v>44.33</v>
      </c>
      <c r="D168" s="68">
        <v>45.23</v>
      </c>
      <c r="E168" s="68">
        <v>42.86</v>
      </c>
      <c r="F168" s="68">
        <v>56.6</v>
      </c>
      <c r="G168" s="68">
        <v>42.06</v>
      </c>
      <c r="H168" s="68">
        <v>45</v>
      </c>
      <c r="I168" s="68">
        <v>41.28</v>
      </c>
      <c r="J168" s="68">
        <v>59.6</v>
      </c>
      <c r="K168" s="68">
        <v>45</v>
      </c>
      <c r="L168" s="68">
        <v>46.39</v>
      </c>
      <c r="M168" s="68">
        <v>38.96</v>
      </c>
      <c r="N168" s="68">
        <v>55.21</v>
      </c>
      <c r="O168" s="68">
        <v>41.86</v>
      </c>
      <c r="P168" s="68">
        <v>42.45</v>
      </c>
      <c r="Q168" s="68">
        <v>36.44</v>
      </c>
      <c r="R168" s="68">
        <v>47.62</v>
      </c>
      <c r="S168" s="68">
        <v>42.06</v>
      </c>
      <c r="T168" s="68">
        <v>40.54</v>
      </c>
      <c r="U168" s="68">
        <v>40.54</v>
      </c>
      <c r="V168" s="68">
        <v>56.96</v>
      </c>
      <c r="W168" s="68">
        <v>51.72</v>
      </c>
      <c r="X168" s="68">
        <v>52.02</v>
      </c>
    </row>
    <row r="169" spans="1:72" s="93" customFormat="1" ht="14.25" thickBot="1" x14ac:dyDescent="0.3">
      <c r="A169" s="225" t="s">
        <v>17</v>
      </c>
      <c r="B169" s="274">
        <v>35.57</v>
      </c>
      <c r="C169" s="274">
        <v>36.590000000000003</v>
      </c>
      <c r="D169" s="274">
        <v>40</v>
      </c>
      <c r="E169" s="274">
        <v>32.61</v>
      </c>
      <c r="F169" s="274">
        <v>42.06</v>
      </c>
      <c r="G169" s="274">
        <v>36.729999999999997</v>
      </c>
      <c r="H169" s="274">
        <v>36.44</v>
      </c>
      <c r="I169" s="274">
        <v>24.66</v>
      </c>
      <c r="J169" s="274">
        <v>33.58</v>
      </c>
      <c r="K169" s="274">
        <v>35.159999999999997</v>
      </c>
      <c r="L169" s="274">
        <v>39.65</v>
      </c>
      <c r="M169" s="274">
        <v>26.47</v>
      </c>
      <c r="N169" s="274">
        <v>35.71</v>
      </c>
      <c r="O169" s="274">
        <v>41.47</v>
      </c>
      <c r="P169" s="274">
        <v>43.27</v>
      </c>
      <c r="Q169" s="274">
        <v>31.25</v>
      </c>
      <c r="R169" s="274">
        <v>41.28</v>
      </c>
      <c r="S169" s="274">
        <v>39.65</v>
      </c>
      <c r="T169" s="274">
        <v>35.71</v>
      </c>
      <c r="U169" s="274">
        <v>28.3</v>
      </c>
      <c r="V169" s="274">
        <v>36.729999999999997</v>
      </c>
      <c r="W169" s="274">
        <v>37.97</v>
      </c>
      <c r="X169" s="274">
        <v>39.65</v>
      </c>
    </row>
    <row r="170" spans="1:72" s="93" customFormat="1" ht="14.25" thickBot="1" x14ac:dyDescent="0.3">
      <c r="A170" s="224" t="s">
        <v>42</v>
      </c>
      <c r="B170" s="72">
        <v>77.239999999999995</v>
      </c>
      <c r="C170" s="72">
        <v>80.92</v>
      </c>
      <c r="D170" s="72">
        <v>85.23</v>
      </c>
      <c r="E170" s="72">
        <v>75.47</v>
      </c>
      <c r="F170" s="72">
        <v>98.66</v>
      </c>
      <c r="G170" s="72">
        <v>78.790000000000006</v>
      </c>
      <c r="H170" s="72">
        <v>81.44</v>
      </c>
      <c r="I170" s="72">
        <v>65.94</v>
      </c>
      <c r="J170" s="72">
        <v>93.18</v>
      </c>
      <c r="K170" s="72">
        <v>80.16</v>
      </c>
      <c r="L170" s="72">
        <v>86.04</v>
      </c>
      <c r="M170" s="72">
        <v>65.430000000000007</v>
      </c>
      <c r="N170" s="72">
        <v>90.93</v>
      </c>
      <c r="O170" s="72">
        <v>83.34</v>
      </c>
      <c r="P170" s="72">
        <v>85.72</v>
      </c>
      <c r="Q170" s="72">
        <v>67.69</v>
      </c>
      <c r="R170" s="72">
        <v>88.9</v>
      </c>
      <c r="S170" s="72">
        <v>81.7</v>
      </c>
      <c r="T170" s="72">
        <v>76.25</v>
      </c>
      <c r="U170" s="72">
        <v>68.84</v>
      </c>
      <c r="V170" s="72">
        <v>93.7</v>
      </c>
      <c r="W170" s="72">
        <v>89.7</v>
      </c>
      <c r="X170" s="72">
        <v>91.67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195.89</v>
      </c>
      <c r="C173" s="72">
        <v>160.93</v>
      </c>
      <c r="D173" s="72">
        <v>143.93</v>
      </c>
      <c r="E173" s="72">
        <v>161.33000000000001</v>
      </c>
      <c r="F173" s="72">
        <v>114.97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13.48</v>
      </c>
      <c r="C176" s="72">
        <v>15.56</v>
      </c>
      <c r="D176" s="72">
        <v>16.350000000000001</v>
      </c>
      <c r="E176" s="72">
        <v>14.03</v>
      </c>
      <c r="F176" s="72">
        <v>11.27</v>
      </c>
      <c r="G176" s="72">
        <v>11.01</v>
      </c>
      <c r="H176" s="72">
        <v>11.37</v>
      </c>
      <c r="I176" s="72">
        <v>12.34</v>
      </c>
      <c r="J176" s="72">
        <v>13.36</v>
      </c>
      <c r="K176" s="72">
        <v>12.63</v>
      </c>
      <c r="L176" s="72">
        <v>11.47</v>
      </c>
      <c r="M176" s="72">
        <v>11.59</v>
      </c>
      <c r="N176" s="72">
        <v>10.88</v>
      </c>
      <c r="O176" s="72">
        <v>10.56</v>
      </c>
      <c r="P176" s="72">
        <v>10.35</v>
      </c>
      <c r="Q176" s="72">
        <v>9.8000000000000007</v>
      </c>
      <c r="R176" s="72">
        <v>9.6199999999999992</v>
      </c>
      <c r="S176" s="72">
        <v>9.02</v>
      </c>
      <c r="T176" s="72">
        <v>9.4499999999999993</v>
      </c>
      <c r="U176" s="72">
        <v>10.24</v>
      </c>
      <c r="V176" s="72">
        <v>10.07</v>
      </c>
      <c r="W176" s="72">
        <v>9.74</v>
      </c>
      <c r="X176" s="72">
        <v>9.76</v>
      </c>
      <c r="Y176" s="72">
        <v>10.27</v>
      </c>
      <c r="Z176" s="72">
        <v>10.71</v>
      </c>
      <c r="AA176" s="72">
        <v>10.76</v>
      </c>
      <c r="AB176" s="72">
        <v>10.42</v>
      </c>
      <c r="AC176" s="72">
        <v>10.67</v>
      </c>
      <c r="AD176" s="72">
        <v>10.77</v>
      </c>
      <c r="AE176" s="72">
        <v>11.33</v>
      </c>
      <c r="AF176" s="72">
        <v>12.71</v>
      </c>
      <c r="AG176" s="72">
        <v>13.83</v>
      </c>
      <c r="AH176" s="72">
        <v>13.04</v>
      </c>
      <c r="AI176" s="72">
        <v>12.42</v>
      </c>
      <c r="AJ176" s="72">
        <v>12.33</v>
      </c>
      <c r="AK176" s="72">
        <v>11.36</v>
      </c>
      <c r="AL176" s="72">
        <v>10.96</v>
      </c>
      <c r="AM176" s="72">
        <v>11.01</v>
      </c>
      <c r="AN176" s="72">
        <v>10.14</v>
      </c>
      <c r="AO176" s="72">
        <v>10.5</v>
      </c>
      <c r="AP176" s="72">
        <v>9.99</v>
      </c>
      <c r="AQ176" s="72">
        <v>10.07</v>
      </c>
      <c r="AR176" s="72">
        <v>9.8800000000000008</v>
      </c>
      <c r="AS176" s="72">
        <v>9.2799999999999994</v>
      </c>
      <c r="AT176" s="72">
        <v>9.01</v>
      </c>
      <c r="AU176" s="72">
        <v>9.23</v>
      </c>
      <c r="AV176" s="72">
        <v>8.86</v>
      </c>
      <c r="AW176" s="72">
        <v>8.5500000000000007</v>
      </c>
      <c r="AX176" s="72">
        <v>7.92</v>
      </c>
      <c r="AY176" s="72">
        <v>8.02</v>
      </c>
      <c r="AZ176" s="72">
        <v>8.7899999999999991</v>
      </c>
      <c r="BA176" s="72">
        <v>8.59</v>
      </c>
      <c r="BB176" s="72">
        <v>8.23</v>
      </c>
      <c r="BC176" s="72">
        <v>8.7799999999999994</v>
      </c>
      <c r="BD176" s="72">
        <v>9.27</v>
      </c>
      <c r="BE176" s="72">
        <v>11.18</v>
      </c>
      <c r="BF176" s="72">
        <v>10.1</v>
      </c>
      <c r="BG176" s="72">
        <v>10.51</v>
      </c>
      <c r="BH176" s="72">
        <v>10.59</v>
      </c>
      <c r="BI176" s="72">
        <v>10.87</v>
      </c>
      <c r="BJ176" s="72">
        <v>10.93</v>
      </c>
      <c r="BK176" s="72">
        <v>11.56</v>
      </c>
      <c r="BL176" s="72">
        <v>10.53</v>
      </c>
      <c r="BM176" s="72">
        <v>11.31</v>
      </c>
      <c r="BN176" s="72">
        <v>11.89</v>
      </c>
      <c r="BO176" s="72">
        <v>12.64</v>
      </c>
      <c r="BP176" s="72">
        <v>13.46</v>
      </c>
      <c r="BQ176" s="72">
        <v>13.56</v>
      </c>
      <c r="BR176" s="72">
        <v>12.97</v>
      </c>
      <c r="BS176" s="72">
        <v>12.71</v>
      </c>
      <c r="BT176" s="72">
        <v>13.37</v>
      </c>
    </row>
  </sheetData>
  <phoneticPr fontId="3" type="noConversion"/>
  <conditionalFormatting sqref="E4">
    <cfRule type="cellIs" dxfId="6071" priority="101" operator="greaterThan">
      <formula>0.2</formula>
    </cfRule>
    <cfRule type="cellIs" dxfId="6070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6069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068" priority="95" operator="greaterThan">
      <formula>$B$19</formula>
    </cfRule>
  </conditionalFormatting>
  <conditionalFormatting sqref="D33:D34">
    <cfRule type="cellIs" dxfId="6067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6066" priority="89" operator="lessThan">
      <formula>$H$62</formula>
    </cfRule>
    <cfRule type="cellIs" dxfId="6065" priority="90" operator="greaterThan">
      <formula>$H$62</formula>
    </cfRule>
  </conditionalFormatting>
  <conditionalFormatting sqref="J62">
    <cfRule type="cellIs" dxfId="6064" priority="87" operator="lessThan">
      <formula>$K$62</formula>
    </cfRule>
    <cfRule type="cellIs" dxfId="6063" priority="88" operator="greaterThan">
      <formula>$K$62</formula>
    </cfRule>
  </conditionalFormatting>
  <conditionalFormatting sqref="M62">
    <cfRule type="cellIs" dxfId="6062" priority="85" operator="lessThan">
      <formula>$N$62</formula>
    </cfRule>
    <cfRule type="cellIs" dxfId="6061" priority="86" operator="greaterThan">
      <formula>$N$62</formula>
    </cfRule>
  </conditionalFormatting>
  <conditionalFormatting sqref="B44:E44">
    <cfRule type="cellIs" dxfId="6060" priority="83" operator="greaterThan">
      <formula>0</formula>
    </cfRule>
    <cfRule type="cellIs" dxfId="6059" priority="84" operator="lessThan">
      <formula>0</formula>
    </cfRule>
  </conditionalFormatting>
  <conditionalFormatting sqref="F72">
    <cfRule type="cellIs" dxfId="6058" priority="82" operator="lessThan">
      <formula>$E$72*90%</formula>
    </cfRule>
  </conditionalFormatting>
  <conditionalFormatting sqref="F73">
    <cfRule type="cellIs" dxfId="6057" priority="81" operator="lessThan">
      <formula>$E$73*90%</formula>
    </cfRule>
  </conditionalFormatting>
  <conditionalFormatting sqref="F74">
    <cfRule type="cellIs" dxfId="6056" priority="80" operator="lessThan">
      <formula>$E$74*90%</formula>
    </cfRule>
  </conditionalFormatting>
  <conditionalFormatting sqref="F75">
    <cfRule type="cellIs" dxfId="6055" priority="79" operator="lessThan">
      <formula>$E$75*90%</formula>
    </cfRule>
  </conditionalFormatting>
  <conditionalFormatting sqref="H44:K44">
    <cfRule type="cellIs" dxfId="6054" priority="77" operator="greaterThan">
      <formula>0</formula>
    </cfRule>
    <cfRule type="cellIs" dxfId="6053" priority="78" operator="lessThan">
      <formula>0</formula>
    </cfRule>
  </conditionalFormatting>
  <conditionalFormatting sqref="H51:K51">
    <cfRule type="cellIs" dxfId="6052" priority="75" operator="greaterThan">
      <formula>0</formula>
    </cfRule>
    <cfRule type="cellIs" dxfId="6051" priority="76" operator="lessThan">
      <formula>0</formula>
    </cfRule>
  </conditionalFormatting>
  <conditionalFormatting sqref="B51:E51">
    <cfRule type="cellIs" dxfId="6050" priority="73" operator="greaterThan">
      <formula>0</formula>
    </cfRule>
    <cfRule type="cellIs" dxfId="6049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048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047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046" priority="56" operator="lessThan">
      <formula>0</formula>
    </cfRule>
  </conditionalFormatting>
  <conditionalFormatting sqref="A25 E25 C25">
    <cfRule type="cellIs" dxfId="6045" priority="57" operator="lessThan">
      <formula>0</formula>
    </cfRule>
  </conditionalFormatting>
  <conditionalFormatting sqref="F25">
    <cfRule type="cellIs" dxfId="6044" priority="55" operator="lessThan">
      <formula>0</formula>
    </cfRule>
  </conditionalFormatting>
  <conditionalFormatting sqref="E1">
    <cfRule type="containsText" dxfId="6043" priority="54" operator="containsText" text="本季業外損益/平均=-">
      <formula>NOT(ISERROR(SEARCH("本季業外損益/平均=-",E1)))</formula>
    </cfRule>
  </conditionalFormatting>
  <conditionalFormatting sqref="M65">
    <cfRule type="cellIs" dxfId="6042" priority="53" operator="lessThan">
      <formula>$L$65*90%</formula>
    </cfRule>
  </conditionalFormatting>
  <conditionalFormatting sqref="M66">
    <cfRule type="cellIs" dxfId="6041" priority="52" operator="lessThan">
      <formula>$L$66*90%</formula>
    </cfRule>
  </conditionalFormatting>
  <conditionalFormatting sqref="M67">
    <cfRule type="cellIs" dxfId="6040" priority="51" operator="lessThan">
      <formula>$L$67*90%</formula>
    </cfRule>
  </conditionalFormatting>
  <conditionalFormatting sqref="M68">
    <cfRule type="cellIs" dxfId="6039" priority="50" operator="lessThan">
      <formula>$L$68*90%</formula>
    </cfRule>
  </conditionalFormatting>
  <conditionalFormatting sqref="B60">
    <cfRule type="cellIs" dxfId="6038" priority="49" operator="lessThan">
      <formula>0</formula>
    </cfRule>
  </conditionalFormatting>
  <conditionalFormatting sqref="B59:F59">
    <cfRule type="cellIs" dxfId="6037" priority="48" operator="lessThanOrEqual">
      <formula>0</formula>
    </cfRule>
  </conditionalFormatting>
  <conditionalFormatting sqref="D62">
    <cfRule type="cellIs" dxfId="6036" priority="46" operator="lessThan">
      <formula>$E$62</formula>
    </cfRule>
    <cfRule type="cellIs" dxfId="6035" priority="47" operator="greaterThan">
      <formula>$E$62</formula>
    </cfRule>
  </conditionalFormatting>
  <conditionalFormatting sqref="F69">
    <cfRule type="cellIs" dxfId="6034" priority="44" operator="lessThan">
      <formula>0</formula>
    </cfRule>
  </conditionalFormatting>
  <conditionalFormatting sqref="B65:E67 B69:E69 B68:D68">
    <cfRule type="cellIs" dxfId="6033" priority="45" operator="lessThan">
      <formula>0</formula>
    </cfRule>
  </conditionalFormatting>
  <conditionalFormatting sqref="E68">
    <cfRule type="cellIs" dxfId="6032" priority="43" operator="lessThan">
      <formula>0</formula>
    </cfRule>
  </conditionalFormatting>
  <conditionalFormatting sqref="F65:F68">
    <cfRule type="cellIs" dxfId="6031" priority="42" operator="lessThan">
      <formula>0</formula>
    </cfRule>
  </conditionalFormatting>
  <conditionalFormatting sqref="F65:F68">
    <cfRule type="cellIs" dxfId="6030" priority="41" operator="lessThan">
      <formula>$E$65*0.9</formula>
    </cfRule>
  </conditionalFormatting>
  <conditionalFormatting sqref="F66">
    <cfRule type="cellIs" dxfId="6029" priority="40" operator="lessThan">
      <formula>$E$66*0.9</formula>
    </cfRule>
  </conditionalFormatting>
  <conditionalFormatting sqref="F67:F68">
    <cfRule type="cellIs" dxfId="6028" priority="39" operator="lessThan">
      <formula>$E$67*0.9</formula>
    </cfRule>
  </conditionalFormatting>
  <conditionalFormatting sqref="F68">
    <cfRule type="cellIs" dxfId="6027" priority="38" operator="lessThan">
      <formula>$E$68*0.9</formula>
    </cfRule>
  </conditionalFormatting>
  <conditionalFormatting sqref="B13:F13">
    <cfRule type="cellIs" dxfId="6026" priority="27" operator="greaterThan">
      <formula>$I$16</formula>
    </cfRule>
    <cfRule type="cellIs" dxfId="6025" priority="28" operator="lessThanOrEqual">
      <formula>$I$16</formula>
    </cfRule>
  </conditionalFormatting>
  <conditionalFormatting sqref="B10:F10">
    <cfRule type="cellIs" dxfId="6024" priority="29" operator="greaterThan">
      <formula>15</formula>
    </cfRule>
    <cfRule type="cellIs" dxfId="6023" priority="36" operator="lessThan">
      <formula>$I$9</formula>
    </cfRule>
    <cfRule type="cellIs" dxfId="6022" priority="37" operator="greaterThan">
      <formula>$I$9</formula>
    </cfRule>
  </conditionalFormatting>
  <conditionalFormatting sqref="B16:F16">
    <cfRule type="cellIs" dxfId="6021" priority="34" operator="greaterThan">
      <formula>$I$16</formula>
    </cfRule>
    <cfRule type="cellIs" dxfId="6020" priority="35" operator="lessThanOrEqual">
      <formula>$I$16</formula>
    </cfRule>
  </conditionalFormatting>
  <conditionalFormatting sqref="B15:F15">
    <cfRule type="cellIs" dxfId="6019" priority="32" operator="lessThanOrEqual">
      <formula>$I$16</formula>
    </cfRule>
    <cfRule type="cellIs" dxfId="6018" priority="33" operator="greaterThan">
      <formula>$I$16</formula>
    </cfRule>
  </conditionalFormatting>
  <conditionalFormatting sqref="B14:F14">
    <cfRule type="cellIs" dxfId="6017" priority="30" operator="greaterThan">
      <formula>$I$16</formula>
    </cfRule>
    <cfRule type="cellIs" dxfId="6016" priority="31" operator="lessThanOrEqual">
      <formula>$I$16</formula>
    </cfRule>
  </conditionalFormatting>
  <conditionalFormatting sqref="K6">
    <cfRule type="containsText" dxfId="6015" priority="25" operator="containsText" text="衰退">
      <formula>NOT(ISERROR(SEARCH("衰退",K6)))</formula>
    </cfRule>
    <cfRule type="containsText" dxfId="6014" priority="26" operator="containsText" text="成長">
      <formula>NOT(ISERROR(SEARCH("成長",K6)))</formula>
    </cfRule>
  </conditionalFormatting>
  <conditionalFormatting sqref="I4:K4">
    <cfRule type="cellIs" dxfId="6013" priority="23" operator="lessThan">
      <formula>0</formula>
    </cfRule>
    <cfRule type="cellIs" dxfId="6012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011" priority="20" operator="lessThanOrEqual">
      <formula>$I$16</formula>
    </cfRule>
    <cfRule type="cellIs" dxfId="6010" priority="21" operator="greaterThan">
      <formula>$I$16</formula>
    </cfRule>
  </conditionalFormatting>
  <conditionalFormatting sqref="I6">
    <cfRule type="containsText" dxfId="6009" priority="18" operator="containsText" text="衰退">
      <formula>NOT(ISERROR(SEARCH("衰退",I6)))</formula>
    </cfRule>
    <cfRule type="containsText" dxfId="6008" priority="19" operator="containsText" text="成長">
      <formula>NOT(ISERROR(SEARCH("成長",I6)))</formula>
    </cfRule>
  </conditionalFormatting>
  <conditionalFormatting sqref="M9">
    <cfRule type="cellIs" dxfId="6007" priority="17" operator="lessThan">
      <formula>$I$9</formula>
    </cfRule>
  </conditionalFormatting>
  <conditionalFormatting sqref="M10">
    <cfRule type="cellIs" dxfId="6006" priority="16" operator="greaterThan">
      <formula>$I$9</formula>
    </cfRule>
  </conditionalFormatting>
  <conditionalFormatting sqref="M11">
    <cfRule type="cellIs" dxfId="6005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004" priority="12" operator="lessThan">
      <formula>0</formula>
    </cfRule>
    <cfRule type="cellIs" dxfId="6003" priority="13" operator="greaterThan">
      <formula>0.5</formula>
    </cfRule>
  </conditionalFormatting>
  <conditionalFormatting sqref="N14">
    <cfRule type="cellIs" dxfId="6002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001" priority="8" operator="lessThan">
      <formula>0.1</formula>
    </cfRule>
  </conditionalFormatting>
  <conditionalFormatting sqref="I14">
    <cfRule type="cellIs" dxfId="6000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999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998" priority="1" operator="lessThan">
      <formula>$N$5*0.9</formula>
    </cfRule>
    <cfRule type="cellIs" dxfId="5997" priority="2" operator="greaterThan">
      <formula>$N$5*1.1</formula>
    </cfRule>
  </conditionalFormatting>
  <hyperlinks>
    <hyperlink ref="L1" location="儀表板!A1" display="(回首頁)" xr:uid="{00000000-0004-0000-1700-000000000000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29.78 ~ 38.66</v>
      </c>
      <c r="L1" s="83" t="s">
        <v>176</v>
      </c>
      <c r="M1" s="84" t="str">
        <f ca="1">VLOOKUP(_xlfn.NUMBERVALUE(N1),儀表板!A:B,2,FALSE)</f>
        <v>台積電</v>
      </c>
      <c r="N1" s="85" t="str">
        <f ca="1">MID(CELL("filename",L1),FIND("]",CELL("filename",L1))+1,255)</f>
        <v>2330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0.13374760836231003</v>
      </c>
    </row>
    <row r="3" spans="1:15" s="93" customFormat="1" x14ac:dyDescent="0.25">
      <c r="A3" s="81" t="s">
        <v>179</v>
      </c>
      <c r="B3" s="94">
        <f>SUM(F19:F22,F24:F27,J19)</f>
        <v>87.950198454446081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195.3392743955998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203.93578951795186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208.96144451255768</v>
      </c>
      <c r="L3" s="100"/>
      <c r="M3" s="79" t="s">
        <v>385</v>
      </c>
      <c r="N3" s="92">
        <f>(F69-E69)/E69</f>
        <v>2.2561346864488116E-2</v>
      </c>
    </row>
    <row r="4" spans="1:15" s="93" customFormat="1" x14ac:dyDescent="0.25">
      <c r="A4" s="81" t="s">
        <v>182</v>
      </c>
      <c r="B4" s="96">
        <f>SUM(G36:G40)*2</f>
        <v>84</v>
      </c>
      <c r="C4" s="101"/>
      <c r="D4" s="102">
        <f>F4*(1+F141/10)</f>
        <v>2593</v>
      </c>
      <c r="E4" s="82">
        <f>(D4-F4)/F4</f>
        <v>0</v>
      </c>
      <c r="F4" s="103">
        <v>2593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13.180815761083251</v>
      </c>
    </row>
    <row r="5" spans="1:15" s="93" customFormat="1" x14ac:dyDescent="0.25">
      <c r="A5" s="81" t="s">
        <v>184</v>
      </c>
      <c r="B5" s="107">
        <f>SUM(F30:F34)*2</f>
        <v>96.918149466192176</v>
      </c>
      <c r="C5" s="87"/>
      <c r="D5" s="87"/>
      <c r="E5" s="87"/>
      <c r="F5" s="86"/>
      <c r="G5" s="88"/>
      <c r="M5" s="79" t="s">
        <v>375</v>
      </c>
      <c r="N5" s="152">
        <f>D62</f>
        <v>13.27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連2季衰退</v>
      </c>
      <c r="L6" s="112"/>
      <c r="M6" s="79" t="s">
        <v>190</v>
      </c>
      <c r="N6" s="152">
        <f>A53</f>
        <v>13.107764204472296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18.27</v>
      </c>
      <c r="N9" s="129"/>
    </row>
    <row r="10" spans="1:15" s="93" customFormat="1" x14ac:dyDescent="0.25">
      <c r="A10" s="123" t="s">
        <v>194</v>
      </c>
      <c r="B10" s="126">
        <f>PERCENTILE(176:176,B9)</f>
        <v>13.85</v>
      </c>
      <c r="C10" s="126">
        <f>PERCENTILE(176:176,C9)</f>
        <v>14.77</v>
      </c>
      <c r="D10" s="126">
        <f>PERCENTILE(176:176,D9)</f>
        <v>15.42</v>
      </c>
      <c r="E10" s="126">
        <f>PERCENTILE(176:176,E9)</f>
        <v>15.8</v>
      </c>
      <c r="F10" s="126">
        <f>PERCENTILE(176:176,F9)</f>
        <v>16.260000000000002</v>
      </c>
      <c r="G10" s="95"/>
      <c r="H10" s="135"/>
      <c r="I10" s="135"/>
      <c r="J10" s="135"/>
      <c r="K10" s="135"/>
      <c r="L10" s="136" t="s">
        <v>374</v>
      </c>
      <c r="M10" s="130">
        <f>MIN(176:176)</f>
        <v>10.48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55.18</v>
      </c>
      <c r="L11" s="272" t="s">
        <v>193</v>
      </c>
      <c r="M11" s="128">
        <f>STDEV(176:176)</f>
        <v>1.7005165507090467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71.778711484593842</v>
      </c>
      <c r="C13" s="141">
        <f>$B$34/5.88%</f>
        <v>87.159863945578238</v>
      </c>
      <c r="D13" s="141">
        <f>$B$34/5%</f>
        <v>102.5</v>
      </c>
      <c r="E13" s="141">
        <f>$B$34/4.35%</f>
        <v>117.81609195402299</v>
      </c>
      <c r="F13" s="141">
        <f>$B$34/3.85%</f>
        <v>133.11688311688312</v>
      </c>
      <c r="G13" s="138" t="str">
        <f>"$"&amp;ROUND(B34,2)&amp;"/"&amp;IF(STDEV(C140:F140)/AVERAGE(C140:F140)&lt;15%,"高",IF(STDEV(C140:F140)/AVERAGE(C140:F140)&lt;30%,"中","低"))</f>
        <v>$5.13/低</v>
      </c>
      <c r="H13" s="142" t="s">
        <v>199</v>
      </c>
      <c r="I13" s="143">
        <f>MAX(0,1-J15)</f>
        <v>0.45694336695112481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145.94437499999998</v>
      </c>
      <c r="C14" s="141">
        <f>$B$33*C10</f>
        <v>155.63887499999998</v>
      </c>
      <c r="D14" s="141">
        <f>$B$33*D10</f>
        <v>162.48824999999999</v>
      </c>
      <c r="E14" s="141">
        <f>$B$33*E10</f>
        <v>166.49250000000001</v>
      </c>
      <c r="F14" s="141">
        <f>$B$33*F10</f>
        <v>171.33975000000001</v>
      </c>
      <c r="G14" s="138" t="str">
        <f>"$"&amp;ROUND(B33,2)&amp;"/"&amp;IF(STDEV(B69:E69)/AVERAGE(B69:E69)&lt;15%,"高",IF(STDEV(B69:E69)/AVERAGE(B69:E69)&lt;30%,"中","低"))</f>
        <v>$10.54/中</v>
      </c>
      <c r="H14" s="142" t="s">
        <v>203</v>
      </c>
      <c r="I14" s="145">
        <f>G62/100*I13</f>
        <v>0.11373320403413496</v>
      </c>
      <c r="J14" s="76" t="s">
        <v>204</v>
      </c>
      <c r="K14" s="146"/>
      <c r="L14" s="147">
        <f>(HLOOKUP($C$1,$105:$106,2,FALSE)-HLOOKUP($C$1,$117:$127,9,FALSE))/(HLOOKUP($C$1,$117:$128,12,FALSE)/K11)</f>
        <v>11.43328045842131</v>
      </c>
      <c r="M14" s="148">
        <f>E135/E69</f>
        <v>0.93560899922420493</v>
      </c>
      <c r="N14" s="149">
        <f>F173/100</f>
        <v>1.6146</v>
      </c>
    </row>
    <row r="15" spans="1:15" s="93" customFormat="1" x14ac:dyDescent="0.25">
      <c r="A15" s="140" t="s">
        <v>375</v>
      </c>
      <c r="B15" s="141">
        <f>$D$62*B10</f>
        <v>183.78949999999998</v>
      </c>
      <c r="C15" s="141">
        <f>$D$62*C10</f>
        <v>195.99789999999999</v>
      </c>
      <c r="D15" s="141">
        <f>$D$62*D10</f>
        <v>204.6234</v>
      </c>
      <c r="E15" s="141">
        <f>$D$62*E10</f>
        <v>209.666</v>
      </c>
      <c r="F15" s="141">
        <f>$D$62*F10</f>
        <v>215.77020000000002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0.54305663304887519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182.55429829100302</v>
      </c>
      <c r="C16" s="141">
        <f>$F$69*C10</f>
        <v>194.68064879119962</v>
      </c>
      <c r="D16" s="141">
        <f>$F$69*D10</f>
        <v>203.24817903590372</v>
      </c>
      <c r="E16" s="141">
        <f>$F$69*E10</f>
        <v>208.25688902511536</v>
      </c>
      <c r="F16" s="141">
        <f>$F$69*F10</f>
        <v>214.32006427521367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65939</v>
      </c>
      <c r="J17" s="92">
        <f ca="1">IF(I17&lt;=0,"",IF(I17&lt;=MIN($B$13:$F$16),(I17-MIN($B$13:$F$16))/MIN($B$13:$F$16),IF(I17&gt;=MAX($B$13:$F$16),I17/MAX($B$13:$F$16),PERCENTRANK($B$13:$F$16,I17))))</f>
        <v>305.59827075286574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6.3875000000000002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18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1.2463414634146341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0.20691818286133673</v>
      </c>
      <c r="J20" s="171">
        <f>HLOOKUP($C$1,$117:$127,11,FALSE)/HLOOKUP($C$1,$105:$115,11,FALSE)</f>
        <v>0.22266007608451446</v>
      </c>
      <c r="K20" s="163"/>
    </row>
    <row r="21" spans="1:14" s="93" customFormat="1" x14ac:dyDescent="0.25">
      <c r="A21" s="151" t="s">
        <v>201</v>
      </c>
      <c r="B21" s="161">
        <f>AVERAGE(C173:F173)/100</f>
        <v>1.6971750000000001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2.3611695627272127</v>
      </c>
      <c r="J21" s="78"/>
      <c r="K21" s="164" t="s">
        <v>356</v>
      </c>
      <c r="L21" s="165">
        <f>HLOOKUP($C$1,$105:$115,7,FALSE)/HLOOKUP($C$1,$105:$115,11,FALSE)</f>
        <v>0.38278073478881525</v>
      </c>
      <c r="M21" s="123" t="s">
        <v>268</v>
      </c>
      <c r="N21" s="165">
        <f>HLOOKUP($C$1,$117:$127,8,FALSE)/HLOOKUP($C$1,$117:$127,11,FALSE)</f>
        <v>0.72808241593246459</v>
      </c>
    </row>
    <row r="22" spans="1:14" s="93" customFormat="1" x14ac:dyDescent="0.25">
      <c r="A22" s="140" t="s">
        <v>222</v>
      </c>
      <c r="B22" s="161">
        <f>(-1)*SUM(C133:F133)/SUM(C132:F132)</f>
        <v>0.6397743300423131</v>
      </c>
      <c r="C22" s="157"/>
      <c r="D22" s="166"/>
      <c r="E22" s="140"/>
      <c r="F22" s="159">
        <f>IF(B22&lt;=0,10,IF(B22&gt;=100%,0,(1-B22)*10))</f>
        <v>3.602256699576869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2.1136373749815358</v>
      </c>
      <c r="J22" s="78"/>
      <c r="K22" s="142" t="s">
        <v>357</v>
      </c>
      <c r="L22" s="165">
        <f>HLOOKUP($C$1,$105:$115,4,FALSE)/HLOOKUP($C$1,$105:$115,11,FALSE)</f>
        <v>6.4474923412847482E-2</v>
      </c>
      <c r="M22" s="123" t="s">
        <v>353</v>
      </c>
      <c r="N22" s="165">
        <f>HLOOKUP($C$1,$117:$127,4,FALSE)/HLOOKUP($C$1,$117:$127,11,FALSE)</f>
        <v>7.0699217839136116E-2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1.2864384926519259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4.0128652429236703E-2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1.0002280876790206</v>
      </c>
      <c r="C24" s="169">
        <f>STDEV(C103:F103)</f>
        <v>4.209750108010285E-4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40.909999999999997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1.6238523988437122E-2</v>
      </c>
      <c r="M24" s="123" t="s">
        <v>355</v>
      </c>
      <c r="N24" s="165">
        <f>HLOOKUP($C$1,$117:$127,9,FALSE)/HLOOKUP($C$1,$117:$127,11,FALSE)</f>
        <v>0.27191758406753536</v>
      </c>
    </row>
    <row r="25" spans="1:14" s="93" customFormat="1" x14ac:dyDescent="0.25">
      <c r="A25" s="151" t="s">
        <v>366</v>
      </c>
      <c r="B25" s="255">
        <f>AVERAGE(94:94)</f>
        <v>2562548.1739130435</v>
      </c>
      <c r="C25" s="254">
        <f>STDEV(94:94)/AVERAGE(94:94)</f>
        <v>1.6520582451307972</v>
      </c>
      <c r="D25" s="76" t="str">
        <f>IF(C25&lt;=1,"高",IF(C25&lt;=2,"中","低"))</f>
        <v>中</v>
      </c>
      <c r="E25" s="149"/>
      <c r="F25" s="160">
        <f>MAX(0,10-ABS(C25))</f>
        <v>8.3479417548692023</v>
      </c>
      <c r="G25" s="88" t="s">
        <v>213</v>
      </c>
      <c r="H25" s="123" t="s">
        <v>232</v>
      </c>
      <c r="I25" s="170">
        <f>IF(HLOOKUP(C1,167:170,3,FALSE)="無",0,HLOOKUP(C1,167:170,3,FALSE))</f>
        <v>48.13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41.989130434782602</v>
      </c>
      <c r="C26" s="172">
        <f>IF(COUNTIF(168:168,"&gt;0")=0,0,STDEV(168:168))</f>
        <v>3.1390370744769345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46.460000000000008</v>
      </c>
      <c r="C27" s="172">
        <f>IF(COUNTIF(169:169,"&gt;0")=0,0,STDEV(169:169))</f>
        <v>5.6790019929880788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0.48830000000000007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0.34420000000000001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26.094999999999999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10.5375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5.125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8.4590747330960863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787816593.5</v>
      </c>
      <c r="C36" s="178">
        <f>STDEV(C97:F97)</f>
        <v>148061438.51107231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48.830000000000005</v>
      </c>
      <c r="C37" s="180">
        <f>STDEV(C152:F152)</f>
        <v>1.3202272531651518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37.92</v>
      </c>
      <c r="C38" s="180">
        <f>STDEV(C153:F153)</f>
        <v>2.0514547683696724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26.094999999999999</v>
      </c>
      <c r="C39" s="181">
        <f>STDEV(C165:F165)</f>
        <v>1.7380544678845182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10.5375</v>
      </c>
      <c r="C40" s="183">
        <f>STDEV(B69:E69)</f>
        <v>2.4550543103293405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-6.970509383378011E-2</v>
      </c>
      <c r="C44" s="186">
        <f>(C46-C49)/C49</f>
        <v>-8.5714285714285632E-2</v>
      </c>
      <c r="D44" s="186">
        <f>(D46-D49)/D49</f>
        <v>0.35199999999999998</v>
      </c>
      <c r="E44" s="186">
        <f>(E46-E49)/E49</f>
        <v>0.37366548042704617</v>
      </c>
      <c r="G44" s="86" t="s">
        <v>175</v>
      </c>
      <c r="H44" s="186">
        <f>(H47-H50)/H50</f>
        <v>-4.7047292330311186E-2</v>
      </c>
      <c r="I44" s="186">
        <f>(I47-I50)/I50</f>
        <v>-5.4408549914986712E-2</v>
      </c>
      <c r="J44" s="186">
        <f>(J47-J50)/J50</f>
        <v>0.17701414958128761</v>
      </c>
      <c r="K44" s="186">
        <f>(K47-K50)/K50</f>
        <v>9.397024275646039E-2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3.47</v>
      </c>
      <c r="C46" s="152">
        <f>HLOOKUP(C45,$81:$82,2,FALSE)</f>
        <v>2.56</v>
      </c>
      <c r="D46" s="152">
        <f>HLOOKUP(D45,$81:$82,2,FALSE)</f>
        <v>3.38</v>
      </c>
      <c r="E46" s="152">
        <f>HLOOKUP(E45,$81:$82,2,FALSE)</f>
        <v>3.86</v>
      </c>
      <c r="G46" s="86" t="s">
        <v>164</v>
      </c>
      <c r="H46" s="145">
        <f>HLOOKUP(H45,$145:$147,2,FALSE)/100</f>
        <v>0.49930000000000002</v>
      </c>
      <c r="I46" s="145">
        <f>HLOOKUP(I45,$145:$147,2,FALSE)/100</f>
        <v>0.50829999999999997</v>
      </c>
      <c r="J46" s="145">
        <f>HLOOKUP(J45,$145:$147,2,FALSE)/100</f>
        <v>0.51939999999999997</v>
      </c>
      <c r="K46" s="145">
        <f>HLOOKUP(K45,$145:$147,2,FALSE)/100</f>
        <v>0.52290000000000003</v>
      </c>
    </row>
    <row r="47" spans="1:14" x14ac:dyDescent="0.25">
      <c r="A47" s="188" t="s">
        <v>165</v>
      </c>
      <c r="B47" s="189">
        <f>HLOOKUP(B45,$157:$159,3,FALSE)</f>
        <v>6.49</v>
      </c>
      <c r="C47" s="189">
        <f>HLOOKUP(C45,$157:$159,3,FALSE)</f>
        <v>4.74</v>
      </c>
      <c r="D47" s="189">
        <f>HLOOKUP(D45,$157:$159,3,FALSE)</f>
        <v>6.16</v>
      </c>
      <c r="E47" s="189">
        <f>HLOOKUP(E45,$157:$159,3,FALSE)</f>
        <v>7.5</v>
      </c>
      <c r="G47" s="190" t="s">
        <v>166</v>
      </c>
      <c r="H47" s="145">
        <f>HLOOKUP(H45,$145:$147,3,FALSE)/100</f>
        <v>0.38890000000000002</v>
      </c>
      <c r="I47" s="145">
        <f>HLOOKUP(I45,$145:$147,3,FALSE)/100</f>
        <v>0.38929999999999998</v>
      </c>
      <c r="J47" s="145">
        <f>HLOOKUP(J45,$145:$147,3,FALSE)/100</f>
        <v>0.40759999999999996</v>
      </c>
      <c r="K47" s="145">
        <f>HLOOKUP(K45,$145:$147,3,FALSE)/100</f>
        <v>0.41909999999999997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3.73</v>
      </c>
      <c r="C49" s="152">
        <f>HLOOKUP(C48,$81:$82,2,FALSE)</f>
        <v>2.8</v>
      </c>
      <c r="D49" s="152">
        <f>HLOOKUP(D48,$81:$82,2,FALSE)</f>
        <v>2.5</v>
      </c>
      <c r="E49" s="152">
        <f>HLOOKUP(E48,$81:$82,2,FALSE)</f>
        <v>2.81</v>
      </c>
      <c r="G49" s="86" t="s">
        <v>164</v>
      </c>
      <c r="H49" s="145">
        <f>HLOOKUP(H48,$145:$147,2,FALSE)/100</f>
        <v>0.5071</v>
      </c>
      <c r="I49" s="145">
        <f>HLOOKUP(I48,$145:$147,2,FALSE)/100</f>
        <v>0.51549999999999996</v>
      </c>
      <c r="J49" s="145">
        <f>HLOOKUP(J48,$145:$147,2,FALSE)/100</f>
        <v>0.44880000000000003</v>
      </c>
      <c r="K49" s="145">
        <f>HLOOKUP(K48,$145:$147,2,FALSE)/100</f>
        <v>0.48599999999999999</v>
      </c>
    </row>
    <row r="50" spans="1:15" x14ac:dyDescent="0.25">
      <c r="A50" s="188" t="s">
        <v>165</v>
      </c>
      <c r="B50" s="189">
        <f>HLOOKUP(B48,$157:$159,3,FALSE)</f>
        <v>7.8</v>
      </c>
      <c r="C50" s="189">
        <f>HLOOKUP(C48,$157:$159,3,FALSE)</f>
        <v>5.85</v>
      </c>
      <c r="D50" s="189">
        <f>HLOOKUP(D48,$157:$159,3,FALSE)</f>
        <v>5.18</v>
      </c>
      <c r="E50" s="189">
        <f>HLOOKUP(E48,$157:$159,3,FALSE)</f>
        <v>6.14</v>
      </c>
      <c r="G50" s="190" t="s">
        <v>166</v>
      </c>
      <c r="H50" s="145">
        <f>HLOOKUP(H48,$145:$147,3,FALSE)/100</f>
        <v>0.40810000000000002</v>
      </c>
      <c r="I50" s="145">
        <f>HLOOKUP(I48,$145:$147,3,FALSE)/100</f>
        <v>0.41170000000000001</v>
      </c>
      <c r="J50" s="145">
        <f>HLOOKUP(J48,$145:$147,3,FALSE)/100</f>
        <v>0.34630000000000005</v>
      </c>
      <c r="K50" s="145">
        <f>HLOOKUP(K48,$145:$147,3,FALSE)/100</f>
        <v>0.3831</v>
      </c>
    </row>
    <row r="51" spans="1:15" x14ac:dyDescent="0.25">
      <c r="A51" s="86" t="s">
        <v>351</v>
      </c>
      <c r="B51" s="186">
        <f>(B47-B50)/B50</f>
        <v>-0.16794871794871791</v>
      </c>
      <c r="C51" s="186">
        <f>(C47-C50)/C50</f>
        <v>-0.18974358974358965</v>
      </c>
      <c r="D51" s="186">
        <f>(D47-D50)/D50</f>
        <v>0.18918918918918928</v>
      </c>
      <c r="E51" s="186">
        <f>(E47-E50)/E50</f>
        <v>0.22149837133550496</v>
      </c>
      <c r="G51" s="235" t="s">
        <v>174</v>
      </c>
      <c r="H51" s="186">
        <f>(H46-H49)/H49</f>
        <v>-1.5381581542102098E-2</v>
      </c>
      <c r="I51" s="186">
        <f>(I46-I49)/I49</f>
        <v>-1.396702230843838E-2</v>
      </c>
      <c r="J51" s="186">
        <f>(J46-J49)/J49</f>
        <v>0.15730837789661306</v>
      </c>
      <c r="K51" s="186">
        <f>(K46-K49)/K49</f>
        <v>7.5925925925926022E-2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13.107764204472296</v>
      </c>
      <c r="B53" s="193">
        <f>B46</f>
        <v>3.47</v>
      </c>
      <c r="C53" s="193">
        <f>E46/HLOOKUP(E45,$87:$94,5,FALSE)*HLOOKUP(E45,$87:$94,4,FALSE)*($B$25/HLOOKUP(E45,$87:$94,4,FALSE)+SUM($B$57:$D$57)/SUM($B58:$D$58)*$G$69/100/K46)</f>
        <v>3.7708157610832496</v>
      </c>
      <c r="D53" s="193">
        <f>D46/HLOOKUP(D45,$87:$94,5,FALSE)*HLOOKUP(D45,$87:$94,4,FALSE)*($B$25/HLOOKUP(D45,$87:$94,4,FALSE)+SUM($B$57:$D$57)/SUM($B58:$D$58)*$G$69/100/J46)</f>
        <v>3.3145200439919162</v>
      </c>
      <c r="E53" s="193">
        <f>C46/HLOOKUP(C45,$87:$94,5,FALSE)*HLOOKUP(C45,$87:$94,4,FALSE)*($B$25/HLOOKUP(C45,$87:$94,4,FALSE)+SUM($B$57:$D$57)/SUM($B58:$D$58)*$G$69/100/I46)</f>
        <v>2.5524283993971317</v>
      </c>
    </row>
    <row r="54" spans="1:15" x14ac:dyDescent="0.25">
      <c r="A54" s="278">
        <f>SUM(B54:E54)</f>
        <v>13.53</v>
      </c>
      <c r="B54" s="277">
        <f t="shared" ref="B54:D54" si="0">HLOOKUP(B52-10,81:82,2,FALSE)</f>
        <v>3.73</v>
      </c>
      <c r="C54" s="277">
        <f t="shared" si="0"/>
        <v>3.86</v>
      </c>
      <c r="D54" s="277">
        <f t="shared" si="0"/>
        <v>3.38</v>
      </c>
      <c r="E54" s="277">
        <f>HLOOKUP(E52-10,81:82,2,FALSE)</f>
        <v>2.56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94519722</v>
      </c>
      <c r="C57" s="196">
        <f>HLOOKUP(C56,78:79,2,FALSE)</f>
        <v>88578988</v>
      </c>
      <c r="D57" s="196">
        <f>HLOOKUP(D56,78:79,2,FALSE)</f>
        <v>91917167</v>
      </c>
      <c r="E57" s="196">
        <f>HLOOKUP(E56,78:79,2,FALSE)</f>
        <v>71611190</v>
      </c>
      <c r="F57" s="196">
        <f>HLOOKUP(F56,78:79,2,FALSE)</f>
        <v>84187305</v>
      </c>
      <c r="G57" s="196">
        <f t="shared" ref="G57:M57" si="2">HLOOKUP(G56,78:79,2,FALSE)</f>
        <v>72795974</v>
      </c>
      <c r="H57" s="196">
        <f t="shared" si="2"/>
        <v>56871933</v>
      </c>
      <c r="I57" s="196">
        <f t="shared" si="2"/>
        <v>85875181</v>
      </c>
      <c r="J57" s="196">
        <f t="shared" si="2"/>
        <v>71422961</v>
      </c>
      <c r="K57" s="196">
        <f t="shared" si="2"/>
        <v>76616258</v>
      </c>
      <c r="L57" s="196">
        <f t="shared" si="2"/>
        <v>78112022</v>
      </c>
      <c r="M57" s="196">
        <f t="shared" si="2"/>
        <v>93029912</v>
      </c>
      <c r="N57" s="197"/>
    </row>
    <row r="58" spans="1:15" x14ac:dyDescent="0.25">
      <c r="A58" s="198" t="s">
        <v>253</v>
      </c>
      <c r="B58" s="196">
        <f>HLOOKUP(B56-100,78:79,2,FALSE)</f>
        <v>91085318</v>
      </c>
      <c r="C58" s="196">
        <f>HLOOKUP(C56-100,78:79,2,FALSE)</f>
        <v>89702807</v>
      </c>
      <c r="D58" s="196">
        <f>HLOOKUP(D56-100,78:79,2,FALSE)</f>
        <v>94311424</v>
      </c>
      <c r="E58" s="196">
        <f>HLOOKUP(E56-100,78:79,2,FALSE)</f>
        <v>76391654</v>
      </c>
      <c r="F58" s="196">
        <f>HLOOKUP(F56-100,78:79,2,FALSE)</f>
        <v>81390752</v>
      </c>
      <c r="G58" s="196">
        <f t="shared" ref="G58:M58" si="3">HLOOKUP(G56-100,78:79,2,FALSE)</f>
        <v>73575784</v>
      </c>
      <c r="H58" s="196">
        <f t="shared" si="3"/>
        <v>66843310</v>
      </c>
      <c r="I58" s="196">
        <f t="shared" si="3"/>
        <v>73088805</v>
      </c>
      <c r="J58" s="196">
        <f t="shared" si="3"/>
        <v>59551321</v>
      </c>
      <c r="K58" s="196">
        <f t="shared" si="3"/>
        <v>70855235</v>
      </c>
      <c r="L58" s="196">
        <f t="shared" si="3"/>
        <v>58347005</v>
      </c>
      <c r="M58" s="196">
        <f t="shared" si="3"/>
        <v>63428163</v>
      </c>
      <c r="N58" s="197"/>
    </row>
    <row r="59" spans="1:15" x14ac:dyDescent="0.25">
      <c r="A59" s="199" t="s">
        <v>254</v>
      </c>
      <c r="B59" s="165">
        <f>IF(B57&lt;&gt;"",(B57-B58)/B58,"")</f>
        <v>3.7705352250073938E-2</v>
      </c>
      <c r="C59" s="165">
        <f>IF(C57&lt;&gt;"",(C57-C58)/C58,"")</f>
        <v>-1.252824786185342E-2</v>
      </c>
      <c r="D59" s="165">
        <f>IF(D57&lt;&gt;"",(D57-D58)/D58,"")</f>
        <v>-2.538671243051107E-2</v>
      </c>
      <c r="E59" s="165">
        <f>IF(E57&lt;&gt;"",(E57-E58)/E58,"")</f>
        <v>-6.2578354436467629E-2</v>
      </c>
      <c r="F59" s="165">
        <f>IF(F57&lt;&gt;"",(F57-F58)/F58,"")</f>
        <v>3.4359591615519165E-2</v>
      </c>
      <c r="G59" s="165">
        <f t="shared" ref="G59:M59" si="4">IF(G57&lt;&gt;"",(G57-G58)/G58,"")</f>
        <v>-1.0598731778379691E-2</v>
      </c>
      <c r="H59" s="165">
        <f t="shared" si="4"/>
        <v>-0.14917539242147046</v>
      </c>
      <c r="I59" s="165">
        <f t="shared" si="4"/>
        <v>0.17494301623894384</v>
      </c>
      <c r="J59" s="165">
        <f t="shared" si="4"/>
        <v>0.19935141321214353</v>
      </c>
      <c r="K59" s="165">
        <f t="shared" si="4"/>
        <v>8.1306949303040207E-2</v>
      </c>
      <c r="L59" s="165">
        <f t="shared" si="4"/>
        <v>0.33874946966001085</v>
      </c>
      <c r="M59" s="165">
        <f t="shared" si="4"/>
        <v>0.46669724614285296</v>
      </c>
    </row>
    <row r="60" spans="1:15" x14ac:dyDescent="0.25">
      <c r="A60" s="195" t="s">
        <v>255</v>
      </c>
      <c r="B60" s="196">
        <f>SUM(B57:M57)</f>
        <v>965538613</v>
      </c>
    </row>
    <row r="61" spans="1:15" x14ac:dyDescent="0.25">
      <c r="A61" s="198" t="s">
        <v>256</v>
      </c>
      <c r="B61" s="196">
        <f>SUM(B58:M58)</f>
        <v>898571578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1.0745260996893005</v>
      </c>
      <c r="D62" s="152">
        <f>SUM(B46:E46)</f>
        <v>13.27</v>
      </c>
      <c r="E62" s="152">
        <f>SUM(B49:E49)</f>
        <v>11.84</v>
      </c>
      <c r="G62" s="126">
        <f>SUM(B47:E47)</f>
        <v>24.89</v>
      </c>
      <c r="H62" s="126">
        <f>SUM(B50:E50)</f>
        <v>24.97</v>
      </c>
      <c r="J62" s="200">
        <f>AVERAGE(H46:K46)</f>
        <v>0.51247500000000001</v>
      </c>
      <c r="K62" s="200">
        <f>AVERAGE(H49:K49)</f>
        <v>0.48935000000000001</v>
      </c>
      <c r="M62" s="200">
        <f>AVERAGE(H47:K47)</f>
        <v>0.401225</v>
      </c>
      <c r="N62" s="200">
        <f>AVERAGE(H50:K50)</f>
        <v>0.38730000000000003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1.53</v>
      </c>
      <c r="C65" s="205">
        <f t="shared" si="5"/>
        <v>1.85</v>
      </c>
      <c r="D65" s="205">
        <f t="shared" si="5"/>
        <v>3.05</v>
      </c>
      <c r="E65" s="205">
        <f t="shared" si="5"/>
        <v>2.5</v>
      </c>
      <c r="F65" s="206">
        <f>IF(ISNA(HLOOKUP(F$64*10+$A65,$81:$82,2,FALSE)),(HLOOKUP(E$64*10+$A65,$87:$94,4,FALSE)*$G65+$B$25)/HLOOKUP(E$64*10+$A65,$87:$94,5,FALSE)*$E65,HLOOKUP(F$64*10+$A65,$81:$82,2,FALSE))</f>
        <v>3.38</v>
      </c>
      <c r="G65" s="101">
        <f>MIN(130%,SUM($B$57:$D$57)/SUM($B$58:$D$58)*$G$69/HLOOKUP(E$64*10+$A65,$145:$146,2,FALSE))</f>
        <v>1.1331853626915416</v>
      </c>
      <c r="H65" s="204">
        <v>1</v>
      </c>
      <c r="I65" s="208">
        <f t="shared" ref="I65:M68" si="6">IF(ISNA(HLOOKUP(I$64*10+$H65,$145:$147,3,FALSE)),"",HLOOKUP(I$64*10+$H65,$145:$147,3,FALSE)/100)</f>
        <v>0.3347</v>
      </c>
      <c r="J65" s="208">
        <f t="shared" si="6"/>
        <v>0.35439999999999999</v>
      </c>
      <c r="K65" s="208">
        <f t="shared" si="6"/>
        <v>0.3901</v>
      </c>
      <c r="L65" s="208">
        <f t="shared" si="6"/>
        <v>0.34630000000000005</v>
      </c>
      <c r="M65" s="209">
        <f t="shared" si="6"/>
        <v>0.40759999999999996</v>
      </c>
      <c r="N65" s="256">
        <f t="shared" ref="N65:O68" si="7">HLOOKUP(E$64*10+$A65,$87:$94,8,FALSE)</f>
        <v>1788585</v>
      </c>
      <c r="O65" s="256">
        <f t="shared" si="7"/>
        <v>2470109</v>
      </c>
      <c r="P65" s="210"/>
    </row>
    <row r="66" spans="1:71" x14ac:dyDescent="0.25">
      <c r="A66" s="204">
        <v>2</v>
      </c>
      <c r="B66" s="205">
        <f t="shared" si="5"/>
        <v>2</v>
      </c>
      <c r="C66" s="205">
        <f t="shared" si="5"/>
        <v>2.2999999999999998</v>
      </c>
      <c r="D66" s="205">
        <f t="shared" si="5"/>
        <v>3.06</v>
      </c>
      <c r="E66" s="205">
        <f t="shared" si="5"/>
        <v>2.8</v>
      </c>
      <c r="F66" s="206">
        <f>IF(ISNA(HLOOKUP(F$64*10+$A66,$81:$82,2,FALSE)),(HLOOKUP(E$64*10+$A66,$87:$94,4,FALSE)*$G66+$B$25)/HLOOKUP(E$64*10+$A66,$87:$94,5,FALSE)*$E66,HLOOKUP(F$64*10+$A66,$81:$82,2,FALSE))</f>
        <v>2.56</v>
      </c>
      <c r="G66" s="101">
        <f>MIN(130%,SUM($B$57:$D$57)/SUM($B$58:$D$58)*$G$69/HLOOKUP(E$64*10+$A66,$145:$146,2,FALSE))</f>
        <v>0.98656370664590487</v>
      </c>
      <c r="H66" s="204">
        <v>2</v>
      </c>
      <c r="I66" s="208">
        <f t="shared" si="6"/>
        <v>0.36969999999999997</v>
      </c>
      <c r="J66" s="208">
        <f t="shared" si="6"/>
        <v>0.38640000000000002</v>
      </c>
      <c r="K66" s="208">
        <f t="shared" si="6"/>
        <v>0.37509999999999999</v>
      </c>
      <c r="L66" s="208">
        <f t="shared" si="6"/>
        <v>0.41170000000000001</v>
      </c>
      <c r="M66" s="209">
        <f t="shared" si="6"/>
        <v>0.38929999999999998</v>
      </c>
      <c r="N66" s="256">
        <f t="shared" si="7"/>
        <v>2085390</v>
      </c>
      <c r="O66" s="256">
        <f t="shared" si="7"/>
        <v>2862066</v>
      </c>
      <c r="P66" s="210"/>
    </row>
    <row r="67" spans="1:71" x14ac:dyDescent="0.25">
      <c r="A67" s="204">
        <v>3</v>
      </c>
      <c r="B67" s="205">
        <f t="shared" si="5"/>
        <v>2</v>
      </c>
      <c r="C67" s="205">
        <f t="shared" si="5"/>
        <v>2.94</v>
      </c>
      <c r="D67" s="205">
        <f t="shared" si="5"/>
        <v>2.91</v>
      </c>
      <c r="E67" s="205">
        <f t="shared" si="5"/>
        <v>3.73</v>
      </c>
      <c r="F67" s="206">
        <f>IF(ISNA(HLOOKUP(F$64*10+$A67,$81:$82,2,FALSE)),(HLOOKUP(E$64*10+$A67,$87:$94,4,FALSE)*$G67+$B$25)/HLOOKUP(E$64*10+$A67,$87:$94,5,FALSE)*$E67,HLOOKUP(F$64*10+$A67,$81:$82,2,FALSE))</f>
        <v>3.47</v>
      </c>
      <c r="G67" s="101">
        <f>MIN(130%,SUM($B$57:$D$57)/SUM($B$58:$D$58)*$G$69/HLOOKUP(E$64*10+$A67,$145:$146,2,FALSE))</f>
        <v>1.0029059175230999</v>
      </c>
      <c r="H67" s="204">
        <v>3</v>
      </c>
      <c r="I67" s="208">
        <f t="shared" si="6"/>
        <v>0.36670000000000003</v>
      </c>
      <c r="J67" s="208">
        <f t="shared" si="6"/>
        <v>0.40389999999999998</v>
      </c>
      <c r="K67" s="208">
        <f t="shared" si="6"/>
        <v>0.36890000000000001</v>
      </c>
      <c r="L67" s="208">
        <f t="shared" si="6"/>
        <v>0.40810000000000002</v>
      </c>
      <c r="M67" s="209">
        <f t="shared" si="6"/>
        <v>0.38890000000000002</v>
      </c>
      <c r="N67" s="256">
        <f t="shared" si="7"/>
        <v>1987493</v>
      </c>
      <c r="O67" s="256">
        <f t="shared" si="7"/>
        <v>2461731</v>
      </c>
      <c r="P67" s="210"/>
    </row>
    <row r="68" spans="1:71" x14ac:dyDescent="0.25">
      <c r="A68" s="204">
        <v>4</v>
      </c>
      <c r="B68" s="205">
        <f>HLOOKUP(B$64*10+$A68,$81:$82,2,FALSE)</f>
        <v>1.73</v>
      </c>
      <c r="C68" s="205">
        <f>HLOOKUP(C$64*10+$A68,$81:$82,2,FALSE)</f>
        <v>3.08</v>
      </c>
      <c r="D68" s="205">
        <f>HLOOKUP(D$64*10+$A68,$81:$82,2,FALSE)</f>
        <v>2.81</v>
      </c>
      <c r="E68" s="206">
        <f>IF(ISNA(HLOOKUP(E$64*10+$A68,$81:$82,2,FALSE)),D68*(1-$N68)*#REF!*(1+$B$25)/(1+$E$4),HLOOKUP(E$64*10+$A68,$81:$82,2,FALSE))</f>
        <v>3.86</v>
      </c>
      <c r="F68" s="206">
        <f>IF(ISNA(HLOOKUP(F$64*10+$A68,$81:$82,2,FALSE)),(HLOOKUP(E$64*10+$A68,$87:$94,4,FALSE)*$G68+$B$25)/HLOOKUP(E$64*10+$A68,$87:$94,5,FALSE)*$E68,HLOOKUP(F$64*10+$A68,$81:$82,2,FALSE))</f>
        <v>3.77081576108325</v>
      </c>
      <c r="G68" s="101">
        <f>MIN(130%,SUM($B$57:$D$57)/SUM($B$58:$D$58)*$G$69/HLOOKUP(E$64*10+$A68,$145:$146,2,FALSE))</f>
        <v>0.97260200951609088</v>
      </c>
      <c r="H68" s="204">
        <v>4</v>
      </c>
      <c r="I68" s="208">
        <f t="shared" si="6"/>
        <v>0.32750000000000001</v>
      </c>
      <c r="J68" s="208">
        <f t="shared" si="6"/>
        <v>0.39640000000000003</v>
      </c>
      <c r="K68" s="208">
        <f t="shared" si="6"/>
        <v>0.3831</v>
      </c>
      <c r="L68" s="208">
        <f t="shared" si="6"/>
        <v>0.41909999999999997</v>
      </c>
      <c r="M68" s="209" t="str">
        <f t="shared" si="6"/>
        <v/>
      </c>
      <c r="N68" s="256">
        <f t="shared" si="7"/>
        <v>2140134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7.26</v>
      </c>
      <c r="C69" s="213">
        <f>SUM(C65:C68)</f>
        <v>10.17</v>
      </c>
      <c r="D69" s="213">
        <f>SUM(D65:D68)</f>
        <v>11.83</v>
      </c>
      <c r="E69" s="213">
        <f>SUM(E65:E68)</f>
        <v>12.889999999999999</v>
      </c>
      <c r="F69" s="213">
        <f>SUM(F65:F68)</f>
        <v>13.180815761083251</v>
      </c>
      <c r="G69" s="257">
        <f>_xlfn.FORECAST.ETS(23,B146:W146,{1,2,3,4,5,6,7,8,9,10,11,12,13,14,15,16,17,18,19,20,21,22})</f>
        <v>50.872832136807233</v>
      </c>
      <c r="H69" s="214" t="s">
        <v>19</v>
      </c>
      <c r="I69" s="215">
        <f>HLOOKUP(I64,151:155,3,FALSE)/100</f>
        <v>0.3508</v>
      </c>
      <c r="J69" s="215">
        <f>HLOOKUP(J64,151:155,3,FALSE)/100</f>
        <v>0.38789999999999997</v>
      </c>
      <c r="K69" s="215">
        <f>HLOOKUP(K64,151:155,3,FALSE)/100</f>
        <v>0.37939999999999996</v>
      </c>
      <c r="L69" s="215">
        <f>IF(ISNA(HLOOKUP(L64,151:155,3,FALSE)/100),AVERAGE(L65:L68),HLOOKUP(L64,151:155,3,FALSE)/100)</f>
        <v>0.3987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5.29</v>
      </c>
      <c r="C72" s="205">
        <f t="shared" si="8"/>
        <v>5.48</v>
      </c>
      <c r="D72" s="205">
        <f t="shared" si="8"/>
        <v>7.28</v>
      </c>
      <c r="E72" s="205">
        <f t="shared" si="8"/>
        <v>5.18</v>
      </c>
      <c r="F72" s="205">
        <f t="shared" si="8"/>
        <v>6.16</v>
      </c>
    </row>
    <row r="73" spans="1:71" s="135" customFormat="1" x14ac:dyDescent="0.25">
      <c r="A73" s="204">
        <v>2</v>
      </c>
      <c r="B73" s="205">
        <f t="shared" si="8"/>
        <v>6.83</v>
      </c>
      <c r="C73" s="205">
        <f t="shared" si="8"/>
        <v>6.72</v>
      </c>
      <c r="D73" s="205">
        <f t="shared" si="8"/>
        <v>7.25</v>
      </c>
      <c r="E73" s="205">
        <f t="shared" si="8"/>
        <v>5.85</v>
      </c>
      <c r="F73" s="205">
        <f t="shared" si="8"/>
        <v>4.74</v>
      </c>
    </row>
    <row r="74" spans="1:71" s="135" customFormat="1" x14ac:dyDescent="0.25">
      <c r="A74" s="204">
        <v>3</v>
      </c>
      <c r="B74" s="205">
        <f t="shared" si="8"/>
        <v>6.7</v>
      </c>
      <c r="C74" s="205">
        <f t="shared" si="8"/>
        <v>8.32</v>
      </c>
      <c r="D74" s="205">
        <f t="shared" si="8"/>
        <v>6.79</v>
      </c>
      <c r="E74" s="205">
        <f t="shared" si="8"/>
        <v>7.8</v>
      </c>
      <c r="F74" s="205">
        <f t="shared" si="8"/>
        <v>6.49</v>
      </c>
    </row>
    <row r="75" spans="1:71" s="135" customFormat="1" x14ac:dyDescent="0.25">
      <c r="A75" s="204">
        <v>4</v>
      </c>
      <c r="B75" s="205">
        <f t="shared" si="8"/>
        <v>5.42</v>
      </c>
      <c r="C75" s="205">
        <f t="shared" si="8"/>
        <v>7.99</v>
      </c>
      <c r="D75" s="205">
        <f t="shared" si="8"/>
        <v>6.14</v>
      </c>
      <c r="E75" s="205">
        <f t="shared" si="8"/>
        <v>7.5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24.240000000000002</v>
      </c>
      <c r="C76" s="213">
        <f>SUM(C72:C75)</f>
        <v>28.509999999999998</v>
      </c>
      <c r="D76" s="213">
        <f>SUM(D72:D75)</f>
        <v>27.46</v>
      </c>
      <c r="E76" s="213">
        <f>AVERAGE(E72:E75)*4</f>
        <v>26.33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34568723</v>
      </c>
      <c r="C79" s="270">
        <v>33855692</v>
      </c>
      <c r="D79" s="270">
        <v>37083259</v>
      </c>
      <c r="E79" s="270">
        <v>40496082</v>
      </c>
      <c r="F79" s="270">
        <v>44137730</v>
      </c>
      <c r="G79" s="270">
        <v>43427017</v>
      </c>
      <c r="H79" s="270">
        <v>48525185</v>
      </c>
      <c r="I79" s="270">
        <v>49496994</v>
      </c>
      <c r="J79" s="270">
        <v>43353272</v>
      </c>
      <c r="K79" s="270">
        <v>49937707</v>
      </c>
      <c r="L79" s="270">
        <v>44252771</v>
      </c>
      <c r="M79" s="270">
        <v>37114148</v>
      </c>
      <c r="N79" s="270">
        <v>47438687</v>
      </c>
      <c r="O79" s="270">
        <v>41182084</v>
      </c>
      <c r="P79" s="270">
        <v>44134225</v>
      </c>
      <c r="Q79" s="270">
        <v>50070645</v>
      </c>
      <c r="R79" s="270">
        <v>51787926</v>
      </c>
      <c r="S79" s="270">
        <v>54027749</v>
      </c>
      <c r="T79" s="270">
        <v>52103384</v>
      </c>
      <c r="U79" s="270">
        <v>55091177</v>
      </c>
      <c r="V79" s="270">
        <v>55382473</v>
      </c>
      <c r="W79" s="270">
        <v>51794813</v>
      </c>
      <c r="X79" s="270">
        <v>44329997</v>
      </c>
      <c r="Y79" s="270">
        <v>49681037</v>
      </c>
      <c r="Z79" s="270">
        <v>51429993</v>
      </c>
      <c r="AA79" s="270">
        <v>46829051</v>
      </c>
      <c r="AB79" s="270">
        <v>49956128</v>
      </c>
      <c r="AC79" s="270">
        <v>61887391</v>
      </c>
      <c r="AD79" s="270">
        <v>60789137</v>
      </c>
      <c r="AE79" s="270">
        <v>60343956</v>
      </c>
      <c r="AF79" s="270">
        <v>64924870</v>
      </c>
      <c r="AG79" s="270">
        <v>69278551</v>
      </c>
      <c r="AH79" s="270">
        <v>74846313</v>
      </c>
      <c r="AI79" s="270">
        <v>80736353</v>
      </c>
      <c r="AJ79" s="270">
        <v>72274532</v>
      </c>
      <c r="AK79" s="270">
        <v>69510190</v>
      </c>
      <c r="AL79" s="270">
        <v>87120068</v>
      </c>
      <c r="AM79" s="270">
        <v>62645075</v>
      </c>
      <c r="AN79" s="270">
        <v>72269001</v>
      </c>
      <c r="AO79" s="270">
        <v>75329510</v>
      </c>
      <c r="AP79" s="270">
        <v>70154763</v>
      </c>
      <c r="AQ79" s="270">
        <v>59955479</v>
      </c>
      <c r="AR79" s="270">
        <v>80952810</v>
      </c>
      <c r="AS79" s="270">
        <v>67038016</v>
      </c>
      <c r="AT79" s="270">
        <v>64514083</v>
      </c>
      <c r="AU79" s="270">
        <v>81743395</v>
      </c>
      <c r="AV79" s="270">
        <v>63428163</v>
      </c>
      <c r="AW79" s="270">
        <v>58347005</v>
      </c>
      <c r="AX79" s="270">
        <v>70855235</v>
      </c>
      <c r="AY79" s="270">
        <v>59551321</v>
      </c>
      <c r="AZ79" s="270">
        <v>73088805</v>
      </c>
      <c r="BA79" s="270">
        <v>66843310</v>
      </c>
      <c r="BB79" s="270">
        <v>73575784</v>
      </c>
      <c r="BC79" s="270">
        <v>81390752</v>
      </c>
      <c r="BD79" s="270">
        <v>76391654</v>
      </c>
      <c r="BE79" s="270">
        <v>94311424</v>
      </c>
      <c r="BF79" s="270">
        <v>89702807</v>
      </c>
      <c r="BG79" s="270">
        <v>91085318</v>
      </c>
      <c r="BH79" s="270">
        <v>93029912</v>
      </c>
      <c r="BI79" s="270">
        <v>78112022</v>
      </c>
      <c r="BJ79" s="270">
        <v>76616258</v>
      </c>
      <c r="BK79" s="270">
        <v>71422961</v>
      </c>
      <c r="BL79" s="270">
        <v>85875181</v>
      </c>
      <c r="BM79" s="270">
        <v>56871933</v>
      </c>
      <c r="BN79" s="270">
        <v>72795974</v>
      </c>
      <c r="BO79" s="270">
        <v>84187305</v>
      </c>
      <c r="BP79" s="270">
        <v>71611190</v>
      </c>
      <c r="BQ79" s="270">
        <v>91917167</v>
      </c>
      <c r="BR79" s="270">
        <v>88578988</v>
      </c>
      <c r="BS79" s="270">
        <v>94519722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1.29</v>
      </c>
      <c r="C82" s="72">
        <v>1.61</v>
      </c>
      <c r="D82" s="72">
        <v>1.9</v>
      </c>
      <c r="E82" s="72">
        <v>1.6</v>
      </c>
      <c r="F82" s="72">
        <v>1.53</v>
      </c>
      <c r="G82" s="72">
        <v>2</v>
      </c>
      <c r="H82" s="72">
        <v>2</v>
      </c>
      <c r="I82" s="72">
        <v>1.73</v>
      </c>
      <c r="J82" s="72">
        <v>1.85</v>
      </c>
      <c r="K82" s="72">
        <v>2.2999999999999998</v>
      </c>
      <c r="L82" s="72">
        <v>2.94</v>
      </c>
      <c r="M82" s="72">
        <v>3.08</v>
      </c>
      <c r="N82" s="72">
        <v>3.05</v>
      </c>
      <c r="O82" s="72">
        <v>3.06</v>
      </c>
      <c r="P82" s="72">
        <v>2.91</v>
      </c>
      <c r="Q82" s="72">
        <v>2.81</v>
      </c>
      <c r="R82" s="72">
        <v>2.5</v>
      </c>
      <c r="S82" s="72">
        <v>2.8</v>
      </c>
      <c r="T82" s="72">
        <v>3.73</v>
      </c>
      <c r="U82" s="72">
        <v>3.86</v>
      </c>
      <c r="V82" s="72">
        <v>3.38</v>
      </c>
      <c r="W82" s="72">
        <v>2.56</v>
      </c>
      <c r="X82" s="72">
        <v>3.47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25.5</v>
      </c>
      <c r="C85" s="72">
        <v>24.21</v>
      </c>
      <c r="D85" s="72">
        <v>26.02</v>
      </c>
      <c r="E85" s="72">
        <v>27.9</v>
      </c>
      <c r="F85" s="72">
        <v>29.55</v>
      </c>
      <c r="G85" s="72">
        <v>28.77</v>
      </c>
      <c r="H85" s="72">
        <v>31</v>
      </c>
      <c r="I85" s="72">
        <v>32.69</v>
      </c>
      <c r="J85" s="72">
        <v>34.619999999999997</v>
      </c>
      <c r="K85" s="72">
        <v>33.81</v>
      </c>
      <c r="L85" s="72">
        <v>36.89</v>
      </c>
      <c r="M85" s="72">
        <v>40.32</v>
      </c>
      <c r="N85" s="72">
        <v>43.34</v>
      </c>
      <c r="O85" s="72">
        <v>41.13</v>
      </c>
      <c r="P85" s="72">
        <v>44.39</v>
      </c>
      <c r="Q85" s="72">
        <v>47.11</v>
      </c>
      <c r="R85" s="72">
        <v>49.36</v>
      </c>
      <c r="S85" s="72">
        <v>46.14</v>
      </c>
      <c r="T85" s="72">
        <v>49.48</v>
      </c>
      <c r="U85" s="72">
        <v>53.58</v>
      </c>
      <c r="V85" s="72">
        <v>56.13</v>
      </c>
      <c r="W85" s="72">
        <v>51.74</v>
      </c>
      <c r="X85" s="72">
        <v>55.18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105507675</v>
      </c>
      <c r="C88" s="273">
        <v>128060828</v>
      </c>
      <c r="D88" s="273">
        <v>141375451</v>
      </c>
      <c r="E88" s="273">
        <v>131304626</v>
      </c>
      <c r="F88" s="273">
        <v>132754996</v>
      </c>
      <c r="G88" s="273">
        <v>155886320</v>
      </c>
      <c r="H88" s="273">
        <v>162577034</v>
      </c>
      <c r="I88" s="273">
        <v>145805847</v>
      </c>
      <c r="J88" s="273">
        <v>148215172</v>
      </c>
      <c r="K88" s="273">
        <v>183020484</v>
      </c>
      <c r="L88" s="273">
        <v>209049734</v>
      </c>
      <c r="M88" s="273">
        <v>222521075</v>
      </c>
      <c r="N88" s="273">
        <v>222034144</v>
      </c>
      <c r="O88" s="273">
        <v>205439752</v>
      </c>
      <c r="P88" s="273">
        <v>212504909</v>
      </c>
      <c r="Q88" s="273">
        <v>203518563</v>
      </c>
      <c r="R88" s="273">
        <v>203495361</v>
      </c>
      <c r="S88" s="273">
        <v>221809846</v>
      </c>
      <c r="T88" s="273">
        <v>260405885</v>
      </c>
      <c r="U88" s="273">
        <v>262227252</v>
      </c>
      <c r="V88" s="273">
        <v>233914400</v>
      </c>
      <c r="W88" s="273">
        <v>213855212</v>
      </c>
      <c r="X88" s="273">
        <v>252107345</v>
      </c>
    </row>
    <row r="89" spans="1:25" ht="14.25" thickBot="1" x14ac:dyDescent="0.3">
      <c r="A89" s="250" t="s">
        <v>4</v>
      </c>
      <c r="B89" s="275">
        <v>50286583</v>
      </c>
      <c r="C89" s="275">
        <v>62470189</v>
      </c>
      <c r="D89" s="275">
        <v>69019378</v>
      </c>
      <c r="E89" s="275">
        <v>61843749</v>
      </c>
      <c r="F89" s="275">
        <v>60769810</v>
      </c>
      <c r="G89" s="275">
        <v>76422186</v>
      </c>
      <c r="H89" s="275">
        <v>78890811</v>
      </c>
      <c r="I89" s="275">
        <v>64840737</v>
      </c>
      <c r="J89" s="275">
        <v>70400096</v>
      </c>
      <c r="K89" s="275">
        <v>91192925</v>
      </c>
      <c r="L89" s="275">
        <v>105578364</v>
      </c>
      <c r="M89" s="275">
        <v>110544795</v>
      </c>
      <c r="N89" s="275">
        <v>109429264</v>
      </c>
      <c r="O89" s="275">
        <v>99704956</v>
      </c>
      <c r="P89" s="275">
        <v>102335756</v>
      </c>
      <c r="Q89" s="275">
        <v>98910526</v>
      </c>
      <c r="R89" s="275">
        <v>91337578</v>
      </c>
      <c r="S89" s="275">
        <v>114334236</v>
      </c>
      <c r="T89" s="275">
        <v>132050789</v>
      </c>
      <c r="U89" s="275">
        <v>137109495</v>
      </c>
      <c r="V89" s="275">
        <v>121489636</v>
      </c>
      <c r="W89" s="275">
        <v>108708654</v>
      </c>
      <c r="X89" s="275">
        <v>125880148</v>
      </c>
    </row>
    <row r="90" spans="1:25" ht="14.25" thickBot="1" x14ac:dyDescent="0.3">
      <c r="A90" s="251" t="s">
        <v>5</v>
      </c>
      <c r="B90" s="273">
        <v>35437968</v>
      </c>
      <c r="C90" s="273">
        <v>46711671</v>
      </c>
      <c r="D90" s="273">
        <v>52652879</v>
      </c>
      <c r="E90" s="273">
        <v>46254675</v>
      </c>
      <c r="F90" s="273">
        <v>44428009</v>
      </c>
      <c r="G90" s="273">
        <v>57629082</v>
      </c>
      <c r="H90" s="273">
        <v>59618054</v>
      </c>
      <c r="I90" s="273">
        <v>47754218</v>
      </c>
      <c r="J90" s="273">
        <v>52522360</v>
      </c>
      <c r="K90" s="273">
        <v>70713919</v>
      </c>
      <c r="L90" s="273">
        <v>84431984</v>
      </c>
      <c r="M90" s="273">
        <v>88216285</v>
      </c>
      <c r="N90" s="273">
        <v>86626123</v>
      </c>
      <c r="O90" s="273">
        <v>77069058</v>
      </c>
      <c r="P90" s="273">
        <v>78388924</v>
      </c>
      <c r="Q90" s="273">
        <v>77963670</v>
      </c>
      <c r="R90" s="273">
        <v>70467314</v>
      </c>
      <c r="S90" s="273">
        <v>91321001</v>
      </c>
      <c r="T90" s="273">
        <v>106262122</v>
      </c>
      <c r="U90" s="273">
        <v>109907341</v>
      </c>
      <c r="V90" s="273">
        <v>95352390</v>
      </c>
      <c r="W90" s="273">
        <v>83255401</v>
      </c>
      <c r="X90" s="273">
        <v>98056433</v>
      </c>
    </row>
    <row r="91" spans="1:25" ht="14.25" thickBot="1" x14ac:dyDescent="0.3">
      <c r="A91" s="250" t="s">
        <v>6</v>
      </c>
      <c r="B91" s="275">
        <v>35653704</v>
      </c>
      <c r="C91" s="275">
        <v>45924306</v>
      </c>
      <c r="D91" s="275">
        <v>53728546</v>
      </c>
      <c r="E91" s="275">
        <v>46247420</v>
      </c>
      <c r="F91" s="275">
        <v>45747914</v>
      </c>
      <c r="G91" s="275">
        <v>60016679</v>
      </c>
      <c r="H91" s="275">
        <v>59349884</v>
      </c>
      <c r="I91" s="275">
        <v>50372645</v>
      </c>
      <c r="J91" s="275">
        <v>53301842</v>
      </c>
      <c r="K91" s="275">
        <v>74098120</v>
      </c>
      <c r="L91" s="275">
        <v>85381192</v>
      </c>
      <c r="M91" s="275">
        <v>89310816</v>
      </c>
      <c r="N91" s="275">
        <v>88258980</v>
      </c>
      <c r="O91" s="275">
        <v>98131683</v>
      </c>
      <c r="P91" s="275">
        <v>83394619</v>
      </c>
      <c r="Q91" s="275">
        <v>80643629</v>
      </c>
      <c r="R91" s="275">
        <v>72255899</v>
      </c>
      <c r="S91" s="275">
        <v>93406391</v>
      </c>
      <c r="T91" s="275">
        <v>108249615</v>
      </c>
      <c r="U91" s="275">
        <v>112047475</v>
      </c>
      <c r="V91" s="275">
        <v>97822499</v>
      </c>
      <c r="W91" s="275">
        <v>86117467</v>
      </c>
      <c r="X91" s="275">
        <v>100518164</v>
      </c>
    </row>
    <row r="92" spans="1:25" ht="14.25" thickBot="1" x14ac:dyDescent="0.3">
      <c r="A92" s="251" t="s">
        <v>7</v>
      </c>
      <c r="B92" s="273">
        <v>33365332</v>
      </c>
      <c r="C92" s="273">
        <v>41768736</v>
      </c>
      <c r="D92" s="273">
        <v>49345233</v>
      </c>
      <c r="E92" s="273">
        <v>41484388</v>
      </c>
      <c r="F92" s="273">
        <v>39535543</v>
      </c>
      <c r="G92" s="273">
        <v>51761503</v>
      </c>
      <c r="H92" s="273">
        <v>51934752</v>
      </c>
      <c r="I92" s="273">
        <v>44787139</v>
      </c>
      <c r="J92" s="273">
        <v>47845778</v>
      </c>
      <c r="K92" s="273">
        <v>59659857</v>
      </c>
      <c r="L92" s="273">
        <v>76304606</v>
      </c>
      <c r="M92" s="273">
        <v>79965622</v>
      </c>
      <c r="N92" s="273">
        <v>78983908</v>
      </c>
      <c r="O92" s="273">
        <v>79412904</v>
      </c>
      <c r="P92" s="273">
        <v>75317300</v>
      </c>
      <c r="Q92" s="273">
        <v>72842055</v>
      </c>
      <c r="R92" s="273">
        <v>64792597</v>
      </c>
      <c r="S92" s="273">
        <v>72528279</v>
      </c>
      <c r="T92" s="273">
        <v>96789113</v>
      </c>
      <c r="U92" s="273">
        <v>100228247</v>
      </c>
      <c r="V92" s="273">
        <v>87620908</v>
      </c>
      <c r="W92" s="273">
        <v>66270652</v>
      </c>
      <c r="X92" s="273">
        <v>89949228</v>
      </c>
    </row>
    <row r="93" spans="1:25" ht="26.25" thickBot="1" x14ac:dyDescent="0.3">
      <c r="A93" s="252" t="s">
        <v>8</v>
      </c>
      <c r="B93" s="276">
        <v>33474187</v>
      </c>
      <c r="C93" s="276">
        <v>41812617</v>
      </c>
      <c r="D93" s="276">
        <v>49302730</v>
      </c>
      <c r="E93" s="276">
        <v>41569268</v>
      </c>
      <c r="F93" s="276">
        <v>39576876</v>
      </c>
      <c r="G93" s="276">
        <v>51807725</v>
      </c>
      <c r="H93" s="276">
        <v>51951943</v>
      </c>
      <c r="I93" s="276">
        <v>44810246</v>
      </c>
      <c r="J93" s="276">
        <v>47870745</v>
      </c>
      <c r="K93" s="276">
        <v>59702284</v>
      </c>
      <c r="L93" s="276">
        <v>76335237</v>
      </c>
      <c r="M93" s="276">
        <v>79985420</v>
      </c>
      <c r="N93" s="276">
        <v>78989911</v>
      </c>
      <c r="O93" s="276">
        <v>79417514</v>
      </c>
      <c r="P93" s="276">
        <v>75329224</v>
      </c>
      <c r="Q93" s="276">
        <v>72837188</v>
      </c>
      <c r="R93" s="276">
        <v>64781493</v>
      </c>
      <c r="S93" s="276">
        <v>72506321</v>
      </c>
      <c r="T93" s="276">
        <v>96759056</v>
      </c>
      <c r="U93" s="276">
        <v>100200310</v>
      </c>
      <c r="V93" s="276">
        <v>87628898</v>
      </c>
      <c r="W93" s="276">
        <v>66271019</v>
      </c>
      <c r="X93" s="276">
        <v>89925437</v>
      </c>
    </row>
    <row r="94" spans="1:25" x14ac:dyDescent="0.25">
      <c r="A94" s="233" t="s">
        <v>365</v>
      </c>
      <c r="B94" s="253">
        <f>IF(B91="","",B91-B90)</f>
        <v>215736</v>
      </c>
      <c r="C94" s="253">
        <f>IF(C91="","",C91-C90)</f>
        <v>-787365</v>
      </c>
      <c r="D94" s="253">
        <f t="shared" ref="D94:Y94" si="9">IF(D91="","",D91-D90)</f>
        <v>1075667</v>
      </c>
      <c r="E94" s="253">
        <f t="shared" si="9"/>
        <v>-7255</v>
      </c>
      <c r="F94" s="253">
        <f t="shared" si="9"/>
        <v>1319905</v>
      </c>
      <c r="G94" s="253">
        <f t="shared" si="9"/>
        <v>2387597</v>
      </c>
      <c r="H94" s="253">
        <f t="shared" si="9"/>
        <v>-268170</v>
      </c>
      <c r="I94" s="253">
        <f t="shared" si="9"/>
        <v>2618427</v>
      </c>
      <c r="J94" s="253">
        <f t="shared" si="9"/>
        <v>779482</v>
      </c>
      <c r="K94" s="253">
        <f t="shared" si="9"/>
        <v>3384201</v>
      </c>
      <c r="L94" s="253">
        <f t="shared" si="9"/>
        <v>949208</v>
      </c>
      <c r="M94" s="253">
        <f t="shared" si="9"/>
        <v>1094531</v>
      </c>
      <c r="N94" s="253">
        <f t="shared" si="9"/>
        <v>1632857</v>
      </c>
      <c r="O94" s="253">
        <f t="shared" si="9"/>
        <v>21062625</v>
      </c>
      <c r="P94" s="253">
        <f t="shared" si="9"/>
        <v>5005695</v>
      </c>
      <c r="Q94" s="253">
        <f t="shared" si="9"/>
        <v>2679959</v>
      </c>
      <c r="R94" s="253">
        <f t="shared" si="9"/>
        <v>1788585</v>
      </c>
      <c r="S94" s="253">
        <f t="shared" si="9"/>
        <v>2085390</v>
      </c>
      <c r="T94" s="253">
        <f t="shared" si="9"/>
        <v>1987493</v>
      </c>
      <c r="U94" s="253">
        <f t="shared" si="9"/>
        <v>2140134</v>
      </c>
      <c r="V94" s="253">
        <f t="shared" si="9"/>
        <v>2470109</v>
      </c>
      <c r="W94" s="253">
        <f t="shared" si="9"/>
        <v>2862066</v>
      </c>
      <c r="X94" s="253">
        <f t="shared" si="9"/>
        <v>2461731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506248580</v>
      </c>
      <c r="C97" s="273">
        <v>597024197</v>
      </c>
      <c r="D97" s="273">
        <v>762806465</v>
      </c>
      <c r="E97" s="273">
        <v>843497368</v>
      </c>
      <c r="F97" s="273">
        <v>947938344</v>
      </c>
    </row>
    <row r="98" spans="1:24" ht="14.25" thickBot="1" x14ac:dyDescent="0.3">
      <c r="A98" s="225" t="s">
        <v>4</v>
      </c>
      <c r="B98" s="275">
        <v>243619899</v>
      </c>
      <c r="C98" s="275">
        <v>280945507</v>
      </c>
      <c r="D98" s="275">
        <v>377734375</v>
      </c>
      <c r="E98" s="275">
        <v>410394893</v>
      </c>
      <c r="F98" s="275">
        <v>474832098</v>
      </c>
    </row>
    <row r="99" spans="1:24" ht="14.25" thickBot="1" x14ac:dyDescent="0.3">
      <c r="A99" s="224" t="s">
        <v>5</v>
      </c>
      <c r="B99" s="273">
        <v>181057193</v>
      </c>
      <c r="C99" s="273">
        <v>209429363</v>
      </c>
      <c r="D99" s="273">
        <v>295890293</v>
      </c>
      <c r="E99" s="273">
        <v>320047775</v>
      </c>
      <c r="F99" s="273">
        <v>377957778</v>
      </c>
    </row>
    <row r="100" spans="1:24" ht="14.25" thickBot="1" x14ac:dyDescent="0.3">
      <c r="A100" s="225" t="s">
        <v>6</v>
      </c>
      <c r="B100" s="275">
        <v>181553976</v>
      </c>
      <c r="C100" s="275">
        <v>215487122</v>
      </c>
      <c r="D100" s="275">
        <v>302097546</v>
      </c>
      <c r="E100" s="275">
        <v>350428911</v>
      </c>
      <c r="F100" s="275">
        <v>385959380</v>
      </c>
    </row>
    <row r="101" spans="1:24" ht="14.25" thickBot="1" x14ac:dyDescent="0.3">
      <c r="A101" s="224" t="s">
        <v>7</v>
      </c>
      <c r="B101" s="273">
        <v>165963689</v>
      </c>
      <c r="C101" s="273">
        <v>188018937</v>
      </c>
      <c r="D101" s="273">
        <v>263780869</v>
      </c>
      <c r="E101" s="273">
        <v>306556167</v>
      </c>
      <c r="F101" s="273">
        <v>334338236</v>
      </c>
    </row>
    <row r="102" spans="1:24" ht="14.25" thickBot="1" x14ac:dyDescent="0.3">
      <c r="A102" s="227" t="s">
        <v>8</v>
      </c>
      <c r="B102" s="276">
        <v>166158802</v>
      </c>
      <c r="C102" s="276">
        <v>188146790</v>
      </c>
      <c r="D102" s="276">
        <v>263898794</v>
      </c>
      <c r="E102" s="276">
        <v>306573837</v>
      </c>
      <c r="F102" s="276">
        <v>334247180</v>
      </c>
    </row>
    <row r="103" spans="1:24" x14ac:dyDescent="0.25">
      <c r="A103" s="233" t="s">
        <v>262</v>
      </c>
      <c r="B103" s="234">
        <f>IF(OR(B102="",B102="無"),"",B102/B101)</f>
        <v>1.0011756366779723</v>
      </c>
      <c r="C103" s="234">
        <f>IF(OR(C102="",C102="無"),"",C102/C101)</f>
        <v>1.0006800006533385</v>
      </c>
      <c r="D103" s="234">
        <f>IF(OR(D102="",D102="無"),"",D102/D101)</f>
        <v>1.0004470566817338</v>
      </c>
      <c r="E103" s="234">
        <f>IF(OR(E102="",E102="無"),"",E102/E101)</f>
        <v>1.000057640334471</v>
      </c>
      <c r="F103" s="234">
        <f>IF(OR(F102="",F102="無"),"",F102/F101)</f>
        <v>0.99972765304653932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170819939</v>
      </c>
      <c r="C106" s="273">
        <v>178440559</v>
      </c>
      <c r="D106" s="273">
        <v>138738113</v>
      </c>
      <c r="E106" s="273">
        <v>143410588</v>
      </c>
      <c r="F106" s="273">
        <v>186028798</v>
      </c>
      <c r="G106" s="273">
        <v>225832646</v>
      </c>
      <c r="H106" s="273">
        <v>216603697</v>
      </c>
      <c r="I106" s="273">
        <v>242695447</v>
      </c>
      <c r="J106" s="273">
        <v>231697295</v>
      </c>
      <c r="K106" s="273">
        <v>255053573</v>
      </c>
      <c r="L106" s="273">
        <v>225884318</v>
      </c>
      <c r="M106" s="273">
        <v>358449029</v>
      </c>
      <c r="N106" s="273">
        <v>437412411</v>
      </c>
      <c r="O106" s="273">
        <v>528895107</v>
      </c>
      <c r="P106" s="273">
        <v>515731398</v>
      </c>
      <c r="Q106" s="273">
        <v>562688930</v>
      </c>
      <c r="R106" s="273">
        <v>617984318</v>
      </c>
      <c r="S106" s="273">
        <v>622359302</v>
      </c>
      <c r="T106" s="273">
        <v>463971657</v>
      </c>
      <c r="U106" s="273">
        <v>541253833</v>
      </c>
      <c r="V106" s="273">
        <v>564725266</v>
      </c>
      <c r="W106" s="273">
        <v>570466958</v>
      </c>
      <c r="X106" s="273">
        <v>408077695</v>
      </c>
    </row>
    <row r="107" spans="1:24" ht="14.25" thickBot="1" x14ac:dyDescent="0.3">
      <c r="A107" s="225" t="s">
        <v>22</v>
      </c>
      <c r="B107" s="275">
        <v>9833077</v>
      </c>
      <c r="C107" s="275">
        <v>9925756</v>
      </c>
      <c r="D107" s="275">
        <v>9009220</v>
      </c>
      <c r="E107" s="275">
        <v>7507162</v>
      </c>
      <c r="F107" s="275">
        <v>1181110</v>
      </c>
      <c r="G107" s="275">
        <v>1090547</v>
      </c>
      <c r="H107" s="275">
        <v>861149</v>
      </c>
      <c r="I107" s="275">
        <v>851146</v>
      </c>
      <c r="J107" s="275">
        <v>856427</v>
      </c>
      <c r="K107" s="275">
        <v>59240747</v>
      </c>
      <c r="L107" s="275">
        <v>64460501</v>
      </c>
      <c r="M107" s="275">
        <v>73989521</v>
      </c>
      <c r="N107" s="275">
        <v>68502088</v>
      </c>
      <c r="O107" s="275">
        <v>14275409</v>
      </c>
      <c r="P107" s="275">
        <v>1792590</v>
      </c>
      <c r="Q107" s="275">
        <v>14307126</v>
      </c>
      <c r="R107" s="275">
        <v>22851715</v>
      </c>
      <c r="S107" s="275">
        <v>38142956</v>
      </c>
      <c r="T107" s="275">
        <v>47663320</v>
      </c>
      <c r="U107" s="275">
        <v>74245429</v>
      </c>
      <c r="V107" s="275">
        <v>76457800</v>
      </c>
      <c r="W107" s="275">
        <v>81272420</v>
      </c>
      <c r="X107" s="275">
        <v>86177558</v>
      </c>
    </row>
    <row r="108" spans="1:24" ht="14.25" thickBot="1" x14ac:dyDescent="0.3">
      <c r="A108" s="224" t="s">
        <v>263</v>
      </c>
      <c r="B108" s="273">
        <v>48014570</v>
      </c>
      <c r="C108" s="273">
        <v>54939492</v>
      </c>
      <c r="D108" s="273">
        <v>58411998</v>
      </c>
      <c r="E108" s="273">
        <v>52093394</v>
      </c>
      <c r="F108" s="273">
        <v>65906835</v>
      </c>
      <c r="G108" s="273">
        <v>80340331</v>
      </c>
      <c r="H108" s="273">
        <v>79671869</v>
      </c>
      <c r="I108" s="273">
        <v>71941634</v>
      </c>
      <c r="J108" s="273">
        <v>74333024</v>
      </c>
      <c r="K108" s="273">
        <v>86887160</v>
      </c>
      <c r="L108" s="273">
        <v>114532200</v>
      </c>
      <c r="M108" s="273">
        <v>115047698</v>
      </c>
      <c r="N108" s="273">
        <v>99121766</v>
      </c>
      <c r="O108" s="273">
        <v>99737061</v>
      </c>
      <c r="P108" s="273">
        <v>97122640</v>
      </c>
      <c r="Q108" s="273">
        <v>85565397</v>
      </c>
      <c r="R108" s="273">
        <v>96957088</v>
      </c>
      <c r="S108" s="273">
        <v>111724397</v>
      </c>
      <c r="T108" s="273">
        <v>129288762</v>
      </c>
      <c r="U108" s="273">
        <v>129304830</v>
      </c>
      <c r="V108" s="273">
        <v>109027668</v>
      </c>
      <c r="W108" s="273">
        <v>110329283</v>
      </c>
      <c r="X108" s="273">
        <v>118725696</v>
      </c>
    </row>
    <row r="109" spans="1:24" ht="14.25" thickBot="1" x14ac:dyDescent="0.3">
      <c r="A109" s="225" t="s">
        <v>264</v>
      </c>
      <c r="B109" s="275">
        <v>27759150</v>
      </c>
      <c r="C109" s="275">
        <v>30780466</v>
      </c>
      <c r="D109" s="275">
        <v>33249045</v>
      </c>
      <c r="E109" s="275">
        <v>37830498</v>
      </c>
      <c r="F109" s="275">
        <v>37833465</v>
      </c>
      <c r="G109" s="275">
        <v>38614928</v>
      </c>
      <c r="H109" s="275">
        <v>36916527</v>
      </c>
      <c r="I109" s="275">
        <v>37494893</v>
      </c>
      <c r="J109" s="275">
        <v>43481269</v>
      </c>
      <c r="K109" s="275">
        <v>50954265</v>
      </c>
      <c r="L109" s="275">
        <v>65336989</v>
      </c>
      <c r="M109" s="275">
        <v>66337971</v>
      </c>
      <c r="N109" s="275">
        <v>64599666</v>
      </c>
      <c r="O109" s="275">
        <v>66278597</v>
      </c>
      <c r="P109" s="275">
        <v>65066214</v>
      </c>
      <c r="Q109" s="275">
        <v>67052270</v>
      </c>
      <c r="R109" s="275">
        <v>57242320</v>
      </c>
      <c r="S109" s="275">
        <v>60705814</v>
      </c>
      <c r="T109" s="275">
        <v>53882144</v>
      </c>
      <c r="U109" s="275">
        <v>48682233</v>
      </c>
      <c r="V109" s="275">
        <v>50389022</v>
      </c>
      <c r="W109" s="275">
        <v>61010525</v>
      </c>
      <c r="X109" s="275">
        <v>73893879</v>
      </c>
    </row>
    <row r="110" spans="1:24" ht="14.25" thickBot="1" x14ac:dyDescent="0.3">
      <c r="A110" s="224" t="s">
        <v>23</v>
      </c>
      <c r="B110" s="273">
        <v>11696296</v>
      </c>
      <c r="C110" s="273">
        <v>6794630</v>
      </c>
      <c r="D110" s="273">
        <v>5916969</v>
      </c>
      <c r="E110" s="273">
        <v>11446993</v>
      </c>
      <c r="F110" s="273">
        <v>6800984</v>
      </c>
      <c r="G110" s="273">
        <v>6583901</v>
      </c>
      <c r="H110" s="273">
        <v>4157595</v>
      </c>
      <c r="I110" s="273">
        <v>5503534</v>
      </c>
      <c r="J110" s="273">
        <v>5522402</v>
      </c>
      <c r="K110" s="273">
        <v>7063810</v>
      </c>
      <c r="L110" s="273">
        <v>6016191</v>
      </c>
      <c r="M110" s="273">
        <v>12742568</v>
      </c>
      <c r="N110" s="273">
        <v>20857761</v>
      </c>
      <c r="O110" s="273">
        <v>22182616</v>
      </c>
      <c r="P110" s="273">
        <v>13948654</v>
      </c>
      <c r="Q110" s="273">
        <v>17130268</v>
      </c>
      <c r="R110" s="273">
        <v>17455666</v>
      </c>
      <c r="S110" s="273">
        <v>19592602</v>
      </c>
      <c r="T110" s="273">
        <v>14785602</v>
      </c>
      <c r="U110" s="273">
        <v>24242801</v>
      </c>
      <c r="V110" s="273">
        <v>25062077</v>
      </c>
      <c r="W110" s="273">
        <v>14970366</v>
      </c>
      <c r="X110" s="273">
        <v>17986950</v>
      </c>
    </row>
    <row r="111" spans="1:24" ht="14.25" thickBot="1" x14ac:dyDescent="0.3">
      <c r="A111" s="225" t="s">
        <v>24</v>
      </c>
      <c r="B111" s="275">
        <v>268123032</v>
      </c>
      <c r="C111" s="275">
        <v>280880903</v>
      </c>
      <c r="D111" s="275">
        <v>245325345</v>
      </c>
      <c r="E111" s="275">
        <v>252288635</v>
      </c>
      <c r="F111" s="275">
        <v>297751192</v>
      </c>
      <c r="G111" s="275">
        <v>352462353</v>
      </c>
      <c r="H111" s="275">
        <v>338210837</v>
      </c>
      <c r="I111" s="275">
        <v>358486654</v>
      </c>
      <c r="J111" s="275">
        <v>355890417</v>
      </c>
      <c r="K111" s="275">
        <v>459199555</v>
      </c>
      <c r="L111" s="275">
        <v>476230199</v>
      </c>
      <c r="M111" s="275">
        <v>626566787</v>
      </c>
      <c r="N111" s="275">
        <v>690493692</v>
      </c>
      <c r="O111" s="275">
        <v>731368790</v>
      </c>
      <c r="P111" s="275">
        <v>693661496</v>
      </c>
      <c r="Q111" s="275">
        <v>746743991</v>
      </c>
      <c r="R111" s="275">
        <v>812491107</v>
      </c>
      <c r="S111" s="275">
        <v>852525071</v>
      </c>
      <c r="T111" s="275">
        <v>709591485</v>
      </c>
      <c r="U111" s="275">
        <v>817729126</v>
      </c>
      <c r="V111" s="275">
        <v>825661833</v>
      </c>
      <c r="W111" s="275">
        <v>838049552</v>
      </c>
      <c r="X111" s="275">
        <v>704861778</v>
      </c>
    </row>
    <row r="112" spans="1:24" ht="14.25" thickBot="1" x14ac:dyDescent="0.3">
      <c r="A112" s="224" t="s">
        <v>25</v>
      </c>
      <c r="B112" s="273">
        <v>29843871</v>
      </c>
      <c r="C112" s="273">
        <v>28157961</v>
      </c>
      <c r="D112" s="273">
        <v>28641148</v>
      </c>
      <c r="E112" s="273">
        <v>65786342</v>
      </c>
      <c r="F112" s="273">
        <v>70043330</v>
      </c>
      <c r="G112" s="273">
        <v>78261756</v>
      </c>
      <c r="H112" s="273">
        <v>89173524</v>
      </c>
      <c r="I112" s="273">
        <v>89183810</v>
      </c>
      <c r="J112" s="273">
        <v>90847086</v>
      </c>
      <c r="K112" s="273">
        <v>28373339</v>
      </c>
      <c r="L112" s="273">
        <v>28845566</v>
      </c>
      <c r="M112" s="273">
        <v>30051544</v>
      </c>
      <c r="N112" s="273">
        <v>32180821</v>
      </c>
      <c r="O112" s="273">
        <v>27773584</v>
      </c>
      <c r="P112" s="273">
        <v>31015091</v>
      </c>
      <c r="Q112" s="273">
        <v>34993583</v>
      </c>
      <c r="R112" s="273">
        <v>46334552</v>
      </c>
      <c r="S112" s="273">
        <v>53398120</v>
      </c>
      <c r="T112" s="273">
        <v>49910488</v>
      </c>
      <c r="U112" s="273">
        <v>46153916</v>
      </c>
      <c r="V112" s="273">
        <v>44518812</v>
      </c>
      <c r="W112" s="273">
        <v>43818498</v>
      </c>
      <c r="X112" s="273">
        <v>40903723</v>
      </c>
    </row>
    <row r="113" spans="1:24" ht="14.25" thickBot="1" x14ac:dyDescent="0.3">
      <c r="A113" s="225" t="s">
        <v>26</v>
      </c>
      <c r="B113" s="275">
        <v>509916462</v>
      </c>
      <c r="C113" s="275">
        <v>548148865</v>
      </c>
      <c r="D113" s="275">
        <v>580079887</v>
      </c>
      <c r="E113" s="275">
        <v>617529446</v>
      </c>
      <c r="F113" s="275">
        <v>666447384</v>
      </c>
      <c r="G113" s="275">
        <v>715595036</v>
      </c>
      <c r="H113" s="275">
        <v>727716024</v>
      </c>
      <c r="I113" s="275">
        <v>792665913</v>
      </c>
      <c r="J113" s="275">
        <v>828011580</v>
      </c>
      <c r="K113" s="275">
        <v>837167426</v>
      </c>
      <c r="L113" s="275">
        <v>824309879</v>
      </c>
      <c r="M113" s="275">
        <v>818198801</v>
      </c>
      <c r="N113" s="275">
        <v>813219884</v>
      </c>
      <c r="O113" s="275">
        <v>829703176</v>
      </c>
      <c r="P113" s="275">
        <v>830825109</v>
      </c>
      <c r="Q113" s="275">
        <v>853470392</v>
      </c>
      <c r="R113" s="275">
        <v>844305450</v>
      </c>
      <c r="S113" s="275">
        <v>875870205</v>
      </c>
      <c r="T113" s="275">
        <v>934928493</v>
      </c>
      <c r="U113" s="275">
        <v>997777687</v>
      </c>
      <c r="V113" s="275">
        <v>1037364143</v>
      </c>
      <c r="W113" s="275">
        <v>1077626759</v>
      </c>
      <c r="X113" s="275">
        <v>1065756867</v>
      </c>
    </row>
    <row r="114" spans="1:24" ht="14.25" thickBot="1" x14ac:dyDescent="0.3">
      <c r="A114" s="224" t="s">
        <v>27</v>
      </c>
      <c r="B114" s="273">
        <v>24007020</v>
      </c>
      <c r="C114" s="273">
        <v>26718324</v>
      </c>
      <c r="D114" s="273">
        <v>24605390</v>
      </c>
      <c r="E114" s="273">
        <v>19430182</v>
      </c>
      <c r="F114" s="273">
        <v>27387820</v>
      </c>
      <c r="G114" s="273">
        <v>23566309</v>
      </c>
      <c r="H114" s="273">
        <v>22439830</v>
      </c>
      <c r="I114" s="273">
        <v>22718600</v>
      </c>
      <c r="J114" s="273">
        <v>23990198</v>
      </c>
      <c r="K114" s="273">
        <v>20304447</v>
      </c>
      <c r="L114" s="273">
        <v>20609196</v>
      </c>
      <c r="M114" s="273">
        <v>20316713</v>
      </c>
      <c r="N114" s="273">
        <v>21000658</v>
      </c>
      <c r="O114" s="273">
        <v>20007516</v>
      </c>
      <c r="P114" s="273">
        <v>20717114</v>
      </c>
      <c r="Q114" s="273">
        <v>22310332</v>
      </c>
      <c r="R114" s="273">
        <v>23394527</v>
      </c>
      <c r="S114" s="273">
        <v>22698164</v>
      </c>
      <c r="T114" s="273">
        <v>24256297</v>
      </c>
      <c r="U114" s="273">
        <v>24794573</v>
      </c>
      <c r="V114" s="273">
        <v>27118973</v>
      </c>
      <c r="W114" s="273">
        <v>26938968</v>
      </c>
      <c r="X114" s="273">
        <v>29902014</v>
      </c>
    </row>
    <row r="115" spans="1:24" ht="14.25" thickBot="1" x14ac:dyDescent="0.3">
      <c r="A115" s="225" t="s">
        <v>265</v>
      </c>
      <c r="B115" s="276">
        <v>831890385</v>
      </c>
      <c r="C115" s="276">
        <v>883906053</v>
      </c>
      <c r="D115" s="276">
        <v>878651770</v>
      </c>
      <c r="E115" s="276">
        <v>955034605</v>
      </c>
      <c r="F115" s="276">
        <v>1061629726</v>
      </c>
      <c r="G115" s="276">
        <v>1169885454</v>
      </c>
      <c r="H115" s="276">
        <v>1177540215</v>
      </c>
      <c r="I115" s="276">
        <v>1263054977</v>
      </c>
      <c r="J115" s="276">
        <v>1298739281</v>
      </c>
      <c r="K115" s="276">
        <v>1345044767</v>
      </c>
      <c r="L115" s="276">
        <v>1349994840</v>
      </c>
      <c r="M115" s="276">
        <v>1495133845</v>
      </c>
      <c r="N115" s="276">
        <v>1556895055</v>
      </c>
      <c r="O115" s="276">
        <v>1608853066</v>
      </c>
      <c r="P115" s="276">
        <v>1576218810</v>
      </c>
      <c r="Q115" s="276">
        <v>1657518298</v>
      </c>
      <c r="R115" s="276">
        <v>1726525636</v>
      </c>
      <c r="S115" s="276">
        <v>1804491560</v>
      </c>
      <c r="T115" s="276">
        <v>1718686763</v>
      </c>
      <c r="U115" s="276">
        <v>1886455302</v>
      </c>
      <c r="V115" s="276">
        <v>1934663761</v>
      </c>
      <c r="W115" s="276">
        <v>1986433777</v>
      </c>
      <c r="X115" s="276">
        <v>1841424382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34687716</v>
      </c>
      <c r="C118" s="273">
        <v>30772585</v>
      </c>
      <c r="D118" s="273">
        <v>29749650</v>
      </c>
      <c r="E118" s="273">
        <v>34714929</v>
      </c>
      <c r="F118" s="273">
        <v>35842800</v>
      </c>
      <c r="G118" s="273">
        <v>31466400</v>
      </c>
      <c r="H118" s="273">
        <v>18053096</v>
      </c>
      <c r="I118" s="273">
        <v>15645000</v>
      </c>
      <c r="J118" s="273">
        <v>24843645</v>
      </c>
      <c r="K118" s="273">
        <v>34705206</v>
      </c>
      <c r="L118" s="273">
        <v>35883358</v>
      </c>
      <c r="M118" s="273">
        <v>36158520</v>
      </c>
      <c r="N118" s="273">
        <v>18683595</v>
      </c>
      <c r="O118" s="273">
        <v>5592600</v>
      </c>
      <c r="P118" s="273">
        <v>33564120</v>
      </c>
      <c r="Q118" s="273">
        <v>39474000</v>
      </c>
      <c r="R118" s="273">
        <v>34690040</v>
      </c>
      <c r="S118" s="273">
        <v>38739600</v>
      </c>
      <c r="T118" s="273">
        <v>37648800</v>
      </c>
      <c r="U118" s="273">
        <v>57958200</v>
      </c>
      <c r="V118" s="273">
        <v>54666000</v>
      </c>
      <c r="W118" s="273">
        <v>54745200</v>
      </c>
      <c r="X118" s="273">
        <v>54430200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14168439</v>
      </c>
      <c r="C120" s="273">
        <v>15436960</v>
      </c>
      <c r="D120" s="273">
        <v>14556361</v>
      </c>
      <c r="E120" s="273">
        <v>15239042</v>
      </c>
      <c r="F120" s="273">
        <v>13256111</v>
      </c>
      <c r="G120" s="273">
        <v>15202734</v>
      </c>
      <c r="H120" s="273">
        <v>15072702</v>
      </c>
      <c r="I120" s="273">
        <v>16358716</v>
      </c>
      <c r="J120" s="273">
        <v>16710701</v>
      </c>
      <c r="K120" s="273">
        <v>21697296</v>
      </c>
      <c r="L120" s="273">
        <v>21709410</v>
      </c>
      <c r="M120" s="273">
        <v>23370424</v>
      </c>
      <c r="N120" s="273">
        <v>20204923</v>
      </c>
      <c r="O120" s="273">
        <v>21100895</v>
      </c>
      <c r="P120" s="273">
        <v>19185871</v>
      </c>
      <c r="Q120" s="273">
        <v>19725274</v>
      </c>
      <c r="R120" s="273">
        <v>19629025</v>
      </c>
      <c r="S120" s="273">
        <v>23154264</v>
      </c>
      <c r="T120" s="273">
        <v>25976568</v>
      </c>
      <c r="U120" s="273">
        <v>27324525</v>
      </c>
      <c r="V120" s="273">
        <v>24252762</v>
      </c>
      <c r="W120" s="273">
        <v>25611675</v>
      </c>
      <c r="X120" s="273">
        <v>28987506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93750</v>
      </c>
      <c r="C122" s="273">
        <v>125000</v>
      </c>
      <c r="D122" s="273">
        <v>125000</v>
      </c>
      <c r="E122" s="273">
        <v>128125</v>
      </c>
      <c r="F122" s="273">
        <v>131250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273">
        <v>10868322</v>
      </c>
      <c r="P122" s="273">
        <v>23515931</v>
      </c>
      <c r="Q122" s="273">
        <v>23517612</v>
      </c>
      <c r="R122" s="273">
        <v>33272901</v>
      </c>
      <c r="S122" s="273">
        <v>22010000</v>
      </c>
      <c r="T122" s="273">
        <v>38109680</v>
      </c>
      <c r="U122" s="273">
        <v>38109680</v>
      </c>
      <c r="V122" s="273">
        <v>44909680</v>
      </c>
      <c r="W122" s="273">
        <v>79865605</v>
      </c>
      <c r="X122" s="273">
        <v>59071057</v>
      </c>
    </row>
    <row r="123" spans="1:24" ht="14.25" thickBot="1" x14ac:dyDescent="0.3">
      <c r="A123" s="225" t="s">
        <v>31</v>
      </c>
      <c r="B123" s="275">
        <v>77250736</v>
      </c>
      <c r="C123" s="275">
        <v>165512370</v>
      </c>
      <c r="D123" s="275">
        <v>74621472</v>
      </c>
      <c r="E123" s="275">
        <v>92353848</v>
      </c>
      <c r="F123" s="275">
        <v>108976163</v>
      </c>
      <c r="G123" s="275">
        <v>196962333</v>
      </c>
      <c r="H123" s="275">
        <v>115158390</v>
      </c>
      <c r="I123" s="275">
        <v>157774218</v>
      </c>
      <c r="J123" s="275">
        <v>132842818</v>
      </c>
      <c r="K123" s="275">
        <v>190232575</v>
      </c>
      <c r="L123" s="275">
        <v>114655399</v>
      </c>
      <c r="M123" s="275">
        <v>141485833</v>
      </c>
      <c r="N123" s="275">
        <v>148676627</v>
      </c>
      <c r="O123" s="275">
        <v>271817924</v>
      </c>
      <c r="P123" s="275">
        <v>125423448</v>
      </c>
      <c r="Q123" s="275">
        <v>129511708</v>
      </c>
      <c r="R123" s="275">
        <v>148301257</v>
      </c>
      <c r="S123" s="275">
        <v>314835190</v>
      </c>
      <c r="T123" s="275">
        <v>155820064</v>
      </c>
      <c r="U123" s="275">
        <v>194846868</v>
      </c>
      <c r="V123" s="275">
        <v>197752082</v>
      </c>
      <c r="W123" s="275">
        <v>363284665</v>
      </c>
      <c r="X123" s="275">
        <v>156033541</v>
      </c>
    </row>
    <row r="124" spans="1:24" ht="14.25" thickBot="1" x14ac:dyDescent="0.3">
      <c r="A124" s="224" t="s">
        <v>268</v>
      </c>
      <c r="B124" s="273">
        <v>126200641</v>
      </c>
      <c r="C124" s="273">
        <v>211846915</v>
      </c>
      <c r="D124" s="273">
        <v>119052483</v>
      </c>
      <c r="E124" s="273">
        <v>142435944</v>
      </c>
      <c r="F124" s="273">
        <v>158206324</v>
      </c>
      <c r="G124" s="273">
        <v>243631467</v>
      </c>
      <c r="H124" s="273">
        <v>148284188</v>
      </c>
      <c r="I124" s="273">
        <v>189777934</v>
      </c>
      <c r="J124" s="273">
        <v>174397164</v>
      </c>
      <c r="K124" s="273">
        <v>246635077</v>
      </c>
      <c r="L124" s="273">
        <v>172248167</v>
      </c>
      <c r="M124" s="273">
        <v>201014777</v>
      </c>
      <c r="N124" s="273">
        <v>187565145</v>
      </c>
      <c r="O124" s="273">
        <v>309379741</v>
      </c>
      <c r="P124" s="273">
        <v>201689370</v>
      </c>
      <c r="Q124" s="273">
        <v>212228594</v>
      </c>
      <c r="R124" s="273">
        <v>235893223</v>
      </c>
      <c r="S124" s="273">
        <v>398739054</v>
      </c>
      <c r="T124" s="273">
        <v>257555112</v>
      </c>
      <c r="U124" s="273">
        <v>318239273</v>
      </c>
      <c r="V124" s="273">
        <v>321580524</v>
      </c>
      <c r="W124" s="273">
        <v>523507145</v>
      </c>
      <c r="X124" s="273">
        <v>298522304</v>
      </c>
    </row>
    <row r="125" spans="1:24" ht="14.25" thickBot="1" x14ac:dyDescent="0.3">
      <c r="A125" s="225" t="s">
        <v>32</v>
      </c>
      <c r="B125" s="275">
        <v>37358239</v>
      </c>
      <c r="C125" s="275">
        <v>37388564</v>
      </c>
      <c r="D125" s="275">
        <v>77784784</v>
      </c>
      <c r="E125" s="275">
        <v>82161490</v>
      </c>
      <c r="F125" s="275">
        <v>134774317</v>
      </c>
      <c r="G125" s="275">
        <v>180017716</v>
      </c>
      <c r="H125" s="275">
        <v>225081266</v>
      </c>
      <c r="I125" s="275">
        <v>225501958</v>
      </c>
      <c r="J125" s="275">
        <v>226344016</v>
      </c>
      <c r="K125" s="275">
        <v>221449396</v>
      </c>
      <c r="L125" s="275">
        <v>221188422</v>
      </c>
      <c r="M125" s="275">
        <v>248443321</v>
      </c>
      <c r="N125" s="275">
        <v>245414157</v>
      </c>
      <c r="O125" s="275">
        <v>232845770</v>
      </c>
      <c r="P125" s="275">
        <v>223534496</v>
      </c>
      <c r="Q125" s="275">
        <v>222655225</v>
      </c>
      <c r="R125" s="275">
        <v>209686337</v>
      </c>
      <c r="S125" s="275">
        <v>208421528</v>
      </c>
      <c r="T125" s="275">
        <v>177239002</v>
      </c>
      <c r="U125" s="275">
        <v>178164903</v>
      </c>
      <c r="V125" s="275">
        <v>156773212</v>
      </c>
      <c r="W125" s="275">
        <v>120560987</v>
      </c>
      <c r="X125" s="275">
        <v>111489389</v>
      </c>
    </row>
    <row r="126" spans="1:24" ht="14.25" thickBot="1" x14ac:dyDescent="0.3">
      <c r="A126" s="224" t="s">
        <v>33</v>
      </c>
      <c r="B126" s="273">
        <v>4749096</v>
      </c>
      <c r="C126" s="273">
        <v>4612926</v>
      </c>
      <c r="D126" s="273">
        <v>4668446</v>
      </c>
      <c r="E126" s="273">
        <v>4683472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168307976</v>
      </c>
      <c r="C127" s="275">
        <v>253848405</v>
      </c>
      <c r="D127" s="275">
        <v>201505713</v>
      </c>
      <c r="E127" s="275">
        <v>229280906</v>
      </c>
      <c r="F127" s="275">
        <v>292980641</v>
      </c>
      <c r="G127" s="275">
        <v>423649183</v>
      </c>
      <c r="H127" s="275">
        <v>373365454</v>
      </c>
      <c r="I127" s="275">
        <v>415279892</v>
      </c>
      <c r="J127" s="275">
        <v>400741180</v>
      </c>
      <c r="K127" s="275">
        <v>468084473</v>
      </c>
      <c r="L127" s="275">
        <v>393436589</v>
      </c>
      <c r="M127" s="275">
        <v>449458098</v>
      </c>
      <c r="N127" s="275">
        <v>432979302</v>
      </c>
      <c r="O127" s="275">
        <v>542225511</v>
      </c>
      <c r="P127" s="275">
        <v>425223866</v>
      </c>
      <c r="Q127" s="275">
        <v>434883819</v>
      </c>
      <c r="R127" s="275">
        <v>445579560</v>
      </c>
      <c r="S127" s="275">
        <v>607160582</v>
      </c>
      <c r="T127" s="275">
        <v>434794114</v>
      </c>
      <c r="U127" s="275">
        <v>496404176</v>
      </c>
      <c r="V127" s="275">
        <v>478353736</v>
      </c>
      <c r="W127" s="275">
        <v>644068132</v>
      </c>
      <c r="X127" s="275">
        <v>410011693</v>
      </c>
    </row>
    <row r="128" spans="1:24" ht="14.25" thickBot="1" x14ac:dyDescent="0.3">
      <c r="A128" s="224" t="s">
        <v>34</v>
      </c>
      <c r="B128" s="273">
        <v>663582409</v>
      </c>
      <c r="C128" s="273">
        <v>630057648</v>
      </c>
      <c r="D128" s="273">
        <v>677146057</v>
      </c>
      <c r="E128" s="273">
        <v>725753699</v>
      </c>
      <c r="F128" s="273">
        <v>768649085</v>
      </c>
      <c r="G128" s="273">
        <v>746236271</v>
      </c>
      <c r="H128" s="273">
        <v>804174761</v>
      </c>
      <c r="I128" s="273">
        <v>847775085</v>
      </c>
      <c r="J128" s="273">
        <v>897998101</v>
      </c>
      <c r="K128" s="273">
        <v>876960294</v>
      </c>
      <c r="L128" s="273">
        <v>956558251</v>
      </c>
      <c r="M128" s="273">
        <v>1045675747</v>
      </c>
      <c r="N128" s="273">
        <v>1123915753</v>
      </c>
      <c r="O128" s="273">
        <v>1066627555</v>
      </c>
      <c r="P128" s="273">
        <v>1150994944</v>
      </c>
      <c r="Q128" s="273">
        <v>1222634479</v>
      </c>
      <c r="R128" s="273">
        <v>1280946076</v>
      </c>
      <c r="S128" s="273">
        <v>1197330978</v>
      </c>
      <c r="T128" s="273">
        <v>1283892649</v>
      </c>
      <c r="U128" s="273">
        <v>1390051126</v>
      </c>
      <c r="V128" s="273">
        <v>1456310025</v>
      </c>
      <c r="W128" s="273">
        <v>1342365645</v>
      </c>
      <c r="X128" s="273">
        <v>1431412689</v>
      </c>
    </row>
    <row r="129" spans="1:24" ht="14.25" thickBot="1" x14ac:dyDescent="0.3">
      <c r="A129" s="225" t="s">
        <v>35</v>
      </c>
      <c r="B129" s="276">
        <v>831890385</v>
      </c>
      <c r="C129" s="276">
        <v>883906053</v>
      </c>
      <c r="D129" s="276">
        <v>878651770</v>
      </c>
      <c r="E129" s="276">
        <v>955034605</v>
      </c>
      <c r="F129" s="276">
        <v>1061629726</v>
      </c>
      <c r="G129" s="276">
        <v>1169885454</v>
      </c>
      <c r="H129" s="276">
        <v>1177540215</v>
      </c>
      <c r="I129" s="276">
        <v>1263054977</v>
      </c>
      <c r="J129" s="276">
        <v>1298739281</v>
      </c>
      <c r="K129" s="276">
        <v>1345044767</v>
      </c>
      <c r="L129" s="276">
        <v>1349994840</v>
      </c>
      <c r="M129" s="276">
        <v>1495133845</v>
      </c>
      <c r="N129" s="276">
        <v>1556895055</v>
      </c>
      <c r="O129" s="276">
        <v>1608853066</v>
      </c>
      <c r="P129" s="276">
        <v>1576218810</v>
      </c>
      <c r="Q129" s="276">
        <v>1657518298</v>
      </c>
      <c r="R129" s="276">
        <v>1726525636</v>
      </c>
      <c r="S129" s="276">
        <v>1804491560</v>
      </c>
      <c r="T129" s="276">
        <v>1718686763</v>
      </c>
      <c r="U129" s="276">
        <v>1886455302</v>
      </c>
      <c r="V129" s="276">
        <v>1934663761</v>
      </c>
      <c r="W129" s="276">
        <v>1986433777</v>
      </c>
      <c r="X129" s="276">
        <v>1841424382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11.13</v>
      </c>
      <c r="C132" s="68">
        <v>13.41</v>
      </c>
      <c r="D132" s="68">
        <v>16.23</v>
      </c>
      <c r="E132" s="68">
        <v>20.440000000000001</v>
      </c>
      <c r="F132" s="68">
        <v>20.82</v>
      </c>
    </row>
    <row r="133" spans="1:24" ht="14.25" thickBot="1" x14ac:dyDescent="0.3">
      <c r="A133" s="225" t="s">
        <v>37</v>
      </c>
      <c r="B133" s="274">
        <v>-10.52</v>
      </c>
      <c r="C133" s="274">
        <v>-10.85</v>
      </c>
      <c r="D133" s="274">
        <v>-10.88</v>
      </c>
      <c r="E133" s="274">
        <v>-8.3800000000000008</v>
      </c>
      <c r="F133" s="274">
        <v>-15.25</v>
      </c>
    </row>
    <row r="134" spans="1:24" ht="14.25" thickBot="1" x14ac:dyDescent="0.3">
      <c r="A134" s="224" t="s">
        <v>38</v>
      </c>
      <c r="B134" s="68">
        <v>-0.53</v>
      </c>
      <c r="C134" s="68">
        <v>1.24</v>
      </c>
      <c r="D134" s="68">
        <v>-1.24</v>
      </c>
      <c r="E134" s="68">
        <v>-4.5</v>
      </c>
      <c r="F134" s="68">
        <v>-6.09</v>
      </c>
    </row>
    <row r="135" spans="1:24" ht="14.25" thickBot="1" x14ac:dyDescent="0.3">
      <c r="A135" s="225" t="s">
        <v>270</v>
      </c>
      <c r="B135" s="274">
        <v>0.61</v>
      </c>
      <c r="C135" s="274">
        <v>2.56</v>
      </c>
      <c r="D135" s="274">
        <v>5.36</v>
      </c>
      <c r="E135" s="274">
        <v>12.06</v>
      </c>
      <c r="F135" s="274">
        <v>5.57</v>
      </c>
    </row>
    <row r="136" spans="1:24" ht="14.25" thickBot="1" x14ac:dyDescent="0.3">
      <c r="A136" s="229" t="s">
        <v>39</v>
      </c>
      <c r="B136" s="72">
        <v>0.08</v>
      </c>
      <c r="C136" s="72">
        <v>3.8</v>
      </c>
      <c r="D136" s="72">
        <v>4.1100000000000003</v>
      </c>
      <c r="E136" s="72">
        <v>7.56</v>
      </c>
      <c r="F136" s="72">
        <v>-0.52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</v>
      </c>
      <c r="C140" s="68">
        <v>3</v>
      </c>
      <c r="D140" s="68">
        <v>4.5</v>
      </c>
      <c r="E140" s="68">
        <v>6</v>
      </c>
      <c r="F140" s="68">
        <v>7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0.46875</v>
      </c>
      <c r="C142" s="234">
        <f>IF(C140&lt;&gt;"無",IF(ISNA(HLOOKUP(C139,$B$64:$F$69,6,FALSE)),"",C140/HLOOKUP(C139,$B$64:$F$69,6,FALSE)),"")</f>
        <v>0.41322314049586778</v>
      </c>
      <c r="D142" s="234">
        <f>IF(D140&lt;&gt;"無",IF(ISNA(HLOOKUP(D139,$B$64:$F$69,6,FALSE)),"",D140/HLOOKUP(D139,$B$64:$F$69,6,FALSE)),"")</f>
        <v>0.44247787610619471</v>
      </c>
      <c r="E142" s="234">
        <f>IF(E140&lt;&gt;"無",IF(ISNA(HLOOKUP(E139,$B$64:$F$69,6,FALSE)),"",E140/HLOOKUP(E139,$B$64:$F$69,6,FALSE)),"")</f>
        <v>0.50718512256973791</v>
      </c>
      <c r="F142" s="234">
        <f>IF(F140&lt;&gt;"無",IF(ISNA(HLOOKUP(F139,$B$64:$F$69,6,FALSE)),"",F140/HLOOKUP(F139,$B$64:$F$69,6,FALSE)),"")</f>
        <v>0.54305663304887519</v>
      </c>
    </row>
    <row r="143" spans="1:24" x14ac:dyDescent="0.25">
      <c r="A143" s="233" t="s">
        <v>216</v>
      </c>
      <c r="B143" s="234">
        <f>IF(OR(B140=0,B140="無"),"",B135/B140)</f>
        <v>0.20333333333333334</v>
      </c>
      <c r="C143" s="234">
        <f>IF(OR(C140=0,C140="無"),"",C135/C140)</f>
        <v>0.85333333333333339</v>
      </c>
      <c r="D143" s="234">
        <f>IF(OR(D140=0,D140="無"),"",D135/D140)</f>
        <v>1.1911111111111112</v>
      </c>
      <c r="E143" s="234">
        <f>IF(OR(E140=0,E140="無"),"",E135/E140)</f>
        <v>2.0100000000000002</v>
      </c>
      <c r="F143" s="234">
        <f>IF(OR(F140=0,F140="無"),"",F135/F140)</f>
        <v>0.79571428571428571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47.66</v>
      </c>
      <c r="C146" s="68">
        <v>48.78</v>
      </c>
      <c r="D146" s="68">
        <v>48.82</v>
      </c>
      <c r="E146" s="68">
        <v>47.1</v>
      </c>
      <c r="F146" s="68">
        <v>45.78</v>
      </c>
      <c r="G146" s="68">
        <v>49.02</v>
      </c>
      <c r="H146" s="68">
        <v>48.53</v>
      </c>
      <c r="I146" s="68">
        <v>44.47</v>
      </c>
      <c r="J146" s="68">
        <v>47.5</v>
      </c>
      <c r="K146" s="68">
        <v>49.83</v>
      </c>
      <c r="L146" s="68">
        <v>50.5</v>
      </c>
      <c r="M146" s="68">
        <v>49.68</v>
      </c>
      <c r="N146" s="68">
        <v>49.28</v>
      </c>
      <c r="O146" s="68">
        <v>48.53</v>
      </c>
      <c r="P146" s="68">
        <v>48.16</v>
      </c>
      <c r="Q146" s="68">
        <v>48.6</v>
      </c>
      <c r="R146" s="68">
        <v>44.88</v>
      </c>
      <c r="S146" s="68">
        <v>51.55</v>
      </c>
      <c r="T146" s="68">
        <v>50.71</v>
      </c>
      <c r="U146" s="68">
        <v>52.29</v>
      </c>
      <c r="V146" s="68">
        <v>51.94</v>
      </c>
      <c r="W146" s="68">
        <v>50.83</v>
      </c>
      <c r="X146" s="68">
        <v>49.93</v>
      </c>
    </row>
    <row r="147" spans="1:24" s="93" customFormat="1" ht="14.25" thickBot="1" x14ac:dyDescent="0.3">
      <c r="A147" s="225" t="s">
        <v>19</v>
      </c>
      <c r="B147" s="274">
        <v>33.590000000000003</v>
      </c>
      <c r="C147" s="274">
        <v>36.479999999999997</v>
      </c>
      <c r="D147" s="274">
        <v>37.24</v>
      </c>
      <c r="E147" s="274">
        <v>35.229999999999997</v>
      </c>
      <c r="F147" s="274">
        <v>33.47</v>
      </c>
      <c r="G147" s="274">
        <v>36.97</v>
      </c>
      <c r="H147" s="274">
        <v>36.67</v>
      </c>
      <c r="I147" s="274">
        <v>32.75</v>
      </c>
      <c r="J147" s="274">
        <v>35.44</v>
      </c>
      <c r="K147" s="274">
        <v>38.64</v>
      </c>
      <c r="L147" s="274">
        <v>40.39</v>
      </c>
      <c r="M147" s="274">
        <v>39.64</v>
      </c>
      <c r="N147" s="274">
        <v>39.01</v>
      </c>
      <c r="O147" s="274">
        <v>37.51</v>
      </c>
      <c r="P147" s="274">
        <v>36.89</v>
      </c>
      <c r="Q147" s="274">
        <v>38.31</v>
      </c>
      <c r="R147" s="274">
        <v>34.630000000000003</v>
      </c>
      <c r="S147" s="274">
        <v>41.17</v>
      </c>
      <c r="T147" s="274">
        <v>40.81</v>
      </c>
      <c r="U147" s="274">
        <v>41.91</v>
      </c>
      <c r="V147" s="274">
        <v>40.76</v>
      </c>
      <c r="W147" s="274">
        <v>38.93</v>
      </c>
      <c r="X147" s="274">
        <v>38.89</v>
      </c>
    </row>
    <row r="148" spans="1:24" s="93" customFormat="1" ht="14.25" thickBot="1" x14ac:dyDescent="0.3">
      <c r="A148" s="224" t="s">
        <v>41</v>
      </c>
      <c r="B148" s="68">
        <v>33.79</v>
      </c>
      <c r="C148" s="68">
        <v>35.86</v>
      </c>
      <c r="D148" s="68">
        <v>38</v>
      </c>
      <c r="E148" s="68">
        <v>35.22</v>
      </c>
      <c r="F148" s="68">
        <v>34.46</v>
      </c>
      <c r="G148" s="68">
        <v>38.5</v>
      </c>
      <c r="H148" s="68">
        <v>36.51</v>
      </c>
      <c r="I148" s="68">
        <v>34.549999999999997</v>
      </c>
      <c r="J148" s="68">
        <v>35.96</v>
      </c>
      <c r="K148" s="68">
        <v>40.49</v>
      </c>
      <c r="L148" s="68">
        <v>40.840000000000003</v>
      </c>
      <c r="M148" s="68">
        <v>40.14</v>
      </c>
      <c r="N148" s="68">
        <v>39.75</v>
      </c>
      <c r="O148" s="68">
        <v>47.77</v>
      </c>
      <c r="P148" s="68">
        <v>39.24</v>
      </c>
      <c r="Q148" s="68">
        <v>39.619999999999997</v>
      </c>
      <c r="R148" s="68">
        <v>35.51</v>
      </c>
      <c r="S148" s="68">
        <v>42.11</v>
      </c>
      <c r="T148" s="68">
        <v>41.57</v>
      </c>
      <c r="U148" s="68">
        <v>42.73</v>
      </c>
      <c r="V148" s="68">
        <v>41.82</v>
      </c>
      <c r="W148" s="68">
        <v>40.270000000000003</v>
      </c>
      <c r="X148" s="68">
        <v>39.869999999999997</v>
      </c>
    </row>
    <row r="149" spans="1:24" s="93" customFormat="1" ht="14.25" thickBot="1" x14ac:dyDescent="0.3">
      <c r="A149" s="225" t="s">
        <v>13</v>
      </c>
      <c r="B149" s="73">
        <v>31.62</v>
      </c>
      <c r="C149" s="73">
        <v>32.619999999999997</v>
      </c>
      <c r="D149" s="73">
        <v>34.9</v>
      </c>
      <c r="E149" s="73">
        <v>31.59</v>
      </c>
      <c r="F149" s="73">
        <v>29.78</v>
      </c>
      <c r="G149" s="73">
        <v>33.200000000000003</v>
      </c>
      <c r="H149" s="73">
        <v>31.94</v>
      </c>
      <c r="I149" s="73">
        <v>30.72</v>
      </c>
      <c r="J149" s="73">
        <v>32.28</v>
      </c>
      <c r="K149" s="73">
        <v>32.6</v>
      </c>
      <c r="L149" s="73">
        <v>36.5</v>
      </c>
      <c r="M149" s="73">
        <v>35.94</v>
      </c>
      <c r="N149" s="73">
        <v>35.57</v>
      </c>
      <c r="O149" s="73">
        <v>38.659999999999997</v>
      </c>
      <c r="P149" s="73">
        <v>35.44</v>
      </c>
      <c r="Q149" s="73">
        <v>35.79</v>
      </c>
      <c r="R149" s="73">
        <v>31.84</v>
      </c>
      <c r="S149" s="73">
        <v>32.700000000000003</v>
      </c>
      <c r="T149" s="73">
        <v>37.17</v>
      </c>
      <c r="U149" s="73">
        <v>38.22</v>
      </c>
      <c r="V149" s="73">
        <v>37.46</v>
      </c>
      <c r="W149" s="73">
        <v>30.99</v>
      </c>
      <c r="X149" s="73">
        <v>35.68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48.12</v>
      </c>
      <c r="C152" s="68">
        <v>47.06</v>
      </c>
      <c r="D152" s="68">
        <v>49.52</v>
      </c>
      <c r="E152" s="68">
        <v>48.65</v>
      </c>
      <c r="F152" s="68">
        <v>50.09</v>
      </c>
    </row>
    <row r="153" spans="1:24" s="93" customFormat="1" ht="14.25" thickBot="1" x14ac:dyDescent="0.3">
      <c r="A153" s="225" t="s">
        <v>19</v>
      </c>
      <c r="B153" s="274">
        <v>35.76</v>
      </c>
      <c r="C153" s="274">
        <v>35.08</v>
      </c>
      <c r="D153" s="274">
        <v>38.79</v>
      </c>
      <c r="E153" s="274">
        <v>37.94</v>
      </c>
      <c r="F153" s="274">
        <v>39.869999999999997</v>
      </c>
    </row>
    <row r="154" spans="1:24" s="93" customFormat="1" ht="14.25" thickBot="1" x14ac:dyDescent="0.3">
      <c r="A154" s="224" t="s">
        <v>41</v>
      </c>
      <c r="B154" s="68">
        <v>35.86</v>
      </c>
      <c r="C154" s="68">
        <v>36.090000000000003</v>
      </c>
      <c r="D154" s="68">
        <v>39.6</v>
      </c>
      <c r="E154" s="68">
        <v>41.54</v>
      </c>
      <c r="F154" s="68">
        <v>40.72</v>
      </c>
    </row>
    <row r="155" spans="1:24" s="93" customFormat="1" ht="14.25" thickBot="1" x14ac:dyDescent="0.3">
      <c r="A155" s="225" t="s">
        <v>13</v>
      </c>
      <c r="B155" s="73">
        <v>32.78</v>
      </c>
      <c r="C155" s="73">
        <v>31.49</v>
      </c>
      <c r="D155" s="73">
        <v>34.58</v>
      </c>
      <c r="E155" s="73">
        <v>36.340000000000003</v>
      </c>
      <c r="F155" s="73">
        <v>35.270000000000003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4.18</v>
      </c>
      <c r="C158" s="68">
        <v>4.8899999999999997</v>
      </c>
      <c r="D158" s="68">
        <v>5.63</v>
      </c>
      <c r="E158" s="68">
        <v>4.5599999999999996</v>
      </c>
      <c r="F158" s="68">
        <v>3.96</v>
      </c>
      <c r="G158" s="68">
        <v>4.6900000000000004</v>
      </c>
      <c r="H158" s="68">
        <v>4.4800000000000004</v>
      </c>
      <c r="I158" s="68">
        <v>3.73</v>
      </c>
      <c r="J158" s="68">
        <v>3.79</v>
      </c>
      <c r="K158" s="68">
        <v>4.5599999999999996</v>
      </c>
      <c r="L158" s="68">
        <v>5.72</v>
      </c>
      <c r="M158" s="68">
        <v>5.67</v>
      </c>
      <c r="N158" s="68">
        <v>5.22</v>
      </c>
      <c r="O158" s="68">
        <v>5.0599999999999996</v>
      </c>
      <c r="P158" s="68">
        <v>4.7699999999999996</v>
      </c>
      <c r="Q158" s="68">
        <v>4.55</v>
      </c>
      <c r="R158" s="68">
        <v>3.87</v>
      </c>
      <c r="S158" s="68">
        <v>4.1399999999999997</v>
      </c>
      <c r="T158" s="68">
        <v>5.54</v>
      </c>
      <c r="U158" s="68">
        <v>5.6</v>
      </c>
      <c r="V158" s="68">
        <v>4.62</v>
      </c>
      <c r="W158" s="68">
        <v>3.41</v>
      </c>
      <c r="X158" s="68">
        <v>4.74</v>
      </c>
    </row>
    <row r="159" spans="1:24" s="93" customFormat="1" ht="14.25" thickBot="1" x14ac:dyDescent="0.3">
      <c r="A159" s="225" t="s">
        <v>45</v>
      </c>
      <c r="B159" s="73">
        <v>5.15</v>
      </c>
      <c r="C159" s="73">
        <v>6.46</v>
      </c>
      <c r="D159" s="73">
        <v>7.55</v>
      </c>
      <c r="E159" s="73">
        <v>5.91</v>
      </c>
      <c r="F159" s="73">
        <v>5.29</v>
      </c>
      <c r="G159" s="73">
        <v>6.83</v>
      </c>
      <c r="H159" s="73">
        <v>6.7</v>
      </c>
      <c r="I159" s="73">
        <v>5.42</v>
      </c>
      <c r="J159" s="73">
        <v>5.48</v>
      </c>
      <c r="K159" s="73">
        <v>6.72</v>
      </c>
      <c r="L159" s="73">
        <v>8.32</v>
      </c>
      <c r="M159" s="73">
        <v>7.99</v>
      </c>
      <c r="N159" s="73">
        <v>7.28</v>
      </c>
      <c r="O159" s="73">
        <v>7.25</v>
      </c>
      <c r="P159" s="73">
        <v>6.79</v>
      </c>
      <c r="Q159" s="73">
        <v>6.14</v>
      </c>
      <c r="R159" s="73">
        <v>5.18</v>
      </c>
      <c r="S159" s="73">
        <v>5.85</v>
      </c>
      <c r="T159" s="73">
        <v>7.8</v>
      </c>
      <c r="U159" s="73">
        <v>7.5</v>
      </c>
      <c r="V159" s="73">
        <v>6.16</v>
      </c>
      <c r="W159" s="73">
        <v>4.74</v>
      </c>
      <c r="X159" s="73">
        <v>6.49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32.78</v>
      </c>
      <c r="C162" s="68">
        <v>31.49</v>
      </c>
      <c r="D162" s="68">
        <v>34.58</v>
      </c>
      <c r="E162" s="68">
        <v>36.340000000000003</v>
      </c>
      <c r="F162" s="68">
        <v>35.270000000000003</v>
      </c>
    </row>
    <row r="163" spans="1:72" s="93" customFormat="1" ht="14.25" thickBot="1" x14ac:dyDescent="0.3">
      <c r="A163" s="225" t="s">
        <v>18</v>
      </c>
      <c r="B163" s="274">
        <v>0.53</v>
      </c>
      <c r="C163" s="274">
        <v>0.47</v>
      </c>
      <c r="D163" s="274">
        <v>0.51</v>
      </c>
      <c r="E163" s="274">
        <v>0.51</v>
      </c>
      <c r="F163" s="274">
        <v>0.5</v>
      </c>
    </row>
    <row r="164" spans="1:72" s="93" customFormat="1" ht="14.25" thickBot="1" x14ac:dyDescent="0.3">
      <c r="A164" s="224" t="s">
        <v>15</v>
      </c>
      <c r="B164" s="68">
        <v>1.32</v>
      </c>
      <c r="C164" s="68">
        <v>1.49</v>
      </c>
      <c r="D164" s="68">
        <v>1.43</v>
      </c>
      <c r="E164" s="68">
        <v>1.36</v>
      </c>
      <c r="F164" s="68">
        <v>1.36</v>
      </c>
    </row>
    <row r="165" spans="1:72" s="93" customFormat="1" ht="14.25" thickBot="1" x14ac:dyDescent="0.3">
      <c r="A165" s="225" t="s">
        <v>45</v>
      </c>
      <c r="B165" s="73">
        <v>24.45</v>
      </c>
      <c r="C165" s="73">
        <v>23.9</v>
      </c>
      <c r="D165" s="73">
        <v>27.86</v>
      </c>
      <c r="E165" s="73">
        <v>27.03</v>
      </c>
      <c r="F165" s="73">
        <v>25.59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37.97</v>
      </c>
      <c r="C168" s="68">
        <v>36.14</v>
      </c>
      <c r="D168" s="68">
        <v>36.14</v>
      </c>
      <c r="E168" s="68">
        <v>37.82</v>
      </c>
      <c r="F168" s="68">
        <v>40</v>
      </c>
      <c r="G168" s="68">
        <v>42.25</v>
      </c>
      <c r="H168" s="68">
        <v>44.33</v>
      </c>
      <c r="I168" s="68">
        <v>46.88</v>
      </c>
      <c r="J168" s="68">
        <v>44.33</v>
      </c>
      <c r="K168" s="68">
        <v>39.65</v>
      </c>
      <c r="L168" s="68">
        <v>43.27</v>
      </c>
      <c r="M168" s="68">
        <v>46.39</v>
      </c>
      <c r="N168" s="68">
        <v>43.48</v>
      </c>
      <c r="O168" s="68">
        <v>43.48</v>
      </c>
      <c r="P168" s="68">
        <v>41.67</v>
      </c>
      <c r="Q168" s="68">
        <v>40.36</v>
      </c>
      <c r="R168" s="68">
        <v>40.36</v>
      </c>
      <c r="S168" s="68">
        <v>42.25</v>
      </c>
      <c r="T168" s="68">
        <v>41.67</v>
      </c>
      <c r="U168" s="68">
        <v>44.33</v>
      </c>
      <c r="V168" s="68">
        <v>45.92</v>
      </c>
      <c r="W168" s="68">
        <v>46.15</v>
      </c>
      <c r="X168" s="68">
        <v>40.909999999999997</v>
      </c>
    </row>
    <row r="169" spans="1:72" s="93" customFormat="1" ht="14.25" thickBot="1" x14ac:dyDescent="0.3">
      <c r="A169" s="225" t="s">
        <v>17</v>
      </c>
      <c r="B169" s="274">
        <v>42.86</v>
      </c>
      <c r="C169" s="274">
        <v>40.18</v>
      </c>
      <c r="D169" s="274">
        <v>39.82</v>
      </c>
      <c r="E169" s="274">
        <v>46.15</v>
      </c>
      <c r="F169" s="274">
        <v>47.37</v>
      </c>
      <c r="G169" s="274">
        <v>43.27</v>
      </c>
      <c r="H169" s="274">
        <v>40.54</v>
      </c>
      <c r="I169" s="274">
        <v>41.28</v>
      </c>
      <c r="J169" s="274">
        <v>46.88</v>
      </c>
      <c r="K169" s="274">
        <v>46.39</v>
      </c>
      <c r="L169" s="274">
        <v>50.56</v>
      </c>
      <c r="M169" s="274">
        <v>52.94</v>
      </c>
      <c r="N169" s="274">
        <v>52.33</v>
      </c>
      <c r="O169" s="274">
        <v>55.56</v>
      </c>
      <c r="P169" s="274">
        <v>53.57</v>
      </c>
      <c r="Q169" s="274">
        <v>56.96</v>
      </c>
      <c r="R169" s="274">
        <v>50</v>
      </c>
      <c r="S169" s="274">
        <v>49.45</v>
      </c>
      <c r="T169" s="274">
        <v>40.18</v>
      </c>
      <c r="U169" s="274">
        <v>36.89</v>
      </c>
      <c r="V169" s="274">
        <v>39.65</v>
      </c>
      <c r="W169" s="274">
        <v>47.62</v>
      </c>
      <c r="X169" s="274">
        <v>48.13</v>
      </c>
    </row>
    <row r="170" spans="1:72" s="93" customFormat="1" ht="14.25" thickBot="1" x14ac:dyDescent="0.3">
      <c r="A170" s="224" t="s">
        <v>42</v>
      </c>
      <c r="B170" s="72">
        <v>80.83</v>
      </c>
      <c r="C170" s="72">
        <v>76.319999999999993</v>
      </c>
      <c r="D170" s="72">
        <v>75.97</v>
      </c>
      <c r="E170" s="72">
        <v>83.97</v>
      </c>
      <c r="F170" s="72">
        <v>87.37</v>
      </c>
      <c r="G170" s="72">
        <v>85.52</v>
      </c>
      <c r="H170" s="72">
        <v>84.88</v>
      </c>
      <c r="I170" s="72">
        <v>88.16</v>
      </c>
      <c r="J170" s="72">
        <v>91.21</v>
      </c>
      <c r="K170" s="72">
        <v>86.04</v>
      </c>
      <c r="L170" s="72">
        <v>93.83</v>
      </c>
      <c r="M170" s="72">
        <v>99.33</v>
      </c>
      <c r="N170" s="72">
        <v>95.8</v>
      </c>
      <c r="O170" s="72">
        <v>99.03</v>
      </c>
      <c r="P170" s="72">
        <v>95.24</v>
      </c>
      <c r="Q170" s="72">
        <v>97.32</v>
      </c>
      <c r="R170" s="72">
        <v>90.36</v>
      </c>
      <c r="S170" s="72">
        <v>91.7</v>
      </c>
      <c r="T170" s="72">
        <v>81.849999999999994</v>
      </c>
      <c r="U170" s="72">
        <v>81.22</v>
      </c>
      <c r="V170" s="72">
        <v>85.57</v>
      </c>
      <c r="W170" s="72">
        <v>93.77</v>
      </c>
      <c r="X170" s="72">
        <v>89.04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174.17</v>
      </c>
      <c r="C173" s="72">
        <v>184.76</v>
      </c>
      <c r="D173" s="72">
        <v>159.80000000000001</v>
      </c>
      <c r="E173" s="72">
        <v>172.85</v>
      </c>
      <c r="F173" s="72">
        <v>161.46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13.85</v>
      </c>
      <c r="C176" s="72">
        <v>14.16</v>
      </c>
      <c r="D176" s="72">
        <v>14.91</v>
      </c>
      <c r="E176" s="72">
        <v>16.260000000000002</v>
      </c>
      <c r="F176" s="72">
        <v>16.579999999999998</v>
      </c>
      <c r="G176" s="72">
        <v>15.7</v>
      </c>
      <c r="H176" s="72">
        <v>15.42</v>
      </c>
      <c r="I176" s="72">
        <v>15.55</v>
      </c>
      <c r="J176" s="72">
        <v>16.12</v>
      </c>
      <c r="K176" s="72">
        <v>16.579999999999998</v>
      </c>
      <c r="L176" s="72">
        <v>15.29</v>
      </c>
      <c r="M176" s="72">
        <v>16.100000000000001</v>
      </c>
      <c r="N176" s="72">
        <v>16.7</v>
      </c>
      <c r="O176" s="72">
        <v>17.489999999999998</v>
      </c>
      <c r="P176" s="72">
        <v>16.88</v>
      </c>
      <c r="Q176" s="72">
        <v>16.09</v>
      </c>
      <c r="R176" s="72">
        <v>16.850000000000001</v>
      </c>
      <c r="S176" s="72">
        <v>15.91</v>
      </c>
      <c r="T176" s="72">
        <v>15.77</v>
      </c>
      <c r="U176" s="72">
        <v>13.82</v>
      </c>
      <c r="V176" s="72">
        <v>14.65</v>
      </c>
      <c r="W176" s="72">
        <v>15.22</v>
      </c>
      <c r="X176" s="72">
        <v>14.7</v>
      </c>
      <c r="Y176" s="72">
        <v>14.57</v>
      </c>
      <c r="Z176" s="72">
        <v>14.72</v>
      </c>
      <c r="AA176" s="72">
        <v>14.88</v>
      </c>
      <c r="AB176" s="72">
        <v>15.64</v>
      </c>
      <c r="AC176" s="72">
        <v>16.53</v>
      </c>
      <c r="AD176" s="72">
        <v>15.9</v>
      </c>
      <c r="AE176" s="72">
        <v>16.34</v>
      </c>
      <c r="AF176" s="72">
        <v>16.98</v>
      </c>
      <c r="AG176" s="72">
        <v>15.63</v>
      </c>
      <c r="AH176" s="72">
        <v>15.78</v>
      </c>
      <c r="AI176" s="72">
        <v>15.88</v>
      </c>
      <c r="AJ176" s="72">
        <v>15.35</v>
      </c>
      <c r="AK176" s="72">
        <v>15.58</v>
      </c>
      <c r="AL176" s="72">
        <v>15.71</v>
      </c>
      <c r="AM176" s="72">
        <v>16.649999999999999</v>
      </c>
      <c r="AN176" s="72">
        <v>14.63</v>
      </c>
      <c r="AO176" s="72">
        <v>14.37</v>
      </c>
      <c r="AP176" s="72">
        <v>12.88</v>
      </c>
      <c r="AQ176" s="72">
        <v>12.5</v>
      </c>
      <c r="AR176" s="72">
        <v>12.15</v>
      </c>
      <c r="AS176" s="72">
        <v>10.5</v>
      </c>
      <c r="AT176" s="72">
        <v>10.48</v>
      </c>
      <c r="AU176" s="72">
        <v>11.29</v>
      </c>
      <c r="AV176" s="72">
        <v>11.52</v>
      </c>
      <c r="AW176" s="72">
        <v>11.71</v>
      </c>
      <c r="AX176" s="72">
        <v>11.29</v>
      </c>
      <c r="AY176" s="72">
        <v>12.21</v>
      </c>
      <c r="AZ176" s="72">
        <v>13.23</v>
      </c>
      <c r="BA176" s="72">
        <v>13.27</v>
      </c>
      <c r="BB176" s="72">
        <v>13.25</v>
      </c>
      <c r="BC176" s="72">
        <v>14.3</v>
      </c>
      <c r="BD176" s="72">
        <v>15.03</v>
      </c>
      <c r="BE176" s="72">
        <v>15.98</v>
      </c>
      <c r="BF176" s="72">
        <v>16.350000000000001</v>
      </c>
      <c r="BG176" s="72">
        <v>17.11</v>
      </c>
      <c r="BH176" s="72">
        <v>15.52</v>
      </c>
      <c r="BI176" s="72">
        <v>15.41</v>
      </c>
      <c r="BJ176" s="72">
        <v>15.44</v>
      </c>
      <c r="BK176" s="72">
        <v>15.82</v>
      </c>
      <c r="BL176" s="72">
        <v>14.66</v>
      </c>
      <c r="BM176" s="72">
        <v>14.77</v>
      </c>
      <c r="BN176" s="72">
        <v>14.77</v>
      </c>
      <c r="BO176" s="72">
        <v>15.34</v>
      </c>
      <c r="BP176" s="72">
        <v>15.38</v>
      </c>
      <c r="BQ176" s="72">
        <v>15.83</v>
      </c>
      <c r="BR176" s="72">
        <v>16.059999999999999</v>
      </c>
      <c r="BS176" s="72">
        <v>17.329999999999998</v>
      </c>
      <c r="BT176" s="72">
        <v>18.27</v>
      </c>
    </row>
  </sheetData>
  <phoneticPr fontId="3" type="noConversion"/>
  <conditionalFormatting sqref="E4">
    <cfRule type="cellIs" dxfId="5996" priority="101" operator="greaterThan">
      <formula>0.2</formula>
    </cfRule>
    <cfRule type="cellIs" dxfId="5995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5994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993" priority="95" operator="greaterThan">
      <formula>$B$19</formula>
    </cfRule>
  </conditionalFormatting>
  <conditionalFormatting sqref="D33:D34">
    <cfRule type="cellIs" dxfId="5992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5991" priority="89" operator="lessThan">
      <formula>$H$62</formula>
    </cfRule>
    <cfRule type="cellIs" dxfId="5990" priority="90" operator="greaterThan">
      <formula>$H$62</formula>
    </cfRule>
  </conditionalFormatting>
  <conditionalFormatting sqref="J62">
    <cfRule type="cellIs" dxfId="5989" priority="87" operator="lessThan">
      <formula>$K$62</formula>
    </cfRule>
    <cfRule type="cellIs" dxfId="5988" priority="88" operator="greaterThan">
      <formula>$K$62</formula>
    </cfRule>
  </conditionalFormatting>
  <conditionalFormatting sqref="M62">
    <cfRule type="cellIs" dxfId="5987" priority="85" operator="lessThan">
      <formula>$N$62</formula>
    </cfRule>
    <cfRule type="cellIs" dxfId="5986" priority="86" operator="greaterThan">
      <formula>$N$62</formula>
    </cfRule>
  </conditionalFormatting>
  <conditionalFormatting sqref="B44:E44">
    <cfRule type="cellIs" dxfId="5985" priority="83" operator="greaterThan">
      <formula>0</formula>
    </cfRule>
    <cfRule type="cellIs" dxfId="5984" priority="84" operator="lessThan">
      <formula>0</formula>
    </cfRule>
  </conditionalFormatting>
  <conditionalFormatting sqref="F72">
    <cfRule type="cellIs" dxfId="5983" priority="82" operator="lessThan">
      <formula>$E$72*90%</formula>
    </cfRule>
  </conditionalFormatting>
  <conditionalFormatting sqref="F73">
    <cfRule type="cellIs" dxfId="5982" priority="81" operator="lessThan">
      <formula>$E$73*90%</formula>
    </cfRule>
  </conditionalFormatting>
  <conditionalFormatting sqref="F74">
    <cfRule type="cellIs" dxfId="5981" priority="80" operator="lessThan">
      <formula>$E$74*90%</formula>
    </cfRule>
  </conditionalFormatting>
  <conditionalFormatting sqref="F75">
    <cfRule type="cellIs" dxfId="5980" priority="79" operator="lessThan">
      <formula>$E$75*90%</formula>
    </cfRule>
  </conditionalFormatting>
  <conditionalFormatting sqref="H44:K44">
    <cfRule type="cellIs" dxfId="5979" priority="77" operator="greaterThan">
      <formula>0</formula>
    </cfRule>
    <cfRule type="cellIs" dxfId="5978" priority="78" operator="lessThan">
      <formula>0</formula>
    </cfRule>
  </conditionalFormatting>
  <conditionalFormatting sqref="H51:K51">
    <cfRule type="cellIs" dxfId="5977" priority="75" operator="greaterThan">
      <formula>0</formula>
    </cfRule>
    <cfRule type="cellIs" dxfId="5976" priority="76" operator="lessThan">
      <formula>0</formula>
    </cfRule>
  </conditionalFormatting>
  <conditionalFormatting sqref="B51:E51">
    <cfRule type="cellIs" dxfId="5975" priority="73" operator="greaterThan">
      <formula>0</formula>
    </cfRule>
    <cfRule type="cellIs" dxfId="5974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973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972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5971" priority="56" operator="lessThan">
      <formula>0</formula>
    </cfRule>
  </conditionalFormatting>
  <conditionalFormatting sqref="A25 E25 C25">
    <cfRule type="cellIs" dxfId="5970" priority="57" operator="lessThan">
      <formula>0</formula>
    </cfRule>
  </conditionalFormatting>
  <conditionalFormatting sqref="F25">
    <cfRule type="cellIs" dxfId="5969" priority="55" operator="lessThan">
      <formula>0</formula>
    </cfRule>
  </conditionalFormatting>
  <conditionalFormatting sqref="E1">
    <cfRule type="containsText" dxfId="5968" priority="54" operator="containsText" text="本季業外損益/平均=-">
      <formula>NOT(ISERROR(SEARCH("本季業外損益/平均=-",E1)))</formula>
    </cfRule>
  </conditionalFormatting>
  <conditionalFormatting sqref="M65">
    <cfRule type="cellIs" dxfId="5967" priority="53" operator="lessThan">
      <formula>$L$65*90%</formula>
    </cfRule>
  </conditionalFormatting>
  <conditionalFormatting sqref="M66">
    <cfRule type="cellIs" dxfId="5966" priority="52" operator="lessThan">
      <formula>$L$66*90%</formula>
    </cfRule>
  </conditionalFormatting>
  <conditionalFormatting sqref="M67">
    <cfRule type="cellIs" dxfId="5965" priority="51" operator="lessThan">
      <formula>$L$67*90%</formula>
    </cfRule>
  </conditionalFormatting>
  <conditionalFormatting sqref="M68">
    <cfRule type="cellIs" dxfId="5964" priority="50" operator="lessThan">
      <formula>$L$68*90%</formula>
    </cfRule>
  </conditionalFormatting>
  <conditionalFormatting sqref="B60">
    <cfRule type="cellIs" dxfId="5963" priority="49" operator="lessThan">
      <formula>0</formula>
    </cfRule>
  </conditionalFormatting>
  <conditionalFormatting sqref="B59:F59">
    <cfRule type="cellIs" dxfId="5962" priority="48" operator="lessThanOrEqual">
      <formula>0</formula>
    </cfRule>
  </conditionalFormatting>
  <conditionalFormatting sqref="D62">
    <cfRule type="cellIs" dxfId="5961" priority="46" operator="lessThan">
      <formula>$E$62</formula>
    </cfRule>
    <cfRule type="cellIs" dxfId="5960" priority="47" operator="greaterThan">
      <formula>$E$62</formula>
    </cfRule>
  </conditionalFormatting>
  <conditionalFormatting sqref="F69">
    <cfRule type="cellIs" dxfId="5959" priority="44" operator="lessThan">
      <formula>0</formula>
    </cfRule>
  </conditionalFormatting>
  <conditionalFormatting sqref="B65:E67 B69:E69 B68:D68">
    <cfRule type="cellIs" dxfId="5958" priority="45" operator="lessThan">
      <formula>0</formula>
    </cfRule>
  </conditionalFormatting>
  <conditionalFormatting sqref="E68">
    <cfRule type="cellIs" dxfId="5957" priority="43" operator="lessThan">
      <formula>0</formula>
    </cfRule>
  </conditionalFormatting>
  <conditionalFormatting sqref="F65:F68">
    <cfRule type="cellIs" dxfId="5956" priority="42" operator="lessThan">
      <formula>0</formula>
    </cfRule>
  </conditionalFormatting>
  <conditionalFormatting sqref="F65:F68">
    <cfRule type="cellIs" dxfId="5955" priority="41" operator="lessThan">
      <formula>$E$65*0.9</formula>
    </cfRule>
  </conditionalFormatting>
  <conditionalFormatting sqref="F66">
    <cfRule type="cellIs" dxfId="5954" priority="40" operator="lessThan">
      <formula>$E$66*0.9</formula>
    </cfRule>
  </conditionalFormatting>
  <conditionalFormatting sqref="F67:F68">
    <cfRule type="cellIs" dxfId="5953" priority="39" operator="lessThan">
      <formula>$E$67*0.9</formula>
    </cfRule>
  </conditionalFormatting>
  <conditionalFormatting sqref="F68">
    <cfRule type="cellIs" dxfId="5952" priority="38" operator="lessThan">
      <formula>$E$68*0.9</formula>
    </cfRule>
  </conditionalFormatting>
  <conditionalFormatting sqref="B13:F13">
    <cfRule type="cellIs" dxfId="5951" priority="27" operator="greaterThan">
      <formula>$I$16</formula>
    </cfRule>
    <cfRule type="cellIs" dxfId="5950" priority="28" operator="lessThanOrEqual">
      <formula>$I$16</formula>
    </cfRule>
  </conditionalFormatting>
  <conditionalFormatting sqref="B10:F10">
    <cfRule type="cellIs" dxfId="5949" priority="29" operator="greaterThan">
      <formula>15</formula>
    </cfRule>
    <cfRule type="cellIs" dxfId="5948" priority="36" operator="lessThan">
      <formula>$I$9</formula>
    </cfRule>
    <cfRule type="cellIs" dxfId="5947" priority="37" operator="greaterThan">
      <formula>$I$9</formula>
    </cfRule>
  </conditionalFormatting>
  <conditionalFormatting sqref="B16:F16">
    <cfRule type="cellIs" dxfId="5946" priority="34" operator="greaterThan">
      <formula>$I$16</formula>
    </cfRule>
    <cfRule type="cellIs" dxfId="5945" priority="35" operator="lessThanOrEqual">
      <formula>$I$16</formula>
    </cfRule>
  </conditionalFormatting>
  <conditionalFormatting sqref="B15:F15">
    <cfRule type="cellIs" dxfId="5944" priority="32" operator="lessThanOrEqual">
      <formula>$I$16</formula>
    </cfRule>
    <cfRule type="cellIs" dxfId="5943" priority="33" operator="greaterThan">
      <formula>$I$16</formula>
    </cfRule>
  </conditionalFormatting>
  <conditionalFormatting sqref="B14:F14">
    <cfRule type="cellIs" dxfId="5942" priority="30" operator="greaterThan">
      <formula>$I$16</formula>
    </cfRule>
    <cfRule type="cellIs" dxfId="5941" priority="31" operator="lessThanOrEqual">
      <formula>$I$16</formula>
    </cfRule>
  </conditionalFormatting>
  <conditionalFormatting sqref="K6">
    <cfRule type="containsText" dxfId="5940" priority="25" operator="containsText" text="衰退">
      <formula>NOT(ISERROR(SEARCH("衰退",K6)))</formula>
    </cfRule>
    <cfRule type="containsText" dxfId="5939" priority="26" operator="containsText" text="成長">
      <formula>NOT(ISERROR(SEARCH("成長",K6)))</formula>
    </cfRule>
  </conditionalFormatting>
  <conditionalFormatting sqref="I4:K4">
    <cfRule type="cellIs" dxfId="5938" priority="23" operator="lessThan">
      <formula>0</formula>
    </cfRule>
    <cfRule type="cellIs" dxfId="5937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936" priority="20" operator="lessThanOrEqual">
      <formula>$I$16</formula>
    </cfRule>
    <cfRule type="cellIs" dxfId="5935" priority="21" operator="greaterThan">
      <formula>$I$16</formula>
    </cfRule>
  </conditionalFormatting>
  <conditionalFormatting sqref="I6">
    <cfRule type="containsText" dxfId="5934" priority="18" operator="containsText" text="衰退">
      <formula>NOT(ISERROR(SEARCH("衰退",I6)))</formula>
    </cfRule>
    <cfRule type="containsText" dxfId="5933" priority="19" operator="containsText" text="成長">
      <formula>NOT(ISERROR(SEARCH("成長",I6)))</formula>
    </cfRule>
  </conditionalFormatting>
  <conditionalFormatting sqref="M9">
    <cfRule type="cellIs" dxfId="5932" priority="17" operator="lessThan">
      <formula>$I$9</formula>
    </cfRule>
  </conditionalFormatting>
  <conditionalFormatting sqref="M10">
    <cfRule type="cellIs" dxfId="5931" priority="16" operator="greaterThan">
      <formula>$I$9</formula>
    </cfRule>
  </conditionalFormatting>
  <conditionalFormatting sqref="M11">
    <cfRule type="cellIs" dxfId="5930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929" priority="12" operator="lessThan">
      <formula>0</formula>
    </cfRule>
    <cfRule type="cellIs" dxfId="5928" priority="13" operator="greaterThan">
      <formula>0.5</formula>
    </cfRule>
  </conditionalFormatting>
  <conditionalFormatting sqref="N14">
    <cfRule type="cellIs" dxfId="5927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926" priority="8" operator="lessThan">
      <formula>0.1</formula>
    </cfRule>
  </conditionalFormatting>
  <conditionalFormatting sqref="I14">
    <cfRule type="cellIs" dxfId="5925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924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923" priority="1" operator="lessThan">
      <formula>$N$5*0.9</formula>
    </cfRule>
    <cfRule type="cellIs" dxfId="5922" priority="2" operator="greaterThan">
      <formula>$N$5*1.1</formula>
    </cfRule>
  </conditionalFormatting>
  <hyperlinks>
    <hyperlink ref="L1" location="儀表板!A1" display="(回首頁)" xr:uid="{00000000-0004-0000-1800-000000000000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4.49 ~ 13.52</v>
      </c>
      <c r="L1" s="83" t="s">
        <v>176</v>
      </c>
      <c r="M1" s="84" t="str">
        <f ca="1">VLOOKUP(_xlfn.NUMBERVALUE(N1),儀表板!A:B,2,FALSE)</f>
        <v>台光電子</v>
      </c>
      <c r="N1" s="85" t="str">
        <f ca="1">MID(CELL("filename",L1),FIND("]",CELL("filename",L1))+1,255)</f>
        <v>2383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0.29183718639198342</v>
      </c>
    </row>
    <row r="3" spans="1:15" s="93" customFormat="1" x14ac:dyDescent="0.25">
      <c r="A3" s="81" t="s">
        <v>179</v>
      </c>
      <c r="B3" s="94">
        <f>SUM(F19:F22,F24:F27,J19)</f>
        <v>88.024721976490881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83.320818481007109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89.693798931395762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99.182458713085524</v>
      </c>
      <c r="L3" s="100"/>
      <c r="M3" s="79" t="s">
        <v>385</v>
      </c>
      <c r="N3" s="92">
        <f>(F69-E69)/E69</f>
        <v>8.3750723877670061E-2</v>
      </c>
    </row>
    <row r="4" spans="1:15" s="93" customFormat="1" x14ac:dyDescent="0.25">
      <c r="A4" s="81" t="s">
        <v>182</v>
      </c>
      <c r="B4" s="96">
        <f>SUM(G36:G40)*2</f>
        <v>72</v>
      </c>
      <c r="C4" s="101"/>
      <c r="D4" s="102">
        <f>F4*(1+F141/10)</f>
        <v>31.9</v>
      </c>
      <c r="E4" s="82">
        <f>(D4-F4)/F4</f>
        <v>0</v>
      </c>
      <c r="F4" s="103">
        <v>31.9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9.4286312977357287</v>
      </c>
    </row>
    <row r="5" spans="1:15" s="93" customFormat="1" x14ac:dyDescent="0.25">
      <c r="A5" s="81" t="s">
        <v>184</v>
      </c>
      <c r="B5" s="107">
        <f>SUM(F30:F34)*2</f>
        <v>92.65110850439882</v>
      </c>
      <c r="C5" s="87"/>
      <c r="D5" s="87"/>
      <c r="E5" s="87"/>
      <c r="F5" s="86"/>
      <c r="G5" s="88"/>
      <c r="M5" s="79" t="s">
        <v>375</v>
      </c>
      <c r="N5" s="152">
        <f>D62</f>
        <v>9.4499999999999993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連3年成長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9.6644468709205213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15.68</v>
      </c>
      <c r="N9" s="129"/>
    </row>
    <row r="10" spans="1:15" s="93" customFormat="1" x14ac:dyDescent="0.25">
      <c r="A10" s="123" t="s">
        <v>194</v>
      </c>
      <c r="B10" s="126">
        <f>PERCENTILE(176:176,B9)</f>
        <v>8.24</v>
      </c>
      <c r="C10" s="126">
        <f>PERCENTILE(176:176,C9)</f>
        <v>8.8249999999999993</v>
      </c>
      <c r="D10" s="126">
        <f>PERCENTILE(176:176,D9)</f>
        <v>9.5</v>
      </c>
      <c r="E10" s="126">
        <f>PERCENTILE(176:176,E9)</f>
        <v>10.504999999999999</v>
      </c>
      <c r="F10" s="126">
        <f>PERCENTILE(176:176,F9)</f>
        <v>11.05</v>
      </c>
      <c r="G10" s="95"/>
      <c r="H10" s="135"/>
      <c r="I10" s="135"/>
      <c r="J10" s="135"/>
      <c r="K10" s="135"/>
      <c r="L10" s="136" t="s">
        <v>374</v>
      </c>
      <c r="M10" s="130">
        <f>MIN(176:176)</f>
        <v>6.44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35.31</v>
      </c>
      <c r="L11" s="272" t="s">
        <v>193</v>
      </c>
      <c r="M11" s="128">
        <f>STDEV(176:176)</f>
        <v>2.0512409455007927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46.568627450980401</v>
      </c>
      <c r="C13" s="141">
        <f>$B$34/5.88%</f>
        <v>56.547619047619051</v>
      </c>
      <c r="D13" s="141">
        <f>$B$34/5%</f>
        <v>66.5</v>
      </c>
      <c r="E13" s="141">
        <f>$B$34/4.35%</f>
        <v>76.436781609195407</v>
      </c>
      <c r="F13" s="141">
        <f>$B$34/3.85%</f>
        <v>86.363636363636374</v>
      </c>
      <c r="G13" s="138" t="str">
        <f>"$"&amp;ROUND(B34,2)&amp;"/"&amp;IF(STDEV(C140:F140)/AVERAGE(C140:F140)&lt;15%,"高",IF(STDEV(C140:F140)/AVERAGE(C140:F140)&lt;30%,"中","低"))</f>
        <v>$3.33/低</v>
      </c>
      <c r="H13" s="142" t="s">
        <v>199</v>
      </c>
      <c r="I13" s="143">
        <f>MAX(0,1-J15)</f>
        <v>0.45977011494252862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49.172199999999997</v>
      </c>
      <c r="C14" s="141">
        <f>$B$33*C10</f>
        <v>52.663187499999992</v>
      </c>
      <c r="D14" s="141">
        <f>$B$33*D10</f>
        <v>56.691249999999997</v>
      </c>
      <c r="E14" s="141">
        <f>$B$33*E10</f>
        <v>62.68858749999999</v>
      </c>
      <c r="F14" s="141">
        <f>$B$33*F10</f>
        <v>65.940874999999991</v>
      </c>
      <c r="G14" s="138" t="str">
        <f>"$"&amp;ROUND(B33,2)&amp;"/"&amp;IF(STDEV(B69:E69)/AVERAGE(B69:E69)&lt;15%,"高",IF(STDEV(B69:E69)/AVERAGE(B69:E69)&lt;30%,"中","低"))</f>
        <v>$5.97/低</v>
      </c>
      <c r="H14" s="142" t="s">
        <v>203</v>
      </c>
      <c r="I14" s="145">
        <f>G62/100*I13</f>
        <v>0.13149425287356317</v>
      </c>
      <c r="J14" s="76" t="s">
        <v>204</v>
      </c>
      <c r="K14" s="146"/>
      <c r="L14" s="147">
        <f>(HLOOKUP($C$1,$105:$106,2,FALSE)-HLOOKUP($C$1,$117:$127,9,FALSE))/(HLOOKUP($C$1,$117:$128,12,FALSE)/K11)</f>
        <v>8.9717956557965248</v>
      </c>
      <c r="M14" s="148">
        <f>E135/E69</f>
        <v>1.2149425287356324</v>
      </c>
      <c r="N14" s="149">
        <f>F173/100</f>
        <v>0.9375</v>
      </c>
    </row>
    <row r="15" spans="1:15" s="93" customFormat="1" x14ac:dyDescent="0.25">
      <c r="A15" s="140" t="s">
        <v>375</v>
      </c>
      <c r="B15" s="141">
        <f>$D$62*B10</f>
        <v>77.867999999999995</v>
      </c>
      <c r="C15" s="141">
        <f>$D$62*C10</f>
        <v>83.396249999999981</v>
      </c>
      <c r="D15" s="141">
        <f>$D$62*D10</f>
        <v>89.774999999999991</v>
      </c>
      <c r="E15" s="141">
        <f>$D$62*E10</f>
        <v>99.272249999999985</v>
      </c>
      <c r="F15" s="141">
        <f>$D$62*F10</f>
        <v>104.4225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0.54022988505747138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77.69192189334241</v>
      </c>
      <c r="C16" s="141">
        <f>$F$69*C10</f>
        <v>83.207671202517801</v>
      </c>
      <c r="D16" s="141">
        <f>$F$69*D10</f>
        <v>89.571997328489417</v>
      </c>
      <c r="E16" s="141">
        <f>$F$69*E10</f>
        <v>99.047771782713824</v>
      </c>
      <c r="F16" s="141">
        <f>$F$69*F10</f>
        <v>104.1863758399798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2439</v>
      </c>
      <c r="J17" s="92">
        <f ca="1">IF(I17&lt;=0,"",IF(I17&lt;=MIN($B$13:$F$16),(I17-MIN($B$13:$F$16))/MIN($B$13:$F$16),IF(I17&gt;=MAX($B$13:$F$16),I17/MAX($B$13:$F$16),PERCENTRANK($B$13:$F$16,I17))))</f>
        <v>23.357035121741003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5.8250000000000002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18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1.7518796992481203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0.24988513266642365</v>
      </c>
      <c r="J20" s="171">
        <f>HLOOKUP($C$1,$117:$127,11,FALSE)/HLOOKUP($C$1,$105:$115,11,FALSE)</f>
        <v>0.49134655581471837</v>
      </c>
      <c r="K20" s="163"/>
    </row>
    <row r="21" spans="1:14" s="93" customFormat="1" x14ac:dyDescent="0.25">
      <c r="A21" s="151" t="s">
        <v>201</v>
      </c>
      <c r="B21" s="161">
        <f>AVERAGE(C173:F173)/100</f>
        <v>1.3002750000000001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2.1507874402673499</v>
      </c>
      <c r="J21" s="78"/>
      <c r="K21" s="164" t="s">
        <v>356</v>
      </c>
      <c r="L21" s="165">
        <f>HLOOKUP($C$1,$105:$115,7,FALSE)/HLOOKUP($C$1,$105:$115,11,FALSE)</f>
        <v>0.75771576430056098</v>
      </c>
      <c r="M21" s="123" t="s">
        <v>268</v>
      </c>
      <c r="N21" s="165">
        <f>HLOOKUP($C$1,$117:$127,8,FALSE)/HLOOKUP($C$1,$117:$127,11,FALSE)</f>
        <v>0.71700290460758476</v>
      </c>
    </row>
    <row r="22" spans="1:14" s="93" customFormat="1" x14ac:dyDescent="0.25">
      <c r="A22" s="140" t="s">
        <v>222</v>
      </c>
      <c r="B22" s="161">
        <f>(-1)*SUM(C133:F133)/SUM(C132:F132)</f>
        <v>0.21778523489932883</v>
      </c>
      <c r="C22" s="157"/>
      <c r="D22" s="166"/>
      <c r="E22" s="140"/>
      <c r="F22" s="159">
        <f>IF(B22&lt;=0,10,IF(B22&gt;=100%,0,(1-B22)*10))</f>
        <v>7.8221476510067127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1.8037749130728669</v>
      </c>
      <c r="J22" s="78"/>
      <c r="K22" s="142" t="s">
        <v>357</v>
      </c>
      <c r="L22" s="165">
        <f>HLOOKUP($C$1,$105:$115,4,FALSE)/HLOOKUP($C$1,$105:$115,11,FALSE)</f>
        <v>0.35015768510299566</v>
      </c>
      <c r="M22" s="123" t="s">
        <v>353</v>
      </c>
      <c r="N22" s="165">
        <f>HLOOKUP($C$1,$117:$127,4,FALSE)/HLOOKUP($C$1,$117:$127,11,FALSE)</f>
        <v>0.49142793470470009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1.9659750886022527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0.12225144025964407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0.99825903169417984</v>
      </c>
      <c r="C24" s="169">
        <f>STDEV(C103:F103)</f>
        <v>5.9311248694809829E-4</v>
      </c>
      <c r="D24" s="76" t="str">
        <f>IF(C24/B24&lt;15%,"高",IF(C24/B24&lt;30%,"中","低"))</f>
        <v>高</v>
      </c>
      <c r="E24" s="149"/>
      <c r="F24" s="160">
        <f>MIN(100%,B24)*5</f>
        <v>4.9912951584708996</v>
      </c>
      <c r="G24" s="88" t="s">
        <v>229</v>
      </c>
      <c r="H24" s="123" t="s">
        <v>16</v>
      </c>
      <c r="I24" s="170">
        <f>HLOOKUP(C1,167:170,2,FALSE)</f>
        <v>113.92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2.2191535904005352E-2</v>
      </c>
      <c r="M24" s="123" t="s">
        <v>355</v>
      </c>
      <c r="N24" s="165">
        <f>HLOOKUP($C$1,$117:$127,9,FALSE)/HLOOKUP($C$1,$117:$127,11,FALSE)</f>
        <v>0.28299709539241524</v>
      </c>
    </row>
    <row r="25" spans="1:14" s="93" customFormat="1" x14ac:dyDescent="0.25">
      <c r="A25" s="151" t="s">
        <v>366</v>
      </c>
      <c r="B25" s="255">
        <f>AVERAGE(94:94)</f>
        <v>3636.6521739130435</v>
      </c>
      <c r="C25" s="254">
        <f>STDEV(94:94)/AVERAGE(94:94)</f>
        <v>5.7887208329867361</v>
      </c>
      <c r="D25" s="76" t="str">
        <f>IF(C25&lt;=1,"高",IF(C25&lt;=2,"中","低"))</f>
        <v>低</v>
      </c>
      <c r="E25" s="149"/>
      <c r="F25" s="160">
        <f>MAX(0,10-ABS(C25))</f>
        <v>4.2112791670132639</v>
      </c>
      <c r="G25" s="88" t="s">
        <v>213</v>
      </c>
      <c r="H25" s="123" t="s">
        <v>232</v>
      </c>
      <c r="I25" s="170">
        <f>IF(HLOOKUP(C1,167:170,3,FALSE)="無",0,HLOOKUP(C1,167:170,3,FALSE))</f>
        <v>51.43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116.67043478260872</v>
      </c>
      <c r="C26" s="172">
        <f>IF(COUNTIF(168:168,"&gt;0")=0,0,STDEV(168:168))</f>
        <v>6.1636813662120566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8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44.662608695652168</v>
      </c>
      <c r="C27" s="172">
        <f>IF(COUNTIF(169:169,"&gt;0")=0,0,STDEV(169:169))</f>
        <v>3.0342922154947201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0.20910000000000001</v>
      </c>
      <c r="C30" s="157" t="s">
        <v>217</v>
      </c>
      <c r="D30" s="174">
        <f>COUNTIF(146:146,"&gt;20")/COUNT(146:146)</f>
        <v>0.52173913043478259</v>
      </c>
      <c r="E30" s="140" t="s">
        <v>239</v>
      </c>
      <c r="F30" s="159">
        <f>MIN(B30/25%*10,10)</f>
        <v>8.3640000000000008</v>
      </c>
      <c r="G30" s="175"/>
      <c r="H30" s="176"/>
    </row>
    <row r="31" spans="1:14" x14ac:dyDescent="0.25">
      <c r="A31" s="164" t="s">
        <v>240</v>
      </c>
      <c r="B31" s="173">
        <f>AVERAGE(C155:F155)/100</f>
        <v>9.2899999999999996E-2</v>
      </c>
      <c r="C31" s="157" t="s">
        <v>217</v>
      </c>
      <c r="D31" s="174">
        <f>COUNTIF(149:149,"&gt;8")/COUNT(149:149)</f>
        <v>0.60869565217391308</v>
      </c>
      <c r="E31" s="140" t="s">
        <v>241</v>
      </c>
      <c r="F31" s="159">
        <f>MIN(B31/10%*10,10)</f>
        <v>9.2899999999999991</v>
      </c>
      <c r="G31" s="175"/>
    </row>
    <row r="32" spans="1:14" x14ac:dyDescent="0.25">
      <c r="A32" s="155" t="s">
        <v>47</v>
      </c>
      <c r="B32" s="177">
        <f>AVERAGE(C165:F165)</f>
        <v>21.840000000000003</v>
      </c>
      <c r="C32" s="157" t="s">
        <v>217</v>
      </c>
      <c r="D32" s="174">
        <f>COUNTIF(159:159,"&gt;3")/COUNT(159:159)</f>
        <v>0.86956521739130432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5.9674999999999994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3.3250000000000002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8.6715542521994138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19674292</v>
      </c>
      <c r="C36" s="178">
        <f>STDEV(C97:F97)</f>
        <v>2283009.8941235449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20.91</v>
      </c>
      <c r="C37" s="180">
        <f>STDEV(C152:F152)</f>
        <v>5.1617245180269045</v>
      </c>
      <c r="D37" s="76" t="str">
        <f>IF(C37/B37&lt;15%,"高",IF(C37/B37&lt;30%,"中","低"))</f>
        <v>中</v>
      </c>
      <c r="E37" s="107">
        <f>IF(F152&gt;E152,1,0)+IF(E152&gt;D152,1,0)+IF(D152&gt;C152,1,0)</f>
        <v>3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12.29</v>
      </c>
      <c r="C38" s="180">
        <f>STDEV(C153:F153)</f>
        <v>5.3988455556103254</v>
      </c>
      <c r="D38" s="76" t="str">
        <f>IF(C38/B38&lt;15%,"高",IF(C38/B38&lt;30%,"中","低"))</f>
        <v>低</v>
      </c>
      <c r="E38" s="107">
        <f>IF(F153&gt;E153,1,0)+IF(E153&gt;D153,1,0)+IF(D153&gt;C153,1,0)</f>
        <v>3</v>
      </c>
      <c r="F38" s="179"/>
      <c r="G38" s="160">
        <f>IF(D38="高",6,IF(D38="中",4,2))+E38+1</f>
        <v>6</v>
      </c>
    </row>
    <row r="39" spans="1:14" x14ac:dyDescent="0.25">
      <c r="A39" s="142" t="s">
        <v>46</v>
      </c>
      <c r="B39" s="181">
        <f>AVERAGE(C165:F165)</f>
        <v>21.840000000000003</v>
      </c>
      <c r="C39" s="181">
        <f>STDEV(C165:F165)</f>
        <v>6.8763750140123419</v>
      </c>
      <c r="D39" s="76" t="str">
        <f>IF(C39/B39&lt;15%,"高",IF(C39/B39&lt;30%,"中","低"))</f>
        <v>低</v>
      </c>
      <c r="E39" s="107">
        <f>IF(F165&gt;E165,1,0)+IF(E165&gt;D165,1,0)+IF(D165&gt;C165,1,0)</f>
        <v>3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5.9674999999999994</v>
      </c>
      <c r="C40" s="183">
        <f>STDEV(B69:E69)</f>
        <v>2.6950123685554166</v>
      </c>
      <c r="D40" s="76" t="str">
        <f>IF(C40/B40&lt;15%,"高",IF(C40/B40&lt;30%,"中","低"))</f>
        <v>低</v>
      </c>
      <c r="E40" s="107">
        <f>IF(E69&gt;D69,1,0)+IF(D69&gt;C69,1,0)+IF(C69&gt;B69,1,0)</f>
        <v>3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-6.9498069498069387E-2</v>
      </c>
      <c r="C44" s="186">
        <f>(C46-C49)/C49</f>
        <v>0.22459893048128338</v>
      </c>
      <c r="D44" s="186">
        <f>(D46-D49)/D49</f>
        <v>0.29142857142857131</v>
      </c>
      <c r="E44" s="186">
        <f>(E46-E49)/E49</f>
        <v>0.31746031746031766</v>
      </c>
      <c r="G44" s="86" t="s">
        <v>175</v>
      </c>
      <c r="H44" s="186">
        <f>(H47-H50)/H50</f>
        <v>-5.1240560949298714E-2</v>
      </c>
      <c r="I44" s="186">
        <f>(I47-I50)/I50</f>
        <v>5.2188552188552208E-2</v>
      </c>
      <c r="J44" s="186">
        <f>(J47-J50)/J50</f>
        <v>4.7619047619047561E-2</v>
      </c>
      <c r="K44" s="186">
        <f>(K47-K50)/K50</f>
        <v>0.20944148936170234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2.41</v>
      </c>
      <c r="C46" s="152">
        <f>HLOOKUP(C45,$81:$82,2,FALSE)</f>
        <v>2.29</v>
      </c>
      <c r="D46" s="152">
        <f>HLOOKUP(D45,$81:$82,2,FALSE)</f>
        <v>2.2599999999999998</v>
      </c>
      <c r="E46" s="152">
        <f>HLOOKUP(E45,$81:$82,2,FALSE)</f>
        <v>2.4900000000000002</v>
      </c>
      <c r="G46" s="86" t="s">
        <v>164</v>
      </c>
      <c r="H46" s="145">
        <f>HLOOKUP(H45,$145:$147,2,FALSE)/100</f>
        <v>0.25800000000000001</v>
      </c>
      <c r="I46" s="145">
        <f>HLOOKUP(I45,$145:$147,2,FALSE)/100</f>
        <v>0.26390000000000002</v>
      </c>
      <c r="J46" s="145">
        <f>HLOOKUP(J45,$145:$147,2,FALSE)/100</f>
        <v>0.24359999999999998</v>
      </c>
      <c r="K46" s="145">
        <f>HLOOKUP(K45,$145:$147,2,FALSE)/100</f>
        <v>0.26350000000000001</v>
      </c>
    </row>
    <row r="47" spans="1:14" x14ac:dyDescent="0.25">
      <c r="A47" s="188" t="s">
        <v>165</v>
      </c>
      <c r="B47" s="189">
        <f>HLOOKUP(B45,$157:$159,3,FALSE)</f>
        <v>7.13</v>
      </c>
      <c r="C47" s="189">
        <f>HLOOKUP(C45,$157:$159,3,FALSE)</f>
        <v>6.91</v>
      </c>
      <c r="D47" s="189">
        <f>HLOOKUP(D45,$157:$159,3,FALSE)</f>
        <v>6.76</v>
      </c>
      <c r="E47" s="189">
        <f>HLOOKUP(E45,$157:$159,3,FALSE)</f>
        <v>7.8</v>
      </c>
      <c r="G47" s="190" t="s">
        <v>166</v>
      </c>
      <c r="H47" s="145">
        <f>HLOOKUP(H45,$145:$147,3,FALSE)/100</f>
        <v>0.1759</v>
      </c>
      <c r="I47" s="145">
        <f>HLOOKUP(I45,$145:$147,3,FALSE)/100</f>
        <v>0.1875</v>
      </c>
      <c r="J47" s="145">
        <f>HLOOKUP(J45,$145:$147,3,FALSE)/100</f>
        <v>0.17379999999999998</v>
      </c>
      <c r="K47" s="145">
        <f>HLOOKUP(K45,$145:$147,3,FALSE)/100</f>
        <v>0.18190000000000001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2.59</v>
      </c>
      <c r="C49" s="152">
        <f>HLOOKUP(C48,$81:$82,2,FALSE)</f>
        <v>1.87</v>
      </c>
      <c r="D49" s="152">
        <f>HLOOKUP(D48,$81:$82,2,FALSE)</f>
        <v>1.75</v>
      </c>
      <c r="E49" s="152">
        <f>HLOOKUP(E48,$81:$82,2,FALSE)</f>
        <v>1.89</v>
      </c>
      <c r="G49" s="86" t="s">
        <v>164</v>
      </c>
      <c r="H49" s="145">
        <f>HLOOKUP(H48,$145:$147,2,FALSE)/100</f>
        <v>0.27029999999999998</v>
      </c>
      <c r="I49" s="145">
        <f>HLOOKUP(I48,$145:$147,2,FALSE)/100</f>
        <v>0.26050000000000001</v>
      </c>
      <c r="J49" s="145">
        <f>HLOOKUP(J48,$145:$147,2,FALSE)/100</f>
        <v>0.24789999999999998</v>
      </c>
      <c r="K49" s="145">
        <f>HLOOKUP(K48,$145:$147,2,FALSE)/100</f>
        <v>0.24559999999999998</v>
      </c>
    </row>
    <row r="50" spans="1:15" x14ac:dyDescent="0.25">
      <c r="A50" s="188" t="s">
        <v>165</v>
      </c>
      <c r="B50" s="189">
        <f>HLOOKUP(B48,$157:$159,3,FALSE)</f>
        <v>8.6199999999999992</v>
      </c>
      <c r="C50" s="189">
        <f>HLOOKUP(C48,$157:$159,3,FALSE)</f>
        <v>6.12</v>
      </c>
      <c r="D50" s="189">
        <f>HLOOKUP(D48,$157:$159,3,FALSE)</f>
        <v>5.6</v>
      </c>
      <c r="E50" s="189">
        <f>HLOOKUP(E48,$157:$159,3,FALSE)</f>
        <v>6.29</v>
      </c>
      <c r="G50" s="190" t="s">
        <v>166</v>
      </c>
      <c r="H50" s="145">
        <f>HLOOKUP(H48,$145:$147,3,FALSE)/100</f>
        <v>0.18539999999999998</v>
      </c>
      <c r="I50" s="145">
        <f>HLOOKUP(I48,$145:$147,3,FALSE)/100</f>
        <v>0.1782</v>
      </c>
      <c r="J50" s="145">
        <f>HLOOKUP(J48,$145:$147,3,FALSE)/100</f>
        <v>0.16589999999999999</v>
      </c>
      <c r="K50" s="145">
        <f>HLOOKUP(K48,$145:$147,3,FALSE)/100</f>
        <v>0.15039999999999998</v>
      </c>
    </row>
    <row r="51" spans="1:15" x14ac:dyDescent="0.25">
      <c r="A51" s="86" t="s">
        <v>351</v>
      </c>
      <c r="B51" s="186">
        <f>(B47-B50)/B50</f>
        <v>-0.17285382830626445</v>
      </c>
      <c r="C51" s="186">
        <f>(C47-C50)/C50</f>
        <v>0.12908496732026145</v>
      </c>
      <c r="D51" s="186">
        <f>(D47-D50)/D50</f>
        <v>0.20714285714285718</v>
      </c>
      <c r="E51" s="186">
        <f>(E47-E50)/E50</f>
        <v>0.24006359300476943</v>
      </c>
      <c r="G51" s="235" t="s">
        <v>174</v>
      </c>
      <c r="H51" s="186">
        <f>(H46-H49)/H49</f>
        <v>-4.5504994450610355E-2</v>
      </c>
      <c r="I51" s="186">
        <f>(I46-I49)/I49</f>
        <v>1.3051823416506772E-2</v>
      </c>
      <c r="J51" s="186">
        <f>(J46-J49)/J49</f>
        <v>-1.7345703912868087E-2</v>
      </c>
      <c r="K51" s="186">
        <f>(K46-K49)/K49</f>
        <v>7.2882736156351907E-2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9.6644468709205213</v>
      </c>
      <c r="B53" s="193">
        <f>B46</f>
        <v>2.41</v>
      </c>
      <c r="C53" s="193">
        <f>E46/HLOOKUP(E45,$87:$94,5,FALSE)*HLOOKUP(E45,$87:$94,4,FALSE)*($B$25/HLOOKUP(E45,$87:$94,4,FALSE)+SUM($B$57:$D$57)/SUM($B58:$D$58)*$G$69/100/K46)</f>
        <v>2.4686312977357279</v>
      </c>
      <c r="D53" s="193">
        <f>D46/HLOOKUP(D45,$87:$94,5,FALSE)*HLOOKUP(D45,$87:$94,4,FALSE)*($B$25/HLOOKUP(D45,$87:$94,4,FALSE)+SUM($B$57:$D$57)/SUM($B58:$D$58)*$G$69/100/J46)</f>
        <v>2.4952400613607177</v>
      </c>
      <c r="E53" s="193">
        <f>C46/HLOOKUP(C45,$87:$94,5,FALSE)*HLOOKUP(C45,$87:$94,4,FALSE)*($B$25/HLOOKUP(C45,$87:$94,4,FALSE)+SUM($B$57:$D$57)/SUM($B58:$D$58)*$G$69/100/I46)</f>
        <v>2.2905755118240752</v>
      </c>
    </row>
    <row r="54" spans="1:15" x14ac:dyDescent="0.25">
      <c r="A54" s="278">
        <f>SUM(B54:E54)</f>
        <v>9.629999999999999</v>
      </c>
      <c r="B54" s="277">
        <f t="shared" ref="B54:D54" si="0">HLOOKUP(B52-10,81:82,2,FALSE)</f>
        <v>2.59</v>
      </c>
      <c r="C54" s="277">
        <f t="shared" si="0"/>
        <v>2.4900000000000002</v>
      </c>
      <c r="D54" s="277">
        <f t="shared" si="0"/>
        <v>2.2599999999999998</v>
      </c>
      <c r="E54" s="277">
        <f>HLOOKUP(E52-10,81:82,2,FALSE)</f>
        <v>2.29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1929801</v>
      </c>
      <c r="C57" s="196">
        <f>HLOOKUP(C56,78:79,2,FALSE)</f>
        <v>2070716</v>
      </c>
      <c r="D57" s="196">
        <f>HLOOKUP(D56,78:79,2,FALSE)</f>
        <v>2111395</v>
      </c>
      <c r="E57" s="196">
        <f>HLOOKUP(E56,78:79,2,FALSE)</f>
        <v>1958901</v>
      </c>
      <c r="F57" s="196">
        <f>HLOOKUP(F56,78:79,2,FALSE)</f>
        <v>1978043</v>
      </c>
      <c r="G57" s="196">
        <f t="shared" ref="G57:M57" si="2">HLOOKUP(G56,78:79,2,FALSE)</f>
        <v>2027812</v>
      </c>
      <c r="H57" s="196">
        <f t="shared" si="2"/>
        <v>1975698</v>
      </c>
      <c r="I57" s="196">
        <f t="shared" si="2"/>
        <v>2093822</v>
      </c>
      <c r="J57" s="196">
        <f t="shared" si="2"/>
        <v>1783312</v>
      </c>
      <c r="K57" s="196">
        <f t="shared" si="2"/>
        <v>1889538</v>
      </c>
      <c r="L57" s="196">
        <f t="shared" si="2"/>
        <v>1924402</v>
      </c>
      <c r="M57" s="196">
        <f t="shared" si="2"/>
        <v>2028694</v>
      </c>
      <c r="N57" s="197"/>
    </row>
    <row r="58" spans="1:15" x14ac:dyDescent="0.25">
      <c r="A58" s="198" t="s">
        <v>253</v>
      </c>
      <c r="B58" s="196">
        <f>HLOOKUP(B56-100,78:79,2,FALSE)</f>
        <v>1932178</v>
      </c>
      <c r="C58" s="196">
        <f>HLOOKUP(C56-100,78:79,2,FALSE)</f>
        <v>2096305</v>
      </c>
      <c r="D58" s="196">
        <f>HLOOKUP(D56-100,78:79,2,FALSE)</f>
        <v>2127988</v>
      </c>
      <c r="E58" s="196">
        <f>HLOOKUP(E56-100,78:79,2,FALSE)</f>
        <v>1878718</v>
      </c>
      <c r="F58" s="196">
        <f>HLOOKUP(F56-100,78:79,2,FALSE)</f>
        <v>1702388</v>
      </c>
      <c r="G58" s="196">
        <f t="shared" ref="G58:M58" si="3">HLOOKUP(G56-100,78:79,2,FALSE)</f>
        <v>1790294</v>
      </c>
      <c r="H58" s="196">
        <f t="shared" si="3"/>
        <v>1775575</v>
      </c>
      <c r="I58" s="196">
        <f t="shared" si="3"/>
        <v>1733810</v>
      </c>
      <c r="J58" s="196">
        <f t="shared" si="3"/>
        <v>1361804</v>
      </c>
      <c r="K58" s="196">
        <f t="shared" si="3"/>
        <v>1725465</v>
      </c>
      <c r="L58" s="196">
        <f t="shared" si="3"/>
        <v>1646626</v>
      </c>
      <c r="M58" s="196">
        <f t="shared" si="3"/>
        <v>1559396</v>
      </c>
      <c r="N58" s="197"/>
    </row>
    <row r="59" spans="1:15" x14ac:dyDescent="0.25">
      <c r="A59" s="199" t="s">
        <v>254</v>
      </c>
      <c r="B59" s="165">
        <f>IF(B57&lt;&gt;"",(B57-B58)/B58,"")</f>
        <v>-1.2302179198810876E-3</v>
      </c>
      <c r="C59" s="165">
        <f>IF(C57&lt;&gt;"",(C57-C58)/C58,"")</f>
        <v>-1.220671610285717E-2</v>
      </c>
      <c r="D59" s="165">
        <f>IF(D57&lt;&gt;"",(D57-D58)/D58,"")</f>
        <v>-7.7975063769156593E-3</v>
      </c>
      <c r="E59" s="165">
        <f>IF(E57&lt;&gt;"",(E57-E58)/E58,"")</f>
        <v>4.2679635794195828E-2</v>
      </c>
      <c r="F59" s="165">
        <f>IF(F57&lt;&gt;"",(F57-F58)/F58,"")</f>
        <v>0.16192254644652102</v>
      </c>
      <c r="G59" s="165">
        <f t="shared" ref="G59:M59" si="4">IF(G57&lt;&gt;"",(G57-G58)/G58,"")</f>
        <v>0.13266982964809132</v>
      </c>
      <c r="H59" s="165">
        <f t="shared" si="4"/>
        <v>0.11270884079805134</v>
      </c>
      <c r="I59" s="165">
        <f t="shared" si="4"/>
        <v>0.20764212918370525</v>
      </c>
      <c r="J59" s="165">
        <f t="shared" si="4"/>
        <v>0.30952178140172887</v>
      </c>
      <c r="K59" s="165">
        <f t="shared" si="4"/>
        <v>9.5089149881336335E-2</v>
      </c>
      <c r="L59" s="165">
        <f t="shared" si="4"/>
        <v>0.16869404467073884</v>
      </c>
      <c r="M59" s="165">
        <f t="shared" si="4"/>
        <v>0.30094857239597894</v>
      </c>
    </row>
    <row r="60" spans="1:15" x14ac:dyDescent="0.25">
      <c r="A60" s="195" t="s">
        <v>255</v>
      </c>
      <c r="B60" s="196">
        <f>SUM(B57:M57)</f>
        <v>23772134</v>
      </c>
    </row>
    <row r="61" spans="1:15" x14ac:dyDescent="0.25">
      <c r="A61" s="198" t="s">
        <v>256</v>
      </c>
      <c r="B61" s="196">
        <f>SUM(B58:M58)</f>
        <v>21330547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1.114464340741004</v>
      </c>
      <c r="D62" s="152">
        <f>SUM(B46:E46)</f>
        <v>9.4499999999999993</v>
      </c>
      <c r="E62" s="152">
        <f>SUM(B49:E49)</f>
        <v>8.1</v>
      </c>
      <c r="G62" s="126">
        <f>SUM(B47:E47)</f>
        <v>28.599999999999998</v>
      </c>
      <c r="H62" s="126">
        <f>SUM(B50:E50)</f>
        <v>26.629999999999995</v>
      </c>
      <c r="J62" s="200">
        <f>AVERAGE(H46:K46)</f>
        <v>0.25725000000000003</v>
      </c>
      <c r="K62" s="200">
        <f>AVERAGE(H49:K49)</f>
        <v>0.256075</v>
      </c>
      <c r="M62" s="200">
        <f>AVERAGE(H47:K47)</f>
        <v>0.17977500000000002</v>
      </c>
      <c r="N62" s="200">
        <f>AVERAGE(H50:K50)</f>
        <v>0.16997499999999999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0.61</v>
      </c>
      <c r="C65" s="205">
        <f t="shared" si="5"/>
        <v>0.8</v>
      </c>
      <c r="D65" s="205">
        <f t="shared" si="5"/>
        <v>1.72</v>
      </c>
      <c r="E65" s="205">
        <f t="shared" si="5"/>
        <v>1.75</v>
      </c>
      <c r="F65" s="206">
        <f>IF(ISNA(HLOOKUP(F$64*10+$A65,$81:$82,2,FALSE)),(HLOOKUP(E$64*10+$A65,$87:$94,4,FALSE)*$G65+$B$25)/HLOOKUP(E$64*10+$A65,$87:$94,5,FALSE)*$E65,HLOOKUP(F$64*10+$A65,$81:$82,2,FALSE))</f>
        <v>2.2599999999999998</v>
      </c>
      <c r="G65" s="101">
        <f>MIN(130%,SUM($B$57:$D$57)/SUM($B$58:$D$58)*$G$69/HLOOKUP(E$64*10+$A65,$145:$146,2,FALSE))</f>
        <v>1.0757904019494036</v>
      </c>
      <c r="H65" s="204">
        <v>1</v>
      </c>
      <c r="I65" s="208">
        <f t="shared" ref="I65:M68" si="6">IF(ISNA(HLOOKUP(I$64*10+$H65,$145:$147,3,FALSE)),"",HLOOKUP(I$64*10+$H65,$145:$147,3,FALSE)/100)</f>
        <v>5.5599999999999997E-2</v>
      </c>
      <c r="J65" s="208">
        <f t="shared" si="6"/>
        <v>7.1800000000000003E-2</v>
      </c>
      <c r="K65" s="208">
        <f t="shared" si="6"/>
        <v>0.14859999999999998</v>
      </c>
      <c r="L65" s="208">
        <f t="shared" si="6"/>
        <v>0.16589999999999999</v>
      </c>
      <c r="M65" s="209">
        <f t="shared" si="6"/>
        <v>0.17379999999999998</v>
      </c>
      <c r="N65" s="256">
        <f t="shared" ref="N65:O68" si="7">HLOOKUP(E$64*10+$A65,$87:$94,8,FALSE)</f>
        <v>-43841</v>
      </c>
      <c r="O65" s="256">
        <f t="shared" si="7"/>
        <v>-5156</v>
      </c>
      <c r="P65" s="210"/>
    </row>
    <row r="66" spans="1:71" x14ac:dyDescent="0.25">
      <c r="A66" s="204">
        <v>2</v>
      </c>
      <c r="B66" s="205">
        <f t="shared" si="5"/>
        <v>0.62</v>
      </c>
      <c r="C66" s="205">
        <f t="shared" si="5"/>
        <v>0.95</v>
      </c>
      <c r="D66" s="205">
        <f t="shared" si="5"/>
        <v>1.51</v>
      </c>
      <c r="E66" s="205">
        <f t="shared" si="5"/>
        <v>1.87</v>
      </c>
      <c r="F66" s="206">
        <f>IF(ISNA(HLOOKUP(F$64*10+$A66,$81:$82,2,FALSE)),(HLOOKUP(E$64*10+$A66,$87:$94,4,FALSE)*$G66+$B$25)/HLOOKUP(E$64*10+$A66,$87:$94,5,FALSE)*$E66,HLOOKUP(F$64*10+$A66,$81:$82,2,FALSE))</f>
        <v>2.29</v>
      </c>
      <c r="G66" s="101">
        <f>MIN(130%,SUM($B$57:$D$57)/SUM($B$58:$D$58)*$G$69/HLOOKUP(E$64*10+$A66,$145:$146,2,FALSE))</f>
        <v>1.0237560101468604</v>
      </c>
      <c r="H66" s="204">
        <v>2</v>
      </c>
      <c r="I66" s="208">
        <f t="shared" si="6"/>
        <v>7.0699999999999999E-2</v>
      </c>
      <c r="J66" s="208">
        <f t="shared" si="6"/>
        <v>8.77E-2</v>
      </c>
      <c r="K66" s="208">
        <f t="shared" si="6"/>
        <v>0.14940000000000001</v>
      </c>
      <c r="L66" s="208">
        <f t="shared" si="6"/>
        <v>0.1782</v>
      </c>
      <c r="M66" s="209">
        <f t="shared" si="6"/>
        <v>0.1875</v>
      </c>
      <c r="N66" s="256">
        <f t="shared" si="7"/>
        <v>-10265</v>
      </c>
      <c r="O66" s="256">
        <f t="shared" si="7"/>
        <v>15200</v>
      </c>
      <c r="P66" s="210"/>
    </row>
    <row r="67" spans="1:71" x14ac:dyDescent="0.25">
      <c r="A67" s="204">
        <v>3</v>
      </c>
      <c r="B67" s="205">
        <f t="shared" si="5"/>
        <v>0.87</v>
      </c>
      <c r="C67" s="205">
        <f t="shared" si="5"/>
        <v>1.46</v>
      </c>
      <c r="D67" s="205">
        <f t="shared" si="5"/>
        <v>2.4300000000000002</v>
      </c>
      <c r="E67" s="205">
        <f t="shared" si="5"/>
        <v>2.59</v>
      </c>
      <c r="F67" s="206">
        <f>IF(ISNA(HLOOKUP(F$64*10+$A67,$81:$82,2,FALSE)),(HLOOKUP(E$64*10+$A67,$87:$94,4,FALSE)*$G67+$B$25)/HLOOKUP(E$64*10+$A67,$87:$94,5,FALSE)*$E67,HLOOKUP(F$64*10+$A67,$81:$82,2,FALSE))</f>
        <v>2.41</v>
      </c>
      <c r="G67" s="101">
        <f>MIN(130%,SUM($B$57:$D$57)/SUM($B$58:$D$58)*$G$69/HLOOKUP(E$64*10+$A67,$145:$146,2,FALSE))</f>
        <v>0.98663870012303778</v>
      </c>
      <c r="H67" s="204">
        <v>3</v>
      </c>
      <c r="I67" s="208">
        <f t="shared" si="6"/>
        <v>7.2900000000000006E-2</v>
      </c>
      <c r="J67" s="208">
        <f t="shared" si="6"/>
        <v>0.1072</v>
      </c>
      <c r="K67" s="208">
        <f t="shared" si="6"/>
        <v>0.17120000000000002</v>
      </c>
      <c r="L67" s="208">
        <f t="shared" si="6"/>
        <v>0.18539999999999998</v>
      </c>
      <c r="M67" s="209">
        <f t="shared" si="6"/>
        <v>0.1759</v>
      </c>
      <c r="N67" s="256">
        <f t="shared" si="7"/>
        <v>6636</v>
      </c>
      <c r="O67" s="256">
        <f t="shared" si="7"/>
        <v>9132</v>
      </c>
      <c r="P67" s="210"/>
    </row>
    <row r="68" spans="1:71" x14ac:dyDescent="0.25">
      <c r="A68" s="204">
        <v>4</v>
      </c>
      <c r="B68" s="205">
        <f>HLOOKUP(B$64*10+$A68,$81:$82,2,FALSE)</f>
        <v>0.59</v>
      </c>
      <c r="C68" s="205">
        <f>HLOOKUP(C$64*10+$A68,$81:$82,2,FALSE)</f>
        <v>1.72</v>
      </c>
      <c r="D68" s="205">
        <f>HLOOKUP(D$64*10+$A68,$81:$82,2,FALSE)</f>
        <v>1.89</v>
      </c>
      <c r="E68" s="206">
        <f>IF(ISNA(HLOOKUP(E$64*10+$A68,$81:$82,2,FALSE)),D68*(1-$N68)*#REF!*(1+$B$25)/(1+$E$4),HLOOKUP(E$64*10+$A68,$81:$82,2,FALSE))</f>
        <v>2.4900000000000002</v>
      </c>
      <c r="F68" s="206">
        <f>IF(ISNA(HLOOKUP(F$64*10+$A68,$81:$82,2,FALSE)),(HLOOKUP(E$64*10+$A68,$87:$94,4,FALSE)*$G68+$B$25)/HLOOKUP(E$64*10+$A68,$87:$94,5,FALSE)*$E68,HLOOKUP(F$64*10+$A68,$81:$82,2,FALSE))</f>
        <v>2.4686312977357283</v>
      </c>
      <c r="G68" s="101">
        <f>MIN(130%,SUM($B$57:$D$57)/SUM($B$58:$D$58)*$G$69/HLOOKUP(E$64*10+$A68,$145:$146,2,FALSE))</f>
        <v>1.0121003439971805</v>
      </c>
      <c r="H68" s="204">
        <v>4</v>
      </c>
      <c r="I68" s="208">
        <f t="shared" si="6"/>
        <v>4.0999999999999995E-2</v>
      </c>
      <c r="J68" s="208">
        <f t="shared" si="6"/>
        <v>0.11509999999999999</v>
      </c>
      <c r="K68" s="208">
        <f t="shared" si="6"/>
        <v>0.15039999999999998</v>
      </c>
      <c r="L68" s="208">
        <f t="shared" si="6"/>
        <v>0.18190000000000001</v>
      </c>
      <c r="M68" s="209" t="str">
        <f t="shared" si="6"/>
        <v/>
      </c>
      <c r="N68" s="256">
        <f t="shared" si="7"/>
        <v>25967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2.69</v>
      </c>
      <c r="C69" s="213">
        <f>SUM(C65:C68)</f>
        <v>4.93</v>
      </c>
      <c r="D69" s="213">
        <f>SUM(D65:D68)</f>
        <v>7.55</v>
      </c>
      <c r="E69" s="213">
        <f>SUM(E65:E68)</f>
        <v>8.6999999999999993</v>
      </c>
      <c r="F69" s="213">
        <f>SUM(F65:F68)</f>
        <v>9.4286312977357287</v>
      </c>
      <c r="G69" s="257">
        <f>_xlfn.FORECAST.ETS(23,B146:W146,{1,2,3,4,5,6,7,8,9,10,11,12,13,14,15,16,17,18,19,20,21,22})</f>
        <v>26.863273732596831</v>
      </c>
      <c r="H69" s="214" t="s">
        <v>19</v>
      </c>
      <c r="I69" s="215">
        <f>HLOOKUP(I64,151:155,3,FALSE)/100</f>
        <v>6.0400000000000002E-2</v>
      </c>
      <c r="J69" s="215">
        <f>HLOOKUP(J64,151:155,3,FALSE)/100</f>
        <v>9.6999999999999989E-2</v>
      </c>
      <c r="K69" s="215">
        <f>HLOOKUP(K64,151:155,3,FALSE)/100</f>
        <v>0.15570000000000001</v>
      </c>
      <c r="L69" s="215">
        <f>IF(ISNA(HLOOKUP(L64,151:155,3,FALSE)/100),AVERAGE(L65:L68),HLOOKUP(L64,151:155,3,FALSE)/100)</f>
        <v>0.17850000000000002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2.91</v>
      </c>
      <c r="C72" s="205">
        <f t="shared" si="8"/>
        <v>3.55</v>
      </c>
      <c r="D72" s="205">
        <f t="shared" si="8"/>
        <v>6.46</v>
      </c>
      <c r="E72" s="205">
        <f t="shared" si="8"/>
        <v>5.6</v>
      </c>
      <c r="F72" s="205">
        <f t="shared" si="8"/>
        <v>6.76</v>
      </c>
    </row>
    <row r="73" spans="1:71" s="135" customFormat="1" x14ac:dyDescent="0.25">
      <c r="A73" s="204">
        <v>2</v>
      </c>
      <c r="B73" s="205">
        <f t="shared" si="8"/>
        <v>2.97</v>
      </c>
      <c r="C73" s="205">
        <f t="shared" si="8"/>
        <v>4.2699999999999996</v>
      </c>
      <c r="D73" s="205">
        <f t="shared" si="8"/>
        <v>5.66</v>
      </c>
      <c r="E73" s="205">
        <f t="shared" si="8"/>
        <v>6.12</v>
      </c>
      <c r="F73" s="205">
        <f t="shared" si="8"/>
        <v>6.91</v>
      </c>
    </row>
    <row r="74" spans="1:71" s="135" customFormat="1" x14ac:dyDescent="0.25">
      <c r="A74" s="204">
        <v>3</v>
      </c>
      <c r="B74" s="205">
        <f t="shared" si="8"/>
        <v>4.17</v>
      </c>
      <c r="C74" s="205">
        <f t="shared" si="8"/>
        <v>6.43</v>
      </c>
      <c r="D74" s="205">
        <f t="shared" si="8"/>
        <v>8.76</v>
      </c>
      <c r="E74" s="205">
        <f t="shared" si="8"/>
        <v>8.6199999999999992</v>
      </c>
      <c r="F74" s="205">
        <f t="shared" si="8"/>
        <v>7.13</v>
      </c>
    </row>
    <row r="75" spans="1:71" s="135" customFormat="1" x14ac:dyDescent="0.25">
      <c r="A75" s="204">
        <v>4</v>
      </c>
      <c r="B75" s="205">
        <f t="shared" si="8"/>
        <v>2.73</v>
      </c>
      <c r="C75" s="205">
        <f t="shared" si="8"/>
        <v>6.91</v>
      </c>
      <c r="D75" s="205">
        <f t="shared" si="8"/>
        <v>6.29</v>
      </c>
      <c r="E75" s="205">
        <f t="shared" si="8"/>
        <v>7.8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12.780000000000001</v>
      </c>
      <c r="C76" s="213">
        <f>SUM(C72:C75)</f>
        <v>21.16</v>
      </c>
      <c r="D76" s="213">
        <f>SUM(D72:D75)</f>
        <v>27.17</v>
      </c>
      <c r="E76" s="213">
        <f>AVERAGE(E72:E75)*4</f>
        <v>28.139999999999997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1051800</v>
      </c>
      <c r="C79" s="270">
        <v>1147544</v>
      </c>
      <c r="D79" s="270">
        <v>1325310</v>
      </c>
      <c r="E79" s="270">
        <v>1393574</v>
      </c>
      <c r="F79" s="270">
        <v>1318395</v>
      </c>
      <c r="G79" s="270">
        <v>1249659</v>
      </c>
      <c r="H79" s="270">
        <v>1293676</v>
      </c>
      <c r="I79" s="270">
        <v>1490481</v>
      </c>
      <c r="J79" s="270">
        <v>1576122</v>
      </c>
      <c r="K79" s="270">
        <v>1500282</v>
      </c>
      <c r="L79" s="270">
        <v>1288596</v>
      </c>
      <c r="M79" s="270">
        <v>1324457</v>
      </c>
      <c r="N79" s="270">
        <v>1397313</v>
      </c>
      <c r="O79" s="270">
        <v>1233338</v>
      </c>
      <c r="P79" s="270">
        <v>1510498</v>
      </c>
      <c r="Q79" s="270">
        <v>1442536</v>
      </c>
      <c r="R79" s="270">
        <v>1341371</v>
      </c>
      <c r="S79" s="270">
        <v>1335587</v>
      </c>
      <c r="T79" s="270">
        <v>1434752</v>
      </c>
      <c r="U79" s="270">
        <v>1544876</v>
      </c>
      <c r="V79" s="270">
        <v>1526528</v>
      </c>
      <c r="W79" s="270">
        <v>1418859</v>
      </c>
      <c r="X79" s="270">
        <v>1250107</v>
      </c>
      <c r="Y79" s="270">
        <v>1437436</v>
      </c>
      <c r="Z79" s="270">
        <v>1479727</v>
      </c>
      <c r="AA79" s="270">
        <v>1245119</v>
      </c>
      <c r="AB79" s="270">
        <v>1464741</v>
      </c>
      <c r="AC79" s="270">
        <v>1479782</v>
      </c>
      <c r="AD79" s="270">
        <v>1459767</v>
      </c>
      <c r="AE79" s="270">
        <v>1419160</v>
      </c>
      <c r="AF79" s="270">
        <v>1662268</v>
      </c>
      <c r="AG79" s="270">
        <v>1646292</v>
      </c>
      <c r="AH79" s="270">
        <v>1786953</v>
      </c>
      <c r="AI79" s="270">
        <v>1762733</v>
      </c>
      <c r="AJ79" s="270">
        <v>1694258</v>
      </c>
      <c r="AK79" s="270">
        <v>1783967</v>
      </c>
      <c r="AL79" s="270">
        <v>1794432</v>
      </c>
      <c r="AM79" s="270">
        <v>1476119</v>
      </c>
      <c r="AN79" s="270">
        <v>1692045</v>
      </c>
      <c r="AO79" s="270">
        <v>1669619</v>
      </c>
      <c r="AP79" s="270">
        <v>1617205</v>
      </c>
      <c r="AQ79" s="270">
        <v>1586245</v>
      </c>
      <c r="AR79" s="270">
        <v>1890243</v>
      </c>
      <c r="AS79" s="270">
        <v>2017145</v>
      </c>
      <c r="AT79" s="270">
        <v>2100558</v>
      </c>
      <c r="AU79" s="270">
        <v>1819818</v>
      </c>
      <c r="AV79" s="270">
        <v>1559396</v>
      </c>
      <c r="AW79" s="270">
        <v>1646626</v>
      </c>
      <c r="AX79" s="270">
        <v>1725465</v>
      </c>
      <c r="AY79" s="270">
        <v>1361804</v>
      </c>
      <c r="AZ79" s="270">
        <v>1733810</v>
      </c>
      <c r="BA79" s="270">
        <v>1775575</v>
      </c>
      <c r="BB79" s="270">
        <v>1790294</v>
      </c>
      <c r="BC79" s="270">
        <v>1702388</v>
      </c>
      <c r="BD79" s="270">
        <v>1878718</v>
      </c>
      <c r="BE79" s="270">
        <v>2127988</v>
      </c>
      <c r="BF79" s="270">
        <v>2096305</v>
      </c>
      <c r="BG79" s="270">
        <v>1932178</v>
      </c>
      <c r="BH79" s="270">
        <v>2028694</v>
      </c>
      <c r="BI79" s="270">
        <v>1924402</v>
      </c>
      <c r="BJ79" s="270">
        <v>1889538</v>
      </c>
      <c r="BK79" s="270">
        <v>1783312</v>
      </c>
      <c r="BL79" s="270">
        <v>2093822</v>
      </c>
      <c r="BM79" s="270">
        <v>1975698</v>
      </c>
      <c r="BN79" s="270">
        <v>2027812</v>
      </c>
      <c r="BO79" s="270">
        <v>1978043</v>
      </c>
      <c r="BP79" s="270">
        <v>1958901</v>
      </c>
      <c r="BQ79" s="270">
        <v>2111395</v>
      </c>
      <c r="BR79" s="270">
        <v>2070716</v>
      </c>
      <c r="BS79" s="270">
        <v>1929801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0.97</v>
      </c>
      <c r="C82" s="72">
        <v>0.86</v>
      </c>
      <c r="D82" s="72">
        <v>1.1499999999999999</v>
      </c>
      <c r="E82" s="72">
        <v>0.78</v>
      </c>
      <c r="F82" s="72">
        <v>0.61</v>
      </c>
      <c r="G82" s="72">
        <v>0.62</v>
      </c>
      <c r="H82" s="72">
        <v>0.87</v>
      </c>
      <c r="I82" s="72">
        <v>0.59</v>
      </c>
      <c r="J82" s="72">
        <v>0.8</v>
      </c>
      <c r="K82" s="72">
        <v>0.95</v>
      </c>
      <c r="L82" s="72">
        <v>1.46</v>
      </c>
      <c r="M82" s="72">
        <v>1.72</v>
      </c>
      <c r="N82" s="72">
        <v>1.72</v>
      </c>
      <c r="O82" s="72">
        <v>1.51</v>
      </c>
      <c r="P82" s="72">
        <v>2.4300000000000002</v>
      </c>
      <c r="Q82" s="72">
        <v>1.89</v>
      </c>
      <c r="R82" s="72">
        <v>1.75</v>
      </c>
      <c r="S82" s="72">
        <v>1.87</v>
      </c>
      <c r="T82" s="72">
        <v>2.59</v>
      </c>
      <c r="U82" s="72">
        <v>2.4900000000000002</v>
      </c>
      <c r="V82" s="72">
        <v>2.2599999999999998</v>
      </c>
      <c r="W82" s="72">
        <v>2.29</v>
      </c>
      <c r="X82" s="72">
        <v>2.41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19.53</v>
      </c>
      <c r="C85" s="72">
        <v>18.649999999999999</v>
      </c>
      <c r="D85" s="72">
        <v>19.68</v>
      </c>
      <c r="E85" s="72">
        <v>20.41</v>
      </c>
      <c r="F85" s="72">
        <v>21.39</v>
      </c>
      <c r="G85" s="72">
        <v>20.48</v>
      </c>
      <c r="H85" s="72">
        <v>21.18</v>
      </c>
      <c r="I85" s="72">
        <v>22.05</v>
      </c>
      <c r="J85" s="72">
        <v>22.79</v>
      </c>
      <c r="K85" s="72">
        <v>21.64</v>
      </c>
      <c r="L85" s="72">
        <v>23.53</v>
      </c>
      <c r="M85" s="72">
        <v>25.84</v>
      </c>
      <c r="N85" s="72">
        <v>27.36</v>
      </c>
      <c r="O85" s="72">
        <v>26.1</v>
      </c>
      <c r="P85" s="72">
        <v>29.39</v>
      </c>
      <c r="Q85" s="72">
        <v>30.49</v>
      </c>
      <c r="R85" s="72">
        <v>32.090000000000003</v>
      </c>
      <c r="S85" s="72">
        <v>29.08</v>
      </c>
      <c r="T85" s="72">
        <v>30.91</v>
      </c>
      <c r="U85" s="72">
        <v>32.93</v>
      </c>
      <c r="V85" s="72">
        <v>34.01</v>
      </c>
      <c r="W85" s="72">
        <v>32.409999999999997</v>
      </c>
      <c r="X85" s="72">
        <v>35.31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3541429</v>
      </c>
      <c r="C88" s="273">
        <v>3956744</v>
      </c>
      <c r="D88" s="273">
        <v>4371373</v>
      </c>
      <c r="E88" s="273">
        <v>4090617</v>
      </c>
      <c r="F88" s="273">
        <v>4140507</v>
      </c>
      <c r="G88" s="273">
        <v>4120156</v>
      </c>
      <c r="H88" s="273">
        <v>4506127</v>
      </c>
      <c r="I88" s="273">
        <v>4106332</v>
      </c>
      <c r="J88" s="273">
        <v>4189595</v>
      </c>
      <c r="K88" s="273">
        <v>4358726</v>
      </c>
      <c r="L88" s="273">
        <v>5095442</v>
      </c>
      <c r="M88" s="273">
        <v>5240982</v>
      </c>
      <c r="N88" s="273">
        <v>4962604</v>
      </c>
      <c r="O88" s="273">
        <v>4873024</v>
      </c>
      <c r="P88" s="273">
        <v>6008531</v>
      </c>
      <c r="Q88" s="273">
        <v>5025558</v>
      </c>
      <c r="R88" s="273">
        <v>4821171</v>
      </c>
      <c r="S88" s="273">
        <v>5268002</v>
      </c>
      <c r="T88" s="273">
        <v>6102864</v>
      </c>
      <c r="U88" s="273">
        <v>5877547</v>
      </c>
      <c r="V88" s="273">
        <v>5766580</v>
      </c>
      <c r="W88" s="273">
        <v>5981733</v>
      </c>
      <c r="X88" s="273">
        <v>6140750</v>
      </c>
    </row>
    <row r="89" spans="1:25" ht="14.25" thickBot="1" x14ac:dyDescent="0.3">
      <c r="A89" s="250" t="s">
        <v>4</v>
      </c>
      <c r="B89" s="275">
        <v>581062</v>
      </c>
      <c r="C89" s="275">
        <v>600078</v>
      </c>
      <c r="D89" s="275">
        <v>803372</v>
      </c>
      <c r="E89" s="275">
        <v>679092</v>
      </c>
      <c r="F89" s="275">
        <v>627304</v>
      </c>
      <c r="G89" s="275">
        <v>649292</v>
      </c>
      <c r="H89" s="275">
        <v>727374</v>
      </c>
      <c r="I89" s="275">
        <v>540032</v>
      </c>
      <c r="J89" s="275">
        <v>662029</v>
      </c>
      <c r="K89" s="275">
        <v>742693</v>
      </c>
      <c r="L89" s="275">
        <v>970584</v>
      </c>
      <c r="M89" s="275">
        <v>1055266</v>
      </c>
      <c r="N89" s="275">
        <v>1132140</v>
      </c>
      <c r="O89" s="275">
        <v>1149492</v>
      </c>
      <c r="P89" s="275">
        <v>1548295</v>
      </c>
      <c r="Q89" s="275">
        <v>1234403</v>
      </c>
      <c r="R89" s="275">
        <v>1195096</v>
      </c>
      <c r="S89" s="275">
        <v>1372095</v>
      </c>
      <c r="T89" s="275">
        <v>1649397</v>
      </c>
      <c r="U89" s="275">
        <v>1548951</v>
      </c>
      <c r="V89" s="275">
        <v>1404617</v>
      </c>
      <c r="W89" s="275">
        <v>1578601</v>
      </c>
      <c r="X89" s="275">
        <v>1584110</v>
      </c>
    </row>
    <row r="90" spans="1:25" ht="14.25" thickBot="1" x14ac:dyDescent="0.3">
      <c r="A90" s="251" t="s">
        <v>5</v>
      </c>
      <c r="B90" s="273">
        <v>282551</v>
      </c>
      <c r="C90" s="273">
        <v>276302</v>
      </c>
      <c r="D90" s="273">
        <v>405362</v>
      </c>
      <c r="E90" s="273">
        <v>278251</v>
      </c>
      <c r="F90" s="273">
        <v>230108</v>
      </c>
      <c r="G90" s="273">
        <v>291273</v>
      </c>
      <c r="H90" s="273">
        <v>328371</v>
      </c>
      <c r="I90" s="273">
        <v>168262</v>
      </c>
      <c r="J90" s="273">
        <v>300907</v>
      </c>
      <c r="K90" s="273">
        <v>382259</v>
      </c>
      <c r="L90" s="273">
        <v>545985</v>
      </c>
      <c r="M90" s="273">
        <v>603240</v>
      </c>
      <c r="N90" s="273">
        <v>737243</v>
      </c>
      <c r="O90" s="273">
        <v>727904</v>
      </c>
      <c r="P90" s="273">
        <v>1028394</v>
      </c>
      <c r="Q90" s="273">
        <v>755609</v>
      </c>
      <c r="R90" s="273">
        <v>799886</v>
      </c>
      <c r="S90" s="273">
        <v>938528</v>
      </c>
      <c r="T90" s="273">
        <v>1131363</v>
      </c>
      <c r="U90" s="273">
        <v>1068917</v>
      </c>
      <c r="V90" s="273">
        <v>1002250</v>
      </c>
      <c r="W90" s="273">
        <v>1121397</v>
      </c>
      <c r="X90" s="273">
        <v>1080261</v>
      </c>
    </row>
    <row r="91" spans="1:25" ht="14.25" thickBot="1" x14ac:dyDescent="0.3">
      <c r="A91" s="250" t="s">
        <v>6</v>
      </c>
      <c r="B91" s="275">
        <v>289806</v>
      </c>
      <c r="C91" s="275">
        <v>260621</v>
      </c>
      <c r="D91" s="275">
        <v>398303</v>
      </c>
      <c r="E91" s="275">
        <v>277693</v>
      </c>
      <c r="F91" s="275">
        <v>223146</v>
      </c>
      <c r="G91" s="275">
        <v>282193</v>
      </c>
      <c r="H91" s="275">
        <v>322718</v>
      </c>
      <c r="I91" s="275">
        <v>204610</v>
      </c>
      <c r="J91" s="275">
        <v>293250</v>
      </c>
      <c r="K91" s="275">
        <v>371628</v>
      </c>
      <c r="L91" s="275">
        <v>537479</v>
      </c>
      <c r="M91" s="275">
        <v>635894</v>
      </c>
      <c r="N91" s="275">
        <v>735407</v>
      </c>
      <c r="O91" s="275">
        <v>729952</v>
      </c>
      <c r="P91" s="275">
        <v>1053027</v>
      </c>
      <c r="Q91" s="275">
        <v>812264</v>
      </c>
      <c r="R91" s="275">
        <v>756045</v>
      </c>
      <c r="S91" s="275">
        <v>928263</v>
      </c>
      <c r="T91" s="275">
        <v>1137999</v>
      </c>
      <c r="U91" s="275">
        <v>1094884</v>
      </c>
      <c r="V91" s="275">
        <v>997094</v>
      </c>
      <c r="W91" s="275">
        <v>1136597</v>
      </c>
      <c r="X91" s="275">
        <v>1089393</v>
      </c>
    </row>
    <row r="92" spans="1:25" ht="14.25" thickBot="1" x14ac:dyDescent="0.3">
      <c r="A92" s="251" t="s">
        <v>7</v>
      </c>
      <c r="B92" s="273">
        <v>292625</v>
      </c>
      <c r="C92" s="273">
        <v>256777</v>
      </c>
      <c r="D92" s="273">
        <v>344812</v>
      </c>
      <c r="E92" s="273">
        <v>234876</v>
      </c>
      <c r="F92" s="273">
        <v>188710</v>
      </c>
      <c r="G92" s="273">
        <v>194074</v>
      </c>
      <c r="H92" s="273">
        <v>270787</v>
      </c>
      <c r="I92" s="273">
        <v>184552</v>
      </c>
      <c r="J92" s="273">
        <v>249335</v>
      </c>
      <c r="K92" s="273">
        <v>297605</v>
      </c>
      <c r="L92" s="273">
        <v>456446</v>
      </c>
      <c r="M92" s="273">
        <v>538247</v>
      </c>
      <c r="N92" s="273">
        <v>543832</v>
      </c>
      <c r="O92" s="273">
        <v>479491</v>
      </c>
      <c r="P92" s="273">
        <v>770879</v>
      </c>
      <c r="Q92" s="273">
        <v>597985</v>
      </c>
      <c r="R92" s="273">
        <v>557910</v>
      </c>
      <c r="S92" s="273">
        <v>596350</v>
      </c>
      <c r="T92" s="273">
        <v>825012</v>
      </c>
      <c r="U92" s="273">
        <v>794737</v>
      </c>
      <c r="V92" s="273">
        <v>721852</v>
      </c>
      <c r="W92" s="273">
        <v>733232</v>
      </c>
      <c r="X92" s="273">
        <v>772048</v>
      </c>
    </row>
    <row r="93" spans="1:25" ht="26.25" thickBot="1" x14ac:dyDescent="0.3">
      <c r="A93" s="252" t="s">
        <v>8</v>
      </c>
      <c r="B93" s="276">
        <v>291911</v>
      </c>
      <c r="C93" s="276">
        <v>256365</v>
      </c>
      <c r="D93" s="276">
        <v>344201</v>
      </c>
      <c r="E93" s="276">
        <v>234369</v>
      </c>
      <c r="F93" s="276">
        <v>188364</v>
      </c>
      <c r="G93" s="276">
        <v>193469</v>
      </c>
      <c r="H93" s="276">
        <v>270149</v>
      </c>
      <c r="I93" s="276">
        <v>184038</v>
      </c>
      <c r="J93" s="276">
        <v>248748</v>
      </c>
      <c r="K93" s="276">
        <v>296905</v>
      </c>
      <c r="L93" s="276">
        <v>455557</v>
      </c>
      <c r="M93" s="276">
        <v>537486</v>
      </c>
      <c r="N93" s="276">
        <v>543197</v>
      </c>
      <c r="O93" s="276">
        <v>478818</v>
      </c>
      <c r="P93" s="276">
        <v>769960</v>
      </c>
      <c r="Q93" s="276">
        <v>597264</v>
      </c>
      <c r="R93" s="276">
        <v>557230</v>
      </c>
      <c r="S93" s="276">
        <v>595432</v>
      </c>
      <c r="T93" s="276">
        <v>823974</v>
      </c>
      <c r="U93" s="276">
        <v>793719</v>
      </c>
      <c r="V93" s="276">
        <v>720821</v>
      </c>
      <c r="W93" s="276">
        <v>732035</v>
      </c>
      <c r="X93" s="276">
        <v>770881</v>
      </c>
    </row>
    <row r="94" spans="1:25" x14ac:dyDescent="0.25">
      <c r="A94" s="233" t="s">
        <v>365</v>
      </c>
      <c r="B94" s="253">
        <f>IF(B91="","",B91-B90)</f>
        <v>7255</v>
      </c>
      <c r="C94" s="253">
        <f>IF(C91="","",C91-C90)</f>
        <v>-15681</v>
      </c>
      <c r="D94" s="253">
        <f t="shared" ref="D94:Y94" si="9">IF(D91="","",D91-D90)</f>
        <v>-7059</v>
      </c>
      <c r="E94" s="253">
        <f t="shared" si="9"/>
        <v>-558</v>
      </c>
      <c r="F94" s="253">
        <f t="shared" si="9"/>
        <v>-6962</v>
      </c>
      <c r="G94" s="253">
        <f t="shared" si="9"/>
        <v>-9080</v>
      </c>
      <c r="H94" s="253">
        <f t="shared" si="9"/>
        <v>-5653</v>
      </c>
      <c r="I94" s="253">
        <f t="shared" si="9"/>
        <v>36348</v>
      </c>
      <c r="J94" s="253">
        <f t="shared" si="9"/>
        <v>-7657</v>
      </c>
      <c r="K94" s="253">
        <f t="shared" si="9"/>
        <v>-10631</v>
      </c>
      <c r="L94" s="253">
        <f t="shared" si="9"/>
        <v>-8506</v>
      </c>
      <c r="M94" s="253">
        <f t="shared" si="9"/>
        <v>32654</v>
      </c>
      <c r="N94" s="253">
        <f t="shared" si="9"/>
        <v>-1836</v>
      </c>
      <c r="O94" s="253">
        <f t="shared" si="9"/>
        <v>2048</v>
      </c>
      <c r="P94" s="253">
        <f t="shared" si="9"/>
        <v>24633</v>
      </c>
      <c r="Q94" s="253">
        <f t="shared" si="9"/>
        <v>56655</v>
      </c>
      <c r="R94" s="253">
        <f t="shared" si="9"/>
        <v>-43841</v>
      </c>
      <c r="S94" s="253">
        <f t="shared" si="9"/>
        <v>-10265</v>
      </c>
      <c r="T94" s="253">
        <f t="shared" si="9"/>
        <v>6636</v>
      </c>
      <c r="U94" s="253">
        <f t="shared" si="9"/>
        <v>25967</v>
      </c>
      <c r="V94" s="253">
        <f t="shared" si="9"/>
        <v>-5156</v>
      </c>
      <c r="W94" s="253">
        <f t="shared" si="9"/>
        <v>15200</v>
      </c>
      <c r="X94" s="253">
        <f t="shared" si="9"/>
        <v>9132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15960163</v>
      </c>
      <c r="C97" s="273">
        <v>16873122</v>
      </c>
      <c r="D97" s="273">
        <v>18884745</v>
      </c>
      <c r="E97" s="273">
        <v>20869717</v>
      </c>
      <c r="F97" s="273">
        <v>22069584</v>
      </c>
    </row>
    <row r="98" spans="1:24" ht="14.25" thickBot="1" x14ac:dyDescent="0.3">
      <c r="A98" s="225" t="s">
        <v>4</v>
      </c>
      <c r="B98" s="275">
        <v>2663604</v>
      </c>
      <c r="C98" s="275">
        <v>2545266</v>
      </c>
      <c r="D98" s="275">
        <v>3430572</v>
      </c>
      <c r="E98" s="275">
        <v>5064330</v>
      </c>
      <c r="F98" s="275">
        <v>5765539</v>
      </c>
    </row>
    <row r="99" spans="1:24" ht="14.25" thickBot="1" x14ac:dyDescent="0.3">
      <c r="A99" s="224" t="s">
        <v>5</v>
      </c>
      <c r="B99" s="273">
        <v>1242466</v>
      </c>
      <c r="C99" s="273">
        <v>1019278</v>
      </c>
      <c r="D99" s="273">
        <v>1832391</v>
      </c>
      <c r="E99" s="273">
        <v>3249150</v>
      </c>
      <c r="F99" s="273">
        <v>3938694</v>
      </c>
    </row>
    <row r="100" spans="1:24" ht="14.25" thickBot="1" x14ac:dyDescent="0.3">
      <c r="A100" s="225" t="s">
        <v>6</v>
      </c>
      <c r="B100" s="275">
        <v>1226423</v>
      </c>
      <c r="C100" s="275">
        <v>1032667</v>
      </c>
      <c r="D100" s="275">
        <v>1838251</v>
      </c>
      <c r="E100" s="275">
        <v>3330650</v>
      </c>
      <c r="F100" s="275">
        <v>3917191</v>
      </c>
    </row>
    <row r="101" spans="1:24" ht="14.25" thickBot="1" x14ac:dyDescent="0.3">
      <c r="A101" s="224" t="s">
        <v>7</v>
      </c>
      <c r="B101" s="273">
        <v>1129090</v>
      </c>
      <c r="C101" s="273">
        <v>838123</v>
      </c>
      <c r="D101" s="273">
        <v>1541633</v>
      </c>
      <c r="E101" s="273">
        <v>2392187</v>
      </c>
      <c r="F101" s="273">
        <v>2774009</v>
      </c>
    </row>
    <row r="102" spans="1:24" ht="14.25" thickBot="1" x14ac:dyDescent="0.3">
      <c r="A102" s="227" t="s">
        <v>8</v>
      </c>
      <c r="B102" s="276">
        <v>1126846</v>
      </c>
      <c r="C102" s="276">
        <v>836020</v>
      </c>
      <c r="D102" s="276">
        <v>1538696</v>
      </c>
      <c r="E102" s="276">
        <v>2389239</v>
      </c>
      <c r="F102" s="276">
        <v>2770355</v>
      </c>
    </row>
    <row r="103" spans="1:24" x14ac:dyDescent="0.25">
      <c r="A103" s="233" t="s">
        <v>262</v>
      </c>
      <c r="B103" s="234">
        <f>IF(OR(B102="",B102="無"),"",B102/B101)</f>
        <v>0.99801255878627926</v>
      </c>
      <c r="C103" s="234">
        <f>IF(OR(C102="",C102="無"),"",C102/C101)</f>
        <v>0.99749082175289305</v>
      </c>
      <c r="D103" s="234">
        <f>IF(OR(D102="",D102="無"),"",D102/D101)</f>
        <v>0.99809487731515867</v>
      </c>
      <c r="E103" s="234">
        <f>IF(OR(E102="",E102="無"),"",E102/E101)</f>
        <v>0.99876765486979069</v>
      </c>
      <c r="F103" s="234">
        <f>IF(OR(F102="",F102="無"),"",F102/F101)</f>
        <v>0.99868277283887685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1385054</v>
      </c>
      <c r="C106" s="273">
        <v>1047397</v>
      </c>
      <c r="D106" s="273">
        <v>1096165</v>
      </c>
      <c r="E106" s="273">
        <v>1405766</v>
      </c>
      <c r="F106" s="273">
        <v>1362654</v>
      </c>
      <c r="G106" s="273">
        <v>1504815</v>
      </c>
      <c r="H106" s="273">
        <v>1244553</v>
      </c>
      <c r="I106" s="273">
        <v>1836472</v>
      </c>
      <c r="J106" s="273">
        <v>1750863</v>
      </c>
      <c r="K106" s="273">
        <v>1540382</v>
      </c>
      <c r="L106" s="273">
        <v>2078180</v>
      </c>
      <c r="M106" s="273">
        <v>2168919</v>
      </c>
      <c r="N106" s="273">
        <v>2207068</v>
      </c>
      <c r="O106" s="273">
        <v>2583322</v>
      </c>
      <c r="P106" s="273">
        <v>3217970</v>
      </c>
      <c r="Q106" s="273">
        <v>3911270</v>
      </c>
      <c r="R106" s="273">
        <v>4292197</v>
      </c>
      <c r="S106" s="273">
        <v>4331776</v>
      </c>
      <c r="T106" s="273">
        <v>3369252</v>
      </c>
      <c r="U106" s="273">
        <v>4230085</v>
      </c>
      <c r="V106" s="273">
        <v>4895321</v>
      </c>
      <c r="W106" s="273">
        <v>5425424</v>
      </c>
      <c r="X106" s="273">
        <v>5958866</v>
      </c>
    </row>
    <row r="107" spans="1:24" ht="14.25" thickBot="1" x14ac:dyDescent="0.3">
      <c r="A107" s="225" t="s">
        <v>22</v>
      </c>
      <c r="B107" s="275">
        <v>21934</v>
      </c>
      <c r="C107" s="275">
        <v>23649</v>
      </c>
      <c r="D107" s="275">
        <v>14304</v>
      </c>
      <c r="E107" s="275">
        <v>7595</v>
      </c>
      <c r="F107" s="275">
        <v>2016</v>
      </c>
      <c r="G107" s="274">
        <v>0</v>
      </c>
      <c r="H107" s="274">
        <v>0</v>
      </c>
      <c r="I107" s="274">
        <v>0</v>
      </c>
      <c r="J107" s="275">
        <v>2670</v>
      </c>
      <c r="K107" s="275">
        <v>4377</v>
      </c>
      <c r="L107" s="275">
        <v>5911</v>
      </c>
      <c r="M107" s="275">
        <v>1427</v>
      </c>
      <c r="N107" s="275">
        <v>8880</v>
      </c>
      <c r="O107" s="275">
        <v>15611</v>
      </c>
      <c r="P107" s="274">
        <v>0</v>
      </c>
      <c r="Q107" s="274">
        <v>0</v>
      </c>
      <c r="R107" s="274">
        <v>0</v>
      </c>
      <c r="S107" s="275">
        <v>2678</v>
      </c>
      <c r="T107" s="275">
        <v>2973</v>
      </c>
      <c r="U107" s="274">
        <v>0</v>
      </c>
      <c r="V107" s="274">
        <v>0</v>
      </c>
      <c r="W107" s="275">
        <v>3883</v>
      </c>
      <c r="X107" s="275">
        <v>2733</v>
      </c>
    </row>
    <row r="108" spans="1:24" ht="14.25" thickBot="1" x14ac:dyDescent="0.3">
      <c r="A108" s="224" t="s">
        <v>263</v>
      </c>
      <c r="B108" s="273">
        <v>4440433</v>
      </c>
      <c r="C108" s="273">
        <v>5231534</v>
      </c>
      <c r="D108" s="273">
        <v>5566923</v>
      </c>
      <c r="E108" s="273">
        <v>5491360</v>
      </c>
      <c r="F108" s="273">
        <v>5540334</v>
      </c>
      <c r="G108" s="273">
        <v>5642904</v>
      </c>
      <c r="H108" s="273">
        <v>5973938</v>
      </c>
      <c r="I108" s="273">
        <v>5563416</v>
      </c>
      <c r="J108" s="273">
        <v>5584925</v>
      </c>
      <c r="K108" s="273">
        <v>5892397</v>
      </c>
      <c r="L108" s="273">
        <v>6619902</v>
      </c>
      <c r="M108" s="273">
        <v>6943682</v>
      </c>
      <c r="N108" s="273">
        <v>6623079</v>
      </c>
      <c r="O108" s="273">
        <v>6317509</v>
      </c>
      <c r="P108" s="273">
        <v>7662184</v>
      </c>
      <c r="Q108" s="273">
        <v>6772770</v>
      </c>
      <c r="R108" s="273">
        <v>6330915</v>
      </c>
      <c r="S108" s="273">
        <v>6782269</v>
      </c>
      <c r="T108" s="273">
        <v>7529570</v>
      </c>
      <c r="U108" s="273">
        <v>7713090</v>
      </c>
      <c r="V108" s="273">
        <v>7447411</v>
      </c>
      <c r="W108" s="273">
        <v>7700204</v>
      </c>
      <c r="X108" s="273">
        <v>7777144</v>
      </c>
    </row>
    <row r="109" spans="1:24" ht="14.25" thickBot="1" x14ac:dyDescent="0.3">
      <c r="A109" s="225" t="s">
        <v>264</v>
      </c>
      <c r="B109" s="275">
        <v>1625357</v>
      </c>
      <c r="C109" s="275">
        <v>1550256</v>
      </c>
      <c r="D109" s="275">
        <v>1648591</v>
      </c>
      <c r="E109" s="275">
        <v>1692437</v>
      </c>
      <c r="F109" s="275">
        <v>1839720</v>
      </c>
      <c r="G109" s="275">
        <v>1939103</v>
      </c>
      <c r="H109" s="275">
        <v>2071341</v>
      </c>
      <c r="I109" s="275">
        <v>1612170</v>
      </c>
      <c r="J109" s="275">
        <v>1658036</v>
      </c>
      <c r="K109" s="275">
        <v>1755544</v>
      </c>
      <c r="L109" s="275">
        <v>1998153</v>
      </c>
      <c r="M109" s="275">
        <v>1845941</v>
      </c>
      <c r="N109" s="275">
        <v>1893487</v>
      </c>
      <c r="O109" s="275">
        <v>1828535</v>
      </c>
      <c r="P109" s="275">
        <v>2101711</v>
      </c>
      <c r="Q109" s="275">
        <v>1790378</v>
      </c>
      <c r="R109" s="275">
        <v>1828304</v>
      </c>
      <c r="S109" s="275">
        <v>2278254</v>
      </c>
      <c r="T109" s="275">
        <v>2233455</v>
      </c>
      <c r="U109" s="275">
        <v>2074544</v>
      </c>
      <c r="V109" s="275">
        <v>2296572</v>
      </c>
      <c r="W109" s="275">
        <v>2504060</v>
      </c>
      <c r="X109" s="275">
        <v>2715254</v>
      </c>
    </row>
    <row r="110" spans="1:24" ht="14.25" thickBot="1" x14ac:dyDescent="0.3">
      <c r="A110" s="224" t="s">
        <v>23</v>
      </c>
      <c r="B110" s="273">
        <v>147861</v>
      </c>
      <c r="C110" s="273">
        <v>173378</v>
      </c>
      <c r="D110" s="273">
        <v>109909</v>
      </c>
      <c r="E110" s="273">
        <v>146231</v>
      </c>
      <c r="F110" s="273">
        <v>63800</v>
      </c>
      <c r="G110" s="273">
        <v>97071</v>
      </c>
      <c r="H110" s="273">
        <v>111415</v>
      </c>
      <c r="I110" s="273">
        <v>97381</v>
      </c>
      <c r="J110" s="273">
        <v>147143</v>
      </c>
      <c r="K110" s="273">
        <v>142404</v>
      </c>
      <c r="L110" s="273">
        <v>161546</v>
      </c>
      <c r="M110" s="273">
        <v>153424</v>
      </c>
      <c r="N110" s="273">
        <v>202917</v>
      </c>
      <c r="O110" s="273">
        <v>116485</v>
      </c>
      <c r="P110" s="273">
        <v>107154</v>
      </c>
      <c r="Q110" s="273">
        <v>101576</v>
      </c>
      <c r="R110" s="273">
        <v>65494</v>
      </c>
      <c r="S110" s="273">
        <v>86761</v>
      </c>
      <c r="T110" s="273">
        <v>108645</v>
      </c>
      <c r="U110" s="273">
        <v>114365</v>
      </c>
      <c r="V110" s="273">
        <v>166688</v>
      </c>
      <c r="W110" s="273">
        <v>195529</v>
      </c>
      <c r="X110" s="273">
        <v>375177</v>
      </c>
    </row>
    <row r="111" spans="1:24" ht="14.25" thickBot="1" x14ac:dyDescent="0.3">
      <c r="A111" s="225" t="s">
        <v>24</v>
      </c>
      <c r="B111" s="275">
        <v>7620639</v>
      </c>
      <c r="C111" s="275">
        <v>8026214</v>
      </c>
      <c r="D111" s="275">
        <v>8435892</v>
      </c>
      <c r="E111" s="275">
        <v>8743389</v>
      </c>
      <c r="F111" s="275">
        <v>8808524</v>
      </c>
      <c r="G111" s="275">
        <v>9183893</v>
      </c>
      <c r="H111" s="275">
        <v>9401247</v>
      </c>
      <c r="I111" s="275">
        <v>9109439</v>
      </c>
      <c r="J111" s="275">
        <v>9143637</v>
      </c>
      <c r="K111" s="275">
        <v>9335104</v>
      </c>
      <c r="L111" s="275">
        <v>10863692</v>
      </c>
      <c r="M111" s="275">
        <v>11113393</v>
      </c>
      <c r="N111" s="275">
        <v>10935431</v>
      </c>
      <c r="O111" s="275">
        <v>10861462</v>
      </c>
      <c r="P111" s="275">
        <v>13089019</v>
      </c>
      <c r="Q111" s="275">
        <v>12575994</v>
      </c>
      <c r="R111" s="275">
        <v>12516910</v>
      </c>
      <c r="S111" s="275">
        <v>13481738</v>
      </c>
      <c r="T111" s="275">
        <v>13243895</v>
      </c>
      <c r="U111" s="275">
        <v>14132084</v>
      </c>
      <c r="V111" s="275">
        <v>14805992</v>
      </c>
      <c r="W111" s="275">
        <v>15829100</v>
      </c>
      <c r="X111" s="275">
        <v>16829174</v>
      </c>
    </row>
    <row r="112" spans="1:24" ht="14.25" thickBot="1" x14ac:dyDescent="0.3">
      <c r="A112" s="224" t="s">
        <v>25</v>
      </c>
      <c r="B112" s="273">
        <v>16561</v>
      </c>
      <c r="C112" s="273">
        <v>16768</v>
      </c>
      <c r="D112" s="273">
        <v>16440</v>
      </c>
      <c r="E112" s="273">
        <v>16297</v>
      </c>
      <c r="F112" s="273">
        <v>16859</v>
      </c>
      <c r="G112" s="273">
        <v>17272</v>
      </c>
      <c r="H112" s="273">
        <v>16906</v>
      </c>
      <c r="I112" s="273">
        <v>16945</v>
      </c>
      <c r="J112" s="273">
        <v>17465</v>
      </c>
      <c r="K112" s="273">
        <v>16881</v>
      </c>
      <c r="L112" s="273">
        <v>17195</v>
      </c>
      <c r="M112" s="273">
        <v>17890</v>
      </c>
      <c r="N112" s="273">
        <v>17692</v>
      </c>
      <c r="O112" s="273">
        <v>17444</v>
      </c>
      <c r="P112" s="273">
        <v>18580</v>
      </c>
      <c r="Q112" s="273">
        <v>18554</v>
      </c>
      <c r="R112" s="273">
        <v>18193</v>
      </c>
      <c r="S112" s="273">
        <v>18243</v>
      </c>
      <c r="T112" s="273">
        <v>17726</v>
      </c>
      <c r="U112" s="273">
        <v>18229</v>
      </c>
      <c r="V112" s="273">
        <v>17144</v>
      </c>
      <c r="W112" s="273">
        <v>17645</v>
      </c>
      <c r="X112" s="273">
        <v>17533</v>
      </c>
    </row>
    <row r="113" spans="1:24" ht="14.25" thickBot="1" x14ac:dyDescent="0.3">
      <c r="A113" s="225" t="s">
        <v>26</v>
      </c>
      <c r="B113" s="275">
        <v>4440079</v>
      </c>
      <c r="C113" s="275">
        <v>4566406</v>
      </c>
      <c r="D113" s="275">
        <v>4549467</v>
      </c>
      <c r="E113" s="275">
        <v>4561523</v>
      </c>
      <c r="F113" s="275">
        <v>4728809</v>
      </c>
      <c r="G113" s="275">
        <v>4855315</v>
      </c>
      <c r="H113" s="275">
        <v>4943128</v>
      </c>
      <c r="I113" s="275">
        <v>5093002</v>
      </c>
      <c r="J113" s="275">
        <v>5051081</v>
      </c>
      <c r="K113" s="275">
        <v>5044446</v>
      </c>
      <c r="L113" s="275">
        <v>5078458</v>
      </c>
      <c r="M113" s="275">
        <v>5099578</v>
      </c>
      <c r="N113" s="275">
        <v>4972208</v>
      </c>
      <c r="O113" s="275">
        <v>4842604</v>
      </c>
      <c r="P113" s="275">
        <v>4858221</v>
      </c>
      <c r="Q113" s="275">
        <v>4656802</v>
      </c>
      <c r="R113" s="275">
        <v>4670143</v>
      </c>
      <c r="S113" s="275">
        <v>4602676</v>
      </c>
      <c r="T113" s="275">
        <v>4594370</v>
      </c>
      <c r="U113" s="275">
        <v>4622571</v>
      </c>
      <c r="V113" s="275">
        <v>4618231</v>
      </c>
      <c r="W113" s="275">
        <v>4777437</v>
      </c>
      <c r="X113" s="275">
        <v>4870815</v>
      </c>
    </row>
    <row r="114" spans="1:24" ht="14.25" thickBot="1" x14ac:dyDescent="0.3">
      <c r="A114" s="224" t="s">
        <v>27</v>
      </c>
      <c r="B114" s="273">
        <v>243231</v>
      </c>
      <c r="C114" s="273">
        <v>249997</v>
      </c>
      <c r="D114" s="273">
        <v>257536</v>
      </c>
      <c r="E114" s="273">
        <v>271346</v>
      </c>
      <c r="F114" s="273">
        <v>311715</v>
      </c>
      <c r="G114" s="273">
        <v>326454</v>
      </c>
      <c r="H114" s="273">
        <v>337216</v>
      </c>
      <c r="I114" s="273">
        <v>352046</v>
      </c>
      <c r="J114" s="273">
        <v>361873</v>
      </c>
      <c r="K114" s="273">
        <v>343572</v>
      </c>
      <c r="L114" s="273">
        <v>421792</v>
      </c>
      <c r="M114" s="273">
        <v>473032</v>
      </c>
      <c r="N114" s="273">
        <v>460207</v>
      </c>
      <c r="O114" s="273">
        <v>447946</v>
      </c>
      <c r="P114" s="273">
        <v>463786</v>
      </c>
      <c r="Q114" s="273">
        <v>456479</v>
      </c>
      <c r="R114" s="273">
        <v>451693</v>
      </c>
      <c r="S114" s="273">
        <v>446671</v>
      </c>
      <c r="T114" s="273">
        <v>433408</v>
      </c>
      <c r="U114" s="273">
        <v>459891</v>
      </c>
      <c r="V114" s="273">
        <v>506961</v>
      </c>
      <c r="W114" s="273">
        <v>494418</v>
      </c>
      <c r="X114" s="273">
        <v>492883</v>
      </c>
    </row>
    <row r="115" spans="1:24" ht="14.25" thickBot="1" x14ac:dyDescent="0.3">
      <c r="A115" s="225" t="s">
        <v>265</v>
      </c>
      <c r="B115" s="276">
        <v>12320510</v>
      </c>
      <c r="C115" s="276">
        <v>12859385</v>
      </c>
      <c r="D115" s="276">
        <v>13259335</v>
      </c>
      <c r="E115" s="276">
        <v>13592555</v>
      </c>
      <c r="F115" s="276">
        <v>13865907</v>
      </c>
      <c r="G115" s="276">
        <v>14382934</v>
      </c>
      <c r="H115" s="276">
        <v>14698497</v>
      </c>
      <c r="I115" s="276">
        <v>14571432</v>
      </c>
      <c r="J115" s="276">
        <v>14574056</v>
      </c>
      <c r="K115" s="276">
        <v>14740003</v>
      </c>
      <c r="L115" s="276">
        <v>16381137</v>
      </c>
      <c r="M115" s="276">
        <v>16703893</v>
      </c>
      <c r="N115" s="276">
        <v>16385538</v>
      </c>
      <c r="O115" s="276">
        <v>16169456</v>
      </c>
      <c r="P115" s="276">
        <v>18429606</v>
      </c>
      <c r="Q115" s="276">
        <v>17707829</v>
      </c>
      <c r="R115" s="276">
        <v>17656939</v>
      </c>
      <c r="S115" s="276">
        <v>18549328</v>
      </c>
      <c r="T115" s="276">
        <v>18289399</v>
      </c>
      <c r="U115" s="276">
        <v>19232775</v>
      </c>
      <c r="V115" s="276">
        <v>19948328</v>
      </c>
      <c r="W115" s="276">
        <v>21118600</v>
      </c>
      <c r="X115" s="276">
        <v>22210405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1079553</v>
      </c>
      <c r="C118" s="273">
        <v>1236281</v>
      </c>
      <c r="D118" s="273">
        <v>1587625</v>
      </c>
      <c r="E118" s="273">
        <v>1520077</v>
      </c>
      <c r="F118" s="273">
        <v>1275513</v>
      </c>
      <c r="G118" s="273">
        <v>1529443</v>
      </c>
      <c r="H118" s="273">
        <v>1571715</v>
      </c>
      <c r="I118" s="273">
        <v>1598391</v>
      </c>
      <c r="J118" s="273">
        <v>896085</v>
      </c>
      <c r="K118" s="273">
        <v>879918</v>
      </c>
      <c r="L118" s="273">
        <v>1036540</v>
      </c>
      <c r="M118" s="273">
        <v>902493</v>
      </c>
      <c r="N118" s="273">
        <v>518682</v>
      </c>
      <c r="O118" s="273">
        <v>256484</v>
      </c>
      <c r="P118" s="273">
        <v>185916</v>
      </c>
      <c r="Q118" s="273">
        <v>12605</v>
      </c>
      <c r="R118" s="68">
        <v>0</v>
      </c>
      <c r="S118" s="68">
        <v>0</v>
      </c>
      <c r="T118" s="273">
        <v>31360</v>
      </c>
      <c r="U118" s="273">
        <v>130449</v>
      </c>
      <c r="V118" s="273">
        <v>166283</v>
      </c>
      <c r="W118" s="273">
        <v>177759</v>
      </c>
      <c r="X118" s="273">
        <v>747441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5">
        <v>119790</v>
      </c>
      <c r="E119" s="275">
        <v>119706</v>
      </c>
      <c r="F119" s="275">
        <v>119914</v>
      </c>
      <c r="G119" s="274">
        <v>0</v>
      </c>
      <c r="H119" s="275">
        <v>149626</v>
      </c>
      <c r="I119" s="275">
        <v>149635</v>
      </c>
      <c r="J119" s="275">
        <v>149644</v>
      </c>
      <c r="K119" s="275">
        <v>199587</v>
      </c>
      <c r="L119" s="275">
        <v>199677</v>
      </c>
      <c r="M119" s="275">
        <v>199626</v>
      </c>
      <c r="N119" s="274">
        <v>0</v>
      </c>
      <c r="O119" s="274">
        <v>0</v>
      </c>
      <c r="P119" s="275">
        <v>149716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5">
        <v>199956</v>
      </c>
    </row>
    <row r="120" spans="1:24" ht="14.25" thickBot="1" x14ac:dyDescent="0.3">
      <c r="A120" s="224" t="s">
        <v>266</v>
      </c>
      <c r="B120" s="273">
        <v>3408265</v>
      </c>
      <c r="C120" s="273">
        <v>3428317</v>
      </c>
      <c r="D120" s="273">
        <v>3492327</v>
      </c>
      <c r="E120" s="273">
        <v>3654909</v>
      </c>
      <c r="F120" s="273">
        <v>3640993</v>
      </c>
      <c r="G120" s="273">
        <v>3587563</v>
      </c>
      <c r="H120" s="273">
        <v>3828435</v>
      </c>
      <c r="I120" s="273">
        <v>3415782</v>
      </c>
      <c r="J120" s="273">
        <v>3923090</v>
      </c>
      <c r="K120" s="273">
        <v>3967807</v>
      </c>
      <c r="L120" s="273">
        <v>4912283</v>
      </c>
      <c r="M120" s="273">
        <v>4714485</v>
      </c>
      <c r="N120" s="273">
        <v>4414920</v>
      </c>
      <c r="O120" s="273">
        <v>4060166</v>
      </c>
      <c r="P120" s="273">
        <v>5244276</v>
      </c>
      <c r="Q120" s="273">
        <v>4474140</v>
      </c>
      <c r="R120" s="273">
        <v>3984044</v>
      </c>
      <c r="S120" s="273">
        <v>4703005</v>
      </c>
      <c r="T120" s="273">
        <v>4989028</v>
      </c>
      <c r="U120" s="273">
        <v>5042103</v>
      </c>
      <c r="V120" s="273">
        <v>5201568</v>
      </c>
      <c r="W120" s="273">
        <v>5296690</v>
      </c>
      <c r="X120" s="273">
        <v>5362956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431316</v>
      </c>
      <c r="C122" s="273">
        <v>427840</v>
      </c>
      <c r="D122" s="273">
        <v>294404</v>
      </c>
      <c r="E122" s="273">
        <v>98772</v>
      </c>
      <c r="F122" s="273">
        <v>46622</v>
      </c>
      <c r="G122" s="273">
        <v>131250</v>
      </c>
      <c r="H122" s="273">
        <v>331250</v>
      </c>
      <c r="I122" s="273">
        <v>462500</v>
      </c>
      <c r="J122" s="273">
        <v>462500</v>
      </c>
      <c r="K122" s="273">
        <v>501012</v>
      </c>
      <c r="L122" s="273">
        <v>750322</v>
      </c>
      <c r="M122" s="273">
        <v>722301</v>
      </c>
      <c r="N122" s="273">
        <v>719465</v>
      </c>
      <c r="O122" s="68">
        <v>0</v>
      </c>
      <c r="P122" s="273">
        <v>137500</v>
      </c>
      <c r="Q122" s="273">
        <v>312500</v>
      </c>
      <c r="R122" s="273">
        <v>175000</v>
      </c>
      <c r="S122" s="273">
        <v>350000</v>
      </c>
      <c r="T122" s="273">
        <v>350000</v>
      </c>
      <c r="U122" s="273">
        <v>350000</v>
      </c>
      <c r="V122" s="273">
        <v>350000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762589</v>
      </c>
      <c r="C123" s="275">
        <v>1384194</v>
      </c>
      <c r="D123" s="275">
        <v>894695</v>
      </c>
      <c r="E123" s="275">
        <v>904567</v>
      </c>
      <c r="F123" s="275">
        <v>1080510</v>
      </c>
      <c r="G123" s="275">
        <v>1551482</v>
      </c>
      <c r="H123" s="275">
        <v>1034451</v>
      </c>
      <c r="I123" s="275">
        <v>996124</v>
      </c>
      <c r="J123" s="275">
        <v>949412</v>
      </c>
      <c r="K123" s="275">
        <v>1547130</v>
      </c>
      <c r="L123" s="275">
        <v>1202417</v>
      </c>
      <c r="M123" s="275">
        <v>1214761</v>
      </c>
      <c r="N123" s="275">
        <v>1293262</v>
      </c>
      <c r="O123" s="275">
        <v>2034087</v>
      </c>
      <c r="P123" s="275">
        <v>1487120</v>
      </c>
      <c r="Q123" s="275">
        <v>1495994</v>
      </c>
      <c r="R123" s="275">
        <v>1564993</v>
      </c>
      <c r="S123" s="275">
        <v>2744700</v>
      </c>
      <c r="T123" s="275">
        <v>1543891</v>
      </c>
      <c r="U123" s="275">
        <v>1724285</v>
      </c>
      <c r="V123" s="275">
        <v>1771411</v>
      </c>
      <c r="W123" s="275">
        <v>3044170</v>
      </c>
      <c r="X123" s="275">
        <v>1514304</v>
      </c>
    </row>
    <row r="124" spans="1:24" ht="14.25" thickBot="1" x14ac:dyDescent="0.3">
      <c r="A124" s="224" t="s">
        <v>268</v>
      </c>
      <c r="B124" s="273">
        <v>5681723</v>
      </c>
      <c r="C124" s="273">
        <v>6476632</v>
      </c>
      <c r="D124" s="273">
        <v>6388841</v>
      </c>
      <c r="E124" s="273">
        <v>6298031</v>
      </c>
      <c r="F124" s="273">
        <v>6163552</v>
      </c>
      <c r="G124" s="273">
        <v>6799738</v>
      </c>
      <c r="H124" s="273">
        <v>6915477</v>
      </c>
      <c r="I124" s="273">
        <v>6622432</v>
      </c>
      <c r="J124" s="273">
        <v>6380731</v>
      </c>
      <c r="K124" s="273">
        <v>7095454</v>
      </c>
      <c r="L124" s="273">
        <v>8101239</v>
      </c>
      <c r="M124" s="273">
        <v>7753666</v>
      </c>
      <c r="N124" s="273">
        <v>6946329</v>
      </c>
      <c r="O124" s="273">
        <v>6350737</v>
      </c>
      <c r="P124" s="273">
        <v>7204528</v>
      </c>
      <c r="Q124" s="273">
        <v>6295239</v>
      </c>
      <c r="R124" s="273">
        <v>5724037</v>
      </c>
      <c r="S124" s="273">
        <v>7797705</v>
      </c>
      <c r="T124" s="273">
        <v>6914279</v>
      </c>
      <c r="U124" s="273">
        <v>7246837</v>
      </c>
      <c r="V124" s="273">
        <v>7489262</v>
      </c>
      <c r="W124" s="273">
        <v>8518619</v>
      </c>
      <c r="X124" s="273">
        <v>7824657</v>
      </c>
    </row>
    <row r="125" spans="1:24" ht="14.25" thickBot="1" x14ac:dyDescent="0.3">
      <c r="A125" s="225" t="s">
        <v>32</v>
      </c>
      <c r="B125" s="275">
        <v>635115</v>
      </c>
      <c r="C125" s="275">
        <v>635717</v>
      </c>
      <c r="D125" s="275">
        <v>696466</v>
      </c>
      <c r="E125" s="275">
        <v>845441</v>
      </c>
      <c r="F125" s="275">
        <v>1038911</v>
      </c>
      <c r="G125" s="275">
        <v>1197656</v>
      </c>
      <c r="H125" s="275">
        <v>1168231</v>
      </c>
      <c r="I125" s="275">
        <v>1041502</v>
      </c>
      <c r="J125" s="275">
        <v>1047330</v>
      </c>
      <c r="K125" s="275">
        <v>852437</v>
      </c>
      <c r="L125" s="275">
        <v>882636</v>
      </c>
      <c r="M125" s="275">
        <v>774818</v>
      </c>
      <c r="N125" s="275">
        <v>772823</v>
      </c>
      <c r="O125" s="275">
        <v>1546685</v>
      </c>
      <c r="P125" s="275">
        <v>1889296</v>
      </c>
      <c r="Q125" s="275">
        <v>1720810</v>
      </c>
      <c r="R125" s="275">
        <v>1712617</v>
      </c>
      <c r="S125" s="275">
        <v>1474361</v>
      </c>
      <c r="T125" s="275">
        <v>1508188</v>
      </c>
      <c r="U125" s="275">
        <v>1473966</v>
      </c>
      <c r="V125" s="275">
        <v>1598547</v>
      </c>
      <c r="W125" s="275">
        <v>2244638</v>
      </c>
      <c r="X125" s="275">
        <v>3088349</v>
      </c>
    </row>
    <row r="126" spans="1:24" ht="14.25" thickBot="1" x14ac:dyDescent="0.3">
      <c r="A126" s="224" t="s">
        <v>33</v>
      </c>
      <c r="B126" s="273">
        <v>133118</v>
      </c>
      <c r="C126" s="273">
        <v>136351</v>
      </c>
      <c r="D126" s="273">
        <v>129281</v>
      </c>
      <c r="E126" s="273">
        <v>140483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6449956</v>
      </c>
      <c r="C127" s="275">
        <v>7248700</v>
      </c>
      <c r="D127" s="275">
        <v>7214588</v>
      </c>
      <c r="E127" s="275">
        <v>7283955</v>
      </c>
      <c r="F127" s="275">
        <v>7202463</v>
      </c>
      <c r="G127" s="275">
        <v>7997394</v>
      </c>
      <c r="H127" s="275">
        <v>8083708</v>
      </c>
      <c r="I127" s="275">
        <v>7663934</v>
      </c>
      <c r="J127" s="275">
        <v>7428061</v>
      </c>
      <c r="K127" s="275">
        <v>7947891</v>
      </c>
      <c r="L127" s="275">
        <v>8983875</v>
      </c>
      <c r="M127" s="275">
        <v>8528484</v>
      </c>
      <c r="N127" s="275">
        <v>7719152</v>
      </c>
      <c r="O127" s="275">
        <v>7897422</v>
      </c>
      <c r="P127" s="275">
        <v>9093824</v>
      </c>
      <c r="Q127" s="275">
        <v>8016049</v>
      </c>
      <c r="R127" s="275">
        <v>7436654</v>
      </c>
      <c r="S127" s="275">
        <v>9272066</v>
      </c>
      <c r="T127" s="275">
        <v>8422467</v>
      </c>
      <c r="U127" s="275">
        <v>8720803</v>
      </c>
      <c r="V127" s="275">
        <v>9087809</v>
      </c>
      <c r="W127" s="275">
        <v>10763257</v>
      </c>
      <c r="X127" s="275">
        <v>10913006</v>
      </c>
    </row>
    <row r="128" spans="1:24" ht="14.25" thickBot="1" x14ac:dyDescent="0.3">
      <c r="A128" s="224" t="s">
        <v>34</v>
      </c>
      <c r="B128" s="273">
        <v>5870554</v>
      </c>
      <c r="C128" s="273">
        <v>5610685</v>
      </c>
      <c r="D128" s="273">
        <v>6044747</v>
      </c>
      <c r="E128" s="273">
        <v>6308600</v>
      </c>
      <c r="F128" s="273">
        <v>6663444</v>
      </c>
      <c r="G128" s="273">
        <v>6385540</v>
      </c>
      <c r="H128" s="273">
        <v>6614789</v>
      </c>
      <c r="I128" s="273">
        <v>6907498</v>
      </c>
      <c r="J128" s="273">
        <v>7145995</v>
      </c>
      <c r="K128" s="273">
        <v>6792112</v>
      </c>
      <c r="L128" s="273">
        <v>7397262</v>
      </c>
      <c r="M128" s="273">
        <v>8175409</v>
      </c>
      <c r="N128" s="273">
        <v>8666386</v>
      </c>
      <c r="O128" s="273">
        <v>8272034</v>
      </c>
      <c r="P128" s="273">
        <v>9335782</v>
      </c>
      <c r="Q128" s="273">
        <v>9691780</v>
      </c>
      <c r="R128" s="273">
        <v>10220285</v>
      </c>
      <c r="S128" s="273">
        <v>9277262</v>
      </c>
      <c r="T128" s="273">
        <v>9866932</v>
      </c>
      <c r="U128" s="273">
        <v>10511972</v>
      </c>
      <c r="V128" s="273">
        <v>10860519</v>
      </c>
      <c r="W128" s="273">
        <v>10355343</v>
      </c>
      <c r="X128" s="273">
        <v>11297399</v>
      </c>
    </row>
    <row r="129" spans="1:24" ht="14.25" thickBot="1" x14ac:dyDescent="0.3">
      <c r="A129" s="225" t="s">
        <v>35</v>
      </c>
      <c r="B129" s="276">
        <v>12320510</v>
      </c>
      <c r="C129" s="276">
        <v>12859385</v>
      </c>
      <c r="D129" s="276">
        <v>13259335</v>
      </c>
      <c r="E129" s="276">
        <v>13592555</v>
      </c>
      <c r="F129" s="276">
        <v>13865907</v>
      </c>
      <c r="G129" s="276">
        <v>14382934</v>
      </c>
      <c r="H129" s="276">
        <v>14698497</v>
      </c>
      <c r="I129" s="276">
        <v>14571432</v>
      </c>
      <c r="J129" s="276">
        <v>14574056</v>
      </c>
      <c r="K129" s="276">
        <v>14740003</v>
      </c>
      <c r="L129" s="276">
        <v>16381137</v>
      </c>
      <c r="M129" s="276">
        <v>16703893</v>
      </c>
      <c r="N129" s="276">
        <v>16385538</v>
      </c>
      <c r="O129" s="276">
        <v>16169456</v>
      </c>
      <c r="P129" s="276">
        <v>18429606</v>
      </c>
      <c r="Q129" s="276">
        <v>17707829</v>
      </c>
      <c r="R129" s="276">
        <v>17656939</v>
      </c>
      <c r="S129" s="276">
        <v>18549328</v>
      </c>
      <c r="T129" s="276">
        <v>18289399</v>
      </c>
      <c r="U129" s="276">
        <v>19232775</v>
      </c>
      <c r="V129" s="276">
        <v>19948328</v>
      </c>
      <c r="W129" s="276">
        <v>21118600</v>
      </c>
      <c r="X129" s="276">
        <v>22210405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3.92</v>
      </c>
      <c r="C132" s="68">
        <v>4</v>
      </c>
      <c r="D132" s="68">
        <v>6.32</v>
      </c>
      <c r="E132" s="68">
        <v>11.31</v>
      </c>
      <c r="F132" s="68">
        <v>8.17</v>
      </c>
    </row>
    <row r="133" spans="1:24" ht="14.25" thickBot="1" x14ac:dyDescent="0.3">
      <c r="A133" s="225" t="s">
        <v>37</v>
      </c>
      <c r="B133" s="274">
        <v>-2.89</v>
      </c>
      <c r="C133" s="274">
        <v>-2.56</v>
      </c>
      <c r="D133" s="274">
        <v>-1.56</v>
      </c>
      <c r="E133" s="274">
        <v>-0.74</v>
      </c>
      <c r="F133" s="274">
        <v>-1.63</v>
      </c>
    </row>
    <row r="134" spans="1:24" ht="14.25" thickBot="1" x14ac:dyDescent="0.3">
      <c r="A134" s="224" t="s">
        <v>38</v>
      </c>
      <c r="B134" s="68">
        <v>-0.73</v>
      </c>
      <c r="C134" s="68">
        <v>-0.22</v>
      </c>
      <c r="D134" s="68">
        <v>-3.86</v>
      </c>
      <c r="E134" s="68">
        <v>-4.9400000000000004</v>
      </c>
      <c r="F134" s="68">
        <v>-4.82</v>
      </c>
    </row>
    <row r="135" spans="1:24" ht="14.25" thickBot="1" x14ac:dyDescent="0.3">
      <c r="A135" s="225" t="s">
        <v>270</v>
      </c>
      <c r="B135" s="274">
        <v>1.03</v>
      </c>
      <c r="C135" s="274">
        <v>1.44</v>
      </c>
      <c r="D135" s="274">
        <v>4.76</v>
      </c>
      <c r="E135" s="274">
        <v>10.57</v>
      </c>
      <c r="F135" s="274">
        <v>6.53</v>
      </c>
    </row>
    <row r="136" spans="1:24" ht="14.25" thickBot="1" x14ac:dyDescent="0.3">
      <c r="A136" s="229" t="s">
        <v>39</v>
      </c>
      <c r="B136" s="72">
        <v>0.3</v>
      </c>
      <c r="C136" s="72">
        <v>1.22</v>
      </c>
      <c r="D136" s="72">
        <v>0.9</v>
      </c>
      <c r="E136" s="72">
        <v>5.63</v>
      </c>
      <c r="F136" s="72">
        <v>1.71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1.79</v>
      </c>
      <c r="C140" s="68">
        <v>1.8</v>
      </c>
      <c r="D140" s="68">
        <v>2.5</v>
      </c>
      <c r="E140" s="68">
        <v>4.3</v>
      </c>
      <c r="F140" s="68">
        <v>4.7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0.47606382978723411</v>
      </c>
      <c r="C142" s="234">
        <f>IF(C140&lt;&gt;"無",IF(ISNA(HLOOKUP(C139,$B$64:$F$69,6,FALSE)),"",C140/HLOOKUP(C139,$B$64:$F$69,6,FALSE)),"")</f>
        <v>0.66914498141263945</v>
      </c>
      <c r="D142" s="234">
        <f>IF(D140&lt;&gt;"無",IF(ISNA(HLOOKUP(D139,$B$64:$F$69,6,FALSE)),"",D140/HLOOKUP(D139,$B$64:$F$69,6,FALSE)),"")</f>
        <v>0.50709939148073024</v>
      </c>
      <c r="E142" s="234">
        <f>IF(E140&lt;&gt;"無",IF(ISNA(HLOOKUP(E139,$B$64:$F$69,6,FALSE)),"",E140/HLOOKUP(E139,$B$64:$F$69,6,FALSE)),"")</f>
        <v>0.56953642384105962</v>
      </c>
      <c r="F142" s="234">
        <f>IF(F140&lt;&gt;"無",IF(ISNA(HLOOKUP(F139,$B$64:$F$69,6,FALSE)),"",F140/HLOOKUP(F139,$B$64:$F$69,6,FALSE)),"")</f>
        <v>0.54022988505747138</v>
      </c>
    </row>
    <row r="143" spans="1:24" x14ac:dyDescent="0.25">
      <c r="A143" s="233" t="s">
        <v>216</v>
      </c>
      <c r="B143" s="234">
        <f>IF(OR(B140=0,B140="無"),"",B135/B140)</f>
        <v>0.57541899441340782</v>
      </c>
      <c r="C143" s="234">
        <f>IF(OR(C140=0,C140="無"),"",C135/C140)</f>
        <v>0.79999999999999993</v>
      </c>
      <c r="D143" s="234">
        <f>IF(OR(D140=0,D140="無"),"",D135/D140)</f>
        <v>1.9039999999999999</v>
      </c>
      <c r="E143" s="234">
        <f>IF(OR(E140=0,E140="無"),"",E135/E140)</f>
        <v>2.4581395348837209</v>
      </c>
      <c r="F143" s="234">
        <f>IF(OR(F140=0,F140="無"),"",F135/F140)</f>
        <v>1.3893617021276596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16.41</v>
      </c>
      <c r="C146" s="68">
        <v>15.17</v>
      </c>
      <c r="D146" s="68">
        <v>18.38</v>
      </c>
      <c r="E146" s="68">
        <v>16.600000000000001</v>
      </c>
      <c r="F146" s="68">
        <v>15.15</v>
      </c>
      <c r="G146" s="68">
        <v>15.76</v>
      </c>
      <c r="H146" s="68">
        <v>16.14</v>
      </c>
      <c r="I146" s="68">
        <v>13.15</v>
      </c>
      <c r="J146" s="68">
        <v>15.8</v>
      </c>
      <c r="K146" s="68">
        <v>17.04</v>
      </c>
      <c r="L146" s="68">
        <v>19.05</v>
      </c>
      <c r="M146" s="68">
        <v>20.13</v>
      </c>
      <c r="N146" s="68">
        <v>22.81</v>
      </c>
      <c r="O146" s="68">
        <v>23.59</v>
      </c>
      <c r="P146" s="68">
        <v>25.77</v>
      </c>
      <c r="Q146" s="68">
        <v>24.56</v>
      </c>
      <c r="R146" s="68">
        <v>24.79</v>
      </c>
      <c r="S146" s="68">
        <v>26.05</v>
      </c>
      <c r="T146" s="68">
        <v>27.03</v>
      </c>
      <c r="U146" s="68">
        <v>26.35</v>
      </c>
      <c r="V146" s="68">
        <v>24.36</v>
      </c>
      <c r="W146" s="68">
        <v>26.39</v>
      </c>
      <c r="X146" s="68">
        <v>25.8</v>
      </c>
    </row>
    <row r="147" spans="1:24" s="93" customFormat="1" ht="14.25" thickBot="1" x14ac:dyDescent="0.3">
      <c r="A147" s="225" t="s">
        <v>19</v>
      </c>
      <c r="B147" s="274">
        <v>7.98</v>
      </c>
      <c r="C147" s="274">
        <v>6.98</v>
      </c>
      <c r="D147" s="274">
        <v>9.27</v>
      </c>
      <c r="E147" s="274">
        <v>6.8</v>
      </c>
      <c r="F147" s="274">
        <v>5.56</v>
      </c>
      <c r="G147" s="274">
        <v>7.07</v>
      </c>
      <c r="H147" s="274">
        <v>7.29</v>
      </c>
      <c r="I147" s="274">
        <v>4.0999999999999996</v>
      </c>
      <c r="J147" s="274">
        <v>7.18</v>
      </c>
      <c r="K147" s="274">
        <v>8.77</v>
      </c>
      <c r="L147" s="274">
        <v>10.72</v>
      </c>
      <c r="M147" s="274">
        <v>11.51</v>
      </c>
      <c r="N147" s="274">
        <v>14.86</v>
      </c>
      <c r="O147" s="274">
        <v>14.94</v>
      </c>
      <c r="P147" s="274">
        <v>17.12</v>
      </c>
      <c r="Q147" s="274">
        <v>15.04</v>
      </c>
      <c r="R147" s="274">
        <v>16.59</v>
      </c>
      <c r="S147" s="274">
        <v>17.82</v>
      </c>
      <c r="T147" s="274">
        <v>18.54</v>
      </c>
      <c r="U147" s="274">
        <v>18.190000000000001</v>
      </c>
      <c r="V147" s="274">
        <v>17.38</v>
      </c>
      <c r="W147" s="274">
        <v>18.75</v>
      </c>
      <c r="X147" s="274">
        <v>17.59</v>
      </c>
    </row>
    <row r="148" spans="1:24" s="93" customFormat="1" ht="14.25" thickBot="1" x14ac:dyDescent="0.3">
      <c r="A148" s="224" t="s">
        <v>41</v>
      </c>
      <c r="B148" s="68">
        <v>8.18</v>
      </c>
      <c r="C148" s="68">
        <v>6.59</v>
      </c>
      <c r="D148" s="68">
        <v>9.11</v>
      </c>
      <c r="E148" s="68">
        <v>6.79</v>
      </c>
      <c r="F148" s="68">
        <v>5.39</v>
      </c>
      <c r="G148" s="68">
        <v>6.85</v>
      </c>
      <c r="H148" s="68">
        <v>7.16</v>
      </c>
      <c r="I148" s="68">
        <v>4.9800000000000004</v>
      </c>
      <c r="J148" s="68">
        <v>7</v>
      </c>
      <c r="K148" s="68">
        <v>8.5299999999999994</v>
      </c>
      <c r="L148" s="68">
        <v>10.55</v>
      </c>
      <c r="M148" s="68">
        <v>12.13</v>
      </c>
      <c r="N148" s="68">
        <v>14.82</v>
      </c>
      <c r="O148" s="68">
        <v>14.98</v>
      </c>
      <c r="P148" s="68">
        <v>17.53</v>
      </c>
      <c r="Q148" s="68">
        <v>16.16</v>
      </c>
      <c r="R148" s="68">
        <v>15.68</v>
      </c>
      <c r="S148" s="68">
        <v>17.62</v>
      </c>
      <c r="T148" s="68">
        <v>18.649999999999999</v>
      </c>
      <c r="U148" s="68">
        <v>18.63</v>
      </c>
      <c r="V148" s="68">
        <v>17.29</v>
      </c>
      <c r="W148" s="68">
        <v>19</v>
      </c>
      <c r="X148" s="68">
        <v>17.739999999999998</v>
      </c>
    </row>
    <row r="149" spans="1:24" s="93" customFormat="1" ht="14.25" thickBot="1" x14ac:dyDescent="0.3">
      <c r="A149" s="225" t="s">
        <v>13</v>
      </c>
      <c r="B149" s="73">
        <v>8.26</v>
      </c>
      <c r="C149" s="73">
        <v>6.49</v>
      </c>
      <c r="D149" s="73">
        <v>7.89</v>
      </c>
      <c r="E149" s="73">
        <v>5.74</v>
      </c>
      <c r="F149" s="73">
        <v>4.5599999999999996</v>
      </c>
      <c r="G149" s="73">
        <v>4.71</v>
      </c>
      <c r="H149" s="73">
        <v>6.01</v>
      </c>
      <c r="I149" s="73">
        <v>4.49</v>
      </c>
      <c r="J149" s="73">
        <v>5.95</v>
      </c>
      <c r="K149" s="73">
        <v>6.83</v>
      </c>
      <c r="L149" s="73">
        <v>8.9600000000000009</v>
      </c>
      <c r="M149" s="73">
        <v>10.27</v>
      </c>
      <c r="N149" s="73">
        <v>10.96</v>
      </c>
      <c r="O149" s="73">
        <v>9.84</v>
      </c>
      <c r="P149" s="73">
        <v>12.83</v>
      </c>
      <c r="Q149" s="73">
        <v>11.9</v>
      </c>
      <c r="R149" s="73">
        <v>11.57</v>
      </c>
      <c r="S149" s="73">
        <v>11.32</v>
      </c>
      <c r="T149" s="73">
        <v>13.52</v>
      </c>
      <c r="U149" s="73">
        <v>13.52</v>
      </c>
      <c r="V149" s="73">
        <v>12.52</v>
      </c>
      <c r="W149" s="73">
        <v>12.26</v>
      </c>
      <c r="X149" s="73">
        <v>12.57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16.690000000000001</v>
      </c>
      <c r="C152" s="68">
        <v>15.08</v>
      </c>
      <c r="D152" s="68">
        <v>18.170000000000002</v>
      </c>
      <c r="E152" s="68">
        <v>24.27</v>
      </c>
      <c r="F152" s="68">
        <v>26.12</v>
      </c>
    </row>
    <row r="153" spans="1:24" s="93" customFormat="1" ht="14.25" thickBot="1" x14ac:dyDescent="0.3">
      <c r="A153" s="225" t="s">
        <v>19</v>
      </c>
      <c r="B153" s="274">
        <v>7.78</v>
      </c>
      <c r="C153" s="274">
        <v>6.04</v>
      </c>
      <c r="D153" s="274">
        <v>9.6999999999999993</v>
      </c>
      <c r="E153" s="274">
        <v>15.57</v>
      </c>
      <c r="F153" s="274">
        <v>17.850000000000001</v>
      </c>
    </row>
    <row r="154" spans="1:24" s="93" customFormat="1" ht="14.25" thickBot="1" x14ac:dyDescent="0.3">
      <c r="A154" s="224" t="s">
        <v>41</v>
      </c>
      <c r="B154" s="68">
        <v>7.68</v>
      </c>
      <c r="C154" s="68">
        <v>6.12</v>
      </c>
      <c r="D154" s="68">
        <v>9.73</v>
      </c>
      <c r="E154" s="68">
        <v>15.96</v>
      </c>
      <c r="F154" s="68">
        <v>17.75</v>
      </c>
    </row>
    <row r="155" spans="1:24" s="93" customFormat="1" ht="14.25" thickBot="1" x14ac:dyDescent="0.3">
      <c r="A155" s="225" t="s">
        <v>13</v>
      </c>
      <c r="B155" s="73">
        <v>7.07</v>
      </c>
      <c r="C155" s="73">
        <v>4.97</v>
      </c>
      <c r="D155" s="73">
        <v>8.16</v>
      </c>
      <c r="E155" s="73">
        <v>11.46</v>
      </c>
      <c r="F155" s="73">
        <v>12.57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2.56</v>
      </c>
      <c r="C158" s="68">
        <v>2.13</v>
      </c>
      <c r="D158" s="68">
        <v>2.73</v>
      </c>
      <c r="E158" s="68">
        <v>1.84</v>
      </c>
      <c r="F158" s="68">
        <v>1.44</v>
      </c>
      <c r="G158" s="68">
        <v>1.43</v>
      </c>
      <c r="H158" s="68">
        <v>1.94</v>
      </c>
      <c r="I158" s="68">
        <v>1.36</v>
      </c>
      <c r="J158" s="68">
        <v>1.79</v>
      </c>
      <c r="K158" s="68">
        <v>2.09</v>
      </c>
      <c r="L158" s="68">
        <v>2.99</v>
      </c>
      <c r="M158" s="68">
        <v>3.31</v>
      </c>
      <c r="N158" s="68">
        <v>3.33</v>
      </c>
      <c r="O158" s="68">
        <v>2.99</v>
      </c>
      <c r="P158" s="68">
        <v>4.4800000000000004</v>
      </c>
      <c r="Q158" s="68">
        <v>3.34</v>
      </c>
      <c r="R158" s="68">
        <v>3.19</v>
      </c>
      <c r="S158" s="68">
        <v>3.32</v>
      </c>
      <c r="T158" s="68">
        <v>4.51</v>
      </c>
      <c r="U158" s="68">
        <v>4.26</v>
      </c>
      <c r="V158" s="68">
        <v>3.71</v>
      </c>
      <c r="W158" s="68">
        <v>3.6</v>
      </c>
      <c r="X158" s="68">
        <v>3.57</v>
      </c>
    </row>
    <row r="159" spans="1:24" s="93" customFormat="1" ht="14.25" thickBot="1" x14ac:dyDescent="0.3">
      <c r="A159" s="225" t="s">
        <v>45</v>
      </c>
      <c r="B159" s="73">
        <v>5.08</v>
      </c>
      <c r="C159" s="73">
        <v>4.47</v>
      </c>
      <c r="D159" s="73">
        <v>5.92</v>
      </c>
      <c r="E159" s="73">
        <v>3.8</v>
      </c>
      <c r="F159" s="73">
        <v>2.91</v>
      </c>
      <c r="G159" s="73">
        <v>2.97</v>
      </c>
      <c r="H159" s="73">
        <v>4.17</v>
      </c>
      <c r="I159" s="73">
        <v>2.73</v>
      </c>
      <c r="J159" s="73">
        <v>3.55</v>
      </c>
      <c r="K159" s="73">
        <v>4.2699999999999996</v>
      </c>
      <c r="L159" s="73">
        <v>6.43</v>
      </c>
      <c r="M159" s="73">
        <v>6.91</v>
      </c>
      <c r="N159" s="73">
        <v>6.46</v>
      </c>
      <c r="O159" s="73">
        <v>5.66</v>
      </c>
      <c r="P159" s="73">
        <v>8.76</v>
      </c>
      <c r="Q159" s="73">
        <v>6.29</v>
      </c>
      <c r="R159" s="73">
        <v>5.6</v>
      </c>
      <c r="S159" s="73">
        <v>6.12</v>
      </c>
      <c r="T159" s="73">
        <v>8.6199999999999992</v>
      </c>
      <c r="U159" s="73">
        <v>7.8</v>
      </c>
      <c r="V159" s="73">
        <v>6.76</v>
      </c>
      <c r="W159" s="73">
        <v>6.91</v>
      </c>
      <c r="X159" s="73">
        <v>7.13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7.07</v>
      </c>
      <c r="C162" s="68">
        <v>4.97</v>
      </c>
      <c r="D162" s="68">
        <v>8.16</v>
      </c>
      <c r="E162" s="68">
        <v>11.46</v>
      </c>
      <c r="F162" s="68">
        <v>12.57</v>
      </c>
    </row>
    <row r="163" spans="1:72" s="93" customFormat="1" ht="14.25" thickBot="1" x14ac:dyDescent="0.3">
      <c r="A163" s="225" t="s">
        <v>18</v>
      </c>
      <c r="B163" s="274">
        <v>1.17</v>
      </c>
      <c r="C163" s="274">
        <v>1.1599999999999999</v>
      </c>
      <c r="D163" s="274">
        <v>1.1299999999999999</v>
      </c>
      <c r="E163" s="274">
        <v>1.18</v>
      </c>
      <c r="F163" s="274">
        <v>1.1499999999999999</v>
      </c>
    </row>
    <row r="164" spans="1:72" s="93" customFormat="1" ht="14.25" thickBot="1" x14ac:dyDescent="0.3">
      <c r="A164" s="224" t="s">
        <v>15</v>
      </c>
      <c r="B164" s="68">
        <v>2.15</v>
      </c>
      <c r="C164" s="68">
        <v>2.11</v>
      </c>
      <c r="D164" s="68">
        <v>2.04</v>
      </c>
      <c r="E164" s="68">
        <v>1.83</v>
      </c>
      <c r="F164" s="68">
        <v>1.83</v>
      </c>
    </row>
    <row r="165" spans="1:72" s="93" customFormat="1" ht="14.25" thickBot="1" x14ac:dyDescent="0.3">
      <c r="A165" s="225" t="s">
        <v>45</v>
      </c>
      <c r="B165" s="73">
        <v>18.87</v>
      </c>
      <c r="C165" s="73">
        <v>12.68</v>
      </c>
      <c r="D165" s="73">
        <v>20.440000000000001</v>
      </c>
      <c r="E165" s="73">
        <v>26.78</v>
      </c>
      <c r="F165" s="73">
        <v>27.46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111.11</v>
      </c>
      <c r="C168" s="68">
        <v>109.76</v>
      </c>
      <c r="D168" s="68">
        <v>111.11</v>
      </c>
      <c r="E168" s="68">
        <v>121.62</v>
      </c>
      <c r="F168" s="68">
        <v>120</v>
      </c>
      <c r="G168" s="68">
        <v>121.62</v>
      </c>
      <c r="H168" s="68">
        <v>115.38</v>
      </c>
      <c r="I168" s="68">
        <v>126.76</v>
      </c>
      <c r="J168" s="68">
        <v>120</v>
      </c>
      <c r="K168" s="68">
        <v>118.42</v>
      </c>
      <c r="L168" s="68">
        <v>111.11</v>
      </c>
      <c r="M168" s="68">
        <v>116.88</v>
      </c>
      <c r="N168" s="68">
        <v>123.29</v>
      </c>
      <c r="O168" s="68">
        <v>120</v>
      </c>
      <c r="P168" s="68">
        <v>104.65</v>
      </c>
      <c r="Q168" s="68">
        <v>128.57</v>
      </c>
      <c r="R168" s="68">
        <v>121.62</v>
      </c>
      <c r="S168" s="68">
        <v>112.5</v>
      </c>
      <c r="T168" s="68">
        <v>105.88</v>
      </c>
      <c r="U168" s="68">
        <v>116.88</v>
      </c>
      <c r="V168" s="68">
        <v>118.42</v>
      </c>
      <c r="W168" s="68">
        <v>113.92</v>
      </c>
      <c r="X168" s="68">
        <v>113.92</v>
      </c>
    </row>
    <row r="169" spans="1:72" s="93" customFormat="1" ht="14.25" thickBot="1" x14ac:dyDescent="0.3">
      <c r="A169" s="225" t="s">
        <v>17</v>
      </c>
      <c r="B169" s="274">
        <v>42.25</v>
      </c>
      <c r="C169" s="274">
        <v>42.65</v>
      </c>
      <c r="D169" s="274">
        <v>40.36</v>
      </c>
      <c r="E169" s="274">
        <v>44.12</v>
      </c>
      <c r="F169" s="274">
        <v>45.23</v>
      </c>
      <c r="G169" s="274">
        <v>48.91</v>
      </c>
      <c r="H169" s="274">
        <v>47.87</v>
      </c>
      <c r="I169" s="274">
        <v>46.39</v>
      </c>
      <c r="J169" s="274">
        <v>41.67</v>
      </c>
      <c r="K169" s="274">
        <v>42.45</v>
      </c>
      <c r="L169" s="274">
        <v>40.909999999999997</v>
      </c>
      <c r="M169" s="274">
        <v>41.28</v>
      </c>
      <c r="N169" s="274">
        <v>43.9</v>
      </c>
      <c r="O169" s="274">
        <v>45</v>
      </c>
      <c r="P169" s="274">
        <v>39.65</v>
      </c>
      <c r="Q169" s="274">
        <v>46.15</v>
      </c>
      <c r="R169" s="274">
        <v>45</v>
      </c>
      <c r="S169" s="274">
        <v>47.37</v>
      </c>
      <c r="T169" s="274">
        <v>45.69</v>
      </c>
      <c r="U169" s="274">
        <v>44.78</v>
      </c>
      <c r="V169" s="274">
        <v>45</v>
      </c>
      <c r="W169" s="274">
        <v>49.18</v>
      </c>
      <c r="X169" s="274">
        <v>51.43</v>
      </c>
    </row>
    <row r="170" spans="1:72" s="93" customFormat="1" ht="14.25" thickBot="1" x14ac:dyDescent="0.3">
      <c r="A170" s="224" t="s">
        <v>42</v>
      </c>
      <c r="B170" s="72">
        <v>153.36000000000001</v>
      </c>
      <c r="C170" s="72">
        <v>152.41</v>
      </c>
      <c r="D170" s="72">
        <v>151.47</v>
      </c>
      <c r="E170" s="72">
        <v>165.74</v>
      </c>
      <c r="F170" s="72">
        <v>165.23</v>
      </c>
      <c r="G170" s="72">
        <v>170.53</v>
      </c>
      <c r="H170" s="72">
        <v>163.26</v>
      </c>
      <c r="I170" s="72">
        <v>173.15</v>
      </c>
      <c r="J170" s="72">
        <v>161.66999999999999</v>
      </c>
      <c r="K170" s="72">
        <v>160.87</v>
      </c>
      <c r="L170" s="72">
        <v>152.02000000000001</v>
      </c>
      <c r="M170" s="72">
        <v>158.16999999999999</v>
      </c>
      <c r="N170" s="72">
        <v>167.19</v>
      </c>
      <c r="O170" s="72">
        <v>165</v>
      </c>
      <c r="P170" s="72">
        <v>144.30000000000001</v>
      </c>
      <c r="Q170" s="72">
        <v>174.73</v>
      </c>
      <c r="R170" s="72">
        <v>166.62</v>
      </c>
      <c r="S170" s="72">
        <v>159.87</v>
      </c>
      <c r="T170" s="72">
        <v>151.57</v>
      </c>
      <c r="U170" s="72">
        <v>161.66</v>
      </c>
      <c r="V170" s="72">
        <v>163.41999999999999</v>
      </c>
      <c r="W170" s="72">
        <v>163.1</v>
      </c>
      <c r="X170" s="72">
        <v>165.35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104.44</v>
      </c>
      <c r="C173" s="72">
        <v>148.77000000000001</v>
      </c>
      <c r="D173" s="72">
        <v>128.16</v>
      </c>
      <c r="E173" s="72">
        <v>149.43</v>
      </c>
      <c r="F173" s="72">
        <v>93.75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6.44</v>
      </c>
      <c r="C176" s="72">
        <v>8.11</v>
      </c>
      <c r="D176" s="72">
        <v>8.3800000000000008</v>
      </c>
      <c r="E176" s="72">
        <v>8.9499999999999993</v>
      </c>
      <c r="F176" s="72">
        <v>9.17</v>
      </c>
      <c r="G176" s="72">
        <v>9.2100000000000009</v>
      </c>
      <c r="H176" s="72">
        <v>9.25</v>
      </c>
      <c r="I176" s="72">
        <v>7.99</v>
      </c>
      <c r="J176" s="72">
        <v>8.93</v>
      </c>
      <c r="K176" s="72">
        <v>8.69</v>
      </c>
      <c r="L176" s="72">
        <v>8.19</v>
      </c>
      <c r="M176" s="72">
        <v>8.24</v>
      </c>
      <c r="N176" s="72">
        <v>8.35</v>
      </c>
      <c r="O176" s="72">
        <v>8.59</v>
      </c>
      <c r="P176" s="72">
        <v>8.5500000000000007</v>
      </c>
      <c r="Q176" s="72">
        <v>7.98</v>
      </c>
      <c r="R176" s="72">
        <v>8.6199999999999992</v>
      </c>
      <c r="S176" s="72">
        <v>8.24</v>
      </c>
      <c r="T176" s="72">
        <v>8.1300000000000008</v>
      </c>
      <c r="U176" s="72">
        <v>8.69</v>
      </c>
      <c r="V176" s="72">
        <v>8.16</v>
      </c>
      <c r="W176" s="72">
        <v>7.93</v>
      </c>
      <c r="X176" s="72">
        <v>8.59</v>
      </c>
      <c r="Y176" s="72">
        <v>8.7200000000000006</v>
      </c>
      <c r="Z176" s="72">
        <v>9.17</v>
      </c>
      <c r="AA176" s="72">
        <v>9.5</v>
      </c>
      <c r="AB176" s="72">
        <v>10.09</v>
      </c>
      <c r="AC176" s="72">
        <v>10.38</v>
      </c>
      <c r="AD176" s="72">
        <v>9.7100000000000009</v>
      </c>
      <c r="AE176" s="72">
        <v>10.28</v>
      </c>
      <c r="AF176" s="72">
        <v>11.54</v>
      </c>
      <c r="AG176" s="72">
        <v>10.96</v>
      </c>
      <c r="AH176" s="72">
        <v>10.48</v>
      </c>
      <c r="AI176" s="72">
        <v>10.75</v>
      </c>
      <c r="AJ176" s="72">
        <v>9.7899999999999991</v>
      </c>
      <c r="AK176" s="72">
        <v>10.53</v>
      </c>
      <c r="AL176" s="72">
        <v>10.85</v>
      </c>
      <c r="AM176" s="72">
        <v>11.45</v>
      </c>
      <c r="AN176" s="72">
        <v>10.38</v>
      </c>
      <c r="AO176" s="72">
        <v>10.57</v>
      </c>
      <c r="AP176" s="72">
        <v>9.33</v>
      </c>
      <c r="AQ176" s="72">
        <v>8.98</v>
      </c>
      <c r="AR176" s="72">
        <v>10.92</v>
      </c>
      <c r="AS176" s="72">
        <v>11.05</v>
      </c>
      <c r="AT176" s="72">
        <v>11.33</v>
      </c>
      <c r="AU176" s="72">
        <v>10.95</v>
      </c>
      <c r="AV176" s="72">
        <v>8.94</v>
      </c>
      <c r="AW176" s="72">
        <v>7.91</v>
      </c>
      <c r="AX176" s="72">
        <v>7.31</v>
      </c>
      <c r="AY176" s="72">
        <v>7.89</v>
      </c>
      <c r="AZ176" s="72">
        <v>7.68</v>
      </c>
      <c r="BA176" s="72">
        <v>7.77</v>
      </c>
      <c r="BB176" s="72">
        <v>8.26</v>
      </c>
      <c r="BC176" s="72">
        <v>9.15</v>
      </c>
      <c r="BD176" s="72">
        <v>9.69</v>
      </c>
      <c r="BE176" s="72">
        <v>10.3</v>
      </c>
      <c r="BF176" s="72">
        <v>10.96</v>
      </c>
      <c r="BG176" s="72">
        <v>10.65</v>
      </c>
      <c r="BH176" s="72">
        <v>10.35</v>
      </c>
      <c r="BI176" s="72">
        <v>10.56</v>
      </c>
      <c r="BJ176" s="72">
        <v>12.27</v>
      </c>
      <c r="BK176" s="72">
        <v>14.12</v>
      </c>
      <c r="BL176" s="72">
        <v>13.62</v>
      </c>
      <c r="BM176" s="72">
        <v>13.54</v>
      </c>
      <c r="BN176" s="72">
        <v>13.47</v>
      </c>
      <c r="BO176" s="72">
        <v>14.32</v>
      </c>
      <c r="BP176" s="72">
        <v>15.19</v>
      </c>
      <c r="BQ176" s="72">
        <v>15.68</v>
      </c>
      <c r="BR176" s="72">
        <v>14.6</v>
      </c>
      <c r="BS176" s="72">
        <v>13.97</v>
      </c>
      <c r="BT176" s="72">
        <v>12.03</v>
      </c>
    </row>
  </sheetData>
  <phoneticPr fontId="3" type="noConversion"/>
  <conditionalFormatting sqref="E4">
    <cfRule type="cellIs" dxfId="5921" priority="101" operator="greaterThan">
      <formula>0.2</formula>
    </cfRule>
    <cfRule type="cellIs" dxfId="5920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5919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918" priority="95" operator="greaterThan">
      <formula>$B$19</formula>
    </cfRule>
  </conditionalFormatting>
  <conditionalFormatting sqref="D33:D34">
    <cfRule type="cellIs" dxfId="5917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5916" priority="89" operator="lessThan">
      <formula>$H$62</formula>
    </cfRule>
    <cfRule type="cellIs" dxfId="5915" priority="90" operator="greaterThan">
      <formula>$H$62</formula>
    </cfRule>
  </conditionalFormatting>
  <conditionalFormatting sqref="J62">
    <cfRule type="cellIs" dxfId="5914" priority="87" operator="lessThan">
      <formula>$K$62</formula>
    </cfRule>
    <cfRule type="cellIs" dxfId="5913" priority="88" operator="greaterThan">
      <formula>$K$62</formula>
    </cfRule>
  </conditionalFormatting>
  <conditionalFormatting sqref="M62">
    <cfRule type="cellIs" dxfId="5912" priority="85" operator="lessThan">
      <formula>$N$62</formula>
    </cfRule>
    <cfRule type="cellIs" dxfId="5911" priority="86" operator="greaterThan">
      <formula>$N$62</formula>
    </cfRule>
  </conditionalFormatting>
  <conditionalFormatting sqref="B44:E44">
    <cfRule type="cellIs" dxfId="5910" priority="83" operator="greaterThan">
      <formula>0</formula>
    </cfRule>
    <cfRule type="cellIs" dxfId="5909" priority="84" operator="lessThan">
      <formula>0</formula>
    </cfRule>
  </conditionalFormatting>
  <conditionalFormatting sqref="F72">
    <cfRule type="cellIs" dxfId="5908" priority="82" operator="lessThan">
      <formula>$E$72*90%</formula>
    </cfRule>
  </conditionalFormatting>
  <conditionalFormatting sqref="F73">
    <cfRule type="cellIs" dxfId="5907" priority="81" operator="lessThan">
      <formula>$E$73*90%</formula>
    </cfRule>
  </conditionalFormatting>
  <conditionalFormatting sqref="F74">
    <cfRule type="cellIs" dxfId="5906" priority="80" operator="lessThan">
      <formula>$E$74*90%</formula>
    </cfRule>
  </conditionalFormatting>
  <conditionalFormatting sqref="F75">
    <cfRule type="cellIs" dxfId="5905" priority="79" operator="lessThan">
      <formula>$E$75*90%</formula>
    </cfRule>
  </conditionalFormatting>
  <conditionalFormatting sqref="H44:K44">
    <cfRule type="cellIs" dxfId="5904" priority="77" operator="greaterThan">
      <formula>0</formula>
    </cfRule>
    <cfRule type="cellIs" dxfId="5903" priority="78" operator="lessThan">
      <formula>0</formula>
    </cfRule>
  </conditionalFormatting>
  <conditionalFormatting sqref="H51:K51">
    <cfRule type="cellIs" dxfId="5902" priority="75" operator="greaterThan">
      <formula>0</formula>
    </cfRule>
    <cfRule type="cellIs" dxfId="5901" priority="76" operator="lessThan">
      <formula>0</formula>
    </cfRule>
  </conditionalFormatting>
  <conditionalFormatting sqref="B51:E51">
    <cfRule type="cellIs" dxfId="5900" priority="73" operator="greaterThan">
      <formula>0</formula>
    </cfRule>
    <cfRule type="cellIs" dxfId="5899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898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897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5896" priority="56" operator="lessThan">
      <formula>0</formula>
    </cfRule>
  </conditionalFormatting>
  <conditionalFormatting sqref="A25 E25 C25">
    <cfRule type="cellIs" dxfId="5895" priority="57" operator="lessThan">
      <formula>0</formula>
    </cfRule>
  </conditionalFormatting>
  <conditionalFormatting sqref="F25">
    <cfRule type="cellIs" dxfId="5894" priority="55" operator="lessThan">
      <formula>0</formula>
    </cfRule>
  </conditionalFormatting>
  <conditionalFormatting sqref="E1">
    <cfRule type="containsText" dxfId="5893" priority="54" operator="containsText" text="本季業外損益/平均=-">
      <formula>NOT(ISERROR(SEARCH("本季業外損益/平均=-",E1)))</formula>
    </cfRule>
  </conditionalFormatting>
  <conditionalFormatting sqref="M65">
    <cfRule type="cellIs" dxfId="5892" priority="53" operator="lessThan">
      <formula>$L$65*90%</formula>
    </cfRule>
  </conditionalFormatting>
  <conditionalFormatting sqref="M66">
    <cfRule type="cellIs" dxfId="5891" priority="52" operator="lessThan">
      <formula>$L$66*90%</formula>
    </cfRule>
  </conditionalFormatting>
  <conditionalFormatting sqref="M67">
    <cfRule type="cellIs" dxfId="5890" priority="51" operator="lessThan">
      <formula>$L$67*90%</formula>
    </cfRule>
  </conditionalFormatting>
  <conditionalFormatting sqref="M68">
    <cfRule type="cellIs" dxfId="5889" priority="50" operator="lessThan">
      <formula>$L$68*90%</formula>
    </cfRule>
  </conditionalFormatting>
  <conditionalFormatting sqref="B60">
    <cfRule type="cellIs" dxfId="5888" priority="49" operator="lessThan">
      <formula>0</formula>
    </cfRule>
  </conditionalFormatting>
  <conditionalFormatting sqref="B59:F59">
    <cfRule type="cellIs" dxfId="5887" priority="48" operator="lessThanOrEqual">
      <formula>0</formula>
    </cfRule>
  </conditionalFormatting>
  <conditionalFormatting sqref="D62">
    <cfRule type="cellIs" dxfId="5886" priority="46" operator="lessThan">
      <formula>$E$62</formula>
    </cfRule>
    <cfRule type="cellIs" dxfId="5885" priority="47" operator="greaterThan">
      <formula>$E$62</formula>
    </cfRule>
  </conditionalFormatting>
  <conditionalFormatting sqref="F69">
    <cfRule type="cellIs" dxfId="5884" priority="44" operator="lessThan">
      <formula>0</formula>
    </cfRule>
  </conditionalFormatting>
  <conditionalFormatting sqref="B65:E67 B69:E69 B68:D68">
    <cfRule type="cellIs" dxfId="5883" priority="45" operator="lessThan">
      <formula>0</formula>
    </cfRule>
  </conditionalFormatting>
  <conditionalFormatting sqref="E68">
    <cfRule type="cellIs" dxfId="5882" priority="43" operator="lessThan">
      <formula>0</formula>
    </cfRule>
  </conditionalFormatting>
  <conditionalFormatting sqref="F65:F68">
    <cfRule type="cellIs" dxfId="5881" priority="42" operator="lessThan">
      <formula>0</formula>
    </cfRule>
  </conditionalFormatting>
  <conditionalFormatting sqref="F65:F68">
    <cfRule type="cellIs" dxfId="5880" priority="41" operator="lessThan">
      <formula>$E$65*0.9</formula>
    </cfRule>
  </conditionalFormatting>
  <conditionalFormatting sqref="F66">
    <cfRule type="cellIs" dxfId="5879" priority="40" operator="lessThan">
      <formula>$E$66*0.9</formula>
    </cfRule>
  </conditionalFormatting>
  <conditionalFormatting sqref="F67:F68">
    <cfRule type="cellIs" dxfId="5878" priority="39" operator="lessThan">
      <formula>$E$67*0.9</formula>
    </cfRule>
  </conditionalFormatting>
  <conditionalFormatting sqref="F68">
    <cfRule type="cellIs" dxfId="5877" priority="38" operator="lessThan">
      <formula>$E$68*0.9</formula>
    </cfRule>
  </conditionalFormatting>
  <conditionalFormatting sqref="B13:F13">
    <cfRule type="cellIs" dxfId="5876" priority="27" operator="greaterThan">
      <formula>$I$16</formula>
    </cfRule>
    <cfRule type="cellIs" dxfId="5875" priority="28" operator="lessThanOrEqual">
      <formula>$I$16</formula>
    </cfRule>
  </conditionalFormatting>
  <conditionalFormatting sqref="B10:F10">
    <cfRule type="cellIs" dxfId="5874" priority="29" operator="greaterThan">
      <formula>15</formula>
    </cfRule>
    <cfRule type="cellIs" dxfId="5873" priority="36" operator="lessThan">
      <formula>$I$9</formula>
    </cfRule>
    <cfRule type="cellIs" dxfId="5872" priority="37" operator="greaterThan">
      <formula>$I$9</formula>
    </cfRule>
  </conditionalFormatting>
  <conditionalFormatting sqref="B16:F16">
    <cfRule type="cellIs" dxfId="5871" priority="34" operator="greaterThan">
      <formula>$I$16</formula>
    </cfRule>
    <cfRule type="cellIs" dxfId="5870" priority="35" operator="lessThanOrEqual">
      <formula>$I$16</formula>
    </cfRule>
  </conditionalFormatting>
  <conditionalFormatting sqref="B15:F15">
    <cfRule type="cellIs" dxfId="5869" priority="32" operator="lessThanOrEqual">
      <formula>$I$16</formula>
    </cfRule>
    <cfRule type="cellIs" dxfId="5868" priority="33" operator="greaterThan">
      <formula>$I$16</formula>
    </cfRule>
  </conditionalFormatting>
  <conditionalFormatting sqref="B14:F14">
    <cfRule type="cellIs" dxfId="5867" priority="30" operator="greaterThan">
      <formula>$I$16</formula>
    </cfRule>
    <cfRule type="cellIs" dxfId="5866" priority="31" operator="lessThanOrEqual">
      <formula>$I$16</formula>
    </cfRule>
  </conditionalFormatting>
  <conditionalFormatting sqref="K6">
    <cfRule type="containsText" dxfId="5865" priority="25" operator="containsText" text="衰退">
      <formula>NOT(ISERROR(SEARCH("衰退",K6)))</formula>
    </cfRule>
    <cfRule type="containsText" dxfId="5864" priority="26" operator="containsText" text="成長">
      <formula>NOT(ISERROR(SEARCH("成長",K6)))</formula>
    </cfRule>
  </conditionalFormatting>
  <conditionalFormatting sqref="I4:K4">
    <cfRule type="cellIs" dxfId="5863" priority="23" operator="lessThan">
      <formula>0</formula>
    </cfRule>
    <cfRule type="cellIs" dxfId="5862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861" priority="20" operator="lessThanOrEqual">
      <formula>$I$16</formula>
    </cfRule>
    <cfRule type="cellIs" dxfId="5860" priority="21" operator="greaterThan">
      <formula>$I$16</formula>
    </cfRule>
  </conditionalFormatting>
  <conditionalFormatting sqref="I6">
    <cfRule type="containsText" dxfId="5859" priority="18" operator="containsText" text="衰退">
      <formula>NOT(ISERROR(SEARCH("衰退",I6)))</formula>
    </cfRule>
    <cfRule type="containsText" dxfId="5858" priority="19" operator="containsText" text="成長">
      <formula>NOT(ISERROR(SEARCH("成長",I6)))</formula>
    </cfRule>
  </conditionalFormatting>
  <conditionalFormatting sqref="M9">
    <cfRule type="cellIs" dxfId="5857" priority="17" operator="lessThan">
      <formula>$I$9</formula>
    </cfRule>
  </conditionalFormatting>
  <conditionalFormatting sqref="M10">
    <cfRule type="cellIs" dxfId="5856" priority="16" operator="greaterThan">
      <formula>$I$9</formula>
    </cfRule>
  </conditionalFormatting>
  <conditionalFormatting sqref="M11">
    <cfRule type="cellIs" dxfId="5855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854" priority="12" operator="lessThan">
      <formula>0</formula>
    </cfRule>
    <cfRule type="cellIs" dxfId="5853" priority="13" operator="greaterThan">
      <formula>0.5</formula>
    </cfRule>
  </conditionalFormatting>
  <conditionalFormatting sqref="N14">
    <cfRule type="cellIs" dxfId="5852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851" priority="8" operator="lessThan">
      <formula>0.1</formula>
    </cfRule>
  </conditionalFormatting>
  <conditionalFormatting sqref="I14">
    <cfRule type="cellIs" dxfId="5850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849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848" priority="1" operator="lessThan">
      <formula>$N$5*0.9</formula>
    </cfRule>
    <cfRule type="cellIs" dxfId="5847" priority="2" operator="greaterThan">
      <formula>$N$5*1.1</formula>
    </cfRule>
  </conditionalFormatting>
  <hyperlinks>
    <hyperlink ref="L1" location="儀表板!A1" display="(回首頁)" xr:uid="{00000000-0004-0000-1900-000000000000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3.78 ~ 8.75</v>
      </c>
      <c r="L1" s="83" t="s">
        <v>176</v>
      </c>
      <c r="M1" s="84" t="str">
        <f ca="1">VLOOKUP(_xlfn.NUMBERVALUE(N1),儀表板!A:B,2,FALSE)</f>
        <v>群光</v>
      </c>
      <c r="N1" s="85" t="str">
        <f ca="1">MID(CELL("filename",L1),FIND("]",CELL("filename",L1))+1,255)</f>
        <v>2385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0.19597299006355423</v>
      </c>
    </row>
    <row r="3" spans="1:15" s="93" customFormat="1" x14ac:dyDescent="0.25">
      <c r="A3" s="81" t="s">
        <v>179</v>
      </c>
      <c r="B3" s="94">
        <f>SUM(F19:F22,F24:F27,J19)</f>
        <v>75.480135437728066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72.109005650503718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75.316949809036757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78.831740800125132</v>
      </c>
      <c r="L3" s="100"/>
      <c r="M3" s="79" t="s">
        <v>385</v>
      </c>
      <c r="N3" s="92">
        <f>(F69-E69)/E69</f>
        <v>-2.2116447022514627E-3</v>
      </c>
    </row>
    <row r="4" spans="1:15" s="93" customFormat="1" x14ac:dyDescent="0.25">
      <c r="A4" s="81" t="s">
        <v>182</v>
      </c>
      <c r="B4" s="96">
        <f>SUM(G36:G40)*2</f>
        <v>84</v>
      </c>
      <c r="C4" s="101"/>
      <c r="D4" s="102">
        <f>F4*(1+F141/10)</f>
        <v>71.555999999999997</v>
      </c>
      <c r="E4" s="82">
        <f>(D4-F4)/F4</f>
        <v>4.9999999999999229E-3</v>
      </c>
      <c r="F4" s="103">
        <v>71.2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5.2383888653131798</v>
      </c>
    </row>
    <row r="5" spans="1:15" s="93" customFormat="1" x14ac:dyDescent="0.25">
      <c r="A5" s="81" t="s">
        <v>184</v>
      </c>
      <c r="B5" s="107">
        <f>SUM(F30:F34)*2</f>
        <v>82.614377162629751</v>
      </c>
      <c r="C5" s="87"/>
      <c r="D5" s="87"/>
      <c r="E5" s="87"/>
      <c r="F5" s="86"/>
      <c r="G5" s="88"/>
      <c r="M5" s="79" t="s">
        <v>386</v>
      </c>
      <c r="N5" s="152">
        <f>D62</f>
        <v>6.09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5.385623363502468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16.95</v>
      </c>
      <c r="N9" s="129"/>
    </row>
    <row r="10" spans="1:15" s="93" customFormat="1" x14ac:dyDescent="0.25">
      <c r="A10" s="123" t="s">
        <v>194</v>
      </c>
      <c r="B10" s="126">
        <f>PERCENTILE(176:176,B9)</f>
        <v>11.97</v>
      </c>
      <c r="C10" s="126">
        <f>PERCENTILE(176:176,C9)</f>
        <v>12.925000000000001</v>
      </c>
      <c r="D10" s="126">
        <f>PERCENTILE(176:176,D9)</f>
        <v>13.5</v>
      </c>
      <c r="E10" s="126">
        <f>PERCENTILE(176:176,E9)</f>
        <v>14.129999999999999</v>
      </c>
      <c r="F10" s="126">
        <f>PERCENTILE(176:176,F9)</f>
        <v>14.91</v>
      </c>
      <c r="G10" s="95"/>
      <c r="H10" s="135"/>
      <c r="I10" s="135"/>
      <c r="J10" s="135"/>
      <c r="K10" s="135"/>
      <c r="L10" s="136" t="s">
        <v>374</v>
      </c>
      <c r="M10" s="130">
        <f>MIN(176:176)</f>
        <v>6.78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34.19</v>
      </c>
      <c r="L11" s="272" t="s">
        <v>193</v>
      </c>
      <c r="M11" s="128">
        <f>STDEV(176:176)</f>
        <v>2.1150098248840594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62.324929971988809</v>
      </c>
      <c r="C13" s="141">
        <f>$B$34/5.88%</f>
        <v>75.680272108843539</v>
      </c>
      <c r="D13" s="141">
        <f>$B$34/5%</f>
        <v>89</v>
      </c>
      <c r="E13" s="141">
        <f>$B$34/4.35%</f>
        <v>102.29885057471266</v>
      </c>
      <c r="F13" s="141">
        <f>$B$34/3.85%</f>
        <v>115.58441558441559</v>
      </c>
      <c r="G13" s="138" t="str">
        <f>"$"&amp;ROUND(B34,2)&amp;"/"&amp;IF(STDEV(C140:F140)/AVERAGE(C140:F140)&lt;15%,"高",IF(STDEV(C140:F140)/AVERAGE(C140:F140)&lt;30%,"中","低"))</f>
        <v>$4.45/高</v>
      </c>
      <c r="H13" s="142" t="s">
        <v>199</v>
      </c>
      <c r="I13" s="143">
        <f>MAX(0,1-J15)</f>
        <v>0.19047619047619047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69.186600000000013</v>
      </c>
      <c r="C14" s="141">
        <f>$B$33*C10</f>
        <v>74.706500000000005</v>
      </c>
      <c r="D14" s="141">
        <f>$B$33*D10</f>
        <v>78.03</v>
      </c>
      <c r="E14" s="141">
        <f>$B$33*E10</f>
        <v>81.671399999999991</v>
      </c>
      <c r="F14" s="141">
        <f>$B$33*F10</f>
        <v>86.1798</v>
      </c>
      <c r="G14" s="138" t="str">
        <f>"$"&amp;ROUND(B33,2)&amp;"/"&amp;IF(STDEV(B69:E69)/AVERAGE(B69:E69)&lt;15%,"高",IF(STDEV(B69:E69)/AVERAGE(B69:E69)&lt;30%,"中","低"))</f>
        <v>$5.78/高</v>
      </c>
      <c r="H14" s="142" t="s">
        <v>203</v>
      </c>
      <c r="I14" s="145">
        <f>G62/100*I13</f>
        <v>3.5980952380952384E-2</v>
      </c>
      <c r="J14" s="76" t="s">
        <v>204</v>
      </c>
      <c r="K14" s="146"/>
      <c r="L14" s="147">
        <f>(HLOOKUP($C$1,$105:$106,2,FALSE)-HLOOKUP($C$1,$117:$127,9,FALSE))/(HLOOKUP($C$1,$117:$128,12,FALSE)/K11)</f>
        <v>1.080197778278803</v>
      </c>
      <c r="M14" s="148">
        <f>E135/E69</f>
        <v>0.56952380952380954</v>
      </c>
      <c r="N14" s="149">
        <f>F173/100</f>
        <v>1.7863999999999998</v>
      </c>
    </row>
    <row r="15" spans="1:15" s="93" customFormat="1" x14ac:dyDescent="0.25">
      <c r="A15" s="140" t="s">
        <v>375</v>
      </c>
      <c r="B15" s="141">
        <f>$D$62*B10</f>
        <v>72.897300000000001</v>
      </c>
      <c r="C15" s="141">
        <f>$D$62*C10</f>
        <v>78.713250000000002</v>
      </c>
      <c r="D15" s="141">
        <f>$D$62*D10</f>
        <v>82.215000000000003</v>
      </c>
      <c r="E15" s="141">
        <f>$D$62*E10</f>
        <v>86.051699999999997</v>
      </c>
      <c r="F15" s="141">
        <f>$D$62*F10</f>
        <v>90.801900000000003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0.80952380952380953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62.703514717798768</v>
      </c>
      <c r="C16" s="141">
        <f>$F$69*C10</f>
        <v>67.706176084172853</v>
      </c>
      <c r="D16" s="141">
        <f>$F$69*D10</f>
        <v>70.718249681727926</v>
      </c>
      <c r="E16" s="141">
        <f>$F$69*E10</f>
        <v>74.018434666875223</v>
      </c>
      <c r="F16" s="141">
        <f>$F$69*F10</f>
        <v>78.104377981819511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1038</v>
      </c>
      <c r="J17" s="92">
        <f ca="1">IF(I17&lt;=0,"",IF(I17&lt;=MIN($B$13:$F$16),(I17-MIN($B$13:$F$16))/MIN($B$13:$F$16),IF(I17&gt;=MAX($B$13:$F$16),I17/MAX($B$13:$F$16),PERCENTRANK($B$13:$F$16,I17))))</f>
        <v>8.9804494382022462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4.9375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1.1095505617977528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0.28180463602825112</v>
      </c>
      <c r="J20" s="171">
        <f>HLOOKUP($C$1,$117:$127,11,FALSE)/HLOOKUP($C$1,$105:$115,11,FALSE)</f>
        <v>0.59445148664488245</v>
      </c>
      <c r="K20" s="163"/>
    </row>
    <row r="21" spans="1:14" s="93" customFormat="1" x14ac:dyDescent="0.25">
      <c r="A21" s="151" t="s">
        <v>201</v>
      </c>
      <c r="B21" s="161">
        <f>AVERAGE(C173:F173)/100</f>
        <v>1.7660999999999998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1.127678113073793</v>
      </c>
      <c r="J21" s="78"/>
      <c r="K21" s="164" t="s">
        <v>356</v>
      </c>
      <c r="L21" s="165">
        <f>HLOOKUP($C$1,$105:$115,7,FALSE)/HLOOKUP($C$1,$105:$115,11,FALSE)</f>
        <v>0.64064636745490122</v>
      </c>
      <c r="M21" s="123" t="s">
        <v>268</v>
      </c>
      <c r="N21" s="165">
        <f>HLOOKUP($C$1,$117:$127,8,FALSE)/HLOOKUP($C$1,$117:$127,11,FALSE)</f>
        <v>0.95568946612043093</v>
      </c>
    </row>
    <row r="22" spans="1:14" s="93" customFormat="1" x14ac:dyDescent="0.25">
      <c r="A22" s="140" t="s">
        <v>222</v>
      </c>
      <c r="B22" s="161">
        <f>(-1)*SUM(C133:F133)/SUM(C132:F132)</f>
        <v>0.57859888936351977</v>
      </c>
      <c r="C22" s="157"/>
      <c r="D22" s="166"/>
      <c r="E22" s="140"/>
      <c r="F22" s="159">
        <f>IF(B22&lt;=0,10,IF(B22&gt;=100%,0,(1-B22)*10))</f>
        <v>4.2140111063648025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0.82848736031649639</v>
      </c>
      <c r="J22" s="78"/>
      <c r="K22" s="142" t="s">
        <v>357</v>
      </c>
      <c r="L22" s="165">
        <f>HLOOKUP($C$1,$105:$115,4,FALSE)/HLOOKUP($C$1,$105:$115,11,FALSE)</f>
        <v>0.32279506422916204</v>
      </c>
      <c r="M22" s="123" t="s">
        <v>353</v>
      </c>
      <c r="N22" s="165">
        <f>HLOOKUP($C$1,$117:$127,4,FALSE)/HLOOKUP($C$1,$117:$127,11,FALSE)</f>
        <v>0.52594174232993796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2.4657962415568084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0.16997356489219775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0.86768824834877134</v>
      </c>
      <c r="C24" s="169">
        <f>STDEV(C103:F103)</f>
        <v>3.9982797709017602E-2</v>
      </c>
      <c r="D24" s="76" t="str">
        <f>IF(C24/B24&lt;15%,"高",IF(C24/B24&lt;30%,"中","低"))</f>
        <v>高</v>
      </c>
      <c r="E24" s="149"/>
      <c r="F24" s="160">
        <f>MIN(100%,B24)*5</f>
        <v>4.3384412417438565</v>
      </c>
      <c r="G24" s="88" t="s">
        <v>229</v>
      </c>
      <c r="H24" s="123" t="s">
        <v>16</v>
      </c>
      <c r="I24" s="170">
        <f>HLOOKUP(C1,167:170,2,FALSE)</f>
        <v>85.71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0.10564898103919958</v>
      </c>
      <c r="M24" s="123" t="s">
        <v>355</v>
      </c>
      <c r="N24" s="165">
        <f>HLOOKUP($C$1,$117:$127,9,FALSE)/HLOOKUP($C$1,$117:$127,11,FALSE)</f>
        <v>4.4310533879569049E-2</v>
      </c>
    </row>
    <row r="25" spans="1:14" s="93" customFormat="1" x14ac:dyDescent="0.25">
      <c r="A25" s="151" t="s">
        <v>366</v>
      </c>
      <c r="B25" s="255">
        <f>AVERAGE(94:94)</f>
        <v>178898.73913043478</v>
      </c>
      <c r="C25" s="254">
        <f>STDEV(94:94)/AVERAGE(94:94)</f>
        <v>2.0723169103805903</v>
      </c>
      <c r="D25" s="76" t="str">
        <f>IF(C25&lt;=1,"高",IF(C25&lt;=2,"中","低"))</f>
        <v>低</v>
      </c>
      <c r="E25" s="149"/>
      <c r="F25" s="160">
        <f>MAX(0,10-ABS(C25))</f>
        <v>7.9276830896194097</v>
      </c>
      <c r="G25" s="88" t="s">
        <v>213</v>
      </c>
      <c r="H25" s="123" t="s">
        <v>232</v>
      </c>
      <c r="I25" s="170">
        <f>IF(HLOOKUP(C1,167:170,3,FALSE)="無",0,HLOOKUP(C1,167:170,3,FALSE))</f>
        <v>54.55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84.715652173913043</v>
      </c>
      <c r="C26" s="172">
        <f>IF(COUNTIF(168:168,"&gt;0")=0,0,STDEV(168:168))</f>
        <v>6.4120446505611994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52.285217391304343</v>
      </c>
      <c r="C27" s="172">
        <f>IF(COUNTIF(169:169,"&gt;0")=0,0,STDEV(169:169))</f>
        <v>5.435256011002493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0.15937499999999999</v>
      </c>
      <c r="C30" s="157" t="s">
        <v>217</v>
      </c>
      <c r="D30" s="174">
        <f>COUNTIF(146:146,"&gt;20")/COUNT(146:146)</f>
        <v>0</v>
      </c>
      <c r="E30" s="140" t="s">
        <v>239</v>
      </c>
      <c r="F30" s="159">
        <f>MIN(B30/25%*10,10)</f>
        <v>6.375</v>
      </c>
      <c r="G30" s="175"/>
      <c r="H30" s="176"/>
    </row>
    <row r="31" spans="1:14" x14ac:dyDescent="0.25">
      <c r="A31" s="164" t="s">
        <v>240</v>
      </c>
      <c r="B31" s="173">
        <f>AVERAGE(C155:F155)/100</f>
        <v>5.6224999999999997E-2</v>
      </c>
      <c r="C31" s="157" t="s">
        <v>217</v>
      </c>
      <c r="D31" s="174">
        <f>COUNTIF(149:149,"&gt;8")/COUNT(149:149)</f>
        <v>4.3478260869565216E-2</v>
      </c>
      <c r="E31" s="140" t="s">
        <v>241</v>
      </c>
      <c r="F31" s="159">
        <f>MIN(B31/10%*10,10)</f>
        <v>5.6224999999999987</v>
      </c>
      <c r="G31" s="175"/>
    </row>
    <row r="32" spans="1:14" x14ac:dyDescent="0.25">
      <c r="A32" s="155" t="s">
        <v>47</v>
      </c>
      <c r="B32" s="177">
        <f>AVERAGE(C165:F165)</f>
        <v>17.6675</v>
      </c>
      <c r="C32" s="157" t="s">
        <v>217</v>
      </c>
      <c r="D32" s="174">
        <f>COUNTIF(159:159,"&gt;3")/COUNT(159:159)</f>
        <v>0.86956521739130432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5.78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4.45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9.3096885813148784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78082817.25</v>
      </c>
      <c r="C36" s="178">
        <f>STDEV(C97:F97)</f>
        <v>2855569.0087347301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15.9375</v>
      </c>
      <c r="C37" s="180">
        <f>STDEV(C152:F152)</f>
        <v>1.0925619738333692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5.9475000000000007</v>
      </c>
      <c r="C38" s="180">
        <f>STDEV(C153:F153)</f>
        <v>0.39313907632456663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17.6675</v>
      </c>
      <c r="C39" s="181">
        <f>STDEV(C165:F165)</f>
        <v>1.5076996827396805</v>
      </c>
      <c r="D39" s="76" t="str">
        <f>IF(C39/B39&lt;15%,"高",IF(C39/B39&lt;30%,"中","低"))</f>
        <v>高</v>
      </c>
      <c r="E39" s="107">
        <f>IF(F165&gt;E165,1,0)+IF(E165&gt;D165,1,0)+IF(D165&gt;C165,1,0)</f>
        <v>0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5.78</v>
      </c>
      <c r="C40" s="183">
        <f>STDEV(B69:E69)</f>
        <v>0.39958311609309377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0.565217391304348</v>
      </c>
      <c r="C44" s="186">
        <f>(C46-C49)/C49</f>
        <v>5.691056910569111E-2</v>
      </c>
      <c r="D44" s="186">
        <f>(D46-D49)/D49</f>
        <v>0.15384615384615383</v>
      </c>
      <c r="E44" s="186">
        <f>(E46-E49)/E49</f>
        <v>4.8076923076922047E-3</v>
      </c>
      <c r="G44" s="86" t="s">
        <v>175</v>
      </c>
      <c r="H44" s="186">
        <f>(H47-H50)/H50</f>
        <v>-0.1661307609860663</v>
      </c>
      <c r="I44" s="186">
        <f>(I47-I50)/I50</f>
        <v>4.6641791044776157E-2</v>
      </c>
      <c r="J44" s="186">
        <f>(J47-J50)/J50</f>
        <v>0.29581151832460745</v>
      </c>
      <c r="K44" s="186">
        <f>(K47-K50)/K50</f>
        <v>-0.10765239948119328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1.8</v>
      </c>
      <c r="C46" s="152">
        <f>HLOOKUP(C45,$81:$82,2,FALSE)</f>
        <v>1.3</v>
      </c>
      <c r="D46" s="152">
        <f>HLOOKUP(D45,$81:$82,2,FALSE)</f>
        <v>0.9</v>
      </c>
      <c r="E46" s="152">
        <f>HLOOKUP(E45,$81:$82,2,FALSE)</f>
        <v>2.09</v>
      </c>
      <c r="G46" s="86" t="s">
        <v>164</v>
      </c>
      <c r="H46" s="145">
        <f>HLOOKUP(H45,$145:$147,2,FALSE)/100</f>
        <v>0.17499999999999999</v>
      </c>
      <c r="I46" s="145">
        <f>HLOOKUP(I45,$145:$147,2,FALSE)/100</f>
        <v>0.1716</v>
      </c>
      <c r="J46" s="145">
        <f>HLOOKUP(J45,$145:$147,2,FALSE)/100</f>
        <v>0.1691</v>
      </c>
      <c r="K46" s="145">
        <f>HLOOKUP(K45,$145:$147,2,FALSE)/100</f>
        <v>0.1948</v>
      </c>
    </row>
    <row r="47" spans="1:14" x14ac:dyDescent="0.25">
      <c r="A47" s="188" t="s">
        <v>165</v>
      </c>
      <c r="B47" s="189">
        <f>HLOOKUP(B45,$157:$159,3,FALSE)</f>
        <v>5.67</v>
      </c>
      <c r="C47" s="189">
        <f>HLOOKUP(C45,$157:$159,3,FALSE)</f>
        <v>4.04</v>
      </c>
      <c r="D47" s="189">
        <f>HLOOKUP(D45,$157:$159,3,FALSE)</f>
        <v>2.44</v>
      </c>
      <c r="E47" s="189">
        <f>HLOOKUP(E45,$157:$159,3,FALSE)</f>
        <v>6.74</v>
      </c>
      <c r="G47" s="190" t="s">
        <v>166</v>
      </c>
      <c r="H47" s="145">
        <f>HLOOKUP(H45,$145:$147,3,FALSE)/100</f>
        <v>7.7800000000000008E-2</v>
      </c>
      <c r="I47" s="145">
        <f>HLOOKUP(I45,$145:$147,3,FALSE)/100</f>
        <v>5.6100000000000004E-2</v>
      </c>
      <c r="J47" s="145">
        <f>HLOOKUP(J45,$145:$147,3,FALSE)/100</f>
        <v>4.9500000000000002E-2</v>
      </c>
      <c r="K47" s="145">
        <f>HLOOKUP(K45,$145:$147,3,FALSE)/100</f>
        <v>6.88E-2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1.1499999999999999</v>
      </c>
      <c r="C49" s="152">
        <f>HLOOKUP(C48,$81:$82,2,FALSE)</f>
        <v>1.23</v>
      </c>
      <c r="D49" s="152">
        <f>HLOOKUP(D48,$81:$82,2,FALSE)</f>
        <v>0.78</v>
      </c>
      <c r="E49" s="152">
        <f>HLOOKUP(E48,$81:$82,2,FALSE)</f>
        <v>2.08</v>
      </c>
      <c r="G49" s="86" t="s">
        <v>164</v>
      </c>
      <c r="H49" s="145">
        <f>HLOOKUP(H48,$145:$147,2,FALSE)/100</f>
        <v>0.18940000000000001</v>
      </c>
      <c r="I49" s="145">
        <f>HLOOKUP(I48,$145:$147,2,FALSE)/100</f>
        <v>0.16039999999999999</v>
      </c>
      <c r="J49" s="145">
        <f>HLOOKUP(J48,$145:$147,2,FALSE)/100</f>
        <v>0.15</v>
      </c>
      <c r="K49" s="145">
        <f>HLOOKUP(K48,$145:$147,2,FALSE)/100</f>
        <v>0.16239999999999999</v>
      </c>
    </row>
    <row r="50" spans="1:15" x14ac:dyDescent="0.25">
      <c r="A50" s="188" t="s">
        <v>165</v>
      </c>
      <c r="B50" s="189">
        <f>HLOOKUP(B48,$157:$159,3,FALSE)</f>
        <v>3.36</v>
      </c>
      <c r="C50" s="189">
        <f>HLOOKUP(C48,$157:$159,3,FALSE)</f>
        <v>3.86</v>
      </c>
      <c r="D50" s="189">
        <f>HLOOKUP(D48,$157:$159,3,FALSE)</f>
        <v>2.39</v>
      </c>
      <c r="E50" s="189">
        <f>HLOOKUP(E48,$157:$159,3,FALSE)</f>
        <v>6.35</v>
      </c>
      <c r="G50" s="190" t="s">
        <v>166</v>
      </c>
      <c r="H50" s="145">
        <f>HLOOKUP(H48,$145:$147,3,FALSE)/100</f>
        <v>9.3299999999999994E-2</v>
      </c>
      <c r="I50" s="145">
        <f>HLOOKUP(I48,$145:$147,3,FALSE)/100</f>
        <v>5.3600000000000002E-2</v>
      </c>
      <c r="J50" s="145">
        <f>HLOOKUP(J48,$145:$147,3,FALSE)/100</f>
        <v>3.8199999999999998E-2</v>
      </c>
      <c r="K50" s="145">
        <f>HLOOKUP(K48,$145:$147,3,FALSE)/100</f>
        <v>7.7100000000000002E-2</v>
      </c>
    </row>
    <row r="51" spans="1:15" x14ac:dyDescent="0.25">
      <c r="A51" s="86" t="s">
        <v>351</v>
      </c>
      <c r="B51" s="186">
        <f>(B47-B50)/B50</f>
        <v>0.6875</v>
      </c>
      <c r="C51" s="186">
        <f>(C47-C50)/C50</f>
        <v>4.6632124352331647E-2</v>
      </c>
      <c r="D51" s="186">
        <f>(D47-D50)/D50</f>
        <v>2.0920502092050135E-2</v>
      </c>
      <c r="E51" s="186">
        <f>(E47-E50)/E50</f>
        <v>6.1417322834645766E-2</v>
      </c>
      <c r="G51" s="235" t="s">
        <v>174</v>
      </c>
      <c r="H51" s="186">
        <f>(H46-H49)/H49</f>
        <v>-7.6029567053854399E-2</v>
      </c>
      <c r="I51" s="186">
        <f>(I46-I49)/I49</f>
        <v>6.9825436408977662E-2</v>
      </c>
      <c r="J51" s="186">
        <f>(J46-J49)/J49</f>
        <v>0.12733333333333338</v>
      </c>
      <c r="K51" s="186">
        <f>(K46-K49)/K49</f>
        <v>0.19950738916256167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5.385623363502468</v>
      </c>
      <c r="B53" s="193">
        <f>B46</f>
        <v>1.8</v>
      </c>
      <c r="C53" s="193">
        <f>E46/HLOOKUP(E45,$87:$94,5,FALSE)*HLOOKUP(E45,$87:$94,4,FALSE)*($B$25/HLOOKUP(E45,$87:$94,4,FALSE)+SUM($B$57:$D$57)/SUM($B58:$D$58)*$G$69/100/K46)</f>
        <v>1.2383888653131798</v>
      </c>
      <c r="D53" s="193">
        <f>D46/HLOOKUP(D45,$87:$94,5,FALSE)*HLOOKUP(D45,$87:$94,4,FALSE)*($B$25/HLOOKUP(D45,$87:$94,4,FALSE)+SUM($B$57:$D$57)/SUM($B58:$D$58)*$G$69/100/J46)</f>
        <v>1.1019788382042051</v>
      </c>
      <c r="E53" s="193">
        <f>C46/HLOOKUP(C45,$87:$94,5,FALSE)*HLOOKUP(C45,$87:$94,4,FALSE)*($B$25/HLOOKUP(C45,$87:$94,4,FALSE)+SUM($B$57:$D$57)/SUM($B58:$D$58)*$G$69/100/I46)</f>
        <v>1.2452556599850837</v>
      </c>
    </row>
    <row r="54" spans="1:15" x14ac:dyDescent="0.25">
      <c r="A54" s="278">
        <f>SUM(B54:E54)</f>
        <v>5.4399999999999995</v>
      </c>
      <c r="B54" s="277">
        <f t="shared" ref="B54:D54" si="0">HLOOKUP(B52-10,81:82,2,FALSE)</f>
        <v>1.1499999999999999</v>
      </c>
      <c r="C54" s="277">
        <f t="shared" si="0"/>
        <v>2.09</v>
      </c>
      <c r="D54" s="277">
        <f t="shared" si="0"/>
        <v>0.9</v>
      </c>
      <c r="E54" s="277">
        <f>HLOOKUP(E52-10,81:82,2,FALSE)</f>
        <v>1.3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7258777</v>
      </c>
      <c r="C57" s="196">
        <f>HLOOKUP(C56,78:79,2,FALSE)</f>
        <v>8204632</v>
      </c>
      <c r="D57" s="196">
        <f>HLOOKUP(D56,78:79,2,FALSE)</f>
        <v>7144632</v>
      </c>
      <c r="E57" s="196">
        <f>HLOOKUP(E56,78:79,2,FALSE)</f>
        <v>6159685</v>
      </c>
      <c r="F57" s="196">
        <f>HLOOKUP(F56,78:79,2,FALSE)</f>
        <v>7239136</v>
      </c>
      <c r="G57" s="196">
        <f t="shared" ref="G57:M57" si="2">HLOOKUP(G56,78:79,2,FALSE)</f>
        <v>6024573</v>
      </c>
      <c r="H57" s="196">
        <f t="shared" si="2"/>
        <v>5405917</v>
      </c>
      <c r="I57" s="196">
        <f t="shared" si="2"/>
        <v>6594380</v>
      </c>
      <c r="J57" s="196">
        <f t="shared" si="2"/>
        <v>5203731</v>
      </c>
      <c r="K57" s="196">
        <f t="shared" si="2"/>
        <v>5143902</v>
      </c>
      <c r="L57" s="196">
        <f t="shared" si="2"/>
        <v>7180789</v>
      </c>
      <c r="M57" s="196">
        <f t="shared" si="2"/>
        <v>7216573</v>
      </c>
      <c r="N57" s="197"/>
    </row>
    <row r="58" spans="1:15" x14ac:dyDescent="0.25">
      <c r="A58" s="198" t="s">
        <v>253</v>
      </c>
      <c r="B58" s="196">
        <f>HLOOKUP(B56-100,78:79,2,FALSE)</f>
        <v>6754613</v>
      </c>
      <c r="C58" s="196">
        <f>HLOOKUP(C56-100,78:79,2,FALSE)</f>
        <v>7699548</v>
      </c>
      <c r="D58" s="196">
        <f>HLOOKUP(D56-100,78:79,2,FALSE)</f>
        <v>7055487</v>
      </c>
      <c r="E58" s="196">
        <f>HLOOKUP(E56-100,78:79,2,FALSE)</f>
        <v>6219894</v>
      </c>
      <c r="F58" s="196">
        <f>HLOOKUP(F56-100,78:79,2,FALSE)</f>
        <v>6921863</v>
      </c>
      <c r="G58" s="196">
        <f t="shared" ref="G58:M58" si="3">HLOOKUP(G56-100,78:79,2,FALSE)</f>
        <v>6051631</v>
      </c>
      <c r="H58" s="196">
        <f t="shared" si="3"/>
        <v>5287804</v>
      </c>
      <c r="I58" s="196">
        <f t="shared" si="3"/>
        <v>6431429</v>
      </c>
      <c r="J58" s="196">
        <f t="shared" si="3"/>
        <v>4592953</v>
      </c>
      <c r="K58" s="196">
        <f t="shared" si="3"/>
        <v>5600811</v>
      </c>
      <c r="L58" s="196">
        <f t="shared" si="3"/>
        <v>6976597</v>
      </c>
      <c r="M58" s="196">
        <f t="shared" si="3"/>
        <v>7360885</v>
      </c>
      <c r="N58" s="197"/>
    </row>
    <row r="59" spans="1:15" x14ac:dyDescent="0.25">
      <c r="A59" s="199" t="s">
        <v>254</v>
      </c>
      <c r="B59" s="165">
        <f>IF(B57&lt;&gt;"",(B57-B58)/B58,"")</f>
        <v>7.4639953465875833E-2</v>
      </c>
      <c r="C59" s="165">
        <f>IF(C57&lt;&gt;"",(C57-C58)/C58,"")</f>
        <v>6.5599175432116269E-2</v>
      </c>
      <c r="D59" s="165">
        <f>IF(D57&lt;&gt;"",(D57-D58)/D58,"")</f>
        <v>1.2634847176389099E-2</v>
      </c>
      <c r="E59" s="165">
        <f>IF(E57&lt;&gt;"",(E57-E58)/E58,"")</f>
        <v>-9.6800685027751271E-3</v>
      </c>
      <c r="F59" s="165">
        <f>IF(F57&lt;&gt;"",(F57-F58)/F58,"")</f>
        <v>4.5836359373191873E-2</v>
      </c>
      <c r="G59" s="165">
        <f t="shared" ref="G59:M59" si="4">IF(G57&lt;&gt;"",(G57-G58)/G58,"")</f>
        <v>-4.4711913201581528E-3</v>
      </c>
      <c r="H59" s="165">
        <f t="shared" si="4"/>
        <v>2.2336871790255463E-2</v>
      </c>
      <c r="I59" s="165">
        <f t="shared" si="4"/>
        <v>2.5336670901599006E-2</v>
      </c>
      <c r="J59" s="165">
        <f t="shared" si="4"/>
        <v>0.13298154803674236</v>
      </c>
      <c r="K59" s="165">
        <f t="shared" si="4"/>
        <v>-8.1579078458458965E-2</v>
      </c>
      <c r="L59" s="165">
        <f t="shared" si="4"/>
        <v>2.926813746013995E-2</v>
      </c>
      <c r="M59" s="165">
        <f t="shared" si="4"/>
        <v>-1.9605251270737145E-2</v>
      </c>
    </row>
    <row r="60" spans="1:15" x14ac:dyDescent="0.25">
      <c r="A60" s="195" t="s">
        <v>255</v>
      </c>
      <c r="B60" s="196">
        <f>SUM(B57:M57)</f>
        <v>78776727</v>
      </c>
    </row>
    <row r="61" spans="1:15" x14ac:dyDescent="0.25">
      <c r="A61" s="198" t="s">
        <v>256</v>
      </c>
      <c r="B61" s="196">
        <f>SUM(B58:M58)</f>
        <v>76953515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1.023692381043283</v>
      </c>
      <c r="D62" s="152">
        <f>SUM(B46:E46)</f>
        <v>6.09</v>
      </c>
      <c r="E62" s="152">
        <f>SUM(B49:E49)</f>
        <v>5.24</v>
      </c>
      <c r="G62" s="126">
        <f>SUM(B47:E47)</f>
        <v>18.89</v>
      </c>
      <c r="H62" s="126">
        <f>SUM(B50:E50)</f>
        <v>15.959999999999999</v>
      </c>
      <c r="J62" s="200">
        <f>AVERAGE(H46:K46)</f>
        <v>0.17762500000000001</v>
      </c>
      <c r="K62" s="200">
        <f>AVERAGE(H49:K49)</f>
        <v>0.16555</v>
      </c>
      <c r="M62" s="200">
        <f>AVERAGE(H47:K47)</f>
        <v>6.3049999999999995E-2</v>
      </c>
      <c r="N62" s="200">
        <f>AVERAGE(H50:K50)</f>
        <v>6.5549999999999997E-2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1.49</v>
      </c>
      <c r="C65" s="205">
        <f t="shared" si="5"/>
        <v>1.04</v>
      </c>
      <c r="D65" s="205">
        <f t="shared" si="5"/>
        <v>0.91</v>
      </c>
      <c r="E65" s="205">
        <f t="shared" si="5"/>
        <v>0.78</v>
      </c>
      <c r="F65" s="206">
        <f>IF(ISNA(HLOOKUP(F$64*10+$A65,$81:$82,2,FALSE)),(HLOOKUP(E$64*10+$A65,$87:$94,4,FALSE)*$G65+$B$25)/HLOOKUP(E$64*10+$A65,$87:$94,5,FALSE)*$E65,HLOOKUP(F$64*10+$A65,$81:$82,2,FALSE))</f>
        <v>0.9</v>
      </c>
      <c r="G65" s="101">
        <f>MIN(130%,SUM($B$57:$D$57)/SUM($B$58:$D$58)*$G$69/HLOOKUP(E$64*10+$A65,$145:$146,2,FALSE))</f>
        <v>1.2050302973660523</v>
      </c>
      <c r="H65" s="204">
        <v>1</v>
      </c>
      <c r="I65" s="208">
        <f t="shared" ref="I65:M68" si="6">IF(ISNA(HLOOKUP(I$64*10+$H65,$145:$147,3,FALSE)),"",HLOOKUP(I$64*10+$H65,$145:$147,3,FALSE)/100)</f>
        <v>5.5399999999999998E-2</v>
      </c>
      <c r="J65" s="208">
        <f t="shared" si="6"/>
        <v>4.4699999999999997E-2</v>
      </c>
      <c r="K65" s="208">
        <f t="shared" si="6"/>
        <v>4.2199999999999994E-2</v>
      </c>
      <c r="L65" s="208">
        <f t="shared" si="6"/>
        <v>3.8199999999999998E-2</v>
      </c>
      <c r="M65" s="209">
        <f t="shared" si="6"/>
        <v>4.9500000000000002E-2</v>
      </c>
      <c r="N65" s="256">
        <f t="shared" ref="N65:O68" si="7">HLOOKUP(E$64*10+$A65,$87:$94,8,FALSE)</f>
        <v>181192</v>
      </c>
      <c r="O65" s="256">
        <f t="shared" si="7"/>
        <v>39610</v>
      </c>
      <c r="P65" s="210"/>
    </row>
    <row r="66" spans="1:71" x14ac:dyDescent="0.25">
      <c r="A66" s="204">
        <v>2</v>
      </c>
      <c r="B66" s="205">
        <f t="shared" si="5"/>
        <v>1.37</v>
      </c>
      <c r="C66" s="205">
        <f t="shared" si="5"/>
        <v>1.53</v>
      </c>
      <c r="D66" s="205">
        <f t="shared" si="5"/>
        <v>1.57</v>
      </c>
      <c r="E66" s="205">
        <f t="shared" si="5"/>
        <v>1.23</v>
      </c>
      <c r="F66" s="206">
        <f>IF(ISNA(HLOOKUP(F$64*10+$A66,$81:$82,2,FALSE)),(HLOOKUP(E$64*10+$A66,$87:$94,4,FALSE)*$G66+$B$25)/HLOOKUP(E$64*10+$A66,$87:$94,5,FALSE)*$E66,HLOOKUP(F$64*10+$A66,$81:$82,2,FALSE))</f>
        <v>1.3</v>
      </c>
      <c r="G66" s="101">
        <f>MIN(130%,SUM($B$57:$D$57)/SUM($B$58:$D$58)*$G$69/HLOOKUP(E$64*10+$A66,$145:$146,2,FALSE))</f>
        <v>1.1268986571378297</v>
      </c>
      <c r="H66" s="204">
        <v>2</v>
      </c>
      <c r="I66" s="208">
        <f t="shared" si="6"/>
        <v>5.5E-2</v>
      </c>
      <c r="J66" s="208">
        <f t="shared" si="6"/>
        <v>5.2999999999999999E-2</v>
      </c>
      <c r="K66" s="208">
        <f t="shared" si="6"/>
        <v>4.7699999999999992E-2</v>
      </c>
      <c r="L66" s="208">
        <f t="shared" si="6"/>
        <v>5.3600000000000002E-2</v>
      </c>
      <c r="M66" s="209">
        <f t="shared" si="6"/>
        <v>5.6100000000000004E-2</v>
      </c>
      <c r="N66" s="256">
        <f t="shared" si="7"/>
        <v>169704</v>
      </c>
      <c r="O66" s="256">
        <f t="shared" si="7"/>
        <v>291123</v>
      </c>
      <c r="P66" s="210"/>
    </row>
    <row r="67" spans="1:71" x14ac:dyDescent="0.25">
      <c r="A67" s="204">
        <v>3</v>
      </c>
      <c r="B67" s="205">
        <f t="shared" si="5"/>
        <v>1.43</v>
      </c>
      <c r="C67" s="205">
        <f t="shared" si="5"/>
        <v>1.53</v>
      </c>
      <c r="D67" s="205">
        <f t="shared" si="5"/>
        <v>1.25</v>
      </c>
      <c r="E67" s="205">
        <f t="shared" si="5"/>
        <v>1.1499999999999999</v>
      </c>
      <c r="F67" s="206">
        <f>IF(ISNA(HLOOKUP(F$64*10+$A67,$81:$82,2,FALSE)),(HLOOKUP(E$64*10+$A67,$87:$94,4,FALSE)*$G67+$B$25)/HLOOKUP(E$64*10+$A67,$87:$94,5,FALSE)*$E67,HLOOKUP(F$64*10+$A67,$81:$82,2,FALSE))</f>
        <v>1.8</v>
      </c>
      <c r="G67" s="101">
        <f>MIN(130%,SUM($B$57:$D$57)/SUM($B$58:$D$58)*$G$69/HLOOKUP(E$64*10+$A67,$145:$146,2,FALSE))</f>
        <v>0.95435345620331491</v>
      </c>
      <c r="H67" s="204">
        <v>3</v>
      </c>
      <c r="I67" s="208">
        <f t="shared" si="6"/>
        <v>5.3600000000000002E-2</v>
      </c>
      <c r="J67" s="208">
        <f t="shared" si="6"/>
        <v>6.2300000000000001E-2</v>
      </c>
      <c r="K67" s="208">
        <f t="shared" si="6"/>
        <v>5.8499999999999996E-2</v>
      </c>
      <c r="L67" s="208">
        <f t="shared" si="6"/>
        <v>9.3299999999999994E-2</v>
      </c>
      <c r="M67" s="209">
        <f t="shared" si="6"/>
        <v>7.7800000000000008E-2</v>
      </c>
      <c r="N67" s="256">
        <f t="shared" si="7"/>
        <v>-1145521</v>
      </c>
      <c r="O67" s="256">
        <f t="shared" si="7"/>
        <v>166006</v>
      </c>
      <c r="P67" s="210"/>
    </row>
    <row r="68" spans="1:71" x14ac:dyDescent="0.25">
      <c r="A68" s="204">
        <v>4</v>
      </c>
      <c r="B68" s="205">
        <f>HLOOKUP(B$64*10+$A68,$81:$82,2,FALSE)</f>
        <v>1.55</v>
      </c>
      <c r="C68" s="205">
        <f>HLOOKUP(C$64*10+$A68,$81:$82,2,FALSE)</f>
        <v>2.12</v>
      </c>
      <c r="D68" s="205">
        <f>HLOOKUP(D$64*10+$A68,$81:$82,2,FALSE)</f>
        <v>2.08</v>
      </c>
      <c r="E68" s="206">
        <f>IF(ISNA(HLOOKUP(E$64*10+$A68,$81:$82,2,FALSE)),D68*(1-$N68)*#REF!*(1+$B$25)/(1+$E$4),HLOOKUP(E$64*10+$A68,$81:$82,2,FALSE))</f>
        <v>2.09</v>
      </c>
      <c r="F68" s="206">
        <f>IF(ISNA(HLOOKUP(F$64*10+$A68,$81:$82,2,FALSE)),(HLOOKUP(E$64*10+$A68,$87:$94,4,FALSE)*$G68+$B$25)/HLOOKUP(E$64*10+$A68,$87:$94,5,FALSE)*$E68,HLOOKUP(F$64*10+$A68,$81:$82,2,FALSE))</f>
        <v>1.2383888653131796</v>
      </c>
      <c r="G68" s="101">
        <f>MIN(130%,SUM($B$57:$D$57)/SUM($B$58:$D$58)*$G$69/HLOOKUP(E$64*10+$A68,$145:$146,2,FALSE))</f>
        <v>0.92789807292047155</v>
      </c>
      <c r="H68" s="204">
        <v>4</v>
      </c>
      <c r="I68" s="208">
        <f t="shared" si="6"/>
        <v>6.3099999999999989E-2</v>
      </c>
      <c r="J68" s="208">
        <f t="shared" si="6"/>
        <v>6.9099999999999995E-2</v>
      </c>
      <c r="K68" s="208">
        <f t="shared" si="6"/>
        <v>7.7100000000000002E-2</v>
      </c>
      <c r="L68" s="208">
        <f t="shared" si="6"/>
        <v>6.88E-2</v>
      </c>
      <c r="M68" s="209" t="str">
        <f t="shared" si="6"/>
        <v/>
      </c>
      <c r="N68" s="256">
        <f t="shared" si="7"/>
        <v>1125909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5.84</v>
      </c>
      <c r="C69" s="213">
        <f>SUM(C65:C68)</f>
        <v>6.2200000000000006</v>
      </c>
      <c r="D69" s="213">
        <f>SUM(D65:D68)</f>
        <v>5.8100000000000005</v>
      </c>
      <c r="E69" s="213">
        <f>SUM(E65:E68)</f>
        <v>5.25</v>
      </c>
      <c r="F69" s="213">
        <f>SUM(F65:F68)</f>
        <v>5.2383888653131798</v>
      </c>
      <c r="G69" s="257">
        <f>_xlfn.FORECAST.ETS(23,B146:W146,{1,2,3,4,5,6,7,8,9,10,11,12,13,14,15,16,17,18,19,20,21,22})</f>
        <v>17.197273434048828</v>
      </c>
      <c r="H69" s="214" t="s">
        <v>19</v>
      </c>
      <c r="I69" s="215">
        <f>HLOOKUP(I64,151:155,3,FALSE)/100</f>
        <v>5.7099999999999998E-2</v>
      </c>
      <c r="J69" s="215">
        <f>HLOOKUP(J64,151:155,3,FALSE)/100</f>
        <v>5.8400000000000001E-2</v>
      </c>
      <c r="K69" s="215">
        <f>HLOOKUP(K64,151:155,3,FALSE)/100</f>
        <v>5.7099999999999998E-2</v>
      </c>
      <c r="L69" s="215">
        <f>IF(ISNA(HLOOKUP(L64,151:155,3,FALSE)/100),AVERAGE(L65:L68),HLOOKUP(L64,151:155,3,FALSE)/100)</f>
        <v>6.5299999999999997E-2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4.9800000000000004</v>
      </c>
      <c r="C72" s="205">
        <f t="shared" si="8"/>
        <v>3.04</v>
      </c>
      <c r="D72" s="205">
        <f t="shared" si="8"/>
        <v>2.65</v>
      </c>
      <c r="E72" s="205">
        <f t="shared" si="8"/>
        <v>2.39</v>
      </c>
      <c r="F72" s="205">
        <f t="shared" si="8"/>
        <v>2.44</v>
      </c>
    </row>
    <row r="73" spans="1:71" s="135" customFormat="1" x14ac:dyDescent="0.25">
      <c r="A73" s="204">
        <v>2</v>
      </c>
      <c r="B73" s="205">
        <f t="shared" si="8"/>
        <v>4.71</v>
      </c>
      <c r="C73" s="205">
        <f t="shared" si="8"/>
        <v>4.93</v>
      </c>
      <c r="D73" s="205">
        <f t="shared" si="8"/>
        <v>4.96</v>
      </c>
      <c r="E73" s="205">
        <f t="shared" si="8"/>
        <v>3.86</v>
      </c>
      <c r="F73" s="205">
        <f t="shared" si="8"/>
        <v>4.04</v>
      </c>
    </row>
    <row r="74" spans="1:71" s="135" customFormat="1" x14ac:dyDescent="0.25">
      <c r="A74" s="204">
        <v>3</v>
      </c>
      <c r="B74" s="205">
        <f t="shared" si="8"/>
        <v>5.15</v>
      </c>
      <c r="C74" s="205">
        <f t="shared" si="8"/>
        <v>5.22</v>
      </c>
      <c r="D74" s="205">
        <f t="shared" si="8"/>
        <v>4.21</v>
      </c>
      <c r="E74" s="205">
        <f t="shared" si="8"/>
        <v>3.36</v>
      </c>
      <c r="F74" s="205">
        <f t="shared" si="8"/>
        <v>5.67</v>
      </c>
    </row>
    <row r="75" spans="1:71" s="135" customFormat="1" x14ac:dyDescent="0.25">
      <c r="A75" s="204">
        <v>4</v>
      </c>
      <c r="B75" s="205">
        <f t="shared" si="8"/>
        <v>4.71</v>
      </c>
      <c r="C75" s="205">
        <f t="shared" si="8"/>
        <v>6.24</v>
      </c>
      <c r="D75" s="205">
        <f t="shared" si="8"/>
        <v>6.35</v>
      </c>
      <c r="E75" s="205">
        <f t="shared" si="8"/>
        <v>6.74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19.55</v>
      </c>
      <c r="C76" s="213">
        <f>SUM(C72:C75)</f>
        <v>19.43</v>
      </c>
      <c r="D76" s="213">
        <f>SUM(D72:D75)</f>
        <v>18.170000000000002</v>
      </c>
      <c r="E76" s="213">
        <f>AVERAGE(E72:E75)*4</f>
        <v>16.350000000000001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4031581</v>
      </c>
      <c r="C79" s="270">
        <v>4636511</v>
      </c>
      <c r="D79" s="270">
        <v>5215341</v>
      </c>
      <c r="E79" s="270">
        <v>5277464</v>
      </c>
      <c r="F79" s="270">
        <v>5435515</v>
      </c>
      <c r="G79" s="270">
        <v>5093425</v>
      </c>
      <c r="H79" s="270">
        <v>5372200</v>
      </c>
      <c r="I79" s="270">
        <v>5903884</v>
      </c>
      <c r="J79" s="270">
        <v>6544665</v>
      </c>
      <c r="K79" s="270">
        <v>6208777</v>
      </c>
      <c r="L79" s="270">
        <v>6413356</v>
      </c>
      <c r="M79" s="270">
        <v>7414576</v>
      </c>
      <c r="N79" s="270">
        <v>5873901</v>
      </c>
      <c r="O79" s="270">
        <v>4721884</v>
      </c>
      <c r="P79" s="270">
        <v>6597561</v>
      </c>
      <c r="Q79" s="270">
        <v>5754994</v>
      </c>
      <c r="R79" s="270">
        <v>5941991</v>
      </c>
      <c r="S79" s="270">
        <v>6131932</v>
      </c>
      <c r="T79" s="270">
        <v>5700106</v>
      </c>
      <c r="U79" s="270">
        <v>6083585</v>
      </c>
      <c r="V79" s="270">
        <v>6682871</v>
      </c>
      <c r="W79" s="270">
        <v>6512235</v>
      </c>
      <c r="X79" s="270">
        <v>7414867</v>
      </c>
      <c r="Y79" s="270">
        <v>7112682</v>
      </c>
      <c r="Z79" s="270">
        <v>5648668</v>
      </c>
      <c r="AA79" s="270">
        <v>4932419</v>
      </c>
      <c r="AB79" s="270">
        <v>6374006</v>
      </c>
      <c r="AC79" s="270">
        <v>6219679</v>
      </c>
      <c r="AD79" s="270">
        <v>6343006</v>
      </c>
      <c r="AE79" s="270">
        <v>6415313</v>
      </c>
      <c r="AF79" s="270">
        <v>6050206</v>
      </c>
      <c r="AG79" s="270">
        <v>6078635</v>
      </c>
      <c r="AH79" s="270">
        <v>7866553</v>
      </c>
      <c r="AI79" s="270">
        <v>7680950</v>
      </c>
      <c r="AJ79" s="270">
        <v>8123197</v>
      </c>
      <c r="AK79" s="270">
        <v>8376832</v>
      </c>
      <c r="AL79" s="270">
        <v>6668599</v>
      </c>
      <c r="AM79" s="270">
        <v>4898817</v>
      </c>
      <c r="AN79" s="270">
        <v>6438739</v>
      </c>
      <c r="AO79" s="270">
        <v>6253401</v>
      </c>
      <c r="AP79" s="270">
        <v>6806863</v>
      </c>
      <c r="AQ79" s="270">
        <v>7198514</v>
      </c>
      <c r="AR79" s="270">
        <v>6723583</v>
      </c>
      <c r="AS79" s="270">
        <v>6793255</v>
      </c>
      <c r="AT79" s="270">
        <v>7517760</v>
      </c>
      <c r="AU79" s="270">
        <v>7036601</v>
      </c>
      <c r="AV79" s="270">
        <v>7360885</v>
      </c>
      <c r="AW79" s="270">
        <v>6976597</v>
      </c>
      <c r="AX79" s="270">
        <v>5600811</v>
      </c>
      <c r="AY79" s="270">
        <v>4592953</v>
      </c>
      <c r="AZ79" s="270">
        <v>6431429</v>
      </c>
      <c r="BA79" s="270">
        <v>5287804</v>
      </c>
      <c r="BB79" s="270">
        <v>6051631</v>
      </c>
      <c r="BC79" s="270">
        <v>6921863</v>
      </c>
      <c r="BD79" s="270">
        <v>6219894</v>
      </c>
      <c r="BE79" s="270">
        <v>7055487</v>
      </c>
      <c r="BF79" s="270">
        <v>7699548</v>
      </c>
      <c r="BG79" s="270">
        <v>6754613</v>
      </c>
      <c r="BH79" s="270">
        <v>7216573</v>
      </c>
      <c r="BI79" s="270">
        <v>7180789</v>
      </c>
      <c r="BJ79" s="270">
        <v>5143902</v>
      </c>
      <c r="BK79" s="270">
        <v>5203731</v>
      </c>
      <c r="BL79" s="270">
        <v>6594380</v>
      </c>
      <c r="BM79" s="270">
        <v>5405917</v>
      </c>
      <c r="BN79" s="270">
        <v>6024573</v>
      </c>
      <c r="BO79" s="270">
        <v>7239136</v>
      </c>
      <c r="BP79" s="270">
        <v>6159685</v>
      </c>
      <c r="BQ79" s="270">
        <v>7144632</v>
      </c>
      <c r="BR79" s="270">
        <v>8204632</v>
      </c>
      <c r="BS79" s="270">
        <v>7258777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1.19</v>
      </c>
      <c r="C82" s="72">
        <v>1.17</v>
      </c>
      <c r="D82" s="72">
        <v>1.76</v>
      </c>
      <c r="E82" s="72">
        <v>1.98</v>
      </c>
      <c r="F82" s="72">
        <v>1.49</v>
      </c>
      <c r="G82" s="72">
        <v>1.37</v>
      </c>
      <c r="H82" s="72">
        <v>1.43</v>
      </c>
      <c r="I82" s="72">
        <v>1.55</v>
      </c>
      <c r="J82" s="72">
        <v>1.04</v>
      </c>
      <c r="K82" s="72">
        <v>1.53</v>
      </c>
      <c r="L82" s="72">
        <v>1.53</v>
      </c>
      <c r="M82" s="72">
        <v>2.12</v>
      </c>
      <c r="N82" s="72">
        <v>0.91</v>
      </c>
      <c r="O82" s="72">
        <v>1.57</v>
      </c>
      <c r="P82" s="72">
        <v>1.25</v>
      </c>
      <c r="Q82" s="72">
        <v>2.08</v>
      </c>
      <c r="R82" s="72">
        <v>0.78</v>
      </c>
      <c r="S82" s="72">
        <v>1.23</v>
      </c>
      <c r="T82" s="72">
        <v>1.1499999999999999</v>
      </c>
      <c r="U82" s="72">
        <v>2.09</v>
      </c>
      <c r="V82" s="72">
        <v>0.9</v>
      </c>
      <c r="W82" s="72">
        <v>1.3</v>
      </c>
      <c r="X82" s="72">
        <v>1.8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28.31</v>
      </c>
      <c r="C85" s="72">
        <v>25.07</v>
      </c>
      <c r="D85" s="72">
        <v>25.42</v>
      </c>
      <c r="E85" s="72">
        <v>26.37</v>
      </c>
      <c r="F85" s="72">
        <v>29.54</v>
      </c>
      <c r="G85" s="72">
        <v>28.48</v>
      </c>
      <c r="H85" s="72">
        <v>29.29</v>
      </c>
      <c r="I85" s="72">
        <v>32.31</v>
      </c>
      <c r="J85" s="72">
        <v>32.93</v>
      </c>
      <c r="K85" s="72">
        <v>29.26</v>
      </c>
      <c r="L85" s="72">
        <v>30.77</v>
      </c>
      <c r="M85" s="72">
        <v>33.619999999999997</v>
      </c>
      <c r="N85" s="72">
        <v>33.93</v>
      </c>
      <c r="O85" s="72">
        <v>28.89</v>
      </c>
      <c r="P85" s="72">
        <v>31.66</v>
      </c>
      <c r="Q85" s="72">
        <v>33.54</v>
      </c>
      <c r="R85" s="72">
        <v>33.700000000000003</v>
      </c>
      <c r="S85" s="72">
        <v>30.87</v>
      </c>
      <c r="T85" s="72">
        <v>32.93</v>
      </c>
      <c r="U85" s="72">
        <v>35.93</v>
      </c>
      <c r="V85" s="72">
        <v>35.25</v>
      </c>
      <c r="W85" s="72">
        <v>32.68</v>
      </c>
      <c r="X85" s="72">
        <v>34.19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13883647</v>
      </c>
      <c r="C88" s="273">
        <v>15806042</v>
      </c>
      <c r="D88" s="273">
        <v>17820879</v>
      </c>
      <c r="E88" s="273">
        <v>19999083</v>
      </c>
      <c r="F88" s="273">
        <v>17209440</v>
      </c>
      <c r="G88" s="273">
        <v>17968046</v>
      </c>
      <c r="H88" s="273">
        <v>18332492</v>
      </c>
      <c r="I88" s="273">
        <v>21029170</v>
      </c>
      <c r="J88" s="273">
        <v>16956523</v>
      </c>
      <c r="K88" s="273">
        <v>18981372</v>
      </c>
      <c r="L88" s="273">
        <v>19996569</v>
      </c>
      <c r="M88" s="273">
        <v>24176228</v>
      </c>
      <c r="N88" s="273">
        <v>18003350</v>
      </c>
      <c r="O88" s="273">
        <v>20260552</v>
      </c>
      <c r="P88" s="273">
        <v>21031726</v>
      </c>
      <c r="Q88" s="273">
        <v>21367741</v>
      </c>
      <c r="R88" s="273">
        <v>16628810</v>
      </c>
      <c r="S88" s="273">
        <v>18259020</v>
      </c>
      <c r="T88" s="273">
        <v>20973216</v>
      </c>
      <c r="U88" s="273">
        <v>21157014</v>
      </c>
      <c r="V88" s="273">
        <v>16942013</v>
      </c>
      <c r="W88" s="273">
        <v>18669372</v>
      </c>
      <c r="X88" s="273">
        <v>21509202</v>
      </c>
    </row>
    <row r="89" spans="1:25" ht="14.25" thickBot="1" x14ac:dyDescent="0.3">
      <c r="A89" s="250" t="s">
        <v>4</v>
      </c>
      <c r="B89" s="275">
        <v>2121767</v>
      </c>
      <c r="C89" s="275">
        <v>2415954</v>
      </c>
      <c r="D89" s="275">
        <v>3058258</v>
      </c>
      <c r="E89" s="275">
        <v>3088336</v>
      </c>
      <c r="F89" s="275">
        <v>2579120</v>
      </c>
      <c r="G89" s="275">
        <v>2591415</v>
      </c>
      <c r="H89" s="275">
        <v>2857290</v>
      </c>
      <c r="I89" s="275">
        <v>3411114</v>
      </c>
      <c r="J89" s="275">
        <v>2521972</v>
      </c>
      <c r="K89" s="275">
        <v>2967457</v>
      </c>
      <c r="L89" s="275">
        <v>3277104</v>
      </c>
      <c r="M89" s="275">
        <v>3779717</v>
      </c>
      <c r="N89" s="275">
        <v>2582116</v>
      </c>
      <c r="O89" s="275">
        <v>2892484</v>
      </c>
      <c r="P89" s="275">
        <v>3307009</v>
      </c>
      <c r="Q89" s="275">
        <v>3470208</v>
      </c>
      <c r="R89" s="275">
        <v>2494776</v>
      </c>
      <c r="S89" s="275">
        <v>2929192</v>
      </c>
      <c r="T89" s="275">
        <v>3972628</v>
      </c>
      <c r="U89" s="275">
        <v>4120853</v>
      </c>
      <c r="V89" s="275">
        <v>2865562</v>
      </c>
      <c r="W89" s="275">
        <v>3204077</v>
      </c>
      <c r="X89" s="275">
        <v>3764740</v>
      </c>
    </row>
    <row r="90" spans="1:25" ht="14.25" thickBot="1" x14ac:dyDescent="0.3">
      <c r="A90" s="251" t="s">
        <v>5</v>
      </c>
      <c r="B90" s="273">
        <v>538522</v>
      </c>
      <c r="C90" s="273">
        <v>977202</v>
      </c>
      <c r="D90" s="273">
        <v>1223375</v>
      </c>
      <c r="E90" s="273">
        <v>1278927</v>
      </c>
      <c r="F90" s="273">
        <v>952761</v>
      </c>
      <c r="G90" s="273">
        <v>988770</v>
      </c>
      <c r="H90" s="273">
        <v>983266</v>
      </c>
      <c r="I90" s="273">
        <v>1327932</v>
      </c>
      <c r="J90" s="273">
        <v>758005</v>
      </c>
      <c r="K90" s="273">
        <v>1005974</v>
      </c>
      <c r="L90" s="273">
        <v>1245438</v>
      </c>
      <c r="M90" s="273">
        <v>1670614</v>
      </c>
      <c r="N90" s="273">
        <v>759480</v>
      </c>
      <c r="O90" s="273">
        <v>966424</v>
      </c>
      <c r="P90" s="273">
        <v>1230866</v>
      </c>
      <c r="Q90" s="273">
        <v>1648240</v>
      </c>
      <c r="R90" s="273">
        <v>635938</v>
      </c>
      <c r="S90" s="273">
        <v>979387</v>
      </c>
      <c r="T90" s="273">
        <v>1956926</v>
      </c>
      <c r="U90" s="273">
        <v>1455826</v>
      </c>
      <c r="V90" s="273">
        <v>838582</v>
      </c>
      <c r="W90" s="273">
        <v>1047199</v>
      </c>
      <c r="X90" s="273">
        <v>1673420</v>
      </c>
    </row>
    <row r="91" spans="1:25" ht="14.25" thickBot="1" x14ac:dyDescent="0.3">
      <c r="A91" s="250" t="s">
        <v>6</v>
      </c>
      <c r="B91" s="275">
        <v>862870</v>
      </c>
      <c r="C91" s="275">
        <v>1033677</v>
      </c>
      <c r="D91" s="275">
        <v>1486611</v>
      </c>
      <c r="E91" s="275">
        <v>1541061</v>
      </c>
      <c r="F91" s="275">
        <v>1258534</v>
      </c>
      <c r="G91" s="275">
        <v>1163944</v>
      </c>
      <c r="H91" s="275">
        <v>1300179</v>
      </c>
      <c r="I91" s="275">
        <v>1260363</v>
      </c>
      <c r="J91" s="275">
        <v>912731</v>
      </c>
      <c r="K91" s="275">
        <v>1486980</v>
      </c>
      <c r="L91" s="275">
        <v>1373551</v>
      </c>
      <c r="M91" s="275">
        <v>1832595</v>
      </c>
      <c r="N91" s="275">
        <v>873503</v>
      </c>
      <c r="O91" s="275">
        <v>1384223</v>
      </c>
      <c r="P91" s="275">
        <v>1215636</v>
      </c>
      <c r="Q91" s="275">
        <v>1855986</v>
      </c>
      <c r="R91" s="275">
        <v>817130</v>
      </c>
      <c r="S91" s="275">
        <v>1149091</v>
      </c>
      <c r="T91" s="275">
        <v>811405</v>
      </c>
      <c r="U91" s="275">
        <v>2581735</v>
      </c>
      <c r="V91" s="275">
        <v>878192</v>
      </c>
      <c r="W91" s="275">
        <v>1338322</v>
      </c>
      <c r="X91" s="275">
        <v>1839426</v>
      </c>
    </row>
    <row r="92" spans="1:25" ht="14.25" thickBot="1" x14ac:dyDescent="0.3">
      <c r="A92" s="251" t="s">
        <v>7</v>
      </c>
      <c r="B92" s="273">
        <v>756074</v>
      </c>
      <c r="C92" s="273">
        <v>791794</v>
      </c>
      <c r="D92" s="273">
        <v>1218366</v>
      </c>
      <c r="E92" s="273">
        <v>1373609</v>
      </c>
      <c r="F92" s="273">
        <v>993442</v>
      </c>
      <c r="G92" s="273">
        <v>975655</v>
      </c>
      <c r="H92" s="273">
        <v>1079900</v>
      </c>
      <c r="I92" s="273">
        <v>1080744</v>
      </c>
      <c r="J92" s="273">
        <v>745766</v>
      </c>
      <c r="K92" s="273">
        <v>1161036</v>
      </c>
      <c r="L92" s="273">
        <v>1200780</v>
      </c>
      <c r="M92" s="273">
        <v>1548248</v>
      </c>
      <c r="N92" s="273">
        <v>687421</v>
      </c>
      <c r="O92" s="273">
        <v>1198330</v>
      </c>
      <c r="P92" s="273">
        <v>984110</v>
      </c>
      <c r="Q92" s="273">
        <v>1609872</v>
      </c>
      <c r="R92" s="273">
        <v>629156</v>
      </c>
      <c r="S92" s="273">
        <v>978897</v>
      </c>
      <c r="T92" s="273">
        <v>850002</v>
      </c>
      <c r="U92" s="273">
        <v>1851016</v>
      </c>
      <c r="V92" s="273">
        <v>692877</v>
      </c>
      <c r="W92" s="273">
        <v>1103949</v>
      </c>
      <c r="X92" s="273">
        <v>1530555</v>
      </c>
    </row>
    <row r="93" spans="1:25" ht="26.25" thickBot="1" x14ac:dyDescent="0.3">
      <c r="A93" s="252" t="s">
        <v>8</v>
      </c>
      <c r="B93" s="276">
        <v>727485</v>
      </c>
      <c r="C93" s="276">
        <v>741530</v>
      </c>
      <c r="D93" s="276">
        <v>1117159</v>
      </c>
      <c r="E93" s="276">
        <v>1258061</v>
      </c>
      <c r="F93" s="276">
        <v>954472</v>
      </c>
      <c r="G93" s="276">
        <v>886369</v>
      </c>
      <c r="H93" s="276">
        <v>933012</v>
      </c>
      <c r="I93" s="276">
        <v>1008176</v>
      </c>
      <c r="J93" s="276">
        <v>676933</v>
      </c>
      <c r="K93" s="276">
        <v>1003429</v>
      </c>
      <c r="L93" s="276">
        <v>1010211</v>
      </c>
      <c r="M93" s="276">
        <v>1390366</v>
      </c>
      <c r="N93" s="276">
        <v>602243</v>
      </c>
      <c r="O93" s="276">
        <v>1034743</v>
      </c>
      <c r="P93" s="276">
        <v>830530</v>
      </c>
      <c r="Q93" s="276">
        <v>1380475</v>
      </c>
      <c r="R93" s="276">
        <v>522934</v>
      </c>
      <c r="S93" s="276">
        <v>828387</v>
      </c>
      <c r="T93" s="276">
        <v>773188</v>
      </c>
      <c r="U93" s="276">
        <v>1406559</v>
      </c>
      <c r="V93" s="276">
        <v>607881</v>
      </c>
      <c r="W93" s="276">
        <v>882648</v>
      </c>
      <c r="X93" s="276">
        <v>1227208</v>
      </c>
    </row>
    <row r="94" spans="1:25" x14ac:dyDescent="0.25">
      <c r="A94" s="233" t="s">
        <v>365</v>
      </c>
      <c r="B94" s="253">
        <f>IF(B91="","",B91-B90)</f>
        <v>324348</v>
      </c>
      <c r="C94" s="253">
        <f>IF(C91="","",C91-C90)</f>
        <v>56475</v>
      </c>
      <c r="D94" s="253">
        <f t="shared" ref="D94:Y94" si="9">IF(D91="","",D91-D90)</f>
        <v>263236</v>
      </c>
      <c r="E94" s="253">
        <f t="shared" si="9"/>
        <v>262134</v>
      </c>
      <c r="F94" s="253">
        <f t="shared" si="9"/>
        <v>305773</v>
      </c>
      <c r="G94" s="253">
        <f t="shared" si="9"/>
        <v>175174</v>
      </c>
      <c r="H94" s="253">
        <f t="shared" si="9"/>
        <v>316913</v>
      </c>
      <c r="I94" s="253">
        <f t="shared" si="9"/>
        <v>-67569</v>
      </c>
      <c r="J94" s="253">
        <f t="shared" si="9"/>
        <v>154726</v>
      </c>
      <c r="K94" s="253">
        <f t="shared" si="9"/>
        <v>481006</v>
      </c>
      <c r="L94" s="253">
        <f t="shared" si="9"/>
        <v>128113</v>
      </c>
      <c r="M94" s="253">
        <f t="shared" si="9"/>
        <v>161981</v>
      </c>
      <c r="N94" s="253">
        <f t="shared" si="9"/>
        <v>114023</v>
      </c>
      <c r="O94" s="253">
        <f t="shared" si="9"/>
        <v>417799</v>
      </c>
      <c r="P94" s="253">
        <f t="shared" si="9"/>
        <v>-15230</v>
      </c>
      <c r="Q94" s="253">
        <f t="shared" si="9"/>
        <v>207746</v>
      </c>
      <c r="R94" s="253">
        <f t="shared" si="9"/>
        <v>181192</v>
      </c>
      <c r="S94" s="253">
        <f t="shared" si="9"/>
        <v>169704</v>
      </c>
      <c r="T94" s="253">
        <f t="shared" si="9"/>
        <v>-1145521</v>
      </c>
      <c r="U94" s="253">
        <f t="shared" si="9"/>
        <v>1125909</v>
      </c>
      <c r="V94" s="253">
        <f t="shared" si="9"/>
        <v>39610</v>
      </c>
      <c r="W94" s="253">
        <f t="shared" si="9"/>
        <v>291123</v>
      </c>
      <c r="X94" s="253">
        <f t="shared" si="9"/>
        <v>166006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67509651</v>
      </c>
      <c r="C97" s="273">
        <v>74539148</v>
      </c>
      <c r="D97" s="273">
        <v>80110692</v>
      </c>
      <c r="E97" s="273">
        <v>80663369</v>
      </c>
      <c r="F97" s="273">
        <v>77018060</v>
      </c>
    </row>
    <row r="98" spans="1:24" ht="14.25" thickBot="1" x14ac:dyDescent="0.3">
      <c r="A98" s="225" t="s">
        <v>4</v>
      </c>
      <c r="B98" s="275">
        <v>10684315</v>
      </c>
      <c r="C98" s="275">
        <v>11438939</v>
      </c>
      <c r="D98" s="275">
        <v>12546250</v>
      </c>
      <c r="E98" s="275">
        <v>12251817</v>
      </c>
      <c r="F98" s="275">
        <v>13517449</v>
      </c>
    </row>
    <row r="99" spans="1:24" ht="14.25" thickBot="1" x14ac:dyDescent="0.3">
      <c r="A99" s="224" t="s">
        <v>5</v>
      </c>
      <c r="B99" s="273">
        <v>4018026</v>
      </c>
      <c r="C99" s="273">
        <v>4252729</v>
      </c>
      <c r="D99" s="273">
        <v>4681669</v>
      </c>
      <c r="E99" s="273">
        <v>4605263</v>
      </c>
      <c r="F99" s="273">
        <v>5028077</v>
      </c>
    </row>
    <row r="100" spans="1:24" ht="14.25" thickBot="1" x14ac:dyDescent="0.3">
      <c r="A100" s="225" t="s">
        <v>6</v>
      </c>
      <c r="B100" s="275">
        <v>4924219</v>
      </c>
      <c r="C100" s="275">
        <v>4983020</v>
      </c>
      <c r="D100" s="275">
        <v>5605857</v>
      </c>
      <c r="E100" s="275">
        <v>5329348</v>
      </c>
      <c r="F100" s="275">
        <v>5359361</v>
      </c>
    </row>
    <row r="101" spans="1:24" ht="14.25" thickBot="1" x14ac:dyDescent="0.3">
      <c r="A101" s="224" t="s">
        <v>7</v>
      </c>
      <c r="B101" s="273">
        <v>4139843</v>
      </c>
      <c r="C101" s="273">
        <v>4129741</v>
      </c>
      <c r="D101" s="273">
        <v>4655830</v>
      </c>
      <c r="E101" s="273">
        <v>4479733</v>
      </c>
      <c r="F101" s="273">
        <v>4309071</v>
      </c>
    </row>
    <row r="102" spans="1:24" ht="14.25" thickBot="1" x14ac:dyDescent="0.3">
      <c r="A102" s="227" t="s">
        <v>8</v>
      </c>
      <c r="B102" s="276">
        <v>3844235</v>
      </c>
      <c r="C102" s="276">
        <v>3782029</v>
      </c>
      <c r="D102" s="276">
        <v>4080939</v>
      </c>
      <c r="E102" s="276">
        <v>3847991</v>
      </c>
      <c r="F102" s="276">
        <v>3531068</v>
      </c>
    </row>
    <row r="103" spans="1:24" x14ac:dyDescent="0.25">
      <c r="A103" s="233" t="s">
        <v>262</v>
      </c>
      <c r="B103" s="234">
        <f>IF(OR(B102="",B102="無"),"",B102/B101)</f>
        <v>0.92859439355550444</v>
      </c>
      <c r="C103" s="234">
        <f>IF(OR(C102="",C102="無"),"",C102/C101)</f>
        <v>0.91580295229168129</v>
      </c>
      <c r="D103" s="234">
        <f>IF(OR(D102="",D102="無"),"",D102/D101)</f>
        <v>0.87652233865927232</v>
      </c>
      <c r="E103" s="234">
        <f>IF(OR(E102="",E102="無"),"",E102/E101)</f>
        <v>0.85897775604037119</v>
      </c>
      <c r="F103" s="234">
        <f>IF(OR(F102="",F102="無"),"",F102/F101)</f>
        <v>0.81944994640376079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1376850</v>
      </c>
      <c r="C106" s="273">
        <v>1348909</v>
      </c>
      <c r="D106" s="273">
        <v>1284582</v>
      </c>
      <c r="E106" s="273">
        <v>1838493</v>
      </c>
      <c r="F106" s="273">
        <v>1425655</v>
      </c>
      <c r="G106" s="273">
        <v>1491256</v>
      </c>
      <c r="H106" s="273">
        <v>1526626</v>
      </c>
      <c r="I106" s="273">
        <v>1578337</v>
      </c>
      <c r="J106" s="273">
        <v>2239329</v>
      </c>
      <c r="K106" s="273">
        <v>1681611</v>
      </c>
      <c r="L106" s="273">
        <v>2132177</v>
      </c>
      <c r="M106" s="273">
        <v>1980696</v>
      </c>
      <c r="N106" s="273">
        <v>1956849</v>
      </c>
      <c r="O106" s="273">
        <v>1814918</v>
      </c>
      <c r="P106" s="273">
        <v>2967872</v>
      </c>
      <c r="Q106" s="273">
        <v>2349599</v>
      </c>
      <c r="R106" s="273">
        <v>2157294</v>
      </c>
      <c r="S106" s="273">
        <v>2090567</v>
      </c>
      <c r="T106" s="273">
        <v>3037407</v>
      </c>
      <c r="U106" s="273">
        <v>3076607</v>
      </c>
      <c r="V106" s="273">
        <v>6547866</v>
      </c>
      <c r="W106" s="273">
        <v>2611406</v>
      </c>
      <c r="X106" s="273">
        <v>2671585</v>
      </c>
    </row>
    <row r="107" spans="1:24" ht="14.25" thickBot="1" x14ac:dyDescent="0.3">
      <c r="A107" s="225" t="s">
        <v>22</v>
      </c>
      <c r="B107" s="275">
        <v>4811750</v>
      </c>
      <c r="C107" s="275">
        <v>4416008</v>
      </c>
      <c r="D107" s="275">
        <v>4398528</v>
      </c>
      <c r="E107" s="275">
        <v>3580295</v>
      </c>
      <c r="F107" s="275">
        <v>4394651</v>
      </c>
      <c r="G107" s="275">
        <v>4497317</v>
      </c>
      <c r="H107" s="275">
        <v>4857310</v>
      </c>
      <c r="I107" s="275">
        <v>5655056</v>
      </c>
      <c r="J107" s="275">
        <v>5953118</v>
      </c>
      <c r="K107" s="275">
        <v>5179414</v>
      </c>
      <c r="L107" s="275">
        <v>5142976</v>
      </c>
      <c r="M107" s="275">
        <v>5418903</v>
      </c>
      <c r="N107" s="275">
        <v>5367025</v>
      </c>
      <c r="O107" s="275">
        <v>4636747</v>
      </c>
      <c r="P107" s="275">
        <v>4961191</v>
      </c>
      <c r="Q107" s="275">
        <v>4407165</v>
      </c>
      <c r="R107" s="275">
        <v>3578414</v>
      </c>
      <c r="S107" s="275">
        <v>4070057</v>
      </c>
      <c r="T107" s="275">
        <v>4263027</v>
      </c>
      <c r="U107" s="275">
        <v>4558973</v>
      </c>
      <c r="V107" s="275">
        <v>4809917</v>
      </c>
      <c r="W107" s="275">
        <v>5563626</v>
      </c>
      <c r="X107" s="275">
        <v>5510732</v>
      </c>
    </row>
    <row r="108" spans="1:24" ht="14.25" thickBot="1" x14ac:dyDescent="0.3">
      <c r="A108" s="224" t="s">
        <v>263</v>
      </c>
      <c r="B108" s="273">
        <v>13092813</v>
      </c>
      <c r="C108" s="273">
        <v>14682419</v>
      </c>
      <c r="D108" s="273">
        <v>16606136</v>
      </c>
      <c r="E108" s="273">
        <v>17272721</v>
      </c>
      <c r="F108" s="273">
        <v>16260890</v>
      </c>
      <c r="G108" s="273">
        <v>17741761</v>
      </c>
      <c r="H108" s="273">
        <v>18648608</v>
      </c>
      <c r="I108" s="273">
        <v>18485399</v>
      </c>
      <c r="J108" s="273">
        <v>16175508</v>
      </c>
      <c r="K108" s="273">
        <v>16968186</v>
      </c>
      <c r="L108" s="273">
        <v>18774436</v>
      </c>
      <c r="M108" s="273">
        <v>19171279</v>
      </c>
      <c r="N108" s="273">
        <v>16415465</v>
      </c>
      <c r="O108" s="273">
        <v>19496119</v>
      </c>
      <c r="P108" s="273">
        <v>21224707</v>
      </c>
      <c r="Q108" s="273">
        <v>18669856</v>
      </c>
      <c r="R108" s="273">
        <v>16691425</v>
      </c>
      <c r="S108" s="273">
        <v>18376668</v>
      </c>
      <c r="T108" s="273">
        <v>20093808</v>
      </c>
      <c r="U108" s="273">
        <v>20031820</v>
      </c>
      <c r="V108" s="273">
        <v>17225599</v>
      </c>
      <c r="W108" s="273">
        <v>18914875</v>
      </c>
      <c r="X108" s="273">
        <v>22025560</v>
      </c>
    </row>
    <row r="109" spans="1:24" ht="14.25" thickBot="1" x14ac:dyDescent="0.3">
      <c r="A109" s="225" t="s">
        <v>264</v>
      </c>
      <c r="B109" s="275">
        <v>8172237</v>
      </c>
      <c r="C109" s="275">
        <v>8276440</v>
      </c>
      <c r="D109" s="275">
        <v>8805128</v>
      </c>
      <c r="E109" s="275">
        <v>8541427</v>
      </c>
      <c r="F109" s="275">
        <v>9217018</v>
      </c>
      <c r="G109" s="275">
        <v>8247022</v>
      </c>
      <c r="H109" s="275">
        <v>8734724</v>
      </c>
      <c r="I109" s="275">
        <v>8702039</v>
      </c>
      <c r="J109" s="275">
        <v>8883579</v>
      </c>
      <c r="K109" s="275">
        <v>7900732</v>
      </c>
      <c r="L109" s="275">
        <v>9663397</v>
      </c>
      <c r="M109" s="275">
        <v>10018702</v>
      </c>
      <c r="N109" s="275">
        <v>10226355</v>
      </c>
      <c r="O109" s="275">
        <v>9097508</v>
      </c>
      <c r="P109" s="275">
        <v>10018031</v>
      </c>
      <c r="Q109" s="275">
        <v>9413581</v>
      </c>
      <c r="R109" s="275">
        <v>9049681</v>
      </c>
      <c r="S109" s="275">
        <v>8534974</v>
      </c>
      <c r="T109" s="275">
        <v>9869498</v>
      </c>
      <c r="U109" s="275">
        <v>10294196</v>
      </c>
      <c r="V109" s="275">
        <v>10068538</v>
      </c>
      <c r="W109" s="275">
        <v>9883967</v>
      </c>
      <c r="X109" s="275">
        <v>11597956</v>
      </c>
    </row>
    <row r="110" spans="1:24" ht="14.25" thickBot="1" x14ac:dyDescent="0.3">
      <c r="A110" s="224" t="s">
        <v>23</v>
      </c>
      <c r="B110" s="273">
        <v>1054684</v>
      </c>
      <c r="C110" s="273">
        <v>1399303</v>
      </c>
      <c r="D110" s="273">
        <v>1030021</v>
      </c>
      <c r="E110" s="273">
        <v>1176203</v>
      </c>
      <c r="F110" s="273">
        <v>1175829</v>
      </c>
      <c r="G110" s="273">
        <v>1563825</v>
      </c>
      <c r="H110" s="273">
        <v>1249308</v>
      </c>
      <c r="I110" s="273">
        <v>1057152</v>
      </c>
      <c r="J110" s="273">
        <v>2184673</v>
      </c>
      <c r="K110" s="273">
        <v>1474582</v>
      </c>
      <c r="L110" s="273">
        <v>1380981</v>
      </c>
      <c r="M110" s="273">
        <v>2000972</v>
      </c>
      <c r="N110" s="273">
        <v>2651683</v>
      </c>
      <c r="O110" s="273">
        <v>2871417</v>
      </c>
      <c r="P110" s="273">
        <v>1807881</v>
      </c>
      <c r="Q110" s="273">
        <v>1577595</v>
      </c>
      <c r="R110" s="273">
        <v>1795259</v>
      </c>
      <c r="S110" s="273">
        <v>1618326</v>
      </c>
      <c r="T110" s="273">
        <v>1675683</v>
      </c>
      <c r="U110" s="273">
        <v>1860896</v>
      </c>
      <c r="V110" s="273">
        <v>1937923</v>
      </c>
      <c r="W110" s="273">
        <v>1759829</v>
      </c>
      <c r="X110" s="273">
        <v>1907955</v>
      </c>
    </row>
    <row r="111" spans="1:24" ht="14.25" thickBot="1" x14ac:dyDescent="0.3">
      <c r="A111" s="225" t="s">
        <v>24</v>
      </c>
      <c r="B111" s="275">
        <v>28508334</v>
      </c>
      <c r="C111" s="275">
        <v>30123079</v>
      </c>
      <c r="D111" s="275">
        <v>32124395</v>
      </c>
      <c r="E111" s="275">
        <v>32409139</v>
      </c>
      <c r="F111" s="275">
        <v>32474043</v>
      </c>
      <c r="G111" s="275">
        <v>33541181</v>
      </c>
      <c r="H111" s="275">
        <v>35016576</v>
      </c>
      <c r="I111" s="275">
        <v>35477983</v>
      </c>
      <c r="J111" s="275">
        <v>35436207</v>
      </c>
      <c r="K111" s="275">
        <v>33204525</v>
      </c>
      <c r="L111" s="275">
        <v>37093967</v>
      </c>
      <c r="M111" s="275">
        <v>38590552</v>
      </c>
      <c r="N111" s="275">
        <v>36617377</v>
      </c>
      <c r="O111" s="275">
        <v>37916709</v>
      </c>
      <c r="P111" s="275">
        <v>40979682</v>
      </c>
      <c r="Q111" s="275">
        <v>36417796</v>
      </c>
      <c r="R111" s="275">
        <v>33272073</v>
      </c>
      <c r="S111" s="275">
        <v>34690592</v>
      </c>
      <c r="T111" s="275">
        <v>38939423</v>
      </c>
      <c r="U111" s="275">
        <v>39822492</v>
      </c>
      <c r="V111" s="275">
        <v>40589843</v>
      </c>
      <c r="W111" s="275">
        <v>38733703</v>
      </c>
      <c r="X111" s="275">
        <v>43713788</v>
      </c>
    </row>
    <row r="112" spans="1:24" ht="14.25" thickBot="1" x14ac:dyDescent="0.3">
      <c r="A112" s="224" t="s">
        <v>25</v>
      </c>
      <c r="B112" s="273">
        <v>3200474</v>
      </c>
      <c r="C112" s="273">
        <v>2676321</v>
      </c>
      <c r="D112" s="273">
        <v>2775205</v>
      </c>
      <c r="E112" s="273">
        <v>2612070</v>
      </c>
      <c r="F112" s="273">
        <v>2292193</v>
      </c>
      <c r="G112" s="273">
        <v>2077820</v>
      </c>
      <c r="H112" s="273">
        <v>1620109</v>
      </c>
      <c r="I112" s="273">
        <v>2089373</v>
      </c>
      <c r="J112" s="273">
        <v>2267351</v>
      </c>
      <c r="K112" s="273">
        <v>2217774</v>
      </c>
      <c r="L112" s="273">
        <v>2077111</v>
      </c>
      <c r="M112" s="273">
        <v>2657143</v>
      </c>
      <c r="N112" s="273">
        <v>2557621</v>
      </c>
      <c r="O112" s="273">
        <v>2642839</v>
      </c>
      <c r="P112" s="273">
        <v>2626357</v>
      </c>
      <c r="Q112" s="273">
        <v>3513705</v>
      </c>
      <c r="R112" s="273">
        <v>3715649</v>
      </c>
      <c r="S112" s="273">
        <v>4098388</v>
      </c>
      <c r="T112" s="273">
        <v>3997861</v>
      </c>
      <c r="U112" s="273">
        <v>4062592</v>
      </c>
      <c r="V112" s="273">
        <v>4505618</v>
      </c>
      <c r="W112" s="273">
        <v>4307501</v>
      </c>
      <c r="X112" s="273">
        <v>4012616</v>
      </c>
    </row>
    <row r="113" spans="1:24" ht="14.25" thickBot="1" x14ac:dyDescent="0.3">
      <c r="A113" s="225" t="s">
        <v>26</v>
      </c>
      <c r="B113" s="275">
        <v>9840614</v>
      </c>
      <c r="C113" s="275">
        <v>10064291</v>
      </c>
      <c r="D113" s="275">
        <v>10118316</v>
      </c>
      <c r="E113" s="275">
        <v>10483476</v>
      </c>
      <c r="F113" s="275">
        <v>10638757</v>
      </c>
      <c r="G113" s="275">
        <v>11260603</v>
      </c>
      <c r="H113" s="275">
        <v>11482897</v>
      </c>
      <c r="I113" s="275">
        <v>11742080</v>
      </c>
      <c r="J113" s="275">
        <v>11898831</v>
      </c>
      <c r="K113" s="275">
        <v>12475373</v>
      </c>
      <c r="L113" s="275">
        <v>13452664</v>
      </c>
      <c r="M113" s="275">
        <v>14204652</v>
      </c>
      <c r="N113" s="275">
        <v>14073132</v>
      </c>
      <c r="O113" s="275">
        <v>14186288</v>
      </c>
      <c r="P113" s="275">
        <v>14874924</v>
      </c>
      <c r="Q113" s="275">
        <v>15461482</v>
      </c>
      <c r="R113" s="275">
        <v>15551461</v>
      </c>
      <c r="S113" s="275">
        <v>15398854</v>
      </c>
      <c r="T113" s="275">
        <v>15296775</v>
      </c>
      <c r="U113" s="275">
        <v>13495266</v>
      </c>
      <c r="V113" s="275">
        <v>12975487</v>
      </c>
      <c r="W113" s="275">
        <v>13137291</v>
      </c>
      <c r="X113" s="275">
        <v>13298637</v>
      </c>
    </row>
    <row r="114" spans="1:24" ht="14.25" thickBot="1" x14ac:dyDescent="0.3">
      <c r="A114" s="224" t="s">
        <v>27</v>
      </c>
      <c r="B114" s="273">
        <v>609641</v>
      </c>
      <c r="C114" s="273">
        <v>576924</v>
      </c>
      <c r="D114" s="273">
        <v>568048</v>
      </c>
      <c r="E114" s="273">
        <v>559779</v>
      </c>
      <c r="F114" s="273">
        <v>1226351</v>
      </c>
      <c r="G114" s="273">
        <v>1350990</v>
      </c>
      <c r="H114" s="273">
        <v>1414481</v>
      </c>
      <c r="I114" s="273">
        <v>1590574</v>
      </c>
      <c r="J114" s="273">
        <v>1691778</v>
      </c>
      <c r="K114" s="273">
        <v>1463228</v>
      </c>
      <c r="L114" s="273">
        <v>1667802</v>
      </c>
      <c r="M114" s="273">
        <v>1547411</v>
      </c>
      <c r="N114" s="273">
        <v>3363442</v>
      </c>
      <c r="O114" s="273">
        <v>3331919</v>
      </c>
      <c r="P114" s="273">
        <v>4442017</v>
      </c>
      <c r="Q114" s="273">
        <v>3667201</v>
      </c>
      <c r="R114" s="273">
        <v>3745870</v>
      </c>
      <c r="S114" s="273">
        <v>3813169</v>
      </c>
      <c r="T114" s="273">
        <v>3642021</v>
      </c>
      <c r="U114" s="273">
        <v>6917426</v>
      </c>
      <c r="V114" s="273">
        <v>6885737</v>
      </c>
      <c r="W114" s="273">
        <v>7034531</v>
      </c>
      <c r="X114" s="273">
        <v>7208840</v>
      </c>
    </row>
    <row r="115" spans="1:24" ht="14.25" thickBot="1" x14ac:dyDescent="0.3">
      <c r="A115" s="225" t="s">
        <v>265</v>
      </c>
      <c r="B115" s="276">
        <v>42159063</v>
      </c>
      <c r="C115" s="276">
        <v>43440615</v>
      </c>
      <c r="D115" s="276">
        <v>45585964</v>
      </c>
      <c r="E115" s="276">
        <v>46064464</v>
      </c>
      <c r="F115" s="276">
        <v>46631344</v>
      </c>
      <c r="G115" s="276">
        <v>48230594</v>
      </c>
      <c r="H115" s="276">
        <v>49534063</v>
      </c>
      <c r="I115" s="276">
        <v>50900010</v>
      </c>
      <c r="J115" s="276">
        <v>51294167</v>
      </c>
      <c r="K115" s="276">
        <v>49360900</v>
      </c>
      <c r="L115" s="276">
        <v>54291544</v>
      </c>
      <c r="M115" s="276">
        <v>56999758</v>
      </c>
      <c r="N115" s="276">
        <v>56611572</v>
      </c>
      <c r="O115" s="276">
        <v>58077755</v>
      </c>
      <c r="P115" s="276">
        <v>62922980</v>
      </c>
      <c r="Q115" s="276">
        <v>59060184</v>
      </c>
      <c r="R115" s="276">
        <v>56285053</v>
      </c>
      <c r="S115" s="276">
        <v>58001003</v>
      </c>
      <c r="T115" s="276">
        <v>61876080</v>
      </c>
      <c r="U115" s="276">
        <v>64297776</v>
      </c>
      <c r="V115" s="276">
        <v>64956685</v>
      </c>
      <c r="W115" s="276">
        <v>63213026</v>
      </c>
      <c r="X115" s="276">
        <v>68233881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3001784</v>
      </c>
      <c r="C118" s="273">
        <v>2879307</v>
      </c>
      <c r="D118" s="273">
        <v>3559598</v>
      </c>
      <c r="E118" s="273">
        <v>1703897</v>
      </c>
      <c r="F118" s="273">
        <v>1850686</v>
      </c>
      <c r="G118" s="273">
        <v>2027325</v>
      </c>
      <c r="H118" s="273">
        <v>3788323</v>
      </c>
      <c r="I118" s="273">
        <v>697601</v>
      </c>
      <c r="J118" s="273">
        <v>2199816</v>
      </c>
      <c r="K118" s="273">
        <v>1722246</v>
      </c>
      <c r="L118" s="273">
        <v>3661258</v>
      </c>
      <c r="M118" s="273">
        <v>2098920</v>
      </c>
      <c r="N118" s="273">
        <v>3916704</v>
      </c>
      <c r="O118" s="273">
        <v>6412652</v>
      </c>
      <c r="P118" s="273">
        <v>6030909</v>
      </c>
      <c r="Q118" s="273">
        <v>2473216</v>
      </c>
      <c r="R118" s="273">
        <v>3743981</v>
      </c>
      <c r="S118" s="273">
        <v>4164292</v>
      </c>
      <c r="T118" s="273">
        <v>3727759</v>
      </c>
      <c r="U118" s="273">
        <v>2101177</v>
      </c>
      <c r="V118" s="273">
        <v>7219755</v>
      </c>
      <c r="W118" s="273">
        <v>4732495</v>
      </c>
      <c r="X118" s="273">
        <v>6864341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5">
        <v>150000</v>
      </c>
      <c r="E119" s="274">
        <v>0</v>
      </c>
      <c r="F119" s="274">
        <v>0</v>
      </c>
      <c r="G119" s="274">
        <v>0</v>
      </c>
      <c r="H119" s="275">
        <v>250000</v>
      </c>
      <c r="I119" s="274">
        <v>0</v>
      </c>
      <c r="J119" s="274">
        <v>0</v>
      </c>
      <c r="K119" s="275">
        <v>10000</v>
      </c>
      <c r="L119" s="274">
        <v>0</v>
      </c>
      <c r="M119" s="274">
        <v>0</v>
      </c>
      <c r="N119" s="274">
        <v>0</v>
      </c>
      <c r="O119" s="274">
        <v>0</v>
      </c>
      <c r="P119" s="275">
        <v>300000</v>
      </c>
      <c r="Q119" s="274">
        <v>0</v>
      </c>
      <c r="R119" s="274">
        <v>0</v>
      </c>
      <c r="S119" s="274">
        <v>0</v>
      </c>
      <c r="T119" s="275">
        <v>250000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11126406</v>
      </c>
      <c r="C120" s="273">
        <v>12146879</v>
      </c>
      <c r="D120" s="273">
        <v>12904833</v>
      </c>
      <c r="E120" s="273">
        <v>14729078</v>
      </c>
      <c r="F120" s="273">
        <v>13144315</v>
      </c>
      <c r="G120" s="273">
        <v>12898111</v>
      </c>
      <c r="H120" s="273">
        <v>14530857</v>
      </c>
      <c r="I120" s="273">
        <v>16617832</v>
      </c>
      <c r="J120" s="273">
        <v>14991587</v>
      </c>
      <c r="K120" s="273">
        <v>13817502</v>
      </c>
      <c r="L120" s="273">
        <v>17802463</v>
      </c>
      <c r="M120" s="273">
        <v>19571788</v>
      </c>
      <c r="N120" s="273">
        <v>15463219</v>
      </c>
      <c r="O120" s="273">
        <v>14800376</v>
      </c>
      <c r="P120" s="273">
        <v>19991852</v>
      </c>
      <c r="Q120" s="273">
        <v>19104743</v>
      </c>
      <c r="R120" s="273">
        <v>15508011</v>
      </c>
      <c r="S120" s="273">
        <v>15601108</v>
      </c>
      <c r="T120" s="273">
        <v>20389290</v>
      </c>
      <c r="U120" s="273">
        <v>20794743</v>
      </c>
      <c r="V120" s="273">
        <v>16777687</v>
      </c>
      <c r="W120" s="273">
        <v>16659010</v>
      </c>
      <c r="X120" s="273">
        <v>21333108</v>
      </c>
    </row>
    <row r="121" spans="1:24" ht="14.25" thickBot="1" x14ac:dyDescent="0.3">
      <c r="A121" s="225" t="s">
        <v>267</v>
      </c>
      <c r="B121" s="274">
        <v>0</v>
      </c>
      <c r="C121" s="275">
        <v>190335</v>
      </c>
      <c r="D121" s="275">
        <v>173424</v>
      </c>
      <c r="E121" s="275">
        <v>35688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1704755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273">
        <v>1839563</v>
      </c>
      <c r="I122" s="273">
        <v>446925</v>
      </c>
      <c r="J122" s="68">
        <v>0</v>
      </c>
      <c r="K122" s="68">
        <v>0</v>
      </c>
      <c r="L122" s="273">
        <v>395525</v>
      </c>
      <c r="M122" s="273">
        <v>411060</v>
      </c>
      <c r="N122" s="273">
        <v>406965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5225228</v>
      </c>
      <c r="C123" s="275">
        <v>7494653</v>
      </c>
      <c r="D123" s="275">
        <v>5692012</v>
      </c>
      <c r="E123" s="275">
        <v>5762037</v>
      </c>
      <c r="F123" s="275">
        <v>5960331</v>
      </c>
      <c r="G123" s="275">
        <v>8991317</v>
      </c>
      <c r="H123" s="275">
        <v>6191574</v>
      </c>
      <c r="I123" s="275">
        <v>7386933</v>
      </c>
      <c r="J123" s="275">
        <v>8617153</v>
      </c>
      <c r="K123" s="275">
        <v>10898843</v>
      </c>
      <c r="L123" s="275">
        <v>7918211</v>
      </c>
      <c r="M123" s="275">
        <v>8375014</v>
      </c>
      <c r="N123" s="275">
        <v>7812801</v>
      </c>
      <c r="O123" s="275">
        <v>11697441</v>
      </c>
      <c r="P123" s="275">
        <v>9076949</v>
      </c>
      <c r="Q123" s="275">
        <v>8645152</v>
      </c>
      <c r="R123" s="275">
        <v>7909810</v>
      </c>
      <c r="S123" s="275">
        <v>11097395</v>
      </c>
      <c r="T123" s="275">
        <v>8335617</v>
      </c>
      <c r="U123" s="275">
        <v>10168848</v>
      </c>
      <c r="V123" s="275">
        <v>10500326</v>
      </c>
      <c r="W123" s="275">
        <v>13280105</v>
      </c>
      <c r="X123" s="275">
        <v>10566971</v>
      </c>
    </row>
    <row r="124" spans="1:24" ht="14.25" thickBot="1" x14ac:dyDescent="0.3">
      <c r="A124" s="224" t="s">
        <v>268</v>
      </c>
      <c r="B124" s="273">
        <v>21058173</v>
      </c>
      <c r="C124" s="273">
        <v>22711174</v>
      </c>
      <c r="D124" s="273">
        <v>22479867</v>
      </c>
      <c r="E124" s="273">
        <v>22230700</v>
      </c>
      <c r="F124" s="273">
        <v>20955332</v>
      </c>
      <c r="G124" s="273">
        <v>23916753</v>
      </c>
      <c r="H124" s="273">
        <v>26600317</v>
      </c>
      <c r="I124" s="273">
        <v>25149291</v>
      </c>
      <c r="J124" s="273">
        <v>25808556</v>
      </c>
      <c r="K124" s="273">
        <v>26448591</v>
      </c>
      <c r="L124" s="273">
        <v>29777457</v>
      </c>
      <c r="M124" s="273">
        <v>30456782</v>
      </c>
      <c r="N124" s="273">
        <v>27599689</v>
      </c>
      <c r="O124" s="273">
        <v>32910469</v>
      </c>
      <c r="P124" s="273">
        <v>35399710</v>
      </c>
      <c r="Q124" s="273">
        <v>30223111</v>
      </c>
      <c r="R124" s="273">
        <v>27161802</v>
      </c>
      <c r="S124" s="273">
        <v>30862795</v>
      </c>
      <c r="T124" s="273">
        <v>32702666</v>
      </c>
      <c r="U124" s="273">
        <v>33064768</v>
      </c>
      <c r="V124" s="273">
        <v>34497768</v>
      </c>
      <c r="W124" s="273">
        <v>34671610</v>
      </c>
      <c r="X124" s="273">
        <v>38764420</v>
      </c>
    </row>
    <row r="125" spans="1:24" ht="14.25" thickBot="1" x14ac:dyDescent="0.3">
      <c r="A125" s="225" t="s">
        <v>32</v>
      </c>
      <c r="B125" s="275">
        <v>2160000</v>
      </c>
      <c r="C125" s="275">
        <v>3683370</v>
      </c>
      <c r="D125" s="275">
        <v>4854806</v>
      </c>
      <c r="E125" s="275">
        <v>4844280</v>
      </c>
      <c r="F125" s="275">
        <v>4671099</v>
      </c>
      <c r="G125" s="275">
        <v>3897682</v>
      </c>
      <c r="H125" s="275">
        <v>1387795</v>
      </c>
      <c r="I125" s="275">
        <v>1447410</v>
      </c>
      <c r="J125" s="275">
        <v>662183</v>
      </c>
      <c r="K125" s="275">
        <v>676561</v>
      </c>
      <c r="L125" s="275">
        <v>716123</v>
      </c>
      <c r="M125" s="275">
        <v>716334</v>
      </c>
      <c r="N125" s="275">
        <v>2922566</v>
      </c>
      <c r="O125" s="275">
        <v>2891238</v>
      </c>
      <c r="P125" s="275">
        <v>2994209</v>
      </c>
      <c r="Q125" s="275">
        <v>2632556</v>
      </c>
      <c r="R125" s="275">
        <v>2718584</v>
      </c>
      <c r="S125" s="275">
        <v>2875272</v>
      </c>
      <c r="T125" s="275">
        <v>2766785</v>
      </c>
      <c r="U125" s="275">
        <v>2708075</v>
      </c>
      <c r="V125" s="275">
        <v>2181470</v>
      </c>
      <c r="W125" s="275">
        <v>2188278</v>
      </c>
      <c r="X125" s="275">
        <v>1797312</v>
      </c>
    </row>
    <row r="126" spans="1:24" ht="14.25" thickBot="1" x14ac:dyDescent="0.3">
      <c r="A126" s="224" t="s">
        <v>33</v>
      </c>
      <c r="B126" s="273">
        <v>80043</v>
      </c>
      <c r="C126" s="273">
        <v>86120</v>
      </c>
      <c r="D126" s="273">
        <v>84469</v>
      </c>
      <c r="E126" s="273">
        <v>96748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23298216</v>
      </c>
      <c r="C127" s="275">
        <v>26480664</v>
      </c>
      <c r="D127" s="275">
        <v>27419142</v>
      </c>
      <c r="E127" s="275">
        <v>27171728</v>
      </c>
      <c r="F127" s="275">
        <v>25626431</v>
      </c>
      <c r="G127" s="275">
        <v>27814435</v>
      </c>
      <c r="H127" s="275">
        <v>27988112</v>
      </c>
      <c r="I127" s="275">
        <v>26596701</v>
      </c>
      <c r="J127" s="275">
        <v>26470739</v>
      </c>
      <c r="K127" s="275">
        <v>27125152</v>
      </c>
      <c r="L127" s="275">
        <v>30493580</v>
      </c>
      <c r="M127" s="275">
        <v>31173116</v>
      </c>
      <c r="N127" s="275">
        <v>30522255</v>
      </c>
      <c r="O127" s="275">
        <v>35801707</v>
      </c>
      <c r="P127" s="275">
        <v>38393919</v>
      </c>
      <c r="Q127" s="275">
        <v>32855667</v>
      </c>
      <c r="R127" s="275">
        <v>29880386</v>
      </c>
      <c r="S127" s="275">
        <v>33738067</v>
      </c>
      <c r="T127" s="275">
        <v>35469451</v>
      </c>
      <c r="U127" s="275">
        <v>35772843</v>
      </c>
      <c r="V127" s="275">
        <v>36679238</v>
      </c>
      <c r="W127" s="275">
        <v>36859888</v>
      </c>
      <c r="X127" s="275">
        <v>40561732</v>
      </c>
    </row>
    <row r="128" spans="1:24" ht="14.25" thickBot="1" x14ac:dyDescent="0.3">
      <c r="A128" s="224" t="s">
        <v>34</v>
      </c>
      <c r="B128" s="273">
        <v>18860847</v>
      </c>
      <c r="C128" s="273">
        <v>16959951</v>
      </c>
      <c r="D128" s="273">
        <v>18166822</v>
      </c>
      <c r="E128" s="273">
        <v>18892736</v>
      </c>
      <c r="F128" s="273">
        <v>21004913</v>
      </c>
      <c r="G128" s="273">
        <v>20416159</v>
      </c>
      <c r="H128" s="273">
        <v>21545951</v>
      </c>
      <c r="I128" s="273">
        <v>24303309</v>
      </c>
      <c r="J128" s="273">
        <v>24823428</v>
      </c>
      <c r="K128" s="273">
        <v>22235748</v>
      </c>
      <c r="L128" s="273">
        <v>23797964</v>
      </c>
      <c r="M128" s="273">
        <v>25826642</v>
      </c>
      <c r="N128" s="273">
        <v>26089317</v>
      </c>
      <c r="O128" s="273">
        <v>22276048</v>
      </c>
      <c r="P128" s="273">
        <v>24529061</v>
      </c>
      <c r="Q128" s="273">
        <v>26204517</v>
      </c>
      <c r="R128" s="273">
        <v>26404667</v>
      </c>
      <c r="S128" s="273">
        <v>24262936</v>
      </c>
      <c r="T128" s="273">
        <v>26406629</v>
      </c>
      <c r="U128" s="273">
        <v>28524933</v>
      </c>
      <c r="V128" s="273">
        <v>28277447</v>
      </c>
      <c r="W128" s="273">
        <v>26353138</v>
      </c>
      <c r="X128" s="273">
        <v>27672149</v>
      </c>
    </row>
    <row r="129" spans="1:24" ht="14.25" thickBot="1" x14ac:dyDescent="0.3">
      <c r="A129" s="225" t="s">
        <v>35</v>
      </c>
      <c r="B129" s="276">
        <v>42159063</v>
      </c>
      <c r="C129" s="276">
        <v>43440615</v>
      </c>
      <c r="D129" s="276">
        <v>45585964</v>
      </c>
      <c r="E129" s="276">
        <v>46064464</v>
      </c>
      <c r="F129" s="276">
        <v>46631344</v>
      </c>
      <c r="G129" s="276">
        <v>48230594</v>
      </c>
      <c r="H129" s="276">
        <v>49534063</v>
      </c>
      <c r="I129" s="276">
        <v>50900010</v>
      </c>
      <c r="J129" s="276">
        <v>51294167</v>
      </c>
      <c r="K129" s="276">
        <v>49360900</v>
      </c>
      <c r="L129" s="276">
        <v>54291544</v>
      </c>
      <c r="M129" s="276">
        <v>56999758</v>
      </c>
      <c r="N129" s="276">
        <v>56611572</v>
      </c>
      <c r="O129" s="276">
        <v>58077755</v>
      </c>
      <c r="P129" s="276">
        <v>62922980</v>
      </c>
      <c r="Q129" s="276">
        <v>59060184</v>
      </c>
      <c r="R129" s="276">
        <v>56285053</v>
      </c>
      <c r="S129" s="276">
        <v>58001003</v>
      </c>
      <c r="T129" s="276">
        <v>61876080</v>
      </c>
      <c r="U129" s="276">
        <v>64297776</v>
      </c>
      <c r="V129" s="276">
        <v>64956685</v>
      </c>
      <c r="W129" s="276">
        <v>63213026</v>
      </c>
      <c r="X129" s="276">
        <v>68233881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9.6300000000000008</v>
      </c>
      <c r="C132" s="68">
        <v>12.12</v>
      </c>
      <c r="D132" s="68">
        <v>10.94</v>
      </c>
      <c r="E132" s="68">
        <v>12.34</v>
      </c>
      <c r="F132" s="68">
        <v>11.42</v>
      </c>
    </row>
    <row r="133" spans="1:24" ht="14.25" thickBot="1" x14ac:dyDescent="0.3">
      <c r="A133" s="225" t="s">
        <v>37</v>
      </c>
      <c r="B133" s="274">
        <v>-1.01</v>
      </c>
      <c r="C133" s="274">
        <v>-5.76</v>
      </c>
      <c r="D133" s="274">
        <v>-8.15</v>
      </c>
      <c r="E133" s="274">
        <v>-9.35</v>
      </c>
      <c r="F133" s="274">
        <v>-3.83</v>
      </c>
    </row>
    <row r="134" spans="1:24" ht="14.25" thickBot="1" x14ac:dyDescent="0.3">
      <c r="A134" s="224" t="s">
        <v>38</v>
      </c>
      <c r="B134" s="68">
        <v>-6.8</v>
      </c>
      <c r="C134" s="68">
        <v>-7.94</v>
      </c>
      <c r="D134" s="68">
        <v>-3.67</v>
      </c>
      <c r="E134" s="68">
        <v>-2.65</v>
      </c>
      <c r="F134" s="68">
        <v>-5.81</v>
      </c>
    </row>
    <row r="135" spans="1:24" ht="14.25" thickBot="1" x14ac:dyDescent="0.3">
      <c r="A135" s="225" t="s">
        <v>270</v>
      </c>
      <c r="B135" s="274">
        <v>8.6199999999999992</v>
      </c>
      <c r="C135" s="274">
        <v>6.37</v>
      </c>
      <c r="D135" s="274">
        <v>2.79</v>
      </c>
      <c r="E135" s="274">
        <v>2.99</v>
      </c>
      <c r="F135" s="274">
        <v>7.6</v>
      </c>
    </row>
    <row r="136" spans="1:24" ht="14.25" thickBot="1" x14ac:dyDescent="0.3">
      <c r="A136" s="229" t="s">
        <v>39</v>
      </c>
      <c r="B136" s="72">
        <v>1.82</v>
      </c>
      <c r="C136" s="72">
        <v>-1.57</v>
      </c>
      <c r="D136" s="72">
        <v>-0.88</v>
      </c>
      <c r="E136" s="72">
        <v>0.34</v>
      </c>
      <c r="F136" s="72">
        <v>1.78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4.0999999999999996</v>
      </c>
      <c r="C140" s="68">
        <v>4.5999999999999996</v>
      </c>
      <c r="D140" s="68">
        <v>4.6500000000000004</v>
      </c>
      <c r="E140" s="68">
        <v>4.3</v>
      </c>
      <c r="F140" s="68">
        <v>4.25</v>
      </c>
    </row>
    <row r="141" spans="1:24" ht="14.25" thickBot="1" x14ac:dyDescent="0.3">
      <c r="A141" s="227" t="s">
        <v>1</v>
      </c>
      <c r="B141" s="73">
        <v>0.1</v>
      </c>
      <c r="C141" s="73">
        <v>0.05</v>
      </c>
      <c r="D141" s="73">
        <v>0.05</v>
      </c>
      <c r="E141" s="73">
        <v>0.05</v>
      </c>
      <c r="F141" s="73">
        <v>0.05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0.67213114754098358</v>
      </c>
      <c r="C142" s="234">
        <f>IF(C140&lt;&gt;"無",IF(ISNA(HLOOKUP(C139,$B$64:$F$69,6,FALSE)),"",C140/HLOOKUP(C139,$B$64:$F$69,6,FALSE)),"")</f>
        <v>0.78767123287671226</v>
      </c>
      <c r="D142" s="234">
        <f>IF(D140&lt;&gt;"無",IF(ISNA(HLOOKUP(D139,$B$64:$F$69,6,FALSE)),"",D140/HLOOKUP(D139,$B$64:$F$69,6,FALSE)),"")</f>
        <v>0.747588424437299</v>
      </c>
      <c r="E142" s="234">
        <f>IF(E140&lt;&gt;"無",IF(ISNA(HLOOKUP(E139,$B$64:$F$69,6,FALSE)),"",E140/HLOOKUP(E139,$B$64:$F$69,6,FALSE)),"")</f>
        <v>0.74010327022375211</v>
      </c>
      <c r="F142" s="234">
        <f>IF(F140&lt;&gt;"無",IF(ISNA(HLOOKUP(F139,$B$64:$F$69,6,FALSE)),"",F140/HLOOKUP(F139,$B$64:$F$69,6,FALSE)),"")</f>
        <v>0.80952380952380953</v>
      </c>
    </row>
    <row r="143" spans="1:24" x14ac:dyDescent="0.25">
      <c r="A143" s="233" t="s">
        <v>216</v>
      </c>
      <c r="B143" s="234">
        <f>IF(OR(B140=0,B140="無"),"",B135/B140)</f>
        <v>2.102439024390244</v>
      </c>
      <c r="C143" s="234">
        <f>IF(OR(C140=0,C140="無"),"",C135/C140)</f>
        <v>1.3847826086956523</v>
      </c>
      <c r="D143" s="234">
        <f>IF(OR(D140=0,D140="無"),"",D135/D140)</f>
        <v>0.6</v>
      </c>
      <c r="E143" s="234">
        <f>IF(OR(E140=0,E140="無"),"",E135/E140)</f>
        <v>0.69534883720930241</v>
      </c>
      <c r="F143" s="234">
        <f>IF(OR(F140=0,F140="無"),"",F135/F140)</f>
        <v>1.7882352941176469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15.28</v>
      </c>
      <c r="C146" s="68">
        <v>15.29</v>
      </c>
      <c r="D146" s="68">
        <v>17.16</v>
      </c>
      <c r="E146" s="68">
        <v>15.44</v>
      </c>
      <c r="F146" s="68">
        <v>14.99</v>
      </c>
      <c r="G146" s="68">
        <v>14.42</v>
      </c>
      <c r="H146" s="68">
        <v>15.59</v>
      </c>
      <c r="I146" s="68">
        <v>16.22</v>
      </c>
      <c r="J146" s="68">
        <v>14.87</v>
      </c>
      <c r="K146" s="68">
        <v>15.63</v>
      </c>
      <c r="L146" s="68">
        <v>16.39</v>
      </c>
      <c r="M146" s="68">
        <v>15.63</v>
      </c>
      <c r="N146" s="68">
        <v>14.34</v>
      </c>
      <c r="O146" s="68">
        <v>14.28</v>
      </c>
      <c r="P146" s="68">
        <v>15.72</v>
      </c>
      <c r="Q146" s="68">
        <v>16.239999999999998</v>
      </c>
      <c r="R146" s="68">
        <v>15</v>
      </c>
      <c r="S146" s="68">
        <v>16.04</v>
      </c>
      <c r="T146" s="68">
        <v>18.940000000000001</v>
      </c>
      <c r="U146" s="68">
        <v>19.48</v>
      </c>
      <c r="V146" s="68">
        <v>16.91</v>
      </c>
      <c r="W146" s="68">
        <v>17.16</v>
      </c>
      <c r="X146" s="68">
        <v>17.5</v>
      </c>
    </row>
    <row r="147" spans="1:24" s="93" customFormat="1" ht="14.25" thickBot="1" x14ac:dyDescent="0.3">
      <c r="A147" s="225" t="s">
        <v>19</v>
      </c>
      <c r="B147" s="274">
        <v>3.88</v>
      </c>
      <c r="C147" s="274">
        <v>6.18</v>
      </c>
      <c r="D147" s="274">
        <v>6.86</v>
      </c>
      <c r="E147" s="274">
        <v>6.39</v>
      </c>
      <c r="F147" s="274">
        <v>5.54</v>
      </c>
      <c r="G147" s="274">
        <v>5.5</v>
      </c>
      <c r="H147" s="274">
        <v>5.36</v>
      </c>
      <c r="I147" s="274">
        <v>6.31</v>
      </c>
      <c r="J147" s="274">
        <v>4.47</v>
      </c>
      <c r="K147" s="274">
        <v>5.3</v>
      </c>
      <c r="L147" s="274">
        <v>6.23</v>
      </c>
      <c r="M147" s="274">
        <v>6.91</v>
      </c>
      <c r="N147" s="274">
        <v>4.22</v>
      </c>
      <c r="O147" s="274">
        <v>4.7699999999999996</v>
      </c>
      <c r="P147" s="274">
        <v>5.85</v>
      </c>
      <c r="Q147" s="274">
        <v>7.71</v>
      </c>
      <c r="R147" s="274">
        <v>3.82</v>
      </c>
      <c r="S147" s="274">
        <v>5.36</v>
      </c>
      <c r="T147" s="274">
        <v>9.33</v>
      </c>
      <c r="U147" s="274">
        <v>6.88</v>
      </c>
      <c r="V147" s="274">
        <v>4.95</v>
      </c>
      <c r="W147" s="274">
        <v>5.61</v>
      </c>
      <c r="X147" s="274">
        <v>7.78</v>
      </c>
    </row>
    <row r="148" spans="1:24" s="93" customFormat="1" ht="14.25" thickBot="1" x14ac:dyDescent="0.3">
      <c r="A148" s="224" t="s">
        <v>41</v>
      </c>
      <c r="B148" s="68">
        <v>6.22</v>
      </c>
      <c r="C148" s="68">
        <v>6.54</v>
      </c>
      <c r="D148" s="68">
        <v>8.34</v>
      </c>
      <c r="E148" s="68">
        <v>7.71</v>
      </c>
      <c r="F148" s="68">
        <v>7.31</v>
      </c>
      <c r="G148" s="68">
        <v>6.48</v>
      </c>
      <c r="H148" s="68">
        <v>7.09</v>
      </c>
      <c r="I148" s="68">
        <v>5.99</v>
      </c>
      <c r="J148" s="68">
        <v>5.38</v>
      </c>
      <c r="K148" s="68">
        <v>7.83</v>
      </c>
      <c r="L148" s="68">
        <v>6.87</v>
      </c>
      <c r="M148" s="68">
        <v>7.58</v>
      </c>
      <c r="N148" s="68">
        <v>4.8499999999999996</v>
      </c>
      <c r="O148" s="68">
        <v>6.83</v>
      </c>
      <c r="P148" s="68">
        <v>5.78</v>
      </c>
      <c r="Q148" s="68">
        <v>8.69</v>
      </c>
      <c r="R148" s="68">
        <v>4.91</v>
      </c>
      <c r="S148" s="68">
        <v>6.29</v>
      </c>
      <c r="T148" s="68">
        <v>3.87</v>
      </c>
      <c r="U148" s="68">
        <v>12.2</v>
      </c>
      <c r="V148" s="68">
        <v>5.18</v>
      </c>
      <c r="W148" s="68">
        <v>7.17</v>
      </c>
      <c r="X148" s="68">
        <v>8.5500000000000007</v>
      </c>
    </row>
    <row r="149" spans="1:24" s="93" customFormat="1" ht="14.25" thickBot="1" x14ac:dyDescent="0.3">
      <c r="A149" s="225" t="s">
        <v>13</v>
      </c>
      <c r="B149" s="73">
        <v>5.45</v>
      </c>
      <c r="C149" s="73">
        <v>5.01</v>
      </c>
      <c r="D149" s="73">
        <v>6.84</v>
      </c>
      <c r="E149" s="73">
        <v>6.87</v>
      </c>
      <c r="F149" s="73">
        <v>5.77</v>
      </c>
      <c r="G149" s="73">
        <v>5.43</v>
      </c>
      <c r="H149" s="73">
        <v>5.89</v>
      </c>
      <c r="I149" s="73">
        <v>5.14</v>
      </c>
      <c r="J149" s="73">
        <v>4.4000000000000004</v>
      </c>
      <c r="K149" s="73">
        <v>6.12</v>
      </c>
      <c r="L149" s="73">
        <v>6</v>
      </c>
      <c r="M149" s="73">
        <v>6.4</v>
      </c>
      <c r="N149" s="73">
        <v>3.82</v>
      </c>
      <c r="O149" s="73">
        <v>5.91</v>
      </c>
      <c r="P149" s="73">
        <v>4.68</v>
      </c>
      <c r="Q149" s="73">
        <v>7.53</v>
      </c>
      <c r="R149" s="73">
        <v>3.78</v>
      </c>
      <c r="S149" s="73">
        <v>5.36</v>
      </c>
      <c r="T149" s="73">
        <v>4.05</v>
      </c>
      <c r="U149" s="73">
        <v>8.75</v>
      </c>
      <c r="V149" s="73">
        <v>4.09</v>
      </c>
      <c r="W149" s="73">
        <v>5.91</v>
      </c>
      <c r="X149" s="73">
        <v>7.12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15.83</v>
      </c>
      <c r="C152" s="68">
        <v>15.35</v>
      </c>
      <c r="D152" s="68">
        <v>15.66</v>
      </c>
      <c r="E152" s="68">
        <v>15.19</v>
      </c>
      <c r="F152" s="68">
        <v>17.55</v>
      </c>
    </row>
    <row r="153" spans="1:24" s="93" customFormat="1" ht="14.25" thickBot="1" x14ac:dyDescent="0.3">
      <c r="A153" s="225" t="s">
        <v>19</v>
      </c>
      <c r="B153" s="274">
        <v>5.95</v>
      </c>
      <c r="C153" s="274">
        <v>5.71</v>
      </c>
      <c r="D153" s="274">
        <v>5.84</v>
      </c>
      <c r="E153" s="274">
        <v>5.71</v>
      </c>
      <c r="F153" s="274">
        <v>6.53</v>
      </c>
    </row>
    <row r="154" spans="1:24" s="93" customFormat="1" ht="14.25" thickBot="1" x14ac:dyDescent="0.3">
      <c r="A154" s="224" t="s">
        <v>41</v>
      </c>
      <c r="B154" s="68">
        <v>7.29</v>
      </c>
      <c r="C154" s="68">
        <v>6.69</v>
      </c>
      <c r="D154" s="68">
        <v>7</v>
      </c>
      <c r="E154" s="68">
        <v>6.61</v>
      </c>
      <c r="F154" s="68">
        <v>6.96</v>
      </c>
    </row>
    <row r="155" spans="1:24" s="93" customFormat="1" ht="14.25" thickBot="1" x14ac:dyDescent="0.3">
      <c r="A155" s="225" t="s">
        <v>13</v>
      </c>
      <c r="B155" s="73">
        <v>6.13</v>
      </c>
      <c r="C155" s="73">
        <v>5.54</v>
      </c>
      <c r="D155" s="73">
        <v>5.81</v>
      </c>
      <c r="E155" s="73">
        <v>5.55</v>
      </c>
      <c r="F155" s="73">
        <v>5.59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1.86</v>
      </c>
      <c r="C158" s="68">
        <v>1.9</v>
      </c>
      <c r="D158" s="68">
        <v>2.79</v>
      </c>
      <c r="E158" s="68">
        <v>3.07</v>
      </c>
      <c r="F158" s="68">
        <v>2.19</v>
      </c>
      <c r="G158" s="68">
        <v>2.11</v>
      </c>
      <c r="H158" s="68">
        <v>2.21</v>
      </c>
      <c r="I158" s="68">
        <v>2.2000000000000002</v>
      </c>
      <c r="J158" s="68">
        <v>1.48</v>
      </c>
      <c r="K158" s="68">
        <v>2.3199999999999998</v>
      </c>
      <c r="L158" s="68">
        <v>2.34</v>
      </c>
      <c r="M158" s="68">
        <v>2.8</v>
      </c>
      <c r="N158" s="68">
        <v>1.23</v>
      </c>
      <c r="O158" s="68">
        <v>2.12</v>
      </c>
      <c r="P158" s="68">
        <v>1.66</v>
      </c>
      <c r="Q158" s="68">
        <v>2.67</v>
      </c>
      <c r="R158" s="68">
        <v>1.1200000000000001</v>
      </c>
      <c r="S158" s="68">
        <v>1.75</v>
      </c>
      <c r="T158" s="68">
        <v>1.46</v>
      </c>
      <c r="U158" s="68">
        <v>2.95</v>
      </c>
      <c r="V158" s="68">
        <v>1.1000000000000001</v>
      </c>
      <c r="W158" s="68">
        <v>1.76</v>
      </c>
      <c r="X158" s="68">
        <v>2.37</v>
      </c>
    </row>
    <row r="159" spans="1:24" s="93" customFormat="1" ht="14.25" thickBot="1" x14ac:dyDescent="0.3">
      <c r="A159" s="225" t="s">
        <v>45</v>
      </c>
      <c r="B159" s="73">
        <v>4.0599999999999996</v>
      </c>
      <c r="C159" s="73">
        <v>4.42</v>
      </c>
      <c r="D159" s="73">
        <v>6.94</v>
      </c>
      <c r="E159" s="73">
        <v>7.41</v>
      </c>
      <c r="F159" s="73">
        <v>4.9800000000000004</v>
      </c>
      <c r="G159" s="73">
        <v>4.71</v>
      </c>
      <c r="H159" s="73">
        <v>5.15</v>
      </c>
      <c r="I159" s="73">
        <v>4.71</v>
      </c>
      <c r="J159" s="73">
        <v>3.04</v>
      </c>
      <c r="K159" s="73">
        <v>4.93</v>
      </c>
      <c r="L159" s="73">
        <v>5.22</v>
      </c>
      <c r="M159" s="73">
        <v>6.24</v>
      </c>
      <c r="N159" s="73">
        <v>2.65</v>
      </c>
      <c r="O159" s="73">
        <v>4.96</v>
      </c>
      <c r="P159" s="73">
        <v>4.21</v>
      </c>
      <c r="Q159" s="73">
        <v>6.35</v>
      </c>
      <c r="R159" s="73">
        <v>2.39</v>
      </c>
      <c r="S159" s="73">
        <v>3.86</v>
      </c>
      <c r="T159" s="73">
        <v>3.36</v>
      </c>
      <c r="U159" s="73">
        <v>6.74</v>
      </c>
      <c r="V159" s="73">
        <v>2.44</v>
      </c>
      <c r="W159" s="73">
        <v>4.04</v>
      </c>
      <c r="X159" s="73">
        <v>5.67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6.13</v>
      </c>
      <c r="C162" s="68">
        <v>5.54</v>
      </c>
      <c r="D162" s="68">
        <v>5.81</v>
      </c>
      <c r="E162" s="68">
        <v>5.55</v>
      </c>
      <c r="F162" s="68">
        <v>5.59</v>
      </c>
    </row>
    <row r="163" spans="1:72" s="93" customFormat="1" ht="14.25" thickBot="1" x14ac:dyDescent="0.3">
      <c r="A163" s="225" t="s">
        <v>18</v>
      </c>
      <c r="B163" s="274">
        <v>1.47</v>
      </c>
      <c r="C163" s="274">
        <v>1.46</v>
      </c>
      <c r="D163" s="274">
        <v>1.41</v>
      </c>
      <c r="E163" s="274">
        <v>1.37</v>
      </c>
      <c r="F163" s="274">
        <v>1.2</v>
      </c>
    </row>
    <row r="164" spans="1:72" s="93" customFormat="1" ht="14.25" thickBot="1" x14ac:dyDescent="0.3">
      <c r="A164" s="224" t="s">
        <v>15</v>
      </c>
      <c r="B164" s="68">
        <v>2.44</v>
      </c>
      <c r="C164" s="68">
        <v>2.09</v>
      </c>
      <c r="D164" s="68">
        <v>2.21</v>
      </c>
      <c r="E164" s="68">
        <v>2.25</v>
      </c>
      <c r="F164" s="68">
        <v>2.25</v>
      </c>
    </row>
    <row r="165" spans="1:72" s="93" customFormat="1" ht="14.25" thickBot="1" x14ac:dyDescent="0.3">
      <c r="A165" s="225" t="s">
        <v>45</v>
      </c>
      <c r="B165" s="73">
        <v>22.22</v>
      </c>
      <c r="C165" s="73">
        <v>19.12</v>
      </c>
      <c r="D165" s="73">
        <v>18.579999999999998</v>
      </c>
      <c r="E165" s="73">
        <v>17.22</v>
      </c>
      <c r="F165" s="73">
        <v>15.75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89.11</v>
      </c>
      <c r="C168" s="68">
        <v>78.95</v>
      </c>
      <c r="D168" s="68">
        <v>78.95</v>
      </c>
      <c r="E168" s="68">
        <v>76.27</v>
      </c>
      <c r="F168" s="68">
        <v>87.38</v>
      </c>
      <c r="G168" s="68">
        <v>84.91</v>
      </c>
      <c r="H168" s="68">
        <v>89.11</v>
      </c>
      <c r="I168" s="68">
        <v>79.650000000000006</v>
      </c>
      <c r="J168" s="68">
        <v>91.84</v>
      </c>
      <c r="K168" s="68">
        <v>78.260000000000005</v>
      </c>
      <c r="L168" s="68">
        <v>80.36</v>
      </c>
      <c r="M168" s="68">
        <v>70.87</v>
      </c>
      <c r="N168" s="68">
        <v>89.11</v>
      </c>
      <c r="O168" s="68">
        <v>79.650000000000006</v>
      </c>
      <c r="P168" s="68">
        <v>87.38</v>
      </c>
      <c r="Q168" s="68">
        <v>84.11</v>
      </c>
      <c r="R168" s="68">
        <v>95.74</v>
      </c>
      <c r="S168" s="68">
        <v>86.54</v>
      </c>
      <c r="T168" s="68">
        <v>82.57</v>
      </c>
      <c r="U168" s="68">
        <v>85.71</v>
      </c>
      <c r="V168" s="68">
        <v>98.9</v>
      </c>
      <c r="W168" s="68">
        <v>87.38</v>
      </c>
      <c r="X168" s="68">
        <v>85.71</v>
      </c>
    </row>
    <row r="169" spans="1:72" s="93" customFormat="1" ht="14.25" thickBot="1" x14ac:dyDescent="0.3">
      <c r="A169" s="225" t="s">
        <v>17</v>
      </c>
      <c r="B169" s="274">
        <v>59.6</v>
      </c>
      <c r="C169" s="274">
        <v>55.21</v>
      </c>
      <c r="D169" s="274">
        <v>52.02</v>
      </c>
      <c r="E169" s="274">
        <v>46.15</v>
      </c>
      <c r="F169" s="274">
        <v>54.55</v>
      </c>
      <c r="G169" s="274">
        <v>51.14</v>
      </c>
      <c r="H169" s="274">
        <v>49.45</v>
      </c>
      <c r="I169" s="274">
        <v>44.55</v>
      </c>
      <c r="J169" s="274">
        <v>54.88</v>
      </c>
      <c r="K169" s="274">
        <v>47.12</v>
      </c>
      <c r="L169" s="274">
        <v>47.37</v>
      </c>
      <c r="M169" s="274">
        <v>43.48</v>
      </c>
      <c r="N169" s="274">
        <v>59.21</v>
      </c>
      <c r="O169" s="274">
        <v>50</v>
      </c>
      <c r="P169" s="274">
        <v>48.65</v>
      </c>
      <c r="Q169" s="274">
        <v>48.91</v>
      </c>
      <c r="R169" s="274">
        <v>58.82</v>
      </c>
      <c r="S169" s="274">
        <v>51.72</v>
      </c>
      <c r="T169" s="274">
        <v>48.65</v>
      </c>
      <c r="U169" s="274">
        <v>53.25</v>
      </c>
      <c r="V169" s="274">
        <v>65.22</v>
      </c>
      <c r="W169" s="274">
        <v>58.06</v>
      </c>
      <c r="X169" s="274">
        <v>54.55</v>
      </c>
    </row>
    <row r="170" spans="1:72" s="93" customFormat="1" ht="14.25" thickBot="1" x14ac:dyDescent="0.3">
      <c r="A170" s="224" t="s">
        <v>42</v>
      </c>
      <c r="B170" s="72">
        <v>148.71</v>
      </c>
      <c r="C170" s="72">
        <v>134.16</v>
      </c>
      <c r="D170" s="72">
        <v>130.97</v>
      </c>
      <c r="E170" s="72">
        <v>122.43</v>
      </c>
      <c r="F170" s="72">
        <v>141.91999999999999</v>
      </c>
      <c r="G170" s="72">
        <v>136.04</v>
      </c>
      <c r="H170" s="72">
        <v>138.56</v>
      </c>
      <c r="I170" s="72">
        <v>124.2</v>
      </c>
      <c r="J170" s="72">
        <v>146.71</v>
      </c>
      <c r="K170" s="72">
        <v>125.38</v>
      </c>
      <c r="L170" s="72">
        <v>127.73</v>
      </c>
      <c r="M170" s="72">
        <v>114.34</v>
      </c>
      <c r="N170" s="72">
        <v>148.32</v>
      </c>
      <c r="O170" s="72">
        <v>129.65</v>
      </c>
      <c r="P170" s="72">
        <v>136.03</v>
      </c>
      <c r="Q170" s="72">
        <v>133.03</v>
      </c>
      <c r="R170" s="72">
        <v>154.57</v>
      </c>
      <c r="S170" s="72">
        <v>138.26</v>
      </c>
      <c r="T170" s="72">
        <v>131.22</v>
      </c>
      <c r="U170" s="72">
        <v>138.97</v>
      </c>
      <c r="V170" s="72">
        <v>164.12</v>
      </c>
      <c r="W170" s="72">
        <v>145.44</v>
      </c>
      <c r="X170" s="72">
        <v>140.26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147.78</v>
      </c>
      <c r="C173" s="72">
        <v>190.94</v>
      </c>
      <c r="D173" s="72">
        <v>154.06</v>
      </c>
      <c r="E173" s="72">
        <v>182.8</v>
      </c>
      <c r="F173" s="72">
        <v>178.64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6.78</v>
      </c>
      <c r="C176" s="72">
        <v>7.85</v>
      </c>
      <c r="D176" s="72">
        <v>8.0399999999999991</v>
      </c>
      <c r="E176" s="72">
        <v>8.26</v>
      </c>
      <c r="F176" s="72">
        <v>8.81</v>
      </c>
      <c r="G176" s="72">
        <v>8.74</v>
      </c>
      <c r="H176" s="72">
        <v>8.7100000000000009</v>
      </c>
      <c r="I176" s="72">
        <v>11.63</v>
      </c>
      <c r="J176" s="72">
        <v>12.45</v>
      </c>
      <c r="K176" s="72">
        <v>12.42</v>
      </c>
      <c r="L176" s="72">
        <v>12.55</v>
      </c>
      <c r="M176" s="72">
        <v>12.86</v>
      </c>
      <c r="N176" s="72">
        <v>14.66</v>
      </c>
      <c r="O176" s="72">
        <v>15.01</v>
      </c>
      <c r="P176" s="72">
        <v>15.12</v>
      </c>
      <c r="Q176" s="72">
        <v>13.46</v>
      </c>
      <c r="R176" s="72">
        <v>13.07</v>
      </c>
      <c r="S176" s="72">
        <v>12.94</v>
      </c>
      <c r="T176" s="72">
        <v>11.83</v>
      </c>
      <c r="U176" s="72">
        <v>10.7</v>
      </c>
      <c r="V176" s="72">
        <v>11.15</v>
      </c>
      <c r="W176" s="72">
        <v>11.16</v>
      </c>
      <c r="X176" s="72">
        <v>11.82</v>
      </c>
      <c r="Y176" s="72">
        <v>11.97</v>
      </c>
      <c r="Z176" s="72">
        <v>12.56</v>
      </c>
      <c r="AA176" s="72">
        <v>12.33</v>
      </c>
      <c r="AB176" s="72">
        <v>13.34</v>
      </c>
      <c r="AC176" s="72">
        <v>13.47</v>
      </c>
      <c r="AD176" s="72">
        <v>14.82</v>
      </c>
      <c r="AE176" s="72">
        <v>15.27</v>
      </c>
      <c r="AF176" s="72">
        <v>15.65</v>
      </c>
      <c r="AG176" s="72">
        <v>16.04</v>
      </c>
      <c r="AH176" s="72">
        <v>16.95</v>
      </c>
      <c r="AI176" s="72">
        <v>15.99</v>
      </c>
      <c r="AJ176" s="72">
        <v>15.29</v>
      </c>
      <c r="AK176" s="72">
        <v>15.27</v>
      </c>
      <c r="AL176" s="72">
        <v>15.56</v>
      </c>
      <c r="AM176" s="72">
        <v>15.72</v>
      </c>
      <c r="AN176" s="72">
        <v>14.18</v>
      </c>
      <c r="AO176" s="72">
        <v>14.02</v>
      </c>
      <c r="AP176" s="72">
        <v>14.43</v>
      </c>
      <c r="AQ176" s="72">
        <v>13.63</v>
      </c>
      <c r="AR176" s="72">
        <v>13.67</v>
      </c>
      <c r="AS176" s="72">
        <v>12.91</v>
      </c>
      <c r="AT176" s="72">
        <v>13.17</v>
      </c>
      <c r="AU176" s="72">
        <v>13.23</v>
      </c>
      <c r="AV176" s="72">
        <v>12.97</v>
      </c>
      <c r="AW176" s="72">
        <v>12.51</v>
      </c>
      <c r="AX176" s="72">
        <v>11.63</v>
      </c>
      <c r="AY176" s="72">
        <v>12.1</v>
      </c>
      <c r="AZ176" s="72">
        <v>13.13</v>
      </c>
      <c r="BA176" s="72">
        <v>13.84</v>
      </c>
      <c r="BB176" s="72">
        <v>13.32</v>
      </c>
      <c r="BC176" s="72">
        <v>13.55</v>
      </c>
      <c r="BD176" s="72">
        <v>13.5</v>
      </c>
      <c r="BE176" s="72">
        <v>14.91</v>
      </c>
      <c r="BF176" s="72">
        <v>14.74</v>
      </c>
      <c r="BG176" s="72">
        <v>15.04</v>
      </c>
      <c r="BH176" s="72">
        <v>14.27</v>
      </c>
      <c r="BI176" s="72">
        <v>14.2</v>
      </c>
      <c r="BJ176" s="72">
        <v>14.08</v>
      </c>
      <c r="BK176" s="72">
        <v>14.01</v>
      </c>
      <c r="BL176" s="72">
        <v>14.66</v>
      </c>
      <c r="BM176" s="72">
        <v>15.1</v>
      </c>
      <c r="BN176" s="72">
        <v>15.01</v>
      </c>
      <c r="BO176" s="72">
        <v>14.71</v>
      </c>
      <c r="BP176" s="72">
        <v>14.33</v>
      </c>
      <c r="BQ176" s="72">
        <v>13.99</v>
      </c>
      <c r="BR176" s="72">
        <v>13.69</v>
      </c>
      <c r="BS176" s="72">
        <v>13.84</v>
      </c>
      <c r="BT176" s="72">
        <v>12.55</v>
      </c>
    </row>
  </sheetData>
  <phoneticPr fontId="3" type="noConversion"/>
  <conditionalFormatting sqref="E4">
    <cfRule type="cellIs" dxfId="5846" priority="103" operator="greaterThan">
      <formula>0.2</formula>
    </cfRule>
    <cfRule type="cellIs" dxfId="5845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5844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843" priority="97" operator="greaterThan">
      <formula>$B$19</formula>
    </cfRule>
  </conditionalFormatting>
  <conditionalFormatting sqref="D33:D34">
    <cfRule type="cellIs" dxfId="5842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5841" priority="91" operator="lessThan">
      <formula>$H$62</formula>
    </cfRule>
    <cfRule type="cellIs" dxfId="5840" priority="92" operator="greaterThan">
      <formula>$H$62</formula>
    </cfRule>
  </conditionalFormatting>
  <conditionalFormatting sqref="J62">
    <cfRule type="cellIs" dxfId="5839" priority="89" operator="lessThan">
      <formula>$K$62</formula>
    </cfRule>
    <cfRule type="cellIs" dxfId="5838" priority="90" operator="greaterThan">
      <formula>$K$62</formula>
    </cfRule>
  </conditionalFormatting>
  <conditionalFormatting sqref="M62">
    <cfRule type="cellIs" dxfId="5837" priority="87" operator="lessThan">
      <formula>$N$62</formula>
    </cfRule>
    <cfRule type="cellIs" dxfId="5836" priority="88" operator="greaterThan">
      <formula>$N$62</formula>
    </cfRule>
  </conditionalFormatting>
  <conditionalFormatting sqref="B44:E44">
    <cfRule type="cellIs" dxfId="5835" priority="85" operator="greaterThan">
      <formula>0</formula>
    </cfRule>
    <cfRule type="cellIs" dxfId="5834" priority="86" operator="lessThan">
      <formula>0</formula>
    </cfRule>
  </conditionalFormatting>
  <conditionalFormatting sqref="F72">
    <cfRule type="cellIs" dxfId="5833" priority="84" operator="lessThan">
      <formula>$E$72*90%</formula>
    </cfRule>
  </conditionalFormatting>
  <conditionalFormatting sqref="F73">
    <cfRule type="cellIs" dxfId="5832" priority="83" operator="lessThan">
      <formula>$E$73*90%</formula>
    </cfRule>
  </conditionalFormatting>
  <conditionalFormatting sqref="F74">
    <cfRule type="cellIs" dxfId="5831" priority="82" operator="lessThan">
      <formula>$E$74*90%</formula>
    </cfRule>
  </conditionalFormatting>
  <conditionalFormatting sqref="F75">
    <cfRule type="cellIs" dxfId="5830" priority="81" operator="lessThan">
      <formula>$E$75*90%</formula>
    </cfRule>
  </conditionalFormatting>
  <conditionalFormatting sqref="H44:K44">
    <cfRule type="cellIs" dxfId="5829" priority="79" operator="greaterThan">
      <formula>0</formula>
    </cfRule>
    <cfRule type="cellIs" dxfId="5828" priority="80" operator="lessThan">
      <formula>0</formula>
    </cfRule>
  </conditionalFormatting>
  <conditionalFormatting sqref="H51:K51">
    <cfRule type="cellIs" dxfId="5827" priority="77" operator="greaterThan">
      <formula>0</formula>
    </cfRule>
    <cfRule type="cellIs" dxfId="5826" priority="78" operator="lessThan">
      <formula>0</formula>
    </cfRule>
  </conditionalFormatting>
  <conditionalFormatting sqref="B51:E51">
    <cfRule type="cellIs" dxfId="5825" priority="75" operator="greaterThan">
      <formula>0</formula>
    </cfRule>
    <cfRule type="cellIs" dxfId="5824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823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822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5821" priority="58" operator="lessThan">
      <formula>0</formula>
    </cfRule>
  </conditionalFormatting>
  <conditionalFormatting sqref="A25 E25 C25">
    <cfRule type="cellIs" dxfId="5820" priority="59" operator="lessThan">
      <formula>0</formula>
    </cfRule>
  </conditionalFormatting>
  <conditionalFormatting sqref="F25">
    <cfRule type="cellIs" dxfId="5819" priority="57" operator="lessThan">
      <formula>0</formula>
    </cfRule>
  </conditionalFormatting>
  <conditionalFormatting sqref="E1">
    <cfRule type="containsText" dxfId="5818" priority="56" operator="containsText" text="本季業外損益/平均=-">
      <formula>NOT(ISERROR(SEARCH("本季業外損益/平均=-",E1)))</formula>
    </cfRule>
  </conditionalFormatting>
  <conditionalFormatting sqref="M65">
    <cfRule type="cellIs" dxfId="5817" priority="55" operator="lessThan">
      <formula>$L$65*90%</formula>
    </cfRule>
  </conditionalFormatting>
  <conditionalFormatting sqref="M66">
    <cfRule type="cellIs" dxfId="5816" priority="54" operator="lessThan">
      <formula>$L$66*90%</formula>
    </cfRule>
  </conditionalFormatting>
  <conditionalFormatting sqref="M67">
    <cfRule type="cellIs" dxfId="5815" priority="53" operator="lessThan">
      <formula>$L$67*90%</formula>
    </cfRule>
  </conditionalFormatting>
  <conditionalFormatting sqref="M68">
    <cfRule type="cellIs" dxfId="5814" priority="52" operator="lessThan">
      <formula>$L$68*90%</formula>
    </cfRule>
  </conditionalFormatting>
  <conditionalFormatting sqref="B60">
    <cfRule type="cellIs" dxfId="5813" priority="51" operator="lessThan">
      <formula>0</formula>
    </cfRule>
  </conditionalFormatting>
  <conditionalFormatting sqref="B59:F59">
    <cfRule type="cellIs" dxfId="5812" priority="50" operator="lessThanOrEqual">
      <formula>0</formula>
    </cfRule>
  </conditionalFormatting>
  <conditionalFormatting sqref="D62">
    <cfRule type="cellIs" dxfId="5811" priority="48" operator="lessThan">
      <formula>$E$62</formula>
    </cfRule>
    <cfRule type="cellIs" dxfId="5810" priority="49" operator="greaterThan">
      <formula>$E$62</formula>
    </cfRule>
  </conditionalFormatting>
  <conditionalFormatting sqref="F69">
    <cfRule type="cellIs" dxfId="5809" priority="46" operator="lessThan">
      <formula>0</formula>
    </cfRule>
  </conditionalFormatting>
  <conditionalFormatting sqref="B65:E67 B69:E69 B68:D68">
    <cfRule type="cellIs" dxfId="5808" priority="47" operator="lessThan">
      <formula>0</formula>
    </cfRule>
  </conditionalFormatting>
  <conditionalFormatting sqref="E68">
    <cfRule type="cellIs" dxfId="5807" priority="45" operator="lessThan">
      <formula>0</formula>
    </cfRule>
  </conditionalFormatting>
  <conditionalFormatting sqref="F65:F68">
    <cfRule type="cellIs" dxfId="5806" priority="44" operator="lessThan">
      <formula>0</formula>
    </cfRule>
  </conditionalFormatting>
  <conditionalFormatting sqref="F65:F68">
    <cfRule type="cellIs" dxfId="5805" priority="43" operator="lessThan">
      <formula>$E$65*0.9</formula>
    </cfRule>
  </conditionalFormatting>
  <conditionalFormatting sqref="F66">
    <cfRule type="cellIs" dxfId="5804" priority="42" operator="lessThan">
      <formula>$E$66*0.9</formula>
    </cfRule>
  </conditionalFormatting>
  <conditionalFormatting sqref="F67:F68">
    <cfRule type="cellIs" dxfId="5803" priority="41" operator="lessThan">
      <formula>$E$67*0.9</formula>
    </cfRule>
  </conditionalFormatting>
  <conditionalFormatting sqref="F68">
    <cfRule type="cellIs" dxfId="5802" priority="40" operator="lessThan">
      <formula>$E$68*0.9</formula>
    </cfRule>
  </conditionalFormatting>
  <conditionalFormatting sqref="B13:F13">
    <cfRule type="cellIs" dxfId="5801" priority="29" operator="greaterThan">
      <formula>$I$16</formula>
    </cfRule>
    <cfRule type="cellIs" dxfId="5800" priority="30" operator="lessThanOrEqual">
      <formula>$I$16</formula>
    </cfRule>
  </conditionalFormatting>
  <conditionalFormatting sqref="B10:F10">
    <cfRule type="cellIs" dxfId="5799" priority="31" operator="greaterThan">
      <formula>15</formula>
    </cfRule>
    <cfRule type="cellIs" dxfId="5798" priority="38" operator="lessThan">
      <formula>$I$9</formula>
    </cfRule>
    <cfRule type="cellIs" dxfId="5797" priority="39" operator="greaterThan">
      <formula>$I$9</formula>
    </cfRule>
  </conditionalFormatting>
  <conditionalFormatting sqref="B16:F16">
    <cfRule type="cellIs" dxfId="5796" priority="36" operator="greaterThan">
      <formula>$I$16</formula>
    </cfRule>
    <cfRule type="cellIs" dxfId="5795" priority="37" operator="lessThanOrEqual">
      <formula>$I$16</formula>
    </cfRule>
  </conditionalFormatting>
  <conditionalFormatting sqref="B15:F15">
    <cfRule type="cellIs" dxfId="5794" priority="34" operator="lessThanOrEqual">
      <formula>$I$16</formula>
    </cfRule>
    <cfRule type="cellIs" dxfId="5793" priority="35" operator="greaterThan">
      <formula>$I$16</formula>
    </cfRule>
  </conditionalFormatting>
  <conditionalFormatting sqref="B14:F14">
    <cfRule type="cellIs" dxfId="5792" priority="32" operator="greaterThan">
      <formula>$I$16</formula>
    </cfRule>
    <cfRule type="cellIs" dxfId="5791" priority="33" operator="lessThanOrEqual">
      <formula>$I$16</formula>
    </cfRule>
  </conditionalFormatting>
  <conditionalFormatting sqref="K6">
    <cfRule type="containsText" dxfId="5790" priority="27" operator="containsText" text="衰退">
      <formula>NOT(ISERROR(SEARCH("衰退",K6)))</formula>
    </cfRule>
    <cfRule type="containsText" dxfId="5789" priority="28" operator="containsText" text="成長">
      <formula>NOT(ISERROR(SEARCH("成長",K6)))</formula>
    </cfRule>
  </conditionalFormatting>
  <conditionalFormatting sqref="I4:K4">
    <cfRule type="cellIs" dxfId="5788" priority="25" operator="lessThan">
      <formula>0</formula>
    </cfRule>
    <cfRule type="cellIs" dxfId="5787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786" priority="22" operator="lessThanOrEqual">
      <formula>$I$16</formula>
    </cfRule>
    <cfRule type="cellIs" dxfId="5785" priority="23" operator="greaterThan">
      <formula>$I$16</formula>
    </cfRule>
  </conditionalFormatting>
  <conditionalFormatting sqref="I6">
    <cfRule type="containsText" dxfId="5784" priority="20" operator="containsText" text="衰退">
      <formula>NOT(ISERROR(SEARCH("衰退",I6)))</formula>
    </cfRule>
    <cfRule type="containsText" dxfId="5783" priority="21" operator="containsText" text="成長">
      <formula>NOT(ISERROR(SEARCH("成長",I6)))</formula>
    </cfRule>
  </conditionalFormatting>
  <conditionalFormatting sqref="M9">
    <cfRule type="cellIs" dxfId="5782" priority="19" operator="lessThan">
      <formula>$I$9</formula>
    </cfRule>
  </conditionalFormatting>
  <conditionalFormatting sqref="M10">
    <cfRule type="cellIs" dxfId="5781" priority="18" operator="greaterThan">
      <formula>$I$9</formula>
    </cfRule>
  </conditionalFormatting>
  <conditionalFormatting sqref="M11">
    <cfRule type="cellIs" dxfId="5780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779" priority="14" operator="lessThan">
      <formula>0</formula>
    </cfRule>
    <cfRule type="cellIs" dxfId="5778" priority="15" operator="greaterThan">
      <formula>0.5</formula>
    </cfRule>
  </conditionalFormatting>
  <conditionalFormatting sqref="N14">
    <cfRule type="cellIs" dxfId="5777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776" priority="10" operator="lessThan">
      <formula>0.1</formula>
    </cfRule>
  </conditionalFormatting>
  <conditionalFormatting sqref="I14">
    <cfRule type="cellIs" dxfId="5775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774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773" priority="1" operator="lessThan">
      <formula>$N$5*0.9</formula>
    </cfRule>
    <cfRule type="cellIs" dxfId="5772" priority="2" operator="greaterThan">
      <formula>$N$5*1.1</formula>
    </cfRule>
  </conditionalFormatting>
  <hyperlinks>
    <hyperlink ref="L1" location="儀表板!A1" display="(回首頁)" xr:uid="{00000000-0004-0000-1A00-00000000000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T176"/>
  <sheetViews>
    <sheetView workbookViewId="0">
      <selection activeCell="L1" sqref="L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201801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13.8 ~ 21.3</v>
      </c>
      <c r="L1" s="83" t="s">
        <v>176</v>
      </c>
      <c r="M1" s="84" t="str">
        <f ca="1">VLOOKUP(_xlfn.NUMBERVALUE(N1),儀表板!A:B,2,FALSE)</f>
        <v>中華電</v>
      </c>
      <c r="N1" s="85" t="str">
        <f ca="1">MID(CELL("filename",L1),FIND("]",CELL("filename",L1))+1,255)</f>
        <v>2412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0.16508994564415644</v>
      </c>
    </row>
    <row r="3" spans="1:15" s="93" customFormat="1" x14ac:dyDescent="0.25">
      <c r="A3" s="81" t="s">
        <v>179</v>
      </c>
      <c r="B3" s="94">
        <f>SUM(F19:F22,F24:F27,J19)</f>
        <v>85.32295586899987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90.379845616469552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92.990542670040227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96.173106697250148</v>
      </c>
      <c r="L3" s="100"/>
      <c r="M3" s="79" t="s">
        <v>385</v>
      </c>
      <c r="N3" s="92">
        <f>(F69-E69)/E69</f>
        <v>-1.5137455176589393E-2</v>
      </c>
    </row>
    <row r="4" spans="1:15" s="93" customFormat="1" x14ac:dyDescent="0.25">
      <c r="A4" s="81" t="s">
        <v>182</v>
      </c>
      <c r="B4" s="96">
        <f>SUM(G36:G40)*2</f>
        <v>80</v>
      </c>
      <c r="C4" s="101"/>
      <c r="D4" s="102">
        <f>F4*(1+F141/10)</f>
        <v>776</v>
      </c>
      <c r="E4" s="82">
        <f>(D4-F4)/F4</f>
        <v>0</v>
      </c>
      <c r="F4" s="103">
        <v>776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5.0818907312887989</v>
      </c>
    </row>
    <row r="5" spans="1:15" s="93" customFormat="1" x14ac:dyDescent="0.25">
      <c r="A5" s="81" t="s">
        <v>184</v>
      </c>
      <c r="B5" s="107">
        <f>SUM(F30:F34)*2</f>
        <v>94.58889905312148</v>
      </c>
      <c r="C5" s="87"/>
      <c r="D5" s="87"/>
      <c r="E5" s="87"/>
      <c r="F5" s="86"/>
      <c r="G5" s="88"/>
      <c r="M5" s="79" t="s">
        <v>386</v>
      </c>
      <c r="N5" s="152">
        <f>D62</f>
        <v>4.9000000000000004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5.1371495597803909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22.01</v>
      </c>
      <c r="N9" s="129"/>
    </row>
    <row r="10" spans="1:15" s="93" customFormat="1" x14ac:dyDescent="0.25">
      <c r="A10" s="123" t="s">
        <v>194</v>
      </c>
      <c r="B10" s="126">
        <f>PERCENTILE(176:176,B9)</f>
        <v>17.670000000000002</v>
      </c>
      <c r="C10" s="126">
        <f>PERCENTILE(176:176,C9)</f>
        <v>18.174999999999997</v>
      </c>
      <c r="D10" s="126">
        <f>PERCENTILE(176:176,D9)</f>
        <v>18.7</v>
      </c>
      <c r="E10" s="126">
        <f>PERCENTILE(176:176,E9)</f>
        <v>19.34</v>
      </c>
      <c r="F10" s="126">
        <f>PERCENTILE(176:176,F9)</f>
        <v>19.829999999999998</v>
      </c>
      <c r="G10" s="95"/>
      <c r="H10" s="135"/>
      <c r="I10" s="135"/>
      <c r="J10" s="135"/>
      <c r="K10" s="135"/>
      <c r="L10" s="136" t="s">
        <v>374</v>
      </c>
      <c r="M10" s="130">
        <f>MIN(176:176)</f>
        <v>14.92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46.13</v>
      </c>
      <c r="L11" s="272" t="s">
        <v>193</v>
      </c>
      <c r="M11" s="128">
        <f>STDEV(176:176)</f>
        <v>1.5894164805018682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69.397759103641462</v>
      </c>
      <c r="C13" s="141">
        <f>$B$34/5.88%</f>
        <v>84.268707482993207</v>
      </c>
      <c r="D13" s="141">
        <f>$B$34/5%</f>
        <v>99.1</v>
      </c>
      <c r="E13" s="141">
        <f>$B$34/4.35%</f>
        <v>113.9080459770115</v>
      </c>
      <c r="F13" s="141">
        <f>$B$34/3.85%</f>
        <v>128.7012987012987</v>
      </c>
      <c r="G13" s="138" t="str">
        <f>"$"&amp;ROUND(B34,2)&amp;"/"&amp;IF(STDEV(C140:F140)/AVERAGE(C140:F140)&lt;15%,"高",IF(STDEV(C140:F140)/AVERAGE(C140:F140)&lt;30%,"中","低"))</f>
        <v>$4.96/高</v>
      </c>
      <c r="H13" s="142" t="s">
        <v>199</v>
      </c>
      <c r="I13" s="143">
        <f>MAX(0,1-J15)</f>
        <v>4.2635658914728647E-2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91.751475000000013</v>
      </c>
      <c r="C14" s="141">
        <f>$B$33*C10</f>
        <v>94.373687499999988</v>
      </c>
      <c r="D14" s="141">
        <f>$B$33*D10</f>
        <v>97.09975</v>
      </c>
      <c r="E14" s="141">
        <f>$B$33*E10</f>
        <v>100.42295</v>
      </c>
      <c r="F14" s="141">
        <f>$B$33*F10</f>
        <v>102.96727499999999</v>
      </c>
      <c r="G14" s="138" t="str">
        <f>"$"&amp;ROUND(B33,2)&amp;"/"&amp;IF(STDEV(B69:E69)/AVERAGE(B69:E69)&lt;15%,"高",IF(STDEV(B69:E69)/AVERAGE(B69:E69)&lt;30%,"中","低"))</f>
        <v>$5.19/高</v>
      </c>
      <c r="H14" s="142" t="s">
        <v>203</v>
      </c>
      <c r="I14" s="145">
        <f>G62/100*I13</f>
        <v>4.5492248062015466E-3</v>
      </c>
      <c r="J14" s="76" t="s">
        <v>204</v>
      </c>
      <c r="K14" s="146"/>
      <c r="L14" s="147">
        <f>(HLOOKUP($C$1,$105:$106,2,FALSE)-HLOOKUP($C$1,$117:$127,9,FALSE))/(HLOOKUP($C$1,$117:$128,12,FALSE)/K11)</f>
        <v>1.3452711065801799</v>
      </c>
      <c r="M14" s="148">
        <f>E135/E69</f>
        <v>1.1472868217054264</v>
      </c>
      <c r="N14" s="149">
        <f>F173/100</f>
        <v>1.5753999999999999</v>
      </c>
    </row>
    <row r="15" spans="1:15" s="93" customFormat="1" x14ac:dyDescent="0.25">
      <c r="A15" s="140" t="s">
        <v>375</v>
      </c>
      <c r="B15" s="141">
        <f>$D$62*B10</f>
        <v>86.583000000000013</v>
      </c>
      <c r="C15" s="141">
        <f>$D$62*C10</f>
        <v>89.05749999999999</v>
      </c>
      <c r="D15" s="141">
        <f>$D$62*D10</f>
        <v>91.63000000000001</v>
      </c>
      <c r="E15" s="141">
        <f>$D$62*E10</f>
        <v>94.766000000000005</v>
      </c>
      <c r="F15" s="141">
        <f>$D$62*F10</f>
        <v>97.167000000000002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0.95736434108527135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89.797009221873083</v>
      </c>
      <c r="C16" s="141">
        <f>$F$69*C10</f>
        <v>92.363364041173909</v>
      </c>
      <c r="D16" s="141">
        <f>$F$69*D10</f>
        <v>95.03135667510054</v>
      </c>
      <c r="E16" s="141">
        <f>$F$69*E10</f>
        <v>98.283766743125369</v>
      </c>
      <c r="F16" s="141">
        <f>$F$69*F10</f>
        <v>100.77389320145687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12729</v>
      </c>
      <c r="J17" s="92">
        <f ca="1">IF(I17&lt;=0,"",IF(I17&lt;=MIN($B$13:$F$16),(I17-MIN($B$13:$F$16))/MIN($B$13:$F$16),IF(I17&gt;=MAX($B$13:$F$16),I17/MAX($B$13:$F$16),PERCENTRANK($B$13:$F$16,I17))))</f>
        <v>98.903430877901116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5.1325000000000003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13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1.0358224016145308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0.11626310958619167</v>
      </c>
      <c r="J20" s="171">
        <f>HLOOKUP($C$1,$117:$127,11,FALSE)/HLOOKUP($C$1,$105:$115,11,FALSE)</f>
        <v>0.15817744595667851</v>
      </c>
      <c r="K20" s="163"/>
    </row>
    <row r="21" spans="1:14" s="93" customFormat="1" x14ac:dyDescent="0.25">
      <c r="A21" s="151" t="s">
        <v>201</v>
      </c>
      <c r="B21" s="161">
        <f>AVERAGE(C173:F173)/100</f>
        <v>1.7473500000000002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1.4390525239805205</v>
      </c>
      <c r="J21" s="78"/>
      <c r="K21" s="164" t="s">
        <v>356</v>
      </c>
      <c r="L21" s="165">
        <f>HLOOKUP($C$1,$105:$115,7,FALSE)/HLOOKUP($C$1,$105:$115,11,FALSE)</f>
        <v>0.17869372277707554</v>
      </c>
      <c r="M21" s="123" t="s">
        <v>268</v>
      </c>
      <c r="N21" s="165">
        <f>HLOOKUP($C$1,$117:$127,8,FALSE)/HLOOKUP($C$1,$117:$127,11,FALSE)</f>
        <v>0.78503332355993993</v>
      </c>
    </row>
    <row r="22" spans="1:14" s="93" customFormat="1" x14ac:dyDescent="0.25">
      <c r="A22" s="140" t="s">
        <v>222</v>
      </c>
      <c r="B22" s="161">
        <f>(-1)*SUM(C133:F133)/SUM(C132:F132)</f>
        <v>0.44692887931034486</v>
      </c>
      <c r="C22" s="157"/>
      <c r="D22" s="166"/>
      <c r="E22" s="140"/>
      <c r="F22" s="159">
        <f>IF(B22&lt;=0,10,IF(B22&gt;=100%,0,(1-B22)*10))</f>
        <v>5.5307112068965516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1.2716409426173769</v>
      </c>
      <c r="J22" s="78"/>
      <c r="K22" s="142" t="s">
        <v>357</v>
      </c>
      <c r="L22" s="165">
        <f>HLOOKUP($C$1,$105:$115,4,FALSE)/HLOOKUP($C$1,$105:$115,11,FALSE)</f>
        <v>6.8687701925758474E-2</v>
      </c>
      <c r="M22" s="123" t="s">
        <v>353</v>
      </c>
      <c r="N22" s="165">
        <f>HLOOKUP($C$1,$117:$127,4,FALSE)/HLOOKUP($C$1,$117:$127,11,FALSE)</f>
        <v>0.26498301396247298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1.1878987979081141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2.0788260477824196E-2</v>
      </c>
      <c r="M23" s="123" t="s">
        <v>354</v>
      </c>
      <c r="N23" s="165">
        <f>IF(HLOOKUP($C$1,$117:$127,5,FALSE)="無",0,HLOOKUP($C$1,$117:$127,5,FALSE))/HLOOKUP($C$1,$117:$127,11,FALSE)</f>
        <v>0.1333131653830118</v>
      </c>
    </row>
    <row r="24" spans="1:14" s="93" customFormat="1" x14ac:dyDescent="0.25">
      <c r="A24" s="164" t="s">
        <v>228</v>
      </c>
      <c r="B24" s="127">
        <f>AVERAGE(C103:F103)</f>
        <v>0.97764452127166224</v>
      </c>
      <c r="C24" s="169">
        <f>STDEV(C103:F103)</f>
        <v>6.7693930135308824E-3</v>
      </c>
      <c r="D24" s="76" t="str">
        <f>IF(C24/B24&lt;15%,"高",IF(C24/B24&lt;30%,"中","低"))</f>
        <v>高</v>
      </c>
      <c r="E24" s="149"/>
      <c r="F24" s="160">
        <f>MIN(100%,B24)*5</f>
        <v>4.888222606358311</v>
      </c>
      <c r="G24" s="88" t="s">
        <v>229</v>
      </c>
      <c r="H24" s="123" t="s">
        <v>16</v>
      </c>
      <c r="I24" s="170">
        <f>HLOOKUP(C1,167:170,2,FALSE)</f>
        <v>47.37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0.1514728084158572</v>
      </c>
      <c r="M24" s="123" t="s">
        <v>355</v>
      </c>
      <c r="N24" s="165">
        <f>HLOOKUP($C$1,$117:$127,9,FALSE)/HLOOKUP($C$1,$117:$127,11,FALSE)</f>
        <v>0.21496667644006004</v>
      </c>
    </row>
    <row r="25" spans="1:14" s="93" customFormat="1" x14ac:dyDescent="0.25">
      <c r="A25" s="151" t="s">
        <v>366</v>
      </c>
      <c r="B25" s="255">
        <f>AVERAGE(94:94)</f>
        <v>305524.65217391303</v>
      </c>
      <c r="C25" s="254">
        <f>STDEV(94:94)/AVERAGE(94:94)</f>
        <v>1.0959779442549944</v>
      </c>
      <c r="D25" s="76" t="str">
        <f>IF(C25&lt;=1,"高",IF(C25&lt;=2,"中","低"))</f>
        <v>中</v>
      </c>
      <c r="E25" s="149"/>
      <c r="F25" s="160">
        <f>MAX(0,10-ABS(C25))</f>
        <v>8.9040220557450063</v>
      </c>
      <c r="G25" s="88" t="s">
        <v>213</v>
      </c>
      <c r="H25" s="123" t="s">
        <v>232</v>
      </c>
      <c r="I25" s="170">
        <f>IF(HLOOKUP(C1,167:170,3,FALSE)="無",0,HLOOKUP(C1,167:170,3,FALSE))</f>
        <v>23.2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42.163478260869567</v>
      </c>
      <c r="C26" s="172">
        <f>IF(COUNTIF(168:168,"&gt;0")=0,0,STDEV(168:168))</f>
        <v>4.5545467878469976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18.198260869565217</v>
      </c>
      <c r="C27" s="172">
        <f>IF(COUNTIF(169:169,"&gt;0")=0,0,STDEV(169:169))</f>
        <v>3.0730317457963152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0.35462499999999997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0.17990000000000003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11.147499999999999</v>
      </c>
      <c r="C32" s="157" t="s">
        <v>217</v>
      </c>
      <c r="D32" s="174">
        <f>COUNTIF(159:159,"&gt;3")/COUNT(159:159)</f>
        <v>0.30434782608695654</v>
      </c>
      <c r="E32" s="140" t="s">
        <v>242</v>
      </c>
      <c r="F32" s="159">
        <f>MIN(B32/15*10,10)</f>
        <v>7.4316666666666666</v>
      </c>
      <c r="G32" s="135"/>
    </row>
    <row r="33" spans="1:14" x14ac:dyDescent="0.25">
      <c r="A33" s="155" t="s">
        <v>14</v>
      </c>
      <c r="B33" s="156">
        <f>AVERAGE(B69:E69)</f>
        <v>5.1924999999999999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4.9550000000000001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9.8627828598940788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229094131.25</v>
      </c>
      <c r="C36" s="178">
        <f>STDEV(C97:F97)</f>
        <v>2274218.6318190512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35.462499999999999</v>
      </c>
      <c r="C37" s="180">
        <f>STDEV(C152:F152)</f>
        <v>0.69341545987957276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20.8325</v>
      </c>
      <c r="C38" s="180">
        <f>STDEV(C153:F153)</f>
        <v>0.80582773179714651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11.147499999999999</v>
      </c>
      <c r="C39" s="181">
        <f>STDEV(C165:F165)</f>
        <v>0.45021291259432644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5.1924999999999999</v>
      </c>
      <c r="C40" s="183">
        <f>STDEV(B69:E69)</f>
        <v>0.23314873650383211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6.5040650406504127E-2</v>
      </c>
      <c r="C44" s="186">
        <f>(C46-C49)/C49</f>
        <v>-5.594405594405584E-2</v>
      </c>
      <c r="D44" s="186">
        <f>(D46-D49)/D49</f>
        <v>-0.17333333333333334</v>
      </c>
      <c r="E44" s="186">
        <f>(E46-E49)/E49</f>
        <v>-0.18032786885245899</v>
      </c>
      <c r="G44" s="86" t="s">
        <v>175</v>
      </c>
      <c r="H44" s="186">
        <f>(H47-H50)/H50</f>
        <v>0.12067209775967412</v>
      </c>
      <c r="I44" s="186">
        <f>(I47-I50)/I50</f>
        <v>-3.4046268005237891E-2</v>
      </c>
      <c r="J44" s="186">
        <f>(J47-J50)/J50</f>
        <v>-0.12639405204460974</v>
      </c>
      <c r="K44" s="186">
        <f>(K47-K50)/K50</f>
        <v>-6.3631376851344082E-2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1.31</v>
      </c>
      <c r="C46" s="152">
        <f>HLOOKUP(C45,$81:$82,2,FALSE)</f>
        <v>1.35</v>
      </c>
      <c r="D46" s="152">
        <f>HLOOKUP(D45,$81:$82,2,FALSE)</f>
        <v>1.24</v>
      </c>
      <c r="E46" s="152">
        <f>HLOOKUP(E45,$81:$82,2,FALSE)</f>
        <v>1</v>
      </c>
      <c r="G46" s="86" t="s">
        <v>164</v>
      </c>
      <c r="H46" s="145">
        <f>HLOOKUP(H45,$145:$147,2,FALSE)/100</f>
        <v>0.36810000000000004</v>
      </c>
      <c r="I46" s="145">
        <f>HLOOKUP(I45,$145:$147,2,FALSE)/100</f>
        <v>0.36990000000000001</v>
      </c>
      <c r="J46" s="145">
        <f>HLOOKUP(J45,$145:$147,2,FALSE)/100</f>
        <v>0.36509999999999998</v>
      </c>
      <c r="K46" s="145">
        <f>HLOOKUP(K45,$145:$147,2,FALSE)/100</f>
        <v>0.33700000000000002</v>
      </c>
    </row>
    <row r="47" spans="1:14" x14ac:dyDescent="0.25">
      <c r="A47" s="188" t="s">
        <v>165</v>
      </c>
      <c r="B47" s="189">
        <f>HLOOKUP(B45,$157:$159,3,FALSE)</f>
        <v>2.92</v>
      </c>
      <c r="C47" s="189">
        <f>HLOOKUP(C45,$157:$159,3,FALSE)</f>
        <v>2.94</v>
      </c>
      <c r="D47" s="189">
        <f>HLOOKUP(D45,$157:$159,3,FALSE)</f>
        <v>2.62</v>
      </c>
      <c r="E47" s="189">
        <f>HLOOKUP(E45,$157:$159,3,FALSE)</f>
        <v>2.19</v>
      </c>
      <c r="G47" s="190" t="s">
        <v>166</v>
      </c>
      <c r="H47" s="145">
        <f>HLOOKUP(H45,$145:$147,3,FALSE)/100</f>
        <v>0.22010000000000002</v>
      </c>
      <c r="I47" s="145">
        <f>HLOOKUP(I45,$145:$147,3,FALSE)/100</f>
        <v>0.2213</v>
      </c>
      <c r="J47" s="145">
        <f>HLOOKUP(J45,$145:$147,3,FALSE)/100</f>
        <v>0.21149999999999999</v>
      </c>
      <c r="K47" s="145">
        <f>HLOOKUP(K45,$145:$147,3,FALSE)/100</f>
        <v>0.17069999999999999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1.23</v>
      </c>
      <c r="C49" s="152">
        <f>HLOOKUP(C48,$81:$82,2,FALSE)</f>
        <v>1.43</v>
      </c>
      <c r="D49" s="152">
        <f>HLOOKUP(D48,$81:$82,2,FALSE)</f>
        <v>1.5</v>
      </c>
      <c r="E49" s="152">
        <f>HLOOKUP(E48,$81:$82,2,FALSE)</f>
        <v>1.22</v>
      </c>
      <c r="G49" s="86" t="s">
        <v>164</v>
      </c>
      <c r="H49" s="145">
        <f>HLOOKUP(H48,$145:$147,2,FALSE)/100</f>
        <v>0.34179999999999999</v>
      </c>
      <c r="I49" s="145">
        <f>HLOOKUP(I48,$145:$147,2,FALSE)/100</f>
        <v>0.37270000000000003</v>
      </c>
      <c r="J49" s="145">
        <f>HLOOKUP(J48,$145:$147,2,FALSE)/100</f>
        <v>0.38350000000000001</v>
      </c>
      <c r="K49" s="145">
        <f>HLOOKUP(K48,$145:$147,2,FALSE)/100</f>
        <v>0.32780000000000004</v>
      </c>
    </row>
    <row r="50" spans="1:15" x14ac:dyDescent="0.25">
      <c r="A50" s="188" t="s">
        <v>165</v>
      </c>
      <c r="B50" s="189">
        <f>HLOOKUP(B48,$157:$159,3,FALSE)</f>
        <v>2.76</v>
      </c>
      <c r="C50" s="189">
        <f>HLOOKUP(C48,$157:$159,3,FALSE)</f>
        <v>3.06</v>
      </c>
      <c r="D50" s="189">
        <f>HLOOKUP(D48,$157:$159,3,FALSE)</f>
        <v>3.13</v>
      </c>
      <c r="E50" s="189">
        <f>HLOOKUP(E48,$157:$159,3,FALSE)</f>
        <v>2.65</v>
      </c>
      <c r="G50" s="190" t="s">
        <v>166</v>
      </c>
      <c r="H50" s="145">
        <f>HLOOKUP(H48,$145:$147,3,FALSE)/100</f>
        <v>0.19640000000000002</v>
      </c>
      <c r="I50" s="145">
        <f>HLOOKUP(I48,$145:$147,3,FALSE)/100</f>
        <v>0.2291</v>
      </c>
      <c r="J50" s="145">
        <f>HLOOKUP(J48,$145:$147,3,FALSE)/100</f>
        <v>0.24210000000000001</v>
      </c>
      <c r="K50" s="145">
        <f>HLOOKUP(K48,$145:$147,3,FALSE)/100</f>
        <v>0.18230000000000002</v>
      </c>
    </row>
    <row r="51" spans="1:15" x14ac:dyDescent="0.25">
      <c r="A51" s="86" t="s">
        <v>351</v>
      </c>
      <c r="B51" s="186">
        <f>(B47-B50)/B50</f>
        <v>5.7971014492753679E-2</v>
      </c>
      <c r="C51" s="186">
        <f>(C47-C50)/C50</f>
        <v>-3.9215686274509838E-2</v>
      </c>
      <c r="D51" s="186">
        <f>(D47-D50)/D50</f>
        <v>-0.16293929712460056</v>
      </c>
      <c r="E51" s="186">
        <f>(E47-E50)/E50</f>
        <v>-0.17358490566037735</v>
      </c>
      <c r="G51" s="235" t="s">
        <v>174</v>
      </c>
      <c r="H51" s="186">
        <f>(H46-H49)/H49</f>
        <v>7.6945582211819907E-2</v>
      </c>
      <c r="I51" s="186">
        <f>(I46-I49)/I49</f>
        <v>-7.512744834987992E-3</v>
      </c>
      <c r="J51" s="186">
        <f>(J46-J49)/J49</f>
        <v>-4.7979139504563305E-2</v>
      </c>
      <c r="K51" s="186">
        <f>(K46-K49)/K49</f>
        <v>2.8065893837705871E-2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5.1371495597803909</v>
      </c>
      <c r="B53" s="193">
        <f>B46</f>
        <v>1.31</v>
      </c>
      <c r="C53" s="193">
        <f>E46/HLOOKUP(E45,$87:$94,5,FALSE)*HLOOKUP(E45,$87:$94,4,FALSE)*($B$25/HLOOKUP(E45,$87:$94,4,FALSE)+SUM($B$57:$D$57)/SUM($B58:$D$58)*$G$69/100/K46)</f>
        <v>1.1818907312887996</v>
      </c>
      <c r="D53" s="193">
        <f>D46/HLOOKUP(D45,$87:$94,5,FALSE)*HLOOKUP(D45,$87:$94,4,FALSE)*($B$25/HLOOKUP(D45,$87:$94,4,FALSE)+SUM($B$57:$D$57)/SUM($B58:$D$58)*$G$69/100/J46)</f>
        <v>1.2899237745283336</v>
      </c>
      <c r="E53" s="193">
        <f>C46/HLOOKUP(C45,$87:$94,5,FALSE)*HLOOKUP(C45,$87:$94,4,FALSE)*($B$25/HLOOKUP(C45,$87:$94,4,FALSE)+SUM($B$57:$D$57)/SUM($B58:$D$58)*$G$69/100/I46)</f>
        <v>1.3553350539632572</v>
      </c>
    </row>
    <row r="54" spans="1:15" x14ac:dyDescent="0.25">
      <c r="A54" s="278">
        <f>SUM(B54:E54)</f>
        <v>4.82</v>
      </c>
      <c r="B54" s="277">
        <f t="shared" ref="B54:D54" si="0">HLOOKUP(B52-10,81:82,2,FALSE)</f>
        <v>1.23</v>
      </c>
      <c r="C54" s="277">
        <f t="shared" si="0"/>
        <v>1</v>
      </c>
      <c r="D54" s="277">
        <f t="shared" si="0"/>
        <v>1.24</v>
      </c>
      <c r="E54" s="277">
        <f>HLOOKUP(E52-10,81:82,2,FALSE)</f>
        <v>1.35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201801</v>
      </c>
      <c r="C56" s="194">
        <f>IF(B56-ROUNDDOWN(B56/100,0)*100-1=0,(ROUNDDOWN(B56/100,0)-1)*100+12,B56-1)</f>
        <v>201712</v>
      </c>
      <c r="D56" s="194">
        <f>IF(C56-ROUNDDOWN(C56/100,0)*100-1=0,(ROUNDDOWN(C56/100,0)-1)*100+12,C56-1)</f>
        <v>201711</v>
      </c>
      <c r="E56" s="194">
        <f>IF(D56-ROUNDDOWN(D56/100,0)*100-1=0,(ROUNDDOWN(D56/100,0)-1)*100+12,D56-1)</f>
        <v>201710</v>
      </c>
      <c r="F56" s="194">
        <f>IF(E56-ROUNDDOWN(E56/100,0)*100-1=0,(ROUNDDOWN(E56/100,0)-1)*100+12,E56-1)</f>
        <v>201709</v>
      </c>
      <c r="G56" s="194">
        <f t="shared" ref="G56:M56" si="1">IF(F56-ROUNDDOWN(F56/100,0)*100-1=0,(ROUNDDOWN(F56/100,0)-1)*100+12,F56-1)</f>
        <v>201708</v>
      </c>
      <c r="H56" s="194">
        <f t="shared" si="1"/>
        <v>201707</v>
      </c>
      <c r="I56" s="194">
        <f t="shared" si="1"/>
        <v>201706</v>
      </c>
      <c r="J56" s="194">
        <f t="shared" si="1"/>
        <v>201705</v>
      </c>
      <c r="K56" s="194">
        <f t="shared" si="1"/>
        <v>201704</v>
      </c>
      <c r="L56" s="194">
        <f t="shared" si="1"/>
        <v>201703</v>
      </c>
      <c r="M56" s="194">
        <f t="shared" si="1"/>
        <v>201702</v>
      </c>
      <c r="N56" s="138"/>
    </row>
    <row r="57" spans="1:15" x14ac:dyDescent="0.25">
      <c r="A57" s="195" t="s">
        <v>252</v>
      </c>
      <c r="B57" s="196">
        <f>HLOOKUP(B56,78:79,2,FALSE)</f>
        <v>18196550</v>
      </c>
      <c r="C57" s="196">
        <f>HLOOKUP(C56,78:79,2,FALSE)</f>
        <v>21927545</v>
      </c>
      <c r="D57" s="196">
        <f>HLOOKUP(D56,78:79,2,FALSE)</f>
        <v>20206453</v>
      </c>
      <c r="E57" s="196">
        <f>HLOOKUP(E56,78:79,2,FALSE)</f>
        <v>18790424</v>
      </c>
      <c r="F57" s="196">
        <f>HLOOKUP(F56,78:79,2,FALSE)</f>
        <v>19432246</v>
      </c>
      <c r="G57" s="196">
        <f t="shared" ref="G57:M57" si="2">HLOOKUP(G56,78:79,2,FALSE)</f>
        <v>18368753</v>
      </c>
      <c r="H57" s="196">
        <f t="shared" si="2"/>
        <v>18623904</v>
      </c>
      <c r="I57" s="196">
        <f t="shared" si="2"/>
        <v>18694336</v>
      </c>
      <c r="J57" s="196">
        <f t="shared" si="2"/>
        <v>18424969</v>
      </c>
      <c r="K57" s="196">
        <f t="shared" si="2"/>
        <v>18551837</v>
      </c>
      <c r="L57" s="196">
        <f t="shared" si="2"/>
        <v>18037067</v>
      </c>
      <c r="M57" s="196">
        <f t="shared" si="2"/>
        <v>17769274</v>
      </c>
      <c r="N57" s="197"/>
    </row>
    <row r="58" spans="1:15" x14ac:dyDescent="0.25">
      <c r="A58" s="198" t="s">
        <v>253</v>
      </c>
      <c r="B58" s="196">
        <f>HLOOKUP(B56-100,78:79,2,FALSE)</f>
        <v>18727059</v>
      </c>
      <c r="C58" s="196">
        <f>HLOOKUP(C56-100,78:79,2,FALSE)</f>
        <v>20706191</v>
      </c>
      <c r="D58" s="196">
        <f>HLOOKUP(D56-100,78:79,2,FALSE)</f>
        <v>18953369</v>
      </c>
      <c r="E58" s="196">
        <f>HLOOKUP(E56-100,78:79,2,FALSE)</f>
        <v>18691544</v>
      </c>
      <c r="F58" s="196">
        <f>HLOOKUP(F56-100,78:79,2,FALSE)</f>
        <v>20154127</v>
      </c>
      <c r="G58" s="196">
        <f t="shared" ref="G58:M58" si="3">HLOOKUP(G56-100,78:79,2,FALSE)</f>
        <v>19694230</v>
      </c>
      <c r="H58" s="196">
        <f t="shared" si="3"/>
        <v>18669622</v>
      </c>
      <c r="I58" s="196">
        <f t="shared" si="3"/>
        <v>19049375</v>
      </c>
      <c r="J58" s="196">
        <f t="shared" si="3"/>
        <v>18645271</v>
      </c>
      <c r="K58" s="196">
        <f t="shared" si="3"/>
        <v>18500782</v>
      </c>
      <c r="L58" s="196">
        <f t="shared" si="3"/>
        <v>18235531</v>
      </c>
      <c r="M58" s="196">
        <f t="shared" si="3"/>
        <v>19125864</v>
      </c>
      <c r="N58" s="197"/>
    </row>
    <row r="59" spans="1:15" x14ac:dyDescent="0.25">
      <c r="A59" s="199" t="s">
        <v>254</v>
      </c>
      <c r="B59" s="165">
        <f>IF(B57&lt;&gt;"",(B57-B58)/B58,"")</f>
        <v>-2.8328473787581916E-2</v>
      </c>
      <c r="C59" s="165">
        <f>IF(C57&lt;&gt;"",(C57-C58)/C58,"")</f>
        <v>5.8984967346239585E-2</v>
      </c>
      <c r="D59" s="165">
        <f>IF(D57&lt;&gt;"",(D57-D58)/D58,"")</f>
        <v>6.611405075266566E-2</v>
      </c>
      <c r="E59" s="165">
        <f>IF(E57&lt;&gt;"",(E57-E58)/E58,"")</f>
        <v>5.2900926750620494E-3</v>
      </c>
      <c r="F59" s="165">
        <f>IF(F57&lt;&gt;"",(F57-F58)/F58,"")</f>
        <v>-3.581802377250079E-2</v>
      </c>
      <c r="G59" s="165">
        <f t="shared" ref="G59:M59" si="4">IF(G57&lt;&gt;"",(G57-G58)/G58,"")</f>
        <v>-6.7302808995325022E-2</v>
      </c>
      <c r="H59" s="165">
        <f t="shared" si="4"/>
        <v>-2.4487908753589118E-3</v>
      </c>
      <c r="I59" s="165">
        <f t="shared" si="4"/>
        <v>-1.8637829325109091E-2</v>
      </c>
      <c r="J59" s="165">
        <f t="shared" si="4"/>
        <v>-1.181543566730674E-2</v>
      </c>
      <c r="K59" s="165">
        <f t="shared" si="4"/>
        <v>2.7596130801389907E-3</v>
      </c>
      <c r="L59" s="165">
        <f t="shared" si="4"/>
        <v>-1.0883368298954388E-2</v>
      </c>
      <c r="M59" s="165">
        <f t="shared" si="4"/>
        <v>-7.092960610825215E-2</v>
      </c>
    </row>
    <row r="60" spans="1:15" x14ac:dyDescent="0.25">
      <c r="A60" s="195" t="s">
        <v>255</v>
      </c>
      <c r="B60" s="196">
        <f>SUM(B57:M57)</f>
        <v>227023358</v>
      </c>
    </row>
    <row r="61" spans="1:15" x14ac:dyDescent="0.25">
      <c r="A61" s="198" t="s">
        <v>256</v>
      </c>
      <c r="B61" s="196">
        <f>SUM(B58:M58)</f>
        <v>229152965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0.99070661381143377</v>
      </c>
      <c r="D62" s="152">
        <f>SUM(B46:E46)</f>
        <v>4.9000000000000004</v>
      </c>
      <c r="E62" s="152">
        <f>SUM(B49:E49)</f>
        <v>5.38</v>
      </c>
      <c r="G62" s="126">
        <f>SUM(B47:E47)</f>
        <v>10.67</v>
      </c>
      <c r="H62" s="126">
        <f>SUM(B50:E50)</f>
        <v>11.6</v>
      </c>
      <c r="J62" s="200">
        <f>AVERAGE(H46:K46)</f>
        <v>0.36002499999999998</v>
      </c>
      <c r="K62" s="200">
        <f>AVERAGE(H49:K49)</f>
        <v>0.35645000000000004</v>
      </c>
      <c r="M62" s="200">
        <f>AVERAGE(H47:K47)</f>
        <v>0.2059</v>
      </c>
      <c r="N62" s="200">
        <f>AVERAGE(H50:K50)</f>
        <v>0.212475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2" x14ac:dyDescent="0.25">
      <c r="A65" s="204">
        <v>1</v>
      </c>
      <c r="B65" s="205">
        <f t="shared" ref="B65:E67" si="5">HLOOKUP(B$64*10+$A65,$81:$82,2,FALSE)</f>
        <v>1.19</v>
      </c>
      <c r="C65" s="205">
        <f t="shared" si="5"/>
        <v>1.32</v>
      </c>
      <c r="D65" s="205">
        <f t="shared" si="5"/>
        <v>1.34</v>
      </c>
      <c r="E65" s="205">
        <f t="shared" si="5"/>
        <v>1.5</v>
      </c>
      <c r="F65" s="206">
        <f>IF(ISNA(HLOOKUP(F$64*10+$A65,$81:$82,2,FALSE)),(HLOOKUP(E$64*10+$A65,$87:$94,4,FALSE)*$G65+$B$25)/HLOOKUP(E$64*10+$A65,$87:$94,5,FALSE)*$E65,HLOOKUP(F$64*10+$A65,$81:$82,2,FALSE))</f>
        <v>1.24</v>
      </c>
      <c r="G65" s="101">
        <f>MIN(130%,SUM($B$57:$D$57)/SUM($B$58:$D$58)*$G$69/HLOOKUP(E$64*10+$A65,$145:$146,2,FALSE))</f>
        <v>0.98797514367419825</v>
      </c>
      <c r="H65" s="204">
        <v>1</v>
      </c>
      <c r="I65" s="208">
        <f t="shared" ref="I65:M68" si="6">IF(ISNA(HLOOKUP(I$64*10+$H65,$145:$147,3,FALSE)),"",HLOOKUP(I$64*10+$H65,$145:$147,3,FALSE)/100)</f>
        <v>0.19870000000000002</v>
      </c>
      <c r="J65" s="208">
        <f t="shared" si="6"/>
        <v>0.21609999999999999</v>
      </c>
      <c r="K65" s="208">
        <f t="shared" si="6"/>
        <v>0.2087</v>
      </c>
      <c r="L65" s="208">
        <f t="shared" si="6"/>
        <v>0.24210000000000001</v>
      </c>
      <c r="M65" s="209">
        <f t="shared" si="6"/>
        <v>0.21149999999999999</v>
      </c>
      <c r="N65" s="256">
        <f t="shared" ref="N65:O68" si="7">HLOOKUP(E$64*10+$A65,$87:$94,8,FALSE)</f>
        <v>500501</v>
      </c>
      <c r="O65" s="256">
        <f t="shared" si="7"/>
        <v>266040</v>
      </c>
      <c r="P65" s="210"/>
    </row>
    <row r="66" spans="1:72" x14ac:dyDescent="0.25">
      <c r="A66" s="204">
        <v>2</v>
      </c>
      <c r="B66" s="205">
        <f t="shared" si="5"/>
        <v>1.37</v>
      </c>
      <c r="C66" s="205">
        <f t="shared" si="5"/>
        <v>1.36</v>
      </c>
      <c r="D66" s="205">
        <f t="shared" si="5"/>
        <v>1.44</v>
      </c>
      <c r="E66" s="205">
        <f t="shared" si="5"/>
        <v>1.43</v>
      </c>
      <c r="F66" s="206">
        <f>IF(ISNA(HLOOKUP(F$64*10+$A66,$81:$82,2,FALSE)),(HLOOKUP(E$64*10+$A66,$87:$94,4,FALSE)*$G66+$B$25)/HLOOKUP(E$64*10+$A66,$87:$94,5,FALSE)*$E66,HLOOKUP(F$64*10+$A66,$81:$82,2,FALSE))</f>
        <v>1.35</v>
      </c>
      <c r="G66" s="101">
        <f>MIN(130%,SUM($B$57:$D$57)/SUM($B$58:$D$58)*$G$69/HLOOKUP(E$64*10+$A66,$145:$146,2,FALSE))</f>
        <v>1.0166044207111753</v>
      </c>
      <c r="H66" s="204">
        <v>2</v>
      </c>
      <c r="I66" s="208">
        <f t="shared" si="6"/>
        <v>0.22649999999999998</v>
      </c>
      <c r="J66" s="208">
        <f t="shared" si="6"/>
        <v>0.221</v>
      </c>
      <c r="K66" s="208">
        <f t="shared" si="6"/>
        <v>0.23190000000000002</v>
      </c>
      <c r="L66" s="208">
        <f t="shared" si="6"/>
        <v>0.2291</v>
      </c>
      <c r="M66" s="209">
        <f t="shared" si="6"/>
        <v>0.2213</v>
      </c>
      <c r="N66" s="256">
        <f t="shared" si="7"/>
        <v>614485</v>
      </c>
      <c r="O66" s="256">
        <f t="shared" si="7"/>
        <v>554008</v>
      </c>
      <c r="P66" s="210"/>
    </row>
    <row r="67" spans="1:72" x14ac:dyDescent="0.25">
      <c r="A67" s="204">
        <v>3</v>
      </c>
      <c r="B67" s="205">
        <f t="shared" si="5"/>
        <v>1.37</v>
      </c>
      <c r="C67" s="205">
        <f t="shared" si="5"/>
        <v>1.25</v>
      </c>
      <c r="D67" s="205">
        <f t="shared" si="5"/>
        <v>1.52</v>
      </c>
      <c r="E67" s="205">
        <f t="shared" si="5"/>
        <v>1.23</v>
      </c>
      <c r="F67" s="206">
        <f>IF(ISNA(HLOOKUP(F$64*10+$A67,$81:$82,2,FALSE)),(HLOOKUP(E$64*10+$A67,$87:$94,4,FALSE)*$G67+$B$25)/HLOOKUP(E$64*10+$A67,$87:$94,5,FALSE)*$E67,HLOOKUP(F$64*10+$A67,$81:$82,2,FALSE))</f>
        <v>1.31</v>
      </c>
      <c r="G67" s="101">
        <f>MIN(130%,SUM($B$57:$D$57)/SUM($B$58:$D$58)*$G$69/HLOOKUP(E$64*10+$A67,$145:$146,2,FALSE))</f>
        <v>1.1085092674050763</v>
      </c>
      <c r="H67" s="204">
        <v>3</v>
      </c>
      <c r="I67" s="208">
        <f t="shared" si="6"/>
        <v>0.22190000000000001</v>
      </c>
      <c r="J67" s="208">
        <f t="shared" si="6"/>
        <v>0.19899999999999998</v>
      </c>
      <c r="K67" s="208">
        <f t="shared" si="6"/>
        <v>0.24989999999999998</v>
      </c>
      <c r="L67" s="208">
        <f t="shared" si="6"/>
        <v>0.19640000000000002</v>
      </c>
      <c r="M67" s="209">
        <f t="shared" si="6"/>
        <v>0.22010000000000002</v>
      </c>
      <c r="N67" s="256">
        <f t="shared" si="7"/>
        <v>388883</v>
      </c>
      <c r="O67" s="256">
        <f t="shared" si="7"/>
        <v>165852</v>
      </c>
      <c r="P67" s="210"/>
    </row>
    <row r="68" spans="1:72" x14ac:dyDescent="0.25">
      <c r="A68" s="204">
        <v>4</v>
      </c>
      <c r="B68" s="205">
        <f>HLOOKUP(B$64*10+$A68,$81:$82,2,FALSE)</f>
        <v>1.19</v>
      </c>
      <c r="C68" s="205">
        <f>HLOOKUP(C$64*10+$A68,$81:$82,2,FALSE)</f>
        <v>1.04</v>
      </c>
      <c r="D68" s="205">
        <f>HLOOKUP(D$64*10+$A68,$81:$82,2,FALSE)</f>
        <v>1.22</v>
      </c>
      <c r="E68" s="206">
        <f>IF(ISNA(HLOOKUP(E$64*10+$A68,$81:$82,2,FALSE)),D68*(1-$N68)*#REF!*(1+$B$25)/(1+$E$4),HLOOKUP(E$64*10+$A68,$81:$82,2,FALSE))</f>
        <v>1</v>
      </c>
      <c r="F68" s="206">
        <f>IF(ISNA(HLOOKUP(F$64*10+$A68,$81:$82,2,FALSE)),(HLOOKUP(E$64*10+$A68,$87:$94,4,FALSE)*$G68+$B$25)/HLOOKUP(E$64*10+$A68,$87:$94,5,FALSE)*$E68,HLOOKUP(F$64*10+$A68,$81:$82,2,FALSE))</f>
        <v>1.1818907312887992</v>
      </c>
      <c r="G68" s="101">
        <f>MIN(130%,SUM($B$57:$D$57)/SUM($B$58:$D$58)*$G$69/HLOOKUP(E$64*10+$A68,$145:$146,2,FALSE))</f>
        <v>1.1242981234393323</v>
      </c>
      <c r="H68" s="204">
        <v>4</v>
      </c>
      <c r="I68" s="208">
        <f t="shared" si="6"/>
        <v>0.19059999999999999</v>
      </c>
      <c r="J68" s="208">
        <f t="shared" si="6"/>
        <v>0.15770000000000001</v>
      </c>
      <c r="K68" s="208">
        <f t="shared" si="6"/>
        <v>0.18230000000000002</v>
      </c>
      <c r="L68" s="208">
        <f t="shared" si="6"/>
        <v>0.17069999999999999</v>
      </c>
      <c r="M68" s="209" t="str">
        <f t="shared" si="6"/>
        <v/>
      </c>
      <c r="N68" s="256">
        <f t="shared" si="7"/>
        <v>-226600</v>
      </c>
      <c r="O68" s="256" t="e">
        <f t="shared" si="7"/>
        <v>#N/A</v>
      </c>
    </row>
    <row r="69" spans="1:72" x14ac:dyDescent="0.25">
      <c r="A69" s="212" t="s">
        <v>162</v>
      </c>
      <c r="B69" s="213">
        <f>SUM(B65:B68)</f>
        <v>5.12</v>
      </c>
      <c r="C69" s="213">
        <f>SUM(C65:C68)</f>
        <v>4.9700000000000006</v>
      </c>
      <c r="D69" s="213">
        <f>SUM(D65:D68)</f>
        <v>5.5200000000000005</v>
      </c>
      <c r="E69" s="213">
        <f>SUM(E65:E68)</f>
        <v>5.16</v>
      </c>
      <c r="F69" s="213">
        <f>SUM(F65:F68)</f>
        <v>5.0818907312887989</v>
      </c>
      <c r="G69" s="257">
        <f>_xlfn.FORECAST.ETS(23,B146:W146,{1,2,3,4,5,6,7,8,9,10,11,12,13,14,15,16,17,18,19,20,21,22})</f>
        <v>36.668018664773058</v>
      </c>
      <c r="H69" s="214" t="s">
        <v>19</v>
      </c>
      <c r="I69" s="215">
        <f>HLOOKUP(I64,151:155,3,FALSE)/100</f>
        <v>0.20910000000000001</v>
      </c>
      <c r="J69" s="215">
        <f>HLOOKUP(J64,151:155,3,FALSE)/100</f>
        <v>0.19769999999999999</v>
      </c>
      <c r="K69" s="215">
        <f>HLOOKUP(K64,151:155,3,FALSE)/100</f>
        <v>0.21729999999999999</v>
      </c>
      <c r="L69" s="215">
        <f>IF(ISNA(HLOOKUP(L64,151:155,3,FALSE)/100),AVERAGE(L65:L68),HLOOKUP(L64,151:155,3,FALSE)/100)</f>
        <v>0.20920000000000002</v>
      </c>
      <c r="M69" s="215"/>
      <c r="N69" s="216"/>
    </row>
    <row r="70" spans="1:72" s="135" customFormat="1" x14ac:dyDescent="0.25">
      <c r="A70" s="217"/>
      <c r="B70" s="218"/>
      <c r="C70" s="218"/>
      <c r="D70" s="218"/>
      <c r="E70" s="218"/>
      <c r="F70" s="218"/>
    </row>
    <row r="71" spans="1:72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2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2.57</v>
      </c>
      <c r="C72" s="205">
        <f t="shared" si="8"/>
        <v>2.8</v>
      </c>
      <c r="D72" s="205">
        <f t="shared" si="8"/>
        <v>2.82</v>
      </c>
      <c r="E72" s="205">
        <f t="shared" si="8"/>
        <v>3.13</v>
      </c>
      <c r="F72" s="205">
        <f t="shared" si="8"/>
        <v>2.62</v>
      </c>
    </row>
    <row r="73" spans="1:72" s="135" customFormat="1" x14ac:dyDescent="0.25">
      <c r="A73" s="204">
        <v>2</v>
      </c>
      <c r="B73" s="205">
        <f t="shared" si="8"/>
        <v>3.01</v>
      </c>
      <c r="C73" s="205">
        <f t="shared" si="8"/>
        <v>2.95</v>
      </c>
      <c r="D73" s="205">
        <f t="shared" si="8"/>
        <v>3.1</v>
      </c>
      <c r="E73" s="205">
        <f t="shared" si="8"/>
        <v>3.06</v>
      </c>
      <c r="F73" s="205">
        <f t="shared" si="8"/>
        <v>2.94</v>
      </c>
    </row>
    <row r="74" spans="1:72" s="135" customFormat="1" x14ac:dyDescent="0.25">
      <c r="A74" s="204">
        <v>3</v>
      </c>
      <c r="B74" s="205">
        <f t="shared" si="8"/>
        <v>3.11</v>
      </c>
      <c r="C74" s="205">
        <f t="shared" si="8"/>
        <v>2.76</v>
      </c>
      <c r="D74" s="205">
        <f t="shared" si="8"/>
        <v>3.34</v>
      </c>
      <c r="E74" s="205">
        <f t="shared" si="8"/>
        <v>2.76</v>
      </c>
      <c r="F74" s="205">
        <f t="shared" si="8"/>
        <v>2.92</v>
      </c>
    </row>
    <row r="75" spans="1:72" s="135" customFormat="1" x14ac:dyDescent="0.25">
      <c r="A75" s="204">
        <v>4</v>
      </c>
      <c r="B75" s="205">
        <f t="shared" si="8"/>
        <v>2.62</v>
      </c>
      <c r="C75" s="205">
        <f t="shared" si="8"/>
        <v>2.27</v>
      </c>
      <c r="D75" s="205">
        <f t="shared" si="8"/>
        <v>2.65</v>
      </c>
      <c r="E75" s="205">
        <f t="shared" si="8"/>
        <v>2.19</v>
      </c>
      <c r="F75" s="205" t="str">
        <f t="shared" si="8"/>
        <v/>
      </c>
    </row>
    <row r="76" spans="1:72" s="135" customFormat="1" x14ac:dyDescent="0.25">
      <c r="A76" s="212" t="s">
        <v>165</v>
      </c>
      <c r="B76" s="213">
        <f>SUM(B72:B75)</f>
        <v>11.309999999999999</v>
      </c>
      <c r="C76" s="213">
        <f>SUM(C72:C75)</f>
        <v>10.78</v>
      </c>
      <c r="D76" s="213">
        <f>SUM(D72:D75)</f>
        <v>11.91</v>
      </c>
      <c r="E76" s="213">
        <f>AVERAGE(E72:E75)*4</f>
        <v>11.139999999999999</v>
      </c>
      <c r="F76" s="213"/>
    </row>
    <row r="77" spans="1:72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2" s="135" customFormat="1" ht="14.25" thickBot="1" x14ac:dyDescent="0.3">
      <c r="A78" s="217"/>
      <c r="B78" s="69">
        <v>201301</v>
      </c>
      <c r="C78" s="70">
        <v>201302</v>
      </c>
      <c r="D78" s="70">
        <v>201303</v>
      </c>
      <c r="E78" s="70">
        <v>201304</v>
      </c>
      <c r="F78" s="70">
        <v>201305</v>
      </c>
      <c r="G78" s="70">
        <v>201306</v>
      </c>
      <c r="H78" s="70">
        <v>201307</v>
      </c>
      <c r="I78" s="70">
        <v>201308</v>
      </c>
      <c r="J78" s="70">
        <v>201309</v>
      </c>
      <c r="K78" s="70">
        <v>201310</v>
      </c>
      <c r="L78" s="70">
        <v>201311</v>
      </c>
      <c r="M78" s="70">
        <v>201312</v>
      </c>
      <c r="N78" s="70">
        <v>201401</v>
      </c>
      <c r="O78" s="70">
        <v>201402</v>
      </c>
      <c r="P78" s="70">
        <v>201403</v>
      </c>
      <c r="Q78" s="70">
        <v>201404</v>
      </c>
      <c r="R78" s="70">
        <v>201405</v>
      </c>
      <c r="S78" s="70">
        <v>201406</v>
      </c>
      <c r="T78" s="70">
        <v>201407</v>
      </c>
      <c r="U78" s="70">
        <v>201408</v>
      </c>
      <c r="V78" s="70">
        <v>201409</v>
      </c>
      <c r="W78" s="70">
        <v>201410</v>
      </c>
      <c r="X78" s="70">
        <v>201411</v>
      </c>
      <c r="Y78" s="70">
        <v>201412</v>
      </c>
      <c r="Z78" s="70">
        <v>201501</v>
      </c>
      <c r="AA78" s="70">
        <v>201502</v>
      </c>
      <c r="AB78" s="70">
        <v>201503</v>
      </c>
      <c r="AC78" s="70">
        <v>201504</v>
      </c>
      <c r="AD78" s="70">
        <v>201505</v>
      </c>
      <c r="AE78" s="70">
        <v>201506</v>
      </c>
      <c r="AF78" s="70">
        <v>201507</v>
      </c>
      <c r="AG78" s="70">
        <v>201508</v>
      </c>
      <c r="AH78" s="70">
        <v>201509</v>
      </c>
      <c r="AI78" s="70">
        <v>201510</v>
      </c>
      <c r="AJ78" s="70">
        <v>201511</v>
      </c>
      <c r="AK78" s="70">
        <v>201512</v>
      </c>
      <c r="AL78" s="70">
        <v>201601</v>
      </c>
      <c r="AM78" s="70">
        <v>201602</v>
      </c>
      <c r="AN78" s="70">
        <v>201603</v>
      </c>
      <c r="AO78" s="70">
        <v>201604</v>
      </c>
      <c r="AP78" s="70">
        <v>201605</v>
      </c>
      <c r="AQ78" s="70">
        <v>201606</v>
      </c>
      <c r="AR78" s="70">
        <v>201607</v>
      </c>
      <c r="AS78" s="70">
        <v>201608</v>
      </c>
      <c r="AT78" s="70">
        <v>201609</v>
      </c>
      <c r="AU78" s="70">
        <v>201610</v>
      </c>
      <c r="AV78" s="70">
        <v>201611</v>
      </c>
      <c r="AW78" s="70">
        <v>201612</v>
      </c>
      <c r="AX78" s="70">
        <v>201701</v>
      </c>
      <c r="AY78" s="70">
        <v>201702</v>
      </c>
      <c r="AZ78" s="70">
        <v>201703</v>
      </c>
      <c r="BA78" s="70">
        <v>201704</v>
      </c>
      <c r="BB78" s="70">
        <v>201705</v>
      </c>
      <c r="BC78" s="70">
        <v>201706</v>
      </c>
      <c r="BD78" s="70">
        <v>201707</v>
      </c>
      <c r="BE78" s="70">
        <v>201708</v>
      </c>
      <c r="BF78" s="70">
        <v>201709</v>
      </c>
      <c r="BG78" s="70">
        <v>201710</v>
      </c>
      <c r="BH78" s="70">
        <v>201711</v>
      </c>
      <c r="BI78" s="70">
        <v>201712</v>
      </c>
      <c r="BJ78" s="71">
        <v>201801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0">
        <v>201710</v>
      </c>
      <c r="BT78" s="71">
        <v>201711</v>
      </c>
    </row>
    <row r="79" spans="1:72" ht="14.25" thickBot="1" x14ac:dyDescent="0.3">
      <c r="A79" s="222" t="s">
        <v>9</v>
      </c>
      <c r="B79" s="270">
        <v>19874608</v>
      </c>
      <c r="C79" s="270">
        <v>19250625</v>
      </c>
      <c r="D79" s="270">
        <v>17502584</v>
      </c>
      <c r="E79" s="270">
        <v>18497278</v>
      </c>
      <c r="F79" s="270">
        <v>18589022</v>
      </c>
      <c r="G79" s="270">
        <v>18707210</v>
      </c>
      <c r="H79" s="270">
        <v>18633180</v>
      </c>
      <c r="I79" s="270">
        <v>19099879</v>
      </c>
      <c r="J79" s="270">
        <v>18975435</v>
      </c>
      <c r="K79" s="270">
        <v>18868445</v>
      </c>
      <c r="L79" s="270">
        <v>19177242</v>
      </c>
      <c r="M79" s="270">
        <v>20774899</v>
      </c>
      <c r="N79" s="270">
        <v>19314166</v>
      </c>
      <c r="O79" s="270">
        <v>18293256</v>
      </c>
      <c r="P79" s="270">
        <v>17453020</v>
      </c>
      <c r="Q79" s="270">
        <v>18394890</v>
      </c>
      <c r="R79" s="270">
        <v>18625167</v>
      </c>
      <c r="S79" s="270">
        <v>18763496</v>
      </c>
      <c r="T79" s="270">
        <v>18431048</v>
      </c>
      <c r="U79" s="270">
        <v>18563811</v>
      </c>
      <c r="V79" s="270">
        <v>19144953</v>
      </c>
      <c r="W79" s="270">
        <v>19033088</v>
      </c>
      <c r="X79" s="270">
        <v>19550839</v>
      </c>
      <c r="Y79" s="270">
        <v>21126897</v>
      </c>
      <c r="Z79" s="270">
        <v>19326152</v>
      </c>
      <c r="AA79" s="270">
        <v>19087539</v>
      </c>
      <c r="AB79" s="270">
        <v>18058732</v>
      </c>
      <c r="AC79" s="270">
        <v>18927957</v>
      </c>
      <c r="AD79" s="270">
        <v>18850952</v>
      </c>
      <c r="AE79" s="270">
        <v>19138399</v>
      </c>
      <c r="AF79" s="270">
        <v>18657024</v>
      </c>
      <c r="AG79" s="270">
        <v>18808323</v>
      </c>
      <c r="AH79" s="270">
        <v>18712301</v>
      </c>
      <c r="AI79" s="270">
        <v>20354824</v>
      </c>
      <c r="AJ79" s="270">
        <v>20763742</v>
      </c>
      <c r="AK79" s="270">
        <v>21103776</v>
      </c>
      <c r="AL79" s="270">
        <v>19582761</v>
      </c>
      <c r="AM79" s="270">
        <v>19125864</v>
      </c>
      <c r="AN79" s="270">
        <v>18235531</v>
      </c>
      <c r="AO79" s="270">
        <v>18500782</v>
      </c>
      <c r="AP79" s="270">
        <v>18645271</v>
      </c>
      <c r="AQ79" s="270">
        <v>19049375</v>
      </c>
      <c r="AR79" s="270">
        <v>18669622</v>
      </c>
      <c r="AS79" s="270">
        <v>19694230</v>
      </c>
      <c r="AT79" s="270">
        <v>20154127</v>
      </c>
      <c r="AU79" s="270">
        <v>18691544</v>
      </c>
      <c r="AV79" s="270">
        <v>18953369</v>
      </c>
      <c r="AW79" s="270">
        <v>20706191</v>
      </c>
      <c r="AX79" s="270">
        <v>18727059</v>
      </c>
      <c r="AY79" s="270">
        <v>17769274</v>
      </c>
      <c r="AZ79" s="270">
        <v>18037067</v>
      </c>
      <c r="BA79" s="270">
        <v>18551837</v>
      </c>
      <c r="BB79" s="270">
        <v>18424969</v>
      </c>
      <c r="BC79" s="270">
        <v>18694336</v>
      </c>
      <c r="BD79" s="270">
        <v>18623904</v>
      </c>
      <c r="BE79" s="270">
        <v>18368753</v>
      </c>
      <c r="BF79" s="270">
        <v>19432246</v>
      </c>
      <c r="BG79" s="270">
        <v>18790424</v>
      </c>
      <c r="BH79" s="270">
        <v>20206453</v>
      </c>
      <c r="BI79" s="270">
        <v>21927545</v>
      </c>
      <c r="BJ79" s="270">
        <v>18196550</v>
      </c>
      <c r="BK79" s="270">
        <v>17769274</v>
      </c>
      <c r="BL79" s="270">
        <v>18037067</v>
      </c>
      <c r="BM79" s="270">
        <v>18551837</v>
      </c>
      <c r="BN79" s="270">
        <v>18424969</v>
      </c>
      <c r="BO79" s="270">
        <v>18694336</v>
      </c>
      <c r="BP79" s="270">
        <v>18623904</v>
      </c>
      <c r="BQ79" s="270">
        <v>18368753</v>
      </c>
      <c r="BR79" s="270">
        <v>19432246</v>
      </c>
      <c r="BS79" s="270">
        <v>18790424</v>
      </c>
      <c r="BT79" s="270">
        <v>20206453</v>
      </c>
    </row>
    <row r="80" spans="1:72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1.22</v>
      </c>
      <c r="C82" s="72">
        <v>1.45</v>
      </c>
      <c r="D82" s="72">
        <v>1.31</v>
      </c>
      <c r="E82" s="72">
        <v>1.1499999999999999</v>
      </c>
      <c r="F82" s="72">
        <v>1.19</v>
      </c>
      <c r="G82" s="72">
        <v>1.37</v>
      </c>
      <c r="H82" s="72">
        <v>1.37</v>
      </c>
      <c r="I82" s="72">
        <v>1.19</v>
      </c>
      <c r="J82" s="72">
        <v>1.32</v>
      </c>
      <c r="K82" s="72">
        <v>1.36</v>
      </c>
      <c r="L82" s="72">
        <v>1.25</v>
      </c>
      <c r="M82" s="72">
        <v>1.04</v>
      </c>
      <c r="N82" s="72">
        <v>1.34</v>
      </c>
      <c r="O82" s="72">
        <v>1.44</v>
      </c>
      <c r="P82" s="72">
        <v>1.52</v>
      </c>
      <c r="Q82" s="72">
        <v>1.22</v>
      </c>
      <c r="R82" s="72">
        <v>1.5</v>
      </c>
      <c r="S82" s="72">
        <v>1.43</v>
      </c>
      <c r="T82" s="72">
        <v>1.23</v>
      </c>
      <c r="U82" s="72">
        <v>1</v>
      </c>
      <c r="V82" s="72">
        <v>1.24</v>
      </c>
      <c r="W82" s="72">
        <v>1.35</v>
      </c>
      <c r="X82" s="72">
        <v>1.31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48.77</v>
      </c>
      <c r="C85" s="72">
        <v>44.82</v>
      </c>
      <c r="D85" s="72">
        <v>46.09</v>
      </c>
      <c r="E85" s="72">
        <v>47.11</v>
      </c>
      <c r="F85" s="72">
        <v>47.96</v>
      </c>
      <c r="G85" s="72">
        <v>43.95</v>
      </c>
      <c r="H85" s="72">
        <v>45.3</v>
      </c>
      <c r="I85" s="72">
        <v>46.44</v>
      </c>
      <c r="J85" s="72">
        <v>47.73</v>
      </c>
      <c r="K85" s="72">
        <v>44.57</v>
      </c>
      <c r="L85" s="72">
        <v>45.83</v>
      </c>
      <c r="M85" s="72">
        <v>46.98</v>
      </c>
      <c r="N85" s="72">
        <v>48.38</v>
      </c>
      <c r="O85" s="72">
        <v>44.85</v>
      </c>
      <c r="P85" s="72">
        <v>46.33</v>
      </c>
      <c r="Q85" s="72">
        <v>47.53</v>
      </c>
      <c r="R85" s="72">
        <v>49.07</v>
      </c>
      <c r="S85" s="72">
        <v>44.95</v>
      </c>
      <c r="T85" s="72">
        <v>46.16</v>
      </c>
      <c r="U85" s="72">
        <v>47.01</v>
      </c>
      <c r="V85" s="72">
        <v>48.27</v>
      </c>
      <c r="W85" s="72">
        <v>44.64</v>
      </c>
      <c r="X85" s="72">
        <v>46.13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55418294</v>
      </c>
      <c r="C88" s="273">
        <v>54187577</v>
      </c>
      <c r="D88" s="273">
        <v>54402889</v>
      </c>
      <c r="E88" s="273">
        <v>56122128</v>
      </c>
      <c r="F88" s="273">
        <v>56616993</v>
      </c>
      <c r="G88" s="273">
        <v>55837956</v>
      </c>
      <c r="H88" s="273">
        <v>56723304</v>
      </c>
      <c r="I88" s="273">
        <v>58803054</v>
      </c>
      <c r="J88" s="273">
        <v>55049912</v>
      </c>
      <c r="K88" s="273">
        <v>55784235</v>
      </c>
      <c r="L88" s="273">
        <v>56140678</v>
      </c>
      <c r="M88" s="273">
        <v>59633861</v>
      </c>
      <c r="N88" s="273">
        <v>56472807</v>
      </c>
      <c r="O88" s="273">
        <v>56920593</v>
      </c>
      <c r="P88" s="273">
        <v>56177648</v>
      </c>
      <c r="Q88" s="273">
        <v>62224056</v>
      </c>
      <c r="R88" s="273">
        <v>56944156</v>
      </c>
      <c r="S88" s="273">
        <v>56195429</v>
      </c>
      <c r="T88" s="273">
        <v>58517979</v>
      </c>
      <c r="U88" s="273">
        <v>58333864</v>
      </c>
      <c r="V88" s="273">
        <v>54533400</v>
      </c>
      <c r="W88" s="273">
        <v>55671141</v>
      </c>
      <c r="X88" s="273">
        <v>56424903</v>
      </c>
    </row>
    <row r="89" spans="1:25" ht="14.25" thickBot="1" x14ac:dyDescent="0.3">
      <c r="A89" s="250" t="s">
        <v>4</v>
      </c>
      <c r="B89" s="275">
        <v>18795865</v>
      </c>
      <c r="C89" s="275">
        <v>20715128</v>
      </c>
      <c r="D89" s="275">
        <v>20122164</v>
      </c>
      <c r="E89" s="275">
        <v>19320511</v>
      </c>
      <c r="F89" s="275">
        <v>19166312</v>
      </c>
      <c r="G89" s="275">
        <v>20558893</v>
      </c>
      <c r="H89" s="275">
        <v>20933825</v>
      </c>
      <c r="I89" s="275">
        <v>19962949</v>
      </c>
      <c r="J89" s="275">
        <v>20049745</v>
      </c>
      <c r="K89" s="275">
        <v>20747862</v>
      </c>
      <c r="L89" s="275">
        <v>19682498</v>
      </c>
      <c r="M89" s="275">
        <v>17749021</v>
      </c>
      <c r="N89" s="275">
        <v>19776926</v>
      </c>
      <c r="O89" s="275">
        <v>21209689</v>
      </c>
      <c r="P89" s="275">
        <v>22282792</v>
      </c>
      <c r="Q89" s="275">
        <v>20399484</v>
      </c>
      <c r="R89" s="275">
        <v>21838504</v>
      </c>
      <c r="S89" s="275">
        <v>20942203</v>
      </c>
      <c r="T89" s="275">
        <v>20002554</v>
      </c>
      <c r="U89" s="275">
        <v>19656373</v>
      </c>
      <c r="V89" s="275">
        <v>19912637</v>
      </c>
      <c r="W89" s="275">
        <v>20593177</v>
      </c>
      <c r="X89" s="275">
        <v>20769535</v>
      </c>
    </row>
    <row r="90" spans="1:25" ht="14.25" thickBot="1" x14ac:dyDescent="0.3">
      <c r="A90" s="251" t="s">
        <v>5</v>
      </c>
      <c r="B90" s="273">
        <v>11330915</v>
      </c>
      <c r="C90" s="273">
        <v>14443962</v>
      </c>
      <c r="D90" s="273">
        <v>12098941</v>
      </c>
      <c r="E90" s="273">
        <v>11039587</v>
      </c>
      <c r="F90" s="273">
        <v>11252396</v>
      </c>
      <c r="G90" s="273">
        <v>12647888</v>
      </c>
      <c r="H90" s="273">
        <v>12586523</v>
      </c>
      <c r="I90" s="273">
        <v>11206631</v>
      </c>
      <c r="J90" s="273">
        <v>11897154</v>
      </c>
      <c r="K90" s="273">
        <v>12328653</v>
      </c>
      <c r="L90" s="273">
        <v>11170759</v>
      </c>
      <c r="M90" s="273">
        <v>9403304</v>
      </c>
      <c r="N90" s="273">
        <v>11784950</v>
      </c>
      <c r="O90" s="273">
        <v>13197359</v>
      </c>
      <c r="P90" s="273">
        <v>14037535</v>
      </c>
      <c r="Q90" s="273">
        <v>11341494</v>
      </c>
      <c r="R90" s="273">
        <v>13783417</v>
      </c>
      <c r="S90" s="273">
        <v>12875744</v>
      </c>
      <c r="T90" s="273">
        <v>11491001</v>
      </c>
      <c r="U90" s="273">
        <v>9955116</v>
      </c>
      <c r="V90" s="273">
        <v>11533277</v>
      </c>
      <c r="W90" s="273">
        <v>12319383</v>
      </c>
      <c r="X90" s="273">
        <v>12416532</v>
      </c>
    </row>
    <row r="91" spans="1:25" ht="14.25" thickBot="1" x14ac:dyDescent="0.3">
      <c r="A91" s="250" t="s">
        <v>6</v>
      </c>
      <c r="B91" s="275">
        <v>11832873</v>
      </c>
      <c r="C91" s="275">
        <v>13538705</v>
      </c>
      <c r="D91" s="275">
        <v>12511661</v>
      </c>
      <c r="E91" s="275">
        <v>11012924</v>
      </c>
      <c r="F91" s="275">
        <v>11558824</v>
      </c>
      <c r="G91" s="275">
        <v>13044046</v>
      </c>
      <c r="H91" s="275">
        <v>13070666</v>
      </c>
      <c r="I91" s="275">
        <v>11436837</v>
      </c>
      <c r="J91" s="275">
        <v>12341702</v>
      </c>
      <c r="K91" s="275">
        <v>12788315</v>
      </c>
      <c r="L91" s="275">
        <v>11679019</v>
      </c>
      <c r="M91" s="275">
        <v>9748164</v>
      </c>
      <c r="N91" s="275">
        <v>12523058</v>
      </c>
      <c r="O91" s="275">
        <v>13549878</v>
      </c>
      <c r="P91" s="275">
        <v>14230277</v>
      </c>
      <c r="Q91" s="275">
        <v>11665000</v>
      </c>
      <c r="R91" s="275">
        <v>14283918</v>
      </c>
      <c r="S91" s="275">
        <v>13490229</v>
      </c>
      <c r="T91" s="275">
        <v>11879884</v>
      </c>
      <c r="U91" s="275">
        <v>9728516</v>
      </c>
      <c r="V91" s="275">
        <v>11799317</v>
      </c>
      <c r="W91" s="275">
        <v>12873391</v>
      </c>
      <c r="X91" s="275">
        <v>12582384</v>
      </c>
    </row>
    <row r="92" spans="1:25" ht="14.25" thickBot="1" x14ac:dyDescent="0.3">
      <c r="A92" s="251" t="s">
        <v>7</v>
      </c>
      <c r="B92" s="273">
        <v>9878307</v>
      </c>
      <c r="C92" s="273">
        <v>11469536</v>
      </c>
      <c r="D92" s="273">
        <v>10468715</v>
      </c>
      <c r="E92" s="273">
        <v>9221184</v>
      </c>
      <c r="F92" s="273">
        <v>9614100</v>
      </c>
      <c r="G92" s="273">
        <v>10886529</v>
      </c>
      <c r="H92" s="273">
        <v>10892987</v>
      </c>
      <c r="I92" s="273">
        <v>9446011</v>
      </c>
      <c r="J92" s="273">
        <v>10385669</v>
      </c>
      <c r="K92" s="273">
        <v>10696369</v>
      </c>
      <c r="L92" s="273">
        <v>9796123</v>
      </c>
      <c r="M92" s="273">
        <v>8285908</v>
      </c>
      <c r="N92" s="273">
        <v>10567793</v>
      </c>
      <c r="O92" s="273">
        <v>11362612</v>
      </c>
      <c r="P92" s="273">
        <v>11967689</v>
      </c>
      <c r="Q92" s="273">
        <v>9766251</v>
      </c>
      <c r="R92" s="273">
        <v>11927310</v>
      </c>
      <c r="S92" s="273">
        <v>11333097</v>
      </c>
      <c r="T92" s="273">
        <v>9918328</v>
      </c>
      <c r="U92" s="273">
        <v>8051250</v>
      </c>
      <c r="V92" s="273">
        <v>9843456</v>
      </c>
      <c r="W92" s="273">
        <v>10778115</v>
      </c>
      <c r="X92" s="273">
        <v>10499285</v>
      </c>
    </row>
    <row r="93" spans="1:25" ht="26.25" thickBot="1" x14ac:dyDescent="0.3">
      <c r="A93" s="252" t="s">
        <v>8</v>
      </c>
      <c r="B93" s="276">
        <v>9489503</v>
      </c>
      <c r="C93" s="276">
        <v>11271308</v>
      </c>
      <c r="D93" s="276">
        <v>10196896</v>
      </c>
      <c r="E93" s="276">
        <v>8946267</v>
      </c>
      <c r="F93" s="276">
        <v>9201106</v>
      </c>
      <c r="G93" s="276">
        <v>10634960</v>
      </c>
      <c r="H93" s="276">
        <v>10648268</v>
      </c>
      <c r="I93" s="276">
        <v>9231359</v>
      </c>
      <c r="J93" s="276">
        <v>10235417</v>
      </c>
      <c r="K93" s="276">
        <v>10582991</v>
      </c>
      <c r="L93" s="276">
        <v>9730907</v>
      </c>
      <c r="M93" s="276">
        <v>8065260</v>
      </c>
      <c r="N93" s="276">
        <v>10418425</v>
      </c>
      <c r="O93" s="276">
        <v>11133809</v>
      </c>
      <c r="P93" s="276">
        <v>11801308</v>
      </c>
      <c r="Q93" s="276">
        <v>9452186</v>
      </c>
      <c r="R93" s="276">
        <v>11667767</v>
      </c>
      <c r="S93" s="276">
        <v>11061548</v>
      </c>
      <c r="T93" s="276">
        <v>9576794</v>
      </c>
      <c r="U93" s="276">
        <v>7760901</v>
      </c>
      <c r="V93" s="276">
        <v>9593445</v>
      </c>
      <c r="W93" s="276">
        <v>10445027</v>
      </c>
      <c r="X93" s="276">
        <v>10153411</v>
      </c>
    </row>
    <row r="94" spans="1:25" x14ac:dyDescent="0.25">
      <c r="A94" s="233" t="s">
        <v>365</v>
      </c>
      <c r="B94" s="253">
        <f>IF(B91="","",B91-B90)</f>
        <v>501958</v>
      </c>
      <c r="C94" s="253">
        <f>IF(C91="","",C91-C90)</f>
        <v>-905257</v>
      </c>
      <c r="D94" s="253">
        <f t="shared" ref="D94:Y94" si="9">IF(D91="","",D91-D90)</f>
        <v>412720</v>
      </c>
      <c r="E94" s="253">
        <f t="shared" si="9"/>
        <v>-26663</v>
      </c>
      <c r="F94" s="253">
        <f t="shared" si="9"/>
        <v>306428</v>
      </c>
      <c r="G94" s="253">
        <f t="shared" si="9"/>
        <v>396158</v>
      </c>
      <c r="H94" s="253">
        <f t="shared" si="9"/>
        <v>484143</v>
      </c>
      <c r="I94" s="253">
        <f t="shared" si="9"/>
        <v>230206</v>
      </c>
      <c r="J94" s="253">
        <f t="shared" si="9"/>
        <v>444548</v>
      </c>
      <c r="K94" s="253">
        <f t="shared" si="9"/>
        <v>459662</v>
      </c>
      <c r="L94" s="253">
        <f t="shared" si="9"/>
        <v>508260</v>
      </c>
      <c r="M94" s="253">
        <f t="shared" si="9"/>
        <v>344860</v>
      </c>
      <c r="N94" s="253">
        <f t="shared" si="9"/>
        <v>738108</v>
      </c>
      <c r="O94" s="253">
        <f t="shared" si="9"/>
        <v>352519</v>
      </c>
      <c r="P94" s="253">
        <f t="shared" si="9"/>
        <v>192742</v>
      </c>
      <c r="Q94" s="253">
        <f t="shared" si="9"/>
        <v>323506</v>
      </c>
      <c r="R94" s="253">
        <f t="shared" si="9"/>
        <v>500501</v>
      </c>
      <c r="S94" s="253">
        <f t="shared" si="9"/>
        <v>614485</v>
      </c>
      <c r="T94" s="253">
        <f t="shared" si="9"/>
        <v>388883</v>
      </c>
      <c r="U94" s="253">
        <f t="shared" si="9"/>
        <v>-226600</v>
      </c>
      <c r="V94" s="253">
        <f t="shared" si="9"/>
        <v>266040</v>
      </c>
      <c r="W94" s="253">
        <f t="shared" si="9"/>
        <v>554008</v>
      </c>
      <c r="X94" s="253">
        <f t="shared" si="9"/>
        <v>165852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220130888</v>
      </c>
      <c r="C97" s="273">
        <v>227981307</v>
      </c>
      <c r="D97" s="273">
        <v>226608686</v>
      </c>
      <c r="E97" s="273">
        <v>231795104</v>
      </c>
      <c r="F97" s="273">
        <v>229991428</v>
      </c>
    </row>
    <row r="98" spans="1:24" ht="14.25" thickBot="1" x14ac:dyDescent="0.3">
      <c r="A98" s="225" t="s">
        <v>4</v>
      </c>
      <c r="B98" s="275">
        <v>78953668</v>
      </c>
      <c r="C98" s="275">
        <v>80692112</v>
      </c>
      <c r="D98" s="275">
        <v>78229126</v>
      </c>
      <c r="E98" s="275">
        <v>83668891</v>
      </c>
      <c r="F98" s="275">
        <v>82439634</v>
      </c>
    </row>
    <row r="99" spans="1:24" ht="14.25" thickBot="1" x14ac:dyDescent="0.3">
      <c r="A99" s="224" t="s">
        <v>5</v>
      </c>
      <c r="B99" s="273">
        <v>48913405</v>
      </c>
      <c r="C99" s="273">
        <v>47675383</v>
      </c>
      <c r="D99" s="273">
        <v>44801808</v>
      </c>
      <c r="E99" s="273">
        <v>50361338</v>
      </c>
      <c r="F99" s="273">
        <v>48105278</v>
      </c>
    </row>
    <row r="100" spans="1:24" ht="14.25" thickBot="1" x14ac:dyDescent="0.3">
      <c r="A100" s="225" t="s">
        <v>6</v>
      </c>
      <c r="B100" s="275">
        <v>48896163</v>
      </c>
      <c r="C100" s="275">
        <v>49110373</v>
      </c>
      <c r="D100" s="275">
        <v>46559138</v>
      </c>
      <c r="E100" s="275">
        <v>51968213</v>
      </c>
      <c r="F100" s="275">
        <v>49382547</v>
      </c>
    </row>
    <row r="101" spans="1:24" ht="14.25" thickBot="1" x14ac:dyDescent="0.3">
      <c r="A101" s="224" t="s">
        <v>7</v>
      </c>
      <c r="B101" s="273">
        <v>41037742</v>
      </c>
      <c r="C101" s="273">
        <v>40839627</v>
      </c>
      <c r="D101" s="273">
        <v>39165678</v>
      </c>
      <c r="E101" s="273">
        <v>43664345</v>
      </c>
      <c r="F101" s="273">
        <v>41229985</v>
      </c>
    </row>
    <row r="102" spans="1:24" ht="14.25" thickBot="1" x14ac:dyDescent="0.3">
      <c r="A102" s="227" t="s">
        <v>8</v>
      </c>
      <c r="B102" s="276">
        <v>39903974</v>
      </c>
      <c r="C102" s="276">
        <v>39715693</v>
      </c>
      <c r="D102" s="276">
        <v>38616176</v>
      </c>
      <c r="E102" s="276">
        <v>42805728</v>
      </c>
      <c r="F102" s="276">
        <v>40067010</v>
      </c>
    </row>
    <row r="103" spans="1:24" x14ac:dyDescent="0.25">
      <c r="A103" s="233" t="s">
        <v>262</v>
      </c>
      <c r="B103" s="234">
        <f>IF(OR(B102="",B102="無"),"",B102/B101)</f>
        <v>0.97237255402599876</v>
      </c>
      <c r="C103" s="234">
        <f>IF(OR(C102="",C102="無"),"",C102/C101)</f>
        <v>0.97247932749238875</v>
      </c>
      <c r="D103" s="234">
        <f>IF(OR(D102="",D102="無"),"",D102/D101)</f>
        <v>0.98596980754424834</v>
      </c>
      <c r="E103" s="234">
        <f>IF(OR(E102="",E102="無"),"",E102/E101)</f>
        <v>0.98033596977121717</v>
      </c>
      <c r="F103" s="234">
        <f>IF(OR(F102="",F102="無"),"",F102/F101)</f>
        <v>0.97179298027879468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69938896</v>
      </c>
      <c r="C106" s="273">
        <v>75136342</v>
      </c>
      <c r="D106" s="273">
        <v>38823455</v>
      </c>
      <c r="E106" s="273">
        <v>53202312</v>
      </c>
      <c r="F106" s="273">
        <v>35065755</v>
      </c>
      <c r="G106" s="273">
        <v>58987872</v>
      </c>
      <c r="H106" s="273">
        <v>34749913</v>
      </c>
      <c r="I106" s="273">
        <v>14585105</v>
      </c>
      <c r="J106" s="273">
        <v>18985956</v>
      </c>
      <c r="K106" s="273">
        <v>28141343</v>
      </c>
      <c r="L106" s="273">
        <v>8099025</v>
      </c>
      <c r="M106" s="273">
        <v>23559603</v>
      </c>
      <c r="N106" s="273">
        <v>30801465</v>
      </c>
      <c r="O106" s="273">
        <v>34284519</v>
      </c>
      <c r="P106" s="273">
        <v>20608465</v>
      </c>
      <c r="Q106" s="273">
        <v>30271423</v>
      </c>
      <c r="R106" s="273">
        <v>34544869</v>
      </c>
      <c r="S106" s="273">
        <v>44643353</v>
      </c>
      <c r="T106" s="273">
        <v>10844060</v>
      </c>
      <c r="U106" s="273">
        <v>31100342</v>
      </c>
      <c r="V106" s="273">
        <v>38005724</v>
      </c>
      <c r="W106" s="273">
        <v>48310402</v>
      </c>
      <c r="X106" s="273">
        <v>25466108</v>
      </c>
    </row>
    <row r="107" spans="1:24" ht="14.25" thickBot="1" x14ac:dyDescent="0.3">
      <c r="A107" s="225" t="s">
        <v>22</v>
      </c>
      <c r="B107" s="275">
        <v>3289376</v>
      </c>
      <c r="C107" s="275">
        <v>5157377</v>
      </c>
      <c r="D107" s="275">
        <v>5404800</v>
      </c>
      <c r="E107" s="275">
        <v>6503400</v>
      </c>
      <c r="F107" s="275">
        <v>3060446</v>
      </c>
      <c r="G107" s="275">
        <v>2668394</v>
      </c>
      <c r="H107" s="275">
        <v>17243</v>
      </c>
      <c r="I107" s="275">
        <v>24604</v>
      </c>
      <c r="J107" s="274">
        <v>58</v>
      </c>
      <c r="K107" s="274">
        <v>24</v>
      </c>
      <c r="L107" s="275">
        <v>4010</v>
      </c>
      <c r="M107" s="275">
        <v>1163</v>
      </c>
      <c r="N107" s="274">
        <v>193</v>
      </c>
      <c r="O107" s="275">
        <v>1216</v>
      </c>
      <c r="P107" s="275">
        <v>40897</v>
      </c>
      <c r="Q107" s="274">
        <v>661</v>
      </c>
      <c r="R107" s="275">
        <v>10410</v>
      </c>
      <c r="S107" s="275">
        <v>29979</v>
      </c>
      <c r="T107" s="274">
        <v>257</v>
      </c>
      <c r="U107" s="274">
        <v>217</v>
      </c>
      <c r="V107" s="274">
        <v>0</v>
      </c>
      <c r="W107" s="275">
        <v>7890</v>
      </c>
      <c r="X107" s="275">
        <v>2415</v>
      </c>
    </row>
    <row r="108" spans="1:24" ht="14.25" thickBot="1" x14ac:dyDescent="0.3">
      <c r="A108" s="224" t="s">
        <v>263</v>
      </c>
      <c r="B108" s="273">
        <v>22075807</v>
      </c>
      <c r="C108" s="273">
        <v>25017665</v>
      </c>
      <c r="D108" s="273">
        <v>24429111</v>
      </c>
      <c r="E108" s="273">
        <v>24398754</v>
      </c>
      <c r="F108" s="273">
        <v>25876275</v>
      </c>
      <c r="G108" s="273">
        <v>23706868</v>
      </c>
      <c r="H108" s="273">
        <v>24392971</v>
      </c>
      <c r="I108" s="273">
        <v>22970206</v>
      </c>
      <c r="J108" s="273">
        <v>23049839</v>
      </c>
      <c r="K108" s="273">
        <v>23680077</v>
      </c>
      <c r="L108" s="273">
        <v>25751613</v>
      </c>
      <c r="M108" s="273">
        <v>26309007</v>
      </c>
      <c r="N108" s="273">
        <v>27666332</v>
      </c>
      <c r="O108" s="273">
        <v>27573447</v>
      </c>
      <c r="P108" s="273">
        <v>27886133</v>
      </c>
      <c r="Q108" s="273">
        <v>26968106</v>
      </c>
      <c r="R108" s="273">
        <v>27928870</v>
      </c>
      <c r="S108" s="273">
        <v>29867976</v>
      </c>
      <c r="T108" s="273">
        <v>35734645</v>
      </c>
      <c r="U108" s="273">
        <v>31036287</v>
      </c>
      <c r="V108" s="273">
        <v>28218299</v>
      </c>
      <c r="W108" s="273">
        <v>29667482</v>
      </c>
      <c r="X108" s="273">
        <v>29874127</v>
      </c>
    </row>
    <row r="109" spans="1:24" ht="14.25" thickBot="1" x14ac:dyDescent="0.3">
      <c r="A109" s="225" t="s">
        <v>264</v>
      </c>
      <c r="B109" s="275">
        <v>5401850</v>
      </c>
      <c r="C109" s="275">
        <v>4959167</v>
      </c>
      <c r="D109" s="275">
        <v>4059109</v>
      </c>
      <c r="E109" s="275">
        <v>7196101</v>
      </c>
      <c r="F109" s="275">
        <v>8265018</v>
      </c>
      <c r="G109" s="275">
        <v>7656753</v>
      </c>
      <c r="H109" s="275">
        <v>8087099</v>
      </c>
      <c r="I109" s="275">
        <v>7848087</v>
      </c>
      <c r="J109" s="275">
        <v>8943748</v>
      </c>
      <c r="K109" s="275">
        <v>8193599</v>
      </c>
      <c r="L109" s="275">
        <v>8585502</v>
      </c>
      <c r="M109" s="275">
        <v>7096509</v>
      </c>
      <c r="N109" s="275">
        <v>6877302</v>
      </c>
      <c r="O109" s="275">
        <v>6712831</v>
      </c>
      <c r="P109" s="275">
        <v>6556374</v>
      </c>
      <c r="Q109" s="275">
        <v>8780190</v>
      </c>
      <c r="R109" s="275">
        <v>6911224</v>
      </c>
      <c r="S109" s="275">
        <v>6912878</v>
      </c>
      <c r="T109" s="275">
        <v>7869366</v>
      </c>
      <c r="U109" s="275">
        <v>7422774</v>
      </c>
      <c r="V109" s="275">
        <v>8368772</v>
      </c>
      <c r="W109" s="275">
        <v>9328484</v>
      </c>
      <c r="X109" s="275">
        <v>9041373</v>
      </c>
    </row>
    <row r="110" spans="1:24" ht="14.25" thickBot="1" x14ac:dyDescent="0.3">
      <c r="A110" s="224" t="s">
        <v>23</v>
      </c>
      <c r="B110" s="273">
        <v>10087086</v>
      </c>
      <c r="C110" s="273">
        <v>10798550</v>
      </c>
      <c r="D110" s="273">
        <v>11565463</v>
      </c>
      <c r="E110" s="273">
        <v>9694920</v>
      </c>
      <c r="F110" s="273">
        <v>36450548</v>
      </c>
      <c r="G110" s="273">
        <v>23360362</v>
      </c>
      <c r="H110" s="273">
        <v>18524295</v>
      </c>
      <c r="I110" s="273">
        <v>15085337</v>
      </c>
      <c r="J110" s="273">
        <v>18297178</v>
      </c>
      <c r="K110" s="273">
        <v>20512254</v>
      </c>
      <c r="L110" s="273">
        <v>19469387</v>
      </c>
      <c r="M110" s="273">
        <v>12445958</v>
      </c>
      <c r="N110" s="273">
        <v>14372711</v>
      </c>
      <c r="O110" s="273">
        <v>26068413</v>
      </c>
      <c r="P110" s="273">
        <v>13783899</v>
      </c>
      <c r="Q110" s="273">
        <v>10186464</v>
      </c>
      <c r="R110" s="273">
        <v>14715458</v>
      </c>
      <c r="S110" s="273">
        <v>17052766</v>
      </c>
      <c r="T110" s="273">
        <v>15743899</v>
      </c>
      <c r="U110" s="273">
        <v>12060555</v>
      </c>
      <c r="V110" s="273">
        <v>13034597</v>
      </c>
      <c r="W110" s="273">
        <v>14840403</v>
      </c>
      <c r="X110" s="273">
        <v>13334678</v>
      </c>
    </row>
    <row r="111" spans="1:24" ht="14.25" thickBot="1" x14ac:dyDescent="0.3">
      <c r="A111" s="225" t="s">
        <v>24</v>
      </c>
      <c r="B111" s="275">
        <v>110793015</v>
      </c>
      <c r="C111" s="275">
        <v>121069101</v>
      </c>
      <c r="D111" s="275">
        <v>84281938</v>
      </c>
      <c r="E111" s="275">
        <v>100995487</v>
      </c>
      <c r="F111" s="275">
        <v>108718042</v>
      </c>
      <c r="G111" s="275">
        <v>116380249</v>
      </c>
      <c r="H111" s="275">
        <v>85771521</v>
      </c>
      <c r="I111" s="275">
        <v>60513339</v>
      </c>
      <c r="J111" s="275">
        <v>69276779</v>
      </c>
      <c r="K111" s="275">
        <v>80527297</v>
      </c>
      <c r="L111" s="275">
        <v>61909537</v>
      </c>
      <c r="M111" s="275">
        <v>69412240</v>
      </c>
      <c r="N111" s="275">
        <v>79718003</v>
      </c>
      <c r="O111" s="275">
        <v>94640426</v>
      </c>
      <c r="P111" s="275">
        <v>68875768</v>
      </c>
      <c r="Q111" s="275">
        <v>76206844</v>
      </c>
      <c r="R111" s="275">
        <v>84110831</v>
      </c>
      <c r="S111" s="275">
        <v>98506952</v>
      </c>
      <c r="T111" s="275">
        <v>70192227</v>
      </c>
      <c r="U111" s="275">
        <v>81620175</v>
      </c>
      <c r="V111" s="275">
        <v>87627392</v>
      </c>
      <c r="W111" s="275">
        <v>102154661</v>
      </c>
      <c r="X111" s="275">
        <v>77718701</v>
      </c>
    </row>
    <row r="112" spans="1:24" ht="14.25" thickBot="1" x14ac:dyDescent="0.3">
      <c r="A112" s="224" t="s">
        <v>25</v>
      </c>
      <c r="B112" s="273">
        <v>23277801</v>
      </c>
      <c r="C112" s="273">
        <v>21641814</v>
      </c>
      <c r="D112" s="273">
        <v>22571352</v>
      </c>
      <c r="E112" s="273">
        <v>19792275</v>
      </c>
      <c r="F112" s="273">
        <v>18832261</v>
      </c>
      <c r="G112" s="273">
        <v>17894549</v>
      </c>
      <c r="H112" s="273">
        <v>16787909</v>
      </c>
      <c r="I112" s="273">
        <v>15533864</v>
      </c>
      <c r="J112" s="273">
        <v>14798055</v>
      </c>
      <c r="K112" s="273">
        <v>13436161</v>
      </c>
      <c r="L112" s="273">
        <v>12637269</v>
      </c>
      <c r="M112" s="273">
        <v>13261889</v>
      </c>
      <c r="N112" s="273">
        <v>13962539</v>
      </c>
      <c r="O112" s="273">
        <v>12603846</v>
      </c>
      <c r="P112" s="273">
        <v>11570361</v>
      </c>
      <c r="Q112" s="273">
        <v>10795501</v>
      </c>
      <c r="R112" s="273">
        <v>9877547</v>
      </c>
      <c r="S112" s="273">
        <v>8474885</v>
      </c>
      <c r="T112" s="273">
        <v>7303267</v>
      </c>
      <c r="U112" s="273">
        <v>7366706</v>
      </c>
      <c r="V112" s="273">
        <v>7781651</v>
      </c>
      <c r="W112" s="273">
        <v>7197106</v>
      </c>
      <c r="X112" s="273">
        <v>7827522</v>
      </c>
    </row>
    <row r="113" spans="1:24" ht="14.25" thickBot="1" x14ac:dyDescent="0.3">
      <c r="A113" s="225" t="s">
        <v>26</v>
      </c>
      <c r="B113" s="275">
        <v>300698722</v>
      </c>
      <c r="C113" s="275">
        <v>299989606</v>
      </c>
      <c r="D113" s="275">
        <v>299809041</v>
      </c>
      <c r="E113" s="275">
        <v>303650145</v>
      </c>
      <c r="F113" s="275">
        <v>295839268</v>
      </c>
      <c r="G113" s="275">
        <v>296563757</v>
      </c>
      <c r="H113" s="275">
        <v>296810800</v>
      </c>
      <c r="I113" s="275">
        <v>302714116</v>
      </c>
      <c r="J113" s="275">
        <v>299083643</v>
      </c>
      <c r="K113" s="275">
        <v>298533250</v>
      </c>
      <c r="L113" s="275">
        <v>298193968</v>
      </c>
      <c r="M113" s="275">
        <v>302650343</v>
      </c>
      <c r="N113" s="275">
        <v>298417054</v>
      </c>
      <c r="O113" s="275">
        <v>295149385</v>
      </c>
      <c r="P113" s="275">
        <v>292962916</v>
      </c>
      <c r="Q113" s="275">
        <v>296399146</v>
      </c>
      <c r="R113" s="275">
        <v>291630068</v>
      </c>
      <c r="S113" s="275">
        <v>287805345</v>
      </c>
      <c r="T113" s="275">
        <v>285349723</v>
      </c>
      <c r="U113" s="275">
        <v>291169760</v>
      </c>
      <c r="V113" s="275">
        <v>285914918</v>
      </c>
      <c r="W113" s="275">
        <v>283306433</v>
      </c>
      <c r="X113" s="275">
        <v>283501050</v>
      </c>
    </row>
    <row r="114" spans="1:24" ht="14.25" thickBot="1" x14ac:dyDescent="0.3">
      <c r="A114" s="224" t="s">
        <v>27</v>
      </c>
      <c r="B114" s="273">
        <v>14625267</v>
      </c>
      <c r="C114" s="273">
        <v>14653331</v>
      </c>
      <c r="D114" s="273">
        <v>14478017</v>
      </c>
      <c r="E114" s="273">
        <v>15008914</v>
      </c>
      <c r="F114" s="273">
        <v>22051451</v>
      </c>
      <c r="G114" s="273">
        <v>23199010</v>
      </c>
      <c r="H114" s="273">
        <v>23584168</v>
      </c>
      <c r="I114" s="273">
        <v>62423788</v>
      </c>
      <c r="J114" s="273">
        <v>62518923</v>
      </c>
      <c r="K114" s="273">
        <v>62181938</v>
      </c>
      <c r="L114" s="273">
        <v>61649632</v>
      </c>
      <c r="M114" s="273">
        <v>61385360</v>
      </c>
      <c r="N114" s="273">
        <v>60598378</v>
      </c>
      <c r="O114" s="273">
        <v>59721628</v>
      </c>
      <c r="P114" s="273">
        <v>60387952</v>
      </c>
      <c r="Q114" s="273">
        <v>69619601</v>
      </c>
      <c r="R114" s="273">
        <v>70599628</v>
      </c>
      <c r="S114" s="273">
        <v>69324780</v>
      </c>
      <c r="T114" s="273">
        <v>68057593</v>
      </c>
      <c r="U114" s="273">
        <v>66975864</v>
      </c>
      <c r="V114" s="273">
        <v>67086345</v>
      </c>
      <c r="W114" s="273">
        <v>65844190</v>
      </c>
      <c r="X114" s="273">
        <v>65879594</v>
      </c>
    </row>
    <row r="115" spans="1:24" ht="14.25" thickBot="1" x14ac:dyDescent="0.3">
      <c r="A115" s="225" t="s">
        <v>265</v>
      </c>
      <c r="B115" s="276">
        <v>449394805</v>
      </c>
      <c r="C115" s="276">
        <v>457353852</v>
      </c>
      <c r="D115" s="276">
        <v>421140348</v>
      </c>
      <c r="E115" s="276">
        <v>439446821</v>
      </c>
      <c r="F115" s="276">
        <v>445441022</v>
      </c>
      <c r="G115" s="276">
        <v>454037565</v>
      </c>
      <c r="H115" s="276">
        <v>422954398</v>
      </c>
      <c r="I115" s="276">
        <v>441185107</v>
      </c>
      <c r="J115" s="276">
        <v>445677400</v>
      </c>
      <c r="K115" s="276">
        <v>454678646</v>
      </c>
      <c r="L115" s="276">
        <v>434390406</v>
      </c>
      <c r="M115" s="276">
        <v>446709832</v>
      </c>
      <c r="N115" s="276">
        <v>452695974</v>
      </c>
      <c r="O115" s="276">
        <v>462115285</v>
      </c>
      <c r="P115" s="276">
        <v>433796997</v>
      </c>
      <c r="Q115" s="276">
        <v>453021092</v>
      </c>
      <c r="R115" s="276">
        <v>456218074</v>
      </c>
      <c r="S115" s="276">
        <v>464111962</v>
      </c>
      <c r="T115" s="276">
        <v>430902810</v>
      </c>
      <c r="U115" s="276">
        <v>447132505</v>
      </c>
      <c r="V115" s="276">
        <v>448410306</v>
      </c>
      <c r="W115" s="276">
        <v>458502390</v>
      </c>
      <c r="X115" s="276">
        <v>434926867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75000</v>
      </c>
      <c r="C118" s="273">
        <v>31068</v>
      </c>
      <c r="D118" s="273">
        <v>130000</v>
      </c>
      <c r="E118" s="273">
        <v>111473</v>
      </c>
      <c r="F118" s="273">
        <v>155873</v>
      </c>
      <c r="G118" s="273">
        <v>194865</v>
      </c>
      <c r="H118" s="273">
        <v>1075222</v>
      </c>
      <c r="I118" s="273">
        <v>254357</v>
      </c>
      <c r="J118" s="273">
        <v>304357</v>
      </c>
      <c r="K118" s="273">
        <v>1085000</v>
      </c>
      <c r="L118" s="273">
        <v>1015000</v>
      </c>
      <c r="M118" s="273">
        <v>564400</v>
      </c>
      <c r="N118" s="273">
        <v>560000</v>
      </c>
      <c r="O118" s="273">
        <v>860000</v>
      </c>
      <c r="P118" s="273">
        <v>112856</v>
      </c>
      <c r="Q118" s="273">
        <v>110000</v>
      </c>
      <c r="R118" s="273">
        <v>70000</v>
      </c>
      <c r="S118" s="273">
        <v>60000</v>
      </c>
      <c r="T118" s="273">
        <v>138000</v>
      </c>
      <c r="U118" s="273">
        <v>138000</v>
      </c>
      <c r="V118" s="273">
        <v>439000</v>
      </c>
      <c r="W118" s="273">
        <v>124500</v>
      </c>
      <c r="X118" s="273">
        <v>423000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5">
        <v>4000000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12997388</v>
      </c>
      <c r="C120" s="273">
        <v>13826346</v>
      </c>
      <c r="D120" s="273">
        <v>12823834</v>
      </c>
      <c r="E120" s="273">
        <v>14350767</v>
      </c>
      <c r="F120" s="273">
        <v>11388094</v>
      </c>
      <c r="G120" s="273">
        <v>12256715</v>
      </c>
      <c r="H120" s="273">
        <v>12842427</v>
      </c>
      <c r="I120" s="273">
        <v>16145917</v>
      </c>
      <c r="J120" s="273">
        <v>12857589</v>
      </c>
      <c r="K120" s="273">
        <v>13026489</v>
      </c>
      <c r="L120" s="273">
        <v>16085115</v>
      </c>
      <c r="M120" s="273">
        <v>18926942</v>
      </c>
      <c r="N120" s="273">
        <v>15130925</v>
      </c>
      <c r="O120" s="273">
        <v>15749996</v>
      </c>
      <c r="P120" s="273">
        <v>14403782</v>
      </c>
      <c r="Q120" s="273">
        <v>16912093</v>
      </c>
      <c r="R120" s="273">
        <v>14120326</v>
      </c>
      <c r="S120" s="273">
        <v>15705299</v>
      </c>
      <c r="T120" s="273">
        <v>19013986</v>
      </c>
      <c r="U120" s="273">
        <v>19571737</v>
      </c>
      <c r="V120" s="273">
        <v>13279031</v>
      </c>
      <c r="W120" s="273">
        <v>15449262</v>
      </c>
      <c r="X120" s="273">
        <v>18229671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5">
        <v>11511210</v>
      </c>
      <c r="G121" s="275">
        <v>11044132</v>
      </c>
      <c r="H121" s="275">
        <v>9748057</v>
      </c>
      <c r="I121" s="275">
        <v>9463535</v>
      </c>
      <c r="J121" s="275">
        <v>9394148</v>
      </c>
      <c r="K121" s="275">
        <v>9060245</v>
      </c>
      <c r="L121" s="275">
        <v>9937220</v>
      </c>
      <c r="M121" s="275">
        <v>9912864</v>
      </c>
      <c r="N121" s="275">
        <v>9544169</v>
      </c>
      <c r="O121" s="275">
        <v>9616451</v>
      </c>
      <c r="P121" s="275">
        <v>9768370</v>
      </c>
      <c r="Q121" s="275">
        <v>9567140</v>
      </c>
      <c r="R121" s="275">
        <v>9156899</v>
      </c>
      <c r="S121" s="275">
        <v>9029223</v>
      </c>
      <c r="T121" s="275">
        <v>9429743</v>
      </c>
      <c r="U121" s="275">
        <v>10059321</v>
      </c>
      <c r="V121" s="275">
        <v>9252881</v>
      </c>
      <c r="W121" s="275">
        <v>8825425</v>
      </c>
      <c r="X121" s="275">
        <v>9171362</v>
      </c>
    </row>
    <row r="122" spans="1:24" ht="14.25" thickBot="1" x14ac:dyDescent="0.3">
      <c r="A122" s="224" t="s">
        <v>30</v>
      </c>
      <c r="B122" s="273">
        <v>683723</v>
      </c>
      <c r="C122" s="273">
        <v>658606</v>
      </c>
      <c r="D122" s="273">
        <v>33489</v>
      </c>
      <c r="E122" s="273">
        <v>8372</v>
      </c>
      <c r="F122" s="68">
        <v>0</v>
      </c>
      <c r="G122" s="68">
        <v>0</v>
      </c>
      <c r="H122" s="68">
        <v>0</v>
      </c>
      <c r="I122" s="273">
        <v>300000</v>
      </c>
      <c r="J122" s="273">
        <v>300000</v>
      </c>
      <c r="K122" s="273">
        <v>300000</v>
      </c>
      <c r="L122" s="273">
        <v>1650000</v>
      </c>
      <c r="M122" s="68">
        <v>0</v>
      </c>
      <c r="N122" s="68">
        <v>0</v>
      </c>
      <c r="O122" s="273">
        <v>2564</v>
      </c>
      <c r="P122" s="273">
        <v>61268</v>
      </c>
      <c r="Q122" s="273">
        <v>7692</v>
      </c>
      <c r="R122" s="273">
        <v>3526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273">
        <v>1600000</v>
      </c>
    </row>
    <row r="123" spans="1:24" ht="14.25" thickBot="1" x14ac:dyDescent="0.3">
      <c r="A123" s="225" t="s">
        <v>31</v>
      </c>
      <c r="B123" s="275">
        <v>42083424</v>
      </c>
      <c r="C123" s="275">
        <v>80622265</v>
      </c>
      <c r="D123" s="275">
        <v>35238338</v>
      </c>
      <c r="E123" s="275">
        <v>42313360</v>
      </c>
      <c r="F123" s="275">
        <v>29695685</v>
      </c>
      <c r="G123" s="275">
        <v>69657868</v>
      </c>
      <c r="H123" s="275">
        <v>26552477</v>
      </c>
      <c r="I123" s="275">
        <v>32663449</v>
      </c>
      <c r="J123" s="275">
        <v>30345012</v>
      </c>
      <c r="K123" s="275">
        <v>63562315</v>
      </c>
      <c r="L123" s="275">
        <v>25356829</v>
      </c>
      <c r="M123" s="275">
        <v>29495534</v>
      </c>
      <c r="N123" s="275">
        <v>28324511</v>
      </c>
      <c r="O123" s="275">
        <v>64019193</v>
      </c>
      <c r="P123" s="275">
        <v>25376330</v>
      </c>
      <c r="Q123" s="275">
        <v>31929162</v>
      </c>
      <c r="R123" s="275">
        <v>30702563</v>
      </c>
      <c r="S123" s="275">
        <v>69709636</v>
      </c>
      <c r="T123" s="275">
        <v>23250305</v>
      </c>
      <c r="U123" s="275">
        <v>30336537</v>
      </c>
      <c r="V123" s="275">
        <v>27648482</v>
      </c>
      <c r="W123" s="275">
        <v>65048523</v>
      </c>
      <c r="X123" s="275">
        <v>24582822</v>
      </c>
    </row>
    <row r="124" spans="1:24" ht="14.25" thickBot="1" x14ac:dyDescent="0.3">
      <c r="A124" s="224" t="s">
        <v>268</v>
      </c>
      <c r="B124" s="273">
        <v>55839535</v>
      </c>
      <c r="C124" s="273">
        <v>95138285</v>
      </c>
      <c r="D124" s="273">
        <v>48225661</v>
      </c>
      <c r="E124" s="273">
        <v>56783972</v>
      </c>
      <c r="F124" s="273">
        <v>52750862</v>
      </c>
      <c r="G124" s="273">
        <v>93153580</v>
      </c>
      <c r="H124" s="273">
        <v>50218183</v>
      </c>
      <c r="I124" s="273">
        <v>58827258</v>
      </c>
      <c r="J124" s="273">
        <v>53201106</v>
      </c>
      <c r="K124" s="273">
        <v>87034049</v>
      </c>
      <c r="L124" s="273">
        <v>58044164</v>
      </c>
      <c r="M124" s="273">
        <v>58899740</v>
      </c>
      <c r="N124" s="273">
        <v>53559605</v>
      </c>
      <c r="O124" s="273">
        <v>90248204</v>
      </c>
      <c r="P124" s="273">
        <v>49722606</v>
      </c>
      <c r="Q124" s="273">
        <v>58526087</v>
      </c>
      <c r="R124" s="273">
        <v>54053314</v>
      </c>
      <c r="S124" s="273">
        <v>94504158</v>
      </c>
      <c r="T124" s="273">
        <v>51832034</v>
      </c>
      <c r="U124" s="273">
        <v>60105595</v>
      </c>
      <c r="V124" s="273">
        <v>50619394</v>
      </c>
      <c r="W124" s="273">
        <v>89447710</v>
      </c>
      <c r="X124" s="273">
        <v>54006855</v>
      </c>
    </row>
    <row r="125" spans="1:24" ht="14.25" thickBot="1" x14ac:dyDescent="0.3">
      <c r="A125" s="225" t="s">
        <v>32</v>
      </c>
      <c r="B125" s="275">
        <v>3639481</v>
      </c>
      <c r="C125" s="275">
        <v>3641377</v>
      </c>
      <c r="D125" s="275">
        <v>4235200</v>
      </c>
      <c r="E125" s="275">
        <v>4716053</v>
      </c>
      <c r="F125" s="275">
        <v>15754305</v>
      </c>
      <c r="G125" s="275">
        <v>15595017</v>
      </c>
      <c r="H125" s="275">
        <v>16678407</v>
      </c>
      <c r="I125" s="275">
        <v>17013695</v>
      </c>
      <c r="J125" s="275">
        <v>16958933</v>
      </c>
      <c r="K125" s="275">
        <v>17363009</v>
      </c>
      <c r="L125" s="275">
        <v>16011078</v>
      </c>
      <c r="M125" s="275">
        <v>18296245</v>
      </c>
      <c r="N125" s="275">
        <v>18575568</v>
      </c>
      <c r="O125" s="275">
        <v>18833747</v>
      </c>
      <c r="P125" s="275">
        <v>19721574</v>
      </c>
      <c r="Q125" s="275">
        <v>20486002</v>
      </c>
      <c r="R125" s="275">
        <v>15172797</v>
      </c>
      <c r="S125" s="275">
        <v>15050464</v>
      </c>
      <c r="T125" s="275">
        <v>14786511</v>
      </c>
      <c r="U125" s="275">
        <v>15827240</v>
      </c>
      <c r="V125" s="275">
        <v>16644862</v>
      </c>
      <c r="W125" s="275">
        <v>16535246</v>
      </c>
      <c r="X125" s="275">
        <v>14788766</v>
      </c>
    </row>
    <row r="126" spans="1:24" ht="14.25" thickBot="1" x14ac:dyDescent="0.3">
      <c r="A126" s="224" t="s">
        <v>33</v>
      </c>
      <c r="B126" s="273">
        <v>6885080</v>
      </c>
      <c r="C126" s="273">
        <v>6844962</v>
      </c>
      <c r="D126" s="273">
        <v>6928394</v>
      </c>
      <c r="E126" s="273">
        <v>8036582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66364096</v>
      </c>
      <c r="C127" s="275">
        <v>105624624</v>
      </c>
      <c r="D127" s="275">
        <v>59389255</v>
      </c>
      <c r="E127" s="275">
        <v>69536607</v>
      </c>
      <c r="F127" s="275">
        <v>68505167</v>
      </c>
      <c r="G127" s="275">
        <v>108748597</v>
      </c>
      <c r="H127" s="275">
        <v>66896590</v>
      </c>
      <c r="I127" s="275">
        <v>75840953</v>
      </c>
      <c r="J127" s="275">
        <v>70160039</v>
      </c>
      <c r="K127" s="275">
        <v>104397058</v>
      </c>
      <c r="L127" s="275">
        <v>74055242</v>
      </c>
      <c r="M127" s="275">
        <v>77195985</v>
      </c>
      <c r="N127" s="275">
        <v>72135173</v>
      </c>
      <c r="O127" s="275">
        <v>109081951</v>
      </c>
      <c r="P127" s="275">
        <v>69444180</v>
      </c>
      <c r="Q127" s="275">
        <v>79012089</v>
      </c>
      <c r="R127" s="275">
        <v>69226111</v>
      </c>
      <c r="S127" s="275">
        <v>109554622</v>
      </c>
      <c r="T127" s="275">
        <v>66618545</v>
      </c>
      <c r="U127" s="275">
        <v>75932835</v>
      </c>
      <c r="V127" s="275">
        <v>67264256</v>
      </c>
      <c r="W127" s="275">
        <v>105982956</v>
      </c>
      <c r="X127" s="275">
        <v>68795621</v>
      </c>
    </row>
    <row r="128" spans="1:24" ht="14.25" thickBot="1" x14ac:dyDescent="0.3">
      <c r="A128" s="224" t="s">
        <v>34</v>
      </c>
      <c r="B128" s="273">
        <v>383030709</v>
      </c>
      <c r="C128" s="273">
        <v>351729228</v>
      </c>
      <c r="D128" s="273">
        <v>361751093</v>
      </c>
      <c r="E128" s="273">
        <v>369910214</v>
      </c>
      <c r="F128" s="273">
        <v>376935855</v>
      </c>
      <c r="G128" s="273">
        <v>345288968</v>
      </c>
      <c r="H128" s="273">
        <v>356057808</v>
      </c>
      <c r="I128" s="273">
        <v>365344154</v>
      </c>
      <c r="J128" s="273">
        <v>375517361</v>
      </c>
      <c r="K128" s="273">
        <v>350281588</v>
      </c>
      <c r="L128" s="273">
        <v>360335164</v>
      </c>
      <c r="M128" s="273">
        <v>369513847</v>
      </c>
      <c r="N128" s="273">
        <v>380560801</v>
      </c>
      <c r="O128" s="273">
        <v>353033334</v>
      </c>
      <c r="P128" s="273">
        <v>364352817</v>
      </c>
      <c r="Q128" s="273">
        <v>374009003</v>
      </c>
      <c r="R128" s="273">
        <v>386991963</v>
      </c>
      <c r="S128" s="273">
        <v>354557340</v>
      </c>
      <c r="T128" s="273">
        <v>364284265</v>
      </c>
      <c r="U128" s="273">
        <v>371199670</v>
      </c>
      <c r="V128" s="273">
        <v>381146050</v>
      </c>
      <c r="W128" s="273">
        <v>352519434</v>
      </c>
      <c r="X128" s="273">
        <v>366131246</v>
      </c>
    </row>
    <row r="129" spans="1:24" ht="14.25" thickBot="1" x14ac:dyDescent="0.3">
      <c r="A129" s="225" t="s">
        <v>35</v>
      </c>
      <c r="B129" s="276">
        <v>449394805</v>
      </c>
      <c r="C129" s="276">
        <v>457353852</v>
      </c>
      <c r="D129" s="276">
        <v>421140348</v>
      </c>
      <c r="E129" s="276">
        <v>439446821</v>
      </c>
      <c r="F129" s="276">
        <v>445441022</v>
      </c>
      <c r="G129" s="276">
        <v>454037565</v>
      </c>
      <c r="H129" s="276">
        <v>422954398</v>
      </c>
      <c r="I129" s="276">
        <v>441185107</v>
      </c>
      <c r="J129" s="276">
        <v>445677400</v>
      </c>
      <c r="K129" s="276">
        <v>454678646</v>
      </c>
      <c r="L129" s="276">
        <v>434390406</v>
      </c>
      <c r="M129" s="276">
        <v>446709832</v>
      </c>
      <c r="N129" s="276">
        <v>452695974</v>
      </c>
      <c r="O129" s="276">
        <v>462115285</v>
      </c>
      <c r="P129" s="276">
        <v>433796997</v>
      </c>
      <c r="Q129" s="276">
        <v>453021092</v>
      </c>
      <c r="R129" s="276">
        <v>456218074</v>
      </c>
      <c r="S129" s="276">
        <v>464111962</v>
      </c>
      <c r="T129" s="276">
        <v>430902810</v>
      </c>
      <c r="U129" s="276">
        <v>447132505</v>
      </c>
      <c r="V129" s="276">
        <v>448410306</v>
      </c>
      <c r="W129" s="276">
        <v>458502390</v>
      </c>
      <c r="X129" s="276">
        <v>434926867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8.68</v>
      </c>
      <c r="C132" s="68">
        <v>9.7100000000000009</v>
      </c>
      <c r="D132" s="68">
        <v>9.1999999999999993</v>
      </c>
      <c r="E132" s="68">
        <v>9.85</v>
      </c>
      <c r="F132" s="68">
        <v>8.36</v>
      </c>
    </row>
    <row r="133" spans="1:24" ht="14.25" thickBot="1" x14ac:dyDescent="0.3">
      <c r="A133" s="225" t="s">
        <v>37</v>
      </c>
      <c r="B133" s="274">
        <v>-5</v>
      </c>
      <c r="C133" s="274">
        <v>-6.34</v>
      </c>
      <c r="D133" s="274">
        <v>-3.53</v>
      </c>
      <c r="E133" s="274">
        <v>-3.93</v>
      </c>
      <c r="F133" s="274">
        <v>-2.79</v>
      </c>
    </row>
    <row r="134" spans="1:24" ht="14.25" thickBot="1" x14ac:dyDescent="0.3">
      <c r="A134" s="224" t="s">
        <v>38</v>
      </c>
      <c r="B134" s="68">
        <v>-5.51</v>
      </c>
      <c r="C134" s="68">
        <v>-5.47</v>
      </c>
      <c r="D134" s="68">
        <v>-4.53</v>
      </c>
      <c r="E134" s="68">
        <v>-5.0599999999999996</v>
      </c>
      <c r="F134" s="68">
        <v>-5.48</v>
      </c>
    </row>
    <row r="135" spans="1:24" ht="14.25" thickBot="1" x14ac:dyDescent="0.3">
      <c r="A135" s="225" t="s">
        <v>270</v>
      </c>
      <c r="B135" s="274">
        <v>3.69</v>
      </c>
      <c r="C135" s="274">
        <v>3.37</v>
      </c>
      <c r="D135" s="274">
        <v>5.67</v>
      </c>
      <c r="E135" s="274">
        <v>5.92</v>
      </c>
      <c r="F135" s="274">
        <v>5.57</v>
      </c>
    </row>
    <row r="136" spans="1:24" ht="14.25" thickBot="1" x14ac:dyDescent="0.3">
      <c r="A136" s="229" t="s">
        <v>39</v>
      </c>
      <c r="B136" s="72">
        <v>-1.82</v>
      </c>
      <c r="C136" s="72">
        <v>-2.11</v>
      </c>
      <c r="D136" s="72">
        <v>1.1499999999999999</v>
      </c>
      <c r="E136" s="72">
        <v>0.86</v>
      </c>
      <c r="F136" s="72">
        <v>0.1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5.35</v>
      </c>
      <c r="C140" s="68">
        <v>4.53</v>
      </c>
      <c r="D140" s="68">
        <v>4.8600000000000003</v>
      </c>
      <c r="E140" s="68">
        <v>5.49</v>
      </c>
      <c r="F140" s="68">
        <v>4.9400000000000004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1.0428849902534112</v>
      </c>
      <c r="C142" s="234">
        <f>IF(C140&lt;&gt;"無",IF(ISNA(HLOOKUP(C139,$B$64:$F$69,6,FALSE)),"",C140/HLOOKUP(C139,$B$64:$F$69,6,FALSE)),"")</f>
        <v>0.884765625</v>
      </c>
      <c r="D142" s="234">
        <f>IF(D140&lt;&gt;"無",IF(ISNA(HLOOKUP(D139,$B$64:$F$69,6,FALSE)),"",D140/HLOOKUP(D139,$B$64:$F$69,6,FALSE)),"")</f>
        <v>0.97786720321931586</v>
      </c>
      <c r="E142" s="234">
        <f>IF(E140&lt;&gt;"無",IF(ISNA(HLOOKUP(E139,$B$64:$F$69,6,FALSE)),"",E140/HLOOKUP(E139,$B$64:$F$69,6,FALSE)),"")</f>
        <v>0.99456521739130432</v>
      </c>
      <c r="F142" s="234">
        <f>IF(F140&lt;&gt;"無",IF(ISNA(HLOOKUP(F139,$B$64:$F$69,6,FALSE)),"",F140/HLOOKUP(F139,$B$64:$F$69,6,FALSE)),"")</f>
        <v>0.95736434108527135</v>
      </c>
    </row>
    <row r="143" spans="1:24" x14ac:dyDescent="0.25">
      <c r="A143" s="233" t="s">
        <v>216</v>
      </c>
      <c r="B143" s="234">
        <f>IF(OR(B140=0,B140="無"),"",B135/B140)</f>
        <v>0.68971962616822435</v>
      </c>
      <c r="C143" s="234">
        <f>IF(OR(C140=0,C140="無"),"",C135/C140)</f>
        <v>0.74392935982339958</v>
      </c>
      <c r="D143" s="234">
        <f>IF(OR(D140=0,D140="無"),"",D135/D140)</f>
        <v>1.1666666666666665</v>
      </c>
      <c r="E143" s="234">
        <f>IF(OR(E140=0,E140="無"),"",E135/E140)</f>
        <v>1.0783242258652095</v>
      </c>
      <c r="F143" s="234">
        <f>IF(OR(F140=0,F140="無"),"",F135/F140)</f>
        <v>1.1275303643724697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33.92</v>
      </c>
      <c r="C146" s="68">
        <v>38.229999999999997</v>
      </c>
      <c r="D146" s="68">
        <v>36.99</v>
      </c>
      <c r="E146" s="68">
        <v>34.43</v>
      </c>
      <c r="F146" s="68">
        <v>33.85</v>
      </c>
      <c r="G146" s="68">
        <v>36.82</v>
      </c>
      <c r="H146" s="68">
        <v>36.909999999999997</v>
      </c>
      <c r="I146" s="68">
        <v>33.950000000000003</v>
      </c>
      <c r="J146" s="68">
        <v>36.42</v>
      </c>
      <c r="K146" s="68">
        <v>37.19</v>
      </c>
      <c r="L146" s="68">
        <v>35.06</v>
      </c>
      <c r="M146" s="68">
        <v>29.76</v>
      </c>
      <c r="N146" s="68">
        <v>35.020000000000003</v>
      </c>
      <c r="O146" s="68">
        <v>37.26</v>
      </c>
      <c r="P146" s="68">
        <v>39.659999999999997</v>
      </c>
      <c r="Q146" s="68">
        <v>32.78</v>
      </c>
      <c r="R146" s="68">
        <v>38.35</v>
      </c>
      <c r="S146" s="68">
        <v>37.270000000000003</v>
      </c>
      <c r="T146" s="68">
        <v>34.18</v>
      </c>
      <c r="U146" s="68">
        <v>33.700000000000003</v>
      </c>
      <c r="V146" s="68">
        <v>36.51</v>
      </c>
      <c r="W146" s="68">
        <v>36.99</v>
      </c>
      <c r="X146" s="68">
        <v>36.81</v>
      </c>
    </row>
    <row r="147" spans="1:24" s="93" customFormat="1" ht="14.25" thickBot="1" x14ac:dyDescent="0.3">
      <c r="A147" s="225" t="s">
        <v>19</v>
      </c>
      <c r="B147" s="274">
        <v>20.45</v>
      </c>
      <c r="C147" s="274">
        <v>26.66</v>
      </c>
      <c r="D147" s="274">
        <v>22.24</v>
      </c>
      <c r="E147" s="274">
        <v>19.670000000000002</v>
      </c>
      <c r="F147" s="274">
        <v>19.87</v>
      </c>
      <c r="G147" s="274">
        <v>22.65</v>
      </c>
      <c r="H147" s="274">
        <v>22.19</v>
      </c>
      <c r="I147" s="274">
        <v>19.059999999999999</v>
      </c>
      <c r="J147" s="274">
        <v>21.61</v>
      </c>
      <c r="K147" s="274">
        <v>22.1</v>
      </c>
      <c r="L147" s="274">
        <v>19.899999999999999</v>
      </c>
      <c r="M147" s="274">
        <v>15.77</v>
      </c>
      <c r="N147" s="274">
        <v>20.87</v>
      </c>
      <c r="O147" s="274">
        <v>23.19</v>
      </c>
      <c r="P147" s="274">
        <v>24.99</v>
      </c>
      <c r="Q147" s="274">
        <v>18.23</v>
      </c>
      <c r="R147" s="274">
        <v>24.21</v>
      </c>
      <c r="S147" s="274">
        <v>22.91</v>
      </c>
      <c r="T147" s="274">
        <v>19.64</v>
      </c>
      <c r="U147" s="274">
        <v>17.07</v>
      </c>
      <c r="V147" s="274">
        <v>21.15</v>
      </c>
      <c r="W147" s="274">
        <v>22.13</v>
      </c>
      <c r="X147" s="274">
        <v>22.01</v>
      </c>
    </row>
    <row r="148" spans="1:24" s="93" customFormat="1" ht="14.25" thickBot="1" x14ac:dyDescent="0.3">
      <c r="A148" s="224" t="s">
        <v>41</v>
      </c>
      <c r="B148" s="68">
        <v>21.35</v>
      </c>
      <c r="C148" s="68">
        <v>24.98</v>
      </c>
      <c r="D148" s="68">
        <v>23</v>
      </c>
      <c r="E148" s="68">
        <v>19.62</v>
      </c>
      <c r="F148" s="68">
        <v>20.420000000000002</v>
      </c>
      <c r="G148" s="68">
        <v>23.36</v>
      </c>
      <c r="H148" s="68">
        <v>23.04</v>
      </c>
      <c r="I148" s="68">
        <v>19.45</v>
      </c>
      <c r="J148" s="68">
        <v>22.42</v>
      </c>
      <c r="K148" s="68">
        <v>22.92</v>
      </c>
      <c r="L148" s="68">
        <v>20.8</v>
      </c>
      <c r="M148" s="68">
        <v>16.350000000000001</v>
      </c>
      <c r="N148" s="68">
        <v>22.18</v>
      </c>
      <c r="O148" s="68">
        <v>23.8</v>
      </c>
      <c r="P148" s="68">
        <v>25.33</v>
      </c>
      <c r="Q148" s="68">
        <v>18.75</v>
      </c>
      <c r="R148" s="68">
        <v>25.08</v>
      </c>
      <c r="S148" s="68">
        <v>24.01</v>
      </c>
      <c r="T148" s="68">
        <v>20.3</v>
      </c>
      <c r="U148" s="68">
        <v>16.68</v>
      </c>
      <c r="V148" s="68">
        <v>21.64</v>
      </c>
      <c r="W148" s="68">
        <v>23.12</v>
      </c>
      <c r="X148" s="68">
        <v>22.3</v>
      </c>
    </row>
    <row r="149" spans="1:24" s="93" customFormat="1" ht="14.25" thickBot="1" x14ac:dyDescent="0.3">
      <c r="A149" s="225" t="s">
        <v>13</v>
      </c>
      <c r="B149" s="73">
        <v>17.829999999999998</v>
      </c>
      <c r="C149" s="73">
        <v>21.17</v>
      </c>
      <c r="D149" s="73">
        <v>19.239999999999998</v>
      </c>
      <c r="E149" s="73">
        <v>16.43</v>
      </c>
      <c r="F149" s="73">
        <v>16.98</v>
      </c>
      <c r="G149" s="73">
        <v>19.5</v>
      </c>
      <c r="H149" s="73">
        <v>19.2</v>
      </c>
      <c r="I149" s="73">
        <v>16.059999999999999</v>
      </c>
      <c r="J149" s="73">
        <v>18.87</v>
      </c>
      <c r="K149" s="73">
        <v>19.170000000000002</v>
      </c>
      <c r="L149" s="73">
        <v>17.45</v>
      </c>
      <c r="M149" s="73">
        <v>13.89</v>
      </c>
      <c r="N149" s="73">
        <v>18.71</v>
      </c>
      <c r="O149" s="73">
        <v>19.96</v>
      </c>
      <c r="P149" s="73">
        <v>21.3</v>
      </c>
      <c r="Q149" s="73">
        <v>15.7</v>
      </c>
      <c r="R149" s="73">
        <v>20.95</v>
      </c>
      <c r="S149" s="73">
        <v>20.170000000000002</v>
      </c>
      <c r="T149" s="73">
        <v>16.95</v>
      </c>
      <c r="U149" s="73">
        <v>13.8</v>
      </c>
      <c r="V149" s="73">
        <v>18.05</v>
      </c>
      <c r="W149" s="73">
        <v>19.36</v>
      </c>
      <c r="X149" s="73">
        <v>18.61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35.869999999999997</v>
      </c>
      <c r="C152" s="68">
        <v>35.39</v>
      </c>
      <c r="D152" s="68">
        <v>34.520000000000003</v>
      </c>
      <c r="E152" s="68">
        <v>36.1</v>
      </c>
      <c r="F152" s="68">
        <v>35.840000000000003</v>
      </c>
    </row>
    <row r="153" spans="1:24" s="93" customFormat="1" ht="14.25" thickBot="1" x14ac:dyDescent="0.3">
      <c r="A153" s="225" t="s">
        <v>19</v>
      </c>
      <c r="B153" s="274">
        <v>22.22</v>
      </c>
      <c r="C153" s="274">
        <v>20.91</v>
      </c>
      <c r="D153" s="274">
        <v>19.77</v>
      </c>
      <c r="E153" s="274">
        <v>21.73</v>
      </c>
      <c r="F153" s="274">
        <v>20.92</v>
      </c>
    </row>
    <row r="154" spans="1:24" s="93" customFormat="1" ht="14.25" thickBot="1" x14ac:dyDescent="0.3">
      <c r="A154" s="224" t="s">
        <v>41</v>
      </c>
      <c r="B154" s="68">
        <v>22.21</v>
      </c>
      <c r="C154" s="68">
        <v>21.54</v>
      </c>
      <c r="D154" s="68">
        <v>20.55</v>
      </c>
      <c r="E154" s="68">
        <v>22.42</v>
      </c>
      <c r="F154" s="68">
        <v>21.47</v>
      </c>
    </row>
    <row r="155" spans="1:24" s="93" customFormat="1" ht="14.25" thickBot="1" x14ac:dyDescent="0.3">
      <c r="A155" s="225" t="s">
        <v>13</v>
      </c>
      <c r="B155" s="73">
        <v>18.64</v>
      </c>
      <c r="C155" s="73">
        <v>17.91</v>
      </c>
      <c r="D155" s="73">
        <v>17.28</v>
      </c>
      <c r="E155" s="73">
        <v>18.84</v>
      </c>
      <c r="F155" s="73">
        <v>17.93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2.2200000000000002</v>
      </c>
      <c r="C158" s="68">
        <v>2.5299999999999998</v>
      </c>
      <c r="D158" s="68">
        <v>2.38</v>
      </c>
      <c r="E158" s="68">
        <v>2.14</v>
      </c>
      <c r="F158" s="68">
        <v>2.17</v>
      </c>
      <c r="G158" s="68">
        <v>2.42</v>
      </c>
      <c r="H158" s="68">
        <v>2.4900000000000002</v>
      </c>
      <c r="I158" s="68">
        <v>2.19</v>
      </c>
      <c r="J158" s="68">
        <v>2.34</v>
      </c>
      <c r="K158" s="68">
        <v>2.38</v>
      </c>
      <c r="L158" s="68">
        <v>2.21</v>
      </c>
      <c r="M158" s="68">
        <v>1.88</v>
      </c>
      <c r="N158" s="68">
        <v>2.35</v>
      </c>
      <c r="O158" s="68">
        <v>2.4900000000000002</v>
      </c>
      <c r="P158" s="68">
        <v>2.67</v>
      </c>
      <c r="Q158" s="68">
        <v>2.2000000000000002</v>
      </c>
      <c r="R158" s="68">
        <v>2.62</v>
      </c>
      <c r="S158" s="68">
        <v>2.46</v>
      </c>
      <c r="T158" s="68">
        <v>2.2200000000000002</v>
      </c>
      <c r="U158" s="68">
        <v>1.83</v>
      </c>
      <c r="V158" s="68">
        <v>2.2000000000000002</v>
      </c>
      <c r="W158" s="68">
        <v>2.38</v>
      </c>
      <c r="X158" s="68">
        <v>2.35</v>
      </c>
    </row>
    <row r="159" spans="1:24" s="93" customFormat="1" ht="14.25" thickBot="1" x14ac:dyDescent="0.3">
      <c r="A159" s="225" t="s">
        <v>45</v>
      </c>
      <c r="B159" s="73">
        <v>2.61</v>
      </c>
      <c r="C159" s="73">
        <v>3.12</v>
      </c>
      <c r="D159" s="73">
        <v>2.93</v>
      </c>
      <c r="E159" s="73">
        <v>2.52</v>
      </c>
      <c r="F159" s="73">
        <v>2.57</v>
      </c>
      <c r="G159" s="73">
        <v>3.01</v>
      </c>
      <c r="H159" s="73">
        <v>3.11</v>
      </c>
      <c r="I159" s="73">
        <v>2.62</v>
      </c>
      <c r="J159" s="73">
        <v>2.8</v>
      </c>
      <c r="K159" s="73">
        <v>2.95</v>
      </c>
      <c r="L159" s="73">
        <v>2.76</v>
      </c>
      <c r="M159" s="73">
        <v>2.27</v>
      </c>
      <c r="N159" s="73">
        <v>2.82</v>
      </c>
      <c r="O159" s="73">
        <v>3.1</v>
      </c>
      <c r="P159" s="73">
        <v>3.34</v>
      </c>
      <c r="Q159" s="73">
        <v>2.65</v>
      </c>
      <c r="R159" s="73">
        <v>3.13</v>
      </c>
      <c r="S159" s="73">
        <v>3.06</v>
      </c>
      <c r="T159" s="73">
        <v>2.76</v>
      </c>
      <c r="U159" s="73">
        <v>2.19</v>
      </c>
      <c r="V159" s="73">
        <v>2.62</v>
      </c>
      <c r="W159" s="73">
        <v>2.94</v>
      </c>
      <c r="X159" s="73">
        <v>2.92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18.64</v>
      </c>
      <c r="C162" s="68">
        <v>17.91</v>
      </c>
      <c r="D162" s="68">
        <v>17.28</v>
      </c>
      <c r="E162" s="68">
        <v>18.84</v>
      </c>
      <c r="F162" s="68">
        <v>17.93</v>
      </c>
    </row>
    <row r="163" spans="1:72" s="93" customFormat="1" ht="14.25" thickBot="1" x14ac:dyDescent="0.3">
      <c r="A163" s="225" t="s">
        <v>18</v>
      </c>
      <c r="B163" s="274">
        <v>0.5</v>
      </c>
      <c r="C163" s="274">
        <v>0.52</v>
      </c>
      <c r="D163" s="274">
        <v>0.51</v>
      </c>
      <c r="E163" s="274">
        <v>0.51</v>
      </c>
      <c r="F163" s="274">
        <v>0.51</v>
      </c>
    </row>
    <row r="164" spans="1:72" s="93" customFormat="1" ht="14.25" thickBot="1" x14ac:dyDescent="0.3">
      <c r="A164" s="224" t="s">
        <v>15</v>
      </c>
      <c r="B164" s="68">
        <v>1.19</v>
      </c>
      <c r="C164" s="68">
        <v>1.21</v>
      </c>
      <c r="D164" s="68">
        <v>1.21</v>
      </c>
      <c r="E164" s="68">
        <v>1.21</v>
      </c>
      <c r="F164" s="68">
        <v>1.2</v>
      </c>
    </row>
    <row r="165" spans="1:72" s="93" customFormat="1" ht="14.25" thickBot="1" x14ac:dyDescent="0.3">
      <c r="A165" s="225" t="s">
        <v>45</v>
      </c>
      <c r="B165" s="73">
        <v>11.05</v>
      </c>
      <c r="C165" s="73">
        <v>11.11</v>
      </c>
      <c r="D165" s="73">
        <v>10.66</v>
      </c>
      <c r="E165" s="73">
        <v>11.75</v>
      </c>
      <c r="F165" s="73">
        <v>11.07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36.14</v>
      </c>
      <c r="C168" s="68">
        <v>39.130000000000003</v>
      </c>
      <c r="D168" s="68">
        <v>40.909999999999997</v>
      </c>
      <c r="E168" s="68">
        <v>39.130000000000003</v>
      </c>
      <c r="F168" s="68">
        <v>40</v>
      </c>
      <c r="G168" s="68">
        <v>40</v>
      </c>
      <c r="H168" s="68">
        <v>38.14</v>
      </c>
      <c r="I168" s="68">
        <v>36.29</v>
      </c>
      <c r="J168" s="68">
        <v>37.659999999999997</v>
      </c>
      <c r="K168" s="68">
        <v>37.659999999999997</v>
      </c>
      <c r="L168" s="68">
        <v>39.65</v>
      </c>
      <c r="M168" s="68">
        <v>39.299999999999997</v>
      </c>
      <c r="N168" s="68">
        <v>43.06</v>
      </c>
      <c r="O168" s="68">
        <v>43.69</v>
      </c>
      <c r="P168" s="68">
        <v>44.33</v>
      </c>
      <c r="Q168" s="68">
        <v>39.65</v>
      </c>
      <c r="R168" s="68">
        <v>43.48</v>
      </c>
      <c r="S168" s="68">
        <v>46.39</v>
      </c>
      <c r="T168" s="68">
        <v>50.56</v>
      </c>
      <c r="U168" s="68">
        <v>51.43</v>
      </c>
      <c r="V168" s="68">
        <v>48.91</v>
      </c>
      <c r="W168" s="68">
        <v>46.88</v>
      </c>
      <c r="X168" s="68">
        <v>47.37</v>
      </c>
    </row>
    <row r="169" spans="1:72" s="93" customFormat="1" ht="14.25" thickBot="1" x14ac:dyDescent="0.3">
      <c r="A169" s="225" t="s">
        <v>17</v>
      </c>
      <c r="B169" s="274">
        <v>13.04</v>
      </c>
      <c r="C169" s="274">
        <v>13.93</v>
      </c>
      <c r="D169" s="274">
        <v>11.84</v>
      </c>
      <c r="E169" s="274">
        <v>13.76</v>
      </c>
      <c r="F169" s="274">
        <v>18.600000000000001</v>
      </c>
      <c r="G169" s="274">
        <v>20.32</v>
      </c>
      <c r="H169" s="274">
        <v>19.78</v>
      </c>
      <c r="I169" s="274">
        <v>18.48</v>
      </c>
      <c r="J169" s="274">
        <v>21.58</v>
      </c>
      <c r="K169" s="274">
        <v>22</v>
      </c>
      <c r="L169" s="274">
        <v>20.69</v>
      </c>
      <c r="M169" s="274">
        <v>16.850000000000001</v>
      </c>
      <c r="N169" s="274">
        <v>17.14</v>
      </c>
      <c r="O169" s="274">
        <v>17.11</v>
      </c>
      <c r="P169" s="274">
        <v>17.61</v>
      </c>
      <c r="Q169" s="274">
        <v>16.510000000000002</v>
      </c>
      <c r="R169" s="274">
        <v>20.13</v>
      </c>
      <c r="S169" s="274">
        <v>17.649999999999999</v>
      </c>
      <c r="T169" s="274">
        <v>17.27</v>
      </c>
      <c r="U169" s="274">
        <v>17.79</v>
      </c>
      <c r="V169" s="274">
        <v>20.55</v>
      </c>
      <c r="W169" s="274">
        <v>22.73</v>
      </c>
      <c r="X169" s="274">
        <v>23.2</v>
      </c>
    </row>
    <row r="170" spans="1:72" s="93" customFormat="1" ht="14.25" thickBot="1" x14ac:dyDescent="0.3">
      <c r="A170" s="224" t="s">
        <v>42</v>
      </c>
      <c r="B170" s="72">
        <v>49.19</v>
      </c>
      <c r="C170" s="72">
        <v>53.06</v>
      </c>
      <c r="D170" s="72">
        <v>52.75</v>
      </c>
      <c r="E170" s="72">
        <v>52.89</v>
      </c>
      <c r="F170" s="72">
        <v>58.6</v>
      </c>
      <c r="G170" s="72">
        <v>60.32</v>
      </c>
      <c r="H170" s="72">
        <v>57.92</v>
      </c>
      <c r="I170" s="72">
        <v>54.77</v>
      </c>
      <c r="J170" s="72">
        <v>59.24</v>
      </c>
      <c r="K170" s="72">
        <v>59.66</v>
      </c>
      <c r="L170" s="72">
        <v>60.34</v>
      </c>
      <c r="M170" s="72">
        <v>56.16</v>
      </c>
      <c r="N170" s="72">
        <v>60.21</v>
      </c>
      <c r="O170" s="72">
        <v>60.8</v>
      </c>
      <c r="P170" s="72">
        <v>61.95</v>
      </c>
      <c r="Q170" s="72">
        <v>56.16</v>
      </c>
      <c r="R170" s="72">
        <v>63.61</v>
      </c>
      <c r="S170" s="72">
        <v>64.040000000000006</v>
      </c>
      <c r="T170" s="72">
        <v>67.84</v>
      </c>
      <c r="U170" s="72">
        <v>69.22</v>
      </c>
      <c r="V170" s="72">
        <v>69.459999999999994</v>
      </c>
      <c r="W170" s="72">
        <v>69.599999999999994</v>
      </c>
      <c r="X170" s="72">
        <v>70.56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164.63</v>
      </c>
      <c r="C173" s="72">
        <v>184.35</v>
      </c>
      <c r="D173" s="72">
        <v>182.25</v>
      </c>
      <c r="E173" s="72">
        <v>174.8</v>
      </c>
      <c r="F173" s="72">
        <v>157.54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16.09</v>
      </c>
      <c r="C176" s="72">
        <v>15.4</v>
      </c>
      <c r="D176" s="72">
        <v>14.92</v>
      </c>
      <c r="E176" s="72">
        <v>14.97</v>
      </c>
      <c r="F176" s="72">
        <v>15.78</v>
      </c>
      <c r="G176" s="72">
        <v>15.84</v>
      </c>
      <c r="H176" s="72">
        <v>15.98</v>
      </c>
      <c r="I176" s="72">
        <v>16.38</v>
      </c>
      <c r="J176" s="72">
        <v>16.72</v>
      </c>
      <c r="K176" s="72">
        <v>16.82</v>
      </c>
      <c r="L176" s="72">
        <v>17.62</v>
      </c>
      <c r="M176" s="72">
        <v>17.829999999999998</v>
      </c>
      <c r="N176" s="72">
        <v>17.91</v>
      </c>
      <c r="O176" s="72">
        <v>17.68</v>
      </c>
      <c r="P176" s="72">
        <v>17.52</v>
      </c>
      <c r="Q176" s="72">
        <v>18.2</v>
      </c>
      <c r="R176" s="72">
        <v>18.829999999999998</v>
      </c>
      <c r="S176" s="72">
        <v>18.64</v>
      </c>
      <c r="T176" s="72">
        <v>19.02</v>
      </c>
      <c r="U176" s="72">
        <v>18.7</v>
      </c>
      <c r="V176" s="72">
        <v>18.809999999999999</v>
      </c>
      <c r="W176" s="72">
        <v>18.559999999999999</v>
      </c>
      <c r="X176" s="72">
        <v>18.22</v>
      </c>
      <c r="Y176" s="72">
        <v>18.23</v>
      </c>
      <c r="Z176" s="72">
        <v>18.149999999999999</v>
      </c>
      <c r="AA176" s="72">
        <v>17.95</v>
      </c>
      <c r="AB176" s="72">
        <v>18.12</v>
      </c>
      <c r="AC176" s="72">
        <v>18.350000000000001</v>
      </c>
      <c r="AD176" s="72">
        <v>18.11</v>
      </c>
      <c r="AE176" s="72">
        <v>18.3</v>
      </c>
      <c r="AF176" s="72">
        <v>17.88</v>
      </c>
      <c r="AG176" s="72">
        <v>17.670000000000002</v>
      </c>
      <c r="AH176" s="72">
        <v>17.559999999999999</v>
      </c>
      <c r="AI176" s="72">
        <v>17.510000000000002</v>
      </c>
      <c r="AJ176" s="72">
        <v>18.149999999999999</v>
      </c>
      <c r="AK176" s="72">
        <v>18.11</v>
      </c>
      <c r="AL176" s="72">
        <v>18.43</v>
      </c>
      <c r="AM176" s="72">
        <v>18.899999999999999</v>
      </c>
      <c r="AN176" s="72">
        <v>19.78</v>
      </c>
      <c r="AO176" s="72">
        <v>19.829999999999998</v>
      </c>
      <c r="AP176" s="72">
        <v>19.73</v>
      </c>
      <c r="AQ176" s="72">
        <v>19.420000000000002</v>
      </c>
      <c r="AR176" s="72">
        <v>19.399999999999999</v>
      </c>
      <c r="AS176" s="72">
        <v>19.190000000000001</v>
      </c>
      <c r="AT176" s="72">
        <v>19.22</v>
      </c>
      <c r="AU176" s="72">
        <v>19.54</v>
      </c>
      <c r="AV176" s="72">
        <v>18.600000000000001</v>
      </c>
      <c r="AW176" s="72">
        <v>18.52</v>
      </c>
      <c r="AX176" s="72">
        <v>18.91</v>
      </c>
      <c r="AY176" s="72">
        <v>19.52</v>
      </c>
      <c r="AZ176" s="72">
        <v>19.47</v>
      </c>
      <c r="BA176" s="72">
        <v>19.829999999999998</v>
      </c>
      <c r="BB176" s="72">
        <v>19.5</v>
      </c>
      <c r="BC176" s="72">
        <v>19.88</v>
      </c>
      <c r="BD176" s="72">
        <v>21.05</v>
      </c>
      <c r="BE176" s="72">
        <v>20.260000000000002</v>
      </c>
      <c r="BF176" s="72">
        <v>19.82</v>
      </c>
      <c r="BG176" s="72">
        <v>19.63</v>
      </c>
      <c r="BH176" s="72">
        <v>19.989999999999998</v>
      </c>
      <c r="BI176" s="72">
        <v>19.28</v>
      </c>
      <c r="BJ176" s="72">
        <v>19.05</v>
      </c>
      <c r="BK176" s="72">
        <v>18.82</v>
      </c>
      <c r="BL176" s="72">
        <v>20.100000000000001</v>
      </c>
      <c r="BM176" s="72">
        <v>20.04</v>
      </c>
      <c r="BN176" s="72">
        <v>21.45</v>
      </c>
      <c r="BO176" s="72">
        <v>22.01</v>
      </c>
      <c r="BP176" s="72">
        <v>21.83</v>
      </c>
      <c r="BQ176" s="72">
        <v>21.27</v>
      </c>
      <c r="BR176" s="72">
        <v>21.54</v>
      </c>
      <c r="BS176" s="72">
        <v>21.31</v>
      </c>
      <c r="BT176" s="72">
        <v>20.93</v>
      </c>
    </row>
  </sheetData>
  <phoneticPr fontId="3" type="noConversion"/>
  <conditionalFormatting sqref="E4">
    <cfRule type="cellIs" dxfId="5771" priority="103" operator="greaterThan">
      <formula>0.2</formula>
    </cfRule>
    <cfRule type="cellIs" dxfId="5770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5769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768" priority="97" operator="greaterThan">
      <formula>$B$19</formula>
    </cfRule>
  </conditionalFormatting>
  <conditionalFormatting sqref="D33:D34">
    <cfRule type="cellIs" dxfId="5767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5766" priority="91" operator="lessThan">
      <formula>$H$62</formula>
    </cfRule>
    <cfRule type="cellIs" dxfId="5765" priority="92" operator="greaterThan">
      <formula>$H$62</formula>
    </cfRule>
  </conditionalFormatting>
  <conditionalFormatting sqref="J62">
    <cfRule type="cellIs" dxfId="5764" priority="89" operator="lessThan">
      <formula>$K$62</formula>
    </cfRule>
    <cfRule type="cellIs" dxfId="5763" priority="90" operator="greaterThan">
      <formula>$K$62</formula>
    </cfRule>
  </conditionalFormatting>
  <conditionalFormatting sqref="M62">
    <cfRule type="cellIs" dxfId="5762" priority="87" operator="lessThan">
      <formula>$N$62</formula>
    </cfRule>
    <cfRule type="cellIs" dxfId="5761" priority="88" operator="greaterThan">
      <formula>$N$62</formula>
    </cfRule>
  </conditionalFormatting>
  <conditionalFormatting sqref="B44:E44">
    <cfRule type="cellIs" dxfId="5760" priority="85" operator="greaterThan">
      <formula>0</formula>
    </cfRule>
    <cfRule type="cellIs" dxfId="5759" priority="86" operator="lessThan">
      <formula>0</formula>
    </cfRule>
  </conditionalFormatting>
  <conditionalFormatting sqref="F72">
    <cfRule type="cellIs" dxfId="5758" priority="84" operator="lessThan">
      <formula>$E$72*90%</formula>
    </cfRule>
  </conditionalFormatting>
  <conditionalFormatting sqref="F73">
    <cfRule type="cellIs" dxfId="5757" priority="83" operator="lessThan">
      <formula>$E$73*90%</formula>
    </cfRule>
  </conditionalFormatting>
  <conditionalFormatting sqref="F74">
    <cfRule type="cellIs" dxfId="5756" priority="82" operator="lessThan">
      <formula>$E$74*90%</formula>
    </cfRule>
  </conditionalFormatting>
  <conditionalFormatting sqref="F75">
    <cfRule type="cellIs" dxfId="5755" priority="81" operator="lessThan">
      <formula>$E$75*90%</formula>
    </cfRule>
  </conditionalFormatting>
  <conditionalFormatting sqref="H44:K44">
    <cfRule type="cellIs" dxfId="5754" priority="79" operator="greaterThan">
      <formula>0</formula>
    </cfRule>
    <cfRule type="cellIs" dxfId="5753" priority="80" operator="lessThan">
      <formula>0</formula>
    </cfRule>
  </conditionalFormatting>
  <conditionalFormatting sqref="H51:K51">
    <cfRule type="cellIs" dxfId="5752" priority="77" operator="greaterThan">
      <formula>0</formula>
    </cfRule>
    <cfRule type="cellIs" dxfId="5751" priority="78" operator="lessThan">
      <formula>0</formula>
    </cfRule>
  </conditionalFormatting>
  <conditionalFormatting sqref="B51:E51">
    <cfRule type="cellIs" dxfId="5750" priority="75" operator="greaterThan">
      <formula>0</formula>
    </cfRule>
    <cfRule type="cellIs" dxfId="5749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748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747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5746" priority="58" operator="lessThan">
      <formula>0</formula>
    </cfRule>
  </conditionalFormatting>
  <conditionalFormatting sqref="A25 E25 C25">
    <cfRule type="cellIs" dxfId="5745" priority="59" operator="lessThan">
      <formula>0</formula>
    </cfRule>
  </conditionalFormatting>
  <conditionalFormatting sqref="F25">
    <cfRule type="cellIs" dxfId="5744" priority="57" operator="lessThan">
      <formula>0</formula>
    </cfRule>
  </conditionalFormatting>
  <conditionalFormatting sqref="E1">
    <cfRule type="containsText" dxfId="5743" priority="56" operator="containsText" text="本季業外損益/平均=-">
      <formula>NOT(ISERROR(SEARCH("本季業外損益/平均=-",E1)))</formula>
    </cfRule>
  </conditionalFormatting>
  <conditionalFormatting sqref="M65">
    <cfRule type="cellIs" dxfId="5742" priority="55" operator="lessThan">
      <formula>$L$65*90%</formula>
    </cfRule>
  </conditionalFormatting>
  <conditionalFormatting sqref="M66">
    <cfRule type="cellIs" dxfId="5741" priority="54" operator="lessThan">
      <formula>$L$66*90%</formula>
    </cfRule>
  </conditionalFormatting>
  <conditionalFormatting sqref="M67">
    <cfRule type="cellIs" dxfId="5740" priority="53" operator="lessThan">
      <formula>$L$67*90%</formula>
    </cfRule>
  </conditionalFormatting>
  <conditionalFormatting sqref="M68">
    <cfRule type="cellIs" dxfId="5739" priority="52" operator="lessThan">
      <formula>$L$68*90%</formula>
    </cfRule>
  </conditionalFormatting>
  <conditionalFormatting sqref="B60">
    <cfRule type="cellIs" dxfId="5738" priority="51" operator="lessThan">
      <formula>0</formula>
    </cfRule>
  </conditionalFormatting>
  <conditionalFormatting sqref="B59:F59">
    <cfRule type="cellIs" dxfId="5737" priority="50" operator="lessThanOrEqual">
      <formula>0</formula>
    </cfRule>
  </conditionalFormatting>
  <conditionalFormatting sqref="D62">
    <cfRule type="cellIs" dxfId="5736" priority="48" operator="lessThan">
      <formula>$E$62</formula>
    </cfRule>
    <cfRule type="cellIs" dxfId="5735" priority="49" operator="greaterThan">
      <formula>$E$62</formula>
    </cfRule>
  </conditionalFormatting>
  <conditionalFormatting sqref="F69">
    <cfRule type="cellIs" dxfId="5734" priority="46" operator="lessThan">
      <formula>0</formula>
    </cfRule>
  </conditionalFormatting>
  <conditionalFormatting sqref="B65:E67 B69:E69 B68:D68">
    <cfRule type="cellIs" dxfId="5733" priority="47" operator="lessThan">
      <formula>0</formula>
    </cfRule>
  </conditionalFormatting>
  <conditionalFormatting sqref="E68">
    <cfRule type="cellIs" dxfId="5732" priority="45" operator="lessThan">
      <formula>0</formula>
    </cfRule>
  </conditionalFormatting>
  <conditionalFormatting sqref="F65:F68">
    <cfRule type="cellIs" dxfId="5731" priority="44" operator="lessThan">
      <formula>0</formula>
    </cfRule>
  </conditionalFormatting>
  <conditionalFormatting sqref="F65:F68">
    <cfRule type="cellIs" dxfId="5730" priority="43" operator="lessThan">
      <formula>$E$65*0.9</formula>
    </cfRule>
  </conditionalFormatting>
  <conditionalFormatting sqref="F66">
    <cfRule type="cellIs" dxfId="5729" priority="42" operator="lessThan">
      <formula>$E$66*0.9</formula>
    </cfRule>
  </conditionalFormatting>
  <conditionalFormatting sqref="F67:F68">
    <cfRule type="cellIs" dxfId="5728" priority="41" operator="lessThan">
      <formula>$E$67*0.9</formula>
    </cfRule>
  </conditionalFormatting>
  <conditionalFormatting sqref="F68">
    <cfRule type="cellIs" dxfId="5727" priority="40" operator="lessThan">
      <formula>$E$68*0.9</formula>
    </cfRule>
  </conditionalFormatting>
  <conditionalFormatting sqref="B13:F13">
    <cfRule type="cellIs" dxfId="5726" priority="29" operator="greaterThan">
      <formula>$I$16</formula>
    </cfRule>
    <cfRule type="cellIs" dxfId="5725" priority="30" operator="lessThanOrEqual">
      <formula>$I$16</formula>
    </cfRule>
  </conditionalFormatting>
  <conditionalFormatting sqref="B10:F10">
    <cfRule type="cellIs" dxfId="5724" priority="31" operator="greaterThan">
      <formula>15</formula>
    </cfRule>
    <cfRule type="cellIs" dxfId="5723" priority="38" operator="lessThan">
      <formula>$I$9</formula>
    </cfRule>
    <cfRule type="cellIs" dxfId="5722" priority="39" operator="greaterThan">
      <formula>$I$9</formula>
    </cfRule>
  </conditionalFormatting>
  <conditionalFormatting sqref="B16:F16">
    <cfRule type="cellIs" dxfId="5721" priority="36" operator="greaterThan">
      <formula>$I$16</formula>
    </cfRule>
    <cfRule type="cellIs" dxfId="5720" priority="37" operator="lessThanOrEqual">
      <formula>$I$16</formula>
    </cfRule>
  </conditionalFormatting>
  <conditionalFormatting sqref="B15:F15">
    <cfRule type="cellIs" dxfId="5719" priority="34" operator="lessThanOrEqual">
      <formula>$I$16</formula>
    </cfRule>
    <cfRule type="cellIs" dxfId="5718" priority="35" operator="greaterThan">
      <formula>$I$16</formula>
    </cfRule>
  </conditionalFormatting>
  <conditionalFormatting sqref="B14:F14">
    <cfRule type="cellIs" dxfId="5717" priority="32" operator="greaterThan">
      <formula>$I$16</formula>
    </cfRule>
    <cfRule type="cellIs" dxfId="5716" priority="33" operator="lessThanOrEqual">
      <formula>$I$16</formula>
    </cfRule>
  </conditionalFormatting>
  <conditionalFormatting sqref="K6">
    <cfRule type="containsText" dxfId="5715" priority="27" operator="containsText" text="衰退">
      <formula>NOT(ISERROR(SEARCH("衰退",K6)))</formula>
    </cfRule>
    <cfRule type="containsText" dxfId="5714" priority="28" operator="containsText" text="成長">
      <formula>NOT(ISERROR(SEARCH("成長",K6)))</formula>
    </cfRule>
  </conditionalFormatting>
  <conditionalFormatting sqref="I4:K4">
    <cfRule type="cellIs" dxfId="5713" priority="25" operator="lessThan">
      <formula>0</formula>
    </cfRule>
    <cfRule type="cellIs" dxfId="5712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711" priority="22" operator="lessThanOrEqual">
      <formula>$I$16</formula>
    </cfRule>
    <cfRule type="cellIs" dxfId="5710" priority="23" operator="greaterThan">
      <formula>$I$16</formula>
    </cfRule>
  </conditionalFormatting>
  <conditionalFormatting sqref="I6">
    <cfRule type="containsText" dxfId="5709" priority="20" operator="containsText" text="衰退">
      <formula>NOT(ISERROR(SEARCH("衰退",I6)))</formula>
    </cfRule>
    <cfRule type="containsText" dxfId="5708" priority="21" operator="containsText" text="成長">
      <formula>NOT(ISERROR(SEARCH("成長",I6)))</formula>
    </cfRule>
  </conditionalFormatting>
  <conditionalFormatting sqref="M9">
    <cfRule type="cellIs" dxfId="5707" priority="19" operator="lessThan">
      <formula>$I$9</formula>
    </cfRule>
  </conditionalFormatting>
  <conditionalFormatting sqref="M10">
    <cfRule type="cellIs" dxfId="5706" priority="18" operator="greaterThan">
      <formula>$I$9</formula>
    </cfRule>
  </conditionalFormatting>
  <conditionalFormatting sqref="M11">
    <cfRule type="cellIs" dxfId="5705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704" priority="14" operator="lessThan">
      <formula>0</formula>
    </cfRule>
    <cfRule type="cellIs" dxfId="5703" priority="15" operator="greaterThan">
      <formula>0.5</formula>
    </cfRule>
  </conditionalFormatting>
  <conditionalFormatting sqref="N14">
    <cfRule type="cellIs" dxfId="5702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701" priority="10" operator="lessThan">
      <formula>0.1</formula>
    </cfRule>
  </conditionalFormatting>
  <conditionalFormatting sqref="I14">
    <cfRule type="cellIs" dxfId="5700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699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698" priority="1" operator="lessThan">
      <formula>$N$5*0.9</formula>
    </cfRule>
    <cfRule type="cellIs" dxfId="5697" priority="2" operator="greaterThan">
      <formula>$N$5*1.1</formula>
    </cfRule>
  </conditionalFormatting>
  <hyperlinks>
    <hyperlink ref="L1" location="儀表板!A1" display="(回首頁)" xr:uid="{00000000-0004-0000-1B00-000000000000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-0.08 ~ 7.42</v>
      </c>
      <c r="L1" s="83" t="s">
        <v>176</v>
      </c>
      <c r="M1" s="84" t="str">
        <f ca="1">VLOOKUP(_xlfn.NUMBERVALUE(N1),儀表板!A:B,2,FALSE)</f>
        <v>建準電機</v>
      </c>
      <c r="N1" s="85" t="str">
        <f ca="1">MID(CELL("filename",L1),FIND("]",CELL("filename",L1))+1,255)</f>
        <v>2421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0.30482135071804412</v>
      </c>
    </row>
    <row r="3" spans="1:15" s="93" customFormat="1" x14ac:dyDescent="0.25">
      <c r="A3" s="81" t="s">
        <v>179</v>
      </c>
      <c r="B3" s="94">
        <f>SUM(F19:F22,F24:F27,J19)</f>
        <v>83.198918973981847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24.559440955233686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26.002945055763803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26.610437440254358</v>
      </c>
      <c r="L3" s="100"/>
      <c r="M3" s="79" t="s">
        <v>385</v>
      </c>
      <c r="N3" s="92">
        <f>(F69-E69)/E69</f>
        <v>0.18740823906291576</v>
      </c>
    </row>
    <row r="4" spans="1:15" s="93" customFormat="1" x14ac:dyDescent="0.25">
      <c r="A4" s="81" t="s">
        <v>182</v>
      </c>
      <c r="B4" s="96">
        <f>SUM(G36:G40)*2</f>
        <v>80</v>
      </c>
      <c r="C4" s="101"/>
      <c r="D4" s="102">
        <f>F4*(1+F141/10)</f>
        <v>25.1</v>
      </c>
      <c r="E4" s="82">
        <f>(D4-F4)/F4</f>
        <v>0</v>
      </c>
      <c r="F4" s="103">
        <v>25.1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2.7191648674540772</v>
      </c>
    </row>
    <row r="5" spans="1:15" s="93" customFormat="1" x14ac:dyDescent="0.25">
      <c r="A5" s="81" t="s">
        <v>184</v>
      </c>
      <c r="B5" s="107">
        <f>SUM(F30:F34)*2</f>
        <v>78.277713163359238</v>
      </c>
      <c r="C5" s="87"/>
      <c r="D5" s="87"/>
      <c r="E5" s="87"/>
      <c r="F5" s="86"/>
      <c r="G5" s="88"/>
      <c r="M5" s="79" t="s">
        <v>375</v>
      </c>
      <c r="N5" s="152">
        <f>D62</f>
        <v>2.89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2.7152565571113416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19.68</v>
      </c>
      <c r="N9" s="129"/>
    </row>
    <row r="10" spans="1:15" s="93" customFormat="1" x14ac:dyDescent="0.25">
      <c r="A10" s="123" t="s">
        <v>194</v>
      </c>
      <c r="B10" s="126">
        <f>PERCENTILE(176:176,B9)</f>
        <v>8.636000000000001</v>
      </c>
      <c r="C10" s="126">
        <f>PERCENTILE(176:176,C9)</f>
        <v>8.6515000000000004</v>
      </c>
      <c r="D10" s="126">
        <f>PERCENTILE(176:176,D9)</f>
        <v>9.16</v>
      </c>
      <c r="E10" s="126">
        <f>PERCENTILE(176:176,E9)</f>
        <v>9.3740000000000006</v>
      </c>
      <c r="F10" s="126">
        <f>PERCENTILE(176:176,F9)</f>
        <v>9.9320000000000004</v>
      </c>
      <c r="G10" s="95"/>
      <c r="H10" s="135"/>
      <c r="I10" s="135"/>
      <c r="J10" s="135"/>
      <c r="K10" s="135"/>
      <c r="L10" s="136" t="s">
        <v>374</v>
      </c>
      <c r="M10" s="130">
        <f>MIN(176:176)</f>
        <v>8.39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15.97</v>
      </c>
      <c r="L11" s="272" t="s">
        <v>193</v>
      </c>
      <c r="M11" s="128">
        <f>STDEV(176:176)</f>
        <v>2.4499540875404016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19.957983193277315</v>
      </c>
      <c r="C13" s="141">
        <f>$B$34/5.88%</f>
        <v>24.23469387755102</v>
      </c>
      <c r="D13" s="141">
        <f>$B$34/5%</f>
        <v>28.5</v>
      </c>
      <c r="E13" s="141">
        <f>$B$34/4.35%</f>
        <v>32.758620689655174</v>
      </c>
      <c r="F13" s="141">
        <f>$B$34/3.85%</f>
        <v>37.012987012987011</v>
      </c>
      <c r="G13" s="138" t="str">
        <f>"$"&amp;ROUND(B34,2)&amp;"/"&amp;IF(STDEV(C140:F140)/AVERAGE(C140:F140)&lt;15%,"高",IF(STDEV(C140:F140)/AVERAGE(C140:F140)&lt;30%,"中","低"))</f>
        <v>$1.43/低</v>
      </c>
      <c r="H13" s="142" t="s">
        <v>199</v>
      </c>
      <c r="I13" s="143">
        <f>MAX(0,1-J15)</f>
        <v>0.1266375545851528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14.616430000000001</v>
      </c>
      <c r="C14" s="141">
        <f>$B$33*C10</f>
        <v>14.642663750000001</v>
      </c>
      <c r="D14" s="141">
        <f>$B$33*D10</f>
        <v>15.503299999999999</v>
      </c>
      <c r="E14" s="141">
        <f>$B$33*E10</f>
        <v>15.865494999999999</v>
      </c>
      <c r="F14" s="141">
        <f>$B$33*F10</f>
        <v>16.809909999999999</v>
      </c>
      <c r="G14" s="138" t="str">
        <f>"$"&amp;ROUND(B33,2)&amp;"/"&amp;IF(STDEV(B69:E69)/AVERAGE(B69:E69)&lt;15%,"高",IF(STDEV(B69:E69)/AVERAGE(B69:E69)&lt;30%,"中","低"))</f>
        <v>$1.69/中</v>
      </c>
      <c r="H14" s="142" t="s">
        <v>203</v>
      </c>
      <c r="I14" s="145">
        <f>G62/100*I13</f>
        <v>2.3275982532751083E-2</v>
      </c>
      <c r="J14" s="76" t="s">
        <v>204</v>
      </c>
      <c r="K14" s="146"/>
      <c r="L14" s="147">
        <f>(HLOOKUP($C$1,$105:$106,2,FALSE)-HLOOKUP($C$1,$117:$127,9,FALSE))/(HLOOKUP($C$1,$117:$128,12,FALSE)/K11)</f>
        <v>2.2671580586864213</v>
      </c>
      <c r="M14" s="148">
        <f>E135/E69</f>
        <v>1.2576419213973797</v>
      </c>
      <c r="N14" s="149">
        <f>F173/100</f>
        <v>1.679</v>
      </c>
    </row>
    <row r="15" spans="1:15" s="93" customFormat="1" x14ac:dyDescent="0.25">
      <c r="A15" s="140" t="s">
        <v>375</v>
      </c>
      <c r="B15" s="141">
        <f>$D$62*B10</f>
        <v>24.958040000000004</v>
      </c>
      <c r="C15" s="141">
        <f>$D$62*C10</f>
        <v>25.002835000000001</v>
      </c>
      <c r="D15" s="141">
        <f>$D$62*D10</f>
        <v>26.4724</v>
      </c>
      <c r="E15" s="141">
        <f>$D$62*E10</f>
        <v>27.090860000000003</v>
      </c>
      <c r="F15" s="141">
        <f>$D$62*F10</f>
        <v>28.703480000000003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0.8733624454148472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23.482707795333415</v>
      </c>
      <c r="C16" s="141">
        <f>$F$69*C10</f>
        <v>23.524854850778951</v>
      </c>
      <c r="D16" s="141">
        <f>$F$69*D10</f>
        <v>24.907550185879348</v>
      </c>
      <c r="E16" s="141">
        <f>$F$69*E10</f>
        <v>25.48945146751452</v>
      </c>
      <c r="F16" s="141">
        <f>$F$69*F10</f>
        <v>27.006745463553894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3265</v>
      </c>
      <c r="J17" s="92">
        <f ca="1">IF(I17&lt;=0,"",IF(I17&lt;=MIN($B$13:$F$16),(I17-MIN($B$13:$F$16))/MIN($B$13:$F$16),IF(I17&gt;=MAX($B$13:$F$16),I17/MAX($B$13:$F$16),PERCENTRANK($B$13:$F$16,I17))))</f>
        <v>88.212280701754395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1.26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0.88421052631578945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0.23129657078698529</v>
      </c>
      <c r="J20" s="171">
        <f>HLOOKUP($C$1,$117:$127,11,FALSE)/HLOOKUP($C$1,$105:$115,11,FALSE)</f>
        <v>0.50623807073670535</v>
      </c>
      <c r="K20" s="163"/>
    </row>
    <row r="21" spans="1:14" s="93" customFormat="1" x14ac:dyDescent="0.25">
      <c r="A21" s="151" t="s">
        <v>201</v>
      </c>
      <c r="B21" s="161">
        <f>AVERAGE(C173:F173)/100</f>
        <v>1.4986250000000001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1.5222852807136467</v>
      </c>
      <c r="J21" s="78"/>
      <c r="K21" s="164" t="s">
        <v>356</v>
      </c>
      <c r="L21" s="165">
        <f>HLOOKUP($C$1,$105:$115,7,FALSE)/HLOOKUP($C$1,$105:$115,11,FALSE)</f>
        <v>0.68983554982471673</v>
      </c>
      <c r="M21" s="123" t="s">
        <v>268</v>
      </c>
      <c r="N21" s="165">
        <f>HLOOKUP($C$1,$117:$127,8,FALSE)/HLOOKUP($C$1,$117:$127,11,FALSE)</f>
        <v>0.89514774287352794</v>
      </c>
    </row>
    <row r="22" spans="1:14" s="93" customFormat="1" x14ac:dyDescent="0.25">
      <c r="A22" s="140" t="s">
        <v>222</v>
      </c>
      <c r="B22" s="161">
        <f>(-1)*SUM(C133:F133)/SUM(C132:F132)</f>
        <v>0.52725563909774431</v>
      </c>
      <c r="C22" s="157"/>
      <c r="D22" s="166"/>
      <c r="E22" s="140"/>
      <c r="F22" s="159">
        <f>IF(B22&lt;=0,10,IF(B22&gt;=100%,0,(1-B22)*10))</f>
        <v>4.7274436090225569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1.0894148017405438</v>
      </c>
      <c r="J22" s="78"/>
      <c r="K22" s="142" t="s">
        <v>357</v>
      </c>
      <c r="L22" s="165">
        <f>HLOOKUP($C$1,$105:$115,4,FALSE)/HLOOKUP($C$1,$105:$115,11,FALSE)</f>
        <v>0.34608301062745311</v>
      </c>
      <c r="M22" s="123" t="s">
        <v>353</v>
      </c>
      <c r="N22" s="165">
        <f>HLOOKUP($C$1,$117:$127,4,FALSE)/HLOOKUP($C$1,$117:$127,11,FALSE)</f>
        <v>0.54310711865192229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2.0252675241528348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0.19615866266887302</v>
      </c>
      <c r="M23" s="123" t="s">
        <v>354</v>
      </c>
      <c r="N23" s="165">
        <f>IF(HLOOKUP($C$1,$117:$127,5,FALSE)="無",0,HLOOKUP($C$1,$117:$127,5,FALSE))/HLOOKUP($C$1,$117:$127,11,FALSE)</f>
        <v>1.8414759419416751E-2</v>
      </c>
    </row>
    <row r="24" spans="1:14" s="93" customFormat="1" x14ac:dyDescent="0.25">
      <c r="A24" s="164" t="s">
        <v>228</v>
      </c>
      <c r="B24" s="127">
        <f>AVERAGE(C103:F103)</f>
        <v>0.98503392889217756</v>
      </c>
      <c r="C24" s="169">
        <f>STDEV(C103:F103)</f>
        <v>2.4898713089721919E-3</v>
      </c>
      <c r="D24" s="76" t="str">
        <f>IF(C24/B24&lt;15%,"高",IF(C24/B24&lt;30%,"中","低"))</f>
        <v>高</v>
      </c>
      <c r="E24" s="149"/>
      <c r="F24" s="160">
        <f>MIN(100%,B24)*5</f>
        <v>4.9251696444608877</v>
      </c>
      <c r="G24" s="88" t="s">
        <v>229</v>
      </c>
      <c r="H24" s="123" t="s">
        <v>16</v>
      </c>
      <c r="I24" s="170">
        <f>HLOOKUP(C1,167:170,2,FALSE)</f>
        <v>88.24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2.6601562208851442E-2</v>
      </c>
      <c r="M24" s="123" t="s">
        <v>355</v>
      </c>
      <c r="N24" s="165">
        <f>HLOOKUP($C$1,$117:$127,9,FALSE)/HLOOKUP($C$1,$117:$127,11,FALSE)</f>
        <v>0.10485225712647207</v>
      </c>
    </row>
    <row r="25" spans="1:14" s="93" customFormat="1" x14ac:dyDescent="0.25">
      <c r="A25" s="151" t="s">
        <v>366</v>
      </c>
      <c r="B25" s="255">
        <f>AVERAGE(94:94)</f>
        <v>22298.043478260868</v>
      </c>
      <c r="C25" s="254">
        <f>STDEV(94:94)/AVERAGE(94:94)</f>
        <v>0.95369427950160168</v>
      </c>
      <c r="D25" s="76" t="str">
        <f>IF(C25&lt;=1,"高",IF(C25&lt;=2,"中","低"))</f>
        <v>高</v>
      </c>
      <c r="E25" s="149"/>
      <c r="F25" s="160">
        <f>MAX(0,10-ABS(C25))</f>
        <v>9.046305720498399</v>
      </c>
      <c r="G25" s="88" t="s">
        <v>213</v>
      </c>
      <c r="H25" s="123" t="s">
        <v>232</v>
      </c>
      <c r="I25" s="170">
        <f>IF(HLOOKUP(C1,167:170,3,FALSE)="無",0,HLOOKUP(C1,167:170,3,FALSE))</f>
        <v>63.83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83.4295652173913</v>
      </c>
      <c r="C26" s="172">
        <f>IF(COUNTIF(168:168,"&gt;0")=0,0,STDEV(168:168))</f>
        <v>7.2507939867807005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58.102608695652179</v>
      </c>
      <c r="C27" s="172">
        <f>IF(COUNTIF(169:169,"&gt;0")=0,0,STDEV(169:169))</f>
        <v>5.8345477486117154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0.21199999999999999</v>
      </c>
      <c r="C30" s="157" t="s">
        <v>217</v>
      </c>
      <c r="D30" s="174">
        <f>COUNTIF(146:146,"&gt;20")/COUNT(146:146)</f>
        <v>0.82608695652173914</v>
      </c>
      <c r="E30" s="140" t="s">
        <v>239</v>
      </c>
      <c r="F30" s="159">
        <f>MIN(B30/25%*10,10)</f>
        <v>8.48</v>
      </c>
      <c r="G30" s="175"/>
      <c r="H30" s="176"/>
    </row>
    <row r="31" spans="1:14" x14ac:dyDescent="0.25">
      <c r="A31" s="164" t="s">
        <v>240</v>
      </c>
      <c r="B31" s="173">
        <f>AVERAGE(C155:F155)/100</f>
        <v>4.4150000000000002E-2</v>
      </c>
      <c r="C31" s="157" t="s">
        <v>217</v>
      </c>
      <c r="D31" s="174">
        <f>COUNTIF(149:149,"&gt;8")/COUNT(149:149)</f>
        <v>0</v>
      </c>
      <c r="E31" s="140" t="s">
        <v>241</v>
      </c>
      <c r="F31" s="159">
        <f>MIN(B31/10%*10,10)</f>
        <v>4.415</v>
      </c>
      <c r="G31" s="175"/>
    </row>
    <row r="32" spans="1:14" x14ac:dyDescent="0.25">
      <c r="A32" s="155" t="s">
        <v>47</v>
      </c>
      <c r="B32" s="177">
        <f>AVERAGE(C165:F165)</f>
        <v>11.06</v>
      </c>
      <c r="C32" s="157" t="s">
        <v>217</v>
      </c>
      <c r="D32" s="174">
        <f>COUNTIF(159:159,"&gt;3")/COUNT(159:159)</f>
        <v>0.47826086956521741</v>
      </c>
      <c r="E32" s="140" t="s">
        <v>242</v>
      </c>
      <c r="F32" s="159">
        <f>MIN(B32/15*10,10)</f>
        <v>7.373333333333334</v>
      </c>
      <c r="G32" s="135"/>
    </row>
    <row r="33" spans="1:14" x14ac:dyDescent="0.25">
      <c r="A33" s="155" t="s">
        <v>14</v>
      </c>
      <c r="B33" s="156">
        <f>AVERAGE(B69:E69)</f>
        <v>1.6924999999999999</v>
      </c>
      <c r="C33" s="157" t="s">
        <v>217</v>
      </c>
      <c r="D33" s="174">
        <f>COUNTIF(82:82,"&gt;0")/COUNT(82:82)</f>
        <v>0.95652173913043481</v>
      </c>
      <c r="E33" s="140" t="s">
        <v>243</v>
      </c>
      <c r="F33" s="159">
        <f>MIN(B33,2)+D33*8</f>
        <v>9.3446739130434793</v>
      </c>
      <c r="G33" s="135"/>
    </row>
    <row r="34" spans="1:14" x14ac:dyDescent="0.25">
      <c r="A34" s="155" t="s">
        <v>244</v>
      </c>
      <c r="B34" s="156">
        <f>AVERAGE(C140:F140)</f>
        <v>1.425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9.5258493353028069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9647454.5</v>
      </c>
      <c r="C36" s="178">
        <f>STDEV(C97:F97)</f>
        <v>1040764.6746165373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21.2</v>
      </c>
      <c r="C37" s="180">
        <f>STDEV(C152:F152)</f>
        <v>0.98674549234676856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4.9725000000000001</v>
      </c>
      <c r="C38" s="180">
        <f>STDEV(C153:F153)</f>
        <v>1.0348389568752561</v>
      </c>
      <c r="D38" s="76" t="str">
        <f>IF(C38/B38&lt;15%,"高",IF(C38/B38&lt;30%,"中","低"))</f>
        <v>中</v>
      </c>
      <c r="E38" s="107">
        <f>IF(F153&gt;E153,1,0)+IF(E153&gt;D153,1,0)+IF(D153&gt;C153,1,0)</f>
        <v>1</v>
      </c>
      <c r="F38" s="179"/>
      <c r="G38" s="160">
        <f>IF(D38="高",6,IF(D38="中",4,2))+E38+1</f>
        <v>6</v>
      </c>
    </row>
    <row r="39" spans="1:14" x14ac:dyDescent="0.25">
      <c r="A39" s="142" t="s">
        <v>46</v>
      </c>
      <c r="B39" s="181">
        <f>AVERAGE(C165:F165)</f>
        <v>11.06</v>
      </c>
      <c r="C39" s="181">
        <f>STDEV(C165:F165)</f>
        <v>2.4517068884078799</v>
      </c>
      <c r="D39" s="76" t="str">
        <f>IF(C39/B39&lt;15%,"高",IF(C39/B39&lt;30%,"中","低"))</f>
        <v>中</v>
      </c>
      <c r="E39" s="107">
        <f>IF(F165&gt;E165,1,0)+IF(E165&gt;D165,1,0)+IF(D165&gt;C165,1,0)</f>
        <v>3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1.6924999999999999</v>
      </c>
      <c r="C40" s="183">
        <f>STDEV(B69:E69)</f>
        <v>0.45741119356657639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2.8169014084507067E-2</v>
      </c>
      <c r="C44" s="186">
        <f>(C46-C49)/C49</f>
        <v>0.48214285714285693</v>
      </c>
      <c r="D44" s="186">
        <f>(D46-D49)/D49</f>
        <v>1.5499999999999998</v>
      </c>
      <c r="E44" s="186">
        <f>(E46-E49)/E49</f>
        <v>0.24242424242424229</v>
      </c>
      <c r="G44" s="86" t="s">
        <v>175</v>
      </c>
      <c r="H44" s="186">
        <f>(H47-H50)/H50</f>
        <v>4.353393085787452E-2</v>
      </c>
      <c r="I44" s="186">
        <f>(I47-I50)/I50</f>
        <v>0.23943661971830976</v>
      </c>
      <c r="J44" s="186">
        <f>(J47-J50)/J50</f>
        <v>1.2509363295880152</v>
      </c>
      <c r="K44" s="186">
        <f>(K47-K50)/K50</f>
        <v>0.26574500768049175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0.73</v>
      </c>
      <c r="C46" s="152">
        <f>HLOOKUP(C45,$81:$82,2,FALSE)</f>
        <v>0.83</v>
      </c>
      <c r="D46" s="152">
        <f>HLOOKUP(D45,$81:$82,2,FALSE)</f>
        <v>0.51</v>
      </c>
      <c r="E46" s="152">
        <f>HLOOKUP(E45,$81:$82,2,FALSE)</f>
        <v>0.82</v>
      </c>
      <c r="G46" s="86" t="s">
        <v>164</v>
      </c>
      <c r="H46" s="145">
        <f>HLOOKUP(H45,$145:$147,2,FALSE)/100</f>
        <v>0.23329999999999998</v>
      </c>
      <c r="I46" s="145">
        <f>HLOOKUP(I45,$145:$147,2,FALSE)/100</f>
        <v>0.22949999999999998</v>
      </c>
      <c r="J46" s="145">
        <f>HLOOKUP(J45,$145:$147,2,FALSE)/100</f>
        <v>0.2198</v>
      </c>
      <c r="K46" s="145">
        <f>HLOOKUP(K45,$145:$147,2,FALSE)/100</f>
        <v>0.22589999999999999</v>
      </c>
    </row>
    <row r="47" spans="1:14" x14ac:dyDescent="0.25">
      <c r="A47" s="188" t="s">
        <v>165</v>
      </c>
      <c r="B47" s="189">
        <f>HLOOKUP(B45,$157:$159,3,FALSE)</f>
        <v>4.6900000000000004</v>
      </c>
      <c r="C47" s="189">
        <f>HLOOKUP(C45,$157:$159,3,FALSE)</f>
        <v>5.33</v>
      </c>
      <c r="D47" s="189">
        <f>HLOOKUP(D45,$157:$159,3,FALSE)</f>
        <v>3.16</v>
      </c>
      <c r="E47" s="189">
        <f>HLOOKUP(E45,$157:$159,3,FALSE)</f>
        <v>5.2</v>
      </c>
      <c r="G47" s="190" t="s">
        <v>166</v>
      </c>
      <c r="H47" s="145">
        <f>HLOOKUP(H45,$145:$147,3,FALSE)/100</f>
        <v>8.1500000000000003E-2</v>
      </c>
      <c r="I47" s="145">
        <f>HLOOKUP(I45,$145:$147,3,FALSE)/100</f>
        <v>7.9199999999999993E-2</v>
      </c>
      <c r="J47" s="145">
        <f>HLOOKUP(J45,$145:$147,3,FALSE)/100</f>
        <v>6.0100000000000001E-2</v>
      </c>
      <c r="K47" s="145">
        <f>HLOOKUP(K45,$145:$147,3,FALSE)/100</f>
        <v>8.2400000000000001E-2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0.71</v>
      </c>
      <c r="C49" s="152">
        <f>HLOOKUP(C48,$81:$82,2,FALSE)</f>
        <v>0.56000000000000005</v>
      </c>
      <c r="D49" s="152">
        <f>HLOOKUP(D48,$81:$82,2,FALSE)</f>
        <v>0.2</v>
      </c>
      <c r="E49" s="152">
        <f>HLOOKUP(E48,$81:$82,2,FALSE)</f>
        <v>0.66</v>
      </c>
      <c r="G49" s="86" t="s">
        <v>164</v>
      </c>
      <c r="H49" s="145">
        <f>HLOOKUP(H48,$145:$147,2,FALSE)/100</f>
        <v>0.23469999999999999</v>
      </c>
      <c r="I49" s="145">
        <f>HLOOKUP(I48,$145:$147,2,FALSE)/100</f>
        <v>0.2286</v>
      </c>
      <c r="J49" s="145">
        <f>HLOOKUP(J48,$145:$147,2,FALSE)/100</f>
        <v>0.20469999999999999</v>
      </c>
      <c r="K49" s="145">
        <f>HLOOKUP(K48,$145:$147,2,FALSE)/100</f>
        <v>0.22440000000000002</v>
      </c>
    </row>
    <row r="50" spans="1:15" x14ac:dyDescent="0.25">
      <c r="A50" s="188" t="s">
        <v>165</v>
      </c>
      <c r="B50" s="189">
        <f>HLOOKUP(B48,$157:$159,3,FALSE)</f>
        <v>4.6500000000000004</v>
      </c>
      <c r="C50" s="189">
        <f>HLOOKUP(C48,$157:$159,3,FALSE)</f>
        <v>3.6</v>
      </c>
      <c r="D50" s="189">
        <f>HLOOKUP(D48,$157:$159,3,FALSE)</f>
        <v>1.28</v>
      </c>
      <c r="E50" s="189">
        <f>HLOOKUP(E48,$157:$159,3,FALSE)</f>
        <v>4.22</v>
      </c>
      <c r="G50" s="190" t="s">
        <v>166</v>
      </c>
      <c r="H50" s="145">
        <f>HLOOKUP(H48,$145:$147,3,FALSE)/100</f>
        <v>7.8100000000000003E-2</v>
      </c>
      <c r="I50" s="145">
        <f>HLOOKUP(I48,$145:$147,3,FALSE)/100</f>
        <v>6.3899999999999998E-2</v>
      </c>
      <c r="J50" s="145">
        <f>HLOOKUP(J48,$145:$147,3,FALSE)/100</f>
        <v>2.6699999999999998E-2</v>
      </c>
      <c r="K50" s="145">
        <f>HLOOKUP(K48,$145:$147,3,FALSE)/100</f>
        <v>6.5099999999999991E-2</v>
      </c>
    </row>
    <row r="51" spans="1:15" x14ac:dyDescent="0.25">
      <c r="A51" s="86" t="s">
        <v>351</v>
      </c>
      <c r="B51" s="186">
        <f>(B47-B50)/B50</f>
        <v>8.6021505376344155E-3</v>
      </c>
      <c r="C51" s="186">
        <f>(C47-C50)/C50</f>
        <v>0.48055555555555551</v>
      </c>
      <c r="D51" s="186">
        <f>(D47-D50)/D50</f>
        <v>1.46875</v>
      </c>
      <c r="E51" s="186">
        <f>(E47-E50)/E50</f>
        <v>0.23222748815165889</v>
      </c>
      <c r="G51" s="235" t="s">
        <v>174</v>
      </c>
      <c r="H51" s="186">
        <f>(H46-H49)/H49</f>
        <v>-5.9650617809970706E-3</v>
      </c>
      <c r="I51" s="186">
        <f>(I46-I49)/I49</f>
        <v>3.9370078740156786E-3</v>
      </c>
      <c r="J51" s="186">
        <f>(J46-J49)/J49</f>
        <v>7.3766487542745493E-2</v>
      </c>
      <c r="K51" s="186">
        <f>(K46-K49)/K49</f>
        <v>6.6844919786095075E-3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2.7152565571113416</v>
      </c>
      <c r="B53" s="193">
        <f>B46</f>
        <v>0.73</v>
      </c>
      <c r="C53" s="193">
        <f>E46/HLOOKUP(E45,$87:$94,5,FALSE)*HLOOKUP(E45,$87:$94,4,FALSE)*($B$25/HLOOKUP(E45,$87:$94,4,FALSE)+SUM($B$57:$D$57)/SUM($B58:$D$58)*$G$69/100/K46)</f>
        <v>0.6491648674540772</v>
      </c>
      <c r="D53" s="193">
        <f>D46/HLOOKUP(D45,$87:$94,5,FALSE)*HLOOKUP(D45,$87:$94,4,FALSE)*($B$25/HLOOKUP(D45,$87:$94,4,FALSE)+SUM($B$57:$D$57)/SUM($B58:$D$58)*$G$69/100/J46)</f>
        <v>0.5880601771774111</v>
      </c>
      <c r="E53" s="193">
        <f>C46/HLOOKUP(C45,$87:$94,5,FALSE)*HLOOKUP(C45,$87:$94,4,FALSE)*($B$25/HLOOKUP(C45,$87:$94,4,FALSE)+SUM($B$57:$D$57)/SUM($B58:$D$58)*$G$69/100/I46)</f>
        <v>0.74803151247985322</v>
      </c>
    </row>
    <row r="54" spans="1:15" x14ac:dyDescent="0.25">
      <c r="A54" s="278">
        <f>SUM(B54:E54)</f>
        <v>2.87</v>
      </c>
      <c r="B54" s="277">
        <f t="shared" ref="B54:D54" si="0">HLOOKUP(B52-10,81:82,2,FALSE)</f>
        <v>0.71</v>
      </c>
      <c r="C54" s="277">
        <f t="shared" si="0"/>
        <v>0.82</v>
      </c>
      <c r="D54" s="277">
        <f t="shared" si="0"/>
        <v>0.51</v>
      </c>
      <c r="E54" s="277">
        <f>HLOOKUP(E52-10,81:82,2,FALSE)</f>
        <v>0.83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833243</v>
      </c>
      <c r="C57" s="196">
        <f>HLOOKUP(C56,78:79,2,FALSE)</f>
        <v>1010448</v>
      </c>
      <c r="D57" s="196">
        <f>HLOOKUP(D56,78:79,2,FALSE)</f>
        <v>908742</v>
      </c>
      <c r="E57" s="196">
        <f>HLOOKUP(E56,78:79,2,FALSE)</f>
        <v>931494</v>
      </c>
      <c r="F57" s="196">
        <f>HLOOKUP(F56,78:79,2,FALSE)</f>
        <v>1036247</v>
      </c>
      <c r="G57" s="196">
        <f t="shared" ref="G57:M57" si="2">HLOOKUP(G56,78:79,2,FALSE)</f>
        <v>978868</v>
      </c>
      <c r="H57" s="196">
        <f t="shared" si="2"/>
        <v>821029</v>
      </c>
      <c r="I57" s="196">
        <f t="shared" si="2"/>
        <v>933304</v>
      </c>
      <c r="J57" s="196">
        <f t="shared" si="2"/>
        <v>703746</v>
      </c>
      <c r="K57" s="196">
        <f t="shared" si="2"/>
        <v>877785</v>
      </c>
      <c r="L57" s="196">
        <f t="shared" si="2"/>
        <v>1117749</v>
      </c>
      <c r="M57" s="196">
        <f t="shared" si="2"/>
        <v>1085122</v>
      </c>
      <c r="N57" s="197"/>
    </row>
    <row r="58" spans="1:15" x14ac:dyDescent="0.25">
      <c r="A58" s="198" t="s">
        <v>253</v>
      </c>
      <c r="B58" s="196">
        <f>HLOOKUP(B56-100,78:79,2,FALSE)</f>
        <v>866823</v>
      </c>
      <c r="C58" s="196">
        <f>HLOOKUP(C56-100,78:79,2,FALSE)</f>
        <v>979551</v>
      </c>
      <c r="D58" s="196">
        <f>HLOOKUP(D56-100,78:79,2,FALSE)</f>
        <v>956687</v>
      </c>
      <c r="E58" s="196">
        <f>HLOOKUP(E56-100,78:79,2,FALSE)</f>
        <v>903014</v>
      </c>
      <c r="F58" s="196">
        <f>HLOOKUP(F56-100,78:79,2,FALSE)</f>
        <v>903577</v>
      </c>
      <c r="G58" s="196">
        <f t="shared" ref="G58:M58" si="3">HLOOKUP(G56-100,78:79,2,FALSE)</f>
        <v>803023</v>
      </c>
      <c r="H58" s="196">
        <f t="shared" si="3"/>
        <v>795632</v>
      </c>
      <c r="I58" s="196">
        <f t="shared" si="3"/>
        <v>900372</v>
      </c>
      <c r="J58" s="196">
        <f t="shared" si="3"/>
        <v>578481</v>
      </c>
      <c r="K58" s="196">
        <f t="shared" si="3"/>
        <v>800791</v>
      </c>
      <c r="L58" s="196">
        <f t="shared" si="3"/>
        <v>879419</v>
      </c>
      <c r="M58" s="196">
        <f t="shared" si="3"/>
        <v>905890</v>
      </c>
      <c r="N58" s="197"/>
    </row>
    <row r="59" spans="1:15" x14ac:dyDescent="0.25">
      <c r="A59" s="199" t="s">
        <v>254</v>
      </c>
      <c r="B59" s="165">
        <f>IF(B57&lt;&gt;"",(B57-B58)/B58,"")</f>
        <v>-3.8739165896613262E-2</v>
      </c>
      <c r="C59" s="165">
        <f>IF(C57&lt;&gt;"",(C57-C58)/C58,"")</f>
        <v>3.154200240722535E-2</v>
      </c>
      <c r="D59" s="165">
        <f>IF(D57&lt;&gt;"",(D57-D58)/D58,"")</f>
        <v>-5.0115659562636472E-2</v>
      </c>
      <c r="E59" s="165">
        <f>IF(E57&lt;&gt;"",(E57-E58)/E58,"")</f>
        <v>3.1538824425756409E-2</v>
      </c>
      <c r="F59" s="165">
        <f>IF(F57&lt;&gt;"",(F57-F58)/F58,"")</f>
        <v>0.14682755315817025</v>
      </c>
      <c r="G59" s="165">
        <f t="shared" ref="G59:M59" si="4">IF(G57&lt;&gt;"",(G57-G58)/G58,"")</f>
        <v>0.21897878392026132</v>
      </c>
      <c r="H59" s="165">
        <f t="shared" si="4"/>
        <v>3.192053612725481E-2</v>
      </c>
      <c r="I59" s="165">
        <f t="shared" si="4"/>
        <v>3.6575993033990395E-2</v>
      </c>
      <c r="J59" s="165">
        <f t="shared" si="4"/>
        <v>0.21654125200309085</v>
      </c>
      <c r="K59" s="165">
        <f t="shared" si="4"/>
        <v>9.6147434224410619E-2</v>
      </c>
      <c r="L59" s="165">
        <f t="shared" si="4"/>
        <v>0.2710084726393221</v>
      </c>
      <c r="M59" s="165">
        <f t="shared" si="4"/>
        <v>0.19785183631566747</v>
      </c>
    </row>
    <row r="60" spans="1:15" x14ac:dyDescent="0.25">
      <c r="A60" s="195" t="s">
        <v>255</v>
      </c>
      <c r="B60" s="196">
        <f>SUM(B57:M57)</f>
        <v>11237777</v>
      </c>
    </row>
    <row r="61" spans="1:15" x14ac:dyDescent="0.25">
      <c r="A61" s="198" t="s">
        <v>256</v>
      </c>
      <c r="B61" s="196">
        <f>SUM(B58:M58)</f>
        <v>10273260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1.0938861666111828</v>
      </c>
      <c r="D62" s="152">
        <f>SUM(B46:E46)</f>
        <v>2.89</v>
      </c>
      <c r="E62" s="152">
        <f>SUM(B49:E49)</f>
        <v>2.13</v>
      </c>
      <c r="G62" s="126">
        <f>SUM(B47:E47)</f>
        <v>18.38</v>
      </c>
      <c r="H62" s="126">
        <f>SUM(B50:E50)</f>
        <v>13.75</v>
      </c>
      <c r="J62" s="200">
        <f>AVERAGE(H46:K46)</f>
        <v>0.22712499999999999</v>
      </c>
      <c r="K62" s="200">
        <f>AVERAGE(H49:K49)</f>
        <v>0.22309999999999999</v>
      </c>
      <c r="M62" s="200">
        <f>AVERAGE(H47:K47)</f>
        <v>7.5800000000000006E-2</v>
      </c>
      <c r="N62" s="200">
        <f>AVERAGE(H50:K50)</f>
        <v>5.8450000000000002E-2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0.12</v>
      </c>
      <c r="C65" s="205">
        <f t="shared" si="5"/>
        <v>0.25</v>
      </c>
      <c r="D65" s="205">
        <f t="shared" si="5"/>
        <v>0.11</v>
      </c>
      <c r="E65" s="205">
        <f t="shared" si="5"/>
        <v>0.2</v>
      </c>
      <c r="F65" s="206">
        <f>IF(ISNA(HLOOKUP(F$64*10+$A65,$81:$82,2,FALSE)),(HLOOKUP(E$64*10+$A65,$87:$94,4,FALSE)*$G65+$B$25)/HLOOKUP(E$64*10+$A65,$87:$94,5,FALSE)*$E65,HLOOKUP(F$64*10+$A65,$81:$82,2,FALSE))</f>
        <v>0.51</v>
      </c>
      <c r="G65" s="101">
        <f>MIN(130%,SUM($B$57:$D$57)/SUM($B$58:$D$58)*$G$69/HLOOKUP(E$64*10+$A65,$145:$146,2,FALSE))</f>
        <v>1.0483019807733283</v>
      </c>
      <c r="H65" s="204">
        <v>1</v>
      </c>
      <c r="I65" s="208">
        <f t="shared" ref="I65:M68" si="6">IF(ISNA(HLOOKUP(I$64*10+$H65,$145:$147,3,FALSE)),"",HLOOKUP(I$64*10+$H65,$145:$147,3,FALSE)/100)</f>
        <v>1.5800000000000002E-2</v>
      </c>
      <c r="J65" s="208">
        <f t="shared" si="6"/>
        <v>2.4199999999999999E-2</v>
      </c>
      <c r="K65" s="208">
        <f t="shared" si="6"/>
        <v>8.3000000000000001E-3</v>
      </c>
      <c r="L65" s="208">
        <f t="shared" si="6"/>
        <v>2.6699999999999998E-2</v>
      </c>
      <c r="M65" s="209">
        <f t="shared" si="6"/>
        <v>6.0100000000000001E-2</v>
      </c>
      <c r="N65" s="256">
        <f t="shared" ref="N65:O68" si="7">HLOOKUP(E$64*10+$A65,$87:$94,8,FALSE)</f>
        <v>4831</v>
      </c>
      <c r="O65" s="256">
        <f t="shared" si="7"/>
        <v>-3842</v>
      </c>
      <c r="P65" s="210"/>
    </row>
    <row r="66" spans="1:71" x14ac:dyDescent="0.25">
      <c r="A66" s="204">
        <v>2</v>
      </c>
      <c r="B66" s="205">
        <f t="shared" si="5"/>
        <v>0.28999999999999998</v>
      </c>
      <c r="C66" s="205">
        <f t="shared" si="5"/>
        <v>0.49</v>
      </c>
      <c r="D66" s="205">
        <f t="shared" si="5"/>
        <v>0.28999999999999998</v>
      </c>
      <c r="E66" s="205">
        <f t="shared" si="5"/>
        <v>0.56000000000000005</v>
      </c>
      <c r="F66" s="206">
        <f>IF(ISNA(HLOOKUP(F$64*10+$A66,$81:$82,2,FALSE)),(HLOOKUP(E$64*10+$A66,$87:$94,4,FALSE)*$G66+$B$25)/HLOOKUP(E$64*10+$A66,$87:$94,5,FALSE)*$E66,HLOOKUP(F$64*10+$A66,$81:$82,2,FALSE))</f>
        <v>0.83</v>
      </c>
      <c r="G66" s="101">
        <f>MIN(130%,SUM($B$57:$D$57)/SUM($B$58:$D$58)*$G$69/HLOOKUP(E$64*10+$A66,$145:$146,2,FALSE))</f>
        <v>0.93870260483070989</v>
      </c>
      <c r="H66" s="204">
        <v>2</v>
      </c>
      <c r="I66" s="208">
        <f t="shared" si="6"/>
        <v>4.1399999999999999E-2</v>
      </c>
      <c r="J66" s="208">
        <f t="shared" si="6"/>
        <v>6.0299999999999999E-2</v>
      </c>
      <c r="K66" s="208">
        <f t="shared" si="6"/>
        <v>3.4599999999999999E-2</v>
      </c>
      <c r="L66" s="208">
        <f t="shared" si="6"/>
        <v>6.3899999999999998E-2</v>
      </c>
      <c r="M66" s="209">
        <f t="shared" si="6"/>
        <v>7.9199999999999993E-2</v>
      </c>
      <c r="N66" s="256">
        <f t="shared" si="7"/>
        <v>26501</v>
      </c>
      <c r="O66" s="256">
        <f t="shared" si="7"/>
        <v>33155</v>
      </c>
      <c r="P66" s="210"/>
    </row>
    <row r="67" spans="1:71" x14ac:dyDescent="0.25">
      <c r="A67" s="204">
        <v>3</v>
      </c>
      <c r="B67" s="205">
        <f t="shared" si="5"/>
        <v>0.44</v>
      </c>
      <c r="C67" s="205">
        <f t="shared" si="5"/>
        <v>0.47</v>
      </c>
      <c r="D67" s="205">
        <f t="shared" si="5"/>
        <v>0.7</v>
      </c>
      <c r="E67" s="205">
        <f t="shared" si="5"/>
        <v>0.71</v>
      </c>
      <c r="F67" s="206">
        <f>IF(ISNA(HLOOKUP(F$64*10+$A67,$81:$82,2,FALSE)),(HLOOKUP(E$64*10+$A67,$87:$94,4,FALSE)*$G67+$B$25)/HLOOKUP(E$64*10+$A67,$87:$94,5,FALSE)*$E67,HLOOKUP(F$64*10+$A67,$81:$82,2,FALSE))</f>
        <v>0.73</v>
      </c>
      <c r="G67" s="101">
        <f>MIN(130%,SUM($B$57:$D$57)/SUM($B$58:$D$58)*$G$69/HLOOKUP(E$64*10+$A67,$145:$146,2,FALSE))</f>
        <v>0.91430513619216136</v>
      </c>
      <c r="H67" s="204">
        <v>3</v>
      </c>
      <c r="I67" s="208">
        <f t="shared" si="6"/>
        <v>6.83E-2</v>
      </c>
      <c r="J67" s="208">
        <f t="shared" si="6"/>
        <v>5.5800000000000002E-2</v>
      </c>
      <c r="K67" s="208">
        <f t="shared" si="6"/>
        <v>5.9200000000000003E-2</v>
      </c>
      <c r="L67" s="208">
        <f t="shared" si="6"/>
        <v>7.8100000000000003E-2</v>
      </c>
      <c r="M67" s="209">
        <f t="shared" si="6"/>
        <v>8.1500000000000003E-2</v>
      </c>
      <c r="N67" s="256">
        <f t="shared" si="7"/>
        <v>27117</v>
      </c>
      <c r="O67" s="256">
        <f t="shared" si="7"/>
        <v>26538</v>
      </c>
      <c r="P67" s="210"/>
    </row>
    <row r="68" spans="1:71" x14ac:dyDescent="0.25">
      <c r="A68" s="204">
        <v>4</v>
      </c>
      <c r="B68" s="205">
        <f>HLOOKUP(B$64*10+$A68,$81:$82,2,FALSE)</f>
        <v>0.36</v>
      </c>
      <c r="C68" s="205">
        <f>HLOOKUP(C$64*10+$A68,$81:$82,2,FALSE)</f>
        <v>0.3</v>
      </c>
      <c r="D68" s="205">
        <f>HLOOKUP(D$64*10+$A68,$81:$82,2,FALSE)</f>
        <v>0.66</v>
      </c>
      <c r="E68" s="206">
        <f>IF(ISNA(HLOOKUP(E$64*10+$A68,$81:$82,2,FALSE)),D68*(1-$N68)*#REF!*(1+$B$25)/(1+$E$4),HLOOKUP(E$64*10+$A68,$81:$82,2,FALSE))</f>
        <v>0.82</v>
      </c>
      <c r="F68" s="206">
        <f>IF(ISNA(HLOOKUP(F$64*10+$A68,$81:$82,2,FALSE)),(HLOOKUP(E$64*10+$A68,$87:$94,4,FALSE)*$G68+$B$25)/HLOOKUP(E$64*10+$A68,$87:$94,5,FALSE)*$E68,HLOOKUP(F$64*10+$A68,$81:$82,2,FALSE))</f>
        <v>0.6491648674540772</v>
      </c>
      <c r="G68" s="101">
        <f>MIN(130%,SUM($B$57:$D$57)/SUM($B$58:$D$58)*$G$69/HLOOKUP(E$64*10+$A68,$145:$146,2,FALSE))</f>
        <v>0.94992215787649514</v>
      </c>
      <c r="H68" s="204">
        <v>4</v>
      </c>
      <c r="I68" s="208">
        <f t="shared" si="6"/>
        <v>5.28E-2</v>
      </c>
      <c r="J68" s="208">
        <f t="shared" si="6"/>
        <v>3.0899999999999997E-2</v>
      </c>
      <c r="K68" s="208">
        <f t="shared" si="6"/>
        <v>6.5099999999999991E-2</v>
      </c>
      <c r="L68" s="208">
        <f t="shared" si="6"/>
        <v>8.2400000000000001E-2</v>
      </c>
      <c r="M68" s="209" t="str">
        <f t="shared" si="6"/>
        <v/>
      </c>
      <c r="N68" s="256">
        <f t="shared" si="7"/>
        <v>78726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1.21</v>
      </c>
      <c r="C69" s="213">
        <f>SUM(C65:C68)</f>
        <v>1.51</v>
      </c>
      <c r="D69" s="213">
        <f>SUM(D65:D68)</f>
        <v>1.7599999999999998</v>
      </c>
      <c r="E69" s="213">
        <f>SUM(E65:E68)</f>
        <v>2.29</v>
      </c>
      <c r="F69" s="213">
        <f>SUM(F65:F68)</f>
        <v>2.7191648674540772</v>
      </c>
      <c r="G69" s="257">
        <f>_xlfn.FORECAST.ETS(23,B146:W146,{1,2,3,4,5,6,7,8,9,10,11,12,13,14,15,16,17,18,19,20,21,22})</f>
        <v>21.853451669078847</v>
      </c>
      <c r="H69" s="214" t="s">
        <v>19</v>
      </c>
      <c r="I69" s="215">
        <f>HLOOKUP(I64,151:155,3,FALSE)/100</f>
        <v>4.6600000000000003E-2</v>
      </c>
      <c r="J69" s="215">
        <f>HLOOKUP(J64,151:155,3,FALSE)/100</f>
        <v>4.3799999999999999E-2</v>
      </c>
      <c r="K69" s="215">
        <f>HLOOKUP(K64,151:155,3,FALSE)/100</f>
        <v>4.3400000000000001E-2</v>
      </c>
      <c r="L69" s="215">
        <f>IF(ISNA(HLOOKUP(L64,151:155,3,FALSE)/100),AVERAGE(L65:L68),HLOOKUP(L64,151:155,3,FALSE)/100)</f>
        <v>6.5099999999999991E-2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0.86</v>
      </c>
      <c r="C72" s="205">
        <f t="shared" si="8"/>
        <v>1.69</v>
      </c>
      <c r="D72" s="205">
        <f t="shared" si="8"/>
        <v>0.75</v>
      </c>
      <c r="E72" s="205">
        <f t="shared" si="8"/>
        <v>1.28</v>
      </c>
      <c r="F72" s="205">
        <f t="shared" si="8"/>
        <v>3.16</v>
      </c>
    </row>
    <row r="73" spans="1:71" s="135" customFormat="1" x14ac:dyDescent="0.25">
      <c r="A73" s="204">
        <v>2</v>
      </c>
      <c r="B73" s="205">
        <f t="shared" si="8"/>
        <v>2.09</v>
      </c>
      <c r="C73" s="205">
        <f t="shared" si="8"/>
        <v>3.39</v>
      </c>
      <c r="D73" s="205">
        <f t="shared" si="8"/>
        <v>1.95</v>
      </c>
      <c r="E73" s="205">
        <f t="shared" si="8"/>
        <v>3.6</v>
      </c>
      <c r="F73" s="205">
        <f t="shared" si="8"/>
        <v>5.33</v>
      </c>
    </row>
    <row r="74" spans="1:71" s="135" customFormat="1" x14ac:dyDescent="0.25">
      <c r="A74" s="204">
        <v>3</v>
      </c>
      <c r="B74" s="205">
        <f t="shared" si="8"/>
        <v>3.2</v>
      </c>
      <c r="C74" s="205">
        <f t="shared" si="8"/>
        <v>3.22</v>
      </c>
      <c r="D74" s="205">
        <f t="shared" si="8"/>
        <v>4.68</v>
      </c>
      <c r="E74" s="205">
        <f t="shared" si="8"/>
        <v>4.6500000000000004</v>
      </c>
      <c r="F74" s="205">
        <f t="shared" si="8"/>
        <v>4.6900000000000004</v>
      </c>
    </row>
    <row r="75" spans="1:71" s="135" customFormat="1" x14ac:dyDescent="0.25">
      <c r="A75" s="204">
        <v>4</v>
      </c>
      <c r="B75" s="205">
        <f t="shared" si="8"/>
        <v>2.54</v>
      </c>
      <c r="C75" s="205">
        <f t="shared" si="8"/>
        <v>1.99</v>
      </c>
      <c r="D75" s="205">
        <f t="shared" si="8"/>
        <v>4.22</v>
      </c>
      <c r="E75" s="205">
        <f t="shared" si="8"/>
        <v>5.2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8.6900000000000013</v>
      </c>
      <c r="C76" s="213">
        <f>SUM(C72:C75)</f>
        <v>10.290000000000001</v>
      </c>
      <c r="D76" s="213">
        <f>SUM(D72:D75)</f>
        <v>11.6</v>
      </c>
      <c r="E76" s="213">
        <f>AVERAGE(E72:E75)*4</f>
        <v>14.73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493446</v>
      </c>
      <c r="C79" s="270">
        <v>570446</v>
      </c>
      <c r="D79" s="270">
        <v>687976</v>
      </c>
      <c r="E79" s="270">
        <v>681447</v>
      </c>
      <c r="F79" s="270">
        <v>677127</v>
      </c>
      <c r="G79" s="270">
        <v>690964</v>
      </c>
      <c r="H79" s="270">
        <v>692165</v>
      </c>
      <c r="I79" s="270">
        <v>731316</v>
      </c>
      <c r="J79" s="270">
        <v>697935</v>
      </c>
      <c r="K79" s="270">
        <v>605375</v>
      </c>
      <c r="L79" s="270">
        <v>630464</v>
      </c>
      <c r="M79" s="270">
        <v>549819</v>
      </c>
      <c r="N79" s="270">
        <v>673347</v>
      </c>
      <c r="O79" s="270">
        <v>414761</v>
      </c>
      <c r="P79" s="270">
        <v>583795</v>
      </c>
      <c r="Q79" s="270">
        <v>675482</v>
      </c>
      <c r="R79" s="270">
        <v>760894</v>
      </c>
      <c r="S79" s="270">
        <v>681020</v>
      </c>
      <c r="T79" s="270">
        <v>780208</v>
      </c>
      <c r="U79" s="270">
        <v>744438</v>
      </c>
      <c r="V79" s="270">
        <v>705022</v>
      </c>
      <c r="W79" s="270">
        <v>689004</v>
      </c>
      <c r="X79" s="270">
        <v>768289</v>
      </c>
      <c r="Y79" s="270">
        <v>778655</v>
      </c>
      <c r="Z79" s="270">
        <v>766459</v>
      </c>
      <c r="AA79" s="270">
        <v>507691</v>
      </c>
      <c r="AB79" s="270">
        <v>742991</v>
      </c>
      <c r="AC79" s="270">
        <v>858015</v>
      </c>
      <c r="AD79" s="270">
        <v>827264</v>
      </c>
      <c r="AE79" s="270">
        <v>821648</v>
      </c>
      <c r="AF79" s="270">
        <v>841668</v>
      </c>
      <c r="AG79" s="270">
        <v>813260</v>
      </c>
      <c r="AH79" s="270">
        <v>866803</v>
      </c>
      <c r="AI79" s="270">
        <v>747219</v>
      </c>
      <c r="AJ79" s="270">
        <v>837884</v>
      </c>
      <c r="AK79" s="270">
        <v>901474</v>
      </c>
      <c r="AL79" s="270">
        <v>877996</v>
      </c>
      <c r="AM79" s="270">
        <v>596017</v>
      </c>
      <c r="AN79" s="270">
        <v>802295</v>
      </c>
      <c r="AO79" s="270">
        <v>823503</v>
      </c>
      <c r="AP79" s="270">
        <v>772799</v>
      </c>
      <c r="AQ79" s="270">
        <v>831103</v>
      </c>
      <c r="AR79" s="270">
        <v>851470</v>
      </c>
      <c r="AS79" s="270">
        <v>901694</v>
      </c>
      <c r="AT79" s="270">
        <v>1009200</v>
      </c>
      <c r="AU79" s="270">
        <v>861843</v>
      </c>
      <c r="AV79" s="270">
        <v>905890</v>
      </c>
      <c r="AW79" s="270">
        <v>879419</v>
      </c>
      <c r="AX79" s="270">
        <v>800791</v>
      </c>
      <c r="AY79" s="270">
        <v>578481</v>
      </c>
      <c r="AZ79" s="270">
        <v>900372</v>
      </c>
      <c r="BA79" s="270">
        <v>795632</v>
      </c>
      <c r="BB79" s="270">
        <v>803023</v>
      </c>
      <c r="BC79" s="270">
        <v>903577</v>
      </c>
      <c r="BD79" s="270">
        <v>903014</v>
      </c>
      <c r="BE79" s="270">
        <v>956687</v>
      </c>
      <c r="BF79" s="270">
        <v>979551</v>
      </c>
      <c r="BG79" s="270">
        <v>866823</v>
      </c>
      <c r="BH79" s="270">
        <v>1085122</v>
      </c>
      <c r="BI79" s="270">
        <v>1117749</v>
      </c>
      <c r="BJ79" s="270">
        <v>877785</v>
      </c>
      <c r="BK79" s="270">
        <v>703746</v>
      </c>
      <c r="BL79" s="270">
        <v>933304</v>
      </c>
      <c r="BM79" s="270">
        <v>821029</v>
      </c>
      <c r="BN79" s="270">
        <v>978868</v>
      </c>
      <c r="BO79" s="270">
        <v>1036247</v>
      </c>
      <c r="BP79" s="270">
        <v>931494</v>
      </c>
      <c r="BQ79" s="270">
        <v>908742</v>
      </c>
      <c r="BR79" s="270">
        <v>1010448</v>
      </c>
      <c r="BS79" s="270">
        <v>833243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0.14000000000000001</v>
      </c>
      <c r="C82" s="72">
        <v>0.39</v>
      </c>
      <c r="D82" s="72">
        <v>0.31</v>
      </c>
      <c r="E82" s="72">
        <v>-0.01</v>
      </c>
      <c r="F82" s="72">
        <v>0.12</v>
      </c>
      <c r="G82" s="72">
        <v>0.28999999999999998</v>
      </c>
      <c r="H82" s="72">
        <v>0.44</v>
      </c>
      <c r="I82" s="72">
        <v>0.36</v>
      </c>
      <c r="J82" s="72">
        <v>0.25</v>
      </c>
      <c r="K82" s="72">
        <v>0.49</v>
      </c>
      <c r="L82" s="72">
        <v>0.47</v>
      </c>
      <c r="M82" s="72">
        <v>0.3</v>
      </c>
      <c r="N82" s="72">
        <v>0.11</v>
      </c>
      <c r="O82" s="72">
        <v>0.28999999999999998</v>
      </c>
      <c r="P82" s="72">
        <v>0.7</v>
      </c>
      <c r="Q82" s="72">
        <v>0.66</v>
      </c>
      <c r="R82" s="72">
        <v>0.2</v>
      </c>
      <c r="S82" s="72">
        <v>0.56000000000000005</v>
      </c>
      <c r="T82" s="72">
        <v>0.71</v>
      </c>
      <c r="U82" s="72">
        <v>0.82</v>
      </c>
      <c r="V82" s="72">
        <v>0.51</v>
      </c>
      <c r="W82" s="72">
        <v>0.83</v>
      </c>
      <c r="X82" s="72">
        <v>0.73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15.19</v>
      </c>
      <c r="C85" s="72">
        <v>13.94</v>
      </c>
      <c r="D85" s="72">
        <v>14.06</v>
      </c>
      <c r="E85" s="72">
        <v>14.05</v>
      </c>
      <c r="F85" s="72">
        <v>14.33</v>
      </c>
      <c r="G85" s="72">
        <v>13.79</v>
      </c>
      <c r="H85" s="72">
        <v>14.17</v>
      </c>
      <c r="I85" s="72">
        <v>14.66</v>
      </c>
      <c r="J85" s="72">
        <v>15.04</v>
      </c>
      <c r="K85" s="72">
        <v>14.34</v>
      </c>
      <c r="L85" s="72">
        <v>14.95</v>
      </c>
      <c r="M85" s="72">
        <v>15.64</v>
      </c>
      <c r="N85" s="72">
        <v>15.58</v>
      </c>
      <c r="O85" s="72">
        <v>14.59</v>
      </c>
      <c r="P85" s="72">
        <v>15.54</v>
      </c>
      <c r="Q85" s="72">
        <v>15.99</v>
      </c>
      <c r="R85" s="72">
        <v>16.14</v>
      </c>
      <c r="S85" s="72">
        <v>14.99</v>
      </c>
      <c r="T85" s="72">
        <v>15.36</v>
      </c>
      <c r="U85" s="72">
        <v>16.07</v>
      </c>
      <c r="V85" s="72">
        <v>16.079999999999998</v>
      </c>
      <c r="W85" s="72">
        <v>15.11</v>
      </c>
      <c r="X85" s="72">
        <v>15.97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1751869</v>
      </c>
      <c r="C88" s="273">
        <v>2034757</v>
      </c>
      <c r="D88" s="273">
        <v>2136180</v>
      </c>
      <c r="E88" s="273">
        <v>1785925</v>
      </c>
      <c r="F88" s="273">
        <v>1671903</v>
      </c>
      <c r="G88" s="273">
        <v>2117398</v>
      </c>
      <c r="H88" s="273">
        <v>2229666</v>
      </c>
      <c r="I88" s="273">
        <v>2237528</v>
      </c>
      <c r="J88" s="273">
        <v>2017141</v>
      </c>
      <c r="K88" s="273">
        <v>2506927</v>
      </c>
      <c r="L88" s="273">
        <v>2521731</v>
      </c>
      <c r="M88" s="273">
        <v>2487546</v>
      </c>
      <c r="N88" s="273">
        <v>2276308</v>
      </c>
      <c r="O88" s="273">
        <v>2427405</v>
      </c>
      <c r="P88" s="273">
        <v>2762364</v>
      </c>
      <c r="Q88" s="273">
        <v>2643079</v>
      </c>
      <c r="R88" s="273">
        <v>2279644</v>
      </c>
      <c r="S88" s="273">
        <v>2502232</v>
      </c>
      <c r="T88" s="273">
        <v>2839252</v>
      </c>
      <c r="U88" s="273">
        <v>3069694</v>
      </c>
      <c r="V88" s="273">
        <v>2514835</v>
      </c>
      <c r="W88" s="273">
        <v>2836144</v>
      </c>
      <c r="X88" s="273">
        <v>2850684</v>
      </c>
    </row>
    <row r="89" spans="1:25" ht="14.25" thickBot="1" x14ac:dyDescent="0.3">
      <c r="A89" s="250" t="s">
        <v>4</v>
      </c>
      <c r="B89" s="275">
        <v>378257</v>
      </c>
      <c r="C89" s="275">
        <v>483367</v>
      </c>
      <c r="D89" s="275">
        <v>477007</v>
      </c>
      <c r="E89" s="275">
        <v>378581</v>
      </c>
      <c r="F89" s="275">
        <v>359020</v>
      </c>
      <c r="G89" s="275">
        <v>443364</v>
      </c>
      <c r="H89" s="275">
        <v>504769</v>
      </c>
      <c r="I89" s="275">
        <v>473082</v>
      </c>
      <c r="J89" s="275">
        <v>401468</v>
      </c>
      <c r="K89" s="275">
        <v>547011</v>
      </c>
      <c r="L89" s="275">
        <v>530554</v>
      </c>
      <c r="M89" s="275">
        <v>474332</v>
      </c>
      <c r="N89" s="275">
        <v>399052</v>
      </c>
      <c r="O89" s="275">
        <v>477945</v>
      </c>
      <c r="P89" s="275">
        <v>583986</v>
      </c>
      <c r="Q89" s="275">
        <v>593036</v>
      </c>
      <c r="R89" s="275">
        <v>466619</v>
      </c>
      <c r="S89" s="275">
        <v>571994</v>
      </c>
      <c r="T89" s="275">
        <v>666292</v>
      </c>
      <c r="U89" s="275">
        <v>693517</v>
      </c>
      <c r="V89" s="275">
        <v>552690</v>
      </c>
      <c r="W89" s="275">
        <v>650762</v>
      </c>
      <c r="X89" s="275">
        <v>664981</v>
      </c>
    </row>
    <row r="90" spans="1:25" ht="14.25" thickBot="1" x14ac:dyDescent="0.3">
      <c r="A90" s="251" t="s">
        <v>5</v>
      </c>
      <c r="B90" s="273">
        <v>68992</v>
      </c>
      <c r="C90" s="273">
        <v>145512</v>
      </c>
      <c r="D90" s="273">
        <v>138901</v>
      </c>
      <c r="E90" s="273">
        <v>55527</v>
      </c>
      <c r="F90" s="273">
        <v>26454</v>
      </c>
      <c r="G90" s="273">
        <v>87566</v>
      </c>
      <c r="H90" s="273">
        <v>152289</v>
      </c>
      <c r="I90" s="273">
        <v>118190</v>
      </c>
      <c r="J90" s="273">
        <v>48717</v>
      </c>
      <c r="K90" s="273">
        <v>151247</v>
      </c>
      <c r="L90" s="273">
        <v>140777</v>
      </c>
      <c r="M90" s="273">
        <v>76766</v>
      </c>
      <c r="N90" s="273">
        <v>18980</v>
      </c>
      <c r="O90" s="273">
        <v>84062</v>
      </c>
      <c r="P90" s="273">
        <v>163432</v>
      </c>
      <c r="Q90" s="273">
        <v>172133</v>
      </c>
      <c r="R90" s="273">
        <v>60976</v>
      </c>
      <c r="S90" s="273">
        <v>159844</v>
      </c>
      <c r="T90" s="273">
        <v>221694</v>
      </c>
      <c r="U90" s="273">
        <v>252920</v>
      </c>
      <c r="V90" s="273">
        <v>151199</v>
      </c>
      <c r="W90" s="273">
        <v>224481</v>
      </c>
      <c r="X90" s="273">
        <v>232400</v>
      </c>
    </row>
    <row r="91" spans="1:25" ht="14.25" thickBot="1" x14ac:dyDescent="0.3">
      <c r="A91" s="250" t="s">
        <v>6</v>
      </c>
      <c r="B91" s="275">
        <v>59725</v>
      </c>
      <c r="C91" s="275">
        <v>153307</v>
      </c>
      <c r="D91" s="275">
        <v>141938</v>
      </c>
      <c r="E91" s="275">
        <v>63536</v>
      </c>
      <c r="F91" s="275">
        <v>47287</v>
      </c>
      <c r="G91" s="275">
        <v>102000</v>
      </c>
      <c r="H91" s="275">
        <v>164588</v>
      </c>
      <c r="I91" s="275">
        <v>127254</v>
      </c>
      <c r="J91" s="275">
        <v>80149</v>
      </c>
      <c r="K91" s="275">
        <v>161330</v>
      </c>
      <c r="L91" s="275">
        <v>154141</v>
      </c>
      <c r="M91" s="275">
        <v>129699</v>
      </c>
      <c r="N91" s="275">
        <v>39164</v>
      </c>
      <c r="O91" s="275">
        <v>104124</v>
      </c>
      <c r="P91" s="275">
        <v>229623</v>
      </c>
      <c r="Q91" s="275">
        <v>211509</v>
      </c>
      <c r="R91" s="275">
        <v>65807</v>
      </c>
      <c r="S91" s="275">
        <v>186345</v>
      </c>
      <c r="T91" s="275">
        <v>248811</v>
      </c>
      <c r="U91" s="275">
        <v>331646</v>
      </c>
      <c r="V91" s="275">
        <v>147357</v>
      </c>
      <c r="W91" s="275">
        <v>257636</v>
      </c>
      <c r="X91" s="275">
        <v>258938</v>
      </c>
    </row>
    <row r="92" spans="1:25" ht="14.25" thickBot="1" x14ac:dyDescent="0.3">
      <c r="A92" s="251" t="s">
        <v>7</v>
      </c>
      <c r="B92" s="273">
        <v>38209</v>
      </c>
      <c r="C92" s="273">
        <v>101578</v>
      </c>
      <c r="D92" s="273">
        <v>81609</v>
      </c>
      <c r="E92" s="273">
        <v>-1374</v>
      </c>
      <c r="F92" s="273">
        <v>30701</v>
      </c>
      <c r="G92" s="273">
        <v>74452</v>
      </c>
      <c r="H92" s="273">
        <v>113128</v>
      </c>
      <c r="I92" s="273">
        <v>92547</v>
      </c>
      <c r="J92" s="273">
        <v>63625</v>
      </c>
      <c r="K92" s="273">
        <v>125998</v>
      </c>
      <c r="L92" s="273">
        <v>119432</v>
      </c>
      <c r="M92" s="273">
        <v>77195</v>
      </c>
      <c r="N92" s="273">
        <v>29541</v>
      </c>
      <c r="O92" s="273">
        <v>74452</v>
      </c>
      <c r="P92" s="273">
        <v>177804</v>
      </c>
      <c r="Q92" s="273">
        <v>167163</v>
      </c>
      <c r="R92" s="273">
        <v>51612</v>
      </c>
      <c r="S92" s="273">
        <v>141639</v>
      </c>
      <c r="T92" s="273">
        <v>178671</v>
      </c>
      <c r="U92" s="273">
        <v>206890</v>
      </c>
      <c r="V92" s="273">
        <v>128655</v>
      </c>
      <c r="W92" s="273">
        <v>210347</v>
      </c>
      <c r="X92" s="273">
        <v>184485</v>
      </c>
    </row>
    <row r="93" spans="1:25" ht="26.25" thickBot="1" x14ac:dyDescent="0.3">
      <c r="A93" s="252" t="s">
        <v>8</v>
      </c>
      <c r="B93" s="276">
        <v>36878</v>
      </c>
      <c r="C93" s="276">
        <v>100081</v>
      </c>
      <c r="D93" s="276">
        <v>79796</v>
      </c>
      <c r="E93" s="276">
        <v>-2373</v>
      </c>
      <c r="F93" s="276">
        <v>30534</v>
      </c>
      <c r="G93" s="276">
        <v>73385</v>
      </c>
      <c r="H93" s="276">
        <v>111448</v>
      </c>
      <c r="I93" s="276">
        <v>91052</v>
      </c>
      <c r="J93" s="276">
        <v>62484</v>
      </c>
      <c r="K93" s="276">
        <v>124153</v>
      </c>
      <c r="L93" s="276">
        <v>117739</v>
      </c>
      <c r="M93" s="276">
        <v>75010</v>
      </c>
      <c r="N93" s="276">
        <v>27996</v>
      </c>
      <c r="O93" s="276">
        <v>72896</v>
      </c>
      <c r="P93" s="276">
        <v>175600</v>
      </c>
      <c r="Q93" s="276">
        <v>165301</v>
      </c>
      <c r="R93" s="276">
        <v>50342</v>
      </c>
      <c r="S93" s="276">
        <v>140088</v>
      </c>
      <c r="T93" s="276">
        <v>176670</v>
      </c>
      <c r="U93" s="276">
        <v>204798</v>
      </c>
      <c r="V93" s="276">
        <v>127068</v>
      </c>
      <c r="W93" s="276">
        <v>208762</v>
      </c>
      <c r="X93" s="276">
        <v>182958</v>
      </c>
    </row>
    <row r="94" spans="1:25" x14ac:dyDescent="0.25">
      <c r="A94" s="233" t="s">
        <v>365</v>
      </c>
      <c r="B94" s="253">
        <f>IF(B91="","",B91-B90)</f>
        <v>-9267</v>
      </c>
      <c r="C94" s="253">
        <f>IF(C91="","",C91-C90)</f>
        <v>7795</v>
      </c>
      <c r="D94" s="253">
        <f t="shared" ref="D94:Y94" si="9">IF(D91="","",D91-D90)</f>
        <v>3037</v>
      </c>
      <c r="E94" s="253">
        <f t="shared" si="9"/>
        <v>8009</v>
      </c>
      <c r="F94" s="253">
        <f t="shared" si="9"/>
        <v>20833</v>
      </c>
      <c r="G94" s="253">
        <f t="shared" si="9"/>
        <v>14434</v>
      </c>
      <c r="H94" s="253">
        <f t="shared" si="9"/>
        <v>12299</v>
      </c>
      <c r="I94" s="253">
        <f t="shared" si="9"/>
        <v>9064</v>
      </c>
      <c r="J94" s="253">
        <f t="shared" si="9"/>
        <v>31432</v>
      </c>
      <c r="K94" s="253">
        <f t="shared" si="9"/>
        <v>10083</v>
      </c>
      <c r="L94" s="253">
        <f t="shared" si="9"/>
        <v>13364</v>
      </c>
      <c r="M94" s="253">
        <f t="shared" si="9"/>
        <v>52933</v>
      </c>
      <c r="N94" s="253">
        <f t="shared" si="9"/>
        <v>20184</v>
      </c>
      <c r="O94" s="253">
        <f t="shared" si="9"/>
        <v>20062</v>
      </c>
      <c r="P94" s="253">
        <f t="shared" si="9"/>
        <v>66191</v>
      </c>
      <c r="Q94" s="253">
        <f t="shared" si="9"/>
        <v>39376</v>
      </c>
      <c r="R94" s="253">
        <f t="shared" si="9"/>
        <v>4831</v>
      </c>
      <c r="S94" s="253">
        <f t="shared" si="9"/>
        <v>26501</v>
      </c>
      <c r="T94" s="253">
        <f t="shared" si="9"/>
        <v>27117</v>
      </c>
      <c r="U94" s="253">
        <f t="shared" si="9"/>
        <v>78726</v>
      </c>
      <c r="V94" s="253">
        <f t="shared" si="9"/>
        <v>-3842</v>
      </c>
      <c r="W94" s="253">
        <f t="shared" si="9"/>
        <v>33155</v>
      </c>
      <c r="X94" s="253">
        <f t="shared" si="9"/>
        <v>26538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7708731</v>
      </c>
      <c r="C97" s="273">
        <v>8256495</v>
      </c>
      <c r="D97" s="273">
        <v>9533345</v>
      </c>
      <c r="E97" s="273">
        <v>10109156</v>
      </c>
      <c r="F97" s="273">
        <v>10690822</v>
      </c>
    </row>
    <row r="98" spans="1:24" ht="14.25" thickBot="1" x14ac:dyDescent="0.3">
      <c r="A98" s="225" t="s">
        <v>4</v>
      </c>
      <c r="B98" s="275">
        <v>1717212</v>
      </c>
      <c r="C98" s="275">
        <v>1780235</v>
      </c>
      <c r="D98" s="275">
        <v>1953365</v>
      </c>
      <c r="E98" s="275">
        <v>2054019</v>
      </c>
      <c r="F98" s="275">
        <v>2398422</v>
      </c>
    </row>
    <row r="99" spans="1:24" ht="14.25" thickBot="1" x14ac:dyDescent="0.3">
      <c r="A99" s="224" t="s">
        <v>5</v>
      </c>
      <c r="B99" s="273">
        <v>408932</v>
      </c>
      <c r="C99" s="273">
        <v>384499</v>
      </c>
      <c r="D99" s="273">
        <v>417507</v>
      </c>
      <c r="E99" s="273">
        <v>438607</v>
      </c>
      <c r="F99" s="273">
        <v>695434</v>
      </c>
    </row>
    <row r="100" spans="1:24" ht="14.25" thickBot="1" x14ac:dyDescent="0.3">
      <c r="A100" s="225" t="s">
        <v>6</v>
      </c>
      <c r="B100" s="275">
        <v>418506</v>
      </c>
      <c r="C100" s="275">
        <v>441129</v>
      </c>
      <c r="D100" s="275">
        <v>525319</v>
      </c>
      <c r="E100" s="275">
        <v>584420</v>
      </c>
      <c r="F100" s="275">
        <v>832609</v>
      </c>
    </row>
    <row r="101" spans="1:24" ht="14.25" thickBot="1" x14ac:dyDescent="0.3">
      <c r="A101" s="224" t="s">
        <v>7</v>
      </c>
      <c r="B101" s="273">
        <v>220022</v>
      </c>
      <c r="C101" s="273">
        <v>310828</v>
      </c>
      <c r="D101" s="273">
        <v>386250</v>
      </c>
      <c r="E101" s="273">
        <v>448960</v>
      </c>
      <c r="F101" s="273">
        <v>578812</v>
      </c>
    </row>
    <row r="102" spans="1:24" ht="14.25" thickBot="1" x14ac:dyDescent="0.3">
      <c r="A102" s="227" t="s">
        <v>8</v>
      </c>
      <c r="B102" s="276">
        <v>214382</v>
      </c>
      <c r="C102" s="276">
        <v>306419</v>
      </c>
      <c r="D102" s="276">
        <v>379386</v>
      </c>
      <c r="E102" s="276">
        <v>441793</v>
      </c>
      <c r="F102" s="276">
        <v>571898</v>
      </c>
    </row>
    <row r="103" spans="1:24" x14ac:dyDescent="0.25">
      <c r="A103" s="233" t="s">
        <v>262</v>
      </c>
      <c r="B103" s="234">
        <f>IF(OR(B102="",B102="無"),"",B102/B101)</f>
        <v>0.97436619974366201</v>
      </c>
      <c r="C103" s="234">
        <f>IF(OR(C102="",C102="無"),"",C102/C101)</f>
        <v>0.98581530621436941</v>
      </c>
      <c r="D103" s="234">
        <f>IF(OR(D102="",D102="無"),"",D102/D101)</f>
        <v>0.98222912621359226</v>
      </c>
      <c r="E103" s="234">
        <f>IF(OR(E102="",E102="無"),"",E102/E101)</f>
        <v>0.98403643977191735</v>
      </c>
      <c r="F103" s="234">
        <f>IF(OR(F102="",F102="無"),"",F102/F101)</f>
        <v>0.98805484336883131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1493255</v>
      </c>
      <c r="C106" s="273">
        <v>1400274</v>
      </c>
      <c r="D106" s="273">
        <v>1130813</v>
      </c>
      <c r="E106" s="273">
        <v>1329794</v>
      </c>
      <c r="F106" s="273">
        <v>934416</v>
      </c>
      <c r="G106" s="273">
        <v>1003665</v>
      </c>
      <c r="H106" s="273">
        <v>992365</v>
      </c>
      <c r="I106" s="273">
        <v>1183273</v>
      </c>
      <c r="J106" s="273">
        <v>974984</v>
      </c>
      <c r="K106" s="273">
        <v>963479</v>
      </c>
      <c r="L106" s="273">
        <v>945575</v>
      </c>
      <c r="M106" s="273">
        <v>961129</v>
      </c>
      <c r="N106" s="273">
        <v>984907</v>
      </c>
      <c r="O106" s="273">
        <v>1060116</v>
      </c>
      <c r="P106" s="273">
        <v>1109971</v>
      </c>
      <c r="Q106" s="273">
        <v>1269410</v>
      </c>
      <c r="R106" s="273">
        <v>1194523</v>
      </c>
      <c r="S106" s="273">
        <v>1238660</v>
      </c>
      <c r="T106" s="273">
        <v>1224203</v>
      </c>
      <c r="U106" s="273">
        <v>1338416</v>
      </c>
      <c r="V106" s="273">
        <v>1057496</v>
      </c>
      <c r="W106" s="273">
        <v>1035402</v>
      </c>
      <c r="X106" s="273">
        <v>1008098</v>
      </c>
    </row>
    <row r="107" spans="1:24" ht="14.25" thickBot="1" x14ac:dyDescent="0.3">
      <c r="A107" s="225" t="s">
        <v>22</v>
      </c>
      <c r="B107" s="274">
        <v>0</v>
      </c>
      <c r="C107" s="274">
        <v>285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5">
        <v>81194</v>
      </c>
      <c r="R107" s="275">
        <v>155874</v>
      </c>
      <c r="S107" s="275">
        <v>153585</v>
      </c>
      <c r="T107" s="275">
        <v>163760</v>
      </c>
      <c r="U107" s="275">
        <v>185557</v>
      </c>
      <c r="V107" s="275">
        <v>194313</v>
      </c>
      <c r="W107" s="275">
        <v>114766</v>
      </c>
      <c r="X107" s="275">
        <v>23544</v>
      </c>
    </row>
    <row r="108" spans="1:24" ht="14.25" thickBot="1" x14ac:dyDescent="0.3">
      <c r="A108" s="224" t="s">
        <v>263</v>
      </c>
      <c r="B108" s="273">
        <v>1699649</v>
      </c>
      <c r="C108" s="273">
        <v>1963697</v>
      </c>
      <c r="D108" s="273">
        <v>2044823</v>
      </c>
      <c r="E108" s="273">
        <v>1757020</v>
      </c>
      <c r="F108" s="273">
        <v>1562130</v>
      </c>
      <c r="G108" s="273">
        <v>1857556</v>
      </c>
      <c r="H108" s="273">
        <v>1918161</v>
      </c>
      <c r="I108" s="273">
        <v>2000782</v>
      </c>
      <c r="J108" s="273">
        <v>2006696</v>
      </c>
      <c r="K108" s="273">
        <v>2196641</v>
      </c>
      <c r="L108" s="273">
        <v>2420747</v>
      </c>
      <c r="M108" s="273">
        <v>2439716</v>
      </c>
      <c r="N108" s="273">
        <v>2118688</v>
      </c>
      <c r="O108" s="273">
        <v>2116508</v>
      </c>
      <c r="P108" s="273">
        <v>2519322</v>
      </c>
      <c r="Q108" s="273">
        <v>2438660</v>
      </c>
      <c r="R108" s="273">
        <v>2011966</v>
      </c>
      <c r="S108" s="273">
        <v>2157139</v>
      </c>
      <c r="T108" s="273">
        <v>2449236</v>
      </c>
      <c r="U108" s="273">
        <v>2871466</v>
      </c>
      <c r="V108" s="273">
        <v>2619974</v>
      </c>
      <c r="W108" s="273">
        <v>2730788</v>
      </c>
      <c r="X108" s="273">
        <v>2832406</v>
      </c>
    </row>
    <row r="109" spans="1:24" ht="14.25" thickBot="1" x14ac:dyDescent="0.3">
      <c r="A109" s="225" t="s">
        <v>264</v>
      </c>
      <c r="B109" s="275">
        <v>863963</v>
      </c>
      <c r="C109" s="275">
        <v>887858</v>
      </c>
      <c r="D109" s="275">
        <v>904579</v>
      </c>
      <c r="E109" s="275">
        <v>947911</v>
      </c>
      <c r="F109" s="275">
        <v>946931</v>
      </c>
      <c r="G109" s="275">
        <v>1031366</v>
      </c>
      <c r="H109" s="275">
        <v>1038535</v>
      </c>
      <c r="I109" s="275">
        <v>1153881</v>
      </c>
      <c r="J109" s="275">
        <v>1122697</v>
      </c>
      <c r="K109" s="275">
        <v>1131241</v>
      </c>
      <c r="L109" s="275">
        <v>1213118</v>
      </c>
      <c r="M109" s="275">
        <v>1337970</v>
      </c>
      <c r="N109" s="275">
        <v>1402513</v>
      </c>
      <c r="O109" s="275">
        <v>1367462</v>
      </c>
      <c r="P109" s="275">
        <v>1306938</v>
      </c>
      <c r="Q109" s="275">
        <v>1479831</v>
      </c>
      <c r="R109" s="275">
        <v>1336432</v>
      </c>
      <c r="S109" s="275">
        <v>1211790</v>
      </c>
      <c r="T109" s="275">
        <v>1306801</v>
      </c>
      <c r="U109" s="275">
        <v>1376554</v>
      </c>
      <c r="V109" s="275">
        <v>1448591</v>
      </c>
      <c r="W109" s="275">
        <v>1493991</v>
      </c>
      <c r="X109" s="275">
        <v>1605398</v>
      </c>
    </row>
    <row r="110" spans="1:24" ht="14.25" thickBot="1" x14ac:dyDescent="0.3">
      <c r="A110" s="224" t="s">
        <v>23</v>
      </c>
      <c r="B110" s="273">
        <v>153373</v>
      </c>
      <c r="C110" s="273">
        <v>111218</v>
      </c>
      <c r="D110" s="273">
        <v>107539</v>
      </c>
      <c r="E110" s="273">
        <v>90627</v>
      </c>
      <c r="F110" s="273">
        <v>312312</v>
      </c>
      <c r="G110" s="273">
        <v>358543</v>
      </c>
      <c r="H110" s="273">
        <v>292292</v>
      </c>
      <c r="I110" s="273">
        <v>336189</v>
      </c>
      <c r="J110" s="273">
        <v>318988</v>
      </c>
      <c r="K110" s="273">
        <v>282762</v>
      </c>
      <c r="L110" s="273">
        <v>410177</v>
      </c>
      <c r="M110" s="273">
        <v>473789</v>
      </c>
      <c r="N110" s="273">
        <v>443054</v>
      </c>
      <c r="O110" s="273">
        <v>234814</v>
      </c>
      <c r="P110" s="273">
        <v>223181</v>
      </c>
      <c r="Q110" s="273">
        <v>178802</v>
      </c>
      <c r="R110" s="273">
        <v>152000</v>
      </c>
      <c r="S110" s="273">
        <v>150553</v>
      </c>
      <c r="T110" s="273">
        <v>144345</v>
      </c>
      <c r="U110" s="273">
        <v>153846</v>
      </c>
      <c r="V110" s="273">
        <v>154116</v>
      </c>
      <c r="W110" s="273">
        <v>180214</v>
      </c>
      <c r="X110" s="273">
        <v>176293</v>
      </c>
    </row>
    <row r="111" spans="1:24" ht="14.25" thickBot="1" x14ac:dyDescent="0.3">
      <c r="A111" s="225" t="s">
        <v>24</v>
      </c>
      <c r="B111" s="275">
        <v>4210240</v>
      </c>
      <c r="C111" s="275">
        <v>4363332</v>
      </c>
      <c r="D111" s="275">
        <v>4187754</v>
      </c>
      <c r="E111" s="275">
        <v>4125352</v>
      </c>
      <c r="F111" s="275">
        <v>3755789</v>
      </c>
      <c r="G111" s="275">
        <v>4251130</v>
      </c>
      <c r="H111" s="275">
        <v>4241353</v>
      </c>
      <c r="I111" s="275">
        <v>4674125</v>
      </c>
      <c r="J111" s="275">
        <v>4423365</v>
      </c>
      <c r="K111" s="275">
        <v>4574123</v>
      </c>
      <c r="L111" s="275">
        <v>4989617</v>
      </c>
      <c r="M111" s="275">
        <v>5212604</v>
      </c>
      <c r="N111" s="275">
        <v>4949162</v>
      </c>
      <c r="O111" s="275">
        <v>4778900</v>
      </c>
      <c r="P111" s="275">
        <v>5159412</v>
      </c>
      <c r="Q111" s="275">
        <v>5447897</v>
      </c>
      <c r="R111" s="275">
        <v>4850795</v>
      </c>
      <c r="S111" s="275">
        <v>4911727</v>
      </c>
      <c r="T111" s="275">
        <v>5288345</v>
      </c>
      <c r="U111" s="275">
        <v>5925839</v>
      </c>
      <c r="V111" s="275">
        <v>5474490</v>
      </c>
      <c r="W111" s="275">
        <v>5555161</v>
      </c>
      <c r="X111" s="275">
        <v>5645739</v>
      </c>
    </row>
    <row r="112" spans="1:24" ht="14.25" thickBot="1" x14ac:dyDescent="0.3">
      <c r="A112" s="224" t="s">
        <v>25</v>
      </c>
      <c r="B112" s="273">
        <v>81850</v>
      </c>
      <c r="C112" s="68">
        <v>0</v>
      </c>
      <c r="D112" s="68">
        <v>0</v>
      </c>
      <c r="E112" s="273">
        <v>58047</v>
      </c>
      <c r="F112" s="273">
        <v>50859</v>
      </c>
      <c r="G112" s="273">
        <v>62000</v>
      </c>
      <c r="H112" s="273">
        <v>62000</v>
      </c>
      <c r="I112" s="273">
        <v>62000</v>
      </c>
      <c r="J112" s="273">
        <v>62000</v>
      </c>
      <c r="K112" s="273">
        <v>62000</v>
      </c>
      <c r="L112" s="273">
        <v>62000</v>
      </c>
      <c r="M112" s="273">
        <v>62000</v>
      </c>
      <c r="N112" s="273">
        <v>62000</v>
      </c>
      <c r="O112" s="273">
        <v>62000</v>
      </c>
      <c r="P112" s="273">
        <v>62000</v>
      </c>
      <c r="Q112" s="273">
        <v>62000</v>
      </c>
      <c r="R112" s="273">
        <v>62000</v>
      </c>
      <c r="S112" s="273">
        <v>62000</v>
      </c>
      <c r="T112" s="273">
        <v>62000</v>
      </c>
      <c r="U112" s="273">
        <v>62000</v>
      </c>
      <c r="V112" s="273">
        <v>62000</v>
      </c>
      <c r="W112" s="273">
        <v>62000</v>
      </c>
      <c r="X112" s="273">
        <v>62000</v>
      </c>
    </row>
    <row r="113" spans="1:24" ht="14.25" thickBot="1" x14ac:dyDescent="0.3">
      <c r="A113" s="225" t="s">
        <v>26</v>
      </c>
      <c r="B113" s="275">
        <v>1979208</v>
      </c>
      <c r="C113" s="275">
        <v>1954821</v>
      </c>
      <c r="D113" s="275">
        <v>1897354</v>
      </c>
      <c r="E113" s="275">
        <v>1866434</v>
      </c>
      <c r="F113" s="275">
        <v>1862218</v>
      </c>
      <c r="G113" s="275">
        <v>1860857</v>
      </c>
      <c r="H113" s="275">
        <v>1818658</v>
      </c>
      <c r="I113" s="275">
        <v>1814264</v>
      </c>
      <c r="J113" s="275">
        <v>1792371</v>
      </c>
      <c r="K113" s="275">
        <v>1756755</v>
      </c>
      <c r="L113" s="275">
        <v>1770904</v>
      </c>
      <c r="M113" s="275">
        <v>1809757</v>
      </c>
      <c r="N113" s="275">
        <v>1769921</v>
      </c>
      <c r="O113" s="275">
        <v>1775680</v>
      </c>
      <c r="P113" s="275">
        <v>1794029</v>
      </c>
      <c r="Q113" s="275">
        <v>1775121</v>
      </c>
      <c r="R113" s="275">
        <v>1745654</v>
      </c>
      <c r="S113" s="275">
        <v>1808442</v>
      </c>
      <c r="T113" s="275">
        <v>1797949</v>
      </c>
      <c r="U113" s="275">
        <v>2182209</v>
      </c>
      <c r="V113" s="275">
        <v>2132319</v>
      </c>
      <c r="W113" s="275">
        <v>2206604</v>
      </c>
      <c r="X113" s="275">
        <v>2258730</v>
      </c>
    </row>
    <row r="114" spans="1:24" ht="14.25" thickBot="1" x14ac:dyDescent="0.3">
      <c r="A114" s="224" t="s">
        <v>27</v>
      </c>
      <c r="B114" s="273">
        <v>232807</v>
      </c>
      <c r="C114" s="273">
        <v>308761</v>
      </c>
      <c r="D114" s="273">
        <v>293061</v>
      </c>
      <c r="E114" s="273">
        <v>202527</v>
      </c>
      <c r="F114" s="273">
        <v>209753</v>
      </c>
      <c r="G114" s="273">
        <v>197079</v>
      </c>
      <c r="H114" s="273">
        <v>188668</v>
      </c>
      <c r="I114" s="273">
        <v>227842</v>
      </c>
      <c r="J114" s="273">
        <v>233294</v>
      </c>
      <c r="K114" s="273">
        <v>233941</v>
      </c>
      <c r="L114" s="273">
        <v>233947</v>
      </c>
      <c r="M114" s="273">
        <v>239249</v>
      </c>
      <c r="N114" s="273">
        <v>241455</v>
      </c>
      <c r="O114" s="273">
        <v>245992</v>
      </c>
      <c r="P114" s="273">
        <v>248106</v>
      </c>
      <c r="Q114" s="273">
        <v>238166</v>
      </c>
      <c r="R114" s="273">
        <v>237531</v>
      </c>
      <c r="S114" s="273">
        <v>241115</v>
      </c>
      <c r="T114" s="273">
        <v>244478</v>
      </c>
      <c r="U114" s="273">
        <v>221093</v>
      </c>
      <c r="V114" s="273">
        <v>211813</v>
      </c>
      <c r="W114" s="273">
        <v>211147</v>
      </c>
      <c r="X114" s="273">
        <v>217712</v>
      </c>
    </row>
    <row r="115" spans="1:24" ht="14.25" thickBot="1" x14ac:dyDescent="0.3">
      <c r="A115" s="225" t="s">
        <v>265</v>
      </c>
      <c r="B115" s="276">
        <v>6504105</v>
      </c>
      <c r="C115" s="276">
        <v>6626914</v>
      </c>
      <c r="D115" s="276">
        <v>6378169</v>
      </c>
      <c r="E115" s="276">
        <v>6252360</v>
      </c>
      <c r="F115" s="276">
        <v>5878619</v>
      </c>
      <c r="G115" s="276">
        <v>6371066</v>
      </c>
      <c r="H115" s="276">
        <v>6310679</v>
      </c>
      <c r="I115" s="276">
        <v>6778231</v>
      </c>
      <c r="J115" s="276">
        <v>6511030</v>
      </c>
      <c r="K115" s="276">
        <v>6626819</v>
      </c>
      <c r="L115" s="276">
        <v>7056468</v>
      </c>
      <c r="M115" s="276">
        <v>7323610</v>
      </c>
      <c r="N115" s="276">
        <v>7022538</v>
      </c>
      <c r="O115" s="276">
        <v>6862572</v>
      </c>
      <c r="P115" s="276">
        <v>7263547</v>
      </c>
      <c r="Q115" s="276">
        <v>7523184</v>
      </c>
      <c r="R115" s="276">
        <v>6895980</v>
      </c>
      <c r="S115" s="276">
        <v>7023284</v>
      </c>
      <c r="T115" s="276">
        <v>7392772</v>
      </c>
      <c r="U115" s="276">
        <v>8391141</v>
      </c>
      <c r="V115" s="276">
        <v>7880622</v>
      </c>
      <c r="W115" s="276">
        <v>8034912</v>
      </c>
      <c r="X115" s="276">
        <v>8184181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293713</v>
      </c>
      <c r="C118" s="273">
        <v>293414</v>
      </c>
      <c r="D118" s="273">
        <v>324787</v>
      </c>
      <c r="E118" s="273">
        <v>433396</v>
      </c>
      <c r="F118" s="273">
        <v>281119</v>
      </c>
      <c r="G118" s="273">
        <v>243882</v>
      </c>
      <c r="H118" s="273">
        <v>380638</v>
      </c>
      <c r="I118" s="273">
        <v>576151</v>
      </c>
      <c r="J118" s="273">
        <v>387082</v>
      </c>
      <c r="K118" s="273">
        <v>332447</v>
      </c>
      <c r="L118" s="273">
        <v>568624</v>
      </c>
      <c r="M118" s="273">
        <v>496664</v>
      </c>
      <c r="N118" s="273">
        <v>440963</v>
      </c>
      <c r="O118" s="273">
        <v>342953</v>
      </c>
      <c r="P118" s="273">
        <v>507794</v>
      </c>
      <c r="Q118" s="273">
        <v>463998</v>
      </c>
      <c r="R118" s="273">
        <v>436907</v>
      </c>
      <c r="S118" s="273">
        <v>334953</v>
      </c>
      <c r="T118" s="273">
        <v>550096</v>
      </c>
      <c r="U118" s="273">
        <v>454132</v>
      </c>
      <c r="V118" s="273">
        <v>492270</v>
      </c>
      <c r="W118" s="273">
        <v>395773</v>
      </c>
      <c r="X118" s="273">
        <v>598131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1513227</v>
      </c>
      <c r="C120" s="273">
        <v>1552425</v>
      </c>
      <c r="D120" s="273">
        <v>1794427</v>
      </c>
      <c r="E120" s="273">
        <v>1478975</v>
      </c>
      <c r="F120" s="273">
        <v>1236438</v>
      </c>
      <c r="G120" s="273">
        <v>1479560</v>
      </c>
      <c r="H120" s="273">
        <v>1522891</v>
      </c>
      <c r="I120" s="273">
        <v>1652557</v>
      </c>
      <c r="J120" s="273">
        <v>1542684</v>
      </c>
      <c r="K120" s="273">
        <v>1618053</v>
      </c>
      <c r="L120" s="273">
        <v>1912837</v>
      </c>
      <c r="M120" s="273">
        <v>1933555</v>
      </c>
      <c r="N120" s="273">
        <v>1821699</v>
      </c>
      <c r="O120" s="273">
        <v>1710654</v>
      </c>
      <c r="P120" s="273">
        <v>1959468</v>
      </c>
      <c r="Q120" s="273">
        <v>2084435</v>
      </c>
      <c r="R120" s="273">
        <v>1578838</v>
      </c>
      <c r="S120" s="273">
        <v>1675113</v>
      </c>
      <c r="T120" s="273">
        <v>2076406</v>
      </c>
      <c r="U120" s="273">
        <v>2469473</v>
      </c>
      <c r="V120" s="273">
        <v>2111204</v>
      </c>
      <c r="W120" s="273">
        <v>2077271</v>
      </c>
      <c r="X120" s="273">
        <v>2250171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5">
        <v>37228</v>
      </c>
      <c r="F121" s="275">
        <v>46701</v>
      </c>
      <c r="G121" s="275">
        <v>48332</v>
      </c>
      <c r="H121" s="275">
        <v>54239</v>
      </c>
      <c r="I121" s="275">
        <v>76290</v>
      </c>
      <c r="J121" s="275">
        <v>64468</v>
      </c>
      <c r="K121" s="275">
        <v>48996</v>
      </c>
      <c r="L121" s="275">
        <v>35583</v>
      </c>
      <c r="M121" s="275">
        <v>56260</v>
      </c>
      <c r="N121" s="275">
        <v>53639</v>
      </c>
      <c r="O121" s="275">
        <v>35236</v>
      </c>
      <c r="P121" s="275">
        <v>57146</v>
      </c>
      <c r="Q121" s="275">
        <v>64441</v>
      </c>
      <c r="R121" s="275">
        <v>47151</v>
      </c>
      <c r="S121" s="275">
        <v>49853</v>
      </c>
      <c r="T121" s="275">
        <v>66647</v>
      </c>
      <c r="U121" s="275">
        <v>63558</v>
      </c>
      <c r="V121" s="275">
        <v>48742</v>
      </c>
      <c r="W121" s="275">
        <v>51859</v>
      </c>
      <c r="X121" s="275">
        <v>76295</v>
      </c>
    </row>
    <row r="122" spans="1:24" ht="14.25" thickBot="1" x14ac:dyDescent="0.3">
      <c r="A122" s="224" t="s">
        <v>30</v>
      </c>
      <c r="B122" s="273">
        <v>98800</v>
      </c>
      <c r="C122" s="273">
        <v>98800</v>
      </c>
      <c r="D122" s="273">
        <v>98800</v>
      </c>
      <c r="E122" s="273">
        <v>98800</v>
      </c>
      <c r="F122" s="273">
        <v>98800</v>
      </c>
      <c r="G122" s="273">
        <v>98800</v>
      </c>
      <c r="H122" s="273">
        <v>102400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419208</v>
      </c>
      <c r="C123" s="275">
        <v>906202</v>
      </c>
      <c r="D123" s="275">
        <v>425489</v>
      </c>
      <c r="E123" s="275">
        <v>495046</v>
      </c>
      <c r="F123" s="275">
        <v>455883</v>
      </c>
      <c r="G123" s="275">
        <v>898494</v>
      </c>
      <c r="H123" s="275">
        <v>579230</v>
      </c>
      <c r="I123" s="275">
        <v>610484</v>
      </c>
      <c r="J123" s="275">
        <v>545938</v>
      </c>
      <c r="K123" s="275">
        <v>831066</v>
      </c>
      <c r="L123" s="275">
        <v>606157</v>
      </c>
      <c r="M123" s="275">
        <v>701742</v>
      </c>
      <c r="N123" s="275">
        <v>592789</v>
      </c>
      <c r="O123" s="275">
        <v>911943</v>
      </c>
      <c r="P123" s="275">
        <v>641230</v>
      </c>
      <c r="Q123" s="275">
        <v>725929</v>
      </c>
      <c r="R123" s="275">
        <v>571799</v>
      </c>
      <c r="S123" s="275">
        <v>998949</v>
      </c>
      <c r="T123" s="275">
        <v>660252</v>
      </c>
      <c r="U123" s="275">
        <v>876781</v>
      </c>
      <c r="V123" s="275">
        <v>721611</v>
      </c>
      <c r="W123" s="275">
        <v>1227390</v>
      </c>
      <c r="X123" s="275">
        <v>784129</v>
      </c>
    </row>
    <row r="124" spans="1:24" ht="14.25" thickBot="1" x14ac:dyDescent="0.3">
      <c r="A124" s="224" t="s">
        <v>268</v>
      </c>
      <c r="B124" s="273">
        <v>2324948</v>
      </c>
      <c r="C124" s="273">
        <v>2850841</v>
      </c>
      <c r="D124" s="273">
        <v>2643503</v>
      </c>
      <c r="E124" s="273">
        <v>2543445</v>
      </c>
      <c r="F124" s="273">
        <v>2118941</v>
      </c>
      <c r="G124" s="273">
        <v>2769068</v>
      </c>
      <c r="H124" s="273">
        <v>2639398</v>
      </c>
      <c r="I124" s="273">
        <v>2915482</v>
      </c>
      <c r="J124" s="273">
        <v>2540172</v>
      </c>
      <c r="K124" s="273">
        <v>2830562</v>
      </c>
      <c r="L124" s="273">
        <v>3123201</v>
      </c>
      <c r="M124" s="273">
        <v>3188221</v>
      </c>
      <c r="N124" s="273">
        <v>2909090</v>
      </c>
      <c r="O124" s="273">
        <v>3000786</v>
      </c>
      <c r="P124" s="273">
        <v>3165638</v>
      </c>
      <c r="Q124" s="273">
        <v>3338803</v>
      </c>
      <c r="R124" s="273">
        <v>2634695</v>
      </c>
      <c r="S124" s="273">
        <v>3058868</v>
      </c>
      <c r="T124" s="273">
        <v>3353401</v>
      </c>
      <c r="U124" s="273">
        <v>3863944</v>
      </c>
      <c r="V124" s="273">
        <v>3373827</v>
      </c>
      <c r="W124" s="273">
        <v>3752293</v>
      </c>
      <c r="X124" s="273">
        <v>3708726</v>
      </c>
    </row>
    <row r="125" spans="1:24" ht="14.25" thickBot="1" x14ac:dyDescent="0.3">
      <c r="A125" s="225" t="s">
        <v>32</v>
      </c>
      <c r="B125" s="275">
        <v>151800</v>
      </c>
      <c r="C125" s="275">
        <v>127100</v>
      </c>
      <c r="D125" s="275">
        <v>102400</v>
      </c>
      <c r="E125" s="275">
        <v>77700</v>
      </c>
      <c r="F125" s="275">
        <v>133121</v>
      </c>
      <c r="G125" s="275">
        <v>108978</v>
      </c>
      <c r="H125" s="275">
        <v>86543</v>
      </c>
      <c r="I125" s="275">
        <v>151987</v>
      </c>
      <c r="J125" s="275">
        <v>164707</v>
      </c>
      <c r="K125" s="275">
        <v>162867</v>
      </c>
      <c r="L125" s="275">
        <v>149718</v>
      </c>
      <c r="M125" s="275">
        <v>175760</v>
      </c>
      <c r="N125" s="275">
        <v>169331</v>
      </c>
      <c r="O125" s="275">
        <v>169760</v>
      </c>
      <c r="P125" s="275">
        <v>189092</v>
      </c>
      <c r="Q125" s="275">
        <v>177147</v>
      </c>
      <c r="R125" s="275">
        <v>175105</v>
      </c>
      <c r="S125" s="275">
        <v>172752</v>
      </c>
      <c r="T125" s="275">
        <v>152522</v>
      </c>
      <c r="U125" s="275">
        <v>460232</v>
      </c>
      <c r="V125" s="275">
        <v>437867</v>
      </c>
      <c r="W125" s="275">
        <v>459163</v>
      </c>
      <c r="X125" s="275">
        <v>434418</v>
      </c>
    </row>
    <row r="126" spans="1:24" ht="14.25" thickBot="1" x14ac:dyDescent="0.3">
      <c r="A126" s="224" t="s">
        <v>33</v>
      </c>
      <c r="B126" s="273">
        <v>79583</v>
      </c>
      <c r="C126" s="273">
        <v>102352</v>
      </c>
      <c r="D126" s="273">
        <v>76763</v>
      </c>
      <c r="E126" s="273">
        <v>76204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2556331</v>
      </c>
      <c r="C127" s="275">
        <v>3080293</v>
      </c>
      <c r="D127" s="275">
        <v>2822666</v>
      </c>
      <c r="E127" s="275">
        <v>2697349</v>
      </c>
      <c r="F127" s="275">
        <v>2252062</v>
      </c>
      <c r="G127" s="275">
        <v>2878046</v>
      </c>
      <c r="H127" s="275">
        <v>2725941</v>
      </c>
      <c r="I127" s="275">
        <v>3067469</v>
      </c>
      <c r="J127" s="275">
        <v>2704879</v>
      </c>
      <c r="K127" s="275">
        <v>2993429</v>
      </c>
      <c r="L127" s="275">
        <v>3272919</v>
      </c>
      <c r="M127" s="275">
        <v>3363981</v>
      </c>
      <c r="N127" s="275">
        <v>3078421</v>
      </c>
      <c r="O127" s="275">
        <v>3170546</v>
      </c>
      <c r="P127" s="275">
        <v>3354730</v>
      </c>
      <c r="Q127" s="275">
        <v>3515950</v>
      </c>
      <c r="R127" s="275">
        <v>2809800</v>
      </c>
      <c r="S127" s="275">
        <v>3231620</v>
      </c>
      <c r="T127" s="275">
        <v>3505923</v>
      </c>
      <c r="U127" s="275">
        <v>4324176</v>
      </c>
      <c r="V127" s="275">
        <v>3811694</v>
      </c>
      <c r="W127" s="275">
        <v>4211456</v>
      </c>
      <c r="X127" s="275">
        <v>4143144</v>
      </c>
    </row>
    <row r="128" spans="1:24" ht="14.25" thickBot="1" x14ac:dyDescent="0.3">
      <c r="A128" s="224" t="s">
        <v>34</v>
      </c>
      <c r="B128" s="273">
        <v>3947774</v>
      </c>
      <c r="C128" s="273">
        <v>3546621</v>
      </c>
      <c r="D128" s="273">
        <v>3555503</v>
      </c>
      <c r="E128" s="273">
        <v>3555011</v>
      </c>
      <c r="F128" s="273">
        <v>3626557</v>
      </c>
      <c r="G128" s="273">
        <v>3493020</v>
      </c>
      <c r="H128" s="273">
        <v>3584738</v>
      </c>
      <c r="I128" s="273">
        <v>3710762</v>
      </c>
      <c r="J128" s="273">
        <v>3806151</v>
      </c>
      <c r="K128" s="273">
        <v>3633390</v>
      </c>
      <c r="L128" s="273">
        <v>3783549</v>
      </c>
      <c r="M128" s="273">
        <v>3959629</v>
      </c>
      <c r="N128" s="273">
        <v>3944117</v>
      </c>
      <c r="O128" s="273">
        <v>3692026</v>
      </c>
      <c r="P128" s="273">
        <v>3908817</v>
      </c>
      <c r="Q128" s="273">
        <v>4007234</v>
      </c>
      <c r="R128" s="273">
        <v>4086180</v>
      </c>
      <c r="S128" s="273">
        <v>3791664</v>
      </c>
      <c r="T128" s="273">
        <v>3886849</v>
      </c>
      <c r="U128" s="273">
        <v>4066965</v>
      </c>
      <c r="V128" s="273">
        <v>4068928</v>
      </c>
      <c r="W128" s="273">
        <v>3823456</v>
      </c>
      <c r="X128" s="273">
        <v>4041037</v>
      </c>
    </row>
    <row r="129" spans="1:24" ht="14.25" thickBot="1" x14ac:dyDescent="0.3">
      <c r="A129" s="225" t="s">
        <v>35</v>
      </c>
      <c r="B129" s="276">
        <v>6504105</v>
      </c>
      <c r="C129" s="276">
        <v>6626914</v>
      </c>
      <c r="D129" s="276">
        <v>6378169</v>
      </c>
      <c r="E129" s="276">
        <v>6252360</v>
      </c>
      <c r="F129" s="276">
        <v>5878619</v>
      </c>
      <c r="G129" s="276">
        <v>6371066</v>
      </c>
      <c r="H129" s="276">
        <v>6310679</v>
      </c>
      <c r="I129" s="276">
        <v>6778231</v>
      </c>
      <c r="J129" s="276">
        <v>6511030</v>
      </c>
      <c r="K129" s="276">
        <v>6626819</v>
      </c>
      <c r="L129" s="276">
        <v>7056468</v>
      </c>
      <c r="M129" s="276">
        <v>7323610</v>
      </c>
      <c r="N129" s="276">
        <v>7022538</v>
      </c>
      <c r="O129" s="276">
        <v>6862572</v>
      </c>
      <c r="P129" s="276">
        <v>7263547</v>
      </c>
      <c r="Q129" s="276">
        <v>7523184</v>
      </c>
      <c r="R129" s="276">
        <v>6895980</v>
      </c>
      <c r="S129" s="276">
        <v>7023284</v>
      </c>
      <c r="T129" s="276">
        <v>7392772</v>
      </c>
      <c r="U129" s="276">
        <v>8391141</v>
      </c>
      <c r="V129" s="276">
        <v>7880622</v>
      </c>
      <c r="W129" s="276">
        <v>8034912</v>
      </c>
      <c r="X129" s="276">
        <v>8184181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2.3199999999999998</v>
      </c>
      <c r="C132" s="68">
        <v>1.73</v>
      </c>
      <c r="D132" s="68">
        <v>1.08</v>
      </c>
      <c r="E132" s="68">
        <v>3.96</v>
      </c>
      <c r="F132" s="68">
        <v>3.87</v>
      </c>
    </row>
    <row r="133" spans="1:24" ht="14.25" thickBot="1" x14ac:dyDescent="0.3">
      <c r="A133" s="225" t="s">
        <v>37</v>
      </c>
      <c r="B133" s="274">
        <v>-0.71</v>
      </c>
      <c r="C133" s="274">
        <v>-0.62</v>
      </c>
      <c r="D133" s="274">
        <v>-0.91</v>
      </c>
      <c r="E133" s="274">
        <v>-1.08</v>
      </c>
      <c r="F133" s="274">
        <v>-3</v>
      </c>
    </row>
    <row r="134" spans="1:24" ht="14.25" thickBot="1" x14ac:dyDescent="0.3">
      <c r="A134" s="224" t="s">
        <v>38</v>
      </c>
      <c r="B134" s="68">
        <v>-2.3199999999999998</v>
      </c>
      <c r="C134" s="68">
        <v>-1.1299999999999999</v>
      </c>
      <c r="D134" s="68">
        <v>-1.34</v>
      </c>
      <c r="E134" s="68">
        <v>-1.51</v>
      </c>
      <c r="F134" s="68">
        <v>-0.14000000000000001</v>
      </c>
    </row>
    <row r="135" spans="1:24" ht="14.25" thickBot="1" x14ac:dyDescent="0.3">
      <c r="A135" s="225" t="s">
        <v>270</v>
      </c>
      <c r="B135" s="274">
        <v>1.61</v>
      </c>
      <c r="C135" s="274">
        <v>1.1100000000000001</v>
      </c>
      <c r="D135" s="274">
        <v>0.17</v>
      </c>
      <c r="E135" s="274">
        <v>2.88</v>
      </c>
      <c r="F135" s="274">
        <v>0.88</v>
      </c>
    </row>
    <row r="136" spans="1:24" ht="14.25" thickBot="1" x14ac:dyDescent="0.3">
      <c r="A136" s="229" t="s">
        <v>39</v>
      </c>
      <c r="B136" s="72">
        <v>-0.71</v>
      </c>
      <c r="C136" s="72">
        <v>-0.03</v>
      </c>
      <c r="D136" s="72">
        <v>-1.1599999999999999</v>
      </c>
      <c r="E136" s="72">
        <v>1.37</v>
      </c>
      <c r="F136" s="72">
        <v>0.73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</v>
      </c>
      <c r="C140" s="68">
        <v>1</v>
      </c>
      <c r="D140" s="68">
        <v>1.2</v>
      </c>
      <c r="E140" s="68">
        <v>1.5</v>
      </c>
      <c r="F140" s="68">
        <v>2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1.2048192771084336</v>
      </c>
      <c r="C142" s="234">
        <f>IF(C140&lt;&gt;"無",IF(ISNA(HLOOKUP(C139,$B$64:$F$69,6,FALSE)),"",C140/HLOOKUP(C139,$B$64:$F$69,6,FALSE)),"")</f>
        <v>0.82644628099173556</v>
      </c>
      <c r="D142" s="234">
        <f>IF(D140&lt;&gt;"無",IF(ISNA(HLOOKUP(D139,$B$64:$F$69,6,FALSE)),"",D140/HLOOKUP(D139,$B$64:$F$69,6,FALSE)),"")</f>
        <v>0.79470198675496684</v>
      </c>
      <c r="E142" s="234">
        <f>IF(E140&lt;&gt;"無",IF(ISNA(HLOOKUP(E139,$B$64:$F$69,6,FALSE)),"",E140/HLOOKUP(E139,$B$64:$F$69,6,FALSE)),"")</f>
        <v>0.8522727272727274</v>
      </c>
      <c r="F142" s="234">
        <f>IF(F140&lt;&gt;"無",IF(ISNA(HLOOKUP(F139,$B$64:$F$69,6,FALSE)),"",F140/HLOOKUP(F139,$B$64:$F$69,6,FALSE)),"")</f>
        <v>0.8733624454148472</v>
      </c>
    </row>
    <row r="143" spans="1:24" x14ac:dyDescent="0.25">
      <c r="A143" s="233" t="s">
        <v>216</v>
      </c>
      <c r="B143" s="234">
        <f>IF(OR(B140=0,B140="無"),"",B135/B140)</f>
        <v>1.61</v>
      </c>
      <c r="C143" s="234">
        <f>IF(OR(C140=0,C140="無"),"",C135/C140)</f>
        <v>1.1100000000000001</v>
      </c>
      <c r="D143" s="234">
        <f>IF(OR(D140=0,D140="無"),"",D135/D140)</f>
        <v>0.14166666666666669</v>
      </c>
      <c r="E143" s="234">
        <f>IF(OR(E140=0,E140="無"),"",E135/E140)</f>
        <v>1.92</v>
      </c>
      <c r="F143" s="234">
        <f>IF(OR(F140=0,F140="無"),"",F135/F140)</f>
        <v>0.44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21.59</v>
      </c>
      <c r="C146" s="68">
        <v>23.76</v>
      </c>
      <c r="D146" s="68">
        <v>22.33</v>
      </c>
      <c r="E146" s="68">
        <v>21.2</v>
      </c>
      <c r="F146" s="68">
        <v>21.47</v>
      </c>
      <c r="G146" s="68">
        <v>20.94</v>
      </c>
      <c r="H146" s="68">
        <v>22.64</v>
      </c>
      <c r="I146" s="68">
        <v>21.14</v>
      </c>
      <c r="J146" s="68">
        <v>19.899999999999999</v>
      </c>
      <c r="K146" s="68">
        <v>21.82</v>
      </c>
      <c r="L146" s="68">
        <v>21.04</v>
      </c>
      <c r="M146" s="68">
        <v>19.07</v>
      </c>
      <c r="N146" s="68">
        <v>17.53</v>
      </c>
      <c r="O146" s="68">
        <v>19.690000000000001</v>
      </c>
      <c r="P146" s="68">
        <v>21.14</v>
      </c>
      <c r="Q146" s="68">
        <v>22.44</v>
      </c>
      <c r="R146" s="68">
        <v>20.47</v>
      </c>
      <c r="S146" s="68">
        <v>22.86</v>
      </c>
      <c r="T146" s="68">
        <v>23.47</v>
      </c>
      <c r="U146" s="68">
        <v>22.59</v>
      </c>
      <c r="V146" s="68">
        <v>21.98</v>
      </c>
      <c r="W146" s="68">
        <v>22.95</v>
      </c>
      <c r="X146" s="68">
        <v>23.33</v>
      </c>
    </row>
    <row r="147" spans="1:24" s="93" customFormat="1" ht="14.25" thickBot="1" x14ac:dyDescent="0.3">
      <c r="A147" s="225" t="s">
        <v>19</v>
      </c>
      <c r="B147" s="274">
        <v>3.94</v>
      </c>
      <c r="C147" s="274">
        <v>7.15</v>
      </c>
      <c r="D147" s="274">
        <v>6.5</v>
      </c>
      <c r="E147" s="274">
        <v>3.11</v>
      </c>
      <c r="F147" s="274">
        <v>1.58</v>
      </c>
      <c r="G147" s="274">
        <v>4.1399999999999997</v>
      </c>
      <c r="H147" s="274">
        <v>6.83</v>
      </c>
      <c r="I147" s="274">
        <v>5.28</v>
      </c>
      <c r="J147" s="274">
        <v>2.42</v>
      </c>
      <c r="K147" s="274">
        <v>6.03</v>
      </c>
      <c r="L147" s="274">
        <v>5.58</v>
      </c>
      <c r="M147" s="274">
        <v>3.09</v>
      </c>
      <c r="N147" s="274">
        <v>0.83</v>
      </c>
      <c r="O147" s="274">
        <v>3.46</v>
      </c>
      <c r="P147" s="274">
        <v>5.92</v>
      </c>
      <c r="Q147" s="274">
        <v>6.51</v>
      </c>
      <c r="R147" s="274">
        <v>2.67</v>
      </c>
      <c r="S147" s="274">
        <v>6.39</v>
      </c>
      <c r="T147" s="274">
        <v>7.81</v>
      </c>
      <c r="U147" s="274">
        <v>8.24</v>
      </c>
      <c r="V147" s="274">
        <v>6.01</v>
      </c>
      <c r="W147" s="274">
        <v>7.92</v>
      </c>
      <c r="X147" s="274">
        <v>8.15</v>
      </c>
    </row>
    <row r="148" spans="1:24" s="93" customFormat="1" ht="14.25" thickBot="1" x14ac:dyDescent="0.3">
      <c r="A148" s="224" t="s">
        <v>41</v>
      </c>
      <c r="B148" s="68">
        <v>3.41</v>
      </c>
      <c r="C148" s="68">
        <v>7.53</v>
      </c>
      <c r="D148" s="68">
        <v>6.64</v>
      </c>
      <c r="E148" s="68">
        <v>3.56</v>
      </c>
      <c r="F148" s="68">
        <v>2.83</v>
      </c>
      <c r="G148" s="68">
        <v>4.82</v>
      </c>
      <c r="H148" s="68">
        <v>7.38</v>
      </c>
      <c r="I148" s="68">
        <v>5.69</v>
      </c>
      <c r="J148" s="68">
        <v>3.97</v>
      </c>
      <c r="K148" s="68">
        <v>6.44</v>
      </c>
      <c r="L148" s="68">
        <v>6.11</v>
      </c>
      <c r="M148" s="68">
        <v>5.21</v>
      </c>
      <c r="N148" s="68">
        <v>1.72</v>
      </c>
      <c r="O148" s="68">
        <v>4.29</v>
      </c>
      <c r="P148" s="68">
        <v>8.31</v>
      </c>
      <c r="Q148" s="68">
        <v>8</v>
      </c>
      <c r="R148" s="68">
        <v>2.89</v>
      </c>
      <c r="S148" s="68">
        <v>7.45</v>
      </c>
      <c r="T148" s="68">
        <v>8.76</v>
      </c>
      <c r="U148" s="68">
        <v>10.8</v>
      </c>
      <c r="V148" s="68">
        <v>5.86</v>
      </c>
      <c r="W148" s="68">
        <v>9.08</v>
      </c>
      <c r="X148" s="68">
        <v>9.08</v>
      </c>
    </row>
    <row r="149" spans="1:24" s="93" customFormat="1" ht="14.25" thickBot="1" x14ac:dyDescent="0.3">
      <c r="A149" s="225" t="s">
        <v>13</v>
      </c>
      <c r="B149" s="73">
        <v>2.1800000000000002</v>
      </c>
      <c r="C149" s="73">
        <v>4.99</v>
      </c>
      <c r="D149" s="73">
        <v>3.82</v>
      </c>
      <c r="E149" s="73">
        <v>-0.08</v>
      </c>
      <c r="F149" s="73">
        <v>1.84</v>
      </c>
      <c r="G149" s="73">
        <v>3.52</v>
      </c>
      <c r="H149" s="73">
        <v>5.07</v>
      </c>
      <c r="I149" s="73">
        <v>4.1399999999999997</v>
      </c>
      <c r="J149" s="73">
        <v>3.15</v>
      </c>
      <c r="K149" s="73">
        <v>5.03</v>
      </c>
      <c r="L149" s="73">
        <v>4.74</v>
      </c>
      <c r="M149" s="73">
        <v>3.1</v>
      </c>
      <c r="N149" s="73">
        <v>1.3</v>
      </c>
      <c r="O149" s="73">
        <v>3.07</v>
      </c>
      <c r="P149" s="73">
        <v>6.44</v>
      </c>
      <c r="Q149" s="73">
        <v>6.32</v>
      </c>
      <c r="R149" s="73">
        <v>2.2599999999999998</v>
      </c>
      <c r="S149" s="73">
        <v>5.66</v>
      </c>
      <c r="T149" s="73">
        <v>6.29</v>
      </c>
      <c r="U149" s="73">
        <v>6.74</v>
      </c>
      <c r="V149" s="73">
        <v>5.12</v>
      </c>
      <c r="W149" s="73">
        <v>7.42</v>
      </c>
      <c r="X149" s="73">
        <v>6.47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22.28</v>
      </c>
      <c r="C152" s="68">
        <v>21.56</v>
      </c>
      <c r="D152" s="68">
        <v>20.49</v>
      </c>
      <c r="E152" s="68">
        <v>20.32</v>
      </c>
      <c r="F152" s="68">
        <v>22.43</v>
      </c>
    </row>
    <row r="153" spans="1:24" s="93" customFormat="1" ht="14.25" thickBot="1" x14ac:dyDescent="0.3">
      <c r="A153" s="225" t="s">
        <v>19</v>
      </c>
      <c r="B153" s="274">
        <v>5.3</v>
      </c>
      <c r="C153" s="274">
        <v>4.66</v>
      </c>
      <c r="D153" s="274">
        <v>4.38</v>
      </c>
      <c r="E153" s="274">
        <v>4.34</v>
      </c>
      <c r="F153" s="274">
        <v>6.51</v>
      </c>
    </row>
    <row r="154" spans="1:24" s="93" customFormat="1" ht="14.25" thickBot="1" x14ac:dyDescent="0.3">
      <c r="A154" s="224" t="s">
        <v>41</v>
      </c>
      <c r="B154" s="68">
        <v>5.43</v>
      </c>
      <c r="C154" s="68">
        <v>5.34</v>
      </c>
      <c r="D154" s="68">
        <v>5.51</v>
      </c>
      <c r="E154" s="68">
        <v>5.78</v>
      </c>
      <c r="F154" s="68">
        <v>7.79</v>
      </c>
    </row>
    <row r="155" spans="1:24" s="93" customFormat="1" ht="14.25" thickBot="1" x14ac:dyDescent="0.3">
      <c r="A155" s="225" t="s">
        <v>13</v>
      </c>
      <c r="B155" s="73">
        <v>2.85</v>
      </c>
      <c r="C155" s="73">
        <v>3.76</v>
      </c>
      <c r="D155" s="73">
        <v>4.05</v>
      </c>
      <c r="E155" s="73">
        <v>4.4400000000000004</v>
      </c>
      <c r="F155" s="73">
        <v>5.41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0.61</v>
      </c>
      <c r="C158" s="68">
        <v>1.57</v>
      </c>
      <c r="D158" s="68">
        <v>1.28</v>
      </c>
      <c r="E158" s="68">
        <v>-0.02</v>
      </c>
      <c r="F158" s="68">
        <v>0.53</v>
      </c>
      <c r="G158" s="68">
        <v>1.24</v>
      </c>
      <c r="H158" s="68">
        <v>1.8</v>
      </c>
      <c r="I158" s="68">
        <v>1.43</v>
      </c>
      <c r="J158" s="68">
        <v>0.98</v>
      </c>
      <c r="K158" s="68">
        <v>1.94</v>
      </c>
      <c r="L158" s="68">
        <v>1.77</v>
      </c>
      <c r="M158" s="68">
        <v>1.0900000000000001</v>
      </c>
      <c r="N158" s="68">
        <v>0.43</v>
      </c>
      <c r="O158" s="68">
        <v>1.0900000000000001</v>
      </c>
      <c r="P158" s="68">
        <v>2.54</v>
      </c>
      <c r="Q158" s="68">
        <v>2.2799999999999998</v>
      </c>
      <c r="R158" s="68">
        <v>0.73</v>
      </c>
      <c r="S158" s="68">
        <v>2.06</v>
      </c>
      <c r="T158" s="68">
        <v>2.5099999999999998</v>
      </c>
      <c r="U158" s="68">
        <v>2.71</v>
      </c>
      <c r="V158" s="68">
        <v>1.61</v>
      </c>
      <c r="W158" s="68">
        <v>2.68</v>
      </c>
      <c r="X158" s="68">
        <v>2.31</v>
      </c>
    </row>
    <row r="159" spans="1:24" s="93" customFormat="1" ht="14.25" thickBot="1" x14ac:dyDescent="0.3">
      <c r="A159" s="225" t="s">
        <v>45</v>
      </c>
      <c r="B159" s="73">
        <v>0.97</v>
      </c>
      <c r="C159" s="73">
        <v>2.71</v>
      </c>
      <c r="D159" s="73">
        <v>2.2999999999999998</v>
      </c>
      <c r="E159" s="73">
        <v>-0.04</v>
      </c>
      <c r="F159" s="73">
        <v>0.86</v>
      </c>
      <c r="G159" s="73">
        <v>2.09</v>
      </c>
      <c r="H159" s="73">
        <v>3.2</v>
      </c>
      <c r="I159" s="73">
        <v>2.54</v>
      </c>
      <c r="J159" s="73">
        <v>1.69</v>
      </c>
      <c r="K159" s="73">
        <v>3.39</v>
      </c>
      <c r="L159" s="73">
        <v>3.22</v>
      </c>
      <c r="M159" s="73">
        <v>1.99</v>
      </c>
      <c r="N159" s="73">
        <v>0.75</v>
      </c>
      <c r="O159" s="73">
        <v>1.95</v>
      </c>
      <c r="P159" s="73">
        <v>4.68</v>
      </c>
      <c r="Q159" s="73">
        <v>4.22</v>
      </c>
      <c r="R159" s="73">
        <v>1.28</v>
      </c>
      <c r="S159" s="73">
        <v>3.6</v>
      </c>
      <c r="T159" s="73">
        <v>4.6500000000000004</v>
      </c>
      <c r="U159" s="73">
        <v>5.2</v>
      </c>
      <c r="V159" s="73">
        <v>3.16</v>
      </c>
      <c r="W159" s="73">
        <v>5.33</v>
      </c>
      <c r="X159" s="73">
        <v>4.6900000000000004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2.85</v>
      </c>
      <c r="C162" s="68">
        <v>3.76</v>
      </c>
      <c r="D162" s="68">
        <v>4.05</v>
      </c>
      <c r="E162" s="68">
        <v>4.4400000000000004</v>
      </c>
      <c r="F162" s="68">
        <v>5.41</v>
      </c>
    </row>
    <row r="163" spans="1:72" s="93" customFormat="1" ht="14.25" thickBot="1" x14ac:dyDescent="0.3">
      <c r="A163" s="225" t="s">
        <v>18</v>
      </c>
      <c r="B163" s="274">
        <v>1.23</v>
      </c>
      <c r="C163" s="274">
        <v>1.22</v>
      </c>
      <c r="D163" s="274">
        <v>1.3</v>
      </c>
      <c r="E163" s="274">
        <v>1.34</v>
      </c>
      <c r="F163" s="274">
        <v>1.27</v>
      </c>
    </row>
    <row r="164" spans="1:72" s="93" customFormat="1" ht="14.25" thickBot="1" x14ac:dyDescent="0.3">
      <c r="A164" s="224" t="s">
        <v>15</v>
      </c>
      <c r="B164" s="68">
        <v>1.76</v>
      </c>
      <c r="C164" s="68">
        <v>1.83</v>
      </c>
      <c r="D164" s="68">
        <v>1.85</v>
      </c>
      <c r="E164" s="68">
        <v>1.88</v>
      </c>
      <c r="F164" s="68">
        <v>2.06</v>
      </c>
    </row>
    <row r="165" spans="1:72" s="93" customFormat="1" ht="14.25" thickBot="1" x14ac:dyDescent="0.3">
      <c r="A165" s="225" t="s">
        <v>45</v>
      </c>
      <c r="B165" s="73">
        <v>5.85</v>
      </c>
      <c r="C165" s="73">
        <v>8.56</v>
      </c>
      <c r="D165" s="73">
        <v>10.07</v>
      </c>
      <c r="E165" s="73">
        <v>11.27</v>
      </c>
      <c r="F165" s="73">
        <v>14.34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91.84</v>
      </c>
      <c r="C168" s="68">
        <v>81.08</v>
      </c>
      <c r="D168" s="68">
        <v>84.11</v>
      </c>
      <c r="E168" s="68">
        <v>95.74</v>
      </c>
      <c r="F168" s="68">
        <v>89.11</v>
      </c>
      <c r="G168" s="68">
        <v>72.58</v>
      </c>
      <c r="H168" s="68">
        <v>76.27</v>
      </c>
      <c r="I168" s="68">
        <v>78.95</v>
      </c>
      <c r="J168" s="68">
        <v>89.11</v>
      </c>
      <c r="K168" s="68">
        <v>75.63</v>
      </c>
      <c r="L168" s="68">
        <v>82.57</v>
      </c>
      <c r="M168" s="68">
        <v>88.24</v>
      </c>
      <c r="N168" s="68">
        <v>90</v>
      </c>
      <c r="O168" s="68">
        <v>78.260000000000005</v>
      </c>
      <c r="P168" s="68">
        <v>75.63</v>
      </c>
      <c r="Q168" s="68">
        <v>84.11</v>
      </c>
      <c r="R168" s="68">
        <v>88.24</v>
      </c>
      <c r="S168" s="68">
        <v>75</v>
      </c>
      <c r="T168" s="68">
        <v>73.17</v>
      </c>
      <c r="U168" s="68">
        <v>78.260000000000005</v>
      </c>
      <c r="V168" s="68">
        <v>97.83</v>
      </c>
      <c r="W168" s="68">
        <v>84.91</v>
      </c>
      <c r="X168" s="68">
        <v>88.24</v>
      </c>
    </row>
    <row r="169" spans="1:72" s="93" customFormat="1" ht="14.25" thickBot="1" x14ac:dyDescent="0.3">
      <c r="A169" s="225" t="s">
        <v>17</v>
      </c>
      <c r="B169" s="274">
        <v>57.69</v>
      </c>
      <c r="C169" s="274">
        <v>50.85</v>
      </c>
      <c r="D169" s="274">
        <v>48.65</v>
      </c>
      <c r="E169" s="274">
        <v>59.21</v>
      </c>
      <c r="F169" s="274">
        <v>64.75</v>
      </c>
      <c r="G169" s="274">
        <v>53.25</v>
      </c>
      <c r="H169" s="274">
        <v>53.89</v>
      </c>
      <c r="I169" s="274">
        <v>55.9</v>
      </c>
      <c r="J169" s="274">
        <v>63.38</v>
      </c>
      <c r="K169" s="274">
        <v>51.72</v>
      </c>
      <c r="L169" s="274">
        <v>52.94</v>
      </c>
      <c r="M169" s="274">
        <v>56.96</v>
      </c>
      <c r="N169" s="274">
        <v>65.69</v>
      </c>
      <c r="O169" s="274">
        <v>63.83</v>
      </c>
      <c r="P169" s="274">
        <v>55.21</v>
      </c>
      <c r="Q169" s="274">
        <v>61.22</v>
      </c>
      <c r="R169" s="274">
        <v>69.77</v>
      </c>
      <c r="S169" s="274">
        <v>59.6</v>
      </c>
      <c r="T169" s="274">
        <v>52.02</v>
      </c>
      <c r="U169" s="274">
        <v>50.85</v>
      </c>
      <c r="V169" s="274">
        <v>64.75</v>
      </c>
      <c r="W169" s="274">
        <v>60.4</v>
      </c>
      <c r="X169" s="274">
        <v>63.83</v>
      </c>
    </row>
    <row r="170" spans="1:72" s="93" customFormat="1" ht="14.25" thickBot="1" x14ac:dyDescent="0.3">
      <c r="A170" s="224" t="s">
        <v>42</v>
      </c>
      <c r="B170" s="72">
        <v>149.53</v>
      </c>
      <c r="C170" s="72">
        <v>131.93</v>
      </c>
      <c r="D170" s="72">
        <v>132.76</v>
      </c>
      <c r="E170" s="72">
        <v>154.96</v>
      </c>
      <c r="F170" s="72">
        <v>153.86000000000001</v>
      </c>
      <c r="G170" s="72">
        <v>125.84</v>
      </c>
      <c r="H170" s="72">
        <v>130.16</v>
      </c>
      <c r="I170" s="72">
        <v>134.85</v>
      </c>
      <c r="J170" s="72">
        <v>152.49</v>
      </c>
      <c r="K170" s="72">
        <v>127.35</v>
      </c>
      <c r="L170" s="72">
        <v>135.51</v>
      </c>
      <c r="M170" s="72">
        <v>145.19999999999999</v>
      </c>
      <c r="N170" s="72">
        <v>155.69</v>
      </c>
      <c r="O170" s="72">
        <v>142.09</v>
      </c>
      <c r="P170" s="72">
        <v>130.84</v>
      </c>
      <c r="Q170" s="72">
        <v>145.34</v>
      </c>
      <c r="R170" s="72">
        <v>158</v>
      </c>
      <c r="S170" s="72">
        <v>134.6</v>
      </c>
      <c r="T170" s="72">
        <v>125.19</v>
      </c>
      <c r="U170" s="72">
        <v>129.11000000000001</v>
      </c>
      <c r="V170" s="72">
        <v>162.57</v>
      </c>
      <c r="W170" s="72">
        <v>145.31</v>
      </c>
      <c r="X170" s="72">
        <v>152.07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269.52999999999997</v>
      </c>
      <c r="C173" s="72">
        <v>140.56</v>
      </c>
      <c r="D173" s="72">
        <v>69.900000000000006</v>
      </c>
      <c r="E173" s="72">
        <v>221.09</v>
      </c>
      <c r="F173" s="72">
        <v>167.9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1">
        <v>201710</v>
      </c>
      <c r="BT175" s="71"/>
    </row>
    <row r="176" spans="1:72" ht="14.25" thickBot="1" x14ac:dyDescent="0.3">
      <c r="A176" s="222" t="s">
        <v>2</v>
      </c>
      <c r="B176" s="72">
        <v>19.489999999999998</v>
      </c>
      <c r="C176" s="72">
        <v>19.68</v>
      </c>
      <c r="D176" s="72">
        <v>19.68</v>
      </c>
      <c r="E176" s="72">
        <v>18.350000000000001</v>
      </c>
      <c r="F176" s="72">
        <v>8.7899999999999991</v>
      </c>
      <c r="G176" s="72">
        <v>8.7899999999999991</v>
      </c>
      <c r="H176" s="72">
        <v>8.7899999999999991</v>
      </c>
      <c r="I176" s="72">
        <v>9.02</v>
      </c>
      <c r="J176" s="72">
        <v>9.02</v>
      </c>
      <c r="K176" s="72">
        <v>9.16</v>
      </c>
      <c r="L176" s="72">
        <v>9.16</v>
      </c>
      <c r="M176" s="72">
        <v>9.16</v>
      </c>
      <c r="N176" s="72">
        <v>9.16</v>
      </c>
      <c r="O176" s="72">
        <v>9.16</v>
      </c>
      <c r="P176" s="72">
        <v>9.16</v>
      </c>
      <c r="Q176" s="72">
        <v>9.24</v>
      </c>
      <c r="R176" s="72">
        <v>9.27</v>
      </c>
      <c r="S176" s="72">
        <v>9.27</v>
      </c>
      <c r="T176" s="72">
        <v>9.27</v>
      </c>
      <c r="U176" s="72">
        <v>9.34</v>
      </c>
      <c r="V176" s="72">
        <v>9.3800000000000008</v>
      </c>
      <c r="W176" s="72">
        <v>9.4</v>
      </c>
      <c r="X176" s="72">
        <v>9.39</v>
      </c>
      <c r="Y176" s="72">
        <v>9.44</v>
      </c>
      <c r="Z176" s="72">
        <v>9.6199999999999992</v>
      </c>
      <c r="AA176" s="72">
        <v>9.8000000000000007</v>
      </c>
      <c r="AB176" s="72">
        <v>9.86</v>
      </c>
      <c r="AC176" s="72">
        <v>9.86</v>
      </c>
      <c r="AD176" s="72">
        <v>9.9600000000000009</v>
      </c>
      <c r="AE176" s="72">
        <v>9.89</v>
      </c>
      <c r="AF176" s="72">
        <v>9.9700000000000006</v>
      </c>
      <c r="AG176" s="72">
        <v>9.93</v>
      </c>
      <c r="AH176" s="72">
        <v>9.94</v>
      </c>
      <c r="AI176" s="72">
        <v>9.99</v>
      </c>
      <c r="AJ176" s="72">
        <v>10.23</v>
      </c>
      <c r="AK176" s="72">
        <v>10.28</v>
      </c>
      <c r="AL176" s="72">
        <v>10.23</v>
      </c>
      <c r="AM176" s="72">
        <v>10.25</v>
      </c>
      <c r="AN176" s="72">
        <v>10.210000000000001</v>
      </c>
      <c r="AO176" s="72">
        <v>10.1</v>
      </c>
      <c r="AP176" s="72">
        <v>9.81</v>
      </c>
      <c r="AQ176" s="72">
        <v>8.52</v>
      </c>
      <c r="AR176" s="72">
        <v>8.52</v>
      </c>
      <c r="AS176" s="72">
        <v>8.64</v>
      </c>
      <c r="AT176" s="72">
        <v>8.64</v>
      </c>
      <c r="AU176" s="72">
        <v>8.64</v>
      </c>
      <c r="AV176" s="72">
        <v>8.65</v>
      </c>
      <c r="AW176" s="72">
        <v>8.65</v>
      </c>
      <c r="AX176" s="72">
        <v>8.65</v>
      </c>
      <c r="AY176" s="72">
        <v>8.65</v>
      </c>
      <c r="AZ176" s="72">
        <v>8.66</v>
      </c>
      <c r="BA176" s="72">
        <v>8.66</v>
      </c>
      <c r="BB176" s="72">
        <v>8.6199999999999992</v>
      </c>
      <c r="BC176" s="72">
        <v>8.6199999999999992</v>
      </c>
      <c r="BD176" s="72">
        <v>8.6199999999999992</v>
      </c>
      <c r="BE176" s="72">
        <v>8.65</v>
      </c>
      <c r="BF176" s="72">
        <v>8.65</v>
      </c>
      <c r="BG176" s="72">
        <v>8.65</v>
      </c>
      <c r="BH176" s="72">
        <v>8.69</v>
      </c>
      <c r="BI176" s="72">
        <v>8.69</v>
      </c>
      <c r="BJ176" s="72">
        <v>8.65</v>
      </c>
      <c r="BK176" s="72">
        <v>8.6</v>
      </c>
      <c r="BL176" s="72">
        <v>8.51</v>
      </c>
      <c r="BM176" s="72">
        <v>8.49</v>
      </c>
      <c r="BN176" s="72">
        <v>8.5299999999999994</v>
      </c>
      <c r="BO176" s="72">
        <v>8.52</v>
      </c>
      <c r="BP176" s="72">
        <v>8.52</v>
      </c>
      <c r="BQ176" s="72">
        <v>8.44</v>
      </c>
      <c r="BR176" s="72">
        <v>8.44</v>
      </c>
      <c r="BS176" s="72">
        <v>8.39</v>
      </c>
      <c r="BT176" s="72"/>
    </row>
  </sheetData>
  <phoneticPr fontId="3" type="noConversion"/>
  <conditionalFormatting sqref="E4">
    <cfRule type="cellIs" dxfId="5696" priority="101" operator="greaterThan">
      <formula>0.2</formula>
    </cfRule>
    <cfRule type="cellIs" dxfId="5695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5694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693" priority="95" operator="greaterThan">
      <formula>$B$19</formula>
    </cfRule>
  </conditionalFormatting>
  <conditionalFormatting sqref="D33:D34">
    <cfRule type="cellIs" dxfId="5692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5691" priority="89" operator="lessThan">
      <formula>$H$62</formula>
    </cfRule>
    <cfRule type="cellIs" dxfId="5690" priority="90" operator="greaterThan">
      <formula>$H$62</formula>
    </cfRule>
  </conditionalFormatting>
  <conditionalFormatting sqref="J62">
    <cfRule type="cellIs" dxfId="5689" priority="87" operator="lessThan">
      <formula>$K$62</formula>
    </cfRule>
    <cfRule type="cellIs" dxfId="5688" priority="88" operator="greaterThan">
      <formula>$K$62</formula>
    </cfRule>
  </conditionalFormatting>
  <conditionalFormatting sqref="M62">
    <cfRule type="cellIs" dxfId="5687" priority="85" operator="lessThan">
      <formula>$N$62</formula>
    </cfRule>
    <cfRule type="cellIs" dxfId="5686" priority="86" operator="greaterThan">
      <formula>$N$62</formula>
    </cfRule>
  </conditionalFormatting>
  <conditionalFormatting sqref="B44:E44">
    <cfRule type="cellIs" dxfId="5685" priority="83" operator="greaterThan">
      <formula>0</formula>
    </cfRule>
    <cfRule type="cellIs" dxfId="5684" priority="84" operator="lessThan">
      <formula>0</formula>
    </cfRule>
  </conditionalFormatting>
  <conditionalFormatting sqref="F72">
    <cfRule type="cellIs" dxfId="5683" priority="82" operator="lessThan">
      <formula>$E$72*90%</formula>
    </cfRule>
  </conditionalFormatting>
  <conditionalFormatting sqref="F73">
    <cfRule type="cellIs" dxfId="5682" priority="81" operator="lessThan">
      <formula>$E$73*90%</formula>
    </cfRule>
  </conditionalFormatting>
  <conditionalFormatting sqref="F74">
    <cfRule type="cellIs" dxfId="5681" priority="80" operator="lessThan">
      <formula>$E$74*90%</formula>
    </cfRule>
  </conditionalFormatting>
  <conditionalFormatting sqref="F75">
    <cfRule type="cellIs" dxfId="5680" priority="79" operator="lessThan">
      <formula>$E$75*90%</formula>
    </cfRule>
  </conditionalFormatting>
  <conditionalFormatting sqref="H44:K44">
    <cfRule type="cellIs" dxfId="5679" priority="77" operator="greaterThan">
      <formula>0</formula>
    </cfRule>
    <cfRule type="cellIs" dxfId="5678" priority="78" operator="lessThan">
      <formula>0</formula>
    </cfRule>
  </conditionalFormatting>
  <conditionalFormatting sqref="H51:K51">
    <cfRule type="cellIs" dxfId="5677" priority="75" operator="greaterThan">
      <formula>0</formula>
    </cfRule>
    <cfRule type="cellIs" dxfId="5676" priority="76" operator="lessThan">
      <formula>0</formula>
    </cfRule>
  </conditionalFormatting>
  <conditionalFormatting sqref="B51:E51">
    <cfRule type="cellIs" dxfId="5675" priority="73" operator="greaterThan">
      <formula>0</formula>
    </cfRule>
    <cfRule type="cellIs" dxfId="5674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673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672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5671" priority="56" operator="lessThan">
      <formula>0</formula>
    </cfRule>
  </conditionalFormatting>
  <conditionalFormatting sqref="A25 E25 C25">
    <cfRule type="cellIs" dxfId="5670" priority="57" operator="lessThan">
      <formula>0</formula>
    </cfRule>
  </conditionalFormatting>
  <conditionalFormatting sqref="F25">
    <cfRule type="cellIs" dxfId="5669" priority="55" operator="lessThan">
      <formula>0</formula>
    </cfRule>
  </conditionalFormatting>
  <conditionalFormatting sqref="E1">
    <cfRule type="containsText" dxfId="5668" priority="54" operator="containsText" text="本季業外損益/平均=-">
      <formula>NOT(ISERROR(SEARCH("本季業外損益/平均=-",E1)))</formula>
    </cfRule>
  </conditionalFormatting>
  <conditionalFormatting sqref="M65">
    <cfRule type="cellIs" dxfId="5667" priority="53" operator="lessThan">
      <formula>$L$65*90%</formula>
    </cfRule>
  </conditionalFormatting>
  <conditionalFormatting sqref="M66">
    <cfRule type="cellIs" dxfId="5666" priority="52" operator="lessThan">
      <formula>$L$66*90%</formula>
    </cfRule>
  </conditionalFormatting>
  <conditionalFormatting sqref="M67">
    <cfRule type="cellIs" dxfId="5665" priority="51" operator="lessThan">
      <formula>$L$67*90%</formula>
    </cfRule>
  </conditionalFormatting>
  <conditionalFormatting sqref="M68">
    <cfRule type="cellIs" dxfId="5664" priority="50" operator="lessThan">
      <formula>$L$68*90%</formula>
    </cfRule>
  </conditionalFormatting>
  <conditionalFormatting sqref="B60">
    <cfRule type="cellIs" dxfId="5663" priority="49" operator="lessThan">
      <formula>0</formula>
    </cfRule>
  </conditionalFormatting>
  <conditionalFormatting sqref="B59:F59">
    <cfRule type="cellIs" dxfId="5662" priority="48" operator="lessThanOrEqual">
      <formula>0</formula>
    </cfRule>
  </conditionalFormatting>
  <conditionalFormatting sqref="D62">
    <cfRule type="cellIs" dxfId="5661" priority="46" operator="lessThan">
      <formula>$E$62</formula>
    </cfRule>
    <cfRule type="cellIs" dxfId="5660" priority="47" operator="greaterThan">
      <formula>$E$62</formula>
    </cfRule>
  </conditionalFormatting>
  <conditionalFormatting sqref="F69">
    <cfRule type="cellIs" dxfId="5659" priority="44" operator="lessThan">
      <formula>0</formula>
    </cfRule>
  </conditionalFormatting>
  <conditionalFormatting sqref="B65:E67 B69:E69 B68:D68">
    <cfRule type="cellIs" dxfId="5658" priority="45" operator="lessThan">
      <formula>0</formula>
    </cfRule>
  </conditionalFormatting>
  <conditionalFormatting sqref="E68">
    <cfRule type="cellIs" dxfId="5657" priority="43" operator="lessThan">
      <formula>0</formula>
    </cfRule>
  </conditionalFormatting>
  <conditionalFormatting sqref="F65:F68">
    <cfRule type="cellIs" dxfId="5656" priority="42" operator="lessThan">
      <formula>0</formula>
    </cfRule>
  </conditionalFormatting>
  <conditionalFormatting sqref="F65:F68">
    <cfRule type="cellIs" dxfId="5655" priority="41" operator="lessThan">
      <formula>$E$65*0.9</formula>
    </cfRule>
  </conditionalFormatting>
  <conditionalFormatting sqref="F66">
    <cfRule type="cellIs" dxfId="5654" priority="40" operator="lessThan">
      <formula>$E$66*0.9</formula>
    </cfRule>
  </conditionalFormatting>
  <conditionalFormatting sqref="F67:F68">
    <cfRule type="cellIs" dxfId="5653" priority="39" operator="lessThan">
      <formula>$E$67*0.9</formula>
    </cfRule>
  </conditionalFormatting>
  <conditionalFormatting sqref="F68">
    <cfRule type="cellIs" dxfId="5652" priority="38" operator="lessThan">
      <formula>$E$68*0.9</formula>
    </cfRule>
  </conditionalFormatting>
  <conditionalFormatting sqref="B13:F13">
    <cfRule type="cellIs" dxfId="5651" priority="27" operator="greaterThan">
      <formula>$I$16</formula>
    </cfRule>
    <cfRule type="cellIs" dxfId="5650" priority="28" operator="lessThanOrEqual">
      <formula>$I$16</formula>
    </cfRule>
  </conditionalFormatting>
  <conditionalFormatting sqref="B10:F10">
    <cfRule type="cellIs" dxfId="5649" priority="29" operator="greaterThan">
      <formula>15</formula>
    </cfRule>
    <cfRule type="cellIs" dxfId="5648" priority="36" operator="lessThan">
      <formula>$I$9</formula>
    </cfRule>
    <cfRule type="cellIs" dxfId="5647" priority="37" operator="greaterThan">
      <formula>$I$9</formula>
    </cfRule>
  </conditionalFormatting>
  <conditionalFormatting sqref="B16:F16">
    <cfRule type="cellIs" dxfId="5646" priority="34" operator="greaterThan">
      <formula>$I$16</formula>
    </cfRule>
    <cfRule type="cellIs" dxfId="5645" priority="35" operator="lessThanOrEqual">
      <formula>$I$16</formula>
    </cfRule>
  </conditionalFormatting>
  <conditionalFormatting sqref="B15:F15">
    <cfRule type="cellIs" dxfId="5644" priority="32" operator="lessThanOrEqual">
      <formula>$I$16</formula>
    </cfRule>
    <cfRule type="cellIs" dxfId="5643" priority="33" operator="greaterThan">
      <formula>$I$16</formula>
    </cfRule>
  </conditionalFormatting>
  <conditionalFormatting sqref="B14:F14">
    <cfRule type="cellIs" dxfId="5642" priority="30" operator="greaterThan">
      <formula>$I$16</formula>
    </cfRule>
    <cfRule type="cellIs" dxfId="5641" priority="31" operator="lessThanOrEqual">
      <formula>$I$16</formula>
    </cfRule>
  </conditionalFormatting>
  <conditionalFormatting sqref="K6">
    <cfRule type="containsText" dxfId="5640" priority="25" operator="containsText" text="衰退">
      <formula>NOT(ISERROR(SEARCH("衰退",K6)))</formula>
    </cfRule>
    <cfRule type="containsText" dxfId="5639" priority="26" operator="containsText" text="成長">
      <formula>NOT(ISERROR(SEARCH("成長",K6)))</formula>
    </cfRule>
  </conditionalFormatting>
  <conditionalFormatting sqref="I4:K4">
    <cfRule type="cellIs" dxfId="5638" priority="23" operator="lessThan">
      <formula>0</formula>
    </cfRule>
    <cfRule type="cellIs" dxfId="5637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636" priority="20" operator="lessThanOrEqual">
      <formula>$I$16</formula>
    </cfRule>
    <cfRule type="cellIs" dxfId="5635" priority="21" operator="greaterThan">
      <formula>$I$16</formula>
    </cfRule>
  </conditionalFormatting>
  <conditionalFormatting sqref="I6">
    <cfRule type="containsText" dxfId="5634" priority="18" operator="containsText" text="衰退">
      <formula>NOT(ISERROR(SEARCH("衰退",I6)))</formula>
    </cfRule>
    <cfRule type="containsText" dxfId="5633" priority="19" operator="containsText" text="成長">
      <formula>NOT(ISERROR(SEARCH("成長",I6)))</formula>
    </cfRule>
  </conditionalFormatting>
  <conditionalFormatting sqref="M9">
    <cfRule type="cellIs" dxfId="5632" priority="17" operator="lessThan">
      <formula>$I$9</formula>
    </cfRule>
  </conditionalFormatting>
  <conditionalFormatting sqref="M10">
    <cfRule type="cellIs" dxfId="5631" priority="16" operator="greaterThan">
      <formula>$I$9</formula>
    </cfRule>
  </conditionalFormatting>
  <conditionalFormatting sqref="M11">
    <cfRule type="cellIs" dxfId="5630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629" priority="12" operator="lessThan">
      <formula>0</formula>
    </cfRule>
    <cfRule type="cellIs" dxfId="5628" priority="13" operator="greaterThan">
      <formula>0.5</formula>
    </cfRule>
  </conditionalFormatting>
  <conditionalFormatting sqref="N14">
    <cfRule type="cellIs" dxfId="5627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626" priority="8" operator="lessThan">
      <formula>0.1</formula>
    </cfRule>
  </conditionalFormatting>
  <conditionalFormatting sqref="I14">
    <cfRule type="cellIs" dxfId="5625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624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623" priority="1" operator="lessThan">
      <formula>$N$5*0.9</formula>
    </cfRule>
    <cfRule type="cellIs" dxfId="5622" priority="2" operator="greaterThan">
      <formula>$N$5*1.1</formula>
    </cfRule>
  </conditionalFormatting>
  <hyperlinks>
    <hyperlink ref="L1" location="儀表板!A1" display="(回首頁)" xr:uid="{00000000-0004-0000-1C00-000000000000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8.17 ~ 25.97</v>
      </c>
      <c r="L1" s="83" t="s">
        <v>176</v>
      </c>
      <c r="M1" s="84" t="str">
        <f ca="1">VLOOKUP(_xlfn.NUMBERVALUE(N1),儀表板!A:B,2,FALSE)</f>
        <v>興勤電子</v>
      </c>
      <c r="N1" s="85" t="str">
        <f ca="1">MID(CELL("filename",L1),FIND("]",CELL("filename",L1))+1,255)</f>
        <v>2428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0.2680074682819506</v>
      </c>
    </row>
    <row r="3" spans="1:15" s="93" customFormat="1" x14ac:dyDescent="0.25">
      <c r="A3" s="81" t="s">
        <v>179</v>
      </c>
      <c r="B3" s="94">
        <f>SUM(F19:F22,F24:F27,J19)</f>
        <v>87.08002804747602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76.998923514858035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79.149269391749897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82.622905039036723</v>
      </c>
      <c r="L3" s="100"/>
      <c r="M3" s="79" t="s">
        <v>385</v>
      </c>
      <c r="N3" s="92">
        <f>(F69-E69)/E69</f>
        <v>0.16337651255032759</v>
      </c>
    </row>
    <row r="4" spans="1:15" s="93" customFormat="1" x14ac:dyDescent="0.25">
      <c r="A4" s="81" t="s">
        <v>182</v>
      </c>
      <c r="B4" s="96">
        <f>SUM(G36:G40)*2</f>
        <v>94</v>
      </c>
      <c r="C4" s="101"/>
      <c r="D4" s="102">
        <f>F4*(1+F141/10)</f>
        <v>12.8</v>
      </c>
      <c r="E4" s="82">
        <f>(D4-F4)/F4</f>
        <v>0</v>
      </c>
      <c r="F4" s="103">
        <v>12.8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8.1785368832288032</v>
      </c>
    </row>
    <row r="5" spans="1:15" s="93" customFormat="1" x14ac:dyDescent="0.25">
      <c r="A5" s="81" t="s">
        <v>184</v>
      </c>
      <c r="B5" s="107">
        <f>SUM(F30:F34)*2</f>
        <v>96.786116322701687</v>
      </c>
      <c r="C5" s="87"/>
      <c r="D5" s="87"/>
      <c r="E5" s="87"/>
      <c r="F5" s="86"/>
      <c r="G5" s="88"/>
      <c r="M5" s="79" t="s">
        <v>375</v>
      </c>
      <c r="N5" s="152">
        <f>D62</f>
        <v>8.31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連3年成長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7.3339679759748035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12.34</v>
      </c>
      <c r="N9" s="129"/>
    </row>
    <row r="10" spans="1:15" s="93" customFormat="1" x14ac:dyDescent="0.25">
      <c r="A10" s="123" t="s">
        <v>194</v>
      </c>
      <c r="B10" s="126">
        <f>PERCENTILE(176:176,B9)</f>
        <v>8.94</v>
      </c>
      <c r="C10" s="126">
        <f>PERCENTILE(176:176,C9)</f>
        <v>9.3099999999999987</v>
      </c>
      <c r="D10" s="126">
        <f>PERCENTILE(176:176,D9)</f>
        <v>9.57</v>
      </c>
      <c r="E10" s="126">
        <f>PERCENTILE(176:176,E9)</f>
        <v>9.99</v>
      </c>
      <c r="F10" s="126">
        <f>PERCENTILE(176:176,F9)</f>
        <v>10.7</v>
      </c>
      <c r="G10" s="95"/>
      <c r="H10" s="135"/>
      <c r="I10" s="135"/>
      <c r="J10" s="135"/>
      <c r="K10" s="135"/>
      <c r="L10" s="136" t="s">
        <v>374</v>
      </c>
      <c r="M10" s="130">
        <f>MIN(176:176)</f>
        <v>7.98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40.99</v>
      </c>
      <c r="L11" s="272" t="s">
        <v>193</v>
      </c>
      <c r="M11" s="128">
        <f>STDEV(176:176)</f>
        <v>1.0043851938903778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34.663865546218489</v>
      </c>
      <c r="C13" s="141">
        <f>$B$34/5.88%</f>
        <v>42.091836734693871</v>
      </c>
      <c r="D13" s="141">
        <f>$B$34/5%</f>
        <v>49.499999999999993</v>
      </c>
      <c r="E13" s="141">
        <f>$B$34/4.35%</f>
        <v>56.896551724137929</v>
      </c>
      <c r="F13" s="141">
        <f>$B$34/3.85%</f>
        <v>64.285714285714278</v>
      </c>
      <c r="G13" s="138" t="str">
        <f>"$"&amp;ROUND(B34,2)&amp;"/"&amp;IF(STDEV(C140:F140)/AVERAGE(C140:F140)&lt;15%,"高",IF(STDEV(C140:F140)/AVERAGE(C140:F140)&lt;30%,"中","低"))</f>
        <v>$2.48/中</v>
      </c>
      <c r="H13" s="142" t="s">
        <v>199</v>
      </c>
      <c r="I13" s="143">
        <f>MAX(0,1-J15)</f>
        <v>0.53058321479374115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47.650199999999998</v>
      </c>
      <c r="C14" s="141">
        <f>$B$33*C10</f>
        <v>49.622299999999996</v>
      </c>
      <c r="D14" s="141">
        <f>$B$33*D10</f>
        <v>51.008099999999999</v>
      </c>
      <c r="E14" s="141">
        <f>$B$33*E10</f>
        <v>53.246700000000004</v>
      </c>
      <c r="F14" s="141">
        <f>$B$33*F10</f>
        <v>57.030999999999999</v>
      </c>
      <c r="G14" s="138" t="str">
        <f>"$"&amp;ROUND(B33,2)&amp;"/"&amp;IF(STDEV(B69:E69)/AVERAGE(B69:E69)&lt;15%,"高",IF(STDEV(B69:E69)/AVERAGE(B69:E69)&lt;30%,"中","低"))</f>
        <v>$5.33/中</v>
      </c>
      <c r="H14" s="142" t="s">
        <v>203</v>
      </c>
      <c r="I14" s="145">
        <f>G62/100*I13</f>
        <v>0.11073271692745376</v>
      </c>
      <c r="J14" s="76" t="s">
        <v>204</v>
      </c>
      <c r="K14" s="146"/>
      <c r="L14" s="147">
        <f>(HLOOKUP($C$1,$105:$106,2,FALSE)-HLOOKUP($C$1,$117:$127,9,FALSE))/(HLOOKUP($C$1,$117:$128,12,FALSE)/K11)</f>
        <v>7.6380527149393425</v>
      </c>
      <c r="M14" s="148">
        <f>E135/E69</f>
        <v>0.58463726884779521</v>
      </c>
      <c r="N14" s="149">
        <f>F173/100</f>
        <v>1.1037999999999999</v>
      </c>
    </row>
    <row r="15" spans="1:15" s="93" customFormat="1" x14ac:dyDescent="0.25">
      <c r="A15" s="140" t="s">
        <v>375</v>
      </c>
      <c r="B15" s="141">
        <f>$D$62*B10</f>
        <v>74.291399999999996</v>
      </c>
      <c r="C15" s="141">
        <f>$D$62*C10</f>
        <v>77.366099999999989</v>
      </c>
      <c r="D15" s="141">
        <f>$D$62*D10</f>
        <v>79.526700000000005</v>
      </c>
      <c r="E15" s="141">
        <f>$D$62*E10</f>
        <v>83.016900000000007</v>
      </c>
      <c r="F15" s="141">
        <f>$D$62*F10</f>
        <v>88.917000000000002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0.46941678520625885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73.1161197360655</v>
      </c>
      <c r="C16" s="141">
        <f>$F$69*C10</f>
        <v>76.142178382860152</v>
      </c>
      <c r="D16" s="141">
        <f>$F$69*D10</f>
        <v>78.268597972499649</v>
      </c>
      <c r="E16" s="141">
        <f>$F$69*E10</f>
        <v>81.703583463455743</v>
      </c>
      <c r="F16" s="141">
        <f>$F$69*F10</f>
        <v>87.510344650548191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279</v>
      </c>
      <c r="J17" s="92">
        <f ca="1">IF(I17&lt;=0,"",IF(I17&lt;=MIN($B$13:$F$16),(I17-MIN($B$13:$F$16))/MIN($B$13:$F$16),IF(I17&gt;=MAX($B$13:$F$16),I17/MAX($B$13:$F$16),PERCENTRANK($B$13:$F$16,I17))))</f>
        <v>3.1377576841323931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3.6949999999999994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16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1.492929292929293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0.20227827871672099</v>
      </c>
      <c r="J20" s="171">
        <f>HLOOKUP($C$1,$117:$127,11,FALSE)/HLOOKUP($C$1,$105:$115,11,FALSE)</f>
        <v>0.29189361222756688</v>
      </c>
      <c r="K20" s="163"/>
    </row>
    <row r="21" spans="1:14" s="93" customFormat="1" x14ac:dyDescent="0.25">
      <c r="A21" s="151" t="s">
        <v>201</v>
      </c>
      <c r="B21" s="161">
        <f>AVERAGE(C173:F173)/100</f>
        <v>1.18055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3.6060257247704475</v>
      </c>
      <c r="J21" s="78"/>
      <c r="K21" s="164" t="s">
        <v>356</v>
      </c>
      <c r="L21" s="165">
        <f>HLOOKUP($C$1,$105:$115,7,FALSE)/HLOOKUP($C$1,$105:$115,11,FALSE)</f>
        <v>0.71322037654712933</v>
      </c>
      <c r="M21" s="123" t="s">
        <v>268</v>
      </c>
      <c r="N21" s="165">
        <f>HLOOKUP($C$1,$117:$127,8,FALSE)/HLOOKUP($C$1,$117:$127,11,FALSE)</f>
        <v>0.67759521547629331</v>
      </c>
    </row>
    <row r="22" spans="1:14" s="93" customFormat="1" x14ac:dyDescent="0.25">
      <c r="A22" s="140" t="s">
        <v>222</v>
      </c>
      <c r="B22" s="161">
        <f>(-1)*SUM(C133:F133)/SUM(C132:F132)</f>
        <v>0.41028708133971287</v>
      </c>
      <c r="C22" s="157"/>
      <c r="D22" s="166"/>
      <c r="E22" s="140"/>
      <c r="F22" s="159">
        <f>IF(B22&lt;=0,10,IF(B22&gt;=100%,0,(1-B22)*10))</f>
        <v>5.8971291866028714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2.9765521691334618</v>
      </c>
      <c r="J22" s="78"/>
      <c r="K22" s="142" t="s">
        <v>357</v>
      </c>
      <c r="L22" s="165">
        <f>HLOOKUP($C$1,$105:$115,4,FALSE)/HLOOKUP($C$1,$105:$115,11,FALSE)</f>
        <v>0.25818724000060922</v>
      </c>
      <c r="M22" s="123" t="s">
        <v>353</v>
      </c>
      <c r="N22" s="165">
        <f>HLOOKUP($C$1,$117:$127,4,FALSE)/HLOOKUP($C$1,$117:$127,11,FALSE)</f>
        <v>0.30701368497567433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1.412217171413759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0.12450087732151457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1.0100387993232167</v>
      </c>
      <c r="C24" s="169">
        <f>STDEV(C103:F103)</f>
        <v>3.254416652649976E-2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115.38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5.9901154934296735E-2</v>
      </c>
      <c r="M24" s="123" t="s">
        <v>355</v>
      </c>
      <c r="N24" s="165">
        <f>HLOOKUP($C$1,$117:$127,9,FALSE)/HLOOKUP($C$1,$117:$127,11,FALSE)</f>
        <v>0.32240478452370669</v>
      </c>
    </row>
    <row r="25" spans="1:14" s="93" customFormat="1" x14ac:dyDescent="0.25">
      <c r="A25" s="151" t="s">
        <v>366</v>
      </c>
      <c r="B25" s="255">
        <f>AVERAGE(94:94)</f>
        <v>34442.086956521736</v>
      </c>
      <c r="C25" s="254">
        <f>STDEV(94:94)/AVERAGE(94:94)</f>
        <v>1.8171011391268541</v>
      </c>
      <c r="D25" s="76" t="str">
        <f>IF(C25&lt;=1,"高",IF(C25&lt;=2,"中","低"))</f>
        <v>中</v>
      </c>
      <c r="E25" s="149"/>
      <c r="F25" s="160">
        <f>MAX(0,10-ABS(C25))</f>
        <v>8.182898860873145</v>
      </c>
      <c r="G25" s="88" t="s">
        <v>213</v>
      </c>
      <c r="H25" s="123" t="s">
        <v>232</v>
      </c>
      <c r="I25" s="170">
        <f>IF(HLOOKUP(C1,167:170,3,FALSE)="無",0,HLOOKUP(C1,167:170,3,FALSE))</f>
        <v>89.11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113.49260869565219</v>
      </c>
      <c r="C26" s="172">
        <f>IF(COUNTIF(168:168,"&gt;0")=0,0,STDEV(168:168))</f>
        <v>7.7624118893499174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8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84.475652173913033</v>
      </c>
      <c r="C27" s="172">
        <f>IF(COUNTIF(169:169,"&gt;0")=0,0,STDEV(169:169))</f>
        <v>10.364740853703397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0.28007500000000002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0.13792499999999999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15.4725</v>
      </c>
      <c r="C32" s="157" t="s">
        <v>217</v>
      </c>
      <c r="D32" s="174">
        <f>COUNTIF(159:159,"&gt;3")/COUNT(159:159)</f>
        <v>0.78260869565217395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5.33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2.4749999999999996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8.3930581613508437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4837626.75</v>
      </c>
      <c r="C36" s="178">
        <f>STDEV(C97:F97)</f>
        <v>517804.07936810423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28.0075</v>
      </c>
      <c r="C37" s="180">
        <f>STDEV(C152:F152)</f>
        <v>2.3433931950628053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16.535</v>
      </c>
      <c r="C38" s="180">
        <f>STDEV(C153:F153)</f>
        <v>1.3660283061976919</v>
      </c>
      <c r="D38" s="76" t="str">
        <f>IF(C38/B38&lt;15%,"高",IF(C38/B38&lt;30%,"中","低"))</f>
        <v>高</v>
      </c>
      <c r="E38" s="107">
        <f>IF(F153&gt;E153,1,0)+IF(E153&gt;D153,1,0)+IF(D153&gt;C153,1,0)</f>
        <v>3</v>
      </c>
      <c r="F38" s="179"/>
      <c r="G38" s="160">
        <f>IF(D38="高",6,IF(D38="中",4,2))+E38+1</f>
        <v>10</v>
      </c>
    </row>
    <row r="39" spans="1:14" x14ac:dyDescent="0.25">
      <c r="A39" s="142" t="s">
        <v>46</v>
      </c>
      <c r="B39" s="181">
        <f>AVERAGE(C165:F165)</f>
        <v>15.4725</v>
      </c>
      <c r="C39" s="181">
        <f>STDEV(C165:F165)</f>
        <v>2.1236819441714907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5.33</v>
      </c>
      <c r="C40" s="183">
        <f>STDEV(B69:E69)</f>
        <v>1.2678853786258977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-0.25714285714285717</v>
      </c>
      <c r="C44" s="186">
        <f>(C46-C49)/C49</f>
        <v>0.73410404624277459</v>
      </c>
      <c r="D44" s="186">
        <f>(D46-D49)/D49</f>
        <v>0.65979381443298979</v>
      </c>
      <c r="E44" s="186">
        <f>(E46-E49)/E49</f>
        <v>0.63478260869565217</v>
      </c>
      <c r="G44" s="86" t="s">
        <v>175</v>
      </c>
      <c r="H44" s="186">
        <f>(H47-H50)/H50</f>
        <v>1.2232415902140598E-2</v>
      </c>
      <c r="I44" s="186">
        <f>(I47-I50)/I50</f>
        <v>-4.7098001902949535E-2</v>
      </c>
      <c r="J44" s="186">
        <f>(J47-J50)/J50</f>
        <v>0.53306613226452892</v>
      </c>
      <c r="K44" s="186">
        <f>(K47-K50)/K50</f>
        <v>4.5618247298919709E-2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1.82</v>
      </c>
      <c r="C46" s="152">
        <f>HLOOKUP(C45,$81:$82,2,FALSE)</f>
        <v>3</v>
      </c>
      <c r="D46" s="152">
        <f>HLOOKUP(D45,$81:$82,2,FALSE)</f>
        <v>1.61</v>
      </c>
      <c r="E46" s="152">
        <f>HLOOKUP(E45,$81:$82,2,FALSE)</f>
        <v>1.88</v>
      </c>
      <c r="G46" s="86" t="s">
        <v>164</v>
      </c>
      <c r="H46" s="145">
        <f>HLOOKUP(H45,$145:$147,2,FALSE)/100</f>
        <v>0.33490000000000003</v>
      </c>
      <c r="I46" s="145">
        <f>HLOOKUP(I45,$145:$147,2,FALSE)/100</f>
        <v>0.33810000000000001</v>
      </c>
      <c r="J46" s="145">
        <f>HLOOKUP(J45,$145:$147,2,FALSE)/100</f>
        <v>0.35950000000000004</v>
      </c>
      <c r="K46" s="145">
        <f>HLOOKUP(K45,$145:$147,2,FALSE)/100</f>
        <v>0.3196</v>
      </c>
    </row>
    <row r="47" spans="1:14" x14ac:dyDescent="0.25">
      <c r="A47" s="188" t="s">
        <v>165</v>
      </c>
      <c r="B47" s="189">
        <f>HLOOKUP(B45,$157:$159,3,FALSE)</f>
        <v>4.47</v>
      </c>
      <c r="C47" s="189">
        <f>HLOOKUP(C45,$157:$159,3,FALSE)</f>
        <v>7.56</v>
      </c>
      <c r="D47" s="189">
        <f>HLOOKUP(D45,$157:$159,3,FALSE)</f>
        <v>4.01</v>
      </c>
      <c r="E47" s="189">
        <f>HLOOKUP(E45,$157:$159,3,FALSE)</f>
        <v>4.83</v>
      </c>
      <c r="G47" s="190" t="s">
        <v>166</v>
      </c>
      <c r="H47" s="145">
        <f>HLOOKUP(H45,$145:$147,3,FALSE)/100</f>
        <v>0.1986</v>
      </c>
      <c r="I47" s="145">
        <f>HLOOKUP(I45,$145:$147,3,FALSE)/100</f>
        <v>0.20030000000000001</v>
      </c>
      <c r="J47" s="145">
        <f>HLOOKUP(J45,$145:$147,3,FALSE)/100</f>
        <v>0.22949999999999998</v>
      </c>
      <c r="K47" s="145">
        <f>HLOOKUP(K45,$145:$147,3,FALSE)/100</f>
        <v>0.17420000000000002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2.4500000000000002</v>
      </c>
      <c r="C49" s="152">
        <f>HLOOKUP(C48,$81:$82,2,FALSE)</f>
        <v>1.73</v>
      </c>
      <c r="D49" s="152">
        <f>HLOOKUP(D48,$81:$82,2,FALSE)</f>
        <v>0.97</v>
      </c>
      <c r="E49" s="152">
        <f>HLOOKUP(E48,$81:$82,2,FALSE)</f>
        <v>1.1499999999999999</v>
      </c>
      <c r="G49" s="86" t="s">
        <v>164</v>
      </c>
      <c r="H49" s="145">
        <f>HLOOKUP(H48,$145:$147,2,FALSE)/100</f>
        <v>0.31230000000000002</v>
      </c>
      <c r="I49" s="145">
        <f>HLOOKUP(I48,$145:$147,2,FALSE)/100</f>
        <v>0.31679999999999997</v>
      </c>
      <c r="J49" s="145">
        <f>HLOOKUP(J48,$145:$147,2,FALSE)/100</f>
        <v>0.28899999999999998</v>
      </c>
      <c r="K49" s="145">
        <f>HLOOKUP(K48,$145:$147,2,FALSE)/100</f>
        <v>0.30430000000000001</v>
      </c>
    </row>
    <row r="50" spans="1:15" x14ac:dyDescent="0.25">
      <c r="A50" s="188" t="s">
        <v>165</v>
      </c>
      <c r="B50" s="189">
        <f>HLOOKUP(B48,$157:$159,3,FALSE)</f>
        <v>6.59</v>
      </c>
      <c r="C50" s="189">
        <f>HLOOKUP(C48,$157:$159,3,FALSE)</f>
        <v>4.6100000000000003</v>
      </c>
      <c r="D50" s="189">
        <f>HLOOKUP(D48,$157:$159,3,FALSE)</f>
        <v>2.58</v>
      </c>
      <c r="E50" s="189">
        <f>HLOOKUP(E48,$157:$159,3,FALSE)</f>
        <v>3.12</v>
      </c>
      <c r="G50" s="190" t="s">
        <v>166</v>
      </c>
      <c r="H50" s="145">
        <f>HLOOKUP(H48,$145:$147,3,FALSE)/100</f>
        <v>0.19620000000000001</v>
      </c>
      <c r="I50" s="145">
        <f>HLOOKUP(I48,$145:$147,3,FALSE)/100</f>
        <v>0.2102</v>
      </c>
      <c r="J50" s="145">
        <f>HLOOKUP(J48,$145:$147,3,FALSE)/100</f>
        <v>0.1497</v>
      </c>
      <c r="K50" s="145">
        <f>HLOOKUP(K48,$145:$147,3,FALSE)/100</f>
        <v>0.1666</v>
      </c>
    </row>
    <row r="51" spans="1:15" x14ac:dyDescent="0.25">
      <c r="A51" s="86" t="s">
        <v>351</v>
      </c>
      <c r="B51" s="186">
        <f>(B47-B50)/B50</f>
        <v>-0.32169954476479518</v>
      </c>
      <c r="C51" s="186">
        <f>(C47-C50)/C50</f>
        <v>0.63991323210412132</v>
      </c>
      <c r="D51" s="186">
        <f>(D47-D50)/D50</f>
        <v>0.55426356589147274</v>
      </c>
      <c r="E51" s="186">
        <f>(E47-E50)/E50</f>
        <v>0.54807692307692302</v>
      </c>
      <c r="G51" s="235" t="s">
        <v>174</v>
      </c>
      <c r="H51" s="186">
        <f>(H46-H49)/H49</f>
        <v>7.2366314441242419E-2</v>
      </c>
      <c r="I51" s="186">
        <f>(I46-I49)/I49</f>
        <v>6.7234848484848619E-2</v>
      </c>
      <c r="J51" s="186">
        <f>(J46-J49)/J49</f>
        <v>0.24394463667820093</v>
      </c>
      <c r="K51" s="186">
        <f>(K46-K49)/K49</f>
        <v>5.0279329608938481E-2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7.3339679759748035</v>
      </c>
      <c r="B53" s="193">
        <f>B46</f>
        <v>1.82</v>
      </c>
      <c r="C53" s="193">
        <f>E46/HLOOKUP(E45,$87:$94,5,FALSE)*HLOOKUP(E45,$87:$94,4,FALSE)*($B$25/HLOOKUP(E45,$87:$94,4,FALSE)+SUM($B$57:$D$57)/SUM($B58:$D$58)*$G$69/100/K46)</f>
        <v>1.7485368832288024</v>
      </c>
      <c r="D53" s="193">
        <f>D46/HLOOKUP(D45,$87:$94,5,FALSE)*HLOOKUP(D45,$87:$94,4,FALSE)*($B$25/HLOOKUP(D45,$87:$94,4,FALSE)+SUM($B$57:$D$57)/SUM($B58:$D$58)*$G$69/100/J46)</f>
        <v>1.9509047712948795</v>
      </c>
      <c r="E53" s="193">
        <f>C46/HLOOKUP(C45,$87:$94,5,FALSE)*HLOOKUP(C45,$87:$94,4,FALSE)*($B$25/HLOOKUP(C45,$87:$94,4,FALSE)+SUM($B$57:$D$57)/SUM($B58:$D$58)*$G$69/100/I46)</f>
        <v>1.8145263214511214</v>
      </c>
    </row>
    <row r="54" spans="1:15" x14ac:dyDescent="0.25">
      <c r="A54" s="278">
        <f>SUM(B54:E54)</f>
        <v>8.9400000000000013</v>
      </c>
      <c r="B54" s="277">
        <f t="shared" ref="B54:D54" si="0">HLOOKUP(B52-10,81:82,2,FALSE)</f>
        <v>2.4500000000000002</v>
      </c>
      <c r="C54" s="277">
        <f t="shared" si="0"/>
        <v>1.88</v>
      </c>
      <c r="D54" s="277">
        <f t="shared" si="0"/>
        <v>1.61</v>
      </c>
      <c r="E54" s="277">
        <f>HLOOKUP(E52-10,81:82,2,FALSE)</f>
        <v>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476691</v>
      </c>
      <c r="C57" s="196">
        <f>HLOOKUP(C56,78:79,2,FALSE)</f>
        <v>527643</v>
      </c>
      <c r="D57" s="196">
        <f>HLOOKUP(D56,78:79,2,FALSE)</f>
        <v>487315</v>
      </c>
      <c r="E57" s="196">
        <f>HLOOKUP(E56,78:79,2,FALSE)</f>
        <v>482569</v>
      </c>
      <c r="F57" s="196">
        <f>HLOOKUP(F56,78:79,2,FALSE)</f>
        <v>500810</v>
      </c>
      <c r="G57" s="196">
        <f t="shared" ref="G57:M57" si="2">HLOOKUP(G56,78:79,2,FALSE)</f>
        <v>482579</v>
      </c>
      <c r="H57" s="196">
        <f t="shared" si="2"/>
        <v>501235</v>
      </c>
      <c r="I57" s="196">
        <f t="shared" si="2"/>
        <v>491246</v>
      </c>
      <c r="J57" s="196">
        <f t="shared" si="2"/>
        <v>395357</v>
      </c>
      <c r="K57" s="196">
        <f t="shared" si="2"/>
        <v>449503</v>
      </c>
      <c r="L57" s="196">
        <f t="shared" si="2"/>
        <v>516393</v>
      </c>
      <c r="M57" s="196">
        <f t="shared" si="2"/>
        <v>507347</v>
      </c>
      <c r="N57" s="197"/>
    </row>
    <row r="58" spans="1:15" x14ac:dyDescent="0.25">
      <c r="A58" s="198" t="s">
        <v>253</v>
      </c>
      <c r="B58" s="196">
        <f>HLOOKUP(B56-100,78:79,2,FALSE)</f>
        <v>438696</v>
      </c>
      <c r="C58" s="196">
        <f>HLOOKUP(C56-100,78:79,2,FALSE)</f>
        <v>476850</v>
      </c>
      <c r="D58" s="196">
        <f>HLOOKUP(D56-100,78:79,2,FALSE)</f>
        <v>469624</v>
      </c>
      <c r="E58" s="196">
        <f>HLOOKUP(E56-100,78:79,2,FALSE)</f>
        <v>460816</v>
      </c>
      <c r="F58" s="196">
        <f>HLOOKUP(F56-100,78:79,2,FALSE)</f>
        <v>461147</v>
      </c>
      <c r="G58" s="196">
        <f t="shared" ref="G58:M58" si="3">HLOOKUP(G56-100,78:79,2,FALSE)</f>
        <v>460123</v>
      </c>
      <c r="H58" s="196">
        <f t="shared" si="3"/>
        <v>458525</v>
      </c>
      <c r="I58" s="196">
        <f t="shared" si="3"/>
        <v>383974</v>
      </c>
      <c r="J58" s="196">
        <f t="shared" si="3"/>
        <v>316350</v>
      </c>
      <c r="K58" s="196">
        <f t="shared" si="3"/>
        <v>462369</v>
      </c>
      <c r="L58" s="196">
        <f t="shared" si="3"/>
        <v>450743</v>
      </c>
      <c r="M58" s="196">
        <f t="shared" si="3"/>
        <v>446469</v>
      </c>
      <c r="N58" s="197"/>
    </row>
    <row r="59" spans="1:15" x14ac:dyDescent="0.25">
      <c r="A59" s="199" t="s">
        <v>254</v>
      </c>
      <c r="B59" s="165">
        <f>IF(B57&lt;&gt;"",(B57-B58)/B58,"")</f>
        <v>8.660895016138738E-2</v>
      </c>
      <c r="C59" s="165">
        <f>IF(C57&lt;&gt;"",(C57-C58)/C58,"")</f>
        <v>0.1065177728845549</v>
      </c>
      <c r="D59" s="165">
        <f>IF(D57&lt;&gt;"",(D57-D58)/D58,"")</f>
        <v>3.7670561981500095E-2</v>
      </c>
      <c r="E59" s="165">
        <f>IF(E57&lt;&gt;"",(E57-E58)/E58,"")</f>
        <v>4.7205392173882851E-2</v>
      </c>
      <c r="F59" s="165">
        <f>IF(F57&lt;&gt;"",(F57-F58)/F58,"")</f>
        <v>8.6009450348804181E-2</v>
      </c>
      <c r="G59" s="165">
        <f t="shared" ref="G59:M59" si="4">IF(G57&lt;&gt;"",(G57-G58)/G58,"")</f>
        <v>4.8804341447830253E-2</v>
      </c>
      <c r="H59" s="165">
        <f t="shared" si="4"/>
        <v>9.3146502371735454E-2</v>
      </c>
      <c r="I59" s="165">
        <f t="shared" si="4"/>
        <v>0.27937308255246451</v>
      </c>
      <c r="J59" s="165">
        <f t="shared" si="4"/>
        <v>0.2497455350086929</v>
      </c>
      <c r="K59" s="165">
        <f t="shared" si="4"/>
        <v>-2.7826259978502018E-2</v>
      </c>
      <c r="L59" s="165">
        <f t="shared" si="4"/>
        <v>0.14564840718546931</v>
      </c>
      <c r="M59" s="165">
        <f t="shared" si="4"/>
        <v>0.13635437174809451</v>
      </c>
    </row>
    <row r="60" spans="1:15" x14ac:dyDescent="0.25">
      <c r="A60" s="195" t="s">
        <v>255</v>
      </c>
      <c r="B60" s="196">
        <f>SUM(B57:M57)</f>
        <v>5818688</v>
      </c>
    </row>
    <row r="61" spans="1:15" x14ac:dyDescent="0.25">
      <c r="A61" s="198" t="s">
        <v>256</v>
      </c>
      <c r="B61" s="196">
        <f>SUM(B58:M58)</f>
        <v>5285686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1.1008387558398285</v>
      </c>
      <c r="D62" s="152">
        <f>SUM(B46:E46)</f>
        <v>8.31</v>
      </c>
      <c r="E62" s="152">
        <f>SUM(B49:E49)</f>
        <v>6.2999999999999989</v>
      </c>
      <c r="G62" s="126">
        <f>SUM(B47:E47)</f>
        <v>20.869999999999997</v>
      </c>
      <c r="H62" s="126">
        <f>SUM(B50:E50)</f>
        <v>16.899999999999999</v>
      </c>
      <c r="J62" s="200">
        <f>AVERAGE(H46:K46)</f>
        <v>0.33802500000000002</v>
      </c>
      <c r="K62" s="200">
        <f>AVERAGE(H49:K49)</f>
        <v>0.30559999999999998</v>
      </c>
      <c r="M62" s="200">
        <f>AVERAGE(H47:K47)</f>
        <v>0.20065000000000002</v>
      </c>
      <c r="N62" s="200">
        <f>AVERAGE(H50:K50)</f>
        <v>0.180675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0.66</v>
      </c>
      <c r="C65" s="205">
        <f t="shared" si="5"/>
        <v>1.2</v>
      </c>
      <c r="D65" s="205">
        <f t="shared" si="5"/>
        <v>1.0900000000000001</v>
      </c>
      <c r="E65" s="205">
        <f t="shared" si="5"/>
        <v>0.97</v>
      </c>
      <c r="F65" s="206">
        <f>IF(ISNA(HLOOKUP(F$64*10+$A65,$81:$82,2,FALSE)),(HLOOKUP(E$64*10+$A65,$87:$94,4,FALSE)*$G65+$B$25)/HLOOKUP(E$64*10+$A65,$87:$94,5,FALSE)*$E65,HLOOKUP(F$64*10+$A65,$81:$82,2,FALSE))</f>
        <v>1.61</v>
      </c>
      <c r="G65" s="101">
        <f>MIN(130%,SUM($B$57:$D$57)/SUM($B$58:$D$58)*$G$69/HLOOKUP(E$64*10+$A65,$145:$146,2,FALSE))</f>
        <v>1.2435567303901924</v>
      </c>
      <c r="H65" s="204">
        <v>1</v>
      </c>
      <c r="I65" s="208">
        <f t="shared" ref="I65:M68" si="6">IF(ISNA(HLOOKUP(I$64*10+$H65,$145:$147,3,FALSE)),"",HLOOKUP(I$64*10+$H65,$145:$147,3,FALSE)/100)</f>
        <v>0.11939999999999999</v>
      </c>
      <c r="J65" s="208">
        <f t="shared" si="6"/>
        <v>0.16519999999999999</v>
      </c>
      <c r="K65" s="208">
        <f t="shared" si="6"/>
        <v>0.15609999999999999</v>
      </c>
      <c r="L65" s="208">
        <f t="shared" si="6"/>
        <v>0.1497</v>
      </c>
      <c r="M65" s="209">
        <f t="shared" si="6"/>
        <v>0.22949999999999998</v>
      </c>
      <c r="N65" s="256">
        <f t="shared" ref="N65:O68" si="7">HLOOKUP(E$64*10+$A65,$87:$94,8,FALSE)</f>
        <v>2243</v>
      </c>
      <c r="O65" s="256">
        <f t="shared" si="7"/>
        <v>-25480</v>
      </c>
      <c r="P65" s="210"/>
    </row>
    <row r="66" spans="1:71" x14ac:dyDescent="0.25">
      <c r="A66" s="204">
        <v>2</v>
      </c>
      <c r="B66" s="205">
        <f t="shared" si="5"/>
        <v>0.94</v>
      </c>
      <c r="C66" s="205">
        <f t="shared" si="5"/>
        <v>0.84</v>
      </c>
      <c r="D66" s="205">
        <f t="shared" si="5"/>
        <v>1.05</v>
      </c>
      <c r="E66" s="205">
        <f t="shared" si="5"/>
        <v>1.73</v>
      </c>
      <c r="F66" s="206">
        <f>IF(ISNA(HLOOKUP(F$64*10+$A66,$81:$82,2,FALSE)),(HLOOKUP(E$64*10+$A66,$87:$94,4,FALSE)*$G66+$B$25)/HLOOKUP(E$64*10+$A66,$87:$94,5,FALSE)*$E66,HLOOKUP(F$64*10+$A66,$81:$82,2,FALSE))</f>
        <v>3</v>
      </c>
      <c r="G66" s="101">
        <f>MIN(130%,SUM($B$57:$D$57)/SUM($B$58:$D$58)*$G$69/HLOOKUP(E$64*10+$A66,$145:$146,2,FALSE))</f>
        <v>1.1344314870036791</v>
      </c>
      <c r="H66" s="204">
        <v>2</v>
      </c>
      <c r="I66" s="208">
        <f t="shared" si="6"/>
        <v>0.13880000000000001</v>
      </c>
      <c r="J66" s="208">
        <f t="shared" si="6"/>
        <v>0.1434</v>
      </c>
      <c r="K66" s="208">
        <f t="shared" si="6"/>
        <v>0.16059999999999999</v>
      </c>
      <c r="L66" s="208">
        <f t="shared" si="6"/>
        <v>0.2102</v>
      </c>
      <c r="M66" s="209">
        <f t="shared" si="6"/>
        <v>0.20030000000000001</v>
      </c>
      <c r="N66" s="256">
        <f t="shared" si="7"/>
        <v>35599</v>
      </c>
      <c r="O66" s="256">
        <f t="shared" si="7"/>
        <v>281235</v>
      </c>
      <c r="P66" s="210"/>
    </row>
    <row r="67" spans="1:71" x14ac:dyDescent="0.25">
      <c r="A67" s="204">
        <v>3</v>
      </c>
      <c r="B67" s="205">
        <f t="shared" si="5"/>
        <v>1.1599999999999999</v>
      </c>
      <c r="C67" s="205">
        <f t="shared" si="5"/>
        <v>1.42</v>
      </c>
      <c r="D67" s="205">
        <f t="shared" si="5"/>
        <v>2.11</v>
      </c>
      <c r="E67" s="205">
        <f t="shared" si="5"/>
        <v>2.4500000000000002</v>
      </c>
      <c r="F67" s="206">
        <f>IF(ISNA(HLOOKUP(F$64*10+$A67,$81:$82,2,FALSE)),(HLOOKUP(E$64*10+$A67,$87:$94,4,FALSE)*$G67+$B$25)/HLOOKUP(E$64*10+$A67,$87:$94,5,FALSE)*$E67,HLOOKUP(F$64*10+$A67,$81:$82,2,FALSE))</f>
        <v>1.82</v>
      </c>
      <c r="G67" s="101">
        <f>MIN(130%,SUM($B$57:$D$57)/SUM($B$58:$D$58)*$G$69/HLOOKUP(E$64*10+$A67,$145:$146,2,FALSE))</f>
        <v>1.1507777620325506</v>
      </c>
      <c r="H67" s="204">
        <v>3</v>
      </c>
      <c r="I67" s="208">
        <f t="shared" si="6"/>
        <v>0.151</v>
      </c>
      <c r="J67" s="208">
        <f t="shared" si="6"/>
        <v>0.161</v>
      </c>
      <c r="K67" s="208">
        <f t="shared" si="6"/>
        <v>0.1827</v>
      </c>
      <c r="L67" s="208">
        <f t="shared" si="6"/>
        <v>0.19620000000000001</v>
      </c>
      <c r="M67" s="209">
        <f t="shared" si="6"/>
        <v>0.1986</v>
      </c>
      <c r="N67" s="256">
        <f t="shared" si="7"/>
        <v>96774</v>
      </c>
      <c r="O67" s="256">
        <f t="shared" si="7"/>
        <v>-989</v>
      </c>
      <c r="P67" s="210"/>
    </row>
    <row r="68" spans="1:71" x14ac:dyDescent="0.25">
      <c r="A68" s="204">
        <v>4</v>
      </c>
      <c r="B68" s="205">
        <f>HLOOKUP(B$64*10+$A68,$81:$82,2,FALSE)</f>
        <v>1.26</v>
      </c>
      <c r="C68" s="205">
        <f>HLOOKUP(C$64*10+$A68,$81:$82,2,FALSE)</f>
        <v>1.41</v>
      </c>
      <c r="D68" s="205">
        <f>HLOOKUP(D$64*10+$A68,$81:$82,2,FALSE)</f>
        <v>1.1499999999999999</v>
      </c>
      <c r="E68" s="206">
        <f>IF(ISNA(HLOOKUP(E$64*10+$A68,$81:$82,2,FALSE)),D68*(1-$N68)*#REF!*(1+$B$25)/(1+$E$4),HLOOKUP(E$64*10+$A68,$81:$82,2,FALSE))</f>
        <v>1.88</v>
      </c>
      <c r="F68" s="206">
        <f>IF(ISNA(HLOOKUP(F$64*10+$A68,$81:$82,2,FALSE)),(HLOOKUP(E$64*10+$A68,$87:$94,4,FALSE)*$G68+$B$25)/HLOOKUP(E$64*10+$A68,$87:$94,5,FALSE)*$E68,HLOOKUP(F$64*10+$A68,$81:$82,2,FALSE))</f>
        <v>1.7485368832288026</v>
      </c>
      <c r="G68" s="101">
        <f>MIN(130%,SUM($B$57:$D$57)/SUM($B$58:$D$58)*$G$69/HLOOKUP(E$64*10+$A68,$145:$146,2,FALSE))</f>
        <v>1.1244927881187909</v>
      </c>
      <c r="H68" s="204">
        <v>4</v>
      </c>
      <c r="I68" s="208">
        <f t="shared" si="6"/>
        <v>0.19839999999999999</v>
      </c>
      <c r="J68" s="208">
        <f t="shared" si="6"/>
        <v>0.15759999999999999</v>
      </c>
      <c r="K68" s="208">
        <f t="shared" si="6"/>
        <v>0.1666</v>
      </c>
      <c r="L68" s="208">
        <f t="shared" si="6"/>
        <v>0.17420000000000002</v>
      </c>
      <c r="M68" s="209" t="str">
        <f t="shared" si="6"/>
        <v/>
      </c>
      <c r="N68" s="256">
        <f t="shared" si="7"/>
        <v>90111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4.0199999999999996</v>
      </c>
      <c r="C69" s="213">
        <f>SUM(C65:C68)</f>
        <v>4.87</v>
      </c>
      <c r="D69" s="213">
        <f>SUM(D65:D68)</f>
        <v>5.4</v>
      </c>
      <c r="E69" s="213">
        <f>SUM(E65:E68)</f>
        <v>7.03</v>
      </c>
      <c r="F69" s="213">
        <f>SUM(F65:F68)</f>
        <v>8.1785368832288032</v>
      </c>
      <c r="G69" s="257">
        <f>_xlfn.FORECAST.ETS(23,B146:W146,{1,2,3,4,5,6,7,8,9,10,11,12,13,14,15,16,17,18,19,20,21,22})</f>
        <v>33.373355972604436</v>
      </c>
      <c r="H69" s="214" t="s">
        <v>19</v>
      </c>
      <c r="I69" s="215">
        <f>HLOOKUP(I64,151:155,3,FALSE)/100</f>
        <v>0.1537</v>
      </c>
      <c r="J69" s="215">
        <f>HLOOKUP(J64,151:155,3,FALSE)/100</f>
        <v>0.15659999999999999</v>
      </c>
      <c r="K69" s="215">
        <f>HLOOKUP(K64,151:155,3,FALSE)/100</f>
        <v>0.16719999999999999</v>
      </c>
      <c r="L69" s="215">
        <f>IF(ISNA(HLOOKUP(L64,151:155,3,FALSE)/100),AVERAGE(L65:L68),HLOOKUP(L64,151:155,3,FALSE)/100)</f>
        <v>0.18390000000000001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2.25</v>
      </c>
      <c r="C72" s="205">
        <f t="shared" si="8"/>
        <v>3.9</v>
      </c>
      <c r="D72" s="205">
        <f t="shared" si="8"/>
        <v>3.1</v>
      </c>
      <c r="E72" s="205">
        <f t="shared" si="8"/>
        <v>2.58</v>
      </c>
      <c r="F72" s="205">
        <f t="shared" si="8"/>
        <v>4.01</v>
      </c>
    </row>
    <row r="73" spans="1:71" s="135" customFormat="1" x14ac:dyDescent="0.25">
      <c r="A73" s="204">
        <v>2</v>
      </c>
      <c r="B73" s="205">
        <f t="shared" si="8"/>
        <v>3.14</v>
      </c>
      <c r="C73" s="205">
        <f t="shared" si="8"/>
        <v>2.81</v>
      </c>
      <c r="D73" s="205">
        <f t="shared" si="8"/>
        <v>3.01</v>
      </c>
      <c r="E73" s="205">
        <f t="shared" si="8"/>
        <v>4.6100000000000003</v>
      </c>
      <c r="F73" s="205">
        <f t="shared" si="8"/>
        <v>7.56</v>
      </c>
    </row>
    <row r="74" spans="1:71" s="135" customFormat="1" x14ac:dyDescent="0.25">
      <c r="A74" s="204">
        <v>3</v>
      </c>
      <c r="B74" s="205">
        <f t="shared" si="8"/>
        <v>3.64</v>
      </c>
      <c r="C74" s="205">
        <f t="shared" si="8"/>
        <v>4.84</v>
      </c>
      <c r="D74" s="205">
        <f t="shared" si="8"/>
        <v>6.02</v>
      </c>
      <c r="E74" s="205">
        <f t="shared" si="8"/>
        <v>6.59</v>
      </c>
      <c r="F74" s="205">
        <f t="shared" si="8"/>
        <v>4.47</v>
      </c>
    </row>
    <row r="75" spans="1:71" s="135" customFormat="1" x14ac:dyDescent="0.25">
      <c r="A75" s="204">
        <v>4</v>
      </c>
      <c r="B75" s="205">
        <f t="shared" si="8"/>
        <v>4.28</v>
      </c>
      <c r="C75" s="205">
        <f t="shared" si="8"/>
        <v>4.29</v>
      </c>
      <c r="D75" s="205">
        <f t="shared" si="8"/>
        <v>3.12</v>
      </c>
      <c r="E75" s="205">
        <f t="shared" si="8"/>
        <v>4.83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13.310000000000002</v>
      </c>
      <c r="C76" s="213">
        <f>SUM(C72:C75)</f>
        <v>15.84</v>
      </c>
      <c r="D76" s="213">
        <f>SUM(D72:D75)</f>
        <v>15.25</v>
      </c>
      <c r="E76" s="213">
        <f>AVERAGE(E72:E75)*4</f>
        <v>18.61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270145</v>
      </c>
      <c r="C79" s="270">
        <v>315388</v>
      </c>
      <c r="D79" s="270">
        <v>371813</v>
      </c>
      <c r="E79" s="270">
        <v>363004</v>
      </c>
      <c r="F79" s="270">
        <v>366944</v>
      </c>
      <c r="G79" s="270">
        <v>371690</v>
      </c>
      <c r="H79" s="270">
        <v>349585</v>
      </c>
      <c r="I79" s="270">
        <v>356397</v>
      </c>
      <c r="J79" s="270">
        <v>362031</v>
      </c>
      <c r="K79" s="270">
        <v>313900</v>
      </c>
      <c r="L79" s="270">
        <v>349614</v>
      </c>
      <c r="M79" s="270">
        <v>343657</v>
      </c>
      <c r="N79" s="270">
        <v>366195</v>
      </c>
      <c r="O79" s="270">
        <v>240146</v>
      </c>
      <c r="P79" s="270">
        <v>280850</v>
      </c>
      <c r="Q79" s="270">
        <v>366941</v>
      </c>
      <c r="R79" s="270">
        <v>385379</v>
      </c>
      <c r="S79" s="270">
        <v>358127</v>
      </c>
      <c r="T79" s="270">
        <v>392579</v>
      </c>
      <c r="U79" s="270">
        <v>372693</v>
      </c>
      <c r="V79" s="270">
        <v>370802</v>
      </c>
      <c r="W79" s="270">
        <v>363219</v>
      </c>
      <c r="X79" s="270">
        <v>381002</v>
      </c>
      <c r="Y79" s="270">
        <v>383974</v>
      </c>
      <c r="Z79" s="270">
        <v>361943</v>
      </c>
      <c r="AA79" s="270">
        <v>284361</v>
      </c>
      <c r="AB79" s="270">
        <v>359219</v>
      </c>
      <c r="AC79" s="270">
        <v>375604</v>
      </c>
      <c r="AD79" s="270">
        <v>393608</v>
      </c>
      <c r="AE79" s="270">
        <v>363480</v>
      </c>
      <c r="AF79" s="270">
        <v>402383</v>
      </c>
      <c r="AG79" s="270">
        <v>423472</v>
      </c>
      <c r="AH79" s="270">
        <v>405286</v>
      </c>
      <c r="AI79" s="270">
        <v>372233</v>
      </c>
      <c r="AJ79" s="270">
        <v>395942</v>
      </c>
      <c r="AK79" s="270">
        <v>419139</v>
      </c>
      <c r="AL79" s="270">
        <v>419602</v>
      </c>
      <c r="AM79" s="270">
        <v>284560</v>
      </c>
      <c r="AN79" s="270">
        <v>399362</v>
      </c>
      <c r="AO79" s="270">
        <v>420508</v>
      </c>
      <c r="AP79" s="270">
        <v>428066</v>
      </c>
      <c r="AQ79" s="270">
        <v>444437</v>
      </c>
      <c r="AR79" s="270">
        <v>465791</v>
      </c>
      <c r="AS79" s="270">
        <v>454696</v>
      </c>
      <c r="AT79" s="270">
        <v>473639</v>
      </c>
      <c r="AU79" s="270">
        <v>434223</v>
      </c>
      <c r="AV79" s="270">
        <v>446469</v>
      </c>
      <c r="AW79" s="270">
        <v>450743</v>
      </c>
      <c r="AX79" s="270">
        <v>462369</v>
      </c>
      <c r="AY79" s="270">
        <v>316350</v>
      </c>
      <c r="AZ79" s="270">
        <v>383974</v>
      </c>
      <c r="BA79" s="270">
        <v>458525</v>
      </c>
      <c r="BB79" s="270">
        <v>460123</v>
      </c>
      <c r="BC79" s="270">
        <v>461147</v>
      </c>
      <c r="BD79" s="270">
        <v>460816</v>
      </c>
      <c r="BE79" s="270">
        <v>469624</v>
      </c>
      <c r="BF79" s="270">
        <v>476850</v>
      </c>
      <c r="BG79" s="270">
        <v>438696</v>
      </c>
      <c r="BH79" s="270">
        <v>507347</v>
      </c>
      <c r="BI79" s="270">
        <v>516393</v>
      </c>
      <c r="BJ79" s="270">
        <v>449503</v>
      </c>
      <c r="BK79" s="270">
        <v>395357</v>
      </c>
      <c r="BL79" s="270">
        <v>491246</v>
      </c>
      <c r="BM79" s="270">
        <v>501235</v>
      </c>
      <c r="BN79" s="270">
        <v>482579</v>
      </c>
      <c r="BO79" s="270">
        <v>500810</v>
      </c>
      <c r="BP79" s="270">
        <v>482569</v>
      </c>
      <c r="BQ79" s="270">
        <v>487315</v>
      </c>
      <c r="BR79" s="270">
        <v>527643</v>
      </c>
      <c r="BS79" s="270">
        <v>476691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0.68</v>
      </c>
      <c r="C82" s="72">
        <v>0.9</v>
      </c>
      <c r="D82" s="72">
        <v>1.05</v>
      </c>
      <c r="E82" s="72">
        <v>0.76</v>
      </c>
      <c r="F82" s="72">
        <v>0.66</v>
      </c>
      <c r="G82" s="72">
        <v>0.94</v>
      </c>
      <c r="H82" s="72">
        <v>1.1599999999999999</v>
      </c>
      <c r="I82" s="72">
        <v>1.26</v>
      </c>
      <c r="J82" s="72">
        <v>1.2</v>
      </c>
      <c r="K82" s="72">
        <v>0.84</v>
      </c>
      <c r="L82" s="72">
        <v>1.42</v>
      </c>
      <c r="M82" s="72">
        <v>1.41</v>
      </c>
      <c r="N82" s="72">
        <v>1.0900000000000001</v>
      </c>
      <c r="O82" s="72">
        <v>1.05</v>
      </c>
      <c r="P82" s="72">
        <v>2.11</v>
      </c>
      <c r="Q82" s="72">
        <v>1.1499999999999999</v>
      </c>
      <c r="R82" s="72">
        <v>0.97</v>
      </c>
      <c r="S82" s="72">
        <v>1.73</v>
      </c>
      <c r="T82" s="72">
        <v>2.4500000000000002</v>
      </c>
      <c r="U82" s="72">
        <v>1.88</v>
      </c>
      <c r="V82" s="72">
        <v>1.61</v>
      </c>
      <c r="W82" s="72">
        <v>3</v>
      </c>
      <c r="X82" s="72">
        <v>1.82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25.57</v>
      </c>
      <c r="C85" s="72">
        <v>25.01</v>
      </c>
      <c r="D85" s="72">
        <v>25.71</v>
      </c>
      <c r="E85" s="72">
        <v>26.46</v>
      </c>
      <c r="F85" s="72">
        <v>27.19</v>
      </c>
      <c r="G85" s="72">
        <v>26.53</v>
      </c>
      <c r="H85" s="72">
        <v>27.57</v>
      </c>
      <c r="I85" s="72">
        <v>29.17</v>
      </c>
      <c r="J85" s="72">
        <v>30.53</v>
      </c>
      <c r="K85" s="72">
        <v>29.01</v>
      </c>
      <c r="L85" s="72">
        <v>30.74</v>
      </c>
      <c r="M85" s="72">
        <v>33.07</v>
      </c>
      <c r="N85" s="72">
        <v>33.79</v>
      </c>
      <c r="O85" s="72">
        <v>32.619999999999997</v>
      </c>
      <c r="P85" s="72">
        <v>35.340000000000003</v>
      </c>
      <c r="Q85" s="72">
        <v>35.79</v>
      </c>
      <c r="R85" s="72">
        <v>36.53</v>
      </c>
      <c r="S85" s="72">
        <v>35.049999999999997</v>
      </c>
      <c r="T85" s="72">
        <v>36.64</v>
      </c>
      <c r="U85" s="72">
        <v>38.18</v>
      </c>
      <c r="V85" s="72">
        <v>38.42</v>
      </c>
      <c r="W85" s="72">
        <v>38.67</v>
      </c>
      <c r="X85" s="72">
        <v>40.99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958669</v>
      </c>
      <c r="C88" s="273">
        <v>1104388</v>
      </c>
      <c r="D88" s="273">
        <v>1052857</v>
      </c>
      <c r="E88" s="273">
        <v>1006696</v>
      </c>
      <c r="F88" s="273">
        <v>891802</v>
      </c>
      <c r="G88" s="273">
        <v>1124387</v>
      </c>
      <c r="H88" s="273">
        <v>1124743</v>
      </c>
      <c r="I88" s="273">
        <v>1129290</v>
      </c>
      <c r="J88" s="273">
        <v>1005005</v>
      </c>
      <c r="K88" s="273">
        <v>1133381</v>
      </c>
      <c r="L88" s="273">
        <v>1230908</v>
      </c>
      <c r="M88" s="273">
        <v>1186678</v>
      </c>
      <c r="N88" s="273">
        <v>1102413</v>
      </c>
      <c r="O88" s="273">
        <v>1297383</v>
      </c>
      <c r="P88" s="273">
        <v>1396948</v>
      </c>
      <c r="Q88" s="273">
        <v>1319408</v>
      </c>
      <c r="R88" s="273">
        <v>1162353</v>
      </c>
      <c r="S88" s="273">
        <v>1380231</v>
      </c>
      <c r="T88" s="273">
        <v>1407807</v>
      </c>
      <c r="U88" s="273">
        <v>1457770</v>
      </c>
      <c r="V88" s="273">
        <v>1342107</v>
      </c>
      <c r="W88" s="273">
        <v>1478597</v>
      </c>
      <c r="X88" s="273">
        <v>1501773</v>
      </c>
    </row>
    <row r="89" spans="1:25" ht="14.25" thickBot="1" x14ac:dyDescent="0.3">
      <c r="A89" s="250" t="s">
        <v>4</v>
      </c>
      <c r="B89" s="275">
        <v>206510</v>
      </c>
      <c r="C89" s="275">
        <v>278925</v>
      </c>
      <c r="D89" s="275">
        <v>264593</v>
      </c>
      <c r="E89" s="275">
        <v>216182</v>
      </c>
      <c r="F89" s="275">
        <v>200812</v>
      </c>
      <c r="G89" s="275">
        <v>265344</v>
      </c>
      <c r="H89" s="275">
        <v>292553</v>
      </c>
      <c r="I89" s="275">
        <v>330524</v>
      </c>
      <c r="J89" s="275">
        <v>279561</v>
      </c>
      <c r="K89" s="275">
        <v>291499</v>
      </c>
      <c r="L89" s="275">
        <v>327623</v>
      </c>
      <c r="M89" s="275">
        <v>334503</v>
      </c>
      <c r="N89" s="275">
        <v>304983</v>
      </c>
      <c r="O89" s="275">
        <v>340454</v>
      </c>
      <c r="P89" s="275">
        <v>406411</v>
      </c>
      <c r="Q89" s="275">
        <v>401454</v>
      </c>
      <c r="R89" s="275">
        <v>335927</v>
      </c>
      <c r="S89" s="275">
        <v>437276</v>
      </c>
      <c r="T89" s="275">
        <v>439697</v>
      </c>
      <c r="U89" s="275">
        <v>465839</v>
      </c>
      <c r="V89" s="275">
        <v>482487</v>
      </c>
      <c r="W89" s="275">
        <v>499952</v>
      </c>
      <c r="X89" s="275">
        <v>503017</v>
      </c>
    </row>
    <row r="90" spans="1:25" ht="14.25" thickBot="1" x14ac:dyDescent="0.3">
      <c r="A90" s="251" t="s">
        <v>5</v>
      </c>
      <c r="B90" s="273">
        <v>114642</v>
      </c>
      <c r="C90" s="273">
        <v>150128</v>
      </c>
      <c r="D90" s="273">
        <v>160278</v>
      </c>
      <c r="E90" s="273">
        <v>113777</v>
      </c>
      <c r="F90" s="273">
        <v>106468</v>
      </c>
      <c r="G90" s="273">
        <v>156078</v>
      </c>
      <c r="H90" s="273">
        <v>169875</v>
      </c>
      <c r="I90" s="273">
        <v>224047</v>
      </c>
      <c r="J90" s="273">
        <v>166050</v>
      </c>
      <c r="K90" s="273">
        <v>162484</v>
      </c>
      <c r="L90" s="273">
        <v>198130</v>
      </c>
      <c r="M90" s="273">
        <v>186982</v>
      </c>
      <c r="N90" s="273">
        <v>172091</v>
      </c>
      <c r="O90" s="273">
        <v>208359</v>
      </c>
      <c r="P90" s="273">
        <v>255290</v>
      </c>
      <c r="Q90" s="273">
        <v>219800</v>
      </c>
      <c r="R90" s="273">
        <v>173977</v>
      </c>
      <c r="S90" s="273">
        <v>290151</v>
      </c>
      <c r="T90" s="273">
        <v>276244</v>
      </c>
      <c r="U90" s="273">
        <v>253923</v>
      </c>
      <c r="V90" s="273">
        <v>308022</v>
      </c>
      <c r="W90" s="273">
        <v>296124</v>
      </c>
      <c r="X90" s="273">
        <v>298238</v>
      </c>
    </row>
    <row r="91" spans="1:25" ht="14.25" thickBot="1" x14ac:dyDescent="0.3">
      <c r="A91" s="250" t="s">
        <v>6</v>
      </c>
      <c r="B91" s="275">
        <v>106280</v>
      </c>
      <c r="C91" s="275">
        <v>176011</v>
      </c>
      <c r="D91" s="275">
        <v>163134</v>
      </c>
      <c r="E91" s="275">
        <v>112986</v>
      </c>
      <c r="F91" s="275">
        <v>111018</v>
      </c>
      <c r="G91" s="275">
        <v>166923</v>
      </c>
      <c r="H91" s="275">
        <v>174525</v>
      </c>
      <c r="I91" s="275">
        <v>251807</v>
      </c>
      <c r="J91" s="275">
        <v>198658</v>
      </c>
      <c r="K91" s="275">
        <v>166035</v>
      </c>
      <c r="L91" s="275">
        <v>237803</v>
      </c>
      <c r="M91" s="275">
        <v>231115</v>
      </c>
      <c r="N91" s="275">
        <v>176699</v>
      </c>
      <c r="O91" s="275">
        <v>219570</v>
      </c>
      <c r="P91" s="275">
        <v>345642</v>
      </c>
      <c r="Q91" s="275">
        <v>238948</v>
      </c>
      <c r="R91" s="275">
        <v>176220</v>
      </c>
      <c r="S91" s="275">
        <v>325750</v>
      </c>
      <c r="T91" s="275">
        <v>373018</v>
      </c>
      <c r="U91" s="275">
        <v>344034</v>
      </c>
      <c r="V91" s="275">
        <v>282542</v>
      </c>
      <c r="W91" s="275">
        <v>577359</v>
      </c>
      <c r="X91" s="275">
        <v>297249</v>
      </c>
    </row>
    <row r="92" spans="1:25" ht="14.25" thickBot="1" x14ac:dyDescent="0.3">
      <c r="A92" s="251" t="s">
        <v>7</v>
      </c>
      <c r="B92" s="273">
        <v>78361</v>
      </c>
      <c r="C92" s="273">
        <v>118721</v>
      </c>
      <c r="D92" s="273">
        <v>129484</v>
      </c>
      <c r="E92" s="273">
        <v>87829</v>
      </c>
      <c r="F92" s="273">
        <v>80547</v>
      </c>
      <c r="G92" s="273">
        <v>112385</v>
      </c>
      <c r="H92" s="273">
        <v>130479</v>
      </c>
      <c r="I92" s="273">
        <v>160278</v>
      </c>
      <c r="J92" s="273">
        <v>153633</v>
      </c>
      <c r="K92" s="273">
        <v>110443</v>
      </c>
      <c r="L92" s="273">
        <v>190948</v>
      </c>
      <c r="M92" s="273">
        <v>180546</v>
      </c>
      <c r="N92" s="273">
        <v>136699</v>
      </c>
      <c r="O92" s="273">
        <v>131984</v>
      </c>
      <c r="P92" s="273">
        <v>269744</v>
      </c>
      <c r="Q92" s="273">
        <v>146466</v>
      </c>
      <c r="R92" s="273">
        <v>123617</v>
      </c>
      <c r="S92" s="273">
        <v>218184</v>
      </c>
      <c r="T92" s="273">
        <v>312092</v>
      </c>
      <c r="U92" s="273">
        <v>238422</v>
      </c>
      <c r="V92" s="273">
        <v>202442</v>
      </c>
      <c r="W92" s="273">
        <v>384039</v>
      </c>
      <c r="X92" s="273">
        <v>234154</v>
      </c>
    </row>
    <row r="93" spans="1:25" ht="26.25" thickBot="1" x14ac:dyDescent="0.3">
      <c r="A93" s="252" t="s">
        <v>8</v>
      </c>
      <c r="B93" s="276">
        <v>86548</v>
      </c>
      <c r="C93" s="276">
        <v>114481</v>
      </c>
      <c r="D93" s="276">
        <v>133734</v>
      </c>
      <c r="E93" s="276">
        <v>96110</v>
      </c>
      <c r="F93" s="276">
        <v>83924</v>
      </c>
      <c r="G93" s="276">
        <v>118886</v>
      </c>
      <c r="H93" s="276">
        <v>146963</v>
      </c>
      <c r="I93" s="276">
        <v>159382</v>
      </c>
      <c r="J93" s="276">
        <v>151975</v>
      </c>
      <c r="K93" s="276">
        <v>106413</v>
      </c>
      <c r="L93" s="276">
        <v>180676</v>
      </c>
      <c r="M93" s="276">
        <v>179676</v>
      </c>
      <c r="N93" s="276">
        <v>138854</v>
      </c>
      <c r="O93" s="276">
        <v>134198</v>
      </c>
      <c r="P93" s="276">
        <v>269020</v>
      </c>
      <c r="Q93" s="276">
        <v>146071</v>
      </c>
      <c r="R93" s="276">
        <v>124893</v>
      </c>
      <c r="S93" s="276">
        <v>221379</v>
      </c>
      <c r="T93" s="276">
        <v>313980</v>
      </c>
      <c r="U93" s="276">
        <v>240301</v>
      </c>
      <c r="V93" s="276">
        <v>205794</v>
      </c>
      <c r="W93" s="276">
        <v>383714</v>
      </c>
      <c r="X93" s="276">
        <v>233272</v>
      </c>
    </row>
    <row r="94" spans="1:25" x14ac:dyDescent="0.25">
      <c r="A94" s="233" t="s">
        <v>365</v>
      </c>
      <c r="B94" s="253">
        <f>IF(B91="","",B91-B90)</f>
        <v>-8362</v>
      </c>
      <c r="C94" s="253">
        <f>IF(C91="","",C91-C90)</f>
        <v>25883</v>
      </c>
      <c r="D94" s="253">
        <f t="shared" ref="D94:Y94" si="9">IF(D91="","",D91-D90)</f>
        <v>2856</v>
      </c>
      <c r="E94" s="253">
        <f t="shared" si="9"/>
        <v>-791</v>
      </c>
      <c r="F94" s="253">
        <f t="shared" si="9"/>
        <v>4550</v>
      </c>
      <c r="G94" s="253">
        <f t="shared" si="9"/>
        <v>10845</v>
      </c>
      <c r="H94" s="253">
        <f t="shared" si="9"/>
        <v>4650</v>
      </c>
      <c r="I94" s="253">
        <f t="shared" si="9"/>
        <v>27760</v>
      </c>
      <c r="J94" s="253">
        <f t="shared" si="9"/>
        <v>32608</v>
      </c>
      <c r="K94" s="253">
        <f t="shared" si="9"/>
        <v>3551</v>
      </c>
      <c r="L94" s="253">
        <f t="shared" si="9"/>
        <v>39673</v>
      </c>
      <c r="M94" s="253">
        <f t="shared" si="9"/>
        <v>44133</v>
      </c>
      <c r="N94" s="253">
        <f t="shared" si="9"/>
        <v>4608</v>
      </c>
      <c r="O94" s="253">
        <f t="shared" si="9"/>
        <v>11211</v>
      </c>
      <c r="P94" s="253">
        <f t="shared" si="9"/>
        <v>90352</v>
      </c>
      <c r="Q94" s="253">
        <f t="shared" si="9"/>
        <v>19148</v>
      </c>
      <c r="R94" s="253">
        <f t="shared" si="9"/>
        <v>2243</v>
      </c>
      <c r="S94" s="253">
        <f t="shared" si="9"/>
        <v>35599</v>
      </c>
      <c r="T94" s="253">
        <f t="shared" si="9"/>
        <v>96774</v>
      </c>
      <c r="U94" s="253">
        <f t="shared" si="9"/>
        <v>90111</v>
      </c>
      <c r="V94" s="253">
        <f t="shared" si="9"/>
        <v>-25480</v>
      </c>
      <c r="W94" s="253">
        <f t="shared" si="9"/>
        <v>281235</v>
      </c>
      <c r="X94" s="253">
        <f t="shared" si="9"/>
        <v>-989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4122610</v>
      </c>
      <c r="C97" s="273">
        <v>4270222</v>
      </c>
      <c r="D97" s="273">
        <v>4555972</v>
      </c>
      <c r="E97" s="273">
        <v>5116152</v>
      </c>
      <c r="F97" s="273">
        <v>5408161</v>
      </c>
    </row>
    <row r="98" spans="1:24" ht="14.25" thickBot="1" x14ac:dyDescent="0.3">
      <c r="A98" s="225" t="s">
        <v>4</v>
      </c>
      <c r="B98" s="275">
        <v>966210</v>
      </c>
      <c r="C98" s="275">
        <v>1089233</v>
      </c>
      <c r="D98" s="275">
        <v>1233163</v>
      </c>
      <c r="E98" s="275">
        <v>1453302</v>
      </c>
      <c r="F98" s="275">
        <v>1678739</v>
      </c>
    </row>
    <row r="99" spans="1:24" ht="14.25" thickBot="1" x14ac:dyDescent="0.3">
      <c r="A99" s="224" t="s">
        <v>5</v>
      </c>
      <c r="B99" s="273">
        <v>538825</v>
      </c>
      <c r="C99" s="273">
        <v>656468</v>
      </c>
      <c r="D99" s="273">
        <v>713616</v>
      </c>
      <c r="E99" s="273">
        <v>855540</v>
      </c>
      <c r="F99" s="273">
        <v>994295</v>
      </c>
    </row>
    <row r="100" spans="1:24" ht="14.25" thickBot="1" x14ac:dyDescent="0.3">
      <c r="A100" s="225" t="s">
        <v>6</v>
      </c>
      <c r="B100" s="275">
        <v>558411</v>
      </c>
      <c r="C100" s="275">
        <v>704273</v>
      </c>
      <c r="D100" s="275">
        <v>833581</v>
      </c>
      <c r="E100" s="275">
        <v>980859</v>
      </c>
      <c r="F100" s="275">
        <v>1219022</v>
      </c>
    </row>
    <row r="101" spans="1:24" ht="14.25" thickBot="1" x14ac:dyDescent="0.3">
      <c r="A101" s="224" t="s">
        <v>7</v>
      </c>
      <c r="B101" s="273">
        <v>414395</v>
      </c>
      <c r="C101" s="273">
        <v>483689</v>
      </c>
      <c r="D101" s="273">
        <v>635545</v>
      </c>
      <c r="E101" s="273">
        <v>684893</v>
      </c>
      <c r="F101" s="273">
        <v>892315</v>
      </c>
    </row>
    <row r="102" spans="1:24" ht="14.25" thickBot="1" x14ac:dyDescent="0.3">
      <c r="A102" s="227" t="s">
        <v>8</v>
      </c>
      <c r="B102" s="276">
        <v>430873</v>
      </c>
      <c r="C102" s="276">
        <v>509155</v>
      </c>
      <c r="D102" s="276">
        <v>618721</v>
      </c>
      <c r="E102" s="276">
        <v>688143</v>
      </c>
      <c r="F102" s="276">
        <v>900553</v>
      </c>
    </row>
    <row r="103" spans="1:24" x14ac:dyDescent="0.25">
      <c r="A103" s="233" t="s">
        <v>262</v>
      </c>
      <c r="B103" s="234">
        <f>IF(OR(B102="",B102="無"),"",B102/B101)</f>
        <v>1.0397639932914249</v>
      </c>
      <c r="C103" s="234">
        <f>IF(OR(C102="",C102="無"),"",C102/C101)</f>
        <v>1.0526495330677357</v>
      </c>
      <c r="D103" s="234">
        <f>IF(OR(D102="",D102="無"),"",D102/D101)</f>
        <v>0.97352823167517644</v>
      </c>
      <c r="E103" s="234">
        <f>IF(OR(E102="",E102="無"),"",E102/E101)</f>
        <v>1.0047452667788983</v>
      </c>
      <c r="F103" s="234">
        <f>IF(OR(F102="",F102="無"),"",F102/F101)</f>
        <v>1.0092321657710561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1278462</v>
      </c>
      <c r="C106" s="273">
        <v>1378013</v>
      </c>
      <c r="D106" s="273">
        <v>1514088</v>
      </c>
      <c r="E106" s="273">
        <v>1807733</v>
      </c>
      <c r="F106" s="273">
        <v>1337077</v>
      </c>
      <c r="G106" s="273">
        <v>1077651</v>
      </c>
      <c r="H106" s="273">
        <v>746961</v>
      </c>
      <c r="I106" s="273">
        <v>954423</v>
      </c>
      <c r="J106" s="273">
        <v>1197615</v>
      </c>
      <c r="K106" s="273">
        <v>830652</v>
      </c>
      <c r="L106" s="273">
        <v>1006604</v>
      </c>
      <c r="M106" s="273">
        <v>1485962</v>
      </c>
      <c r="N106" s="273">
        <v>1418431</v>
      </c>
      <c r="O106" s="273">
        <v>1036392</v>
      </c>
      <c r="P106" s="273">
        <v>1174935</v>
      </c>
      <c r="Q106" s="273">
        <v>1462175</v>
      </c>
      <c r="R106" s="273">
        <v>1310275</v>
      </c>
      <c r="S106" s="273">
        <v>1398521</v>
      </c>
      <c r="T106" s="273">
        <v>1272126</v>
      </c>
      <c r="U106" s="273">
        <v>1486425</v>
      </c>
      <c r="V106" s="273">
        <v>1383130</v>
      </c>
      <c r="W106" s="273">
        <v>1700955</v>
      </c>
      <c r="X106" s="273">
        <v>1721725</v>
      </c>
    </row>
    <row r="107" spans="1:24" ht="14.25" thickBot="1" x14ac:dyDescent="0.3">
      <c r="A107" s="225" t="s">
        <v>22</v>
      </c>
      <c r="B107" s="275">
        <v>38553</v>
      </c>
      <c r="C107" s="275">
        <v>50771</v>
      </c>
      <c r="D107" s="275">
        <v>31526</v>
      </c>
      <c r="E107" s="275">
        <v>23587</v>
      </c>
      <c r="F107" s="275">
        <v>24600</v>
      </c>
      <c r="G107" s="275">
        <v>12814</v>
      </c>
      <c r="H107" s="275">
        <v>9135</v>
      </c>
      <c r="I107" s="275">
        <v>10663</v>
      </c>
      <c r="J107" s="275">
        <v>10052</v>
      </c>
      <c r="K107" s="275">
        <v>40006</v>
      </c>
      <c r="L107" s="275">
        <v>53493</v>
      </c>
      <c r="M107" s="275">
        <v>61183</v>
      </c>
      <c r="N107" s="275">
        <v>170483</v>
      </c>
      <c r="O107" s="275">
        <v>256043</v>
      </c>
      <c r="P107" s="275">
        <v>181972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5">
        <v>603759</v>
      </c>
      <c r="X107" s="275">
        <v>464199</v>
      </c>
    </row>
    <row r="108" spans="1:24" ht="14.25" thickBot="1" x14ac:dyDescent="0.3">
      <c r="A108" s="224" t="s">
        <v>263</v>
      </c>
      <c r="B108" s="273">
        <v>1272642</v>
      </c>
      <c r="C108" s="273">
        <v>1381462</v>
      </c>
      <c r="D108" s="273">
        <v>1338218</v>
      </c>
      <c r="E108" s="273">
        <v>1306746</v>
      </c>
      <c r="F108" s="273">
        <v>1234807</v>
      </c>
      <c r="G108" s="273">
        <v>1348326</v>
      </c>
      <c r="H108" s="273">
        <v>1393962</v>
      </c>
      <c r="I108" s="273">
        <v>1451730</v>
      </c>
      <c r="J108" s="273">
        <v>1326644</v>
      </c>
      <c r="K108" s="273">
        <v>1372078</v>
      </c>
      <c r="L108" s="273">
        <v>1549148</v>
      </c>
      <c r="M108" s="273">
        <v>1580959</v>
      </c>
      <c r="N108" s="273">
        <v>1439488</v>
      </c>
      <c r="O108" s="273">
        <v>1560987</v>
      </c>
      <c r="P108" s="273">
        <v>1800348</v>
      </c>
      <c r="Q108" s="273">
        <v>1662405</v>
      </c>
      <c r="R108" s="273">
        <v>1465027</v>
      </c>
      <c r="S108" s="273">
        <v>1606508</v>
      </c>
      <c r="T108" s="273">
        <v>1688545</v>
      </c>
      <c r="U108" s="273">
        <v>1814693</v>
      </c>
      <c r="V108" s="273">
        <v>1648534</v>
      </c>
      <c r="W108" s="273">
        <v>1899887</v>
      </c>
      <c r="X108" s="273">
        <v>1966448</v>
      </c>
    </row>
    <row r="109" spans="1:24" ht="14.25" thickBot="1" x14ac:dyDescent="0.3">
      <c r="A109" s="225" t="s">
        <v>264</v>
      </c>
      <c r="B109" s="275">
        <v>569195</v>
      </c>
      <c r="C109" s="275">
        <v>645798</v>
      </c>
      <c r="D109" s="275">
        <v>658878</v>
      </c>
      <c r="E109" s="275">
        <v>658199</v>
      </c>
      <c r="F109" s="275">
        <v>682828</v>
      </c>
      <c r="G109" s="275">
        <v>667878</v>
      </c>
      <c r="H109" s="275">
        <v>696017</v>
      </c>
      <c r="I109" s="275">
        <v>721057</v>
      </c>
      <c r="J109" s="275">
        <v>728571</v>
      </c>
      <c r="K109" s="275">
        <v>728122</v>
      </c>
      <c r="L109" s="275">
        <v>758514</v>
      </c>
      <c r="M109" s="275">
        <v>828432</v>
      </c>
      <c r="N109" s="275">
        <v>840666</v>
      </c>
      <c r="O109" s="275">
        <v>923741</v>
      </c>
      <c r="P109" s="275">
        <v>982284</v>
      </c>
      <c r="Q109" s="275">
        <v>963665</v>
      </c>
      <c r="R109" s="275">
        <v>968702</v>
      </c>
      <c r="S109" s="275">
        <v>949694</v>
      </c>
      <c r="T109" s="275">
        <v>931494</v>
      </c>
      <c r="U109" s="275">
        <v>1020205</v>
      </c>
      <c r="V109" s="275">
        <v>983098</v>
      </c>
      <c r="W109" s="275">
        <v>1021700</v>
      </c>
      <c r="X109" s="275">
        <v>948244</v>
      </c>
    </row>
    <row r="110" spans="1:24" ht="14.25" thickBot="1" x14ac:dyDescent="0.3">
      <c r="A110" s="224" t="s">
        <v>23</v>
      </c>
      <c r="B110" s="273">
        <v>219714</v>
      </c>
      <c r="C110" s="273">
        <v>142506</v>
      </c>
      <c r="D110" s="273">
        <v>152292</v>
      </c>
      <c r="E110" s="273">
        <v>86591</v>
      </c>
      <c r="F110" s="273">
        <v>389889</v>
      </c>
      <c r="G110" s="273">
        <v>604984</v>
      </c>
      <c r="H110" s="273">
        <v>536349</v>
      </c>
      <c r="I110" s="273">
        <v>639484</v>
      </c>
      <c r="J110" s="273">
        <v>760183</v>
      </c>
      <c r="K110" s="273">
        <v>870852</v>
      </c>
      <c r="L110" s="273">
        <v>712496</v>
      </c>
      <c r="M110" s="273">
        <v>536043</v>
      </c>
      <c r="N110" s="273">
        <v>633841</v>
      </c>
      <c r="O110" s="273">
        <v>868236</v>
      </c>
      <c r="P110" s="273">
        <v>660029</v>
      </c>
      <c r="Q110" s="273">
        <v>736028</v>
      </c>
      <c r="R110" s="273">
        <v>1006960</v>
      </c>
      <c r="S110" s="273">
        <v>917159</v>
      </c>
      <c r="T110" s="273">
        <v>1141609</v>
      </c>
      <c r="U110" s="273">
        <v>846378</v>
      </c>
      <c r="V110" s="273">
        <v>747713</v>
      </c>
      <c r="W110" s="273">
        <v>340010</v>
      </c>
      <c r="X110" s="273">
        <v>331530</v>
      </c>
    </row>
    <row r="111" spans="1:24" ht="14.25" thickBot="1" x14ac:dyDescent="0.3">
      <c r="A111" s="225" t="s">
        <v>24</v>
      </c>
      <c r="B111" s="275">
        <v>3378566</v>
      </c>
      <c r="C111" s="275">
        <v>3598550</v>
      </c>
      <c r="D111" s="275">
        <v>3695002</v>
      </c>
      <c r="E111" s="275">
        <v>3882856</v>
      </c>
      <c r="F111" s="275">
        <v>3669201</v>
      </c>
      <c r="G111" s="275">
        <v>3711653</v>
      </c>
      <c r="H111" s="275">
        <v>3382424</v>
      </c>
      <c r="I111" s="275">
        <v>3777357</v>
      </c>
      <c r="J111" s="275">
        <v>4023065</v>
      </c>
      <c r="K111" s="275">
        <v>3841710</v>
      </c>
      <c r="L111" s="275">
        <v>4080255</v>
      </c>
      <c r="M111" s="275">
        <v>4492579</v>
      </c>
      <c r="N111" s="275">
        <v>4502909</v>
      </c>
      <c r="O111" s="275">
        <v>4645399</v>
      </c>
      <c r="P111" s="275">
        <v>4799568</v>
      </c>
      <c r="Q111" s="275">
        <v>4824273</v>
      </c>
      <c r="R111" s="275">
        <v>4750964</v>
      </c>
      <c r="S111" s="275">
        <v>4871882</v>
      </c>
      <c r="T111" s="275">
        <v>5033774</v>
      </c>
      <c r="U111" s="275">
        <v>5167701</v>
      </c>
      <c r="V111" s="275">
        <v>4762475</v>
      </c>
      <c r="W111" s="275">
        <v>5566311</v>
      </c>
      <c r="X111" s="275">
        <v>5432146</v>
      </c>
    </row>
    <row r="112" spans="1:24" ht="14.25" thickBot="1" x14ac:dyDescent="0.3">
      <c r="A112" s="224" t="s">
        <v>25</v>
      </c>
      <c r="B112" s="273">
        <v>43000</v>
      </c>
      <c r="C112" s="273">
        <v>30000</v>
      </c>
      <c r="D112" s="273">
        <v>30000</v>
      </c>
      <c r="E112" s="273">
        <v>30000</v>
      </c>
      <c r="F112" s="273">
        <v>20526</v>
      </c>
      <c r="G112" s="273">
        <v>21984</v>
      </c>
      <c r="H112" s="273">
        <v>22690</v>
      </c>
      <c r="I112" s="273">
        <v>22672</v>
      </c>
      <c r="J112" s="273">
        <v>23056</v>
      </c>
      <c r="K112" s="273">
        <v>23450</v>
      </c>
      <c r="L112" s="273">
        <v>23181</v>
      </c>
      <c r="M112" s="273">
        <v>24157</v>
      </c>
      <c r="N112" s="273">
        <v>24161</v>
      </c>
      <c r="O112" s="273">
        <v>23730</v>
      </c>
      <c r="P112" s="273">
        <v>24594</v>
      </c>
      <c r="Q112" s="273">
        <v>24245</v>
      </c>
      <c r="R112" s="273">
        <v>23585</v>
      </c>
      <c r="S112" s="273">
        <v>24087</v>
      </c>
      <c r="T112" s="273">
        <v>23313</v>
      </c>
      <c r="U112" s="273">
        <v>23057</v>
      </c>
      <c r="V112" s="273">
        <v>26530</v>
      </c>
      <c r="W112" s="273">
        <v>26658</v>
      </c>
      <c r="X112" s="273">
        <v>27623</v>
      </c>
    </row>
    <row r="113" spans="1:24" ht="14.25" thickBot="1" x14ac:dyDescent="0.3">
      <c r="A113" s="225" t="s">
        <v>26</v>
      </c>
      <c r="B113" s="275">
        <v>1212851</v>
      </c>
      <c r="C113" s="275">
        <v>1228396</v>
      </c>
      <c r="D113" s="275">
        <v>1209660</v>
      </c>
      <c r="E113" s="275">
        <v>1204613</v>
      </c>
      <c r="F113" s="275">
        <v>1205110</v>
      </c>
      <c r="G113" s="275">
        <v>1218468</v>
      </c>
      <c r="H113" s="275">
        <v>1202238</v>
      </c>
      <c r="I113" s="275">
        <v>1219914</v>
      </c>
      <c r="J113" s="275">
        <v>1238662</v>
      </c>
      <c r="K113" s="275">
        <v>1221050</v>
      </c>
      <c r="L113" s="275">
        <v>1226094</v>
      </c>
      <c r="M113" s="275">
        <v>1236410</v>
      </c>
      <c r="N113" s="275">
        <v>1214943</v>
      </c>
      <c r="O113" s="275">
        <v>1239850</v>
      </c>
      <c r="P113" s="275">
        <v>1255305</v>
      </c>
      <c r="Q113" s="275">
        <v>1314110</v>
      </c>
      <c r="R113" s="275">
        <v>1476951</v>
      </c>
      <c r="S113" s="275">
        <v>1522681</v>
      </c>
      <c r="T113" s="275">
        <v>1525549</v>
      </c>
      <c r="U113" s="275">
        <v>1690634</v>
      </c>
      <c r="V113" s="275">
        <v>1721482</v>
      </c>
      <c r="W113" s="275">
        <v>1605237</v>
      </c>
      <c r="X113" s="275">
        <v>1700366</v>
      </c>
    </row>
    <row r="114" spans="1:24" ht="14.25" thickBot="1" x14ac:dyDescent="0.3">
      <c r="A114" s="224" t="s">
        <v>27</v>
      </c>
      <c r="B114" s="273">
        <v>144054</v>
      </c>
      <c r="C114" s="273">
        <v>145934</v>
      </c>
      <c r="D114" s="273">
        <v>142904</v>
      </c>
      <c r="E114" s="273">
        <v>143080</v>
      </c>
      <c r="F114" s="273">
        <v>167708</v>
      </c>
      <c r="G114" s="273">
        <v>194251</v>
      </c>
      <c r="H114" s="273">
        <v>200686</v>
      </c>
      <c r="I114" s="273">
        <v>172074</v>
      </c>
      <c r="J114" s="273">
        <v>147579</v>
      </c>
      <c r="K114" s="273">
        <v>154519</v>
      </c>
      <c r="L114" s="273">
        <v>163625</v>
      </c>
      <c r="M114" s="273">
        <v>182516</v>
      </c>
      <c r="N114" s="273">
        <v>252355</v>
      </c>
      <c r="O114" s="273">
        <v>237883</v>
      </c>
      <c r="P114" s="273">
        <v>293636</v>
      </c>
      <c r="Q114" s="273">
        <v>267736</v>
      </c>
      <c r="R114" s="273">
        <v>199728</v>
      </c>
      <c r="S114" s="273">
        <v>297988</v>
      </c>
      <c r="T114" s="273">
        <v>362582</v>
      </c>
      <c r="U114" s="273">
        <v>449363</v>
      </c>
      <c r="V114" s="273">
        <v>465094</v>
      </c>
      <c r="W114" s="273">
        <v>469354</v>
      </c>
      <c r="X114" s="273">
        <v>456229</v>
      </c>
    </row>
    <row r="115" spans="1:24" ht="14.25" thickBot="1" x14ac:dyDescent="0.3">
      <c r="A115" s="225" t="s">
        <v>265</v>
      </c>
      <c r="B115" s="276">
        <v>4778471</v>
      </c>
      <c r="C115" s="276">
        <v>5002880</v>
      </c>
      <c r="D115" s="276">
        <v>5077566</v>
      </c>
      <c r="E115" s="276">
        <v>5260549</v>
      </c>
      <c r="F115" s="276">
        <v>5062545</v>
      </c>
      <c r="G115" s="276">
        <v>5146356</v>
      </c>
      <c r="H115" s="276">
        <v>4808038</v>
      </c>
      <c r="I115" s="276">
        <v>5192017</v>
      </c>
      <c r="J115" s="276">
        <v>5432362</v>
      </c>
      <c r="K115" s="276">
        <v>5240729</v>
      </c>
      <c r="L115" s="276">
        <v>5493155</v>
      </c>
      <c r="M115" s="276">
        <v>5935662</v>
      </c>
      <c r="N115" s="276">
        <v>5994368</v>
      </c>
      <c r="O115" s="276">
        <v>6146862</v>
      </c>
      <c r="P115" s="276">
        <v>6373103</v>
      </c>
      <c r="Q115" s="276">
        <v>6430364</v>
      </c>
      <c r="R115" s="276">
        <v>6451228</v>
      </c>
      <c r="S115" s="276">
        <v>6716638</v>
      </c>
      <c r="T115" s="276">
        <v>6945218</v>
      </c>
      <c r="U115" s="276">
        <v>7330755</v>
      </c>
      <c r="V115" s="276">
        <v>6975581</v>
      </c>
      <c r="W115" s="276">
        <v>7667560</v>
      </c>
      <c r="X115" s="276">
        <v>7616364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240672</v>
      </c>
      <c r="C118" s="273">
        <v>248309</v>
      </c>
      <c r="D118" s="273">
        <v>506463</v>
      </c>
      <c r="E118" s="273">
        <v>540501</v>
      </c>
      <c r="F118" s="273">
        <v>411037</v>
      </c>
      <c r="G118" s="273">
        <v>310815</v>
      </c>
      <c r="H118" s="273">
        <v>182490</v>
      </c>
      <c r="I118" s="273">
        <v>207782</v>
      </c>
      <c r="J118" s="273">
        <v>400703</v>
      </c>
      <c r="K118" s="273">
        <v>91287</v>
      </c>
      <c r="L118" s="273">
        <v>332971</v>
      </c>
      <c r="M118" s="273">
        <v>388741</v>
      </c>
      <c r="N118" s="273">
        <v>339003</v>
      </c>
      <c r="O118" s="273">
        <v>121744</v>
      </c>
      <c r="P118" s="273">
        <v>256717</v>
      </c>
      <c r="Q118" s="273">
        <v>145620</v>
      </c>
      <c r="R118" s="273">
        <v>131530</v>
      </c>
      <c r="S118" s="273">
        <v>245435</v>
      </c>
      <c r="T118" s="273">
        <v>147752</v>
      </c>
      <c r="U118" s="273">
        <v>155000</v>
      </c>
      <c r="V118" s="273">
        <v>115000</v>
      </c>
      <c r="W118" s="273">
        <v>95000</v>
      </c>
      <c r="X118" s="273">
        <v>285000</v>
      </c>
    </row>
    <row r="119" spans="1:24" ht="14.25" thickBot="1" x14ac:dyDescent="0.3">
      <c r="A119" s="225" t="s">
        <v>29</v>
      </c>
      <c r="B119" s="275">
        <v>29982</v>
      </c>
      <c r="C119" s="274">
        <v>0</v>
      </c>
      <c r="D119" s="274">
        <v>0</v>
      </c>
      <c r="E119" s="275">
        <v>129603</v>
      </c>
      <c r="F119" s="275">
        <v>79818</v>
      </c>
      <c r="G119" s="275">
        <v>29953</v>
      </c>
      <c r="H119" s="275">
        <v>9985</v>
      </c>
      <c r="I119" s="275">
        <v>99586</v>
      </c>
      <c r="J119" s="275">
        <v>59840</v>
      </c>
      <c r="K119" s="274">
        <v>0</v>
      </c>
      <c r="L119" s="274">
        <v>0</v>
      </c>
      <c r="M119" s="274">
        <v>0</v>
      </c>
      <c r="N119" s="275">
        <v>59671</v>
      </c>
      <c r="O119" s="275">
        <v>109640</v>
      </c>
      <c r="P119" s="275">
        <v>49937</v>
      </c>
      <c r="Q119" s="275">
        <v>14987</v>
      </c>
      <c r="R119" s="275">
        <v>14947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358344</v>
      </c>
      <c r="C120" s="273">
        <v>418340</v>
      </c>
      <c r="D120" s="273">
        <v>377678</v>
      </c>
      <c r="E120" s="273">
        <v>327418</v>
      </c>
      <c r="F120" s="273">
        <v>319000</v>
      </c>
      <c r="G120" s="273">
        <v>358920</v>
      </c>
      <c r="H120" s="273">
        <v>341695</v>
      </c>
      <c r="I120" s="273">
        <v>358890</v>
      </c>
      <c r="J120" s="273">
        <v>285177</v>
      </c>
      <c r="K120" s="273">
        <v>342622</v>
      </c>
      <c r="L120" s="273">
        <v>414671</v>
      </c>
      <c r="M120" s="273">
        <v>363568</v>
      </c>
      <c r="N120" s="273">
        <v>356637</v>
      </c>
      <c r="O120" s="273">
        <v>523490</v>
      </c>
      <c r="P120" s="273">
        <v>560742</v>
      </c>
      <c r="Q120" s="273">
        <v>601717</v>
      </c>
      <c r="R120" s="273">
        <v>590327</v>
      </c>
      <c r="S120" s="273">
        <v>619335</v>
      </c>
      <c r="T120" s="273">
        <v>575219</v>
      </c>
      <c r="U120" s="273">
        <v>620844</v>
      </c>
      <c r="V120" s="273">
        <v>570143</v>
      </c>
      <c r="W120" s="273">
        <v>765061</v>
      </c>
      <c r="X120" s="273">
        <v>682543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5">
        <v>98626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177449</v>
      </c>
      <c r="C122" s="273">
        <v>178850</v>
      </c>
      <c r="D122" s="273">
        <v>180262</v>
      </c>
      <c r="E122" s="273">
        <v>181686</v>
      </c>
      <c r="F122" s="273">
        <v>39279</v>
      </c>
      <c r="G122" s="273">
        <v>39589</v>
      </c>
      <c r="H122" s="273">
        <v>39902</v>
      </c>
      <c r="I122" s="273">
        <v>40217</v>
      </c>
      <c r="J122" s="68">
        <v>0</v>
      </c>
      <c r="K122" s="68">
        <v>0</v>
      </c>
      <c r="L122" s="68">
        <v>0</v>
      </c>
      <c r="M122" s="68">
        <v>0</v>
      </c>
      <c r="N122" s="273">
        <v>27984</v>
      </c>
      <c r="O122" s="273">
        <v>26633</v>
      </c>
      <c r="P122" s="273">
        <v>22485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294098</v>
      </c>
      <c r="C123" s="275">
        <v>530379</v>
      </c>
      <c r="D123" s="275">
        <v>302113</v>
      </c>
      <c r="E123" s="275">
        <v>316100</v>
      </c>
      <c r="F123" s="275">
        <v>322060</v>
      </c>
      <c r="G123" s="275">
        <v>584825</v>
      </c>
      <c r="H123" s="275">
        <v>292610</v>
      </c>
      <c r="I123" s="275">
        <v>348518</v>
      </c>
      <c r="J123" s="275">
        <v>318971</v>
      </c>
      <c r="K123" s="275">
        <v>632124</v>
      </c>
      <c r="L123" s="275">
        <v>328374</v>
      </c>
      <c r="M123" s="275">
        <v>424978</v>
      </c>
      <c r="N123" s="275">
        <v>382969</v>
      </c>
      <c r="O123" s="275">
        <v>674799</v>
      </c>
      <c r="P123" s="275">
        <v>397417</v>
      </c>
      <c r="Q123" s="275">
        <v>501244</v>
      </c>
      <c r="R123" s="275">
        <v>451510</v>
      </c>
      <c r="S123" s="275">
        <v>772619</v>
      </c>
      <c r="T123" s="275">
        <v>792277</v>
      </c>
      <c r="U123" s="275">
        <v>902611</v>
      </c>
      <c r="V123" s="275">
        <v>492571</v>
      </c>
      <c r="W123" s="275">
        <v>958112</v>
      </c>
      <c r="X123" s="275">
        <v>538865</v>
      </c>
    </row>
    <row r="124" spans="1:24" ht="14.25" thickBot="1" x14ac:dyDescent="0.3">
      <c r="A124" s="224" t="s">
        <v>268</v>
      </c>
      <c r="B124" s="273">
        <v>1100545</v>
      </c>
      <c r="C124" s="273">
        <v>1375878</v>
      </c>
      <c r="D124" s="273">
        <v>1366516</v>
      </c>
      <c r="E124" s="273">
        <v>1495308</v>
      </c>
      <c r="F124" s="273">
        <v>1171194</v>
      </c>
      <c r="G124" s="273">
        <v>1324102</v>
      </c>
      <c r="H124" s="273">
        <v>866682</v>
      </c>
      <c r="I124" s="273">
        <v>1054993</v>
      </c>
      <c r="J124" s="273">
        <v>1064691</v>
      </c>
      <c r="K124" s="273">
        <v>1066033</v>
      </c>
      <c r="L124" s="273">
        <v>1076016</v>
      </c>
      <c r="M124" s="273">
        <v>1177287</v>
      </c>
      <c r="N124" s="273">
        <v>1166264</v>
      </c>
      <c r="O124" s="273">
        <v>1456306</v>
      </c>
      <c r="P124" s="273">
        <v>1287298</v>
      </c>
      <c r="Q124" s="273">
        <v>1263568</v>
      </c>
      <c r="R124" s="273">
        <v>1188314</v>
      </c>
      <c r="S124" s="273">
        <v>1637389</v>
      </c>
      <c r="T124" s="273">
        <v>1515248</v>
      </c>
      <c r="U124" s="273">
        <v>1678455</v>
      </c>
      <c r="V124" s="273">
        <v>1276340</v>
      </c>
      <c r="W124" s="273">
        <v>1818173</v>
      </c>
      <c r="X124" s="273">
        <v>1506408</v>
      </c>
    </row>
    <row r="125" spans="1:24" ht="14.25" thickBot="1" x14ac:dyDescent="0.3">
      <c r="A125" s="225" t="s">
        <v>32</v>
      </c>
      <c r="B125" s="275">
        <v>43562</v>
      </c>
      <c r="C125" s="275">
        <v>43971</v>
      </c>
      <c r="D125" s="275">
        <v>42966</v>
      </c>
      <c r="E125" s="275">
        <v>42919</v>
      </c>
      <c r="F125" s="275">
        <v>271300</v>
      </c>
      <c r="G125" s="275">
        <v>291411</v>
      </c>
      <c r="H125" s="275">
        <v>296083</v>
      </c>
      <c r="I125" s="275">
        <v>286909</v>
      </c>
      <c r="J125" s="275">
        <v>342558</v>
      </c>
      <c r="K125" s="275">
        <v>337771</v>
      </c>
      <c r="L125" s="275">
        <v>355424</v>
      </c>
      <c r="M125" s="275">
        <v>393398</v>
      </c>
      <c r="N125" s="275">
        <v>372033</v>
      </c>
      <c r="O125" s="275">
        <v>384172</v>
      </c>
      <c r="P125" s="275">
        <v>428744</v>
      </c>
      <c r="Q125" s="275">
        <v>428975</v>
      </c>
      <c r="R125" s="275">
        <v>431849</v>
      </c>
      <c r="S125" s="275">
        <v>441317</v>
      </c>
      <c r="T125" s="275">
        <v>589534</v>
      </c>
      <c r="U125" s="275">
        <v>616376</v>
      </c>
      <c r="V125" s="275">
        <v>636658</v>
      </c>
      <c r="W125" s="275">
        <v>754097</v>
      </c>
      <c r="X125" s="275">
        <v>716760</v>
      </c>
    </row>
    <row r="126" spans="1:24" ht="14.25" thickBot="1" x14ac:dyDescent="0.3">
      <c r="A126" s="224" t="s">
        <v>33</v>
      </c>
      <c r="B126" s="273">
        <v>207419</v>
      </c>
      <c r="C126" s="273">
        <v>222191</v>
      </c>
      <c r="D126" s="273">
        <v>223623</v>
      </c>
      <c r="E126" s="273">
        <v>191229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1351526</v>
      </c>
      <c r="C127" s="275">
        <v>1642040</v>
      </c>
      <c r="D127" s="275">
        <v>1633105</v>
      </c>
      <c r="E127" s="275">
        <v>1729456</v>
      </c>
      <c r="F127" s="275">
        <v>1442494</v>
      </c>
      <c r="G127" s="275">
        <v>1615513</v>
      </c>
      <c r="H127" s="275">
        <v>1162765</v>
      </c>
      <c r="I127" s="275">
        <v>1341902</v>
      </c>
      <c r="J127" s="275">
        <v>1407249</v>
      </c>
      <c r="K127" s="275">
        <v>1403804</v>
      </c>
      <c r="L127" s="275">
        <v>1431440</v>
      </c>
      <c r="M127" s="275">
        <v>1570685</v>
      </c>
      <c r="N127" s="275">
        <v>1538297</v>
      </c>
      <c r="O127" s="275">
        <v>1840478</v>
      </c>
      <c r="P127" s="275">
        <v>1716042</v>
      </c>
      <c r="Q127" s="275">
        <v>1692543</v>
      </c>
      <c r="R127" s="275">
        <v>1620163</v>
      </c>
      <c r="S127" s="275">
        <v>2078706</v>
      </c>
      <c r="T127" s="275">
        <v>2104782</v>
      </c>
      <c r="U127" s="275">
        <v>2294831</v>
      </c>
      <c r="V127" s="275">
        <v>1912998</v>
      </c>
      <c r="W127" s="275">
        <v>2572270</v>
      </c>
      <c r="X127" s="275">
        <v>2223168</v>
      </c>
    </row>
    <row r="128" spans="1:24" ht="14.25" thickBot="1" x14ac:dyDescent="0.3">
      <c r="A128" s="224" t="s">
        <v>34</v>
      </c>
      <c r="B128" s="273">
        <v>3426945</v>
      </c>
      <c r="C128" s="273">
        <v>3360840</v>
      </c>
      <c r="D128" s="273">
        <v>3444461</v>
      </c>
      <c r="E128" s="273">
        <v>3531093</v>
      </c>
      <c r="F128" s="273">
        <v>3620051</v>
      </c>
      <c r="G128" s="273">
        <v>3530843</v>
      </c>
      <c r="H128" s="273">
        <v>3645273</v>
      </c>
      <c r="I128" s="273">
        <v>3850115</v>
      </c>
      <c r="J128" s="273">
        <v>4025113</v>
      </c>
      <c r="K128" s="273">
        <v>3836925</v>
      </c>
      <c r="L128" s="273">
        <v>4061715</v>
      </c>
      <c r="M128" s="273">
        <v>4364977</v>
      </c>
      <c r="N128" s="273">
        <v>4456071</v>
      </c>
      <c r="O128" s="273">
        <v>4306384</v>
      </c>
      <c r="P128" s="273">
        <v>4657061</v>
      </c>
      <c r="Q128" s="273">
        <v>4737821</v>
      </c>
      <c r="R128" s="273">
        <v>4831065</v>
      </c>
      <c r="S128" s="273">
        <v>4637932</v>
      </c>
      <c r="T128" s="273">
        <v>4840436</v>
      </c>
      <c r="U128" s="273">
        <v>5035924</v>
      </c>
      <c r="V128" s="273">
        <v>5062583</v>
      </c>
      <c r="W128" s="273">
        <v>5095290</v>
      </c>
      <c r="X128" s="273">
        <v>5393196</v>
      </c>
    </row>
    <row r="129" spans="1:24" ht="14.25" thickBot="1" x14ac:dyDescent="0.3">
      <c r="A129" s="225" t="s">
        <v>35</v>
      </c>
      <c r="B129" s="276">
        <v>4778471</v>
      </c>
      <c r="C129" s="276">
        <v>5002880</v>
      </c>
      <c r="D129" s="276">
        <v>5077566</v>
      </c>
      <c r="E129" s="276">
        <v>5260549</v>
      </c>
      <c r="F129" s="276">
        <v>5062545</v>
      </c>
      <c r="G129" s="276">
        <v>5146356</v>
      </c>
      <c r="H129" s="276">
        <v>4808038</v>
      </c>
      <c r="I129" s="276">
        <v>5192017</v>
      </c>
      <c r="J129" s="276">
        <v>5432362</v>
      </c>
      <c r="K129" s="276">
        <v>5240729</v>
      </c>
      <c r="L129" s="276">
        <v>5493155</v>
      </c>
      <c r="M129" s="276">
        <v>5935662</v>
      </c>
      <c r="N129" s="276">
        <v>5994368</v>
      </c>
      <c r="O129" s="276">
        <v>6146862</v>
      </c>
      <c r="P129" s="276">
        <v>6373103</v>
      </c>
      <c r="Q129" s="276">
        <v>6430364</v>
      </c>
      <c r="R129" s="276">
        <v>6451228</v>
      </c>
      <c r="S129" s="276">
        <v>6716638</v>
      </c>
      <c r="T129" s="276">
        <v>6945218</v>
      </c>
      <c r="U129" s="276">
        <v>7330755</v>
      </c>
      <c r="V129" s="276">
        <v>6975581</v>
      </c>
      <c r="W129" s="276">
        <v>7667560</v>
      </c>
      <c r="X129" s="276">
        <v>7616364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4.3899999999999997</v>
      </c>
      <c r="C132" s="68">
        <v>4.22</v>
      </c>
      <c r="D132" s="68">
        <v>4.82</v>
      </c>
      <c r="E132" s="68">
        <v>8.35</v>
      </c>
      <c r="F132" s="68">
        <v>7.69</v>
      </c>
    </row>
    <row r="133" spans="1:24" ht="14.25" thickBot="1" x14ac:dyDescent="0.3">
      <c r="A133" s="225" t="s">
        <v>37</v>
      </c>
      <c r="B133" s="274">
        <v>-0.67</v>
      </c>
      <c r="C133" s="274">
        <v>-1.36</v>
      </c>
      <c r="D133" s="274">
        <v>-0.64</v>
      </c>
      <c r="E133" s="274">
        <v>-4.2300000000000004</v>
      </c>
      <c r="F133" s="274">
        <v>-4.0599999999999996</v>
      </c>
    </row>
    <row r="134" spans="1:24" ht="14.25" thickBot="1" x14ac:dyDescent="0.3">
      <c r="A134" s="224" t="s">
        <v>38</v>
      </c>
      <c r="B134" s="68">
        <v>1.25</v>
      </c>
      <c r="C134" s="68">
        <v>-6.02</v>
      </c>
      <c r="D134" s="68">
        <v>-1.39</v>
      </c>
      <c r="E134" s="68">
        <v>-3.83</v>
      </c>
      <c r="F134" s="68">
        <v>-1.51</v>
      </c>
    </row>
    <row r="135" spans="1:24" ht="14.25" thickBot="1" x14ac:dyDescent="0.3">
      <c r="A135" s="225" t="s">
        <v>270</v>
      </c>
      <c r="B135" s="274">
        <v>3.73</v>
      </c>
      <c r="C135" s="274">
        <v>2.86</v>
      </c>
      <c r="D135" s="274">
        <v>4.18</v>
      </c>
      <c r="E135" s="274">
        <v>4.1100000000000003</v>
      </c>
      <c r="F135" s="274">
        <v>3.63</v>
      </c>
    </row>
    <row r="136" spans="1:24" ht="14.25" thickBot="1" x14ac:dyDescent="0.3">
      <c r="A136" s="229" t="s">
        <v>39</v>
      </c>
      <c r="B136" s="72">
        <v>4.9800000000000004</v>
      </c>
      <c r="C136" s="72">
        <v>-3.16</v>
      </c>
      <c r="D136" s="72">
        <v>2.79</v>
      </c>
      <c r="E136" s="72">
        <v>0.28000000000000003</v>
      </c>
      <c r="F136" s="72">
        <v>2.12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1.9</v>
      </c>
      <c r="C140" s="68">
        <v>2</v>
      </c>
      <c r="D140" s="68">
        <v>2.1</v>
      </c>
      <c r="E140" s="68">
        <v>2.5</v>
      </c>
      <c r="F140" s="68">
        <v>3.3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0.56047197640117996</v>
      </c>
      <c r="C142" s="234">
        <f>IF(C140&lt;&gt;"無",IF(ISNA(HLOOKUP(C139,$B$64:$F$69,6,FALSE)),"",C140/HLOOKUP(C139,$B$64:$F$69,6,FALSE)),"")</f>
        <v>0.49751243781094534</v>
      </c>
      <c r="D142" s="234">
        <f>IF(D140&lt;&gt;"無",IF(ISNA(HLOOKUP(D139,$B$64:$F$69,6,FALSE)),"",D140/HLOOKUP(D139,$B$64:$F$69,6,FALSE)),"")</f>
        <v>0.43121149897330596</v>
      </c>
      <c r="E142" s="234">
        <f>IF(E140&lt;&gt;"無",IF(ISNA(HLOOKUP(E139,$B$64:$F$69,6,FALSE)),"",E140/HLOOKUP(E139,$B$64:$F$69,6,FALSE)),"")</f>
        <v>0.46296296296296291</v>
      </c>
      <c r="F142" s="234">
        <f>IF(F140&lt;&gt;"無",IF(ISNA(HLOOKUP(F139,$B$64:$F$69,6,FALSE)),"",F140/HLOOKUP(F139,$B$64:$F$69,6,FALSE)),"")</f>
        <v>0.46941678520625885</v>
      </c>
    </row>
    <row r="143" spans="1:24" x14ac:dyDescent="0.25">
      <c r="A143" s="233" t="s">
        <v>216</v>
      </c>
      <c r="B143" s="234">
        <f>IF(OR(B140=0,B140="無"),"",B135/B140)</f>
        <v>1.9631578947368422</v>
      </c>
      <c r="C143" s="234">
        <f>IF(OR(C140=0,C140="無"),"",C135/C140)</f>
        <v>1.43</v>
      </c>
      <c r="D143" s="234">
        <f>IF(OR(D140=0,D140="無"),"",D135/D140)</f>
        <v>1.9904761904761903</v>
      </c>
      <c r="E143" s="234">
        <f>IF(OR(E140=0,E140="無"),"",E135/E140)</f>
        <v>1.6440000000000001</v>
      </c>
      <c r="F143" s="234">
        <f>IF(OR(F140=0,F140="無"),"",F135/F140)</f>
        <v>1.1000000000000001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21.54</v>
      </c>
      <c r="C146" s="68">
        <v>25.26</v>
      </c>
      <c r="D146" s="68">
        <v>25.13</v>
      </c>
      <c r="E146" s="68">
        <v>21.47</v>
      </c>
      <c r="F146" s="68">
        <v>22.52</v>
      </c>
      <c r="G146" s="68">
        <v>23.6</v>
      </c>
      <c r="H146" s="68">
        <v>26.01</v>
      </c>
      <c r="I146" s="68">
        <v>29.27</v>
      </c>
      <c r="J146" s="68">
        <v>27.82</v>
      </c>
      <c r="K146" s="68">
        <v>25.72</v>
      </c>
      <c r="L146" s="68">
        <v>26.62</v>
      </c>
      <c r="M146" s="68">
        <v>28.19</v>
      </c>
      <c r="N146" s="68">
        <v>27.67</v>
      </c>
      <c r="O146" s="68">
        <v>26.24</v>
      </c>
      <c r="P146" s="68">
        <v>29.09</v>
      </c>
      <c r="Q146" s="68">
        <v>30.43</v>
      </c>
      <c r="R146" s="68">
        <v>28.9</v>
      </c>
      <c r="S146" s="68">
        <v>31.68</v>
      </c>
      <c r="T146" s="68">
        <v>31.23</v>
      </c>
      <c r="U146" s="68">
        <v>31.96</v>
      </c>
      <c r="V146" s="68">
        <v>35.950000000000003</v>
      </c>
      <c r="W146" s="68">
        <v>33.81</v>
      </c>
      <c r="X146" s="68">
        <v>33.49</v>
      </c>
    </row>
    <row r="147" spans="1:24" s="93" customFormat="1" ht="14.25" thickBot="1" x14ac:dyDescent="0.3">
      <c r="A147" s="225" t="s">
        <v>19</v>
      </c>
      <c r="B147" s="274">
        <v>11.96</v>
      </c>
      <c r="C147" s="274">
        <v>13.59</v>
      </c>
      <c r="D147" s="274">
        <v>15.22</v>
      </c>
      <c r="E147" s="274">
        <v>11.3</v>
      </c>
      <c r="F147" s="274">
        <v>11.94</v>
      </c>
      <c r="G147" s="274">
        <v>13.88</v>
      </c>
      <c r="H147" s="274">
        <v>15.1</v>
      </c>
      <c r="I147" s="274">
        <v>19.84</v>
      </c>
      <c r="J147" s="274">
        <v>16.52</v>
      </c>
      <c r="K147" s="274">
        <v>14.34</v>
      </c>
      <c r="L147" s="274">
        <v>16.100000000000001</v>
      </c>
      <c r="M147" s="274">
        <v>15.76</v>
      </c>
      <c r="N147" s="274">
        <v>15.61</v>
      </c>
      <c r="O147" s="274">
        <v>16.059999999999999</v>
      </c>
      <c r="P147" s="274">
        <v>18.27</v>
      </c>
      <c r="Q147" s="274">
        <v>16.66</v>
      </c>
      <c r="R147" s="274">
        <v>14.97</v>
      </c>
      <c r="S147" s="274">
        <v>21.02</v>
      </c>
      <c r="T147" s="274">
        <v>19.62</v>
      </c>
      <c r="U147" s="274">
        <v>17.420000000000002</v>
      </c>
      <c r="V147" s="274">
        <v>22.95</v>
      </c>
      <c r="W147" s="274">
        <v>20.03</v>
      </c>
      <c r="X147" s="274">
        <v>19.86</v>
      </c>
    </row>
    <row r="148" spans="1:24" s="93" customFormat="1" ht="14.25" thickBot="1" x14ac:dyDescent="0.3">
      <c r="A148" s="224" t="s">
        <v>41</v>
      </c>
      <c r="B148" s="68">
        <v>11.09</v>
      </c>
      <c r="C148" s="68">
        <v>15.94</v>
      </c>
      <c r="D148" s="68">
        <v>15.49</v>
      </c>
      <c r="E148" s="68">
        <v>11.22</v>
      </c>
      <c r="F148" s="68">
        <v>12.45</v>
      </c>
      <c r="G148" s="68">
        <v>14.85</v>
      </c>
      <c r="H148" s="68">
        <v>15.52</v>
      </c>
      <c r="I148" s="68">
        <v>22.3</v>
      </c>
      <c r="J148" s="68">
        <v>19.77</v>
      </c>
      <c r="K148" s="68">
        <v>14.65</v>
      </c>
      <c r="L148" s="68">
        <v>19.32</v>
      </c>
      <c r="M148" s="68">
        <v>19.48</v>
      </c>
      <c r="N148" s="68">
        <v>16.03</v>
      </c>
      <c r="O148" s="68">
        <v>16.920000000000002</v>
      </c>
      <c r="P148" s="68">
        <v>24.74</v>
      </c>
      <c r="Q148" s="68">
        <v>18.11</v>
      </c>
      <c r="R148" s="68">
        <v>15.16</v>
      </c>
      <c r="S148" s="68">
        <v>23.6</v>
      </c>
      <c r="T148" s="68">
        <v>26.5</v>
      </c>
      <c r="U148" s="68">
        <v>23.6</v>
      </c>
      <c r="V148" s="68">
        <v>21.05</v>
      </c>
      <c r="W148" s="68">
        <v>39.049999999999997</v>
      </c>
      <c r="X148" s="68">
        <v>19.79</v>
      </c>
    </row>
    <row r="149" spans="1:24" s="93" customFormat="1" ht="14.25" thickBot="1" x14ac:dyDescent="0.3">
      <c r="A149" s="225" t="s">
        <v>13</v>
      </c>
      <c r="B149" s="73">
        <v>8.17</v>
      </c>
      <c r="C149" s="73">
        <v>10.75</v>
      </c>
      <c r="D149" s="73">
        <v>12.3</v>
      </c>
      <c r="E149" s="73">
        <v>8.7200000000000006</v>
      </c>
      <c r="F149" s="73">
        <v>9.0299999999999994</v>
      </c>
      <c r="G149" s="73">
        <v>10</v>
      </c>
      <c r="H149" s="73">
        <v>11.6</v>
      </c>
      <c r="I149" s="73">
        <v>14.19</v>
      </c>
      <c r="J149" s="73">
        <v>15.29</v>
      </c>
      <c r="K149" s="73">
        <v>9.74</v>
      </c>
      <c r="L149" s="73">
        <v>15.51</v>
      </c>
      <c r="M149" s="73">
        <v>15.21</v>
      </c>
      <c r="N149" s="73">
        <v>12.4</v>
      </c>
      <c r="O149" s="73">
        <v>10.17</v>
      </c>
      <c r="P149" s="73">
        <v>19.309999999999999</v>
      </c>
      <c r="Q149" s="73">
        <v>11.1</v>
      </c>
      <c r="R149" s="73">
        <v>10.64</v>
      </c>
      <c r="S149" s="73">
        <v>15.81</v>
      </c>
      <c r="T149" s="73">
        <v>22.17</v>
      </c>
      <c r="U149" s="73">
        <v>16.36</v>
      </c>
      <c r="V149" s="73">
        <v>15.08</v>
      </c>
      <c r="W149" s="73">
        <v>25.97</v>
      </c>
      <c r="X149" s="73">
        <v>15.59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23.44</v>
      </c>
      <c r="C152" s="68">
        <v>25.51</v>
      </c>
      <c r="D152" s="68">
        <v>27.07</v>
      </c>
      <c r="E152" s="68">
        <v>28.41</v>
      </c>
      <c r="F152" s="68">
        <v>31.04</v>
      </c>
    </row>
    <row r="153" spans="1:24" s="93" customFormat="1" ht="14.25" thickBot="1" x14ac:dyDescent="0.3">
      <c r="A153" s="225" t="s">
        <v>19</v>
      </c>
      <c r="B153" s="274">
        <v>13.07</v>
      </c>
      <c r="C153" s="274">
        <v>15.37</v>
      </c>
      <c r="D153" s="274">
        <v>15.66</v>
      </c>
      <c r="E153" s="274">
        <v>16.72</v>
      </c>
      <c r="F153" s="274">
        <v>18.39</v>
      </c>
    </row>
    <row r="154" spans="1:24" s="93" customFormat="1" ht="14.25" thickBot="1" x14ac:dyDescent="0.3">
      <c r="A154" s="224" t="s">
        <v>41</v>
      </c>
      <c r="B154" s="68">
        <v>13.55</v>
      </c>
      <c r="C154" s="68">
        <v>16.489999999999998</v>
      </c>
      <c r="D154" s="68">
        <v>18.3</v>
      </c>
      <c r="E154" s="68">
        <v>19.170000000000002</v>
      </c>
      <c r="F154" s="68">
        <v>22.54</v>
      </c>
    </row>
    <row r="155" spans="1:24" s="93" customFormat="1" ht="14.25" thickBot="1" x14ac:dyDescent="0.3">
      <c r="A155" s="225" t="s">
        <v>13</v>
      </c>
      <c r="B155" s="73">
        <v>10.050000000000001</v>
      </c>
      <c r="C155" s="73">
        <v>11.33</v>
      </c>
      <c r="D155" s="73">
        <v>13.95</v>
      </c>
      <c r="E155" s="73">
        <v>13.39</v>
      </c>
      <c r="F155" s="73">
        <v>16.5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1.67</v>
      </c>
      <c r="C158" s="68">
        <v>2.46</v>
      </c>
      <c r="D158" s="68">
        <v>2.6</v>
      </c>
      <c r="E158" s="68">
        <v>1.74</v>
      </c>
      <c r="F158" s="68">
        <v>1.6</v>
      </c>
      <c r="G158" s="68">
        <v>2.2200000000000002</v>
      </c>
      <c r="H158" s="68">
        <v>2.64</v>
      </c>
      <c r="I158" s="68">
        <v>3.22</v>
      </c>
      <c r="J158" s="68">
        <v>2.92</v>
      </c>
      <c r="K158" s="68">
        <v>2.08</v>
      </c>
      <c r="L158" s="68">
        <v>3.57</v>
      </c>
      <c r="M158" s="68">
        <v>3.18</v>
      </c>
      <c r="N158" s="68">
        <v>2.2999999999999998</v>
      </c>
      <c r="O158" s="68">
        <v>2.19</v>
      </c>
      <c r="P158" s="68">
        <v>4.32</v>
      </c>
      <c r="Q158" s="68">
        <v>2.2999999999999998</v>
      </c>
      <c r="R158" s="68">
        <v>1.92</v>
      </c>
      <c r="S158" s="68">
        <v>3.32</v>
      </c>
      <c r="T158" s="68">
        <v>4.58</v>
      </c>
      <c r="U158" s="68">
        <v>3.35</v>
      </c>
      <c r="V158" s="68">
        <v>2.84</v>
      </c>
      <c r="W158" s="68">
        <v>5.25</v>
      </c>
      <c r="X158" s="68">
        <v>3.07</v>
      </c>
    </row>
    <row r="159" spans="1:24" s="93" customFormat="1" ht="14.25" thickBot="1" x14ac:dyDescent="0.3">
      <c r="A159" s="225" t="s">
        <v>45</v>
      </c>
      <c r="B159" s="73">
        <v>2.2999999999999998</v>
      </c>
      <c r="C159" s="73">
        <v>3.5</v>
      </c>
      <c r="D159" s="73">
        <v>3.81</v>
      </c>
      <c r="E159" s="73">
        <v>2.52</v>
      </c>
      <c r="F159" s="73">
        <v>2.25</v>
      </c>
      <c r="G159" s="73">
        <v>3.14</v>
      </c>
      <c r="H159" s="73">
        <v>3.64</v>
      </c>
      <c r="I159" s="73">
        <v>4.28</v>
      </c>
      <c r="J159" s="73">
        <v>3.9</v>
      </c>
      <c r="K159" s="73">
        <v>2.81</v>
      </c>
      <c r="L159" s="73">
        <v>4.84</v>
      </c>
      <c r="M159" s="73">
        <v>4.29</v>
      </c>
      <c r="N159" s="73">
        <v>3.1</v>
      </c>
      <c r="O159" s="73">
        <v>3.01</v>
      </c>
      <c r="P159" s="73">
        <v>6.02</v>
      </c>
      <c r="Q159" s="73">
        <v>3.12</v>
      </c>
      <c r="R159" s="73">
        <v>2.58</v>
      </c>
      <c r="S159" s="73">
        <v>4.6100000000000003</v>
      </c>
      <c r="T159" s="73">
        <v>6.59</v>
      </c>
      <c r="U159" s="73">
        <v>4.83</v>
      </c>
      <c r="V159" s="73">
        <v>4.01</v>
      </c>
      <c r="W159" s="73">
        <v>7.56</v>
      </c>
      <c r="X159" s="73">
        <v>4.47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10.050000000000001</v>
      </c>
      <c r="C162" s="68">
        <v>11.33</v>
      </c>
      <c r="D162" s="68">
        <v>13.95</v>
      </c>
      <c r="E162" s="68">
        <v>13.39</v>
      </c>
      <c r="F162" s="68">
        <v>16.5</v>
      </c>
    </row>
    <row r="163" spans="1:72" s="93" customFormat="1" ht="14.25" thickBot="1" x14ac:dyDescent="0.3">
      <c r="A163" s="225" t="s">
        <v>18</v>
      </c>
      <c r="B163" s="274">
        <v>0.78</v>
      </c>
      <c r="C163" s="274">
        <v>0.82</v>
      </c>
      <c r="D163" s="274">
        <v>0.77</v>
      </c>
      <c r="E163" s="274">
        <v>0.8</v>
      </c>
      <c r="F163" s="274">
        <v>0.74</v>
      </c>
    </row>
    <row r="164" spans="1:72" s="93" customFormat="1" ht="14.25" thickBot="1" x14ac:dyDescent="0.3">
      <c r="A164" s="224" t="s">
        <v>15</v>
      </c>
      <c r="B164" s="68">
        <v>1.49</v>
      </c>
      <c r="C164" s="68">
        <v>1.35</v>
      </c>
      <c r="D164" s="68">
        <v>1.36</v>
      </c>
      <c r="E164" s="68">
        <v>1.36</v>
      </c>
      <c r="F164" s="68">
        <v>1.46</v>
      </c>
    </row>
    <row r="165" spans="1:72" s="93" customFormat="1" ht="14.25" thickBot="1" x14ac:dyDescent="0.3">
      <c r="A165" s="225" t="s">
        <v>45</v>
      </c>
      <c r="B165" s="73">
        <v>11.97</v>
      </c>
      <c r="C165" s="73">
        <v>13.11</v>
      </c>
      <c r="D165" s="73">
        <v>15.47</v>
      </c>
      <c r="E165" s="73">
        <v>15.05</v>
      </c>
      <c r="F165" s="73">
        <v>18.260000000000002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123.29</v>
      </c>
      <c r="C168" s="68">
        <v>108.43</v>
      </c>
      <c r="D168" s="68">
        <v>116.88</v>
      </c>
      <c r="E168" s="68">
        <v>118.42</v>
      </c>
      <c r="F168" s="68">
        <v>128.57</v>
      </c>
      <c r="G168" s="68">
        <v>103.45</v>
      </c>
      <c r="H168" s="68">
        <v>109.76</v>
      </c>
      <c r="I168" s="68">
        <v>113.92</v>
      </c>
      <c r="J168" s="68">
        <v>125</v>
      </c>
      <c r="K168" s="68">
        <v>107.14</v>
      </c>
      <c r="L168" s="68">
        <v>107.14</v>
      </c>
      <c r="M168" s="68">
        <v>118.42</v>
      </c>
      <c r="N168" s="68">
        <v>123.29</v>
      </c>
      <c r="O168" s="68">
        <v>104.65</v>
      </c>
      <c r="P168" s="68">
        <v>108.43</v>
      </c>
      <c r="Q168" s="68">
        <v>118.42</v>
      </c>
      <c r="R168" s="68">
        <v>121.62</v>
      </c>
      <c r="S168" s="68">
        <v>100</v>
      </c>
      <c r="T168" s="68">
        <v>105.88</v>
      </c>
      <c r="U168" s="68">
        <v>108.43</v>
      </c>
      <c r="V168" s="68">
        <v>115.38</v>
      </c>
      <c r="W168" s="68">
        <v>108.43</v>
      </c>
      <c r="X168" s="68">
        <v>115.38</v>
      </c>
    </row>
    <row r="169" spans="1:72" s="93" customFormat="1" ht="14.25" thickBot="1" x14ac:dyDescent="0.3">
      <c r="A169" s="225" t="s">
        <v>17</v>
      </c>
      <c r="B169" s="274">
        <v>73.17</v>
      </c>
      <c r="C169" s="274">
        <v>66.180000000000007</v>
      </c>
      <c r="D169" s="274">
        <v>74.38</v>
      </c>
      <c r="E169" s="274">
        <v>75</v>
      </c>
      <c r="F169" s="274">
        <v>87.38</v>
      </c>
      <c r="G169" s="274">
        <v>70.87</v>
      </c>
      <c r="H169" s="274">
        <v>73.77</v>
      </c>
      <c r="I169" s="274">
        <v>79.650000000000006</v>
      </c>
      <c r="J169" s="274">
        <v>90</v>
      </c>
      <c r="K169" s="274">
        <v>77.59</v>
      </c>
      <c r="L169" s="274">
        <v>73.77</v>
      </c>
      <c r="M169" s="274">
        <v>84.11</v>
      </c>
      <c r="N169" s="274">
        <v>93.75</v>
      </c>
      <c r="O169" s="274">
        <v>83.33</v>
      </c>
      <c r="P169" s="274">
        <v>86.54</v>
      </c>
      <c r="Q169" s="274">
        <v>95.74</v>
      </c>
      <c r="R169" s="274">
        <v>104.65</v>
      </c>
      <c r="S169" s="274">
        <v>91.84</v>
      </c>
      <c r="T169" s="274">
        <v>87.38</v>
      </c>
      <c r="U169" s="274">
        <v>88.24</v>
      </c>
      <c r="V169" s="274">
        <v>104.65</v>
      </c>
      <c r="W169" s="274">
        <v>91.84</v>
      </c>
      <c r="X169" s="274">
        <v>89.11</v>
      </c>
    </row>
    <row r="170" spans="1:72" s="93" customFormat="1" ht="14.25" thickBot="1" x14ac:dyDescent="0.3">
      <c r="A170" s="224" t="s">
        <v>42</v>
      </c>
      <c r="B170" s="72">
        <v>196.46</v>
      </c>
      <c r="C170" s="72">
        <v>174.61</v>
      </c>
      <c r="D170" s="72">
        <v>191.26</v>
      </c>
      <c r="E170" s="72">
        <v>193.42</v>
      </c>
      <c r="F170" s="72">
        <v>215.95</v>
      </c>
      <c r="G170" s="72">
        <v>174.31</v>
      </c>
      <c r="H170" s="72">
        <v>183.53</v>
      </c>
      <c r="I170" s="72">
        <v>193.57</v>
      </c>
      <c r="J170" s="72">
        <v>215</v>
      </c>
      <c r="K170" s="72">
        <v>184.73</v>
      </c>
      <c r="L170" s="72">
        <v>180.91</v>
      </c>
      <c r="M170" s="72">
        <v>202.53</v>
      </c>
      <c r="N170" s="72">
        <v>217.04</v>
      </c>
      <c r="O170" s="72">
        <v>187.98</v>
      </c>
      <c r="P170" s="72">
        <v>194.97</v>
      </c>
      <c r="Q170" s="72">
        <v>214.17</v>
      </c>
      <c r="R170" s="72">
        <v>226.27</v>
      </c>
      <c r="S170" s="72">
        <v>191.84</v>
      </c>
      <c r="T170" s="72">
        <v>193.26</v>
      </c>
      <c r="U170" s="72">
        <v>196.67</v>
      </c>
      <c r="V170" s="72">
        <v>220.04</v>
      </c>
      <c r="W170" s="72">
        <v>200.27</v>
      </c>
      <c r="X170" s="72">
        <v>204.49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134.07</v>
      </c>
      <c r="C173" s="72">
        <v>110.38</v>
      </c>
      <c r="D173" s="72">
        <v>96.68</v>
      </c>
      <c r="E173" s="72">
        <v>154.78</v>
      </c>
      <c r="F173" s="72">
        <v>110.38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7.98</v>
      </c>
      <c r="C176" s="72">
        <v>9.1999999999999993</v>
      </c>
      <c r="D176" s="72">
        <v>9.4</v>
      </c>
      <c r="E176" s="72">
        <v>9.1300000000000008</v>
      </c>
      <c r="F176" s="72">
        <v>9.57</v>
      </c>
      <c r="G176" s="72">
        <v>9.02</v>
      </c>
      <c r="H176" s="72">
        <v>8.68</v>
      </c>
      <c r="I176" s="72">
        <v>8.8800000000000008</v>
      </c>
      <c r="J176" s="72">
        <v>8.74</v>
      </c>
      <c r="K176" s="72">
        <v>8.17</v>
      </c>
      <c r="L176" s="72">
        <v>8.01</v>
      </c>
      <c r="M176" s="72">
        <v>8.26</v>
      </c>
      <c r="N176" s="72">
        <v>8.39</v>
      </c>
      <c r="O176" s="72">
        <v>9.27</v>
      </c>
      <c r="P176" s="72">
        <v>9.35</v>
      </c>
      <c r="Q176" s="72">
        <v>9.14</v>
      </c>
      <c r="R176" s="72">
        <v>9.2799999999999994</v>
      </c>
      <c r="S176" s="72">
        <v>9.24</v>
      </c>
      <c r="T176" s="72">
        <v>9.4</v>
      </c>
      <c r="U176" s="72">
        <v>10.039999999999999</v>
      </c>
      <c r="V176" s="72">
        <v>9.99</v>
      </c>
      <c r="W176" s="72">
        <v>9.99</v>
      </c>
      <c r="X176" s="72">
        <v>9.92</v>
      </c>
      <c r="Y176" s="72">
        <v>11.15</v>
      </c>
      <c r="Z176" s="72">
        <v>11.76</v>
      </c>
      <c r="AA176" s="72">
        <v>11.46</v>
      </c>
      <c r="AB176" s="72">
        <v>10.74</v>
      </c>
      <c r="AC176" s="72">
        <v>12.34</v>
      </c>
      <c r="AD176" s="72">
        <v>11.37</v>
      </c>
      <c r="AE176" s="72">
        <v>11.43</v>
      </c>
      <c r="AF176" s="72">
        <v>10.92</v>
      </c>
      <c r="AG176" s="72">
        <v>10.52</v>
      </c>
      <c r="AH176" s="72">
        <v>10.31</v>
      </c>
      <c r="AI176" s="72">
        <v>9.65</v>
      </c>
      <c r="AJ176" s="72">
        <v>9.36</v>
      </c>
      <c r="AK176" s="72">
        <v>9.66</v>
      </c>
      <c r="AL176" s="72">
        <v>9.57</v>
      </c>
      <c r="AM176" s="72">
        <v>9.82</v>
      </c>
      <c r="AN176" s="72">
        <v>9.73</v>
      </c>
      <c r="AO176" s="72">
        <v>9.1</v>
      </c>
      <c r="AP176" s="72">
        <v>9.02</v>
      </c>
      <c r="AQ176" s="72">
        <v>8.94</v>
      </c>
      <c r="AR176" s="72">
        <v>8.91</v>
      </c>
      <c r="AS176" s="72">
        <v>8.1300000000000008</v>
      </c>
      <c r="AT176" s="72">
        <v>7.98</v>
      </c>
      <c r="AU176" s="72">
        <v>8.7200000000000006</v>
      </c>
      <c r="AV176" s="72">
        <v>8.3000000000000007</v>
      </c>
      <c r="AW176" s="72">
        <v>9.4600000000000009</v>
      </c>
      <c r="AX176" s="72">
        <v>8.7799999999999994</v>
      </c>
      <c r="AY176" s="72">
        <v>9.39</v>
      </c>
      <c r="AZ176" s="72">
        <v>10.130000000000001</v>
      </c>
      <c r="BA176" s="72">
        <v>9.49</v>
      </c>
      <c r="BB176" s="72">
        <v>9.24</v>
      </c>
      <c r="BC176" s="72">
        <v>9.4600000000000009</v>
      </c>
      <c r="BD176" s="72">
        <v>9.7200000000000006</v>
      </c>
      <c r="BE176" s="72">
        <v>9.34</v>
      </c>
      <c r="BF176" s="72">
        <v>10.44</v>
      </c>
      <c r="BG176" s="72">
        <v>10.91</v>
      </c>
      <c r="BH176" s="72">
        <v>9.6999999999999993</v>
      </c>
      <c r="BI176" s="72">
        <v>10</v>
      </c>
      <c r="BJ176" s="72">
        <v>10.55</v>
      </c>
      <c r="BK176" s="72">
        <v>10.95</v>
      </c>
      <c r="BL176" s="72">
        <v>9.67</v>
      </c>
      <c r="BM176" s="72">
        <v>9.3699999999999992</v>
      </c>
      <c r="BN176" s="72">
        <v>10.18</v>
      </c>
      <c r="BO176" s="72">
        <v>11.13</v>
      </c>
      <c r="BP176" s="72">
        <v>11.74</v>
      </c>
      <c r="BQ176" s="72">
        <v>10.72</v>
      </c>
      <c r="BR176" s="72">
        <v>10.7</v>
      </c>
      <c r="BS176" s="72">
        <v>10.41</v>
      </c>
      <c r="BT176" s="72">
        <v>11.14</v>
      </c>
    </row>
  </sheetData>
  <phoneticPr fontId="3" type="noConversion"/>
  <conditionalFormatting sqref="E4">
    <cfRule type="cellIs" dxfId="5621" priority="101" operator="greaterThan">
      <formula>0.2</formula>
    </cfRule>
    <cfRule type="cellIs" dxfId="5620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5619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618" priority="95" operator="greaterThan">
      <formula>$B$19</formula>
    </cfRule>
  </conditionalFormatting>
  <conditionalFormatting sqref="D33:D34">
    <cfRule type="cellIs" dxfId="5617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5616" priority="89" operator="lessThan">
      <formula>$H$62</formula>
    </cfRule>
    <cfRule type="cellIs" dxfId="5615" priority="90" operator="greaterThan">
      <formula>$H$62</formula>
    </cfRule>
  </conditionalFormatting>
  <conditionalFormatting sqref="J62">
    <cfRule type="cellIs" dxfId="5614" priority="87" operator="lessThan">
      <formula>$K$62</formula>
    </cfRule>
    <cfRule type="cellIs" dxfId="5613" priority="88" operator="greaterThan">
      <formula>$K$62</formula>
    </cfRule>
  </conditionalFormatting>
  <conditionalFormatting sqref="M62">
    <cfRule type="cellIs" dxfId="5612" priority="85" operator="lessThan">
      <formula>$N$62</formula>
    </cfRule>
    <cfRule type="cellIs" dxfId="5611" priority="86" operator="greaterThan">
      <formula>$N$62</formula>
    </cfRule>
  </conditionalFormatting>
  <conditionalFormatting sqref="B44:E44">
    <cfRule type="cellIs" dxfId="5610" priority="83" operator="greaterThan">
      <formula>0</formula>
    </cfRule>
    <cfRule type="cellIs" dxfId="5609" priority="84" operator="lessThan">
      <formula>0</formula>
    </cfRule>
  </conditionalFormatting>
  <conditionalFormatting sqref="F72">
    <cfRule type="cellIs" dxfId="5608" priority="82" operator="lessThan">
      <formula>$E$72*90%</formula>
    </cfRule>
  </conditionalFormatting>
  <conditionalFormatting sqref="F73">
    <cfRule type="cellIs" dxfId="5607" priority="81" operator="lessThan">
      <formula>$E$73*90%</formula>
    </cfRule>
  </conditionalFormatting>
  <conditionalFormatting sqref="F74">
    <cfRule type="cellIs" dxfId="5606" priority="80" operator="lessThan">
      <formula>$E$74*90%</formula>
    </cfRule>
  </conditionalFormatting>
  <conditionalFormatting sqref="F75">
    <cfRule type="cellIs" dxfId="5605" priority="79" operator="lessThan">
      <formula>$E$75*90%</formula>
    </cfRule>
  </conditionalFormatting>
  <conditionalFormatting sqref="H44:K44">
    <cfRule type="cellIs" dxfId="5604" priority="77" operator="greaterThan">
      <formula>0</formula>
    </cfRule>
    <cfRule type="cellIs" dxfId="5603" priority="78" operator="lessThan">
      <formula>0</formula>
    </cfRule>
  </conditionalFormatting>
  <conditionalFormatting sqref="H51:K51">
    <cfRule type="cellIs" dxfId="5602" priority="75" operator="greaterThan">
      <formula>0</formula>
    </cfRule>
    <cfRule type="cellIs" dxfId="5601" priority="76" operator="lessThan">
      <formula>0</formula>
    </cfRule>
  </conditionalFormatting>
  <conditionalFormatting sqref="B51:E51">
    <cfRule type="cellIs" dxfId="5600" priority="73" operator="greaterThan">
      <formula>0</formula>
    </cfRule>
    <cfRule type="cellIs" dxfId="5599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598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597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5596" priority="56" operator="lessThan">
      <formula>0</formula>
    </cfRule>
  </conditionalFormatting>
  <conditionalFormatting sqref="A25 E25 C25">
    <cfRule type="cellIs" dxfId="5595" priority="57" operator="lessThan">
      <formula>0</formula>
    </cfRule>
  </conditionalFormatting>
  <conditionalFormatting sqref="F25">
    <cfRule type="cellIs" dxfId="5594" priority="55" operator="lessThan">
      <formula>0</formula>
    </cfRule>
  </conditionalFormatting>
  <conditionalFormatting sqref="E1">
    <cfRule type="containsText" dxfId="5593" priority="54" operator="containsText" text="本季業外損益/平均=-">
      <formula>NOT(ISERROR(SEARCH("本季業外損益/平均=-",E1)))</formula>
    </cfRule>
  </conditionalFormatting>
  <conditionalFormatting sqref="M65">
    <cfRule type="cellIs" dxfId="5592" priority="53" operator="lessThan">
      <formula>$L$65*90%</formula>
    </cfRule>
  </conditionalFormatting>
  <conditionalFormatting sqref="M66">
    <cfRule type="cellIs" dxfId="5591" priority="52" operator="lessThan">
      <formula>$L$66*90%</formula>
    </cfRule>
  </conditionalFormatting>
  <conditionalFormatting sqref="M67">
    <cfRule type="cellIs" dxfId="5590" priority="51" operator="lessThan">
      <formula>$L$67*90%</formula>
    </cfRule>
  </conditionalFormatting>
  <conditionalFormatting sqref="M68">
    <cfRule type="cellIs" dxfId="5589" priority="50" operator="lessThan">
      <formula>$L$68*90%</formula>
    </cfRule>
  </conditionalFormatting>
  <conditionalFormatting sqref="B60">
    <cfRule type="cellIs" dxfId="5588" priority="49" operator="lessThan">
      <formula>0</formula>
    </cfRule>
  </conditionalFormatting>
  <conditionalFormatting sqref="B59:F59">
    <cfRule type="cellIs" dxfId="5587" priority="48" operator="lessThanOrEqual">
      <formula>0</formula>
    </cfRule>
  </conditionalFormatting>
  <conditionalFormatting sqref="D62">
    <cfRule type="cellIs" dxfId="5586" priority="46" operator="lessThan">
      <formula>$E$62</formula>
    </cfRule>
    <cfRule type="cellIs" dxfId="5585" priority="47" operator="greaterThan">
      <formula>$E$62</formula>
    </cfRule>
  </conditionalFormatting>
  <conditionalFormatting sqref="F69">
    <cfRule type="cellIs" dxfId="5584" priority="44" operator="lessThan">
      <formula>0</formula>
    </cfRule>
  </conditionalFormatting>
  <conditionalFormatting sqref="B65:E67 B69:E69 B68:D68">
    <cfRule type="cellIs" dxfId="5583" priority="45" operator="lessThan">
      <formula>0</formula>
    </cfRule>
  </conditionalFormatting>
  <conditionalFormatting sqref="E68">
    <cfRule type="cellIs" dxfId="5582" priority="43" operator="lessThan">
      <formula>0</formula>
    </cfRule>
  </conditionalFormatting>
  <conditionalFormatting sqref="F65:F68">
    <cfRule type="cellIs" dxfId="5581" priority="42" operator="lessThan">
      <formula>0</formula>
    </cfRule>
  </conditionalFormatting>
  <conditionalFormatting sqref="F65:F68">
    <cfRule type="cellIs" dxfId="5580" priority="41" operator="lessThan">
      <formula>$E$65*0.9</formula>
    </cfRule>
  </conditionalFormatting>
  <conditionalFormatting sqref="F66">
    <cfRule type="cellIs" dxfId="5579" priority="40" operator="lessThan">
      <formula>$E$66*0.9</formula>
    </cfRule>
  </conditionalFormatting>
  <conditionalFormatting sqref="F67:F68">
    <cfRule type="cellIs" dxfId="5578" priority="39" operator="lessThan">
      <formula>$E$67*0.9</formula>
    </cfRule>
  </conditionalFormatting>
  <conditionalFormatting sqref="F68">
    <cfRule type="cellIs" dxfId="5577" priority="38" operator="lessThan">
      <formula>$E$68*0.9</formula>
    </cfRule>
  </conditionalFormatting>
  <conditionalFormatting sqref="B13:F13">
    <cfRule type="cellIs" dxfId="5576" priority="27" operator="greaterThan">
      <formula>$I$16</formula>
    </cfRule>
    <cfRule type="cellIs" dxfId="5575" priority="28" operator="lessThanOrEqual">
      <formula>$I$16</formula>
    </cfRule>
  </conditionalFormatting>
  <conditionalFormatting sqref="B10:F10">
    <cfRule type="cellIs" dxfId="5574" priority="29" operator="greaterThan">
      <formula>15</formula>
    </cfRule>
    <cfRule type="cellIs" dxfId="5573" priority="36" operator="lessThan">
      <formula>$I$9</formula>
    </cfRule>
    <cfRule type="cellIs" dxfId="5572" priority="37" operator="greaterThan">
      <formula>$I$9</formula>
    </cfRule>
  </conditionalFormatting>
  <conditionalFormatting sqref="B16:F16">
    <cfRule type="cellIs" dxfId="5571" priority="34" operator="greaterThan">
      <formula>$I$16</formula>
    </cfRule>
    <cfRule type="cellIs" dxfId="5570" priority="35" operator="lessThanOrEqual">
      <formula>$I$16</formula>
    </cfRule>
  </conditionalFormatting>
  <conditionalFormatting sqref="B15:F15">
    <cfRule type="cellIs" dxfId="5569" priority="32" operator="lessThanOrEqual">
      <formula>$I$16</formula>
    </cfRule>
    <cfRule type="cellIs" dxfId="5568" priority="33" operator="greaterThan">
      <formula>$I$16</formula>
    </cfRule>
  </conditionalFormatting>
  <conditionalFormatting sqref="B14:F14">
    <cfRule type="cellIs" dxfId="5567" priority="30" operator="greaterThan">
      <formula>$I$16</formula>
    </cfRule>
    <cfRule type="cellIs" dxfId="5566" priority="31" operator="lessThanOrEqual">
      <formula>$I$16</formula>
    </cfRule>
  </conditionalFormatting>
  <conditionalFormatting sqref="K6">
    <cfRule type="containsText" dxfId="5565" priority="25" operator="containsText" text="衰退">
      <formula>NOT(ISERROR(SEARCH("衰退",K6)))</formula>
    </cfRule>
    <cfRule type="containsText" dxfId="5564" priority="26" operator="containsText" text="成長">
      <formula>NOT(ISERROR(SEARCH("成長",K6)))</formula>
    </cfRule>
  </conditionalFormatting>
  <conditionalFormatting sqref="I4:K4">
    <cfRule type="cellIs" dxfId="5563" priority="23" operator="lessThan">
      <formula>0</formula>
    </cfRule>
    <cfRule type="cellIs" dxfId="5562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561" priority="20" operator="lessThanOrEqual">
      <formula>$I$16</formula>
    </cfRule>
    <cfRule type="cellIs" dxfId="5560" priority="21" operator="greaterThan">
      <formula>$I$16</formula>
    </cfRule>
  </conditionalFormatting>
  <conditionalFormatting sqref="I6">
    <cfRule type="containsText" dxfId="5559" priority="18" operator="containsText" text="衰退">
      <formula>NOT(ISERROR(SEARCH("衰退",I6)))</formula>
    </cfRule>
    <cfRule type="containsText" dxfId="5558" priority="19" operator="containsText" text="成長">
      <formula>NOT(ISERROR(SEARCH("成長",I6)))</formula>
    </cfRule>
  </conditionalFormatting>
  <conditionalFormatting sqref="M9">
    <cfRule type="cellIs" dxfId="5557" priority="17" operator="lessThan">
      <formula>$I$9</formula>
    </cfRule>
  </conditionalFormatting>
  <conditionalFormatting sqref="M10">
    <cfRule type="cellIs" dxfId="5556" priority="16" operator="greaterThan">
      <formula>$I$9</formula>
    </cfRule>
  </conditionalFormatting>
  <conditionalFormatting sqref="M11">
    <cfRule type="cellIs" dxfId="5555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554" priority="12" operator="lessThan">
      <formula>0</formula>
    </cfRule>
    <cfRule type="cellIs" dxfId="5553" priority="13" operator="greaterThan">
      <formula>0.5</formula>
    </cfRule>
  </conditionalFormatting>
  <conditionalFormatting sqref="N14">
    <cfRule type="cellIs" dxfId="5552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551" priority="8" operator="lessThan">
      <formula>0.1</formula>
    </cfRule>
  </conditionalFormatting>
  <conditionalFormatting sqref="I14">
    <cfRule type="cellIs" dxfId="5550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549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548" priority="1" operator="lessThan">
      <formula>$N$5*0.9</formula>
    </cfRule>
    <cfRule type="cellIs" dxfId="5547" priority="2" operator="greaterThan">
      <formula>$N$5*1.1</formula>
    </cfRule>
  </conditionalFormatting>
  <hyperlinks>
    <hyperlink ref="L1" location="儀表板!A1" display="(回首頁)" xr:uid="{00000000-0004-0000-1D00-00000000000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8.15 ~ 17.91</v>
      </c>
      <c r="L1" s="83" t="s">
        <v>176</v>
      </c>
      <c r="M1" s="84" t="str">
        <f ca="1">VLOOKUP(_xlfn.NUMBERVALUE(N1),儀表板!A:B,2,FALSE)</f>
        <v>創見資訊</v>
      </c>
      <c r="N1" s="85" t="str">
        <f ca="1">MID(CELL("filename",L1),FIND("]",CELL("filename",L1))+1,255)</f>
        <v>2451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0.1112208393314725</v>
      </c>
    </row>
    <row r="3" spans="1:15" s="93" customFormat="1" x14ac:dyDescent="0.25">
      <c r="A3" s="81" t="s">
        <v>179</v>
      </c>
      <c r="B3" s="94">
        <f>SUM(F19:F22,F24:F27,J19)</f>
        <v>88.735648975820141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86.718226403547305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90.47045735370078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94.292174062190455</v>
      </c>
      <c r="L3" s="100"/>
      <c r="M3" s="79" t="s">
        <v>385</v>
      </c>
      <c r="N3" s="92">
        <f>(F69-E69)/E69</f>
        <v>8.5428501098868265E-3</v>
      </c>
    </row>
    <row r="4" spans="1:15" s="93" customFormat="1" x14ac:dyDescent="0.25">
      <c r="A4" s="81" t="s">
        <v>182</v>
      </c>
      <c r="B4" s="96">
        <f>SUM(G36:G40)*2</f>
        <v>84</v>
      </c>
      <c r="C4" s="101"/>
      <c r="D4" s="102">
        <f>F4*(1+F141/10)</f>
        <v>43.1</v>
      </c>
      <c r="E4" s="82">
        <f>(D4-F4)/F4</f>
        <v>0</v>
      </c>
      <c r="F4" s="103">
        <v>43.1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6.7471516672351433</v>
      </c>
    </row>
    <row r="5" spans="1:15" s="93" customFormat="1" x14ac:dyDescent="0.25">
      <c r="A5" s="81" t="s">
        <v>184</v>
      </c>
      <c r="B5" s="107">
        <f>SUM(F30:F34)*2</f>
        <v>95.505298315163515</v>
      </c>
      <c r="C5" s="87"/>
      <c r="D5" s="87"/>
      <c r="E5" s="87"/>
      <c r="F5" s="86"/>
      <c r="G5" s="88"/>
      <c r="M5" s="79" t="s">
        <v>386</v>
      </c>
      <c r="N5" s="152">
        <f>D62</f>
        <v>7.15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連2季成長</v>
      </c>
      <c r="L6" s="112"/>
      <c r="M6" s="79" t="s">
        <v>190</v>
      </c>
      <c r="N6" s="152">
        <f>A53</f>
        <v>7.2152524986330828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15.58</v>
      </c>
      <c r="N9" s="129"/>
    </row>
    <row r="10" spans="1:15" s="93" customFormat="1" x14ac:dyDescent="0.25">
      <c r="A10" s="123" t="s">
        <v>194</v>
      </c>
      <c r="B10" s="126">
        <f>PERCENTILE(176:176,B9)</f>
        <v>11.85</v>
      </c>
      <c r="C10" s="126">
        <f>PERCENTILE(176:176,C9)</f>
        <v>12.48</v>
      </c>
      <c r="D10" s="126">
        <f>PERCENTILE(176:176,D9)</f>
        <v>13.02</v>
      </c>
      <c r="E10" s="126">
        <f>PERCENTILE(176:176,E9)</f>
        <v>13.57</v>
      </c>
      <c r="F10" s="126">
        <f>PERCENTILE(176:176,F9)</f>
        <v>13.9</v>
      </c>
      <c r="G10" s="95"/>
      <c r="H10" s="135"/>
      <c r="I10" s="135"/>
      <c r="J10" s="135"/>
      <c r="K10" s="135"/>
      <c r="L10" s="136" t="s">
        <v>374</v>
      </c>
      <c r="M10" s="130">
        <f>MIN(176:176)</f>
        <v>10.54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46.12</v>
      </c>
      <c r="L11" s="272" t="s">
        <v>193</v>
      </c>
      <c r="M11" s="128">
        <f>STDEV(176:176)</f>
        <v>1.2059134644335858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95.588235294117666</v>
      </c>
      <c r="C13" s="141">
        <f>$B$34/5.88%</f>
        <v>116.07142857142858</v>
      </c>
      <c r="D13" s="141">
        <f>$B$34/5%</f>
        <v>136.5</v>
      </c>
      <c r="E13" s="141">
        <f>$B$34/4.35%</f>
        <v>156.89655172413794</v>
      </c>
      <c r="F13" s="141">
        <f>$B$34/3.85%</f>
        <v>177.27272727272728</v>
      </c>
      <c r="G13" s="138" t="str">
        <f>"$"&amp;ROUND(B34,2)&amp;"/"&amp;IF(STDEV(C140:F140)/AVERAGE(C140:F140)&lt;15%,"高",IF(STDEV(C140:F140)/AVERAGE(C140:F140)&lt;30%,"中","低"))</f>
        <v>$6.83/高</v>
      </c>
      <c r="H13" s="142" t="s">
        <v>199</v>
      </c>
      <c r="I13" s="143">
        <f>MAX(0,1-J15)</f>
        <v>0.10313901345291487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89.674875</v>
      </c>
      <c r="C14" s="141">
        <f>$B$33*C10</f>
        <v>94.442400000000006</v>
      </c>
      <c r="D14" s="141">
        <f>$B$33*D10</f>
        <v>98.528849999999991</v>
      </c>
      <c r="E14" s="141">
        <f>$B$33*E10</f>
        <v>102.69097499999999</v>
      </c>
      <c r="F14" s="141">
        <f>$B$33*F10</f>
        <v>105.18825</v>
      </c>
      <c r="G14" s="138" t="str">
        <f>"$"&amp;ROUND(B33,2)&amp;"/"&amp;IF(STDEV(B69:E69)/AVERAGE(B69:E69)&lt;15%,"高",IF(STDEV(B69:E69)/AVERAGE(B69:E69)&lt;30%,"中","低"))</f>
        <v>$7.57/高</v>
      </c>
      <c r="H14" s="142" t="s">
        <v>203</v>
      </c>
      <c r="I14" s="145">
        <f>G62/100*I13</f>
        <v>1.595560538116593E-2</v>
      </c>
      <c r="J14" s="76" t="s">
        <v>204</v>
      </c>
      <c r="K14" s="146"/>
      <c r="L14" s="147">
        <f>(HLOOKUP($C$1,$105:$106,2,FALSE)-HLOOKUP($C$1,$117:$127,9,FALSE))/(HLOOKUP($C$1,$117:$128,12,FALSE)/K11)</f>
        <v>4.1472030324492266</v>
      </c>
      <c r="M14" s="148">
        <f>E135/E69</f>
        <v>1.0433482810164425</v>
      </c>
      <c r="N14" s="149">
        <f>F173/100</f>
        <v>0.96550000000000002</v>
      </c>
    </row>
    <row r="15" spans="1:15" s="93" customFormat="1" x14ac:dyDescent="0.25">
      <c r="A15" s="140" t="s">
        <v>375</v>
      </c>
      <c r="B15" s="141">
        <f>$D$62*B10</f>
        <v>84.727500000000006</v>
      </c>
      <c r="C15" s="141">
        <f>$D$62*C10</f>
        <v>89.232000000000014</v>
      </c>
      <c r="D15" s="141">
        <f>$D$62*D10</f>
        <v>93.093000000000004</v>
      </c>
      <c r="E15" s="141">
        <f>$D$62*E10</f>
        <v>97.025500000000008</v>
      </c>
      <c r="F15" s="141">
        <f>$D$62*F10</f>
        <v>99.385000000000005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0.89686098654708513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79.953747256736449</v>
      </c>
      <c r="C16" s="141">
        <f>$F$69*C10</f>
        <v>84.204452807094597</v>
      </c>
      <c r="D16" s="141">
        <f>$F$69*D10</f>
        <v>87.847914707401557</v>
      </c>
      <c r="E16" s="141">
        <f>$F$69*E10</f>
        <v>91.558848124380901</v>
      </c>
      <c r="F16" s="141">
        <f>$F$69*F10</f>
        <v>93.785408174568488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731</v>
      </c>
      <c r="J17" s="92">
        <f ca="1">IF(I17&lt;=0,"",IF(I17&lt;=MIN($B$13:$F$16),(I17-MIN($B$13:$F$16))/MIN($B$13:$F$16),IF(I17&gt;=MAX($B$13:$F$16),I17/MAX($B$13:$F$16),PERCENTRANK($B$13:$F$16,I17))))</f>
        <v>4.1235897435897435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7.2949999999999999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20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1.0688644688644688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3.7656842988718166E-2</v>
      </c>
      <c r="J20" s="171">
        <f>HLOOKUP($C$1,$117:$127,11,FALSE)/HLOOKUP($C$1,$105:$115,11,FALSE)</f>
        <v>0.11488591580460818</v>
      </c>
      <c r="K20" s="163"/>
    </row>
    <row r="21" spans="1:14" s="93" customFormat="1" x14ac:dyDescent="0.25">
      <c r="A21" s="151" t="s">
        <v>201</v>
      </c>
      <c r="B21" s="161">
        <f>AVERAGE(C173:F173)/100</f>
        <v>0.99844999999999995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14.986049999999999</v>
      </c>
      <c r="G21" s="88" t="s">
        <v>220</v>
      </c>
      <c r="H21" s="123" t="s">
        <v>221</v>
      </c>
      <c r="I21" s="162">
        <f>HLOOKUP($C$1,$105:$115,7,FALSE)/HLOOKUP($C$1,$117:$127,8,FALSE)</f>
        <v>7.867527481194875</v>
      </c>
      <c r="J21" s="78"/>
      <c r="K21" s="164" t="s">
        <v>356</v>
      </c>
      <c r="L21" s="165">
        <f>HLOOKUP($C$1,$105:$115,7,FALSE)/HLOOKUP($C$1,$105:$115,11,FALSE)</f>
        <v>0.83779667286697057</v>
      </c>
      <c r="M21" s="123" t="s">
        <v>268</v>
      </c>
      <c r="N21" s="165">
        <f>HLOOKUP($C$1,$117:$127,8,FALSE)/HLOOKUP($C$1,$117:$127,11,FALSE)</f>
        <v>0.92690147274473966</v>
      </c>
    </row>
    <row r="22" spans="1:14" s="93" customFormat="1" x14ac:dyDescent="0.25">
      <c r="A22" s="140" t="s">
        <v>222</v>
      </c>
      <c r="B22" s="161">
        <f>(-1)*SUM(C133:F133)/SUM(C132:F132)</f>
        <v>2.8942115768463072E-2</v>
      </c>
      <c r="C22" s="157"/>
      <c r="D22" s="166"/>
      <c r="E22" s="140"/>
      <c r="F22" s="159">
        <f>IF(B22&lt;=0,10,IF(B22&gt;=100%,0,(1-B22)*10))</f>
        <v>9.7105788423153694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5.4984415711573718</v>
      </c>
      <c r="J22" s="78"/>
      <c r="K22" s="142" t="s">
        <v>357</v>
      </c>
      <c r="L22" s="165">
        <f>HLOOKUP($C$1,$105:$115,4,FALSE)/HLOOKUP($C$1,$105:$115,11,FALSE)</f>
        <v>0.1341067538873838</v>
      </c>
      <c r="M22" s="123" t="s">
        <v>353</v>
      </c>
      <c r="N22" s="165">
        <f>HLOOKUP($C$1,$117:$127,4,FALSE)/HLOOKUP($C$1,$117:$127,11,FALSE)</f>
        <v>0.67222402567810913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1.1297978620564428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0.2522790416569346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45.69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3.0520849587483592E-2</v>
      </c>
      <c r="M24" s="123" t="s">
        <v>355</v>
      </c>
      <c r="N24" s="165">
        <f>HLOOKUP($C$1,$117:$127,9,FALSE)/HLOOKUP($C$1,$117:$127,11,FALSE)</f>
        <v>7.3098527255260365E-2</v>
      </c>
    </row>
    <row r="25" spans="1:14" s="93" customFormat="1" x14ac:dyDescent="0.25">
      <c r="A25" s="151" t="s">
        <v>366</v>
      </c>
      <c r="B25" s="255">
        <f>AVERAGE(94:94)</f>
        <v>44443.043478260872</v>
      </c>
      <c r="C25" s="254">
        <f>STDEV(94:94)/AVERAGE(94:94)</f>
        <v>4.9609798664952232</v>
      </c>
      <c r="D25" s="76" t="str">
        <f>IF(C25&lt;=1,"高",IF(C25&lt;=2,"中","低"))</f>
        <v>低</v>
      </c>
      <c r="E25" s="149"/>
      <c r="F25" s="160">
        <f>MAX(0,10-ABS(C25))</f>
        <v>5.0390201335047768</v>
      </c>
      <c r="G25" s="88" t="s">
        <v>213</v>
      </c>
      <c r="H25" s="123" t="s">
        <v>232</v>
      </c>
      <c r="I25" s="170">
        <f>IF(HLOOKUP(C1,167:170,3,FALSE)="無",0,HLOOKUP(C1,167:170,3,FALSE))</f>
        <v>118.42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40.328695652173913</v>
      </c>
      <c r="C26" s="172">
        <f>IF(COUNTIF(168:168,"&gt;0")=0,0,STDEV(168:168))</f>
        <v>4.1730404267347128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101.69869565217394</v>
      </c>
      <c r="C27" s="172">
        <f>IF(COUNTIF(169:169,"&gt;0")=0,0,STDEV(169:169))</f>
        <v>15.450553477684611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6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0.20117499999999999</v>
      </c>
      <c r="C30" s="157" t="s">
        <v>217</v>
      </c>
      <c r="D30" s="174">
        <f>COUNTIF(146:146,"&gt;20")/COUNT(146:146)</f>
        <v>0.52173913043478259</v>
      </c>
      <c r="E30" s="140" t="s">
        <v>239</v>
      </c>
      <c r="F30" s="159">
        <f>MIN(B30/25%*10,10)</f>
        <v>8.0470000000000006</v>
      </c>
      <c r="G30" s="175"/>
      <c r="H30" s="176"/>
    </row>
    <row r="31" spans="1:14" x14ac:dyDescent="0.25">
      <c r="A31" s="164" t="s">
        <v>240</v>
      </c>
      <c r="B31" s="173">
        <f>AVERAGE(C155:F155)/100</f>
        <v>0.12984999999999999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16.125</v>
      </c>
      <c r="C32" s="157" t="s">
        <v>217</v>
      </c>
      <c r="D32" s="174">
        <f>COUNTIF(159:159,"&gt;3")/COUNT(159:159)</f>
        <v>0.82608695652173914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7.5674999999999999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6.8250000000000002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9.7056491575817638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25090021.75</v>
      </c>
      <c r="C36" s="178">
        <f>STDEV(C97:F97)</f>
        <v>2201706.7627052995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20.1175</v>
      </c>
      <c r="C37" s="180">
        <f>STDEV(C152:F152)</f>
        <v>1.6789753819914486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13.452500000000001</v>
      </c>
      <c r="C38" s="180">
        <f>STDEV(C153:F153)</f>
        <v>1.1841839665637546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16.125</v>
      </c>
      <c r="C39" s="181">
        <f>STDEV(C165:F165)</f>
        <v>1.7903537825431786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7.5674999999999999</v>
      </c>
      <c r="C40" s="183">
        <f>STDEV(B69:E69)</f>
        <v>0.81895767086380389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0.49999999999999978</v>
      </c>
      <c r="C44" s="186">
        <f>(C46-C49)/C49</f>
        <v>1.6949152542372895E-2</v>
      </c>
      <c r="D44" s="186">
        <f>(D46-D49)/D49</f>
        <v>-8.2758620689655102E-2</v>
      </c>
      <c r="E44" s="186">
        <f>(E46-E49)/E49</f>
        <v>0.26063829787234055</v>
      </c>
      <c r="G44" s="86" t="s">
        <v>175</v>
      </c>
      <c r="H44" s="186">
        <f>(H47-H50)/H50</f>
        <v>0.26543647977288848</v>
      </c>
      <c r="I44" s="186">
        <f>(I47-I50)/I50</f>
        <v>0.42714723926380371</v>
      </c>
      <c r="J44" s="186">
        <f>(J47-J50)/J50</f>
        <v>0.44541778975741231</v>
      </c>
      <c r="K44" s="186">
        <f>(K47-K50)/K50</f>
        <v>0.45126945126945106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1.65</v>
      </c>
      <c r="C46" s="152">
        <f>HLOOKUP(C45,$81:$82,2,FALSE)</f>
        <v>1.8</v>
      </c>
      <c r="D46" s="152">
        <f>HLOOKUP(D45,$81:$82,2,FALSE)</f>
        <v>1.33</v>
      </c>
      <c r="E46" s="152">
        <f>HLOOKUP(E45,$81:$82,2,FALSE)</f>
        <v>2.37</v>
      </c>
      <c r="G46" s="86" t="s">
        <v>164</v>
      </c>
      <c r="H46" s="145">
        <f>HLOOKUP(H45,$145:$147,2,FALSE)/100</f>
        <v>0.25069999999999998</v>
      </c>
      <c r="I46" s="145">
        <f>HLOOKUP(I45,$145:$147,2,FALSE)/100</f>
        <v>0.26219999999999999</v>
      </c>
      <c r="J46" s="145">
        <f>HLOOKUP(J45,$145:$147,2,FALSE)/100</f>
        <v>0.28360000000000002</v>
      </c>
      <c r="K46" s="145">
        <f>HLOOKUP(K45,$145:$147,2,FALSE)/100</f>
        <v>0.24789999999999998</v>
      </c>
    </row>
    <row r="47" spans="1:14" x14ac:dyDescent="0.25">
      <c r="A47" s="188" t="s">
        <v>165</v>
      </c>
      <c r="B47" s="189">
        <f>HLOOKUP(B45,$157:$159,3,FALSE)</f>
        <v>3.65</v>
      </c>
      <c r="C47" s="189">
        <f>HLOOKUP(C45,$157:$159,3,FALSE)</f>
        <v>3.89</v>
      </c>
      <c r="D47" s="189">
        <f>HLOOKUP(D45,$157:$159,3,FALSE)</f>
        <v>2.79</v>
      </c>
      <c r="E47" s="189">
        <f>HLOOKUP(E45,$157:$159,3,FALSE)</f>
        <v>5.14</v>
      </c>
      <c r="G47" s="190" t="s">
        <v>166</v>
      </c>
      <c r="H47" s="145">
        <f>HLOOKUP(H45,$145:$147,3,FALSE)/100</f>
        <v>0.17829999999999999</v>
      </c>
      <c r="I47" s="145">
        <f>HLOOKUP(I45,$145:$147,3,FALSE)/100</f>
        <v>0.18609999999999999</v>
      </c>
      <c r="J47" s="145">
        <f>HLOOKUP(J45,$145:$147,3,FALSE)/100</f>
        <v>0.2145</v>
      </c>
      <c r="K47" s="145">
        <f>HLOOKUP(K45,$145:$147,3,FALSE)/100</f>
        <v>0.1772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1.1000000000000001</v>
      </c>
      <c r="C49" s="152">
        <f>HLOOKUP(C48,$81:$82,2,FALSE)</f>
        <v>1.77</v>
      </c>
      <c r="D49" s="152">
        <f>HLOOKUP(D48,$81:$82,2,FALSE)</f>
        <v>1.45</v>
      </c>
      <c r="E49" s="152">
        <f>HLOOKUP(E48,$81:$82,2,FALSE)</f>
        <v>1.88</v>
      </c>
      <c r="G49" s="86" t="s">
        <v>164</v>
      </c>
      <c r="H49" s="145">
        <f>HLOOKUP(H48,$145:$147,2,FALSE)/100</f>
        <v>0.21299999999999999</v>
      </c>
      <c r="I49" s="145">
        <f>HLOOKUP(I48,$145:$147,2,FALSE)/100</f>
        <v>0.21149999999999999</v>
      </c>
      <c r="J49" s="145">
        <f>HLOOKUP(J48,$145:$147,2,FALSE)/100</f>
        <v>0.2223</v>
      </c>
      <c r="K49" s="145">
        <f>HLOOKUP(K48,$145:$147,2,FALSE)/100</f>
        <v>0.1852</v>
      </c>
    </row>
    <row r="50" spans="1:15" x14ac:dyDescent="0.25">
      <c r="A50" s="188" t="s">
        <v>165</v>
      </c>
      <c r="B50" s="189">
        <f>HLOOKUP(B48,$157:$159,3,FALSE)</f>
        <v>2.48</v>
      </c>
      <c r="C50" s="189">
        <f>HLOOKUP(C48,$157:$159,3,FALSE)</f>
        <v>3.81</v>
      </c>
      <c r="D50" s="189">
        <f>HLOOKUP(D48,$157:$159,3,FALSE)</f>
        <v>2.99</v>
      </c>
      <c r="E50" s="189">
        <f>HLOOKUP(E48,$157:$159,3,FALSE)</f>
        <v>4.0199999999999996</v>
      </c>
      <c r="G50" s="190" t="s">
        <v>166</v>
      </c>
      <c r="H50" s="145">
        <f>HLOOKUP(H48,$145:$147,3,FALSE)/100</f>
        <v>0.1409</v>
      </c>
      <c r="I50" s="145">
        <f>HLOOKUP(I48,$145:$147,3,FALSE)/100</f>
        <v>0.13039999999999999</v>
      </c>
      <c r="J50" s="145">
        <f>HLOOKUP(J48,$145:$147,3,FALSE)/100</f>
        <v>0.1484</v>
      </c>
      <c r="K50" s="145">
        <f>HLOOKUP(K48,$145:$147,3,FALSE)/100</f>
        <v>0.12210000000000001</v>
      </c>
    </row>
    <row r="51" spans="1:15" x14ac:dyDescent="0.25">
      <c r="A51" s="86" t="s">
        <v>351</v>
      </c>
      <c r="B51" s="186">
        <f>(B47-B50)/B50</f>
        <v>0.47177419354838707</v>
      </c>
      <c r="C51" s="186">
        <f>(C47-C50)/C50</f>
        <v>2.0997375328084007E-2</v>
      </c>
      <c r="D51" s="186">
        <f>(D47-D50)/D50</f>
        <v>-6.6889632107023464E-2</v>
      </c>
      <c r="E51" s="186">
        <f>(E47-E50)/E50</f>
        <v>0.27860696517412942</v>
      </c>
      <c r="G51" s="235" t="s">
        <v>174</v>
      </c>
      <c r="H51" s="186">
        <f>(H46-H49)/H49</f>
        <v>0.17699530516431919</v>
      </c>
      <c r="I51" s="186">
        <f>(I46-I49)/I49</f>
        <v>0.23971631205673757</v>
      </c>
      <c r="J51" s="186">
        <f>(J46-J49)/J49</f>
        <v>0.27575348627980217</v>
      </c>
      <c r="K51" s="186">
        <f>(K46-K49)/K49</f>
        <v>0.33855291576673852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7.2152524986330828</v>
      </c>
      <c r="B53" s="193">
        <f>B46</f>
        <v>1.65</v>
      </c>
      <c r="C53" s="193">
        <f>E46/HLOOKUP(E45,$87:$94,5,FALSE)*HLOOKUP(E45,$87:$94,4,FALSE)*($B$25/HLOOKUP(E45,$87:$94,4,FALSE)+SUM($B$57:$D$57)/SUM($B58:$D$58)*$G$69/100/K46)</f>
        <v>1.9671516672351441</v>
      </c>
      <c r="D53" s="193">
        <f>D46/HLOOKUP(D45,$87:$94,5,FALSE)*HLOOKUP(D45,$87:$94,4,FALSE)*($B$25/HLOOKUP(D45,$87:$94,4,FALSE)+SUM($B$57:$D$57)/SUM($B58:$D$58)*$G$69/100/J46)</f>
        <v>2.0278882472666373</v>
      </c>
      <c r="E53" s="193">
        <f>C46/HLOOKUP(C45,$87:$94,5,FALSE)*HLOOKUP(C45,$87:$94,4,FALSE)*($B$25/HLOOKUP(C45,$87:$94,4,FALSE)+SUM($B$57:$D$57)/SUM($B58:$D$58)*$G$69/100/I46)</f>
        <v>1.5702125841313015</v>
      </c>
    </row>
    <row r="54" spans="1:15" x14ac:dyDescent="0.25">
      <c r="A54" s="278">
        <f>SUM(B54:E54)</f>
        <v>6.6000000000000005</v>
      </c>
      <c r="B54" s="277">
        <f t="shared" ref="B54:D54" si="0">HLOOKUP(B52-10,81:82,2,FALSE)</f>
        <v>1.1000000000000001</v>
      </c>
      <c r="C54" s="277">
        <f t="shared" si="0"/>
        <v>2.37</v>
      </c>
      <c r="D54" s="277">
        <f t="shared" si="0"/>
        <v>1.33</v>
      </c>
      <c r="E54" s="277">
        <f>HLOOKUP(E52-10,81:82,2,FALSE)</f>
        <v>1.8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1739958</v>
      </c>
      <c r="C57" s="196">
        <f>HLOOKUP(C56,78:79,2,FALSE)</f>
        <v>1965561</v>
      </c>
      <c r="D57" s="196">
        <f>HLOOKUP(D56,78:79,2,FALSE)</f>
        <v>1716813</v>
      </c>
      <c r="E57" s="196">
        <f>HLOOKUP(E56,78:79,2,FALSE)</f>
        <v>1778606</v>
      </c>
      <c r="F57" s="196">
        <f>HLOOKUP(F56,78:79,2,FALSE)</f>
        <v>1712156</v>
      </c>
      <c r="G57" s="196">
        <f t="shared" ref="G57:M57" si="2">HLOOKUP(G56,78:79,2,FALSE)</f>
        <v>1621007</v>
      </c>
      <c r="H57" s="196">
        <f t="shared" si="2"/>
        <v>1663317</v>
      </c>
      <c r="I57" s="196">
        <f t="shared" si="2"/>
        <v>2029746</v>
      </c>
      <c r="J57" s="196">
        <f t="shared" si="2"/>
        <v>1692635</v>
      </c>
      <c r="K57" s="196">
        <f t="shared" si="2"/>
        <v>1967387</v>
      </c>
      <c r="L57" s="196">
        <f t="shared" si="2"/>
        <v>1744710</v>
      </c>
      <c r="M57" s="196">
        <f t="shared" si="2"/>
        <v>1969930</v>
      </c>
      <c r="N57" s="197"/>
    </row>
    <row r="58" spans="1:15" x14ac:dyDescent="0.25">
      <c r="A58" s="198" t="s">
        <v>253</v>
      </c>
      <c r="B58" s="196">
        <f>HLOOKUP(B56-100,78:79,2,FALSE)</f>
        <v>1985172</v>
      </c>
      <c r="C58" s="196">
        <f>HLOOKUP(C56-100,78:79,2,FALSE)</f>
        <v>1861115</v>
      </c>
      <c r="D58" s="196">
        <f>HLOOKUP(D56-100,78:79,2,FALSE)</f>
        <v>1794431</v>
      </c>
      <c r="E58" s="196">
        <f>HLOOKUP(E56-100,78:79,2,FALSE)</f>
        <v>1769372</v>
      </c>
      <c r="F58" s="196">
        <f>HLOOKUP(F56-100,78:79,2,FALSE)</f>
        <v>1851611</v>
      </c>
      <c r="G58" s="196">
        <f t="shared" ref="G58:M58" si="3">HLOOKUP(G56-100,78:79,2,FALSE)</f>
        <v>1729785</v>
      </c>
      <c r="H58" s="196">
        <f t="shared" si="3"/>
        <v>1750781</v>
      </c>
      <c r="I58" s="196">
        <f t="shared" si="3"/>
        <v>1925043</v>
      </c>
      <c r="J58" s="196">
        <f t="shared" si="3"/>
        <v>1594880</v>
      </c>
      <c r="K58" s="196">
        <f t="shared" si="3"/>
        <v>2128111</v>
      </c>
      <c r="L58" s="196">
        <f t="shared" si="3"/>
        <v>2149094</v>
      </c>
      <c r="M58" s="196">
        <f t="shared" si="3"/>
        <v>2322283</v>
      </c>
      <c r="N58" s="197"/>
    </row>
    <row r="59" spans="1:15" x14ac:dyDescent="0.25">
      <c r="A59" s="199" t="s">
        <v>254</v>
      </c>
      <c r="B59" s="165">
        <f>IF(B57&lt;&gt;"",(B57-B58)/B58,"")</f>
        <v>-0.12352279802455404</v>
      </c>
      <c r="C59" s="165">
        <f>IF(C57&lt;&gt;"",(C57-C58)/C58,"")</f>
        <v>5.6120121540044546E-2</v>
      </c>
      <c r="D59" s="165">
        <f>IF(D57&lt;&gt;"",(D57-D58)/D58,"")</f>
        <v>-4.3254937080333546E-2</v>
      </c>
      <c r="E59" s="165">
        <f>IF(E57&lt;&gt;"",(E57-E58)/E58,"")</f>
        <v>5.2188007948582886E-3</v>
      </c>
      <c r="F59" s="165">
        <f>IF(F57&lt;&gt;"",(F57-F58)/F58,"")</f>
        <v>-7.5315495533349069E-2</v>
      </c>
      <c r="G59" s="165">
        <f t="shared" ref="G59:M59" si="4">IF(G57&lt;&gt;"",(G57-G58)/G58,"")</f>
        <v>-6.2885271869047313E-2</v>
      </c>
      <c r="H59" s="165">
        <f t="shared" si="4"/>
        <v>-4.995713341645814E-2</v>
      </c>
      <c r="I59" s="165">
        <f t="shared" si="4"/>
        <v>5.4389953886744349E-2</v>
      </c>
      <c r="J59" s="165">
        <f t="shared" si="4"/>
        <v>6.1293012640449437E-2</v>
      </c>
      <c r="K59" s="165">
        <f t="shared" si="4"/>
        <v>-7.5524256018600536E-2</v>
      </c>
      <c r="L59" s="165">
        <f t="shared" si="4"/>
        <v>-0.1881648731977289</v>
      </c>
      <c r="M59" s="165">
        <f t="shared" si="4"/>
        <v>-0.15172698590137379</v>
      </c>
    </row>
    <row r="60" spans="1:15" x14ac:dyDescent="0.25">
      <c r="A60" s="195" t="s">
        <v>255</v>
      </c>
      <c r="B60" s="196">
        <f>SUM(B57:M57)</f>
        <v>21601826</v>
      </c>
    </row>
    <row r="61" spans="1:15" x14ac:dyDescent="0.25">
      <c r="A61" s="198" t="s">
        <v>256</v>
      </c>
      <c r="B61" s="196">
        <f>SUM(B58:M58)</f>
        <v>22861678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0.94489240903489236</v>
      </c>
      <c r="D62" s="152">
        <f>SUM(B46:E46)</f>
        <v>7.15</v>
      </c>
      <c r="E62" s="152">
        <f>SUM(B49:E49)</f>
        <v>6.2</v>
      </c>
      <c r="G62" s="126">
        <f>SUM(B47:E47)</f>
        <v>15.469999999999999</v>
      </c>
      <c r="H62" s="126">
        <f>SUM(B50:E50)</f>
        <v>13.3</v>
      </c>
      <c r="J62" s="200">
        <f>AVERAGE(H46:K46)</f>
        <v>0.2611</v>
      </c>
      <c r="K62" s="200">
        <f>AVERAGE(H49:K49)</f>
        <v>0.20800000000000002</v>
      </c>
      <c r="M62" s="200">
        <f>AVERAGE(H47:K47)</f>
        <v>0.189025</v>
      </c>
      <c r="N62" s="200">
        <f>AVERAGE(H50:K50)</f>
        <v>0.13544999999999999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2.02</v>
      </c>
      <c r="C65" s="205">
        <f t="shared" si="5"/>
        <v>2.09</v>
      </c>
      <c r="D65" s="205">
        <f t="shared" si="5"/>
        <v>1.94</v>
      </c>
      <c r="E65" s="205">
        <f t="shared" si="5"/>
        <v>1.45</v>
      </c>
      <c r="F65" s="206">
        <f>IF(ISNA(HLOOKUP(F$64*10+$A65,$81:$82,2,FALSE)),(HLOOKUP(E$64*10+$A65,$87:$94,4,FALSE)*$G65+$B$25)/HLOOKUP(E$64*10+$A65,$87:$94,5,FALSE)*$E65,HLOOKUP(F$64*10+$A65,$81:$82,2,FALSE))</f>
        <v>1.33</v>
      </c>
      <c r="G65" s="101">
        <f>MIN(130%,SUM($B$57:$D$57)/SUM($B$58:$D$58)*$G$69/HLOOKUP(E$64*10+$A65,$145:$146,2,FALSE))</f>
        <v>1.0433853667327866</v>
      </c>
      <c r="H65" s="204">
        <v>1</v>
      </c>
      <c r="I65" s="208">
        <f t="shared" ref="I65:M68" si="6">IF(ISNA(HLOOKUP(I$64*10+$H65,$145:$147,3,FALSE)),"",HLOOKUP(I$64*10+$H65,$145:$147,3,FALSE)/100)</f>
        <v>0.13070000000000001</v>
      </c>
      <c r="J65" s="208">
        <f t="shared" si="6"/>
        <v>0.1336</v>
      </c>
      <c r="K65" s="208">
        <f t="shared" si="6"/>
        <v>0.15140000000000001</v>
      </c>
      <c r="L65" s="208">
        <f t="shared" si="6"/>
        <v>0.1484</v>
      </c>
      <c r="M65" s="209">
        <f t="shared" si="6"/>
        <v>0.2145</v>
      </c>
      <c r="N65" s="256">
        <f t="shared" ref="N65:O68" si="7">HLOOKUP(E$64*10+$A65,$87:$94,8,FALSE)</f>
        <v>-151703</v>
      </c>
      <c r="O65" s="256">
        <f t="shared" si="7"/>
        <v>-536660</v>
      </c>
      <c r="P65" s="210"/>
    </row>
    <row r="66" spans="1:71" x14ac:dyDescent="0.25">
      <c r="A66" s="204">
        <v>2</v>
      </c>
      <c r="B66" s="205">
        <f t="shared" si="5"/>
        <v>2.33</v>
      </c>
      <c r="C66" s="205">
        <f t="shared" si="5"/>
        <v>1.95</v>
      </c>
      <c r="D66" s="205">
        <f t="shared" si="5"/>
        <v>1.1399999999999999</v>
      </c>
      <c r="E66" s="205">
        <f t="shared" si="5"/>
        <v>1.77</v>
      </c>
      <c r="F66" s="206">
        <f>IF(ISNA(HLOOKUP(F$64*10+$A66,$81:$82,2,FALSE)),(HLOOKUP(E$64*10+$A66,$87:$94,4,FALSE)*$G66+$B$25)/HLOOKUP(E$64*10+$A66,$87:$94,5,FALSE)*$E66,HLOOKUP(F$64*10+$A66,$81:$82,2,FALSE))</f>
        <v>1.8</v>
      </c>
      <c r="G66" s="101">
        <f>MIN(130%,SUM($B$57:$D$57)/SUM($B$58:$D$58)*$G$69/HLOOKUP(E$64*10+$A66,$145:$146,2,FALSE))</f>
        <v>1.0966646195021206</v>
      </c>
      <c r="H66" s="204">
        <v>2</v>
      </c>
      <c r="I66" s="208">
        <f t="shared" si="6"/>
        <v>0.16059999999999999</v>
      </c>
      <c r="J66" s="208">
        <f t="shared" si="6"/>
        <v>0.15130000000000002</v>
      </c>
      <c r="K66" s="208">
        <f t="shared" si="6"/>
        <v>0.1119</v>
      </c>
      <c r="L66" s="208">
        <f t="shared" si="6"/>
        <v>0.13039999999999999</v>
      </c>
      <c r="M66" s="209">
        <f t="shared" si="6"/>
        <v>0.18609999999999999</v>
      </c>
      <c r="N66" s="256">
        <f t="shared" si="7"/>
        <v>141660</v>
      </c>
      <c r="O66" s="256">
        <f t="shared" si="7"/>
        <v>64025</v>
      </c>
      <c r="P66" s="210"/>
    </row>
    <row r="67" spans="1:71" x14ac:dyDescent="0.25">
      <c r="A67" s="204">
        <v>3</v>
      </c>
      <c r="B67" s="205">
        <f t="shared" si="5"/>
        <v>1.44</v>
      </c>
      <c r="C67" s="205">
        <f t="shared" si="5"/>
        <v>2.2400000000000002</v>
      </c>
      <c r="D67" s="205">
        <f t="shared" si="5"/>
        <v>2.52</v>
      </c>
      <c r="E67" s="205">
        <f t="shared" si="5"/>
        <v>1.1000000000000001</v>
      </c>
      <c r="F67" s="206">
        <f>IF(ISNA(HLOOKUP(F$64*10+$A67,$81:$82,2,FALSE)),(HLOOKUP(E$64*10+$A67,$87:$94,4,FALSE)*$G67+$B$25)/HLOOKUP(E$64*10+$A67,$87:$94,5,FALSE)*$E67,HLOOKUP(F$64*10+$A67,$81:$82,2,FALSE))</f>
        <v>1.65</v>
      </c>
      <c r="G67" s="101">
        <f>MIN(130%,SUM($B$57:$D$57)/SUM($B$58:$D$58)*$G$69/HLOOKUP(E$64*10+$A67,$145:$146,2,FALSE))</f>
        <v>1.0889416292239364</v>
      </c>
      <c r="H67" s="204">
        <v>3</v>
      </c>
      <c r="I67" s="208">
        <f t="shared" si="6"/>
        <v>0.1076</v>
      </c>
      <c r="J67" s="208">
        <f t="shared" si="6"/>
        <v>0.1421</v>
      </c>
      <c r="K67" s="208">
        <f t="shared" si="6"/>
        <v>0.1043</v>
      </c>
      <c r="L67" s="208">
        <f t="shared" si="6"/>
        <v>0.1409</v>
      </c>
      <c r="M67" s="209">
        <f t="shared" si="6"/>
        <v>0.17829999999999999</v>
      </c>
      <c r="N67" s="256">
        <f t="shared" si="7"/>
        <v>-236417</v>
      </c>
      <c r="O67" s="256">
        <f t="shared" si="7"/>
        <v>-82471</v>
      </c>
      <c r="P67" s="210"/>
    </row>
    <row r="68" spans="1:71" x14ac:dyDescent="0.25">
      <c r="A68" s="204">
        <v>4</v>
      </c>
      <c r="B68" s="205">
        <f>HLOOKUP(B$64*10+$A68,$81:$82,2,FALSE)</f>
        <v>1.64</v>
      </c>
      <c r="C68" s="205">
        <f>HLOOKUP(C$64*10+$A68,$81:$82,2,FALSE)</f>
        <v>2.39</v>
      </c>
      <c r="D68" s="205">
        <f>HLOOKUP(D$64*10+$A68,$81:$82,2,FALSE)</f>
        <v>1.88</v>
      </c>
      <c r="E68" s="206">
        <f>IF(ISNA(HLOOKUP(E$64*10+$A68,$81:$82,2,FALSE)),D68*(1-$N68)*#REF!*(1+$B$25)/(1+$E$4),HLOOKUP(E$64*10+$A68,$81:$82,2,FALSE))</f>
        <v>2.37</v>
      </c>
      <c r="F68" s="206">
        <f>IF(ISNA(HLOOKUP(F$64*10+$A68,$81:$82,2,FALSE)),(HLOOKUP(E$64*10+$A68,$87:$94,4,FALSE)*$G68+$B$25)/HLOOKUP(E$64*10+$A68,$87:$94,5,FALSE)*$E68,HLOOKUP(F$64*10+$A68,$81:$82,2,FALSE))</f>
        <v>1.9671516672351439</v>
      </c>
      <c r="G68" s="101">
        <f>MIN(130%,SUM($B$57:$D$57)/SUM($B$58:$D$58)*$G$69/HLOOKUP(E$64*10+$A68,$145:$146,2,FALSE))</f>
        <v>0.93563762414158314</v>
      </c>
      <c r="H68" s="204">
        <v>4</v>
      </c>
      <c r="I68" s="208">
        <f t="shared" si="6"/>
        <v>0.1168</v>
      </c>
      <c r="J68" s="208">
        <f t="shared" si="6"/>
        <v>0.1244</v>
      </c>
      <c r="K68" s="208">
        <f t="shared" si="6"/>
        <v>0.12210000000000001</v>
      </c>
      <c r="L68" s="208">
        <f t="shared" si="6"/>
        <v>0.1772</v>
      </c>
      <c r="M68" s="209" t="str">
        <f t="shared" si="6"/>
        <v/>
      </c>
      <c r="N68" s="256">
        <f t="shared" si="7"/>
        <v>182082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7.4299999999999988</v>
      </c>
      <c r="C69" s="213">
        <f>SUM(C65:C68)</f>
        <v>8.67</v>
      </c>
      <c r="D69" s="213">
        <f>SUM(D65:D68)</f>
        <v>7.4799999999999995</v>
      </c>
      <c r="E69" s="213">
        <f>SUM(E65:E68)</f>
        <v>6.69</v>
      </c>
      <c r="F69" s="213">
        <f>SUM(F65:F68)</f>
        <v>6.7471516672351433</v>
      </c>
      <c r="G69" s="257">
        <f>_xlfn.FORECAST.ETS(23,B146:W146,{1,2,3,4,5,6,7,8,9,10,11,12,13,14,15,16,17,18,19,20,21,22})</f>
        <v>24.128620199176723</v>
      </c>
      <c r="H69" s="214" t="s">
        <v>19</v>
      </c>
      <c r="I69" s="215">
        <f>HLOOKUP(I64,151:155,3,FALSE)/100</f>
        <v>0.1283</v>
      </c>
      <c r="J69" s="215">
        <f>HLOOKUP(J64,151:155,3,FALSE)/100</f>
        <v>0.13769999999999999</v>
      </c>
      <c r="K69" s="215">
        <f>HLOOKUP(K64,151:155,3,FALSE)/100</f>
        <v>0.1225</v>
      </c>
      <c r="L69" s="215">
        <f>IF(ISNA(HLOOKUP(L64,151:155,3,FALSE)/100),AVERAGE(L65:L68),HLOOKUP(L64,151:155,3,FALSE)/100)</f>
        <v>0.14960000000000001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4.38</v>
      </c>
      <c r="C72" s="205">
        <f t="shared" si="8"/>
        <v>4.4400000000000004</v>
      </c>
      <c r="D72" s="205">
        <f t="shared" si="8"/>
        <v>3.96</v>
      </c>
      <c r="E72" s="205">
        <f t="shared" si="8"/>
        <v>2.99</v>
      </c>
      <c r="F72" s="205">
        <f t="shared" si="8"/>
        <v>2.79</v>
      </c>
    </row>
    <row r="73" spans="1:71" s="135" customFormat="1" x14ac:dyDescent="0.25">
      <c r="A73" s="204">
        <v>2</v>
      </c>
      <c r="B73" s="205">
        <f t="shared" si="8"/>
        <v>5.17</v>
      </c>
      <c r="C73" s="205">
        <f t="shared" si="8"/>
        <v>4.26</v>
      </c>
      <c r="D73" s="205">
        <f t="shared" si="8"/>
        <v>2.4500000000000002</v>
      </c>
      <c r="E73" s="205">
        <f t="shared" si="8"/>
        <v>3.81</v>
      </c>
      <c r="F73" s="205">
        <f t="shared" si="8"/>
        <v>3.89</v>
      </c>
    </row>
    <row r="74" spans="1:71" s="135" customFormat="1" x14ac:dyDescent="0.25">
      <c r="A74" s="204">
        <v>3</v>
      </c>
      <c r="B74" s="205">
        <f t="shared" si="8"/>
        <v>3.31</v>
      </c>
      <c r="C74" s="205">
        <f t="shared" si="8"/>
        <v>5.05</v>
      </c>
      <c r="D74" s="205">
        <f t="shared" si="8"/>
        <v>5.67</v>
      </c>
      <c r="E74" s="205">
        <f t="shared" si="8"/>
        <v>2.48</v>
      </c>
      <c r="F74" s="205">
        <f t="shared" si="8"/>
        <v>3.65</v>
      </c>
    </row>
    <row r="75" spans="1:71" s="135" customFormat="1" x14ac:dyDescent="0.25">
      <c r="A75" s="204">
        <v>4</v>
      </c>
      <c r="B75" s="205">
        <f t="shared" si="8"/>
        <v>3.64</v>
      </c>
      <c r="C75" s="205">
        <f t="shared" si="8"/>
        <v>5.0999999999999996</v>
      </c>
      <c r="D75" s="205">
        <f t="shared" si="8"/>
        <v>4.0199999999999996</v>
      </c>
      <c r="E75" s="205">
        <f t="shared" si="8"/>
        <v>5.14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16.5</v>
      </c>
      <c r="C76" s="213">
        <f>SUM(C72:C75)</f>
        <v>18.850000000000001</v>
      </c>
      <c r="D76" s="213">
        <f>SUM(D72:D75)</f>
        <v>16.100000000000001</v>
      </c>
      <c r="E76" s="213">
        <f>AVERAGE(E72:E75)*4</f>
        <v>14.420000000000002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1854714</v>
      </c>
      <c r="C79" s="270">
        <v>1900422</v>
      </c>
      <c r="D79" s="270">
        <v>2042800</v>
      </c>
      <c r="E79" s="270">
        <v>1934303</v>
      </c>
      <c r="F79" s="270">
        <v>2049888</v>
      </c>
      <c r="G79" s="270">
        <v>2253726</v>
      </c>
      <c r="H79" s="270">
        <v>2261844</v>
      </c>
      <c r="I79" s="270">
        <v>2086968</v>
      </c>
      <c r="J79" s="270">
        <v>2326580</v>
      </c>
      <c r="K79" s="270">
        <v>2449517</v>
      </c>
      <c r="L79" s="270">
        <v>2499145</v>
      </c>
      <c r="M79" s="270">
        <v>1725460</v>
      </c>
      <c r="N79" s="270">
        <v>2313436</v>
      </c>
      <c r="O79" s="270">
        <v>2114208</v>
      </c>
      <c r="P79" s="270">
        <v>2623798</v>
      </c>
      <c r="Q79" s="270">
        <v>1728866</v>
      </c>
      <c r="R79" s="270">
        <v>1877138</v>
      </c>
      <c r="S79" s="270">
        <v>2345255</v>
      </c>
      <c r="T79" s="270">
        <v>2018337</v>
      </c>
      <c r="U79" s="270">
        <v>2101207</v>
      </c>
      <c r="V79" s="270">
        <v>2270267</v>
      </c>
      <c r="W79" s="270">
        <v>2164250</v>
      </c>
      <c r="X79" s="270">
        <v>2420961</v>
      </c>
      <c r="Y79" s="270">
        <v>2120860</v>
      </c>
      <c r="Z79" s="270">
        <v>2441803</v>
      </c>
      <c r="AA79" s="270">
        <v>2039008</v>
      </c>
      <c r="AB79" s="270">
        <v>2315758</v>
      </c>
      <c r="AC79" s="270">
        <v>2174297</v>
      </c>
      <c r="AD79" s="270">
        <v>2286714</v>
      </c>
      <c r="AE79" s="270">
        <v>2195377</v>
      </c>
      <c r="AF79" s="270">
        <v>2543027</v>
      </c>
      <c r="AG79" s="270">
        <v>2121199</v>
      </c>
      <c r="AH79" s="270">
        <v>2125402</v>
      </c>
      <c r="AI79" s="270">
        <v>2497793</v>
      </c>
      <c r="AJ79" s="270">
        <v>2266940</v>
      </c>
      <c r="AK79" s="270">
        <v>2212176</v>
      </c>
      <c r="AL79" s="270">
        <v>2109547</v>
      </c>
      <c r="AM79" s="270">
        <v>1760299</v>
      </c>
      <c r="AN79" s="270">
        <v>2261899</v>
      </c>
      <c r="AO79" s="270">
        <v>2102879</v>
      </c>
      <c r="AP79" s="270">
        <v>1962425</v>
      </c>
      <c r="AQ79" s="270">
        <v>1959620</v>
      </c>
      <c r="AR79" s="270">
        <v>2090908</v>
      </c>
      <c r="AS79" s="270">
        <v>1903069</v>
      </c>
      <c r="AT79" s="270">
        <v>2093653</v>
      </c>
      <c r="AU79" s="270">
        <v>2197611</v>
      </c>
      <c r="AV79" s="270">
        <v>2322283</v>
      </c>
      <c r="AW79" s="270">
        <v>2149094</v>
      </c>
      <c r="AX79" s="270">
        <v>2128111</v>
      </c>
      <c r="AY79" s="270">
        <v>1594880</v>
      </c>
      <c r="AZ79" s="270">
        <v>1925043</v>
      </c>
      <c r="BA79" s="270">
        <v>1750781</v>
      </c>
      <c r="BB79" s="270">
        <v>1729785</v>
      </c>
      <c r="BC79" s="270">
        <v>1851611</v>
      </c>
      <c r="BD79" s="270">
        <v>1769372</v>
      </c>
      <c r="BE79" s="270">
        <v>1794431</v>
      </c>
      <c r="BF79" s="270">
        <v>1861115</v>
      </c>
      <c r="BG79" s="270">
        <v>1985172</v>
      </c>
      <c r="BH79" s="270">
        <v>1969930</v>
      </c>
      <c r="BI79" s="270">
        <v>1744710</v>
      </c>
      <c r="BJ79" s="270">
        <v>1967387</v>
      </c>
      <c r="BK79" s="270">
        <v>1692635</v>
      </c>
      <c r="BL79" s="270">
        <v>2029746</v>
      </c>
      <c r="BM79" s="270">
        <v>1663317</v>
      </c>
      <c r="BN79" s="270">
        <v>1621007</v>
      </c>
      <c r="BO79" s="270">
        <v>1712156</v>
      </c>
      <c r="BP79" s="270">
        <v>1778606</v>
      </c>
      <c r="BQ79" s="270">
        <v>1716813</v>
      </c>
      <c r="BR79" s="270">
        <v>1965561</v>
      </c>
      <c r="BS79" s="270">
        <v>1739958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1.43</v>
      </c>
      <c r="C82" s="72">
        <v>1.67</v>
      </c>
      <c r="D82" s="72">
        <v>2.16</v>
      </c>
      <c r="E82" s="72">
        <v>1.34</v>
      </c>
      <c r="F82" s="72">
        <v>2.02</v>
      </c>
      <c r="G82" s="72">
        <v>2.33</v>
      </c>
      <c r="H82" s="72">
        <v>1.44</v>
      </c>
      <c r="I82" s="72">
        <v>1.64</v>
      </c>
      <c r="J82" s="72">
        <v>2.09</v>
      </c>
      <c r="K82" s="72">
        <v>1.95</v>
      </c>
      <c r="L82" s="72">
        <v>2.2400000000000002</v>
      </c>
      <c r="M82" s="72">
        <v>2.39</v>
      </c>
      <c r="N82" s="72">
        <v>1.94</v>
      </c>
      <c r="O82" s="72">
        <v>1.1399999999999999</v>
      </c>
      <c r="P82" s="72">
        <v>2.52</v>
      </c>
      <c r="Q82" s="72">
        <v>1.88</v>
      </c>
      <c r="R82" s="72">
        <v>1.45</v>
      </c>
      <c r="S82" s="72">
        <v>1.77</v>
      </c>
      <c r="T82" s="72">
        <v>1.1000000000000001</v>
      </c>
      <c r="U82" s="72">
        <v>2.37</v>
      </c>
      <c r="V82" s="72">
        <v>1.33</v>
      </c>
      <c r="W82" s="72">
        <v>1.8</v>
      </c>
      <c r="X82" s="72">
        <v>1.65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45.58</v>
      </c>
      <c r="C85" s="72">
        <v>41.74</v>
      </c>
      <c r="D85" s="72">
        <v>43.78</v>
      </c>
      <c r="E85" s="72">
        <v>45.01</v>
      </c>
      <c r="F85" s="72">
        <v>47.26</v>
      </c>
      <c r="G85" s="72">
        <v>42.84</v>
      </c>
      <c r="H85" s="72">
        <v>44.17</v>
      </c>
      <c r="I85" s="72">
        <v>46.02</v>
      </c>
      <c r="J85" s="72">
        <v>48.22</v>
      </c>
      <c r="K85" s="72">
        <v>43.33</v>
      </c>
      <c r="L85" s="72">
        <v>45.54</v>
      </c>
      <c r="M85" s="72">
        <v>48.1</v>
      </c>
      <c r="N85" s="72">
        <v>49.89</v>
      </c>
      <c r="O85" s="72">
        <v>43.06</v>
      </c>
      <c r="P85" s="72">
        <v>45.86</v>
      </c>
      <c r="Q85" s="72">
        <v>47.59</v>
      </c>
      <c r="R85" s="72">
        <v>49.06</v>
      </c>
      <c r="S85" s="72">
        <v>44</v>
      </c>
      <c r="T85" s="72">
        <v>44.97</v>
      </c>
      <c r="U85" s="72">
        <v>47.19</v>
      </c>
      <c r="V85" s="72">
        <v>48.36</v>
      </c>
      <c r="W85" s="72">
        <v>44.3</v>
      </c>
      <c r="X85" s="72">
        <v>46.12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6198253</v>
      </c>
      <c r="C88" s="273">
        <v>6063607</v>
      </c>
      <c r="D88" s="273">
        <v>7166751</v>
      </c>
      <c r="E88" s="273">
        <v>6787350</v>
      </c>
      <c r="F88" s="273">
        <v>7051129</v>
      </c>
      <c r="G88" s="273">
        <v>5967805</v>
      </c>
      <c r="H88" s="273">
        <v>6389192</v>
      </c>
      <c r="I88" s="273">
        <v>6714264</v>
      </c>
      <c r="J88" s="273">
        <v>6794611</v>
      </c>
      <c r="K88" s="273">
        <v>6656660</v>
      </c>
      <c r="L88" s="273">
        <v>6791191</v>
      </c>
      <c r="M88" s="273">
        <v>6977033</v>
      </c>
      <c r="N88" s="273">
        <v>6131745</v>
      </c>
      <c r="O88" s="273">
        <v>6024924</v>
      </c>
      <c r="P88" s="273">
        <v>6087629</v>
      </c>
      <c r="Q88" s="273">
        <v>6668989</v>
      </c>
      <c r="R88" s="273">
        <v>5648007</v>
      </c>
      <c r="S88" s="273">
        <v>5332177</v>
      </c>
      <c r="T88" s="273">
        <v>5424919</v>
      </c>
      <c r="U88" s="273">
        <v>5699812</v>
      </c>
      <c r="V88" s="273">
        <v>5689768</v>
      </c>
      <c r="W88" s="273">
        <v>4996479</v>
      </c>
      <c r="X88" s="273">
        <v>5460980</v>
      </c>
    </row>
    <row r="89" spans="1:25" ht="14.25" thickBot="1" x14ac:dyDescent="0.3">
      <c r="A89" s="250" t="s">
        <v>4</v>
      </c>
      <c r="B89" s="275">
        <v>1114354</v>
      </c>
      <c r="C89" s="275">
        <v>1165454</v>
      </c>
      <c r="D89" s="275">
        <v>1472932</v>
      </c>
      <c r="E89" s="275">
        <v>1194242</v>
      </c>
      <c r="F89" s="275">
        <v>1304016</v>
      </c>
      <c r="G89" s="275">
        <v>1378725</v>
      </c>
      <c r="H89" s="275">
        <v>1079350</v>
      </c>
      <c r="I89" s="275">
        <v>1159156</v>
      </c>
      <c r="J89" s="275">
        <v>1326759</v>
      </c>
      <c r="K89" s="275">
        <v>1447549</v>
      </c>
      <c r="L89" s="275">
        <v>1451493</v>
      </c>
      <c r="M89" s="275">
        <v>1315064</v>
      </c>
      <c r="N89" s="275">
        <v>1304734</v>
      </c>
      <c r="O89" s="275">
        <v>1099782</v>
      </c>
      <c r="P89" s="275">
        <v>1062031</v>
      </c>
      <c r="Q89" s="275">
        <v>1235004</v>
      </c>
      <c r="R89" s="275">
        <v>1255393</v>
      </c>
      <c r="S89" s="275">
        <v>1127617</v>
      </c>
      <c r="T89" s="275">
        <v>1155706</v>
      </c>
      <c r="U89" s="275">
        <v>1412977</v>
      </c>
      <c r="V89" s="275">
        <v>1613375</v>
      </c>
      <c r="W89" s="275">
        <v>1310211</v>
      </c>
      <c r="X89" s="275">
        <v>1368803</v>
      </c>
    </row>
    <row r="90" spans="1:25" ht="14.25" thickBot="1" x14ac:dyDescent="0.3">
      <c r="A90" s="251" t="s">
        <v>5</v>
      </c>
      <c r="B90" s="273">
        <v>761653</v>
      </c>
      <c r="C90" s="273">
        <v>799325</v>
      </c>
      <c r="D90" s="273">
        <v>1069307</v>
      </c>
      <c r="E90" s="273">
        <v>773664</v>
      </c>
      <c r="F90" s="273">
        <v>921672</v>
      </c>
      <c r="G90" s="273">
        <v>958489</v>
      </c>
      <c r="H90" s="273">
        <v>687249</v>
      </c>
      <c r="I90" s="273">
        <v>784156</v>
      </c>
      <c r="J90" s="273">
        <v>907854</v>
      </c>
      <c r="K90" s="273">
        <v>1007080</v>
      </c>
      <c r="L90" s="273">
        <v>964759</v>
      </c>
      <c r="M90" s="273">
        <v>867595</v>
      </c>
      <c r="N90" s="273">
        <v>928339</v>
      </c>
      <c r="O90" s="273">
        <v>674015</v>
      </c>
      <c r="P90" s="273">
        <v>634893</v>
      </c>
      <c r="Q90" s="273">
        <v>814349</v>
      </c>
      <c r="R90" s="273">
        <v>837899</v>
      </c>
      <c r="S90" s="273">
        <v>695119</v>
      </c>
      <c r="T90" s="273">
        <v>764566</v>
      </c>
      <c r="U90" s="273">
        <v>1010161</v>
      </c>
      <c r="V90" s="273">
        <v>1220456</v>
      </c>
      <c r="W90" s="273">
        <v>929867</v>
      </c>
      <c r="X90" s="273">
        <v>973662</v>
      </c>
    </row>
    <row r="91" spans="1:25" ht="14.25" thickBot="1" x14ac:dyDescent="0.3">
      <c r="A91" s="250" t="s">
        <v>6</v>
      </c>
      <c r="B91" s="275">
        <v>692965</v>
      </c>
      <c r="C91" s="275">
        <v>875266</v>
      </c>
      <c r="D91" s="275">
        <v>1072126</v>
      </c>
      <c r="E91" s="275">
        <v>703390</v>
      </c>
      <c r="F91" s="275">
        <v>1001972</v>
      </c>
      <c r="G91" s="275">
        <v>1153866</v>
      </c>
      <c r="H91" s="275">
        <v>729619</v>
      </c>
      <c r="I91" s="275">
        <v>852687</v>
      </c>
      <c r="J91" s="275">
        <v>1022229</v>
      </c>
      <c r="K91" s="275">
        <v>988379</v>
      </c>
      <c r="L91" s="275">
        <v>1123514</v>
      </c>
      <c r="M91" s="275">
        <v>1266832</v>
      </c>
      <c r="N91" s="275">
        <v>941404</v>
      </c>
      <c r="O91" s="275">
        <v>566958</v>
      </c>
      <c r="P91" s="275">
        <v>1259863</v>
      </c>
      <c r="Q91" s="275">
        <v>945003</v>
      </c>
      <c r="R91" s="275">
        <v>686196</v>
      </c>
      <c r="S91" s="275">
        <v>836779</v>
      </c>
      <c r="T91" s="275">
        <v>528149</v>
      </c>
      <c r="U91" s="275">
        <v>1192243</v>
      </c>
      <c r="V91" s="275">
        <v>683796</v>
      </c>
      <c r="W91" s="275">
        <v>993892</v>
      </c>
      <c r="X91" s="275">
        <v>891191</v>
      </c>
    </row>
    <row r="92" spans="1:25" ht="14.25" thickBot="1" x14ac:dyDescent="0.3">
      <c r="A92" s="251" t="s">
        <v>7</v>
      </c>
      <c r="B92" s="273">
        <v>616506</v>
      </c>
      <c r="C92" s="273">
        <v>719466</v>
      </c>
      <c r="D92" s="273">
        <v>931762</v>
      </c>
      <c r="E92" s="273">
        <v>577648</v>
      </c>
      <c r="F92" s="273">
        <v>869645</v>
      </c>
      <c r="G92" s="273">
        <v>1003332</v>
      </c>
      <c r="H92" s="273">
        <v>619740</v>
      </c>
      <c r="I92" s="273">
        <v>706240</v>
      </c>
      <c r="J92" s="273">
        <v>900811</v>
      </c>
      <c r="K92" s="273">
        <v>839975</v>
      </c>
      <c r="L92" s="273">
        <v>966262</v>
      </c>
      <c r="M92" s="273">
        <v>1028157</v>
      </c>
      <c r="N92" s="273">
        <v>835851</v>
      </c>
      <c r="O92" s="273">
        <v>490994</v>
      </c>
      <c r="P92" s="273">
        <v>1086170</v>
      </c>
      <c r="Q92" s="273">
        <v>808887</v>
      </c>
      <c r="R92" s="273">
        <v>623398</v>
      </c>
      <c r="S92" s="273">
        <v>763771</v>
      </c>
      <c r="T92" s="273">
        <v>474897</v>
      </c>
      <c r="U92" s="273">
        <v>1020571</v>
      </c>
      <c r="V92" s="273">
        <v>574047</v>
      </c>
      <c r="W92" s="273">
        <v>775610</v>
      </c>
      <c r="X92" s="273">
        <v>710431</v>
      </c>
    </row>
    <row r="93" spans="1:25" ht="26.25" thickBot="1" x14ac:dyDescent="0.3">
      <c r="A93" s="252" t="s">
        <v>8</v>
      </c>
      <c r="B93" s="276">
        <v>616506</v>
      </c>
      <c r="C93" s="276">
        <v>719466</v>
      </c>
      <c r="D93" s="276">
        <v>931762</v>
      </c>
      <c r="E93" s="276">
        <v>577648</v>
      </c>
      <c r="F93" s="276">
        <v>869645</v>
      </c>
      <c r="G93" s="276">
        <v>1003332</v>
      </c>
      <c r="H93" s="276">
        <v>619740</v>
      </c>
      <c r="I93" s="276">
        <v>706240</v>
      </c>
      <c r="J93" s="276">
        <v>900811</v>
      </c>
      <c r="K93" s="276">
        <v>839975</v>
      </c>
      <c r="L93" s="276">
        <v>966262</v>
      </c>
      <c r="M93" s="276">
        <v>1028157</v>
      </c>
      <c r="N93" s="276">
        <v>835851</v>
      </c>
      <c r="O93" s="276">
        <v>490994</v>
      </c>
      <c r="P93" s="276">
        <v>1086170</v>
      </c>
      <c r="Q93" s="276">
        <v>808887</v>
      </c>
      <c r="R93" s="276">
        <v>623398</v>
      </c>
      <c r="S93" s="276">
        <v>763771</v>
      </c>
      <c r="T93" s="276">
        <v>474897</v>
      </c>
      <c r="U93" s="276">
        <v>1020571</v>
      </c>
      <c r="V93" s="276">
        <v>574047</v>
      </c>
      <c r="W93" s="276">
        <v>775610</v>
      </c>
      <c r="X93" s="276">
        <v>710431</v>
      </c>
    </row>
    <row r="94" spans="1:25" x14ac:dyDescent="0.25">
      <c r="A94" s="233" t="s">
        <v>365</v>
      </c>
      <c r="B94" s="253">
        <f>IF(B91="","",B91-B90)</f>
        <v>-68688</v>
      </c>
      <c r="C94" s="253">
        <f>IF(C91="","",C91-C90)</f>
        <v>75941</v>
      </c>
      <c r="D94" s="253">
        <f t="shared" ref="D94:Y94" si="9">IF(D91="","",D91-D90)</f>
        <v>2819</v>
      </c>
      <c r="E94" s="253">
        <f t="shared" si="9"/>
        <v>-70274</v>
      </c>
      <c r="F94" s="253">
        <f t="shared" si="9"/>
        <v>80300</v>
      </c>
      <c r="G94" s="253">
        <f t="shared" si="9"/>
        <v>195377</v>
      </c>
      <c r="H94" s="253">
        <f t="shared" si="9"/>
        <v>42370</v>
      </c>
      <c r="I94" s="253">
        <f t="shared" si="9"/>
        <v>68531</v>
      </c>
      <c r="J94" s="253">
        <f t="shared" si="9"/>
        <v>114375</v>
      </c>
      <c r="K94" s="253">
        <f t="shared" si="9"/>
        <v>-18701</v>
      </c>
      <c r="L94" s="253">
        <f t="shared" si="9"/>
        <v>158755</v>
      </c>
      <c r="M94" s="253">
        <f t="shared" si="9"/>
        <v>399237</v>
      </c>
      <c r="N94" s="253">
        <f t="shared" si="9"/>
        <v>13065</v>
      </c>
      <c r="O94" s="253">
        <f t="shared" si="9"/>
        <v>-107057</v>
      </c>
      <c r="P94" s="253">
        <f t="shared" si="9"/>
        <v>624970</v>
      </c>
      <c r="Q94" s="253">
        <f t="shared" si="9"/>
        <v>130654</v>
      </c>
      <c r="R94" s="253">
        <f t="shared" si="9"/>
        <v>-151703</v>
      </c>
      <c r="S94" s="253">
        <f t="shared" si="9"/>
        <v>141660</v>
      </c>
      <c r="T94" s="253">
        <f t="shared" si="9"/>
        <v>-236417</v>
      </c>
      <c r="U94" s="253">
        <f t="shared" si="9"/>
        <v>182082</v>
      </c>
      <c r="V94" s="253">
        <f t="shared" si="9"/>
        <v>-536660</v>
      </c>
      <c r="W94" s="253">
        <f t="shared" si="9"/>
        <v>64025</v>
      </c>
      <c r="X94" s="253">
        <f t="shared" si="9"/>
        <v>-82471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26215961</v>
      </c>
      <c r="C97" s="273">
        <v>26122390</v>
      </c>
      <c r="D97" s="273">
        <v>27219495</v>
      </c>
      <c r="E97" s="273">
        <v>24913287</v>
      </c>
      <c r="F97" s="273">
        <v>22104915</v>
      </c>
    </row>
    <row r="98" spans="1:24" ht="14.25" thickBot="1" x14ac:dyDescent="0.3">
      <c r="A98" s="225" t="s">
        <v>4</v>
      </c>
      <c r="B98" s="275">
        <v>4946982</v>
      </c>
      <c r="C98" s="275">
        <v>4921247</v>
      </c>
      <c r="D98" s="275">
        <v>5540865</v>
      </c>
      <c r="E98" s="275">
        <v>4701551</v>
      </c>
      <c r="F98" s="275">
        <v>4951693</v>
      </c>
    </row>
    <row r="99" spans="1:24" ht="14.25" thickBot="1" x14ac:dyDescent="0.3">
      <c r="A99" s="224" t="s">
        <v>5</v>
      </c>
      <c r="B99" s="273">
        <v>3403949</v>
      </c>
      <c r="C99" s="273">
        <v>3351566</v>
      </c>
      <c r="D99" s="273">
        <v>3747288</v>
      </c>
      <c r="E99" s="273">
        <v>3051596</v>
      </c>
      <c r="F99" s="273">
        <v>3307745</v>
      </c>
    </row>
    <row r="100" spans="1:24" ht="14.25" thickBot="1" x14ac:dyDescent="0.3">
      <c r="A100" s="225" t="s">
        <v>6</v>
      </c>
      <c r="B100" s="275">
        <v>3343747</v>
      </c>
      <c r="C100" s="275">
        <v>3738144</v>
      </c>
      <c r="D100" s="275">
        <v>4400954</v>
      </c>
      <c r="E100" s="275">
        <v>3713228</v>
      </c>
      <c r="F100" s="275">
        <v>3243367</v>
      </c>
    </row>
    <row r="101" spans="1:24" ht="14.25" thickBot="1" x14ac:dyDescent="0.3">
      <c r="A101" s="224" t="s">
        <v>7</v>
      </c>
      <c r="B101" s="273">
        <v>2845382</v>
      </c>
      <c r="C101" s="273">
        <v>3198957</v>
      </c>
      <c r="D101" s="273">
        <v>3735205</v>
      </c>
      <c r="E101" s="273">
        <v>3221902</v>
      </c>
      <c r="F101" s="273">
        <v>2882637</v>
      </c>
    </row>
    <row r="102" spans="1:24" ht="14.25" thickBot="1" x14ac:dyDescent="0.3">
      <c r="A102" s="227" t="s">
        <v>8</v>
      </c>
      <c r="B102" s="276">
        <v>2845382</v>
      </c>
      <c r="C102" s="276">
        <v>3198957</v>
      </c>
      <c r="D102" s="276">
        <v>3735205</v>
      </c>
      <c r="E102" s="276">
        <v>3221902</v>
      </c>
      <c r="F102" s="276">
        <v>2882637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10446784</v>
      </c>
      <c r="C106" s="273">
        <v>10507802</v>
      </c>
      <c r="D106" s="273">
        <v>8481257</v>
      </c>
      <c r="E106" s="273">
        <v>9872243</v>
      </c>
      <c r="F106" s="273">
        <v>10248560</v>
      </c>
      <c r="G106" s="273">
        <v>10097113</v>
      </c>
      <c r="H106" s="273">
        <v>8762026</v>
      </c>
      <c r="I106" s="273">
        <v>11639505</v>
      </c>
      <c r="J106" s="273">
        <v>10757242</v>
      </c>
      <c r="K106" s="273">
        <v>11599585</v>
      </c>
      <c r="L106" s="273">
        <v>9330568</v>
      </c>
      <c r="M106" s="273">
        <v>11565344</v>
      </c>
      <c r="N106" s="273">
        <v>10816047</v>
      </c>
      <c r="O106" s="273">
        <v>10644707</v>
      </c>
      <c r="P106" s="273">
        <v>9004394</v>
      </c>
      <c r="Q106" s="273">
        <v>11195368</v>
      </c>
      <c r="R106" s="273">
        <v>11714641</v>
      </c>
      <c r="S106" s="273">
        <v>11964794</v>
      </c>
      <c r="T106" s="273">
        <v>2285939</v>
      </c>
      <c r="U106" s="273">
        <v>1842670</v>
      </c>
      <c r="V106" s="273">
        <v>1570097</v>
      </c>
      <c r="W106" s="273">
        <v>2885567</v>
      </c>
      <c r="X106" s="273">
        <v>1974741</v>
      </c>
    </row>
    <row r="107" spans="1:24" ht="14.25" thickBot="1" x14ac:dyDescent="0.3">
      <c r="A107" s="225" t="s">
        <v>22</v>
      </c>
      <c r="B107" s="275">
        <v>565905</v>
      </c>
      <c r="C107" s="275">
        <v>784871</v>
      </c>
      <c r="D107" s="275">
        <v>567366</v>
      </c>
      <c r="E107" s="275">
        <v>470064</v>
      </c>
      <c r="F107" s="275">
        <v>495280</v>
      </c>
      <c r="G107" s="275">
        <v>495872</v>
      </c>
      <c r="H107" s="275">
        <v>240669</v>
      </c>
      <c r="I107" s="275">
        <v>123698</v>
      </c>
      <c r="J107" s="275">
        <v>564158</v>
      </c>
      <c r="K107" s="275">
        <v>657856</v>
      </c>
      <c r="L107" s="275">
        <v>637000</v>
      </c>
      <c r="M107" s="275">
        <v>690570</v>
      </c>
      <c r="N107" s="275">
        <v>723389</v>
      </c>
      <c r="O107" s="275">
        <v>1156421</v>
      </c>
      <c r="P107" s="275">
        <v>1031804</v>
      </c>
      <c r="Q107" s="275">
        <v>912948</v>
      </c>
      <c r="R107" s="275">
        <v>1014960</v>
      </c>
      <c r="S107" s="275">
        <v>1013050</v>
      </c>
      <c r="T107" s="275">
        <v>511568</v>
      </c>
      <c r="U107" s="275">
        <v>366295</v>
      </c>
      <c r="V107" s="275">
        <v>345862</v>
      </c>
      <c r="W107" s="275">
        <v>747811</v>
      </c>
      <c r="X107" s="275">
        <v>747565</v>
      </c>
    </row>
    <row r="108" spans="1:24" ht="14.25" thickBot="1" x14ac:dyDescent="0.3">
      <c r="A108" s="224" t="s">
        <v>263</v>
      </c>
      <c r="B108" s="273">
        <v>2274385</v>
      </c>
      <c r="C108" s="273">
        <v>2616354</v>
      </c>
      <c r="D108" s="273">
        <v>2881626</v>
      </c>
      <c r="E108" s="273">
        <v>2590834</v>
      </c>
      <c r="F108" s="273">
        <v>2789960</v>
      </c>
      <c r="G108" s="273">
        <v>2919380</v>
      </c>
      <c r="H108" s="273">
        <v>2689074</v>
      </c>
      <c r="I108" s="273">
        <v>2736159</v>
      </c>
      <c r="J108" s="273">
        <v>2754041</v>
      </c>
      <c r="K108" s="273">
        <v>2918994</v>
      </c>
      <c r="L108" s="273">
        <v>2684715</v>
      </c>
      <c r="M108" s="273">
        <v>2993131</v>
      </c>
      <c r="N108" s="273">
        <v>2780938</v>
      </c>
      <c r="O108" s="273">
        <v>2852333</v>
      </c>
      <c r="P108" s="273">
        <v>2965721</v>
      </c>
      <c r="Q108" s="273">
        <v>3213646</v>
      </c>
      <c r="R108" s="273">
        <v>2550740</v>
      </c>
      <c r="S108" s="273">
        <v>2642152</v>
      </c>
      <c r="T108" s="273">
        <v>2587697</v>
      </c>
      <c r="U108" s="273">
        <v>2867945</v>
      </c>
      <c r="V108" s="273">
        <v>2781059</v>
      </c>
      <c r="W108" s="273">
        <v>2524211</v>
      </c>
      <c r="X108" s="273">
        <v>3009756</v>
      </c>
    </row>
    <row r="109" spans="1:24" ht="14.25" thickBot="1" x14ac:dyDescent="0.3">
      <c r="A109" s="225" t="s">
        <v>264</v>
      </c>
      <c r="B109" s="275">
        <v>3793521</v>
      </c>
      <c r="C109" s="275">
        <v>4230967</v>
      </c>
      <c r="D109" s="275">
        <v>5312375</v>
      </c>
      <c r="E109" s="275">
        <v>6222330</v>
      </c>
      <c r="F109" s="275">
        <v>6280958</v>
      </c>
      <c r="G109" s="275">
        <v>6524528</v>
      </c>
      <c r="H109" s="275">
        <v>5396565</v>
      </c>
      <c r="I109" s="275">
        <v>5075939</v>
      </c>
      <c r="J109" s="275">
        <v>5974014</v>
      </c>
      <c r="K109" s="275">
        <v>6260636</v>
      </c>
      <c r="L109" s="275">
        <v>6267305</v>
      </c>
      <c r="M109" s="275">
        <v>6364987</v>
      </c>
      <c r="N109" s="275">
        <v>6120689</v>
      </c>
      <c r="O109" s="275">
        <v>7090049</v>
      </c>
      <c r="P109" s="275">
        <v>5704056</v>
      </c>
      <c r="Q109" s="275">
        <v>4513756</v>
      </c>
      <c r="R109" s="275">
        <v>5256951</v>
      </c>
      <c r="S109" s="275">
        <v>4950286</v>
      </c>
      <c r="T109" s="275">
        <v>5208231</v>
      </c>
      <c r="U109" s="275">
        <v>5166821</v>
      </c>
      <c r="V109" s="275">
        <v>4853737</v>
      </c>
      <c r="W109" s="275">
        <v>5131511</v>
      </c>
      <c r="X109" s="275">
        <v>5661895</v>
      </c>
    </row>
    <row r="110" spans="1:24" ht="14.25" thickBot="1" x14ac:dyDescent="0.3">
      <c r="A110" s="224" t="s">
        <v>23</v>
      </c>
      <c r="B110" s="273">
        <v>412851</v>
      </c>
      <c r="C110" s="273">
        <v>473984</v>
      </c>
      <c r="D110" s="273">
        <v>352726</v>
      </c>
      <c r="E110" s="273">
        <v>402353</v>
      </c>
      <c r="F110" s="273">
        <v>264713</v>
      </c>
      <c r="G110" s="273">
        <v>256030</v>
      </c>
      <c r="H110" s="273">
        <v>198931</v>
      </c>
      <c r="I110" s="273">
        <v>290839</v>
      </c>
      <c r="J110" s="273">
        <v>302872</v>
      </c>
      <c r="K110" s="273">
        <v>348955</v>
      </c>
      <c r="L110" s="273">
        <v>294505</v>
      </c>
      <c r="M110" s="273">
        <v>327831</v>
      </c>
      <c r="N110" s="273">
        <v>271897</v>
      </c>
      <c r="O110" s="273">
        <v>360396</v>
      </c>
      <c r="P110" s="273">
        <v>202090</v>
      </c>
      <c r="Q110" s="273">
        <v>181517</v>
      </c>
      <c r="R110" s="273">
        <v>203184</v>
      </c>
      <c r="S110" s="273">
        <v>203982</v>
      </c>
      <c r="T110" s="273">
        <v>7014634</v>
      </c>
      <c r="U110" s="273">
        <v>8885598</v>
      </c>
      <c r="V110" s="273">
        <v>10252559</v>
      </c>
      <c r="W110" s="273">
        <v>9208895</v>
      </c>
      <c r="X110" s="273">
        <v>7408702</v>
      </c>
    </row>
    <row r="111" spans="1:24" ht="14.25" thickBot="1" x14ac:dyDescent="0.3">
      <c r="A111" s="225" t="s">
        <v>24</v>
      </c>
      <c r="B111" s="275">
        <v>17493446</v>
      </c>
      <c r="C111" s="275">
        <v>18613978</v>
      </c>
      <c r="D111" s="275">
        <v>17595350</v>
      </c>
      <c r="E111" s="275">
        <v>19557824</v>
      </c>
      <c r="F111" s="275">
        <v>20079471</v>
      </c>
      <c r="G111" s="275">
        <v>20292923</v>
      </c>
      <c r="H111" s="275">
        <v>17287265</v>
      </c>
      <c r="I111" s="275">
        <v>19866140</v>
      </c>
      <c r="J111" s="275">
        <v>20352327</v>
      </c>
      <c r="K111" s="275">
        <v>21786026</v>
      </c>
      <c r="L111" s="275">
        <v>19214093</v>
      </c>
      <c r="M111" s="275">
        <v>21941863</v>
      </c>
      <c r="N111" s="275">
        <v>20712960</v>
      </c>
      <c r="O111" s="275">
        <v>22103906</v>
      </c>
      <c r="P111" s="275">
        <v>18908065</v>
      </c>
      <c r="Q111" s="275">
        <v>20017235</v>
      </c>
      <c r="R111" s="275">
        <v>20740476</v>
      </c>
      <c r="S111" s="275">
        <v>20774264</v>
      </c>
      <c r="T111" s="275">
        <v>17608069</v>
      </c>
      <c r="U111" s="275">
        <v>19129329</v>
      </c>
      <c r="V111" s="275">
        <v>19803314</v>
      </c>
      <c r="W111" s="275">
        <v>20497995</v>
      </c>
      <c r="X111" s="275">
        <v>18802659</v>
      </c>
    </row>
    <row r="112" spans="1:24" ht="14.25" thickBot="1" x14ac:dyDescent="0.3">
      <c r="A112" s="224" t="s">
        <v>25</v>
      </c>
      <c r="B112" s="273">
        <v>711278</v>
      </c>
      <c r="C112" s="273">
        <v>679531</v>
      </c>
      <c r="D112" s="273">
        <v>581117</v>
      </c>
      <c r="E112" s="273">
        <v>503044</v>
      </c>
      <c r="F112" s="273">
        <v>546279</v>
      </c>
      <c r="G112" s="273">
        <v>492474</v>
      </c>
      <c r="H112" s="273">
        <v>463595</v>
      </c>
      <c r="I112" s="273">
        <v>485677</v>
      </c>
      <c r="J112" s="273">
        <v>520716</v>
      </c>
      <c r="K112" s="273">
        <v>523538</v>
      </c>
      <c r="L112" s="273">
        <v>558519</v>
      </c>
      <c r="M112" s="273">
        <v>565232</v>
      </c>
      <c r="N112" s="273">
        <v>557990</v>
      </c>
      <c r="O112" s="273">
        <v>517910</v>
      </c>
      <c r="P112" s="273">
        <v>493039</v>
      </c>
      <c r="Q112" s="273">
        <v>501859</v>
      </c>
      <c r="R112" s="273">
        <v>494469</v>
      </c>
      <c r="S112" s="273">
        <v>492739</v>
      </c>
      <c r="T112" s="273">
        <v>480905</v>
      </c>
      <c r="U112" s="273">
        <v>462190</v>
      </c>
      <c r="V112" s="273">
        <v>456648</v>
      </c>
      <c r="W112" s="273">
        <v>413122</v>
      </c>
      <c r="X112" s="273">
        <v>292405</v>
      </c>
    </row>
    <row r="113" spans="1:24" ht="14.25" thickBot="1" x14ac:dyDescent="0.3">
      <c r="A113" s="225" t="s">
        <v>26</v>
      </c>
      <c r="B113" s="275">
        <v>3784447</v>
      </c>
      <c r="C113" s="275">
        <v>3750529</v>
      </c>
      <c r="D113" s="275">
        <v>3699684</v>
      </c>
      <c r="E113" s="275">
        <v>3623106</v>
      </c>
      <c r="F113" s="275">
        <v>3459643</v>
      </c>
      <c r="G113" s="275">
        <v>3429212</v>
      </c>
      <c r="H113" s="275">
        <v>3362203</v>
      </c>
      <c r="I113" s="275">
        <v>3330875</v>
      </c>
      <c r="J113" s="275">
        <v>3279621</v>
      </c>
      <c r="K113" s="275">
        <v>3208703</v>
      </c>
      <c r="L113" s="275">
        <v>3178771</v>
      </c>
      <c r="M113" s="275">
        <v>3160974</v>
      </c>
      <c r="N113" s="275">
        <v>3100919</v>
      </c>
      <c r="O113" s="275">
        <v>3037261</v>
      </c>
      <c r="P113" s="275">
        <v>3083854</v>
      </c>
      <c r="Q113" s="275">
        <v>2995091</v>
      </c>
      <c r="R113" s="275">
        <v>2944926</v>
      </c>
      <c r="S113" s="275">
        <v>2890358</v>
      </c>
      <c r="T113" s="275">
        <v>2813269</v>
      </c>
      <c r="U113" s="275">
        <v>2740210</v>
      </c>
      <c r="V113" s="275">
        <v>2709606</v>
      </c>
      <c r="W113" s="275">
        <v>2683073</v>
      </c>
      <c r="X113" s="275">
        <v>2662943</v>
      </c>
    </row>
    <row r="114" spans="1:24" ht="14.25" thickBot="1" x14ac:dyDescent="0.3">
      <c r="A114" s="224" t="s">
        <v>27</v>
      </c>
      <c r="B114" s="273">
        <v>314262</v>
      </c>
      <c r="C114" s="273">
        <v>317373</v>
      </c>
      <c r="D114" s="273">
        <v>315428</v>
      </c>
      <c r="E114" s="273">
        <v>315023</v>
      </c>
      <c r="F114" s="273">
        <v>542545</v>
      </c>
      <c r="G114" s="273">
        <v>552253</v>
      </c>
      <c r="H114" s="273">
        <v>571633</v>
      </c>
      <c r="I114" s="273">
        <v>565838</v>
      </c>
      <c r="J114" s="273">
        <v>616702</v>
      </c>
      <c r="K114" s="273">
        <v>618315</v>
      </c>
      <c r="L114" s="273">
        <v>630361</v>
      </c>
      <c r="M114" s="273">
        <v>625171</v>
      </c>
      <c r="N114" s="273">
        <v>610208</v>
      </c>
      <c r="O114" s="273">
        <v>608183</v>
      </c>
      <c r="P114" s="273">
        <v>558743</v>
      </c>
      <c r="Q114" s="273">
        <v>549064</v>
      </c>
      <c r="R114" s="273">
        <v>561514</v>
      </c>
      <c r="S114" s="273">
        <v>537872</v>
      </c>
      <c r="T114" s="273">
        <v>545555</v>
      </c>
      <c r="U114" s="273">
        <v>559325</v>
      </c>
      <c r="V114" s="273">
        <v>612996</v>
      </c>
      <c r="W114" s="273">
        <v>670411</v>
      </c>
      <c r="X114" s="273">
        <v>684979</v>
      </c>
    </row>
    <row r="115" spans="1:24" ht="14.25" thickBot="1" x14ac:dyDescent="0.3">
      <c r="A115" s="225" t="s">
        <v>265</v>
      </c>
      <c r="B115" s="276">
        <v>22303433</v>
      </c>
      <c r="C115" s="276">
        <v>23361411</v>
      </c>
      <c r="D115" s="276">
        <v>22191579</v>
      </c>
      <c r="E115" s="276">
        <v>23998997</v>
      </c>
      <c r="F115" s="276">
        <v>24627938</v>
      </c>
      <c r="G115" s="276">
        <v>24766862</v>
      </c>
      <c r="H115" s="276">
        <v>21684696</v>
      </c>
      <c r="I115" s="276">
        <v>24248530</v>
      </c>
      <c r="J115" s="276">
        <v>24769366</v>
      </c>
      <c r="K115" s="276">
        <v>26136582</v>
      </c>
      <c r="L115" s="276">
        <v>23581744</v>
      </c>
      <c r="M115" s="276">
        <v>26293240</v>
      </c>
      <c r="N115" s="276">
        <v>24982077</v>
      </c>
      <c r="O115" s="276">
        <v>26267260</v>
      </c>
      <c r="P115" s="276">
        <v>23043701</v>
      </c>
      <c r="Q115" s="276">
        <v>24063249</v>
      </c>
      <c r="R115" s="276">
        <v>24741385</v>
      </c>
      <c r="S115" s="276">
        <v>24695233</v>
      </c>
      <c r="T115" s="276">
        <v>21447798</v>
      </c>
      <c r="U115" s="276">
        <v>22891054</v>
      </c>
      <c r="V115" s="276">
        <v>23582564</v>
      </c>
      <c r="W115" s="276">
        <v>24264601</v>
      </c>
      <c r="X115" s="276">
        <v>22442986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273">
        <v>168200</v>
      </c>
      <c r="F118" s="273">
        <v>158600</v>
      </c>
      <c r="G118" s="273">
        <v>151800</v>
      </c>
      <c r="H118" s="273">
        <v>151050</v>
      </c>
      <c r="I118" s="273">
        <v>579040</v>
      </c>
      <c r="J118" s="273">
        <v>593500</v>
      </c>
      <c r="K118" s="273">
        <v>681815</v>
      </c>
      <c r="L118" s="273">
        <v>278000</v>
      </c>
      <c r="M118" s="273">
        <v>903300</v>
      </c>
      <c r="N118" s="273">
        <v>478240</v>
      </c>
      <c r="O118" s="273">
        <v>378600</v>
      </c>
      <c r="P118" s="273">
        <v>410850</v>
      </c>
      <c r="Q118" s="273">
        <v>901425</v>
      </c>
      <c r="R118" s="273">
        <v>429450</v>
      </c>
      <c r="S118" s="273">
        <v>314300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1228898</v>
      </c>
      <c r="C120" s="273">
        <v>1811825</v>
      </c>
      <c r="D120" s="273">
        <v>2241381</v>
      </c>
      <c r="E120" s="273">
        <v>3326939</v>
      </c>
      <c r="F120" s="273">
        <v>2854491</v>
      </c>
      <c r="G120" s="273">
        <v>2271613</v>
      </c>
      <c r="H120" s="273">
        <v>1504905</v>
      </c>
      <c r="I120" s="273">
        <v>2716600</v>
      </c>
      <c r="J120" s="273">
        <v>2181927</v>
      </c>
      <c r="K120" s="273">
        <v>2789715</v>
      </c>
      <c r="L120" s="273">
        <v>2563439</v>
      </c>
      <c r="M120" s="273">
        <v>3276724</v>
      </c>
      <c r="N120" s="273">
        <v>1702492</v>
      </c>
      <c r="O120" s="273">
        <v>2853834</v>
      </c>
      <c r="P120" s="273">
        <v>1877782</v>
      </c>
      <c r="Q120" s="273">
        <v>1647672</v>
      </c>
      <c r="R120" s="273">
        <v>2142207</v>
      </c>
      <c r="S120" s="273">
        <v>1705897</v>
      </c>
      <c r="T120" s="273">
        <v>1479319</v>
      </c>
      <c r="U120" s="273">
        <v>1788484</v>
      </c>
      <c r="V120" s="273">
        <v>1875857</v>
      </c>
      <c r="W120" s="273">
        <v>1743326</v>
      </c>
      <c r="X120" s="273">
        <v>1733251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1098645</v>
      </c>
      <c r="C123" s="275">
        <v>3224309</v>
      </c>
      <c r="D123" s="275">
        <v>742739</v>
      </c>
      <c r="E123" s="275">
        <v>747899</v>
      </c>
      <c r="F123" s="275">
        <v>854864</v>
      </c>
      <c r="G123" s="275">
        <v>3446265</v>
      </c>
      <c r="H123" s="275">
        <v>572905</v>
      </c>
      <c r="I123" s="275">
        <v>683790</v>
      </c>
      <c r="J123" s="275">
        <v>768682</v>
      </c>
      <c r="K123" s="275">
        <v>3562552</v>
      </c>
      <c r="L123" s="275">
        <v>666719</v>
      </c>
      <c r="M123" s="275">
        <v>855042</v>
      </c>
      <c r="N123" s="275">
        <v>796279</v>
      </c>
      <c r="O123" s="275">
        <v>4009578</v>
      </c>
      <c r="P123" s="275">
        <v>531662</v>
      </c>
      <c r="Q123" s="275">
        <v>683898</v>
      </c>
      <c r="R123" s="275">
        <v>761918</v>
      </c>
      <c r="S123" s="275">
        <v>3473228</v>
      </c>
      <c r="T123" s="275">
        <v>371105</v>
      </c>
      <c r="U123" s="275">
        <v>531086</v>
      </c>
      <c r="V123" s="275">
        <v>679338</v>
      </c>
      <c r="W123" s="275">
        <v>3252236</v>
      </c>
      <c r="X123" s="275">
        <v>656656</v>
      </c>
    </row>
    <row r="124" spans="1:24" ht="14.25" thickBot="1" x14ac:dyDescent="0.3">
      <c r="A124" s="224" t="s">
        <v>268</v>
      </c>
      <c r="B124" s="273">
        <v>2327543</v>
      </c>
      <c r="C124" s="273">
        <v>5036134</v>
      </c>
      <c r="D124" s="273">
        <v>2984120</v>
      </c>
      <c r="E124" s="273">
        <v>4243038</v>
      </c>
      <c r="F124" s="273">
        <v>3867955</v>
      </c>
      <c r="G124" s="273">
        <v>5869678</v>
      </c>
      <c r="H124" s="273">
        <v>2228860</v>
      </c>
      <c r="I124" s="273">
        <v>3979430</v>
      </c>
      <c r="J124" s="273">
        <v>3544109</v>
      </c>
      <c r="K124" s="273">
        <v>7034082</v>
      </c>
      <c r="L124" s="273">
        <v>3508158</v>
      </c>
      <c r="M124" s="273">
        <v>5035066</v>
      </c>
      <c r="N124" s="273">
        <v>2977011</v>
      </c>
      <c r="O124" s="273">
        <v>7242012</v>
      </c>
      <c r="P124" s="273">
        <v>2820294</v>
      </c>
      <c r="Q124" s="273">
        <v>3232995</v>
      </c>
      <c r="R124" s="273">
        <v>3333575</v>
      </c>
      <c r="S124" s="273">
        <v>5493425</v>
      </c>
      <c r="T124" s="273">
        <v>1850424</v>
      </c>
      <c r="U124" s="273">
        <v>2319570</v>
      </c>
      <c r="V124" s="273">
        <v>2555195</v>
      </c>
      <c r="W124" s="273">
        <v>4995562</v>
      </c>
      <c r="X124" s="273">
        <v>2389907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402815</v>
      </c>
      <c r="G125" s="275">
        <v>443619</v>
      </c>
      <c r="H125" s="275">
        <v>428967</v>
      </c>
      <c r="I125" s="275">
        <v>444891</v>
      </c>
      <c r="J125" s="275">
        <v>451810</v>
      </c>
      <c r="K125" s="275">
        <v>435655</v>
      </c>
      <c r="L125" s="275">
        <v>458746</v>
      </c>
      <c r="M125" s="275">
        <v>539569</v>
      </c>
      <c r="N125" s="275">
        <v>515716</v>
      </c>
      <c r="O125" s="275">
        <v>475936</v>
      </c>
      <c r="P125" s="275">
        <v>468922</v>
      </c>
      <c r="Q125" s="275">
        <v>328173</v>
      </c>
      <c r="R125" s="275">
        <v>275844</v>
      </c>
      <c r="S125" s="275">
        <v>250137</v>
      </c>
      <c r="T125" s="275">
        <v>224209</v>
      </c>
      <c r="U125" s="275">
        <v>244550</v>
      </c>
      <c r="V125" s="275">
        <v>194621</v>
      </c>
      <c r="W125" s="275">
        <v>187562</v>
      </c>
      <c r="X125" s="275">
        <v>188476</v>
      </c>
    </row>
    <row r="126" spans="1:24" ht="14.25" thickBot="1" x14ac:dyDescent="0.3">
      <c r="A126" s="224" t="s">
        <v>33</v>
      </c>
      <c r="B126" s="273">
        <v>341625</v>
      </c>
      <c r="C126" s="273">
        <v>345070</v>
      </c>
      <c r="D126" s="273">
        <v>347655</v>
      </c>
      <c r="E126" s="273">
        <v>369365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2669168</v>
      </c>
      <c r="C127" s="275">
        <v>5381204</v>
      </c>
      <c r="D127" s="275">
        <v>3331775</v>
      </c>
      <c r="E127" s="275">
        <v>4612403</v>
      </c>
      <c r="F127" s="275">
        <v>4270770</v>
      </c>
      <c r="G127" s="275">
        <v>6313297</v>
      </c>
      <c r="H127" s="275">
        <v>2657827</v>
      </c>
      <c r="I127" s="275">
        <v>4424321</v>
      </c>
      <c r="J127" s="275">
        <v>3995919</v>
      </c>
      <c r="K127" s="275">
        <v>7469737</v>
      </c>
      <c r="L127" s="275">
        <v>3966904</v>
      </c>
      <c r="M127" s="275">
        <v>5574635</v>
      </c>
      <c r="N127" s="275">
        <v>3492727</v>
      </c>
      <c r="O127" s="275">
        <v>7717948</v>
      </c>
      <c r="P127" s="275">
        <v>3289216</v>
      </c>
      <c r="Q127" s="275">
        <v>3561168</v>
      </c>
      <c r="R127" s="275">
        <v>3609419</v>
      </c>
      <c r="S127" s="275">
        <v>5743562</v>
      </c>
      <c r="T127" s="275">
        <v>2074633</v>
      </c>
      <c r="U127" s="275">
        <v>2564120</v>
      </c>
      <c r="V127" s="275">
        <v>2749816</v>
      </c>
      <c r="W127" s="275">
        <v>5183124</v>
      </c>
      <c r="X127" s="275">
        <v>2578383</v>
      </c>
    </row>
    <row r="128" spans="1:24" ht="14.25" thickBot="1" x14ac:dyDescent="0.3">
      <c r="A128" s="224" t="s">
        <v>34</v>
      </c>
      <c r="B128" s="273">
        <v>19634265</v>
      </c>
      <c r="C128" s="273">
        <v>17980207</v>
      </c>
      <c r="D128" s="273">
        <v>18859804</v>
      </c>
      <c r="E128" s="273">
        <v>19386594</v>
      </c>
      <c r="F128" s="273">
        <v>20357168</v>
      </c>
      <c r="G128" s="273">
        <v>18453565</v>
      </c>
      <c r="H128" s="273">
        <v>19026869</v>
      </c>
      <c r="I128" s="273">
        <v>19824209</v>
      </c>
      <c r="J128" s="273">
        <v>20773447</v>
      </c>
      <c r="K128" s="273">
        <v>18666845</v>
      </c>
      <c r="L128" s="273">
        <v>19614840</v>
      </c>
      <c r="M128" s="273">
        <v>20718605</v>
      </c>
      <c r="N128" s="273">
        <v>21489350</v>
      </c>
      <c r="O128" s="273">
        <v>18549312</v>
      </c>
      <c r="P128" s="273">
        <v>19754485</v>
      </c>
      <c r="Q128" s="273">
        <v>20502081</v>
      </c>
      <c r="R128" s="273">
        <v>21131966</v>
      </c>
      <c r="S128" s="273">
        <v>18951671</v>
      </c>
      <c r="T128" s="273">
        <v>19373165</v>
      </c>
      <c r="U128" s="273">
        <v>20326934</v>
      </c>
      <c r="V128" s="273">
        <v>20832748</v>
      </c>
      <c r="W128" s="273">
        <v>19081477</v>
      </c>
      <c r="X128" s="273">
        <v>19864603</v>
      </c>
    </row>
    <row r="129" spans="1:24" ht="14.25" thickBot="1" x14ac:dyDescent="0.3">
      <c r="A129" s="225" t="s">
        <v>35</v>
      </c>
      <c r="B129" s="276">
        <v>22303433</v>
      </c>
      <c r="C129" s="276">
        <v>23361411</v>
      </c>
      <c r="D129" s="276">
        <v>22191579</v>
      </c>
      <c r="E129" s="276">
        <v>23998997</v>
      </c>
      <c r="F129" s="276">
        <v>24627938</v>
      </c>
      <c r="G129" s="276">
        <v>24766862</v>
      </c>
      <c r="H129" s="276">
        <v>21684696</v>
      </c>
      <c r="I129" s="276">
        <v>24248530</v>
      </c>
      <c r="J129" s="276">
        <v>24769366</v>
      </c>
      <c r="K129" s="276">
        <v>26136582</v>
      </c>
      <c r="L129" s="276">
        <v>23581744</v>
      </c>
      <c r="M129" s="276">
        <v>26293240</v>
      </c>
      <c r="N129" s="276">
        <v>24982077</v>
      </c>
      <c r="O129" s="276">
        <v>26267260</v>
      </c>
      <c r="P129" s="276">
        <v>23043701</v>
      </c>
      <c r="Q129" s="276">
        <v>24063249</v>
      </c>
      <c r="R129" s="276">
        <v>24741385</v>
      </c>
      <c r="S129" s="276">
        <v>24695233</v>
      </c>
      <c r="T129" s="276">
        <v>21447798</v>
      </c>
      <c r="U129" s="276">
        <v>22891054</v>
      </c>
      <c r="V129" s="276">
        <v>23582564</v>
      </c>
      <c r="W129" s="276">
        <v>24264601</v>
      </c>
      <c r="X129" s="276">
        <v>22442986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6.44</v>
      </c>
      <c r="C132" s="68">
        <v>8.69</v>
      </c>
      <c r="D132" s="68">
        <v>7.23</v>
      </c>
      <c r="E132" s="68">
        <v>7.68</v>
      </c>
      <c r="F132" s="68">
        <v>6.46</v>
      </c>
    </row>
    <row r="133" spans="1:24" ht="14.25" thickBot="1" x14ac:dyDescent="0.3">
      <c r="A133" s="225" t="s">
        <v>37</v>
      </c>
      <c r="B133" s="274">
        <v>-0.93</v>
      </c>
      <c r="C133" s="274">
        <v>0.77</v>
      </c>
      <c r="D133" s="274">
        <v>-1.59</v>
      </c>
      <c r="E133" s="274">
        <v>-0.69</v>
      </c>
      <c r="F133" s="274">
        <v>0.64</v>
      </c>
    </row>
    <row r="134" spans="1:24" ht="14.25" thickBot="1" x14ac:dyDescent="0.3">
      <c r="A134" s="224" t="s">
        <v>38</v>
      </c>
      <c r="B134" s="68">
        <v>-5.1100000000000003</v>
      </c>
      <c r="C134" s="68">
        <v>-5.46</v>
      </c>
      <c r="D134" s="68">
        <v>-5.91</v>
      </c>
      <c r="E134" s="68">
        <v>-7.84</v>
      </c>
      <c r="F134" s="68">
        <v>-8.98</v>
      </c>
    </row>
    <row r="135" spans="1:24" ht="14.25" thickBot="1" x14ac:dyDescent="0.3">
      <c r="A135" s="225" t="s">
        <v>270</v>
      </c>
      <c r="B135" s="274">
        <v>5.51</v>
      </c>
      <c r="C135" s="274">
        <v>9.4600000000000009</v>
      </c>
      <c r="D135" s="274">
        <v>5.64</v>
      </c>
      <c r="E135" s="274">
        <v>6.98</v>
      </c>
      <c r="F135" s="274">
        <v>7.1</v>
      </c>
    </row>
    <row r="136" spans="1:24" ht="14.25" thickBot="1" x14ac:dyDescent="0.3">
      <c r="A136" s="229" t="s">
        <v>39</v>
      </c>
      <c r="B136" s="72">
        <v>0.4</v>
      </c>
      <c r="C136" s="72">
        <v>4</v>
      </c>
      <c r="D136" s="72">
        <v>-0.27</v>
      </c>
      <c r="E136" s="72">
        <v>-0.86</v>
      </c>
      <c r="F136" s="72">
        <v>-1.88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6.5</v>
      </c>
      <c r="C140" s="68">
        <v>6.7</v>
      </c>
      <c r="D140" s="68">
        <v>7.8</v>
      </c>
      <c r="E140" s="68">
        <v>6.8</v>
      </c>
      <c r="F140" s="68">
        <v>6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0.98484848484848486</v>
      </c>
      <c r="C142" s="234">
        <f>IF(C140&lt;&gt;"無",IF(ISNA(HLOOKUP(C139,$B$64:$F$69,6,FALSE)),"",C140/HLOOKUP(C139,$B$64:$F$69,6,FALSE)),"")</f>
        <v>0.90174966352624508</v>
      </c>
      <c r="D142" s="234">
        <f>IF(D140&lt;&gt;"無",IF(ISNA(HLOOKUP(D139,$B$64:$F$69,6,FALSE)),"",D140/HLOOKUP(D139,$B$64:$F$69,6,FALSE)),"")</f>
        <v>0.89965397923875434</v>
      </c>
      <c r="E142" s="234">
        <f>IF(E140&lt;&gt;"無",IF(ISNA(HLOOKUP(E139,$B$64:$F$69,6,FALSE)),"",E140/HLOOKUP(E139,$B$64:$F$69,6,FALSE)),"")</f>
        <v>0.90909090909090917</v>
      </c>
      <c r="F142" s="234">
        <f>IF(F140&lt;&gt;"無",IF(ISNA(HLOOKUP(F139,$B$64:$F$69,6,FALSE)),"",F140/HLOOKUP(F139,$B$64:$F$69,6,FALSE)),"")</f>
        <v>0.89686098654708513</v>
      </c>
    </row>
    <row r="143" spans="1:24" x14ac:dyDescent="0.25">
      <c r="A143" s="233" t="s">
        <v>216</v>
      </c>
      <c r="B143" s="234">
        <f>IF(OR(B140=0,B140="無"),"",B135/B140)</f>
        <v>0.84769230769230763</v>
      </c>
      <c r="C143" s="234">
        <f>IF(OR(C140=0,C140="無"),"",C135/C140)</f>
        <v>1.4119402985074627</v>
      </c>
      <c r="D143" s="234">
        <f>IF(OR(D140=0,D140="無"),"",D135/D140)</f>
        <v>0.72307692307692306</v>
      </c>
      <c r="E143" s="234">
        <f>IF(OR(E140=0,E140="無"),"",E135/E140)</f>
        <v>1.0264705882352942</v>
      </c>
      <c r="F143" s="234">
        <f>IF(OR(F140=0,F140="無"),"",F135/F140)</f>
        <v>1.1833333333333333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17.98</v>
      </c>
      <c r="C146" s="68">
        <v>19.22</v>
      </c>
      <c r="D146" s="68">
        <v>20.55</v>
      </c>
      <c r="E146" s="68">
        <v>17.600000000000001</v>
      </c>
      <c r="F146" s="68">
        <v>18.489999999999998</v>
      </c>
      <c r="G146" s="68">
        <v>23.1</v>
      </c>
      <c r="H146" s="68">
        <v>16.89</v>
      </c>
      <c r="I146" s="68">
        <v>17.260000000000002</v>
      </c>
      <c r="J146" s="68">
        <v>19.53</v>
      </c>
      <c r="K146" s="68">
        <v>21.75</v>
      </c>
      <c r="L146" s="68">
        <v>21.37</v>
      </c>
      <c r="M146" s="68">
        <v>18.850000000000001</v>
      </c>
      <c r="N146" s="68">
        <v>21.28</v>
      </c>
      <c r="O146" s="68">
        <v>18.25</v>
      </c>
      <c r="P146" s="68">
        <v>17.45</v>
      </c>
      <c r="Q146" s="68">
        <v>18.52</v>
      </c>
      <c r="R146" s="68">
        <v>22.23</v>
      </c>
      <c r="S146" s="68">
        <v>21.15</v>
      </c>
      <c r="T146" s="68">
        <v>21.3</v>
      </c>
      <c r="U146" s="68">
        <v>24.79</v>
      </c>
      <c r="V146" s="68">
        <v>28.36</v>
      </c>
      <c r="W146" s="68">
        <v>26.22</v>
      </c>
      <c r="X146" s="68">
        <v>25.07</v>
      </c>
    </row>
    <row r="147" spans="1:24" s="93" customFormat="1" ht="14.25" thickBot="1" x14ac:dyDescent="0.3">
      <c r="A147" s="225" t="s">
        <v>19</v>
      </c>
      <c r="B147" s="274">
        <v>12.29</v>
      </c>
      <c r="C147" s="274">
        <v>13.18</v>
      </c>
      <c r="D147" s="274">
        <v>14.92</v>
      </c>
      <c r="E147" s="274">
        <v>11.4</v>
      </c>
      <c r="F147" s="274">
        <v>13.07</v>
      </c>
      <c r="G147" s="274">
        <v>16.059999999999999</v>
      </c>
      <c r="H147" s="274">
        <v>10.76</v>
      </c>
      <c r="I147" s="274">
        <v>11.68</v>
      </c>
      <c r="J147" s="274">
        <v>13.36</v>
      </c>
      <c r="K147" s="274">
        <v>15.13</v>
      </c>
      <c r="L147" s="274">
        <v>14.21</v>
      </c>
      <c r="M147" s="274">
        <v>12.44</v>
      </c>
      <c r="N147" s="274">
        <v>15.14</v>
      </c>
      <c r="O147" s="274">
        <v>11.19</v>
      </c>
      <c r="P147" s="274">
        <v>10.43</v>
      </c>
      <c r="Q147" s="274">
        <v>12.21</v>
      </c>
      <c r="R147" s="274">
        <v>14.84</v>
      </c>
      <c r="S147" s="274">
        <v>13.04</v>
      </c>
      <c r="T147" s="274">
        <v>14.09</v>
      </c>
      <c r="U147" s="274">
        <v>17.72</v>
      </c>
      <c r="V147" s="274">
        <v>21.45</v>
      </c>
      <c r="W147" s="274">
        <v>18.61</v>
      </c>
      <c r="X147" s="274">
        <v>17.829999999999998</v>
      </c>
    </row>
    <row r="148" spans="1:24" s="93" customFormat="1" ht="14.25" thickBot="1" x14ac:dyDescent="0.3">
      <c r="A148" s="224" t="s">
        <v>41</v>
      </c>
      <c r="B148" s="68">
        <v>11.18</v>
      </c>
      <c r="C148" s="68">
        <v>14.43</v>
      </c>
      <c r="D148" s="68">
        <v>14.96</v>
      </c>
      <c r="E148" s="68">
        <v>10.36</v>
      </c>
      <c r="F148" s="68">
        <v>14.21</v>
      </c>
      <c r="G148" s="68">
        <v>19.329999999999998</v>
      </c>
      <c r="H148" s="68">
        <v>11.42</v>
      </c>
      <c r="I148" s="68">
        <v>12.7</v>
      </c>
      <c r="J148" s="68">
        <v>15.04</v>
      </c>
      <c r="K148" s="68">
        <v>14.85</v>
      </c>
      <c r="L148" s="68">
        <v>16.54</v>
      </c>
      <c r="M148" s="68">
        <v>18.16</v>
      </c>
      <c r="N148" s="68">
        <v>15.35</v>
      </c>
      <c r="O148" s="68">
        <v>9.41</v>
      </c>
      <c r="P148" s="68">
        <v>20.7</v>
      </c>
      <c r="Q148" s="68">
        <v>14.17</v>
      </c>
      <c r="R148" s="68">
        <v>12.15</v>
      </c>
      <c r="S148" s="68">
        <v>15.69</v>
      </c>
      <c r="T148" s="68">
        <v>9.74</v>
      </c>
      <c r="U148" s="68">
        <v>20.92</v>
      </c>
      <c r="V148" s="68">
        <v>12.02</v>
      </c>
      <c r="W148" s="68">
        <v>19.89</v>
      </c>
      <c r="X148" s="68">
        <v>16.32</v>
      </c>
    </row>
    <row r="149" spans="1:24" s="93" customFormat="1" ht="14.25" thickBot="1" x14ac:dyDescent="0.3">
      <c r="A149" s="225" t="s">
        <v>13</v>
      </c>
      <c r="B149" s="73">
        <v>9.9499999999999993</v>
      </c>
      <c r="C149" s="73">
        <v>11.87</v>
      </c>
      <c r="D149" s="73">
        <v>13</v>
      </c>
      <c r="E149" s="73">
        <v>8.51</v>
      </c>
      <c r="F149" s="73">
        <v>12.33</v>
      </c>
      <c r="G149" s="73">
        <v>16.809999999999999</v>
      </c>
      <c r="H149" s="73">
        <v>9.6999999999999993</v>
      </c>
      <c r="I149" s="73">
        <v>10.52</v>
      </c>
      <c r="J149" s="73">
        <v>13.26</v>
      </c>
      <c r="K149" s="73">
        <v>12.62</v>
      </c>
      <c r="L149" s="73">
        <v>14.23</v>
      </c>
      <c r="M149" s="73">
        <v>14.74</v>
      </c>
      <c r="N149" s="73">
        <v>13.63</v>
      </c>
      <c r="O149" s="73">
        <v>8.15</v>
      </c>
      <c r="P149" s="73">
        <v>17.84</v>
      </c>
      <c r="Q149" s="73">
        <v>12.13</v>
      </c>
      <c r="R149" s="73">
        <v>11.04</v>
      </c>
      <c r="S149" s="73">
        <v>14.32</v>
      </c>
      <c r="T149" s="73">
        <v>8.75</v>
      </c>
      <c r="U149" s="73">
        <v>17.91</v>
      </c>
      <c r="V149" s="73">
        <v>10.09</v>
      </c>
      <c r="W149" s="73">
        <v>15.52</v>
      </c>
      <c r="X149" s="73">
        <v>13.01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18.87</v>
      </c>
      <c r="C152" s="68">
        <v>18.84</v>
      </c>
      <c r="D152" s="68">
        <v>20.36</v>
      </c>
      <c r="E152" s="68">
        <v>18.87</v>
      </c>
      <c r="F152" s="68">
        <v>22.4</v>
      </c>
    </row>
    <row r="153" spans="1:24" s="93" customFormat="1" ht="14.25" thickBot="1" x14ac:dyDescent="0.3">
      <c r="A153" s="225" t="s">
        <v>19</v>
      </c>
      <c r="B153" s="274">
        <v>12.98</v>
      </c>
      <c r="C153" s="274">
        <v>12.83</v>
      </c>
      <c r="D153" s="274">
        <v>13.77</v>
      </c>
      <c r="E153" s="274">
        <v>12.25</v>
      </c>
      <c r="F153" s="274">
        <v>14.96</v>
      </c>
    </row>
    <row r="154" spans="1:24" s="93" customFormat="1" ht="14.25" thickBot="1" x14ac:dyDescent="0.3">
      <c r="A154" s="224" t="s">
        <v>41</v>
      </c>
      <c r="B154" s="68">
        <v>12.75</v>
      </c>
      <c r="C154" s="68">
        <v>14.31</v>
      </c>
      <c r="D154" s="68">
        <v>16.170000000000002</v>
      </c>
      <c r="E154" s="68">
        <v>14.9</v>
      </c>
      <c r="F154" s="68">
        <v>14.67</v>
      </c>
    </row>
    <row r="155" spans="1:24" s="93" customFormat="1" ht="14.25" thickBot="1" x14ac:dyDescent="0.3">
      <c r="A155" s="225" t="s">
        <v>13</v>
      </c>
      <c r="B155" s="73">
        <v>10.85</v>
      </c>
      <c r="C155" s="73">
        <v>12.25</v>
      </c>
      <c r="D155" s="73">
        <v>13.72</v>
      </c>
      <c r="E155" s="73">
        <v>12.93</v>
      </c>
      <c r="F155" s="73">
        <v>13.04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2.77</v>
      </c>
      <c r="C158" s="68">
        <v>3.15</v>
      </c>
      <c r="D158" s="68">
        <v>4.09</v>
      </c>
      <c r="E158" s="68">
        <v>2.5099999999999998</v>
      </c>
      <c r="F158" s="68">
        <v>3.58</v>
      </c>
      <c r="G158" s="68">
        <v>4.0599999999999996</v>
      </c>
      <c r="H158" s="68">
        <v>2.67</v>
      </c>
      <c r="I158" s="68">
        <v>3.08</v>
      </c>
      <c r="J158" s="68">
        <v>3.68</v>
      </c>
      <c r="K158" s="68">
        <v>3.3</v>
      </c>
      <c r="L158" s="68">
        <v>3.89</v>
      </c>
      <c r="M158" s="68">
        <v>4.12</v>
      </c>
      <c r="N158" s="68">
        <v>3.27</v>
      </c>
      <c r="O158" s="68">
        <v>1.92</v>
      </c>
      <c r="P158" s="68">
        <v>4.41</v>
      </c>
      <c r="Q158" s="68">
        <v>3.44</v>
      </c>
      <c r="R158" s="68">
        <v>2.56</v>
      </c>
      <c r="S158" s="68">
        <v>3.09</v>
      </c>
      <c r="T158" s="68">
        <v>2.06</v>
      </c>
      <c r="U158" s="68">
        <v>4.5999999999999996</v>
      </c>
      <c r="V158" s="68">
        <v>2.4700000000000002</v>
      </c>
      <c r="W158" s="68">
        <v>3.24</v>
      </c>
      <c r="X158" s="68">
        <v>3.04</v>
      </c>
    </row>
    <row r="159" spans="1:24" s="93" customFormat="1" ht="14.25" thickBot="1" x14ac:dyDescent="0.3">
      <c r="A159" s="225" t="s">
        <v>45</v>
      </c>
      <c r="B159" s="73">
        <v>3.19</v>
      </c>
      <c r="C159" s="73">
        <v>3.83</v>
      </c>
      <c r="D159" s="73">
        <v>5.0599999999999996</v>
      </c>
      <c r="E159" s="73">
        <v>3.02</v>
      </c>
      <c r="F159" s="73">
        <v>4.38</v>
      </c>
      <c r="G159" s="73">
        <v>5.17</v>
      </c>
      <c r="H159" s="73">
        <v>3.31</v>
      </c>
      <c r="I159" s="73">
        <v>3.64</v>
      </c>
      <c r="J159" s="73">
        <v>4.4400000000000004</v>
      </c>
      <c r="K159" s="73">
        <v>4.26</v>
      </c>
      <c r="L159" s="73">
        <v>5.05</v>
      </c>
      <c r="M159" s="73">
        <v>5.0999999999999996</v>
      </c>
      <c r="N159" s="73">
        <v>3.96</v>
      </c>
      <c r="O159" s="73">
        <v>2.4500000000000002</v>
      </c>
      <c r="P159" s="73">
        <v>5.67</v>
      </c>
      <c r="Q159" s="73">
        <v>4.0199999999999996</v>
      </c>
      <c r="R159" s="73">
        <v>2.99</v>
      </c>
      <c r="S159" s="73">
        <v>3.81</v>
      </c>
      <c r="T159" s="73">
        <v>2.48</v>
      </c>
      <c r="U159" s="73">
        <v>5.14</v>
      </c>
      <c r="V159" s="73">
        <v>2.79</v>
      </c>
      <c r="W159" s="73">
        <v>3.89</v>
      </c>
      <c r="X159" s="73">
        <v>3.65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10.85</v>
      </c>
      <c r="C162" s="68">
        <v>12.25</v>
      </c>
      <c r="D162" s="68">
        <v>13.72</v>
      </c>
      <c r="E162" s="68">
        <v>12.93</v>
      </c>
      <c r="F162" s="68">
        <v>13.04</v>
      </c>
    </row>
    <row r="163" spans="1:72" s="93" customFormat="1" ht="14.25" thickBot="1" x14ac:dyDescent="0.3">
      <c r="A163" s="225" t="s">
        <v>18</v>
      </c>
      <c r="B163" s="274">
        <v>1.0900000000000001</v>
      </c>
      <c r="C163" s="274">
        <v>1.08</v>
      </c>
      <c r="D163" s="274">
        <v>1.04</v>
      </c>
      <c r="E163" s="274">
        <v>1.04</v>
      </c>
      <c r="F163" s="274">
        <v>0.97</v>
      </c>
    </row>
    <row r="164" spans="1:72" s="93" customFormat="1" ht="14.25" thickBot="1" x14ac:dyDescent="0.3">
      <c r="A164" s="224" t="s">
        <v>15</v>
      </c>
      <c r="B164" s="68">
        <v>1.24</v>
      </c>
      <c r="C164" s="68">
        <v>1.22</v>
      </c>
      <c r="D164" s="68">
        <v>1.27</v>
      </c>
      <c r="E164" s="68">
        <v>1.17</v>
      </c>
      <c r="F164" s="68">
        <v>1.1299999999999999</v>
      </c>
    </row>
    <row r="165" spans="1:72" s="93" customFormat="1" ht="14.25" thickBot="1" x14ac:dyDescent="0.3">
      <c r="A165" s="225" t="s">
        <v>45</v>
      </c>
      <c r="B165" s="73">
        <v>14.81</v>
      </c>
      <c r="C165" s="73">
        <v>16.32</v>
      </c>
      <c r="D165" s="73">
        <v>18.43</v>
      </c>
      <c r="E165" s="73">
        <v>15.63</v>
      </c>
      <c r="F165" s="73">
        <v>14.12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35.020000000000003</v>
      </c>
      <c r="C168" s="68">
        <v>36.29</v>
      </c>
      <c r="D168" s="68">
        <v>34.479999999999997</v>
      </c>
      <c r="E168" s="68">
        <v>36.29</v>
      </c>
      <c r="F168" s="68">
        <v>34.35</v>
      </c>
      <c r="G168" s="68">
        <v>43.06</v>
      </c>
      <c r="H168" s="68">
        <v>39.47</v>
      </c>
      <c r="I168" s="68">
        <v>36.29</v>
      </c>
      <c r="J168" s="68">
        <v>36.29</v>
      </c>
      <c r="K168" s="68">
        <v>38.299999999999997</v>
      </c>
      <c r="L168" s="68">
        <v>37.19</v>
      </c>
      <c r="M168" s="68">
        <v>36.590000000000003</v>
      </c>
      <c r="N168" s="68">
        <v>42.45</v>
      </c>
      <c r="O168" s="68">
        <v>42.06</v>
      </c>
      <c r="P168" s="68">
        <v>43.06</v>
      </c>
      <c r="Q168" s="68">
        <v>41.67</v>
      </c>
      <c r="R168" s="68">
        <v>45.92</v>
      </c>
      <c r="S168" s="68">
        <v>43.9</v>
      </c>
      <c r="T168" s="68">
        <v>43.48</v>
      </c>
      <c r="U168" s="68">
        <v>43.06</v>
      </c>
      <c r="V168" s="68">
        <v>44.78</v>
      </c>
      <c r="W168" s="68">
        <v>47.87</v>
      </c>
      <c r="X168" s="68">
        <v>45.69</v>
      </c>
    </row>
    <row r="169" spans="1:72" s="93" customFormat="1" ht="14.25" thickBot="1" x14ac:dyDescent="0.3">
      <c r="A169" s="225" t="s">
        <v>17</v>
      </c>
      <c r="B169" s="274">
        <v>73.17</v>
      </c>
      <c r="C169" s="274">
        <v>73.77</v>
      </c>
      <c r="D169" s="274">
        <v>75.63</v>
      </c>
      <c r="E169" s="274">
        <v>92.78</v>
      </c>
      <c r="F169" s="274">
        <v>97.83</v>
      </c>
      <c r="G169" s="274">
        <v>125</v>
      </c>
      <c r="H169" s="274">
        <v>101.12</v>
      </c>
      <c r="I169" s="274">
        <v>84.91</v>
      </c>
      <c r="J169" s="274">
        <v>90.91</v>
      </c>
      <c r="K169" s="274">
        <v>105.88</v>
      </c>
      <c r="L169" s="274">
        <v>105.88</v>
      </c>
      <c r="M169" s="274">
        <v>100</v>
      </c>
      <c r="N169" s="274">
        <v>116.88</v>
      </c>
      <c r="O169" s="274">
        <v>120</v>
      </c>
      <c r="P169" s="274">
        <v>113.92</v>
      </c>
      <c r="Q169" s="274">
        <v>84.91</v>
      </c>
      <c r="R169" s="274">
        <v>100</v>
      </c>
      <c r="S169" s="274">
        <v>109.76</v>
      </c>
      <c r="T169" s="274">
        <v>107.14</v>
      </c>
      <c r="U169" s="274">
        <v>108.43</v>
      </c>
      <c r="V169" s="274">
        <v>111.11</v>
      </c>
      <c r="W169" s="274">
        <v>121.62</v>
      </c>
      <c r="X169" s="274">
        <v>118.42</v>
      </c>
    </row>
    <row r="170" spans="1:72" s="93" customFormat="1" ht="14.25" thickBot="1" x14ac:dyDescent="0.3">
      <c r="A170" s="224" t="s">
        <v>42</v>
      </c>
      <c r="B170" s="72">
        <v>108.19</v>
      </c>
      <c r="C170" s="72">
        <v>110.06</v>
      </c>
      <c r="D170" s="72">
        <v>110.11</v>
      </c>
      <c r="E170" s="72">
        <v>129.07</v>
      </c>
      <c r="F170" s="72">
        <v>132.18</v>
      </c>
      <c r="G170" s="72">
        <v>168.06</v>
      </c>
      <c r="H170" s="72">
        <v>140.6</v>
      </c>
      <c r="I170" s="72">
        <v>121.2</v>
      </c>
      <c r="J170" s="72">
        <v>127.2</v>
      </c>
      <c r="K170" s="72">
        <v>144.18</v>
      </c>
      <c r="L170" s="72">
        <v>143.07</v>
      </c>
      <c r="M170" s="72">
        <v>136.59</v>
      </c>
      <c r="N170" s="72">
        <v>159.34</v>
      </c>
      <c r="O170" s="72">
        <v>162.06</v>
      </c>
      <c r="P170" s="72">
        <v>156.99</v>
      </c>
      <c r="Q170" s="72">
        <v>126.57</v>
      </c>
      <c r="R170" s="72">
        <v>145.91999999999999</v>
      </c>
      <c r="S170" s="72">
        <v>153.66</v>
      </c>
      <c r="T170" s="72">
        <v>150.62</v>
      </c>
      <c r="U170" s="72">
        <v>151.5</v>
      </c>
      <c r="V170" s="72">
        <v>155.88999999999999</v>
      </c>
      <c r="W170" s="72">
        <v>169.49</v>
      </c>
      <c r="X170" s="72">
        <v>164.11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97.58</v>
      </c>
      <c r="C173" s="72">
        <v>117.01</v>
      </c>
      <c r="D173" s="72">
        <v>83.32</v>
      </c>
      <c r="E173" s="72">
        <v>102.5</v>
      </c>
      <c r="F173" s="72">
        <v>96.55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13.5</v>
      </c>
      <c r="C176" s="72">
        <v>14.81</v>
      </c>
      <c r="D176" s="72">
        <v>14.49</v>
      </c>
      <c r="E176" s="72">
        <v>11.87</v>
      </c>
      <c r="F176" s="72">
        <v>13.61</v>
      </c>
      <c r="G176" s="72">
        <v>13.39</v>
      </c>
      <c r="H176" s="72">
        <v>13.18</v>
      </c>
      <c r="I176" s="72">
        <v>12.53</v>
      </c>
      <c r="J176" s="72">
        <v>12.16</v>
      </c>
      <c r="K176" s="72">
        <v>12.11</v>
      </c>
      <c r="L176" s="72">
        <v>10.77</v>
      </c>
      <c r="M176" s="72">
        <v>11.64</v>
      </c>
      <c r="N176" s="72">
        <v>11.73</v>
      </c>
      <c r="O176" s="72">
        <v>12.11</v>
      </c>
      <c r="P176" s="72">
        <v>13.56</v>
      </c>
      <c r="Q176" s="72">
        <v>15.16</v>
      </c>
      <c r="R176" s="72">
        <v>13.71</v>
      </c>
      <c r="S176" s="72">
        <v>13.27</v>
      </c>
      <c r="T176" s="72">
        <v>12.43</v>
      </c>
      <c r="U176" s="72">
        <v>10.98</v>
      </c>
      <c r="V176" s="72">
        <v>11.65</v>
      </c>
      <c r="W176" s="72">
        <v>11.83</v>
      </c>
      <c r="X176" s="72">
        <v>12.59</v>
      </c>
      <c r="Y176" s="72">
        <v>11.93</v>
      </c>
      <c r="Z176" s="72">
        <v>12.41</v>
      </c>
      <c r="AA176" s="72">
        <v>12.72</v>
      </c>
      <c r="AB176" s="72">
        <v>12.56</v>
      </c>
      <c r="AC176" s="72">
        <v>13.51</v>
      </c>
      <c r="AD176" s="72">
        <v>14.04</v>
      </c>
      <c r="AE176" s="72">
        <v>14.52</v>
      </c>
      <c r="AF176" s="72">
        <v>14.04</v>
      </c>
      <c r="AG176" s="72">
        <v>14.39</v>
      </c>
      <c r="AH176" s="72">
        <v>13.88</v>
      </c>
      <c r="AI176" s="72">
        <v>13.94</v>
      </c>
      <c r="AJ176" s="72">
        <v>12.86</v>
      </c>
      <c r="AK176" s="72">
        <v>12.53</v>
      </c>
      <c r="AL176" s="72">
        <v>12.7</v>
      </c>
      <c r="AM176" s="72">
        <v>13.02</v>
      </c>
      <c r="AN176" s="72">
        <v>12.55</v>
      </c>
      <c r="AO176" s="72">
        <v>13.47</v>
      </c>
      <c r="AP176" s="72">
        <v>13.79</v>
      </c>
      <c r="AQ176" s="72">
        <v>13.69</v>
      </c>
      <c r="AR176" s="72">
        <v>11.85</v>
      </c>
      <c r="AS176" s="72">
        <v>11.02</v>
      </c>
      <c r="AT176" s="72">
        <v>11.03</v>
      </c>
      <c r="AU176" s="72">
        <v>11.48</v>
      </c>
      <c r="AV176" s="72">
        <v>10.75</v>
      </c>
      <c r="AW176" s="72">
        <v>10.66</v>
      </c>
      <c r="AX176" s="72">
        <v>10.54</v>
      </c>
      <c r="AY176" s="72">
        <v>11.97</v>
      </c>
      <c r="AZ176" s="72">
        <v>13.47</v>
      </c>
      <c r="BA176" s="72">
        <v>12.69</v>
      </c>
      <c r="BB176" s="72">
        <v>12.68</v>
      </c>
      <c r="BC176" s="72">
        <v>13.6</v>
      </c>
      <c r="BD176" s="72">
        <v>13.78</v>
      </c>
      <c r="BE176" s="72">
        <v>12.41</v>
      </c>
      <c r="BF176" s="72">
        <v>11.97</v>
      </c>
      <c r="BG176" s="72">
        <v>11.79</v>
      </c>
      <c r="BH176" s="72">
        <v>13.58</v>
      </c>
      <c r="BI176" s="72">
        <v>13.85</v>
      </c>
      <c r="BJ176" s="72">
        <v>13.9</v>
      </c>
      <c r="BK176" s="72">
        <v>14.06</v>
      </c>
      <c r="BL176" s="72">
        <v>14.17</v>
      </c>
      <c r="BM176" s="72">
        <v>15.13</v>
      </c>
      <c r="BN176" s="72">
        <v>15.37</v>
      </c>
      <c r="BO176" s="72">
        <v>15.58</v>
      </c>
      <c r="BP176" s="72">
        <v>14.19</v>
      </c>
      <c r="BQ176" s="72">
        <v>13.58</v>
      </c>
      <c r="BR176" s="72">
        <v>13.35</v>
      </c>
      <c r="BS176" s="72">
        <v>13.1</v>
      </c>
      <c r="BT176" s="72">
        <v>11.64</v>
      </c>
    </row>
  </sheetData>
  <phoneticPr fontId="3" type="noConversion"/>
  <conditionalFormatting sqref="E4">
    <cfRule type="cellIs" dxfId="5546" priority="103" operator="greaterThan">
      <formula>0.2</formula>
    </cfRule>
    <cfRule type="cellIs" dxfId="5545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5544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543" priority="97" operator="greaterThan">
      <formula>$B$19</formula>
    </cfRule>
  </conditionalFormatting>
  <conditionalFormatting sqref="D33:D34">
    <cfRule type="cellIs" dxfId="5542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5541" priority="91" operator="lessThan">
      <formula>$H$62</formula>
    </cfRule>
    <cfRule type="cellIs" dxfId="5540" priority="92" operator="greaterThan">
      <formula>$H$62</formula>
    </cfRule>
  </conditionalFormatting>
  <conditionalFormatting sqref="J62">
    <cfRule type="cellIs" dxfId="5539" priority="89" operator="lessThan">
      <formula>$K$62</formula>
    </cfRule>
    <cfRule type="cellIs" dxfId="5538" priority="90" operator="greaterThan">
      <formula>$K$62</formula>
    </cfRule>
  </conditionalFormatting>
  <conditionalFormatting sqref="M62">
    <cfRule type="cellIs" dxfId="5537" priority="87" operator="lessThan">
      <formula>$N$62</formula>
    </cfRule>
    <cfRule type="cellIs" dxfId="5536" priority="88" operator="greaterThan">
      <formula>$N$62</formula>
    </cfRule>
  </conditionalFormatting>
  <conditionalFormatting sqref="B44:E44">
    <cfRule type="cellIs" dxfId="5535" priority="85" operator="greaterThan">
      <formula>0</formula>
    </cfRule>
    <cfRule type="cellIs" dxfId="5534" priority="86" operator="lessThan">
      <formula>0</formula>
    </cfRule>
  </conditionalFormatting>
  <conditionalFormatting sqref="F72">
    <cfRule type="cellIs" dxfId="5533" priority="84" operator="lessThan">
      <formula>$E$72*90%</formula>
    </cfRule>
  </conditionalFormatting>
  <conditionalFormatting sqref="F73">
    <cfRule type="cellIs" dxfId="5532" priority="83" operator="lessThan">
      <formula>$E$73*90%</formula>
    </cfRule>
  </conditionalFormatting>
  <conditionalFormatting sqref="F74">
    <cfRule type="cellIs" dxfId="5531" priority="82" operator="lessThan">
      <formula>$E$74*90%</formula>
    </cfRule>
  </conditionalFormatting>
  <conditionalFormatting sqref="F75">
    <cfRule type="cellIs" dxfId="5530" priority="81" operator="lessThan">
      <formula>$E$75*90%</formula>
    </cfRule>
  </conditionalFormatting>
  <conditionalFormatting sqref="H44:K44">
    <cfRule type="cellIs" dxfId="5529" priority="79" operator="greaterThan">
      <formula>0</formula>
    </cfRule>
    <cfRule type="cellIs" dxfId="5528" priority="80" operator="lessThan">
      <formula>0</formula>
    </cfRule>
  </conditionalFormatting>
  <conditionalFormatting sqref="H51:K51">
    <cfRule type="cellIs" dxfId="5527" priority="77" operator="greaterThan">
      <formula>0</formula>
    </cfRule>
    <cfRule type="cellIs" dxfId="5526" priority="78" operator="lessThan">
      <formula>0</formula>
    </cfRule>
  </conditionalFormatting>
  <conditionalFormatting sqref="B51:E51">
    <cfRule type="cellIs" dxfId="5525" priority="75" operator="greaterThan">
      <formula>0</formula>
    </cfRule>
    <cfRule type="cellIs" dxfId="5524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523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522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5521" priority="58" operator="lessThan">
      <formula>0</formula>
    </cfRule>
  </conditionalFormatting>
  <conditionalFormatting sqref="A25 E25 C25">
    <cfRule type="cellIs" dxfId="5520" priority="59" operator="lessThan">
      <formula>0</formula>
    </cfRule>
  </conditionalFormatting>
  <conditionalFormatting sqref="F25">
    <cfRule type="cellIs" dxfId="5519" priority="57" operator="lessThan">
      <formula>0</formula>
    </cfRule>
  </conditionalFormatting>
  <conditionalFormatting sqref="E1">
    <cfRule type="containsText" dxfId="5518" priority="56" operator="containsText" text="本季業外損益/平均=-">
      <formula>NOT(ISERROR(SEARCH("本季業外損益/平均=-",E1)))</formula>
    </cfRule>
  </conditionalFormatting>
  <conditionalFormatting sqref="M65">
    <cfRule type="cellIs" dxfId="5517" priority="55" operator="lessThan">
      <formula>$L$65*90%</formula>
    </cfRule>
  </conditionalFormatting>
  <conditionalFormatting sqref="M66">
    <cfRule type="cellIs" dxfId="5516" priority="54" operator="lessThan">
      <formula>$L$66*90%</formula>
    </cfRule>
  </conditionalFormatting>
  <conditionalFormatting sqref="M67">
    <cfRule type="cellIs" dxfId="5515" priority="53" operator="lessThan">
      <formula>$L$67*90%</formula>
    </cfRule>
  </conditionalFormatting>
  <conditionalFormatting sqref="M68">
    <cfRule type="cellIs" dxfId="5514" priority="52" operator="lessThan">
      <formula>$L$68*90%</formula>
    </cfRule>
  </conditionalFormatting>
  <conditionalFormatting sqref="B60">
    <cfRule type="cellIs" dxfId="5513" priority="51" operator="lessThan">
      <formula>0</formula>
    </cfRule>
  </conditionalFormatting>
  <conditionalFormatting sqref="B59:F59">
    <cfRule type="cellIs" dxfId="5512" priority="50" operator="lessThanOrEqual">
      <formula>0</formula>
    </cfRule>
  </conditionalFormatting>
  <conditionalFormatting sqref="D62">
    <cfRule type="cellIs" dxfId="5511" priority="48" operator="lessThan">
      <formula>$E$62</formula>
    </cfRule>
    <cfRule type="cellIs" dxfId="5510" priority="49" operator="greaterThan">
      <formula>$E$62</formula>
    </cfRule>
  </conditionalFormatting>
  <conditionalFormatting sqref="F69">
    <cfRule type="cellIs" dxfId="5509" priority="46" operator="lessThan">
      <formula>0</formula>
    </cfRule>
  </conditionalFormatting>
  <conditionalFormatting sqref="B65:E67 B69:E69 B68:D68">
    <cfRule type="cellIs" dxfId="5508" priority="47" operator="lessThan">
      <formula>0</formula>
    </cfRule>
  </conditionalFormatting>
  <conditionalFormatting sqref="E68">
    <cfRule type="cellIs" dxfId="5507" priority="45" operator="lessThan">
      <formula>0</formula>
    </cfRule>
  </conditionalFormatting>
  <conditionalFormatting sqref="F65:F68">
    <cfRule type="cellIs" dxfId="5506" priority="44" operator="lessThan">
      <formula>0</formula>
    </cfRule>
  </conditionalFormatting>
  <conditionalFormatting sqref="F65:F68">
    <cfRule type="cellIs" dxfId="5505" priority="43" operator="lessThan">
      <formula>$E$65*0.9</formula>
    </cfRule>
  </conditionalFormatting>
  <conditionalFormatting sqref="F66">
    <cfRule type="cellIs" dxfId="5504" priority="42" operator="lessThan">
      <formula>$E$66*0.9</formula>
    </cfRule>
  </conditionalFormatting>
  <conditionalFormatting sqref="F67:F68">
    <cfRule type="cellIs" dxfId="5503" priority="41" operator="lessThan">
      <formula>$E$67*0.9</formula>
    </cfRule>
  </conditionalFormatting>
  <conditionalFormatting sqref="F68">
    <cfRule type="cellIs" dxfId="5502" priority="40" operator="lessThan">
      <formula>$E$68*0.9</formula>
    </cfRule>
  </conditionalFormatting>
  <conditionalFormatting sqref="B13:F13">
    <cfRule type="cellIs" dxfId="5501" priority="29" operator="greaterThan">
      <formula>$I$16</formula>
    </cfRule>
    <cfRule type="cellIs" dxfId="5500" priority="30" operator="lessThanOrEqual">
      <formula>$I$16</formula>
    </cfRule>
  </conditionalFormatting>
  <conditionalFormatting sqref="B10:F10">
    <cfRule type="cellIs" dxfId="5499" priority="31" operator="greaterThan">
      <formula>15</formula>
    </cfRule>
    <cfRule type="cellIs" dxfId="5498" priority="38" operator="lessThan">
      <formula>$I$9</formula>
    </cfRule>
    <cfRule type="cellIs" dxfId="5497" priority="39" operator="greaterThan">
      <formula>$I$9</formula>
    </cfRule>
  </conditionalFormatting>
  <conditionalFormatting sqref="B16:F16">
    <cfRule type="cellIs" dxfId="5496" priority="36" operator="greaterThan">
      <formula>$I$16</formula>
    </cfRule>
    <cfRule type="cellIs" dxfId="5495" priority="37" operator="lessThanOrEqual">
      <formula>$I$16</formula>
    </cfRule>
  </conditionalFormatting>
  <conditionalFormatting sqref="B15:F15">
    <cfRule type="cellIs" dxfId="5494" priority="34" operator="lessThanOrEqual">
      <formula>$I$16</formula>
    </cfRule>
    <cfRule type="cellIs" dxfId="5493" priority="35" operator="greaterThan">
      <formula>$I$16</formula>
    </cfRule>
  </conditionalFormatting>
  <conditionalFormatting sqref="B14:F14">
    <cfRule type="cellIs" dxfId="5492" priority="32" operator="greaterThan">
      <formula>$I$16</formula>
    </cfRule>
    <cfRule type="cellIs" dxfId="5491" priority="33" operator="lessThanOrEqual">
      <formula>$I$16</formula>
    </cfRule>
  </conditionalFormatting>
  <conditionalFormatting sqref="K6">
    <cfRule type="containsText" dxfId="5490" priority="27" operator="containsText" text="衰退">
      <formula>NOT(ISERROR(SEARCH("衰退",K6)))</formula>
    </cfRule>
    <cfRule type="containsText" dxfId="5489" priority="28" operator="containsText" text="成長">
      <formula>NOT(ISERROR(SEARCH("成長",K6)))</formula>
    </cfRule>
  </conditionalFormatting>
  <conditionalFormatting sqref="I4:K4">
    <cfRule type="cellIs" dxfId="5488" priority="25" operator="lessThan">
      <formula>0</formula>
    </cfRule>
    <cfRule type="cellIs" dxfId="5487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486" priority="22" operator="lessThanOrEqual">
      <formula>$I$16</formula>
    </cfRule>
    <cfRule type="cellIs" dxfId="5485" priority="23" operator="greaterThan">
      <formula>$I$16</formula>
    </cfRule>
  </conditionalFormatting>
  <conditionalFormatting sqref="I6">
    <cfRule type="containsText" dxfId="5484" priority="20" operator="containsText" text="衰退">
      <formula>NOT(ISERROR(SEARCH("衰退",I6)))</formula>
    </cfRule>
    <cfRule type="containsText" dxfId="5483" priority="21" operator="containsText" text="成長">
      <formula>NOT(ISERROR(SEARCH("成長",I6)))</formula>
    </cfRule>
  </conditionalFormatting>
  <conditionalFormatting sqref="M9">
    <cfRule type="cellIs" dxfId="5482" priority="19" operator="lessThan">
      <formula>$I$9</formula>
    </cfRule>
  </conditionalFormatting>
  <conditionalFormatting sqref="M10">
    <cfRule type="cellIs" dxfId="5481" priority="18" operator="greaterThan">
      <formula>$I$9</formula>
    </cfRule>
  </conditionalFormatting>
  <conditionalFormatting sqref="M11">
    <cfRule type="cellIs" dxfId="5480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479" priority="14" operator="lessThan">
      <formula>0</formula>
    </cfRule>
    <cfRule type="cellIs" dxfId="5478" priority="15" operator="greaterThan">
      <formula>0.5</formula>
    </cfRule>
  </conditionalFormatting>
  <conditionalFormatting sqref="N14">
    <cfRule type="cellIs" dxfId="5477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476" priority="10" operator="lessThan">
      <formula>0.1</formula>
    </cfRule>
  </conditionalFormatting>
  <conditionalFormatting sqref="I14">
    <cfRule type="cellIs" dxfId="5475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474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473" priority="1" operator="lessThan">
      <formula>$N$5*0.9</formula>
    </cfRule>
    <cfRule type="cellIs" dxfId="5472" priority="2" operator="greaterThan">
      <formula>$N$5*1.1</formula>
    </cfRule>
  </conditionalFormatting>
  <hyperlinks>
    <hyperlink ref="L1" location="儀表板!A1" display="(回首頁)" xr:uid="{00000000-0004-0000-1E00-000000000000}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3.81 ~ 23.18</v>
      </c>
      <c r="L1" s="83" t="s">
        <v>176</v>
      </c>
      <c r="M1" s="84" t="str">
        <f ca="1">VLOOKUP(_xlfn.NUMBERVALUE(N1),儀表板!A:B,2,FALSE)</f>
        <v>聯發科</v>
      </c>
      <c r="N1" s="85" t="str">
        <f ca="1">MID(CELL("filename",L1),FIND("]",CELL("filename",L1))+1,255)</f>
        <v>2454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0.11694287467131838</v>
      </c>
    </row>
    <row r="3" spans="1:15" s="93" customFormat="1" x14ac:dyDescent="0.25">
      <c r="A3" s="81" t="s">
        <v>179</v>
      </c>
      <c r="B3" s="94">
        <f>SUM(F19:F22,F24:F27,J19)</f>
        <v>82.78420793188117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183.30698704060572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232.07456663057661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267.71923389451899</v>
      </c>
      <c r="L3" s="100"/>
      <c r="M3" s="79" t="s">
        <v>385</v>
      </c>
      <c r="N3" s="92">
        <f>(F69-E69)/E69</f>
        <v>-0.22358226788605684</v>
      </c>
    </row>
    <row r="4" spans="1:15" s="93" customFormat="1" x14ac:dyDescent="0.25">
      <c r="A4" s="81" t="s">
        <v>182</v>
      </c>
      <c r="B4" s="96">
        <f>SUM(G36:G40)*2</f>
        <v>56</v>
      </c>
      <c r="C4" s="101"/>
      <c r="D4" s="102">
        <f>F4*(1+F141/10)</f>
        <v>158</v>
      </c>
      <c r="E4" s="82">
        <f>(D4-F4)/F4</f>
        <v>0</v>
      </c>
      <c r="F4" s="103">
        <v>158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11.770492818847378</v>
      </c>
    </row>
    <row r="5" spans="1:15" s="93" customFormat="1" x14ac:dyDescent="0.25">
      <c r="A5" s="81" t="s">
        <v>184</v>
      </c>
      <c r="B5" s="107">
        <f>SUM(F30:F34)*2</f>
        <v>96.825593330095529</v>
      </c>
      <c r="C5" s="87"/>
      <c r="D5" s="87"/>
      <c r="E5" s="87"/>
      <c r="F5" s="86"/>
      <c r="G5" s="88"/>
      <c r="M5" s="79" t="s">
        <v>386</v>
      </c>
      <c r="N5" s="152">
        <f>D62</f>
        <v>12.29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連2季衰退</v>
      </c>
      <c r="L6" s="112"/>
      <c r="M6" s="79" t="s">
        <v>190</v>
      </c>
      <c r="N6" s="152">
        <f>A53</f>
        <v>8.7600449056086784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29.32</v>
      </c>
      <c r="N9" s="129"/>
    </row>
    <row r="10" spans="1:15" s="93" customFormat="1" x14ac:dyDescent="0.25">
      <c r="A10" s="123" t="s">
        <v>194</v>
      </c>
      <c r="B10" s="126">
        <f>PERCENTILE(176:176,B9)</f>
        <v>14.57</v>
      </c>
      <c r="C10" s="126">
        <f>PERCENTILE(176:176,C9)</f>
        <v>15.504999999999999</v>
      </c>
      <c r="D10" s="126">
        <f>PERCENTILE(176:176,D9)</f>
        <v>19.63</v>
      </c>
      <c r="E10" s="126">
        <f>PERCENTILE(176:176,E9)</f>
        <v>22.645</v>
      </c>
      <c r="F10" s="126">
        <f>PERCENTILE(176:176,F9)</f>
        <v>24.38</v>
      </c>
      <c r="G10" s="95"/>
      <c r="H10" s="135"/>
      <c r="I10" s="135"/>
      <c r="J10" s="135"/>
      <c r="K10" s="135"/>
      <c r="L10" s="136" t="s">
        <v>374</v>
      </c>
      <c r="M10" s="130">
        <f>MIN(176:176)</f>
        <v>10.49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162.91999999999999</v>
      </c>
      <c r="L11" s="272" t="s">
        <v>193</v>
      </c>
      <c r="M11" s="128">
        <f>STDEV(176:176)</f>
        <v>5.608691455146543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201.33053221288517</v>
      </c>
      <c r="C13" s="141">
        <f>$B$34/5.88%</f>
        <v>244.47278911564626</v>
      </c>
      <c r="D13" s="141">
        <f>$B$34/5%</f>
        <v>287.5</v>
      </c>
      <c r="E13" s="141">
        <f>$B$34/4.35%</f>
        <v>330.45977011494256</v>
      </c>
      <c r="F13" s="141">
        <f>$B$34/3.85%</f>
        <v>373.3766233766234</v>
      </c>
      <c r="G13" s="138" t="str">
        <f>"$"&amp;ROUND(B34,2)&amp;"/"&amp;IF(STDEV(C140:F140)/AVERAGE(C140:F140)&lt;15%,"高",IF(STDEV(C140:F140)/AVERAGE(C140:F140)&lt;30%,"中","低"))</f>
        <v>$14.38/低</v>
      </c>
      <c r="H13" s="142" t="s">
        <v>199</v>
      </c>
      <c r="I13" s="143">
        <f>MAX(0,1-J15)</f>
        <v>0.37335092348284959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299.99629999999996</v>
      </c>
      <c r="C14" s="141">
        <f>$B$33*C10</f>
        <v>319.24794999999995</v>
      </c>
      <c r="D14" s="141">
        <f>$B$33*D10</f>
        <v>404.18169999999992</v>
      </c>
      <c r="E14" s="141">
        <f>$B$33*E10</f>
        <v>466.26054999999991</v>
      </c>
      <c r="F14" s="141">
        <f>$B$33*F10</f>
        <v>501.98419999999987</v>
      </c>
      <c r="G14" s="138" t="str">
        <f>"$"&amp;ROUND(B33,2)&amp;"/"&amp;IF(STDEV(B69:E69)/AVERAGE(B69:E69)&lt;15%,"高",IF(STDEV(B69:E69)/AVERAGE(B69:E69)&lt;30%,"中","低"))</f>
        <v>$20.59/低</v>
      </c>
      <c r="H14" s="142" t="s">
        <v>203</v>
      </c>
      <c r="I14" s="145">
        <f>G62/100*I13</f>
        <v>2.8636015831134565E-2</v>
      </c>
      <c r="J14" s="76" t="s">
        <v>204</v>
      </c>
      <c r="K14" s="146"/>
      <c r="L14" s="147">
        <f>(HLOOKUP($C$1,$105:$106,2,FALSE)-HLOOKUP($C$1,$117:$127,9,FALSE))/(HLOOKUP($C$1,$117:$128,12,FALSE)/K11)</f>
        <v>77.35018309334815</v>
      </c>
      <c r="M14" s="148">
        <f>E135/E69</f>
        <v>-0.3964379947229551</v>
      </c>
      <c r="N14" s="149">
        <f>F173/100</f>
        <v>1.3544</v>
      </c>
    </row>
    <row r="15" spans="1:15" s="93" customFormat="1" x14ac:dyDescent="0.25">
      <c r="A15" s="140" t="s">
        <v>375</v>
      </c>
      <c r="B15" s="141">
        <f>$D$62*B10</f>
        <v>179.06529999999998</v>
      </c>
      <c r="C15" s="141">
        <f>$D$62*C10</f>
        <v>190.55644999999998</v>
      </c>
      <c r="D15" s="141">
        <f>$D$62*D10</f>
        <v>241.25269999999998</v>
      </c>
      <c r="E15" s="141">
        <f>$D$62*E10</f>
        <v>278.30705</v>
      </c>
      <c r="F15" s="141">
        <f>$D$62*F10</f>
        <v>299.63019999999995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0.62664907651715041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171.49608037060631</v>
      </c>
      <c r="C16" s="141">
        <f>$F$69*C10</f>
        <v>182.50149115622858</v>
      </c>
      <c r="D16" s="141">
        <f>$F$69*D10</f>
        <v>231.05477403397401</v>
      </c>
      <c r="E16" s="141">
        <f>$F$69*E10</f>
        <v>266.54280988279885</v>
      </c>
      <c r="F16" s="141">
        <f>$F$69*F10</f>
        <v>286.96461492349908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8477</v>
      </c>
      <c r="J17" s="92">
        <f ca="1">IF(I17&lt;=0,"",IF(I17&lt;=MIN($B$13:$F$16),(I17-MIN($B$13:$F$16))/MIN($B$13:$F$16),IF(I17&gt;=MAX($B$13:$F$16),I17/MAX($B$13:$F$16),PERCENTRANK($B$13:$F$16,I17))))</f>
        <v>16.886985686003666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18.09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13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1.2584347826086957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0.27170127427118124</v>
      </c>
      <c r="J20" s="171">
        <f>HLOOKUP($C$1,$117:$127,11,FALSE)/HLOOKUP($C$1,$105:$115,11,FALSE)</f>
        <v>0.34289831641497887</v>
      </c>
      <c r="K20" s="163"/>
    </row>
    <row r="21" spans="1:14" s="93" customFormat="1" x14ac:dyDescent="0.25">
      <c r="A21" s="151" t="s">
        <v>201</v>
      </c>
      <c r="B21" s="161">
        <f>AVERAGE(C173:F173)/100</f>
        <v>1.164175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1.7528031446485612</v>
      </c>
      <c r="J21" s="78"/>
      <c r="K21" s="164" t="s">
        <v>356</v>
      </c>
      <c r="L21" s="165">
        <f>HLOOKUP($C$1,$105:$115,7,FALSE)/HLOOKUP($C$1,$105:$115,11,FALSE)</f>
        <v>0.56969233519821383</v>
      </c>
      <c r="M21" s="123" t="s">
        <v>268</v>
      </c>
      <c r="N21" s="165">
        <f>HLOOKUP($C$1,$117:$127,8,FALSE)/HLOOKUP($C$1,$117:$127,11,FALSE)</f>
        <v>0.94785494438270801</v>
      </c>
    </row>
    <row r="22" spans="1:14" s="93" customFormat="1" x14ac:dyDescent="0.25">
      <c r="A22" s="140" t="s">
        <v>222</v>
      </c>
      <c r="B22" s="161">
        <f>(-1)*SUM(C133:F133)/SUM(C132:F132)</f>
        <v>0.22983613534794642</v>
      </c>
      <c r="C22" s="157"/>
      <c r="D22" s="166"/>
      <c r="E22" s="140"/>
      <c r="F22" s="159">
        <f>IF(B22&lt;=0,10,IF(B22&gt;=100%,0,(1-B22)*10))</f>
        <v>7.7016386465205358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1.4694420030194746</v>
      </c>
      <c r="J22" s="78"/>
      <c r="K22" s="142" t="s">
        <v>357</v>
      </c>
      <c r="L22" s="165">
        <f>HLOOKUP($C$1,$105:$115,4,FALSE)/HLOOKUP($C$1,$105:$115,11,FALSE)</f>
        <v>5.5470823443686763E-2</v>
      </c>
      <c r="M22" s="123" t="s">
        <v>353</v>
      </c>
      <c r="N22" s="165">
        <f>HLOOKUP($C$1,$117:$127,4,FALSE)/HLOOKUP($C$1,$117:$127,11,FALSE)</f>
        <v>0.20763310502123977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1.5218344816044165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9.2097433172663959E-2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0.99867810669598223</v>
      </c>
      <c r="C24" s="169">
        <f>STDEV(C103:F103)</f>
        <v>8.8869474593834801E-3</v>
      </c>
      <c r="D24" s="76" t="str">
        <f>IF(C24/B24&lt;15%,"高",IF(C24/B24&lt;30%,"中","低"))</f>
        <v>高</v>
      </c>
      <c r="E24" s="149"/>
      <c r="F24" s="160">
        <f>MIN(100%,B24)*5</f>
        <v>4.9933905334799107</v>
      </c>
      <c r="G24" s="88" t="s">
        <v>229</v>
      </c>
      <c r="H24" s="123" t="s">
        <v>16</v>
      </c>
      <c r="I24" s="170">
        <f>HLOOKUP(C1,167:170,2,FALSE)</f>
        <v>29.9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0.20901234637134797</v>
      </c>
      <c r="M24" s="123" t="s">
        <v>355</v>
      </c>
      <c r="N24" s="165">
        <f>HLOOKUP($C$1,$117:$127,9,FALSE)/HLOOKUP($C$1,$117:$127,11,FALSE)</f>
        <v>5.2145055617292033E-2</v>
      </c>
    </row>
    <row r="25" spans="1:14" s="93" customFormat="1" x14ac:dyDescent="0.25">
      <c r="A25" s="151" t="s">
        <v>366</v>
      </c>
      <c r="B25" s="255">
        <f>AVERAGE(94:94)</f>
        <v>1265068.9130434783</v>
      </c>
      <c r="C25" s="254">
        <f>STDEV(94:94)/AVERAGE(94:94)</f>
        <v>0.91082124811927745</v>
      </c>
      <c r="D25" s="76" t="str">
        <f>IF(C25&lt;=1,"高",IF(C25&lt;=2,"中","低"))</f>
        <v>高</v>
      </c>
      <c r="E25" s="149"/>
      <c r="F25" s="160">
        <f>MAX(0,10-ABS(C25))</f>
        <v>9.0891787518807234</v>
      </c>
      <c r="G25" s="88" t="s">
        <v>213</v>
      </c>
      <c r="H25" s="123" t="s">
        <v>232</v>
      </c>
      <c r="I25" s="170">
        <f>IF(HLOOKUP(C1,167:170,3,FALSE)="無",0,HLOOKUP(C1,167:170,3,FALSE))</f>
        <v>84.11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25.370434782608694</v>
      </c>
      <c r="C26" s="172">
        <f>IF(COUNTIF(168:168,"&gt;0")=0,0,STDEV(168:168))</f>
        <v>3.5066229263817519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71.716956521739121</v>
      </c>
      <c r="C27" s="172">
        <f>IF(COUNTIF(169:169,"&gt;0")=0,0,STDEV(169:169))</f>
        <v>16.242577447387767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7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0.42894999999999994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0.15695000000000001</v>
      </c>
      <c r="C31" s="157" t="s">
        <v>217</v>
      </c>
      <c r="D31" s="174">
        <f>COUNTIF(149:149,"&gt;8")/COUNT(149:149)</f>
        <v>0.78260869565217395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13.977499999999999</v>
      </c>
      <c r="C32" s="157" t="s">
        <v>217</v>
      </c>
      <c r="D32" s="174">
        <f>COUNTIF(159:159,"&gt;3")/COUNT(159:159)</f>
        <v>0.43478260869565216</v>
      </c>
      <c r="E32" s="140" t="s">
        <v>242</v>
      </c>
      <c r="F32" s="159">
        <f>MIN(B32/15*10,10)</f>
        <v>9.3183333333333334</v>
      </c>
      <c r="G32" s="135"/>
    </row>
    <row r="33" spans="1:14" x14ac:dyDescent="0.25">
      <c r="A33" s="155" t="s">
        <v>14</v>
      </c>
      <c r="B33" s="156">
        <f>AVERAGE(B69:E69)</f>
        <v>20.589999999999996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14.375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9.0944633317144259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209471456</v>
      </c>
      <c r="C36" s="178">
        <f>STDEV(C97:F97)</f>
        <v>57091643.337441251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42.894999999999996</v>
      </c>
      <c r="C37" s="180">
        <f>STDEV(C152:F152)</f>
        <v>5.4210238885288478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15.3125</v>
      </c>
      <c r="C38" s="180">
        <f>STDEV(C153:F153)</f>
        <v>6.2066543590998693</v>
      </c>
      <c r="D38" s="76" t="str">
        <f>IF(C38/B38&lt;15%,"高",IF(C38/B38&lt;30%,"中","低"))</f>
        <v>低</v>
      </c>
      <c r="E38" s="107">
        <f>IF(F153&gt;E153,1,0)+IF(E153&gt;D153,1,0)+IF(D153&gt;C153,1,0)</f>
        <v>1</v>
      </c>
      <c r="F38" s="179"/>
      <c r="G38" s="160">
        <f>IF(D38="高",6,IF(D38="中",4,2))+E38+1</f>
        <v>4</v>
      </c>
    </row>
    <row r="39" spans="1:14" x14ac:dyDescent="0.25">
      <c r="A39" s="142" t="s">
        <v>46</v>
      </c>
      <c r="B39" s="181">
        <f>AVERAGE(C165:F165)</f>
        <v>13.977499999999999</v>
      </c>
      <c r="C39" s="181">
        <f>STDEV(C165:F165)</f>
        <v>5.1641674062718046</v>
      </c>
      <c r="D39" s="76" t="str">
        <f>IF(C39/B39&lt;15%,"高",IF(C39/B39&lt;30%,"中","低"))</f>
        <v>低</v>
      </c>
      <c r="E39" s="107">
        <f>IF(F165&gt;E165,1,0)+IF(E165&gt;D165,1,0)+IF(D165&gt;C165,1,0)</f>
        <v>1</v>
      </c>
      <c r="F39" s="182"/>
      <c r="G39" s="160">
        <f>IF(D39="高",6,IF(D39="中",4,2))+E39+1</f>
        <v>4</v>
      </c>
    </row>
    <row r="40" spans="1:14" x14ac:dyDescent="0.25">
      <c r="A40" s="164" t="s">
        <v>14</v>
      </c>
      <c r="B40" s="183">
        <f>AVERAGE(B69:E69)</f>
        <v>20.589999999999996</v>
      </c>
      <c r="C40" s="183">
        <f>STDEV(B69:E69)</f>
        <v>6.724616469856624</v>
      </c>
      <c r="D40" s="76" t="str">
        <f>IF(C40/B40&lt;15%,"高",IF(C40/B40&lt;30%,"中","低"))</f>
        <v>低</v>
      </c>
      <c r="E40" s="107">
        <f>IF(E69&gt;D69,1,0)+IF(D69&gt;C69,1,0)+IF(C69&gt;B69,1,0)</f>
        <v>1</v>
      </c>
      <c r="G40" s="160">
        <f>IF(D40="高",6,IF(D40="中",4,2))+E40+1</f>
        <v>4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-0.34538152610441775</v>
      </c>
      <c r="C44" s="186">
        <f>(C46-C49)/C49</f>
        <v>-0.63701923076923084</v>
      </c>
      <c r="D44" s="186">
        <f>(D46-D49)/D49</f>
        <v>0.5376344086021505</v>
      </c>
      <c r="E44" s="186">
        <f>(E46-E49)/E49</f>
        <v>0.14134275618374556</v>
      </c>
      <c r="G44" s="86" t="s">
        <v>175</v>
      </c>
      <c r="H44" s="186">
        <f>(H47-H50)/H50</f>
        <v>-0.1985596707818931</v>
      </c>
      <c r="I44" s="186">
        <f>(I47-I50)/I50</f>
        <v>-0.58358974358974358</v>
      </c>
      <c r="J44" s="186">
        <f>(J47-J50)/J50</f>
        <v>-0.7258883248730964</v>
      </c>
      <c r="K44" s="186">
        <f>(K47-K50)/K50</f>
        <v>-4.4481054365733241E-2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3.26</v>
      </c>
      <c r="C46" s="152">
        <f>HLOOKUP(C45,$81:$82,2,FALSE)</f>
        <v>1.51</v>
      </c>
      <c r="D46" s="152">
        <f>HLOOKUP(D45,$81:$82,2,FALSE)</f>
        <v>4.29</v>
      </c>
      <c r="E46" s="152">
        <f>HLOOKUP(E45,$81:$82,2,FALSE)</f>
        <v>3.23</v>
      </c>
      <c r="G46" s="86" t="s">
        <v>164</v>
      </c>
      <c r="H46" s="145">
        <f>HLOOKUP(H45,$145:$147,2,FALSE)/100</f>
        <v>0.36420000000000002</v>
      </c>
      <c r="I46" s="145">
        <f>HLOOKUP(I45,$145:$147,2,FALSE)/100</f>
        <v>0.35</v>
      </c>
      <c r="J46" s="145">
        <f>HLOOKUP(J45,$145:$147,2,FALSE)/100</f>
        <v>0.33500000000000002</v>
      </c>
      <c r="K46" s="145">
        <f>HLOOKUP(K45,$145:$147,2,FALSE)/100</f>
        <v>0.3453</v>
      </c>
    </row>
    <row r="47" spans="1:14" x14ac:dyDescent="0.25">
      <c r="A47" s="188" t="s">
        <v>165</v>
      </c>
      <c r="B47" s="189">
        <f>HLOOKUP(B45,$157:$159,3,FALSE)</f>
        <v>1.99</v>
      </c>
      <c r="C47" s="189">
        <f>HLOOKUP(C45,$157:$159,3,FALSE)</f>
        <v>0.87</v>
      </c>
      <c r="D47" s="189">
        <f>HLOOKUP(D45,$157:$159,3,FALSE)</f>
        <v>2.65</v>
      </c>
      <c r="E47" s="189">
        <f>HLOOKUP(E45,$157:$159,3,FALSE)</f>
        <v>2.16</v>
      </c>
      <c r="G47" s="190" t="s">
        <v>166</v>
      </c>
      <c r="H47" s="145">
        <f>HLOOKUP(H45,$145:$147,3,FALSE)/100</f>
        <v>7.7899999999999997E-2</v>
      </c>
      <c r="I47" s="145">
        <f>HLOOKUP(I45,$145:$147,3,FALSE)/100</f>
        <v>4.0599999999999997E-2</v>
      </c>
      <c r="J47" s="145">
        <f>HLOOKUP(J45,$145:$147,3,FALSE)/100</f>
        <v>2.1600000000000001E-2</v>
      </c>
      <c r="K47" s="145">
        <f>HLOOKUP(K45,$145:$147,3,FALSE)/100</f>
        <v>5.7999999999999996E-2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4.9800000000000004</v>
      </c>
      <c r="C49" s="152">
        <f>HLOOKUP(C48,$81:$82,2,FALSE)</f>
        <v>4.16</v>
      </c>
      <c r="D49" s="152">
        <f>HLOOKUP(D48,$81:$82,2,FALSE)</f>
        <v>2.79</v>
      </c>
      <c r="E49" s="152">
        <f>HLOOKUP(E48,$81:$82,2,FALSE)</f>
        <v>2.83</v>
      </c>
      <c r="G49" s="86" t="s">
        <v>164</v>
      </c>
      <c r="H49" s="145">
        <f>HLOOKUP(H48,$145:$147,2,FALSE)/100</f>
        <v>0.35220000000000001</v>
      </c>
      <c r="I49" s="145">
        <f>HLOOKUP(I48,$145:$147,2,FALSE)/100</f>
        <v>0.35229999999999995</v>
      </c>
      <c r="J49" s="145">
        <f>HLOOKUP(J48,$145:$147,2,FALSE)/100</f>
        <v>0.38109999999999999</v>
      </c>
      <c r="K49" s="145">
        <f>HLOOKUP(K48,$145:$147,2,FALSE)/100</f>
        <v>0.38530000000000003</v>
      </c>
    </row>
    <row r="50" spans="1:15" x14ac:dyDescent="0.25">
      <c r="A50" s="188" t="s">
        <v>165</v>
      </c>
      <c r="B50" s="189">
        <f>HLOOKUP(B48,$157:$159,3,FALSE)</f>
        <v>3.45</v>
      </c>
      <c r="C50" s="189">
        <f>HLOOKUP(C48,$157:$159,3,FALSE)</f>
        <v>2.78</v>
      </c>
      <c r="D50" s="189">
        <f>HLOOKUP(D48,$157:$159,3,FALSE)</f>
        <v>1.8</v>
      </c>
      <c r="E50" s="189">
        <f>HLOOKUP(E48,$157:$159,3,FALSE)</f>
        <v>1.73</v>
      </c>
      <c r="G50" s="190" t="s">
        <v>166</v>
      </c>
      <c r="H50" s="145">
        <f>HLOOKUP(H48,$145:$147,3,FALSE)/100</f>
        <v>9.7200000000000009E-2</v>
      </c>
      <c r="I50" s="145">
        <f>HLOOKUP(I48,$145:$147,3,FALSE)/100</f>
        <v>9.7500000000000003E-2</v>
      </c>
      <c r="J50" s="145">
        <f>HLOOKUP(J48,$145:$147,3,FALSE)/100</f>
        <v>7.8799999999999995E-2</v>
      </c>
      <c r="K50" s="145">
        <f>HLOOKUP(K48,$145:$147,3,FALSE)/100</f>
        <v>6.0700000000000004E-2</v>
      </c>
    </row>
    <row r="51" spans="1:15" x14ac:dyDescent="0.25">
      <c r="A51" s="86" t="s">
        <v>351</v>
      </c>
      <c r="B51" s="186">
        <f>(B47-B50)/B50</f>
        <v>-0.42318840579710149</v>
      </c>
      <c r="C51" s="186">
        <f>(C47-C50)/C50</f>
        <v>-0.68705035971223016</v>
      </c>
      <c r="D51" s="186">
        <f>(D47-D50)/D50</f>
        <v>0.47222222222222215</v>
      </c>
      <c r="E51" s="186">
        <f>(E47-E50)/E50</f>
        <v>0.24855491329479779</v>
      </c>
      <c r="G51" s="235" t="s">
        <v>174</v>
      </c>
      <c r="H51" s="186">
        <f>(H46-H49)/H49</f>
        <v>3.4071550255536653E-2</v>
      </c>
      <c r="I51" s="186">
        <f>(I46-I49)/I49</f>
        <v>-6.5285268237296884E-3</v>
      </c>
      <c r="J51" s="186">
        <f>(J46-J49)/J49</f>
        <v>-0.12096562581999469</v>
      </c>
      <c r="K51" s="186">
        <f>(K46-K49)/K49</f>
        <v>-0.10381520892810805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8.7600449056086784</v>
      </c>
      <c r="B53" s="193">
        <f>B46</f>
        <v>3.26</v>
      </c>
      <c r="C53" s="193">
        <f>E46/HLOOKUP(E45,$87:$94,5,FALSE)*HLOOKUP(E45,$87:$94,4,FALSE)*($B$25/HLOOKUP(E45,$87:$94,4,FALSE)+SUM($B$57:$D$57)/SUM($B58:$D$58)*$G$69/100/K46)</f>
        <v>2.7104928188473796</v>
      </c>
      <c r="D53" s="193">
        <f>D46/HLOOKUP(D45,$87:$94,5,FALSE)*HLOOKUP(D45,$87:$94,4,FALSE)*($B$25/HLOOKUP(D45,$87:$94,4,FALSE)+SUM($B$57:$D$57)/SUM($B58:$D$58)*$G$69/100/J46)</f>
        <v>1.3349333570341468</v>
      </c>
      <c r="E53" s="193">
        <f>C46/HLOOKUP(C45,$87:$94,5,FALSE)*HLOOKUP(C45,$87:$94,4,FALSE)*($B$25/HLOOKUP(C45,$87:$94,4,FALSE)+SUM($B$57:$D$57)/SUM($B58:$D$58)*$G$69/100/I46)</f>
        <v>1.4546187297271527</v>
      </c>
    </row>
    <row r="54" spans="1:15" x14ac:dyDescent="0.25">
      <c r="A54" s="278">
        <f>SUM(B54:E54)</f>
        <v>14.01</v>
      </c>
      <c r="B54" s="277">
        <f t="shared" ref="B54:D54" si="0">HLOOKUP(B52-10,81:82,2,FALSE)</f>
        <v>4.9800000000000004</v>
      </c>
      <c r="C54" s="277">
        <f t="shared" si="0"/>
        <v>3.23</v>
      </c>
      <c r="D54" s="277">
        <f t="shared" si="0"/>
        <v>4.29</v>
      </c>
      <c r="E54" s="277">
        <f>HLOOKUP(E52-10,81:82,2,FALSE)</f>
        <v>1.51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21011596</v>
      </c>
      <c r="C57" s="196">
        <f>HLOOKUP(C56,78:79,2,FALSE)</f>
        <v>22186112</v>
      </c>
      <c r="D57" s="196">
        <f>HLOOKUP(D56,78:79,2,FALSE)</f>
        <v>22495998</v>
      </c>
      <c r="E57" s="196">
        <f>HLOOKUP(E56,78:79,2,FALSE)</f>
        <v>18969298</v>
      </c>
      <c r="F57" s="196">
        <f>HLOOKUP(F56,78:79,2,FALSE)</f>
        <v>21893635</v>
      </c>
      <c r="G57" s="196">
        <f t="shared" ref="G57:M57" si="2">HLOOKUP(G56,78:79,2,FALSE)</f>
        <v>18437404</v>
      </c>
      <c r="H57" s="196">
        <f t="shared" si="2"/>
        <v>17747750</v>
      </c>
      <c r="I57" s="196">
        <f t="shared" si="2"/>
        <v>20818189</v>
      </c>
      <c r="J57" s="196">
        <f t="shared" si="2"/>
        <v>16950610</v>
      </c>
      <c r="K57" s="196">
        <f t="shared" si="2"/>
        <v>18313922</v>
      </c>
      <c r="L57" s="196">
        <f t="shared" si="2"/>
        <v>21354019</v>
      </c>
      <c r="M57" s="196">
        <f t="shared" si="2"/>
        <v>23516040</v>
      </c>
      <c r="N57" s="197"/>
    </row>
    <row r="58" spans="1:15" x14ac:dyDescent="0.25">
      <c r="A58" s="198" t="s">
        <v>253</v>
      </c>
      <c r="B58" s="196">
        <f>HLOOKUP(B56-100,78:79,2,FALSE)</f>
        <v>23805366</v>
      </c>
      <c r="C58" s="196">
        <f>HLOOKUP(C56-100,78:79,2,FALSE)</f>
        <v>27714331</v>
      </c>
      <c r="D58" s="196">
        <f>HLOOKUP(D56-100,78:79,2,FALSE)</f>
        <v>25870296</v>
      </c>
      <c r="E58" s="196">
        <f>HLOOKUP(E56-100,78:79,2,FALSE)</f>
        <v>24818864</v>
      </c>
      <c r="F58" s="196">
        <f>HLOOKUP(F56-100,78:79,2,FALSE)</f>
        <v>24869604</v>
      </c>
      <c r="G58" s="196">
        <f t="shared" ref="G58:M58" si="3">HLOOKUP(G56-100,78:79,2,FALSE)</f>
        <v>24636105</v>
      </c>
      <c r="H58" s="196">
        <f t="shared" si="3"/>
        <v>23021602</v>
      </c>
      <c r="I58" s="196">
        <f t="shared" si="3"/>
        <v>21337356</v>
      </c>
      <c r="J58" s="196">
        <f t="shared" si="3"/>
        <v>13242410</v>
      </c>
      <c r="K58" s="196">
        <f t="shared" si="3"/>
        <v>21325720</v>
      </c>
      <c r="L58" s="196">
        <f t="shared" si="3"/>
        <v>18520443</v>
      </c>
      <c r="M58" s="196">
        <f t="shared" si="3"/>
        <v>20955528</v>
      </c>
      <c r="N58" s="197"/>
    </row>
    <row r="59" spans="1:15" x14ac:dyDescent="0.25">
      <c r="A59" s="199" t="s">
        <v>254</v>
      </c>
      <c r="B59" s="165">
        <f>IF(B57&lt;&gt;"",(B57-B58)/B58,"")</f>
        <v>-0.11735883413848794</v>
      </c>
      <c r="C59" s="165">
        <f>IF(C57&lt;&gt;"",(C57-C58)/C58,"")</f>
        <v>-0.19947149364709543</v>
      </c>
      <c r="D59" s="165">
        <f>IF(D57&lt;&gt;"",(D57-D58)/D58,"")</f>
        <v>-0.13043136421786591</v>
      </c>
      <c r="E59" s="165">
        <f>IF(E57&lt;&gt;"",(E57-E58)/E58,"")</f>
        <v>-0.2356903200726673</v>
      </c>
      <c r="F59" s="165">
        <f>IF(F57&lt;&gt;"",(F57-F58)/F58,"")</f>
        <v>-0.11966290255365546</v>
      </c>
      <c r="G59" s="165">
        <f t="shared" ref="G59:M59" si="4">IF(G57&lt;&gt;"",(G57-G58)/G58,"")</f>
        <v>-0.25161043111319747</v>
      </c>
      <c r="H59" s="165">
        <f t="shared" si="4"/>
        <v>-0.22908275453636981</v>
      </c>
      <c r="I59" s="165">
        <f t="shared" si="4"/>
        <v>-2.433136514196042E-2</v>
      </c>
      <c r="J59" s="165">
        <f t="shared" si="4"/>
        <v>0.28002455746348287</v>
      </c>
      <c r="K59" s="165">
        <f t="shared" si="4"/>
        <v>-0.14122843214672237</v>
      </c>
      <c r="L59" s="165">
        <f t="shared" si="4"/>
        <v>0.15299720422454258</v>
      </c>
      <c r="M59" s="165">
        <f t="shared" si="4"/>
        <v>0.12218790192258577</v>
      </c>
    </row>
    <row r="60" spans="1:15" x14ac:dyDescent="0.25">
      <c r="A60" s="195" t="s">
        <v>255</v>
      </c>
      <c r="B60" s="196">
        <f>SUM(B57:M57)</f>
        <v>243694573</v>
      </c>
    </row>
    <row r="61" spans="1:15" x14ac:dyDescent="0.25">
      <c r="A61" s="198" t="s">
        <v>256</v>
      </c>
      <c r="B61" s="196">
        <f>SUM(B58:M58)</f>
        <v>270117625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0.90217945978164138</v>
      </c>
      <c r="D62" s="152">
        <f>SUM(B46:E46)</f>
        <v>12.29</v>
      </c>
      <c r="E62" s="152">
        <f>SUM(B49:E49)</f>
        <v>14.76</v>
      </c>
      <c r="G62" s="126">
        <f>SUM(B47:E47)</f>
        <v>7.67</v>
      </c>
      <c r="H62" s="126">
        <f>SUM(B50:E50)</f>
        <v>9.7600000000000016</v>
      </c>
      <c r="J62" s="200">
        <f>AVERAGE(H46:K46)</f>
        <v>0.34862499999999996</v>
      </c>
      <c r="K62" s="200">
        <f>AVERAGE(H49:K49)</f>
        <v>0.36772499999999997</v>
      </c>
      <c r="M62" s="200">
        <f>AVERAGE(H47:K47)</f>
        <v>4.9525E-2</v>
      </c>
      <c r="N62" s="200">
        <f>AVERAGE(H50:K50)</f>
        <v>8.3550000000000013E-2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2.79</v>
      </c>
      <c r="C65" s="205">
        <f t="shared" si="5"/>
        <v>6.82</v>
      </c>
      <c r="D65" s="205">
        <f t="shared" si="5"/>
        <v>4.62</v>
      </c>
      <c r="E65" s="205">
        <f t="shared" si="5"/>
        <v>2.79</v>
      </c>
      <c r="F65" s="206">
        <f>IF(ISNA(HLOOKUP(F$64*10+$A65,$81:$82,2,FALSE)),(HLOOKUP(E$64*10+$A65,$87:$94,4,FALSE)*$G65+$B$25)/HLOOKUP(E$64*10+$A65,$87:$94,5,FALSE)*$E65,HLOOKUP(F$64*10+$A65,$81:$82,2,FALSE))</f>
        <v>4.29</v>
      </c>
      <c r="G65" s="101">
        <f>MIN(130%,SUM($B$57:$D$57)/SUM($B$58:$D$58)*$G$69/HLOOKUP(E$64*10+$A65,$145:$146,2,FALSE))</f>
        <v>0.77539006769213381</v>
      </c>
      <c r="H65" s="204">
        <v>1</v>
      </c>
      <c r="I65" s="208">
        <f t="shared" ref="I65:M68" si="6">IF(ISNA(HLOOKUP(I$64*10+$H65,$145:$147,3,FALSE)),"",HLOOKUP(I$64*10+$H65,$145:$147,3,FALSE)/100)</f>
        <v>0.1288</v>
      </c>
      <c r="J65" s="208">
        <f t="shared" si="6"/>
        <v>0.23499999999999999</v>
      </c>
      <c r="K65" s="208">
        <f t="shared" si="6"/>
        <v>0.16140000000000002</v>
      </c>
      <c r="L65" s="208">
        <f t="shared" si="6"/>
        <v>7.8799999999999995E-2</v>
      </c>
      <c r="M65" s="209">
        <f t="shared" si="6"/>
        <v>2.1600000000000001E-2</v>
      </c>
      <c r="N65" s="256">
        <f t="shared" ref="N65:O68" si="7">HLOOKUP(E$64*10+$A65,$87:$94,8,FALSE)</f>
        <v>875095</v>
      </c>
      <c r="O65" s="256">
        <f t="shared" si="7"/>
        <v>6289136</v>
      </c>
      <c r="P65" s="210"/>
    </row>
    <row r="66" spans="1:71" x14ac:dyDescent="0.25">
      <c r="A66" s="204">
        <v>2</v>
      </c>
      <c r="B66" s="205">
        <f t="shared" si="5"/>
        <v>5.01</v>
      </c>
      <c r="C66" s="205">
        <f t="shared" si="5"/>
        <v>8.0299999999999994</v>
      </c>
      <c r="D66" s="205">
        <f t="shared" si="5"/>
        <v>4.0599999999999996</v>
      </c>
      <c r="E66" s="205">
        <f t="shared" si="5"/>
        <v>4.16</v>
      </c>
      <c r="F66" s="206">
        <f>IF(ISNA(HLOOKUP(F$64*10+$A66,$81:$82,2,FALSE)),(HLOOKUP(E$64*10+$A66,$87:$94,4,FALSE)*$G66+$B$25)/HLOOKUP(E$64*10+$A66,$87:$94,5,FALSE)*$E66,HLOOKUP(F$64*10+$A66,$81:$82,2,FALSE))</f>
        <v>1.51</v>
      </c>
      <c r="G66" s="101">
        <f>MIN(130%,SUM($B$57:$D$57)/SUM($B$58:$D$58)*$G$69/HLOOKUP(E$64*10+$A66,$145:$146,2,FALSE))</f>
        <v>0.83877705023409654</v>
      </c>
      <c r="H66" s="204">
        <v>2</v>
      </c>
      <c r="I66" s="208">
        <f t="shared" si="6"/>
        <v>0.1769</v>
      </c>
      <c r="J66" s="208">
        <f t="shared" si="6"/>
        <v>0.23569999999999999</v>
      </c>
      <c r="K66" s="208">
        <f t="shared" si="6"/>
        <v>0.14599999999999999</v>
      </c>
      <c r="L66" s="208">
        <f t="shared" si="6"/>
        <v>9.7500000000000003E-2</v>
      </c>
      <c r="M66" s="209">
        <f t="shared" si="6"/>
        <v>4.0599999999999997E-2</v>
      </c>
      <c r="N66" s="256">
        <f t="shared" si="7"/>
        <v>682297</v>
      </c>
      <c r="O66" s="256">
        <f t="shared" si="7"/>
        <v>1021835</v>
      </c>
      <c r="P66" s="210"/>
    </row>
    <row r="67" spans="1:71" x14ac:dyDescent="0.25">
      <c r="A67" s="204">
        <v>3</v>
      </c>
      <c r="B67" s="205">
        <f t="shared" si="5"/>
        <v>6.28</v>
      </c>
      <c r="C67" s="205">
        <f t="shared" si="5"/>
        <v>8.51</v>
      </c>
      <c r="D67" s="205">
        <f t="shared" si="5"/>
        <v>5.09</v>
      </c>
      <c r="E67" s="205">
        <f t="shared" si="5"/>
        <v>4.9800000000000004</v>
      </c>
      <c r="F67" s="206">
        <f>IF(ISNA(HLOOKUP(F$64*10+$A67,$81:$82,2,FALSE)),(HLOOKUP(E$64*10+$A67,$87:$94,4,FALSE)*$G67+$B$25)/HLOOKUP(E$64*10+$A67,$87:$94,5,FALSE)*$E67,HLOOKUP(F$64*10+$A67,$81:$82,2,FALSE))</f>
        <v>3.26</v>
      </c>
      <c r="G67" s="101">
        <f>MIN(130%,SUM($B$57:$D$57)/SUM($B$58:$D$58)*$G$69/HLOOKUP(E$64*10+$A67,$145:$146,2,FALSE))</f>
        <v>0.8390152038542652</v>
      </c>
      <c r="H67" s="204">
        <v>3</v>
      </c>
      <c r="I67" s="208">
        <f t="shared" si="6"/>
        <v>0.20170000000000002</v>
      </c>
      <c r="J67" s="208">
        <f t="shared" si="6"/>
        <v>0.24</v>
      </c>
      <c r="K67" s="208">
        <f t="shared" si="6"/>
        <v>0.1338</v>
      </c>
      <c r="L67" s="208">
        <f t="shared" si="6"/>
        <v>9.7200000000000009E-2</v>
      </c>
      <c r="M67" s="209">
        <f t="shared" si="6"/>
        <v>7.7899999999999997E-2</v>
      </c>
      <c r="N67" s="256">
        <f t="shared" si="7"/>
        <v>993330</v>
      </c>
      <c r="O67" s="256">
        <f t="shared" si="7"/>
        <v>661983</v>
      </c>
      <c r="P67" s="210"/>
    </row>
    <row r="68" spans="1:71" x14ac:dyDescent="0.25">
      <c r="A68" s="204">
        <v>4</v>
      </c>
      <c r="B68" s="205">
        <f>HLOOKUP(B$64*10+$A68,$81:$82,2,FALSE)</f>
        <v>6.43</v>
      </c>
      <c r="C68" s="205">
        <f>HLOOKUP(C$64*10+$A68,$81:$82,2,FALSE)</f>
        <v>6.73</v>
      </c>
      <c r="D68" s="205">
        <f>HLOOKUP(D$64*10+$A68,$81:$82,2,FALSE)</f>
        <v>2.83</v>
      </c>
      <c r="E68" s="206">
        <f>IF(ISNA(HLOOKUP(E$64*10+$A68,$81:$82,2,FALSE)),D68*(1-$N68)*#REF!*(1+$B$25)/(1+$E$4),HLOOKUP(E$64*10+$A68,$81:$82,2,FALSE))</f>
        <v>3.23</v>
      </c>
      <c r="F68" s="206">
        <f>IF(ISNA(HLOOKUP(F$64*10+$A68,$81:$82,2,FALSE)),(HLOOKUP(E$64*10+$A68,$87:$94,4,FALSE)*$G68+$B$25)/HLOOKUP(E$64*10+$A68,$87:$94,5,FALSE)*$E68,HLOOKUP(F$64*10+$A68,$81:$82,2,FALSE))</f>
        <v>2.71049281884738</v>
      </c>
      <c r="G68" s="101">
        <f>MIN(130%,SUM($B$57:$D$57)/SUM($B$58:$D$58)*$G$69/HLOOKUP(E$64*10+$A68,$145:$146,2,FALSE))</f>
        <v>0.85578092903988467</v>
      </c>
      <c r="H68" s="204">
        <v>4</v>
      </c>
      <c r="I68" s="208">
        <f t="shared" si="6"/>
        <v>0.21109999999999998</v>
      </c>
      <c r="J68" s="208">
        <f t="shared" si="6"/>
        <v>0.17809999999999998</v>
      </c>
      <c r="K68" s="208">
        <f t="shared" si="6"/>
        <v>6.0700000000000004E-2</v>
      </c>
      <c r="L68" s="208">
        <f t="shared" si="6"/>
        <v>5.7999999999999996E-2</v>
      </c>
      <c r="M68" s="209" t="str">
        <f t="shared" si="6"/>
        <v/>
      </c>
      <c r="N68" s="256">
        <f t="shared" si="7"/>
        <v>1586388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20.509999999999998</v>
      </c>
      <c r="C69" s="213">
        <f>SUM(C65:C68)</f>
        <v>30.09</v>
      </c>
      <c r="D69" s="213">
        <f>SUM(D65:D68)</f>
        <v>16.600000000000001</v>
      </c>
      <c r="E69" s="213">
        <f>SUM(E65:E68)</f>
        <v>15.16</v>
      </c>
      <c r="F69" s="213">
        <f>SUM(F65:F68)</f>
        <v>11.770492818847378</v>
      </c>
      <c r="G69" s="257">
        <f>_xlfn.FORECAST.ETS(23,B146:W146,{1,2,3,4,5,6,7,8,9,10,11,12,13,14,15,16,17,18,19,20,21,22})</f>
        <v>34.811298819506831</v>
      </c>
      <c r="H69" s="214" t="s">
        <v>19</v>
      </c>
      <c r="I69" s="215">
        <f>HLOOKUP(I64,151:155,3,FALSE)/100</f>
        <v>0.1855</v>
      </c>
      <c r="J69" s="215">
        <f>HLOOKUP(J64,151:155,3,FALSE)/100</f>
        <v>0.22170000000000001</v>
      </c>
      <c r="K69" s="215">
        <f>HLOOKUP(K64,151:155,3,FALSE)/100</f>
        <v>0.1215</v>
      </c>
      <c r="L69" s="215">
        <f>IF(ISNA(HLOOKUP(L64,151:155,3,FALSE)/100),AVERAGE(L65:L68),HLOOKUP(L64,151:155,3,FALSE)/100)</f>
        <v>8.3800000000000013E-2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2.09</v>
      </c>
      <c r="C72" s="205">
        <f t="shared" si="8"/>
        <v>4.79</v>
      </c>
      <c r="D72" s="205">
        <f t="shared" si="8"/>
        <v>2.89</v>
      </c>
      <c r="E72" s="205">
        <f t="shared" si="8"/>
        <v>1.8</v>
      </c>
      <c r="F72" s="205">
        <f t="shared" si="8"/>
        <v>2.65</v>
      </c>
    </row>
    <row r="73" spans="1:71" s="135" customFormat="1" x14ac:dyDescent="0.25">
      <c r="A73" s="204">
        <v>2</v>
      </c>
      <c r="B73" s="205">
        <f t="shared" si="8"/>
        <v>3.72</v>
      </c>
      <c r="C73" s="205">
        <f t="shared" si="8"/>
        <v>5.67</v>
      </c>
      <c r="D73" s="205">
        <f t="shared" si="8"/>
        <v>2.66</v>
      </c>
      <c r="E73" s="205">
        <f t="shared" si="8"/>
        <v>2.78</v>
      </c>
      <c r="F73" s="205">
        <f t="shared" si="8"/>
        <v>0.87</v>
      </c>
    </row>
    <row r="74" spans="1:71" s="135" customFormat="1" x14ac:dyDescent="0.25">
      <c r="A74" s="204">
        <v>3</v>
      </c>
      <c r="B74" s="205">
        <f t="shared" si="8"/>
        <v>4.63</v>
      </c>
      <c r="C74" s="205">
        <f t="shared" si="8"/>
        <v>5.97</v>
      </c>
      <c r="D74" s="205">
        <f t="shared" si="8"/>
        <v>3.44</v>
      </c>
      <c r="E74" s="205">
        <f t="shared" si="8"/>
        <v>3.45</v>
      </c>
      <c r="F74" s="205">
        <f t="shared" si="8"/>
        <v>1.99</v>
      </c>
    </row>
    <row r="75" spans="1:71" s="135" customFormat="1" x14ac:dyDescent="0.25">
      <c r="A75" s="204">
        <v>4</v>
      </c>
      <c r="B75" s="205">
        <f t="shared" si="8"/>
        <v>4.53</v>
      </c>
      <c r="C75" s="205">
        <f t="shared" si="8"/>
        <v>4.3499999999999996</v>
      </c>
      <c r="D75" s="205">
        <f t="shared" si="8"/>
        <v>1.73</v>
      </c>
      <c r="E75" s="205">
        <f t="shared" si="8"/>
        <v>2.16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14.970000000000002</v>
      </c>
      <c r="C76" s="213">
        <f>SUM(C72:C75)</f>
        <v>20.78</v>
      </c>
      <c r="D76" s="213">
        <f>SUM(D72:D75)</f>
        <v>10.72</v>
      </c>
      <c r="E76" s="213">
        <f>AVERAGE(E72:E75)*4</f>
        <v>10.190000000000001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5157714</v>
      </c>
      <c r="C79" s="270">
        <v>6229652</v>
      </c>
      <c r="D79" s="270">
        <v>8227923</v>
      </c>
      <c r="E79" s="270">
        <v>7941939</v>
      </c>
      <c r="F79" s="270">
        <v>7652735</v>
      </c>
      <c r="G79" s="270">
        <v>7845260</v>
      </c>
      <c r="H79" s="270">
        <v>9246070</v>
      </c>
      <c r="I79" s="270">
        <v>9217155</v>
      </c>
      <c r="J79" s="270">
        <v>11007703</v>
      </c>
      <c r="K79" s="270">
        <v>10498124</v>
      </c>
      <c r="L79" s="270">
        <v>8653980</v>
      </c>
      <c r="M79" s="270">
        <v>7582668</v>
      </c>
      <c r="N79" s="270">
        <v>8452573</v>
      </c>
      <c r="O79" s="270">
        <v>6092037</v>
      </c>
      <c r="P79" s="270">
        <v>9429723</v>
      </c>
      <c r="Q79" s="270">
        <v>12571855</v>
      </c>
      <c r="R79" s="270">
        <v>10931095</v>
      </c>
      <c r="S79" s="270">
        <v>9772993</v>
      </c>
      <c r="T79" s="270">
        <v>13218257</v>
      </c>
      <c r="U79" s="270">
        <v>12747998</v>
      </c>
      <c r="V79" s="270">
        <v>13041509</v>
      </c>
      <c r="W79" s="270">
        <v>13887691</v>
      </c>
      <c r="X79" s="270">
        <v>12822202</v>
      </c>
      <c r="Y79" s="270">
        <v>13088021</v>
      </c>
      <c r="Z79" s="270">
        <v>12843836</v>
      </c>
      <c r="AA79" s="270">
        <v>15731675</v>
      </c>
      <c r="AB79" s="270">
        <v>17429491</v>
      </c>
      <c r="AC79" s="270">
        <v>19096972</v>
      </c>
      <c r="AD79" s="270">
        <v>19329908</v>
      </c>
      <c r="AE79" s="270">
        <v>15706168</v>
      </c>
      <c r="AF79" s="270">
        <v>19270385</v>
      </c>
      <c r="AG79" s="270">
        <v>19656145</v>
      </c>
      <c r="AH79" s="270">
        <v>18545617</v>
      </c>
      <c r="AI79" s="270">
        <v>21604369</v>
      </c>
      <c r="AJ79" s="270">
        <v>16773480</v>
      </c>
      <c r="AK79" s="270">
        <v>17074870</v>
      </c>
      <c r="AL79" s="270">
        <v>17463667</v>
      </c>
      <c r="AM79" s="270">
        <v>9671259</v>
      </c>
      <c r="AN79" s="270">
        <v>20401294</v>
      </c>
      <c r="AO79" s="270">
        <v>15113621</v>
      </c>
      <c r="AP79" s="270">
        <v>15314278</v>
      </c>
      <c r="AQ79" s="270">
        <v>16616158</v>
      </c>
      <c r="AR79" s="270">
        <v>17912254</v>
      </c>
      <c r="AS79" s="270">
        <v>19009152</v>
      </c>
      <c r="AT79" s="270">
        <v>20040638</v>
      </c>
      <c r="AU79" s="270">
        <v>22236948</v>
      </c>
      <c r="AV79" s="270">
        <v>20955528</v>
      </c>
      <c r="AW79" s="270">
        <v>18520443</v>
      </c>
      <c r="AX79" s="270">
        <v>21325720</v>
      </c>
      <c r="AY79" s="270">
        <v>13242410</v>
      </c>
      <c r="AZ79" s="270">
        <v>21337356</v>
      </c>
      <c r="BA79" s="270">
        <v>23021602</v>
      </c>
      <c r="BB79" s="270">
        <v>24636105</v>
      </c>
      <c r="BC79" s="270">
        <v>24869604</v>
      </c>
      <c r="BD79" s="270">
        <v>24818864</v>
      </c>
      <c r="BE79" s="270">
        <v>25870296</v>
      </c>
      <c r="BF79" s="270">
        <v>27714331</v>
      </c>
      <c r="BG79" s="270">
        <v>23805366</v>
      </c>
      <c r="BH79" s="270">
        <v>23516040</v>
      </c>
      <c r="BI79" s="270">
        <v>21354019</v>
      </c>
      <c r="BJ79" s="270">
        <v>18313922</v>
      </c>
      <c r="BK79" s="270">
        <v>16950610</v>
      </c>
      <c r="BL79" s="270">
        <v>20818189</v>
      </c>
      <c r="BM79" s="270">
        <v>17747750</v>
      </c>
      <c r="BN79" s="270">
        <v>18437404</v>
      </c>
      <c r="BO79" s="270">
        <v>21893635</v>
      </c>
      <c r="BP79" s="270">
        <v>18969298</v>
      </c>
      <c r="BQ79" s="270">
        <v>22495998</v>
      </c>
      <c r="BR79" s="270">
        <v>22186112</v>
      </c>
      <c r="BS79" s="270">
        <v>21011596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2.19</v>
      </c>
      <c r="C82" s="72">
        <v>2.95</v>
      </c>
      <c r="D82" s="72">
        <v>4.21</v>
      </c>
      <c r="E82" s="72">
        <v>4.0199999999999996</v>
      </c>
      <c r="F82" s="72">
        <v>2.79</v>
      </c>
      <c r="G82" s="72">
        <v>5.01</v>
      </c>
      <c r="H82" s="72">
        <v>6.28</v>
      </c>
      <c r="I82" s="72">
        <v>6.43</v>
      </c>
      <c r="J82" s="72">
        <v>6.82</v>
      </c>
      <c r="K82" s="72">
        <v>8.0299999999999994</v>
      </c>
      <c r="L82" s="72">
        <v>8.51</v>
      </c>
      <c r="M82" s="72">
        <v>6.73</v>
      </c>
      <c r="N82" s="72">
        <v>4.62</v>
      </c>
      <c r="O82" s="72">
        <v>4.0599999999999996</v>
      </c>
      <c r="P82" s="72">
        <v>5.09</v>
      </c>
      <c r="Q82" s="72">
        <v>2.83</v>
      </c>
      <c r="R82" s="72">
        <v>2.79</v>
      </c>
      <c r="S82" s="72">
        <v>4.16</v>
      </c>
      <c r="T82" s="72">
        <v>4.9800000000000004</v>
      </c>
      <c r="U82" s="72">
        <v>3.23</v>
      </c>
      <c r="V82" s="72">
        <v>4.29</v>
      </c>
      <c r="W82" s="72">
        <v>1.51</v>
      </c>
      <c r="X82" s="72">
        <v>3.26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103.28</v>
      </c>
      <c r="C85" s="72">
        <v>97.94</v>
      </c>
      <c r="D85" s="72">
        <v>128.82</v>
      </c>
      <c r="E85" s="72">
        <v>130.99</v>
      </c>
      <c r="F85" s="72">
        <v>135.99</v>
      </c>
      <c r="G85" s="72">
        <v>132.91</v>
      </c>
      <c r="H85" s="72">
        <v>137.93</v>
      </c>
      <c r="I85" s="72">
        <v>145.55000000000001</v>
      </c>
      <c r="J85" s="72">
        <v>146.07</v>
      </c>
      <c r="K85" s="72">
        <v>137.08000000000001</v>
      </c>
      <c r="L85" s="72">
        <v>147.63999999999999</v>
      </c>
      <c r="M85" s="72">
        <v>158.07</v>
      </c>
      <c r="N85" s="72">
        <v>161.88</v>
      </c>
      <c r="O85" s="72">
        <v>143.61000000000001</v>
      </c>
      <c r="P85" s="72">
        <v>151.02000000000001</v>
      </c>
      <c r="Q85" s="72">
        <v>153.75</v>
      </c>
      <c r="R85" s="72">
        <v>155.38</v>
      </c>
      <c r="S85" s="72">
        <v>142.47999999999999</v>
      </c>
      <c r="T85" s="72">
        <v>145.03</v>
      </c>
      <c r="U85" s="72">
        <v>155.47999999999999</v>
      </c>
      <c r="V85" s="72">
        <v>160.16999999999999</v>
      </c>
      <c r="W85" s="72">
        <v>157.15</v>
      </c>
      <c r="X85" s="72">
        <v>162.91999999999999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19615289</v>
      </c>
      <c r="C88" s="273">
        <v>23439933</v>
      </c>
      <c r="D88" s="273">
        <v>29470929</v>
      </c>
      <c r="E88" s="273">
        <v>26737009</v>
      </c>
      <c r="F88" s="273">
        <v>23974209</v>
      </c>
      <c r="G88" s="273">
        <v>33276043</v>
      </c>
      <c r="H88" s="273">
        <v>39007788</v>
      </c>
      <c r="I88" s="273">
        <v>39797914</v>
      </c>
      <c r="J88" s="273">
        <v>46005002</v>
      </c>
      <c r="K88" s="273">
        <v>54133047</v>
      </c>
      <c r="L88" s="273">
        <v>57472148</v>
      </c>
      <c r="M88" s="273">
        <v>55452719</v>
      </c>
      <c r="N88" s="273">
        <v>47536221</v>
      </c>
      <c r="O88" s="273">
        <v>47044056</v>
      </c>
      <c r="P88" s="273">
        <v>56962044</v>
      </c>
      <c r="Q88" s="273">
        <v>61712919</v>
      </c>
      <c r="R88" s="273">
        <v>55905486</v>
      </c>
      <c r="S88" s="273">
        <v>72527311</v>
      </c>
      <c r="T88" s="273">
        <v>78403491</v>
      </c>
      <c r="U88" s="273">
        <v>68675426</v>
      </c>
      <c r="V88" s="273">
        <v>56082721</v>
      </c>
      <c r="W88" s="273">
        <v>58078789</v>
      </c>
      <c r="X88" s="273">
        <v>63651408</v>
      </c>
    </row>
    <row r="89" spans="1:25" ht="14.25" thickBot="1" x14ac:dyDescent="0.3">
      <c r="A89" s="250" t="s">
        <v>4</v>
      </c>
      <c r="B89" s="275">
        <v>8254917</v>
      </c>
      <c r="C89" s="275">
        <v>9558127</v>
      </c>
      <c r="D89" s="275">
        <v>12151051</v>
      </c>
      <c r="E89" s="275">
        <v>11098359</v>
      </c>
      <c r="F89" s="275">
        <v>10090151</v>
      </c>
      <c r="G89" s="275">
        <v>14384818</v>
      </c>
      <c r="H89" s="275">
        <v>17140436</v>
      </c>
      <c r="I89" s="275">
        <v>18190179</v>
      </c>
      <c r="J89" s="275">
        <v>22225663</v>
      </c>
      <c r="K89" s="275">
        <v>26823802</v>
      </c>
      <c r="L89" s="275">
        <v>28234015</v>
      </c>
      <c r="M89" s="275">
        <v>26585141</v>
      </c>
      <c r="N89" s="275">
        <v>22498598</v>
      </c>
      <c r="O89" s="275">
        <v>21596374</v>
      </c>
      <c r="P89" s="275">
        <v>24304178</v>
      </c>
      <c r="Q89" s="275">
        <v>23780436</v>
      </c>
      <c r="R89" s="275">
        <v>21307398</v>
      </c>
      <c r="S89" s="275">
        <v>25553156</v>
      </c>
      <c r="T89" s="275">
        <v>27616593</v>
      </c>
      <c r="U89" s="275">
        <v>23712685</v>
      </c>
      <c r="V89" s="275">
        <v>18789696</v>
      </c>
      <c r="W89" s="275">
        <v>20329800</v>
      </c>
      <c r="X89" s="275">
        <v>23182329</v>
      </c>
    </row>
    <row r="90" spans="1:25" ht="14.25" thickBot="1" x14ac:dyDescent="0.3">
      <c r="A90" s="251" t="s">
        <v>5</v>
      </c>
      <c r="B90" s="273">
        <v>1946385</v>
      </c>
      <c r="C90" s="273">
        <v>2770950</v>
      </c>
      <c r="D90" s="273">
        <v>4241906</v>
      </c>
      <c r="E90" s="273">
        <v>3546065</v>
      </c>
      <c r="F90" s="273">
        <v>3087385</v>
      </c>
      <c r="G90" s="273">
        <v>5887568</v>
      </c>
      <c r="H90" s="273">
        <v>7865942</v>
      </c>
      <c r="I90" s="273">
        <v>8402825</v>
      </c>
      <c r="J90" s="273">
        <v>10812930</v>
      </c>
      <c r="K90" s="273">
        <v>12760324</v>
      </c>
      <c r="L90" s="273">
        <v>13794101</v>
      </c>
      <c r="M90" s="273">
        <v>9873955</v>
      </c>
      <c r="N90" s="273">
        <v>7671977</v>
      </c>
      <c r="O90" s="273">
        <v>6866377</v>
      </c>
      <c r="P90" s="273">
        <v>7621767</v>
      </c>
      <c r="Q90" s="273">
        <v>3747849</v>
      </c>
      <c r="R90" s="273">
        <v>4403092</v>
      </c>
      <c r="S90" s="273">
        <v>7069191</v>
      </c>
      <c r="T90" s="273">
        <v>7622077</v>
      </c>
      <c r="U90" s="273">
        <v>3981415</v>
      </c>
      <c r="V90" s="273">
        <v>1211978</v>
      </c>
      <c r="W90" s="273">
        <v>2358230</v>
      </c>
      <c r="X90" s="273">
        <v>4959020</v>
      </c>
    </row>
    <row r="91" spans="1:25" ht="14.25" thickBot="1" x14ac:dyDescent="0.3">
      <c r="A91" s="250" t="s">
        <v>6</v>
      </c>
      <c r="B91" s="275">
        <v>2600875</v>
      </c>
      <c r="C91" s="275">
        <v>3888767</v>
      </c>
      <c r="D91" s="275">
        <v>5118905</v>
      </c>
      <c r="E91" s="275">
        <v>5011010</v>
      </c>
      <c r="F91" s="275">
        <v>3922081</v>
      </c>
      <c r="G91" s="275">
        <v>7143308</v>
      </c>
      <c r="H91" s="275">
        <v>9035097</v>
      </c>
      <c r="I91" s="275">
        <v>9446336</v>
      </c>
      <c r="J91" s="275">
        <v>11500964</v>
      </c>
      <c r="K91" s="275">
        <v>14153213</v>
      </c>
      <c r="L91" s="275">
        <v>14913565</v>
      </c>
      <c r="M91" s="275">
        <v>11782213</v>
      </c>
      <c r="N91" s="275">
        <v>8142183</v>
      </c>
      <c r="O91" s="275">
        <v>7407152</v>
      </c>
      <c r="P91" s="275">
        <v>9074176</v>
      </c>
      <c r="Q91" s="275">
        <v>4744982</v>
      </c>
      <c r="R91" s="275">
        <v>5278187</v>
      </c>
      <c r="S91" s="275">
        <v>7751488</v>
      </c>
      <c r="T91" s="275">
        <v>8615407</v>
      </c>
      <c r="U91" s="275">
        <v>5567803</v>
      </c>
      <c r="V91" s="275">
        <v>7501114</v>
      </c>
      <c r="W91" s="275">
        <v>3380065</v>
      </c>
      <c r="X91" s="275">
        <v>5621003</v>
      </c>
    </row>
    <row r="92" spans="1:25" ht="14.25" thickBot="1" x14ac:dyDescent="0.3">
      <c r="A92" s="251" t="s">
        <v>7</v>
      </c>
      <c r="B92" s="273">
        <v>2498123</v>
      </c>
      <c r="C92" s="273">
        <v>3347495</v>
      </c>
      <c r="D92" s="273">
        <v>4930724</v>
      </c>
      <c r="E92" s="273">
        <v>4871971</v>
      </c>
      <c r="F92" s="273">
        <v>3735766</v>
      </c>
      <c r="G92" s="273">
        <v>6716448</v>
      </c>
      <c r="H92" s="273">
        <v>8416227</v>
      </c>
      <c r="I92" s="273">
        <v>8616209</v>
      </c>
      <c r="J92" s="273">
        <v>10139341</v>
      </c>
      <c r="K92" s="273">
        <v>12548608</v>
      </c>
      <c r="L92" s="273">
        <v>13301237</v>
      </c>
      <c r="M92" s="273">
        <v>10409887</v>
      </c>
      <c r="N92" s="273">
        <v>7250997</v>
      </c>
      <c r="O92" s="273">
        <v>6377407</v>
      </c>
      <c r="P92" s="273">
        <v>7959768</v>
      </c>
      <c r="Q92" s="273">
        <v>4180560</v>
      </c>
      <c r="R92" s="273">
        <v>4472987</v>
      </c>
      <c r="S92" s="273">
        <v>6589719</v>
      </c>
      <c r="T92" s="273">
        <v>7830287</v>
      </c>
      <c r="U92" s="273">
        <v>5137539</v>
      </c>
      <c r="V92" s="273">
        <v>6639157</v>
      </c>
      <c r="W92" s="273">
        <v>2210263</v>
      </c>
      <c r="X92" s="273">
        <v>5060532</v>
      </c>
    </row>
    <row r="93" spans="1:25" ht="26.25" thickBot="1" x14ac:dyDescent="0.3">
      <c r="A93" s="252" t="s">
        <v>8</v>
      </c>
      <c r="B93" s="276">
        <v>2499930</v>
      </c>
      <c r="C93" s="276">
        <v>3357436</v>
      </c>
      <c r="D93" s="276">
        <v>4940956</v>
      </c>
      <c r="E93" s="276">
        <v>4889206</v>
      </c>
      <c r="F93" s="276">
        <v>3740904</v>
      </c>
      <c r="G93" s="276">
        <v>6722963</v>
      </c>
      <c r="H93" s="276">
        <v>8428301</v>
      </c>
      <c r="I93" s="276">
        <v>8622884</v>
      </c>
      <c r="J93" s="276">
        <v>10147366</v>
      </c>
      <c r="K93" s="276">
        <v>12558406</v>
      </c>
      <c r="L93" s="276">
        <v>13299240</v>
      </c>
      <c r="M93" s="276">
        <v>10392880</v>
      </c>
      <c r="N93" s="276">
        <v>7225621</v>
      </c>
      <c r="O93" s="276">
        <v>6350223</v>
      </c>
      <c r="P93" s="276">
        <v>7954447</v>
      </c>
      <c r="Q93" s="276">
        <v>4428138</v>
      </c>
      <c r="R93" s="276">
        <v>4362997</v>
      </c>
      <c r="S93" s="276">
        <v>6499546</v>
      </c>
      <c r="T93" s="276">
        <v>7792050</v>
      </c>
      <c r="U93" s="276">
        <v>5046005</v>
      </c>
      <c r="V93" s="276">
        <v>6702264</v>
      </c>
      <c r="W93" s="276">
        <v>2367946</v>
      </c>
      <c r="X93" s="276">
        <v>5102016</v>
      </c>
    </row>
    <row r="94" spans="1:25" x14ac:dyDescent="0.25">
      <c r="A94" s="233" t="s">
        <v>365</v>
      </c>
      <c r="B94" s="253">
        <f>IF(B91="","",B91-B90)</f>
        <v>654490</v>
      </c>
      <c r="C94" s="253">
        <f>IF(C91="","",C91-C90)</f>
        <v>1117817</v>
      </c>
      <c r="D94" s="253">
        <f t="shared" ref="D94:Y94" si="9">IF(D91="","",D91-D90)</f>
        <v>876999</v>
      </c>
      <c r="E94" s="253">
        <f t="shared" si="9"/>
        <v>1464945</v>
      </c>
      <c r="F94" s="253">
        <f t="shared" si="9"/>
        <v>834696</v>
      </c>
      <c r="G94" s="253">
        <f t="shared" si="9"/>
        <v>1255740</v>
      </c>
      <c r="H94" s="253">
        <f t="shared" si="9"/>
        <v>1169155</v>
      </c>
      <c r="I94" s="253">
        <f t="shared" si="9"/>
        <v>1043511</v>
      </c>
      <c r="J94" s="253">
        <f t="shared" si="9"/>
        <v>688034</v>
      </c>
      <c r="K94" s="253">
        <f t="shared" si="9"/>
        <v>1392889</v>
      </c>
      <c r="L94" s="253">
        <f t="shared" si="9"/>
        <v>1119464</v>
      </c>
      <c r="M94" s="253">
        <f t="shared" si="9"/>
        <v>1908258</v>
      </c>
      <c r="N94" s="253">
        <f t="shared" si="9"/>
        <v>470206</v>
      </c>
      <c r="O94" s="253">
        <f t="shared" si="9"/>
        <v>540775</v>
      </c>
      <c r="P94" s="253">
        <f t="shared" si="9"/>
        <v>1452409</v>
      </c>
      <c r="Q94" s="253">
        <f t="shared" si="9"/>
        <v>997133</v>
      </c>
      <c r="R94" s="253">
        <f t="shared" si="9"/>
        <v>875095</v>
      </c>
      <c r="S94" s="253">
        <f t="shared" si="9"/>
        <v>682297</v>
      </c>
      <c r="T94" s="253">
        <f t="shared" si="9"/>
        <v>993330</v>
      </c>
      <c r="U94" s="253">
        <f t="shared" si="9"/>
        <v>1586388</v>
      </c>
      <c r="V94" s="253">
        <f t="shared" si="9"/>
        <v>6289136</v>
      </c>
      <c r="W94" s="253">
        <f t="shared" si="9"/>
        <v>1021835</v>
      </c>
      <c r="X94" s="253">
        <f t="shared" si="9"/>
        <v>661983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99263160</v>
      </c>
      <c r="C97" s="273">
        <v>136055954</v>
      </c>
      <c r="D97" s="273">
        <v>213062916</v>
      </c>
      <c r="E97" s="273">
        <v>213255240</v>
      </c>
      <c r="F97" s="273">
        <v>275511714</v>
      </c>
    </row>
    <row r="98" spans="1:24" ht="14.25" thickBot="1" x14ac:dyDescent="0.3">
      <c r="A98" s="225" t="s">
        <v>4</v>
      </c>
      <c r="B98" s="275">
        <v>41062454</v>
      </c>
      <c r="C98" s="275">
        <v>59805584</v>
      </c>
      <c r="D98" s="275">
        <v>103868621</v>
      </c>
      <c r="E98" s="275">
        <v>92179586</v>
      </c>
      <c r="F98" s="275">
        <v>98189832</v>
      </c>
    </row>
    <row r="99" spans="1:24" ht="14.25" thickBot="1" x14ac:dyDescent="0.3">
      <c r="A99" s="224" t="s">
        <v>5</v>
      </c>
      <c r="B99" s="273">
        <v>12505306</v>
      </c>
      <c r="C99" s="273">
        <v>25243720</v>
      </c>
      <c r="D99" s="273">
        <v>47241310</v>
      </c>
      <c r="E99" s="273">
        <v>25907970</v>
      </c>
      <c r="F99" s="273">
        <v>23075775</v>
      </c>
    </row>
    <row r="100" spans="1:24" ht="14.25" thickBot="1" x14ac:dyDescent="0.3">
      <c r="A100" s="225" t="s">
        <v>6</v>
      </c>
      <c r="B100" s="275">
        <v>16619557</v>
      </c>
      <c r="C100" s="275">
        <v>29546822</v>
      </c>
      <c r="D100" s="275">
        <v>52349955</v>
      </c>
      <c r="E100" s="275">
        <v>29368493</v>
      </c>
      <c r="F100" s="275">
        <v>27212885</v>
      </c>
    </row>
    <row r="101" spans="1:24" ht="14.25" thickBot="1" x14ac:dyDescent="0.3">
      <c r="A101" s="224" t="s">
        <v>7</v>
      </c>
      <c r="B101" s="273">
        <v>15648313</v>
      </c>
      <c r="C101" s="273">
        <v>27484650</v>
      </c>
      <c r="D101" s="273">
        <v>46399073</v>
      </c>
      <c r="E101" s="273">
        <v>25768732</v>
      </c>
      <c r="F101" s="273">
        <v>24030532</v>
      </c>
    </row>
    <row r="102" spans="1:24" ht="14.25" thickBot="1" x14ac:dyDescent="0.3">
      <c r="A102" s="227" t="s">
        <v>8</v>
      </c>
      <c r="B102" s="276">
        <v>15687528</v>
      </c>
      <c r="C102" s="276">
        <v>27515052</v>
      </c>
      <c r="D102" s="276">
        <v>46397892</v>
      </c>
      <c r="E102" s="276">
        <v>25958429</v>
      </c>
      <c r="F102" s="276">
        <v>23700598</v>
      </c>
    </row>
    <row r="103" spans="1:24" x14ac:dyDescent="0.25">
      <c r="A103" s="233" t="s">
        <v>262</v>
      </c>
      <c r="B103" s="234">
        <f>IF(OR(B102="",B102="無"),"",B102/B101)</f>
        <v>1.0025060209365699</v>
      </c>
      <c r="C103" s="234">
        <f>IF(OR(C102="",C102="無"),"",C102/C101)</f>
        <v>1.0011061447025886</v>
      </c>
      <c r="D103" s="234">
        <f>IF(OR(D102="",D102="無"),"",D102/D101)</f>
        <v>0.99997454690527976</v>
      </c>
      <c r="E103" s="234">
        <f>IF(OR(E102="",E102="無"),"",E102/E101)</f>
        <v>1.0073615186032436</v>
      </c>
      <c r="F103" s="234">
        <f>IF(OR(F102="",F102="無"),"",F102/F101)</f>
        <v>0.98627021657281666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86447666</v>
      </c>
      <c r="C106" s="273">
        <v>95060711</v>
      </c>
      <c r="D106" s="273">
        <v>85145850</v>
      </c>
      <c r="E106" s="273">
        <v>85867210</v>
      </c>
      <c r="F106" s="273">
        <v>94091283</v>
      </c>
      <c r="G106" s="273">
        <v>107225081</v>
      </c>
      <c r="H106" s="273">
        <v>107616875</v>
      </c>
      <c r="I106" s="273">
        <v>132997726</v>
      </c>
      <c r="J106" s="273">
        <v>166999036</v>
      </c>
      <c r="K106" s="273">
        <v>190138131</v>
      </c>
      <c r="L106" s="273">
        <v>185070345</v>
      </c>
      <c r="M106" s="273">
        <v>192797506</v>
      </c>
      <c r="N106" s="273">
        <v>196143151</v>
      </c>
      <c r="O106" s="273">
        <v>195824210</v>
      </c>
      <c r="P106" s="273">
        <v>159115861</v>
      </c>
      <c r="Q106" s="273">
        <v>153279687</v>
      </c>
      <c r="R106" s="273">
        <v>155962828</v>
      </c>
      <c r="S106" s="273">
        <v>159213927</v>
      </c>
      <c r="T106" s="273">
        <v>143446484</v>
      </c>
      <c r="U106" s="273">
        <v>140560858</v>
      </c>
      <c r="V106" s="273">
        <v>139149253</v>
      </c>
      <c r="W106" s="273">
        <v>138483193</v>
      </c>
      <c r="X106" s="273">
        <v>129461837</v>
      </c>
    </row>
    <row r="107" spans="1:24" ht="14.25" thickBot="1" x14ac:dyDescent="0.3">
      <c r="A107" s="225" t="s">
        <v>22</v>
      </c>
      <c r="B107" s="275">
        <v>4338272</v>
      </c>
      <c r="C107" s="275">
        <v>5761502</v>
      </c>
      <c r="D107" s="275">
        <v>6030711</v>
      </c>
      <c r="E107" s="275">
        <v>4408925</v>
      </c>
      <c r="F107" s="275">
        <v>4658055</v>
      </c>
      <c r="G107" s="275">
        <v>5272283</v>
      </c>
      <c r="H107" s="275">
        <v>5182941</v>
      </c>
      <c r="I107" s="275">
        <v>5671889</v>
      </c>
      <c r="J107" s="275">
        <v>6134877</v>
      </c>
      <c r="K107" s="275">
        <v>5772293</v>
      </c>
      <c r="L107" s="275">
        <v>9217603</v>
      </c>
      <c r="M107" s="275">
        <v>12208605</v>
      </c>
      <c r="N107" s="275">
        <v>8525916</v>
      </c>
      <c r="O107" s="275">
        <v>6945297</v>
      </c>
      <c r="P107" s="275">
        <v>9521802</v>
      </c>
      <c r="Q107" s="275">
        <v>12360416</v>
      </c>
      <c r="R107" s="275">
        <v>15505124</v>
      </c>
      <c r="S107" s="275">
        <v>11693145</v>
      </c>
      <c r="T107" s="275">
        <v>11360924</v>
      </c>
      <c r="U107" s="275">
        <v>12904668</v>
      </c>
      <c r="V107" s="275">
        <v>13016191</v>
      </c>
      <c r="W107" s="275">
        <v>16462043</v>
      </c>
      <c r="X107" s="275">
        <v>19396490</v>
      </c>
    </row>
    <row r="108" spans="1:24" ht="14.25" thickBot="1" x14ac:dyDescent="0.3">
      <c r="A108" s="224" t="s">
        <v>263</v>
      </c>
      <c r="B108" s="273">
        <v>7371524</v>
      </c>
      <c r="C108" s="273">
        <v>7659372</v>
      </c>
      <c r="D108" s="273">
        <v>8216424</v>
      </c>
      <c r="E108" s="273">
        <v>6584610</v>
      </c>
      <c r="F108" s="273">
        <v>6795262</v>
      </c>
      <c r="G108" s="273">
        <v>10389279</v>
      </c>
      <c r="H108" s="273">
        <v>11059054</v>
      </c>
      <c r="I108" s="273">
        <v>7627591</v>
      </c>
      <c r="J108" s="273">
        <v>13572139</v>
      </c>
      <c r="K108" s="273">
        <v>12983016</v>
      </c>
      <c r="L108" s="273">
        <v>15418455</v>
      </c>
      <c r="M108" s="273">
        <v>12552399</v>
      </c>
      <c r="N108" s="273">
        <v>13346717</v>
      </c>
      <c r="O108" s="273">
        <v>12250444</v>
      </c>
      <c r="P108" s="273">
        <v>16117231</v>
      </c>
      <c r="Q108" s="273">
        <v>16195318</v>
      </c>
      <c r="R108" s="273">
        <v>15598028</v>
      </c>
      <c r="S108" s="273">
        <v>21013897</v>
      </c>
      <c r="T108" s="273">
        <v>24331116</v>
      </c>
      <c r="U108" s="273">
        <v>20480806</v>
      </c>
      <c r="V108" s="273">
        <v>18287679</v>
      </c>
      <c r="W108" s="273">
        <v>20581412</v>
      </c>
      <c r="X108" s="273">
        <v>21771230</v>
      </c>
    </row>
    <row r="109" spans="1:24" ht="14.25" thickBot="1" x14ac:dyDescent="0.3">
      <c r="A109" s="225" t="s">
        <v>264</v>
      </c>
      <c r="B109" s="275">
        <v>9853452</v>
      </c>
      <c r="C109" s="275">
        <v>11073642</v>
      </c>
      <c r="D109" s="275">
        <v>12090971</v>
      </c>
      <c r="E109" s="275">
        <v>13867311</v>
      </c>
      <c r="F109" s="275">
        <v>12843869</v>
      </c>
      <c r="G109" s="275">
        <v>10955686</v>
      </c>
      <c r="H109" s="275">
        <v>12938160</v>
      </c>
      <c r="I109" s="275">
        <v>9346792</v>
      </c>
      <c r="J109" s="275">
        <v>16649438</v>
      </c>
      <c r="K109" s="275">
        <v>19325997</v>
      </c>
      <c r="L109" s="275">
        <v>24463919</v>
      </c>
      <c r="M109" s="275">
        <v>22341336</v>
      </c>
      <c r="N109" s="275">
        <v>28084741</v>
      </c>
      <c r="O109" s="275">
        <v>33653896</v>
      </c>
      <c r="P109" s="275">
        <v>33980933</v>
      </c>
      <c r="Q109" s="275">
        <v>24130344</v>
      </c>
      <c r="R109" s="275">
        <v>27027099</v>
      </c>
      <c r="S109" s="275">
        <v>34013847</v>
      </c>
      <c r="T109" s="275">
        <v>36630220</v>
      </c>
      <c r="U109" s="275">
        <v>33922914</v>
      </c>
      <c r="V109" s="275">
        <v>37620820</v>
      </c>
      <c r="W109" s="275">
        <v>39617028</v>
      </c>
      <c r="X109" s="275">
        <v>36146469</v>
      </c>
    </row>
    <row r="110" spans="1:24" ht="14.25" thickBot="1" x14ac:dyDescent="0.3">
      <c r="A110" s="224" t="s">
        <v>23</v>
      </c>
      <c r="B110" s="273">
        <v>4434062</v>
      </c>
      <c r="C110" s="273">
        <v>4758556</v>
      </c>
      <c r="D110" s="273">
        <v>6378764</v>
      </c>
      <c r="E110" s="273">
        <v>7343037</v>
      </c>
      <c r="F110" s="273">
        <v>5377411</v>
      </c>
      <c r="G110" s="273">
        <v>7259444</v>
      </c>
      <c r="H110" s="273">
        <v>6495682</v>
      </c>
      <c r="I110" s="273">
        <v>6096931</v>
      </c>
      <c r="J110" s="273">
        <v>7528408</v>
      </c>
      <c r="K110" s="273">
        <v>8172449</v>
      </c>
      <c r="L110" s="273">
        <v>9356007</v>
      </c>
      <c r="M110" s="273">
        <v>8655089</v>
      </c>
      <c r="N110" s="273">
        <v>6662924</v>
      </c>
      <c r="O110" s="273">
        <v>7467327</v>
      </c>
      <c r="P110" s="273">
        <v>7659834</v>
      </c>
      <c r="Q110" s="273">
        <v>8907410</v>
      </c>
      <c r="R110" s="273">
        <v>8504247</v>
      </c>
      <c r="S110" s="273">
        <v>12519465</v>
      </c>
      <c r="T110" s="273">
        <v>13348700</v>
      </c>
      <c r="U110" s="273">
        <v>12408324</v>
      </c>
      <c r="V110" s="273">
        <v>23456185</v>
      </c>
      <c r="W110" s="273">
        <v>23066379</v>
      </c>
      <c r="X110" s="273">
        <v>16817245</v>
      </c>
    </row>
    <row r="111" spans="1:24" ht="14.25" thickBot="1" x14ac:dyDescent="0.3">
      <c r="A111" s="225" t="s">
        <v>24</v>
      </c>
      <c r="B111" s="275">
        <v>112444976</v>
      </c>
      <c r="C111" s="275">
        <v>124313783</v>
      </c>
      <c r="D111" s="275">
        <v>117862720</v>
      </c>
      <c r="E111" s="275">
        <v>118071093</v>
      </c>
      <c r="F111" s="275">
        <v>123765880</v>
      </c>
      <c r="G111" s="275">
        <v>141101773</v>
      </c>
      <c r="H111" s="275">
        <v>143292712</v>
      </c>
      <c r="I111" s="275">
        <v>161740929</v>
      </c>
      <c r="J111" s="275">
        <v>210883898</v>
      </c>
      <c r="K111" s="275">
        <v>236391886</v>
      </c>
      <c r="L111" s="275">
        <v>243526329</v>
      </c>
      <c r="M111" s="275">
        <v>248554935</v>
      </c>
      <c r="N111" s="275">
        <v>252763449</v>
      </c>
      <c r="O111" s="275">
        <v>256141174</v>
      </c>
      <c r="P111" s="275">
        <v>226395661</v>
      </c>
      <c r="Q111" s="275">
        <v>214873175</v>
      </c>
      <c r="R111" s="275">
        <v>222597326</v>
      </c>
      <c r="S111" s="275">
        <v>238454281</v>
      </c>
      <c r="T111" s="275">
        <v>229117444</v>
      </c>
      <c r="U111" s="275">
        <v>220277570</v>
      </c>
      <c r="V111" s="275">
        <v>231530128</v>
      </c>
      <c r="W111" s="275">
        <v>238210055</v>
      </c>
      <c r="X111" s="275">
        <v>223593271</v>
      </c>
    </row>
    <row r="112" spans="1:24" ht="14.25" thickBot="1" x14ac:dyDescent="0.3">
      <c r="A112" s="224" t="s">
        <v>25</v>
      </c>
      <c r="B112" s="273">
        <v>9946297</v>
      </c>
      <c r="C112" s="273">
        <v>8603025</v>
      </c>
      <c r="D112" s="273">
        <v>65821917</v>
      </c>
      <c r="E112" s="273">
        <v>65120332</v>
      </c>
      <c r="F112" s="273">
        <v>67680252</v>
      </c>
      <c r="G112" s="273">
        <v>67468644</v>
      </c>
      <c r="H112" s="273">
        <v>66540007</v>
      </c>
      <c r="I112" s="273">
        <v>68039686</v>
      </c>
      <c r="J112" s="273">
        <v>10121692</v>
      </c>
      <c r="K112" s="273">
        <v>9918318</v>
      </c>
      <c r="L112" s="273">
        <v>12179094</v>
      </c>
      <c r="M112" s="273">
        <v>15000614</v>
      </c>
      <c r="N112" s="273">
        <v>17235555</v>
      </c>
      <c r="O112" s="273">
        <v>19768595</v>
      </c>
      <c r="P112" s="273">
        <v>22904040</v>
      </c>
      <c r="Q112" s="273">
        <v>22813731</v>
      </c>
      <c r="R112" s="273">
        <v>20433174</v>
      </c>
      <c r="S112" s="273">
        <v>22953368</v>
      </c>
      <c r="T112" s="273">
        <v>25460664</v>
      </c>
      <c r="U112" s="273">
        <v>36970720</v>
      </c>
      <c r="V112" s="273">
        <v>40898815</v>
      </c>
      <c r="W112" s="273">
        <v>45860677</v>
      </c>
      <c r="X112" s="273">
        <v>50122761</v>
      </c>
    </row>
    <row r="113" spans="1:24" ht="14.25" thickBot="1" x14ac:dyDescent="0.3">
      <c r="A113" s="225" t="s">
        <v>26</v>
      </c>
      <c r="B113" s="275">
        <v>10678483</v>
      </c>
      <c r="C113" s="275">
        <v>10411148</v>
      </c>
      <c r="D113" s="275">
        <v>10792258</v>
      </c>
      <c r="E113" s="275">
        <v>10707589</v>
      </c>
      <c r="F113" s="275">
        <v>11180152</v>
      </c>
      <c r="G113" s="275">
        <v>11252592</v>
      </c>
      <c r="H113" s="275">
        <v>11187612</v>
      </c>
      <c r="I113" s="275">
        <v>11312107</v>
      </c>
      <c r="J113" s="275">
        <v>14770255</v>
      </c>
      <c r="K113" s="275">
        <v>15179733</v>
      </c>
      <c r="L113" s="275">
        <v>16736187</v>
      </c>
      <c r="M113" s="275">
        <v>23294555</v>
      </c>
      <c r="N113" s="275">
        <v>27334036</v>
      </c>
      <c r="O113" s="275">
        <v>28299971</v>
      </c>
      <c r="P113" s="275">
        <v>30472999</v>
      </c>
      <c r="Q113" s="275">
        <v>34390077</v>
      </c>
      <c r="R113" s="275">
        <v>35530834</v>
      </c>
      <c r="S113" s="275">
        <v>36981213</v>
      </c>
      <c r="T113" s="275">
        <v>37011555</v>
      </c>
      <c r="U113" s="275">
        <v>36857740</v>
      </c>
      <c r="V113" s="275">
        <v>35754240</v>
      </c>
      <c r="W113" s="275">
        <v>36553107</v>
      </c>
      <c r="X113" s="275">
        <v>36731390</v>
      </c>
    </row>
    <row r="114" spans="1:24" ht="14.25" thickBot="1" x14ac:dyDescent="0.3">
      <c r="A114" s="224" t="s">
        <v>27</v>
      </c>
      <c r="B114" s="273">
        <v>17063365</v>
      </c>
      <c r="C114" s="273">
        <v>17772049</v>
      </c>
      <c r="D114" s="273">
        <v>16764792</v>
      </c>
      <c r="E114" s="273">
        <v>16343942</v>
      </c>
      <c r="F114" s="273">
        <v>17023729</v>
      </c>
      <c r="G114" s="273">
        <v>17530365</v>
      </c>
      <c r="H114" s="273">
        <v>17174519</v>
      </c>
      <c r="I114" s="273">
        <v>17544140</v>
      </c>
      <c r="J114" s="273">
        <v>62767407</v>
      </c>
      <c r="K114" s="273">
        <v>62366973</v>
      </c>
      <c r="L114" s="273">
        <v>62641402</v>
      </c>
      <c r="M114" s="273">
        <v>64268567</v>
      </c>
      <c r="N114" s="273">
        <v>66500559</v>
      </c>
      <c r="O114" s="273">
        <v>67145756</v>
      </c>
      <c r="P114" s="273">
        <v>67642237</v>
      </c>
      <c r="Q114" s="273">
        <v>79172673</v>
      </c>
      <c r="R114" s="273">
        <v>78443805</v>
      </c>
      <c r="S114" s="273">
        <v>77970684</v>
      </c>
      <c r="T114" s="273">
        <v>76603896</v>
      </c>
      <c r="U114" s="273">
        <v>76605742</v>
      </c>
      <c r="V114" s="273">
        <v>82721545</v>
      </c>
      <c r="W114" s="273">
        <v>82687860</v>
      </c>
      <c r="X114" s="273">
        <v>82033321</v>
      </c>
    </row>
    <row r="115" spans="1:24" ht="14.25" thickBot="1" x14ac:dyDescent="0.3">
      <c r="A115" s="225" t="s">
        <v>265</v>
      </c>
      <c r="B115" s="276">
        <v>150133121</v>
      </c>
      <c r="C115" s="276">
        <v>161100005</v>
      </c>
      <c r="D115" s="276">
        <v>211241687</v>
      </c>
      <c r="E115" s="276">
        <v>210242956</v>
      </c>
      <c r="F115" s="276">
        <v>219650013</v>
      </c>
      <c r="G115" s="276">
        <v>237353374</v>
      </c>
      <c r="H115" s="276">
        <v>238194850</v>
      </c>
      <c r="I115" s="276">
        <v>258636862</v>
      </c>
      <c r="J115" s="276">
        <v>298543252</v>
      </c>
      <c r="K115" s="276">
        <v>323856910</v>
      </c>
      <c r="L115" s="276">
        <v>335083012</v>
      </c>
      <c r="M115" s="276">
        <v>351118671</v>
      </c>
      <c r="N115" s="276">
        <v>363833599</v>
      </c>
      <c r="O115" s="276">
        <v>371355496</v>
      </c>
      <c r="P115" s="276">
        <v>347414937</v>
      </c>
      <c r="Q115" s="276">
        <v>351249656</v>
      </c>
      <c r="R115" s="276">
        <v>357005139</v>
      </c>
      <c r="S115" s="276">
        <v>376359546</v>
      </c>
      <c r="T115" s="276">
        <v>368193559</v>
      </c>
      <c r="U115" s="276">
        <v>370711772</v>
      </c>
      <c r="V115" s="276">
        <v>390904728</v>
      </c>
      <c r="W115" s="276">
        <v>403311699</v>
      </c>
      <c r="X115" s="276">
        <v>392480743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7471090</v>
      </c>
      <c r="C118" s="273">
        <v>12199200</v>
      </c>
      <c r="D118" s="273">
        <v>10504436</v>
      </c>
      <c r="E118" s="273">
        <v>8880430</v>
      </c>
      <c r="F118" s="273">
        <v>12784775</v>
      </c>
      <c r="G118" s="273">
        <v>16114200</v>
      </c>
      <c r="H118" s="273">
        <v>19760220</v>
      </c>
      <c r="I118" s="273">
        <v>29051500</v>
      </c>
      <c r="J118" s="273">
        <v>22100970</v>
      </c>
      <c r="K118" s="273">
        <v>34045588</v>
      </c>
      <c r="L118" s="273">
        <v>43453914</v>
      </c>
      <c r="M118" s="273">
        <v>46160593</v>
      </c>
      <c r="N118" s="273">
        <v>50933722</v>
      </c>
      <c r="O118" s="273">
        <v>57490882</v>
      </c>
      <c r="P118" s="273">
        <v>57032937</v>
      </c>
      <c r="Q118" s="273">
        <v>49123477</v>
      </c>
      <c r="R118" s="273">
        <v>48025807</v>
      </c>
      <c r="S118" s="273">
        <v>60849295</v>
      </c>
      <c r="T118" s="273">
        <v>64554725</v>
      </c>
      <c r="U118" s="273">
        <v>54523984</v>
      </c>
      <c r="V118" s="273">
        <v>60828192</v>
      </c>
      <c r="W118" s="273">
        <v>63237072</v>
      </c>
      <c r="X118" s="273">
        <v>63230169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8203634</v>
      </c>
      <c r="C120" s="273">
        <v>10280497</v>
      </c>
      <c r="D120" s="273">
        <v>12054126</v>
      </c>
      <c r="E120" s="273">
        <v>9047400</v>
      </c>
      <c r="F120" s="273">
        <v>7372715</v>
      </c>
      <c r="G120" s="273">
        <v>10873078</v>
      </c>
      <c r="H120" s="273">
        <v>12520302</v>
      </c>
      <c r="I120" s="273">
        <v>10944174</v>
      </c>
      <c r="J120" s="273">
        <v>17421411</v>
      </c>
      <c r="K120" s="273">
        <v>18438599</v>
      </c>
      <c r="L120" s="273">
        <v>21306862</v>
      </c>
      <c r="M120" s="273">
        <v>14605160</v>
      </c>
      <c r="N120" s="273">
        <v>19649973</v>
      </c>
      <c r="O120" s="273">
        <v>18806000</v>
      </c>
      <c r="P120" s="273">
        <v>18666937</v>
      </c>
      <c r="Q120" s="273">
        <v>16156252</v>
      </c>
      <c r="R120" s="273">
        <v>23022634</v>
      </c>
      <c r="S120" s="273">
        <v>30105581</v>
      </c>
      <c r="T120" s="273">
        <v>30218808</v>
      </c>
      <c r="U120" s="273">
        <v>24630117</v>
      </c>
      <c r="V120" s="273">
        <v>31296908</v>
      </c>
      <c r="W120" s="273">
        <v>30901023</v>
      </c>
      <c r="X120" s="273">
        <v>27943468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20671</v>
      </c>
      <c r="C122" s="273">
        <v>23920</v>
      </c>
      <c r="D122" s="273">
        <v>26408</v>
      </c>
      <c r="E122" s="273">
        <v>29136</v>
      </c>
      <c r="F122" s="273">
        <v>29875</v>
      </c>
      <c r="G122" s="273">
        <v>30120</v>
      </c>
      <c r="H122" s="273">
        <v>37087</v>
      </c>
      <c r="I122" s="273">
        <v>29950</v>
      </c>
      <c r="J122" s="273">
        <v>32036</v>
      </c>
      <c r="K122" s="273">
        <v>32906</v>
      </c>
      <c r="L122" s="273">
        <v>35002</v>
      </c>
      <c r="M122" s="273">
        <v>38062</v>
      </c>
      <c r="N122" s="273">
        <v>41606</v>
      </c>
      <c r="O122" s="273">
        <v>45052</v>
      </c>
      <c r="P122" s="273">
        <v>52176</v>
      </c>
      <c r="Q122" s="273">
        <v>56212</v>
      </c>
      <c r="R122" s="273">
        <v>41160</v>
      </c>
      <c r="S122" s="273">
        <v>27443</v>
      </c>
      <c r="T122" s="273">
        <v>13331</v>
      </c>
      <c r="U122" s="68">
        <v>0</v>
      </c>
      <c r="V122" s="273">
        <v>18425</v>
      </c>
      <c r="W122" s="273">
        <v>50660</v>
      </c>
      <c r="X122" s="273">
        <v>36850</v>
      </c>
    </row>
    <row r="123" spans="1:24" ht="14.25" thickBot="1" x14ac:dyDescent="0.3">
      <c r="A123" s="225" t="s">
        <v>31</v>
      </c>
      <c r="B123" s="275">
        <v>15425594</v>
      </c>
      <c r="C123" s="275">
        <v>25475245</v>
      </c>
      <c r="D123" s="275">
        <v>14301682</v>
      </c>
      <c r="E123" s="275">
        <v>14916381</v>
      </c>
      <c r="F123" s="275">
        <v>15058432</v>
      </c>
      <c r="G123" s="275">
        <v>29840448</v>
      </c>
      <c r="H123" s="275">
        <v>18652523</v>
      </c>
      <c r="I123" s="275">
        <v>21358968</v>
      </c>
      <c r="J123" s="275">
        <v>28975802</v>
      </c>
      <c r="K123" s="275">
        <v>55233407</v>
      </c>
      <c r="L123" s="275">
        <v>37587325</v>
      </c>
      <c r="M123" s="275">
        <v>40816023</v>
      </c>
      <c r="N123" s="275">
        <v>37532958</v>
      </c>
      <c r="O123" s="275">
        <v>67352010</v>
      </c>
      <c r="P123" s="275">
        <v>31666617</v>
      </c>
      <c r="Q123" s="275">
        <v>35930530</v>
      </c>
      <c r="R123" s="275">
        <v>32952829</v>
      </c>
      <c r="S123" s="275">
        <v>58071402</v>
      </c>
      <c r="T123" s="275">
        <v>39367366</v>
      </c>
      <c r="U123" s="275">
        <v>40174165</v>
      </c>
      <c r="V123" s="275">
        <v>37496709</v>
      </c>
      <c r="W123" s="275">
        <v>51586953</v>
      </c>
      <c r="X123" s="275">
        <v>36352766</v>
      </c>
    </row>
    <row r="124" spans="1:24" ht="14.25" thickBot="1" x14ac:dyDescent="0.3">
      <c r="A124" s="224" t="s">
        <v>268</v>
      </c>
      <c r="B124" s="273">
        <v>31120989</v>
      </c>
      <c r="C124" s="273">
        <v>47978862</v>
      </c>
      <c r="D124" s="273">
        <v>36886652</v>
      </c>
      <c r="E124" s="273">
        <v>32873347</v>
      </c>
      <c r="F124" s="273">
        <v>35245797</v>
      </c>
      <c r="G124" s="273">
        <v>56857846</v>
      </c>
      <c r="H124" s="273">
        <v>50970132</v>
      </c>
      <c r="I124" s="273">
        <v>61384592</v>
      </c>
      <c r="J124" s="273">
        <v>68530219</v>
      </c>
      <c r="K124" s="273">
        <v>107750500</v>
      </c>
      <c r="L124" s="273">
        <v>102383103</v>
      </c>
      <c r="M124" s="273">
        <v>101619838</v>
      </c>
      <c r="N124" s="273">
        <v>108158259</v>
      </c>
      <c r="O124" s="273">
        <v>143693944</v>
      </c>
      <c r="P124" s="273">
        <v>107418667</v>
      </c>
      <c r="Q124" s="273">
        <v>101266471</v>
      </c>
      <c r="R124" s="273">
        <v>104042430</v>
      </c>
      <c r="S124" s="273">
        <v>149053721</v>
      </c>
      <c r="T124" s="273">
        <v>134154230</v>
      </c>
      <c r="U124" s="273">
        <v>119328266</v>
      </c>
      <c r="V124" s="273">
        <v>129640234</v>
      </c>
      <c r="W124" s="273">
        <v>145775708</v>
      </c>
      <c r="X124" s="273">
        <v>127563253</v>
      </c>
    </row>
    <row r="125" spans="1:24" ht="14.25" thickBot="1" x14ac:dyDescent="0.3">
      <c r="A125" s="225" t="s">
        <v>32</v>
      </c>
      <c r="B125" s="275">
        <v>137314</v>
      </c>
      <c r="C125" s="275">
        <v>131560</v>
      </c>
      <c r="D125" s="275">
        <v>121769</v>
      </c>
      <c r="E125" s="275">
        <v>113630</v>
      </c>
      <c r="F125" s="275">
        <v>1942571</v>
      </c>
      <c r="G125" s="275">
        <v>2142560</v>
      </c>
      <c r="H125" s="275">
        <v>2125245</v>
      </c>
      <c r="I125" s="275">
        <v>1898871</v>
      </c>
      <c r="J125" s="275">
        <v>1614694</v>
      </c>
      <c r="K125" s="275">
        <v>1789456</v>
      </c>
      <c r="L125" s="275">
        <v>1720619</v>
      </c>
      <c r="M125" s="275">
        <v>1893086</v>
      </c>
      <c r="N125" s="275">
        <v>2055315</v>
      </c>
      <c r="O125" s="275">
        <v>2223718</v>
      </c>
      <c r="P125" s="275">
        <v>2921616</v>
      </c>
      <c r="Q125" s="275">
        <v>2896300</v>
      </c>
      <c r="R125" s="275">
        <v>3125597</v>
      </c>
      <c r="S125" s="275">
        <v>3723206</v>
      </c>
      <c r="T125" s="275">
        <v>3920870</v>
      </c>
      <c r="U125" s="275">
        <v>4720628</v>
      </c>
      <c r="V125" s="275">
        <v>6301493</v>
      </c>
      <c r="W125" s="275">
        <v>6687298</v>
      </c>
      <c r="X125" s="275">
        <v>7017733</v>
      </c>
    </row>
    <row r="126" spans="1:24" ht="14.25" thickBot="1" x14ac:dyDescent="0.3">
      <c r="A126" s="224" t="s">
        <v>33</v>
      </c>
      <c r="B126" s="273">
        <v>1107303</v>
      </c>
      <c r="C126" s="273">
        <v>1314148</v>
      </c>
      <c r="D126" s="273">
        <v>1383345</v>
      </c>
      <c r="E126" s="273">
        <v>1481866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32365606</v>
      </c>
      <c r="C127" s="275">
        <v>49424570</v>
      </c>
      <c r="D127" s="275">
        <v>38391766</v>
      </c>
      <c r="E127" s="275">
        <v>34468843</v>
      </c>
      <c r="F127" s="275">
        <v>37188368</v>
      </c>
      <c r="G127" s="275">
        <v>59000406</v>
      </c>
      <c r="H127" s="275">
        <v>53095377</v>
      </c>
      <c r="I127" s="275">
        <v>63283463</v>
      </c>
      <c r="J127" s="275">
        <v>70144913</v>
      </c>
      <c r="K127" s="275">
        <v>109539956</v>
      </c>
      <c r="L127" s="275">
        <v>104103722</v>
      </c>
      <c r="M127" s="275">
        <v>103512924</v>
      </c>
      <c r="N127" s="275">
        <v>110213574</v>
      </c>
      <c r="O127" s="275">
        <v>145917662</v>
      </c>
      <c r="P127" s="275">
        <v>110340283</v>
      </c>
      <c r="Q127" s="275">
        <v>104162771</v>
      </c>
      <c r="R127" s="275">
        <v>107168027</v>
      </c>
      <c r="S127" s="275">
        <v>152776927</v>
      </c>
      <c r="T127" s="275">
        <v>138075100</v>
      </c>
      <c r="U127" s="275">
        <v>124048894</v>
      </c>
      <c r="V127" s="275">
        <v>135941727</v>
      </c>
      <c r="W127" s="275">
        <v>152463006</v>
      </c>
      <c r="X127" s="275">
        <v>134580986</v>
      </c>
    </row>
    <row r="128" spans="1:24" ht="14.25" thickBot="1" x14ac:dyDescent="0.3">
      <c r="A128" s="224" t="s">
        <v>34</v>
      </c>
      <c r="B128" s="273">
        <v>117767515</v>
      </c>
      <c r="C128" s="273">
        <v>111675435</v>
      </c>
      <c r="D128" s="273">
        <v>172849921</v>
      </c>
      <c r="E128" s="273">
        <v>175774113</v>
      </c>
      <c r="F128" s="273">
        <v>182461645</v>
      </c>
      <c r="G128" s="273">
        <v>178352968</v>
      </c>
      <c r="H128" s="273">
        <v>185099473</v>
      </c>
      <c r="I128" s="273">
        <v>195353399</v>
      </c>
      <c r="J128" s="273">
        <v>228398339</v>
      </c>
      <c r="K128" s="273">
        <v>214316954</v>
      </c>
      <c r="L128" s="273">
        <v>230979290</v>
      </c>
      <c r="M128" s="273">
        <v>247605747</v>
      </c>
      <c r="N128" s="273">
        <v>253620025</v>
      </c>
      <c r="O128" s="273">
        <v>225437834</v>
      </c>
      <c r="P128" s="273">
        <v>237074654</v>
      </c>
      <c r="Q128" s="273">
        <v>247086885</v>
      </c>
      <c r="R128" s="273">
        <v>249837112</v>
      </c>
      <c r="S128" s="273">
        <v>223582619</v>
      </c>
      <c r="T128" s="273">
        <v>230118459</v>
      </c>
      <c r="U128" s="273">
        <v>246662878</v>
      </c>
      <c r="V128" s="273">
        <v>254963001</v>
      </c>
      <c r="W128" s="273">
        <v>250848693</v>
      </c>
      <c r="X128" s="273">
        <v>257899757</v>
      </c>
    </row>
    <row r="129" spans="1:24" ht="14.25" thickBot="1" x14ac:dyDescent="0.3">
      <c r="A129" s="225" t="s">
        <v>35</v>
      </c>
      <c r="B129" s="276">
        <v>150133121</v>
      </c>
      <c r="C129" s="276">
        <v>161100005</v>
      </c>
      <c r="D129" s="276">
        <v>211241687</v>
      </c>
      <c r="E129" s="276">
        <v>210242956</v>
      </c>
      <c r="F129" s="276">
        <v>219650013</v>
      </c>
      <c r="G129" s="276">
        <v>237353374</v>
      </c>
      <c r="H129" s="276">
        <v>238194850</v>
      </c>
      <c r="I129" s="276">
        <v>258636862</v>
      </c>
      <c r="J129" s="276">
        <v>298543252</v>
      </c>
      <c r="K129" s="276">
        <v>323856910</v>
      </c>
      <c r="L129" s="276">
        <v>335083012</v>
      </c>
      <c r="M129" s="276">
        <v>351118671</v>
      </c>
      <c r="N129" s="276">
        <v>363833599</v>
      </c>
      <c r="O129" s="276">
        <v>371355496</v>
      </c>
      <c r="P129" s="276">
        <v>347414937</v>
      </c>
      <c r="Q129" s="276">
        <v>351249656</v>
      </c>
      <c r="R129" s="276">
        <v>357005139</v>
      </c>
      <c r="S129" s="276">
        <v>376359546</v>
      </c>
      <c r="T129" s="276">
        <v>368193559</v>
      </c>
      <c r="U129" s="276">
        <v>370711772</v>
      </c>
      <c r="V129" s="276">
        <v>390904728</v>
      </c>
      <c r="W129" s="276">
        <v>403311699</v>
      </c>
      <c r="X129" s="276">
        <v>392480743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9.3800000000000008</v>
      </c>
      <c r="C132" s="68">
        <v>29.51</v>
      </c>
      <c r="D132" s="68">
        <v>28.71</v>
      </c>
      <c r="E132" s="68">
        <v>14.94</v>
      </c>
      <c r="F132" s="68">
        <v>20.82</v>
      </c>
    </row>
    <row r="133" spans="1:24" ht="14.25" thickBot="1" x14ac:dyDescent="0.3">
      <c r="A133" s="225" t="s">
        <v>37</v>
      </c>
      <c r="B133" s="274">
        <v>-3.43</v>
      </c>
      <c r="C133" s="274">
        <v>-1.65</v>
      </c>
      <c r="D133" s="274">
        <v>11.53</v>
      </c>
      <c r="E133" s="274">
        <v>-20.95</v>
      </c>
      <c r="F133" s="274">
        <v>-10.53</v>
      </c>
    </row>
    <row r="134" spans="1:24" ht="14.25" thickBot="1" x14ac:dyDescent="0.3">
      <c r="A134" s="224" t="s">
        <v>38</v>
      </c>
      <c r="B134" s="68">
        <v>-4.46</v>
      </c>
      <c r="C134" s="68">
        <v>6</v>
      </c>
      <c r="D134" s="68">
        <v>-3.99</v>
      </c>
      <c r="E134" s="68">
        <v>-20.46</v>
      </c>
      <c r="F134" s="68">
        <v>-15.87</v>
      </c>
    </row>
    <row r="135" spans="1:24" ht="14.25" thickBot="1" x14ac:dyDescent="0.3">
      <c r="A135" s="225" t="s">
        <v>270</v>
      </c>
      <c r="B135" s="274">
        <v>5.94</v>
      </c>
      <c r="C135" s="274">
        <v>27.86</v>
      </c>
      <c r="D135" s="274">
        <v>40.229999999999997</v>
      </c>
      <c r="E135" s="274">
        <v>-6.01</v>
      </c>
      <c r="F135" s="274">
        <v>10.28</v>
      </c>
    </row>
    <row r="136" spans="1:24" ht="14.25" thickBot="1" x14ac:dyDescent="0.3">
      <c r="A136" s="229" t="s">
        <v>39</v>
      </c>
      <c r="B136" s="72">
        <v>1.48</v>
      </c>
      <c r="C136" s="72">
        <v>33.86</v>
      </c>
      <c r="D136" s="72">
        <v>36.25</v>
      </c>
      <c r="E136" s="72">
        <v>-26.47</v>
      </c>
      <c r="F136" s="72">
        <v>-5.59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9</v>
      </c>
      <c r="C140" s="68">
        <v>15</v>
      </c>
      <c r="D140" s="68">
        <v>22</v>
      </c>
      <c r="E140" s="68">
        <v>11</v>
      </c>
      <c r="F140" s="68">
        <v>9.5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0.67314884068810765</v>
      </c>
      <c r="C142" s="234">
        <f>IF(C140&lt;&gt;"無",IF(ISNA(HLOOKUP(C139,$B$64:$F$69,6,FALSE)),"",C140/HLOOKUP(C139,$B$64:$F$69,6,FALSE)),"")</f>
        <v>0.73135056070209659</v>
      </c>
      <c r="D142" s="234">
        <f>IF(D140&lt;&gt;"無",IF(ISNA(HLOOKUP(D139,$B$64:$F$69,6,FALSE)),"",D140/HLOOKUP(D139,$B$64:$F$69,6,FALSE)),"")</f>
        <v>0.7311399135925557</v>
      </c>
      <c r="E142" s="234">
        <f>IF(E140&lt;&gt;"無",IF(ISNA(HLOOKUP(E139,$B$64:$F$69,6,FALSE)),"",E140/HLOOKUP(E139,$B$64:$F$69,6,FALSE)),"")</f>
        <v>0.66265060240963847</v>
      </c>
      <c r="F142" s="234">
        <f>IF(F140&lt;&gt;"無",IF(ISNA(HLOOKUP(F139,$B$64:$F$69,6,FALSE)),"",F140/HLOOKUP(F139,$B$64:$F$69,6,FALSE)),"")</f>
        <v>0.62664907651715041</v>
      </c>
    </row>
    <row r="143" spans="1:24" x14ac:dyDescent="0.25">
      <c r="A143" s="233" t="s">
        <v>216</v>
      </c>
      <c r="B143" s="234">
        <f>IF(OR(B140=0,B140="無"),"",B135/B140)</f>
        <v>0.66</v>
      </c>
      <c r="C143" s="234">
        <f>IF(OR(C140=0,C140="無"),"",C135/C140)</f>
        <v>1.8573333333333333</v>
      </c>
      <c r="D143" s="234">
        <f>IF(OR(D140=0,D140="無"),"",D135/D140)</f>
        <v>1.8286363636363634</v>
      </c>
      <c r="E143" s="234">
        <f>IF(OR(E140=0,E140="無"),"",E135/E140)</f>
        <v>-0.54636363636363638</v>
      </c>
      <c r="F143" s="234">
        <f>IF(OR(F140=0,F140="無"),"",F135/F140)</f>
        <v>1.0821052631578947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42.08</v>
      </c>
      <c r="C146" s="68">
        <v>40.78</v>
      </c>
      <c r="D146" s="68">
        <v>41.23</v>
      </c>
      <c r="E146" s="68">
        <v>41.51</v>
      </c>
      <c r="F146" s="68">
        <v>42.09</v>
      </c>
      <c r="G146" s="68">
        <v>43.23</v>
      </c>
      <c r="H146" s="68">
        <v>43.94</v>
      </c>
      <c r="I146" s="68">
        <v>45.71</v>
      </c>
      <c r="J146" s="68">
        <v>48.31</v>
      </c>
      <c r="K146" s="68">
        <v>49.55</v>
      </c>
      <c r="L146" s="68">
        <v>49.13</v>
      </c>
      <c r="M146" s="68">
        <v>47.94</v>
      </c>
      <c r="N146" s="68">
        <v>47.33</v>
      </c>
      <c r="O146" s="68">
        <v>45.91</v>
      </c>
      <c r="P146" s="68">
        <v>42.67</v>
      </c>
      <c r="Q146" s="68">
        <v>38.53</v>
      </c>
      <c r="R146" s="68">
        <v>38.11</v>
      </c>
      <c r="S146" s="68">
        <v>35.229999999999997</v>
      </c>
      <c r="T146" s="68">
        <v>35.22</v>
      </c>
      <c r="U146" s="68">
        <v>34.53</v>
      </c>
      <c r="V146" s="68">
        <v>33.5</v>
      </c>
      <c r="W146" s="68">
        <v>35</v>
      </c>
      <c r="X146" s="68">
        <v>36.42</v>
      </c>
    </row>
    <row r="147" spans="1:24" s="93" customFormat="1" ht="14.25" thickBot="1" x14ac:dyDescent="0.3">
      <c r="A147" s="225" t="s">
        <v>19</v>
      </c>
      <c r="B147" s="274">
        <v>9.92</v>
      </c>
      <c r="C147" s="274">
        <v>11.82</v>
      </c>
      <c r="D147" s="274">
        <v>14.39</v>
      </c>
      <c r="E147" s="274">
        <v>13.26</v>
      </c>
      <c r="F147" s="274">
        <v>12.88</v>
      </c>
      <c r="G147" s="274">
        <v>17.690000000000001</v>
      </c>
      <c r="H147" s="274">
        <v>20.170000000000002</v>
      </c>
      <c r="I147" s="274">
        <v>21.11</v>
      </c>
      <c r="J147" s="274">
        <v>23.5</v>
      </c>
      <c r="K147" s="274">
        <v>23.57</v>
      </c>
      <c r="L147" s="274">
        <v>24</v>
      </c>
      <c r="M147" s="274">
        <v>17.809999999999999</v>
      </c>
      <c r="N147" s="274">
        <v>16.14</v>
      </c>
      <c r="O147" s="274">
        <v>14.6</v>
      </c>
      <c r="P147" s="274">
        <v>13.38</v>
      </c>
      <c r="Q147" s="274">
        <v>6.07</v>
      </c>
      <c r="R147" s="274">
        <v>7.88</v>
      </c>
      <c r="S147" s="274">
        <v>9.75</v>
      </c>
      <c r="T147" s="274">
        <v>9.7200000000000006</v>
      </c>
      <c r="U147" s="274">
        <v>5.8</v>
      </c>
      <c r="V147" s="274">
        <v>2.16</v>
      </c>
      <c r="W147" s="274">
        <v>4.0599999999999996</v>
      </c>
      <c r="X147" s="274">
        <v>7.79</v>
      </c>
    </row>
    <row r="148" spans="1:24" s="93" customFormat="1" ht="14.25" thickBot="1" x14ac:dyDescent="0.3">
      <c r="A148" s="224" t="s">
        <v>41</v>
      </c>
      <c r="B148" s="68">
        <v>13.26</v>
      </c>
      <c r="C148" s="68">
        <v>16.59</v>
      </c>
      <c r="D148" s="68">
        <v>17.37</v>
      </c>
      <c r="E148" s="68">
        <v>18.739999999999998</v>
      </c>
      <c r="F148" s="68">
        <v>16.36</v>
      </c>
      <c r="G148" s="68">
        <v>21.47</v>
      </c>
      <c r="H148" s="68">
        <v>23.16</v>
      </c>
      <c r="I148" s="68">
        <v>23.74</v>
      </c>
      <c r="J148" s="68">
        <v>25</v>
      </c>
      <c r="K148" s="68">
        <v>26.15</v>
      </c>
      <c r="L148" s="68">
        <v>25.95</v>
      </c>
      <c r="M148" s="68">
        <v>21.25</v>
      </c>
      <c r="N148" s="68">
        <v>17.13</v>
      </c>
      <c r="O148" s="68">
        <v>15.75</v>
      </c>
      <c r="P148" s="68">
        <v>15.93</v>
      </c>
      <c r="Q148" s="68">
        <v>7.69</v>
      </c>
      <c r="R148" s="68">
        <v>9.44</v>
      </c>
      <c r="S148" s="68">
        <v>10.69</v>
      </c>
      <c r="T148" s="68">
        <v>10.99</v>
      </c>
      <c r="U148" s="68">
        <v>8.11</v>
      </c>
      <c r="V148" s="68">
        <v>13.38</v>
      </c>
      <c r="W148" s="68">
        <v>5.82</v>
      </c>
      <c r="X148" s="68">
        <v>8.83</v>
      </c>
    </row>
    <row r="149" spans="1:24" s="93" customFormat="1" ht="14.25" thickBot="1" x14ac:dyDescent="0.3">
      <c r="A149" s="225" t="s">
        <v>13</v>
      </c>
      <c r="B149" s="73">
        <v>12.74</v>
      </c>
      <c r="C149" s="73">
        <v>14.28</v>
      </c>
      <c r="D149" s="73">
        <v>16.73</v>
      </c>
      <c r="E149" s="73">
        <v>18.22</v>
      </c>
      <c r="F149" s="73">
        <v>15.58</v>
      </c>
      <c r="G149" s="73">
        <v>20.18</v>
      </c>
      <c r="H149" s="73">
        <v>21.58</v>
      </c>
      <c r="I149" s="73">
        <v>21.65</v>
      </c>
      <c r="J149" s="73">
        <v>22.04</v>
      </c>
      <c r="K149" s="73">
        <v>23.18</v>
      </c>
      <c r="L149" s="73">
        <v>23.14</v>
      </c>
      <c r="M149" s="73">
        <v>18.77</v>
      </c>
      <c r="N149" s="73">
        <v>15.25</v>
      </c>
      <c r="O149" s="73">
        <v>13.56</v>
      </c>
      <c r="P149" s="73">
        <v>13.97</v>
      </c>
      <c r="Q149" s="73">
        <v>6.77</v>
      </c>
      <c r="R149" s="73">
        <v>8</v>
      </c>
      <c r="S149" s="73">
        <v>9.09</v>
      </c>
      <c r="T149" s="73">
        <v>9.99</v>
      </c>
      <c r="U149" s="73">
        <v>7.48</v>
      </c>
      <c r="V149" s="73">
        <v>11.84</v>
      </c>
      <c r="W149" s="73">
        <v>3.81</v>
      </c>
      <c r="X149" s="73">
        <v>7.95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41.37</v>
      </c>
      <c r="C152" s="68">
        <v>43.96</v>
      </c>
      <c r="D152" s="68">
        <v>48.75</v>
      </c>
      <c r="E152" s="68">
        <v>43.23</v>
      </c>
      <c r="F152" s="68">
        <v>35.64</v>
      </c>
    </row>
    <row r="153" spans="1:24" s="93" customFormat="1" ht="14.25" thickBot="1" x14ac:dyDescent="0.3">
      <c r="A153" s="225" t="s">
        <v>19</v>
      </c>
      <c r="B153" s="274">
        <v>12.6</v>
      </c>
      <c r="C153" s="274">
        <v>18.55</v>
      </c>
      <c r="D153" s="274">
        <v>22.17</v>
      </c>
      <c r="E153" s="274">
        <v>12.15</v>
      </c>
      <c r="F153" s="274">
        <v>8.3800000000000008</v>
      </c>
    </row>
    <row r="154" spans="1:24" s="93" customFormat="1" ht="14.25" thickBot="1" x14ac:dyDescent="0.3">
      <c r="A154" s="224" t="s">
        <v>41</v>
      </c>
      <c r="B154" s="68">
        <v>16.739999999999998</v>
      </c>
      <c r="C154" s="68">
        <v>21.72</v>
      </c>
      <c r="D154" s="68">
        <v>24.57</v>
      </c>
      <c r="E154" s="68">
        <v>13.77</v>
      </c>
      <c r="F154" s="68">
        <v>9.8800000000000008</v>
      </c>
    </row>
    <row r="155" spans="1:24" s="93" customFormat="1" ht="14.25" thickBot="1" x14ac:dyDescent="0.3">
      <c r="A155" s="225" t="s">
        <v>13</v>
      </c>
      <c r="B155" s="73">
        <v>15.76</v>
      </c>
      <c r="C155" s="73">
        <v>20.2</v>
      </c>
      <c r="D155" s="73">
        <v>21.78</v>
      </c>
      <c r="E155" s="73">
        <v>12.08</v>
      </c>
      <c r="F155" s="73">
        <v>8.7200000000000006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1.69</v>
      </c>
      <c r="C158" s="68">
        <v>2.17</v>
      </c>
      <c r="D158" s="68">
        <v>2.67</v>
      </c>
      <c r="E158" s="68">
        <v>2.3199999999999998</v>
      </c>
      <c r="F158" s="68">
        <v>1.75</v>
      </c>
      <c r="G158" s="68">
        <v>2.95</v>
      </c>
      <c r="H158" s="68">
        <v>3.55</v>
      </c>
      <c r="I158" s="68">
        <v>3.49</v>
      </c>
      <c r="J158" s="68">
        <v>3.67</v>
      </c>
      <c r="K158" s="68">
        <v>4.0599999999999996</v>
      </c>
      <c r="L158" s="68">
        <v>4.08</v>
      </c>
      <c r="M158" s="68">
        <v>3.07</v>
      </c>
      <c r="N158" s="68">
        <v>2.0699999999999998</v>
      </c>
      <c r="O158" s="68">
        <v>1.76</v>
      </c>
      <c r="P158" s="68">
        <v>2.25</v>
      </c>
      <c r="Q158" s="68">
        <v>1.23</v>
      </c>
      <c r="R158" s="68">
        <v>1.3</v>
      </c>
      <c r="S158" s="68">
        <v>1.83</v>
      </c>
      <c r="T158" s="68">
        <v>2.14</v>
      </c>
      <c r="U158" s="68">
        <v>1.43</v>
      </c>
      <c r="V158" s="68">
        <v>1.78</v>
      </c>
      <c r="W158" s="68">
        <v>0.59</v>
      </c>
      <c r="X158" s="68">
        <v>1.33</v>
      </c>
    </row>
    <row r="159" spans="1:24" s="93" customFormat="1" ht="14.25" thickBot="1" x14ac:dyDescent="0.3">
      <c r="A159" s="225" t="s">
        <v>45</v>
      </c>
      <c r="B159" s="73">
        <v>2.13</v>
      </c>
      <c r="C159" s="73">
        <v>2.92</v>
      </c>
      <c r="D159" s="73">
        <v>3.47</v>
      </c>
      <c r="E159" s="73">
        <v>2.8</v>
      </c>
      <c r="F159" s="73">
        <v>2.09</v>
      </c>
      <c r="G159" s="73">
        <v>3.72</v>
      </c>
      <c r="H159" s="73">
        <v>4.63</v>
      </c>
      <c r="I159" s="73">
        <v>4.53</v>
      </c>
      <c r="J159" s="73">
        <v>4.79</v>
      </c>
      <c r="K159" s="73">
        <v>5.67</v>
      </c>
      <c r="L159" s="73">
        <v>5.97</v>
      </c>
      <c r="M159" s="73">
        <v>4.3499999999999996</v>
      </c>
      <c r="N159" s="73">
        <v>2.89</v>
      </c>
      <c r="O159" s="73">
        <v>2.66</v>
      </c>
      <c r="P159" s="73">
        <v>3.44</v>
      </c>
      <c r="Q159" s="73">
        <v>1.73</v>
      </c>
      <c r="R159" s="73">
        <v>1.8</v>
      </c>
      <c r="S159" s="73">
        <v>2.78</v>
      </c>
      <c r="T159" s="73">
        <v>3.45</v>
      </c>
      <c r="U159" s="73">
        <v>2.16</v>
      </c>
      <c r="V159" s="73">
        <v>2.65</v>
      </c>
      <c r="W159" s="73">
        <v>0.87</v>
      </c>
      <c r="X159" s="73">
        <v>1.99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15.76</v>
      </c>
      <c r="C162" s="68">
        <v>20.2</v>
      </c>
      <c r="D162" s="68">
        <v>21.78</v>
      </c>
      <c r="E162" s="68">
        <v>12.08</v>
      </c>
      <c r="F162" s="68">
        <v>8.7200000000000006</v>
      </c>
    </row>
    <row r="163" spans="1:72" s="93" customFormat="1" ht="14.25" thickBot="1" x14ac:dyDescent="0.3">
      <c r="A163" s="225" t="s">
        <v>18</v>
      </c>
      <c r="B163" s="274">
        <v>0.47</v>
      </c>
      <c r="C163" s="274">
        <v>0.53</v>
      </c>
      <c r="D163" s="274">
        <v>0.61</v>
      </c>
      <c r="E163" s="274">
        <v>0.61</v>
      </c>
      <c r="F163" s="274">
        <v>0.74</v>
      </c>
    </row>
    <row r="164" spans="1:72" s="93" customFormat="1" ht="14.25" thickBot="1" x14ac:dyDescent="0.3">
      <c r="A164" s="224" t="s">
        <v>15</v>
      </c>
      <c r="B164" s="68">
        <v>1.2</v>
      </c>
      <c r="C164" s="68">
        <v>1.32</v>
      </c>
      <c r="D164" s="68">
        <v>1.42</v>
      </c>
      <c r="E164" s="68">
        <v>1.42</v>
      </c>
      <c r="F164" s="68">
        <v>1.5</v>
      </c>
    </row>
    <row r="165" spans="1:72" s="93" customFormat="1" ht="14.25" thickBot="1" x14ac:dyDescent="0.3">
      <c r="A165" s="225" t="s">
        <v>45</v>
      </c>
      <c r="B165" s="73">
        <v>10.71</v>
      </c>
      <c r="C165" s="73">
        <v>14.81</v>
      </c>
      <c r="D165" s="73">
        <v>20.95</v>
      </c>
      <c r="E165" s="73">
        <v>10.42</v>
      </c>
      <c r="F165" s="73">
        <v>9.73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33.83</v>
      </c>
      <c r="C168" s="68">
        <v>28.85</v>
      </c>
      <c r="D168" s="68">
        <v>24.26</v>
      </c>
      <c r="E168" s="68">
        <v>24.93</v>
      </c>
      <c r="F168" s="68">
        <v>25.14</v>
      </c>
      <c r="G168" s="68">
        <v>23.26</v>
      </c>
      <c r="H168" s="68">
        <v>24.73</v>
      </c>
      <c r="I168" s="68">
        <v>21.13</v>
      </c>
      <c r="J168" s="68">
        <v>20.74</v>
      </c>
      <c r="K168" s="68">
        <v>22.06</v>
      </c>
      <c r="L168" s="68">
        <v>22.22</v>
      </c>
      <c r="M168" s="68">
        <v>22.67</v>
      </c>
      <c r="N168" s="68">
        <v>24.52</v>
      </c>
      <c r="O168" s="68">
        <v>24.46</v>
      </c>
      <c r="P168" s="68">
        <v>22.39</v>
      </c>
      <c r="Q168" s="68">
        <v>23.56</v>
      </c>
      <c r="R168" s="68">
        <v>25.57</v>
      </c>
      <c r="S168" s="68">
        <v>22.73</v>
      </c>
      <c r="T168" s="68">
        <v>26.01</v>
      </c>
      <c r="U168" s="68">
        <v>29.32</v>
      </c>
      <c r="V168" s="68">
        <v>31.14</v>
      </c>
      <c r="W168" s="68">
        <v>30.1</v>
      </c>
      <c r="X168" s="68">
        <v>29.9</v>
      </c>
    </row>
    <row r="169" spans="1:72" s="93" customFormat="1" ht="14.25" thickBot="1" x14ac:dyDescent="0.3">
      <c r="A169" s="225" t="s">
        <v>17</v>
      </c>
      <c r="B169" s="274">
        <v>76.27</v>
      </c>
      <c r="C169" s="274">
        <v>67.67</v>
      </c>
      <c r="D169" s="274">
        <v>60</v>
      </c>
      <c r="E169" s="274">
        <v>75</v>
      </c>
      <c r="F169" s="274">
        <v>86.54</v>
      </c>
      <c r="G169" s="274">
        <v>56.6</v>
      </c>
      <c r="H169" s="274">
        <v>49.18</v>
      </c>
      <c r="I169" s="274">
        <v>46.39</v>
      </c>
      <c r="J169" s="274">
        <v>49.18</v>
      </c>
      <c r="K169" s="274">
        <v>59.21</v>
      </c>
      <c r="L169" s="274">
        <v>67.16</v>
      </c>
      <c r="M169" s="274">
        <v>73.17</v>
      </c>
      <c r="N169" s="274">
        <v>90.91</v>
      </c>
      <c r="O169" s="274">
        <v>109.76</v>
      </c>
      <c r="P169" s="274">
        <v>92.78</v>
      </c>
      <c r="Q169" s="274">
        <v>68.7</v>
      </c>
      <c r="R169" s="274">
        <v>66.67</v>
      </c>
      <c r="S169" s="274">
        <v>58.44</v>
      </c>
      <c r="T169" s="274">
        <v>62.5</v>
      </c>
      <c r="U169" s="274">
        <v>70.87</v>
      </c>
      <c r="V169" s="274">
        <v>86.54</v>
      </c>
      <c r="W169" s="274">
        <v>91.84</v>
      </c>
      <c r="X169" s="274">
        <v>84.11</v>
      </c>
    </row>
    <row r="170" spans="1:72" s="93" customFormat="1" ht="14.25" thickBot="1" x14ac:dyDescent="0.3">
      <c r="A170" s="224" t="s">
        <v>42</v>
      </c>
      <c r="B170" s="72">
        <v>110.11</v>
      </c>
      <c r="C170" s="72">
        <v>96.52</v>
      </c>
      <c r="D170" s="72">
        <v>84.26</v>
      </c>
      <c r="E170" s="72">
        <v>99.93</v>
      </c>
      <c r="F170" s="72">
        <v>111.68</v>
      </c>
      <c r="G170" s="72">
        <v>79.86</v>
      </c>
      <c r="H170" s="72">
        <v>73.91</v>
      </c>
      <c r="I170" s="72">
        <v>67.52</v>
      </c>
      <c r="J170" s="72">
        <v>69.92</v>
      </c>
      <c r="K170" s="72">
        <v>81.27</v>
      </c>
      <c r="L170" s="72">
        <v>89.39</v>
      </c>
      <c r="M170" s="72">
        <v>95.84</v>
      </c>
      <c r="N170" s="72">
        <v>115.43</v>
      </c>
      <c r="O170" s="72">
        <v>134.21</v>
      </c>
      <c r="P170" s="72">
        <v>115.17</v>
      </c>
      <c r="Q170" s="72">
        <v>92.26</v>
      </c>
      <c r="R170" s="72">
        <v>92.23</v>
      </c>
      <c r="S170" s="72">
        <v>81.17</v>
      </c>
      <c r="T170" s="72">
        <v>88.51</v>
      </c>
      <c r="U170" s="72">
        <v>100.18</v>
      </c>
      <c r="V170" s="72">
        <v>117.68</v>
      </c>
      <c r="W170" s="72">
        <v>121.94</v>
      </c>
      <c r="X170" s="72">
        <v>114.01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72.87</v>
      </c>
      <c r="C173" s="72">
        <v>143.97999999999999</v>
      </c>
      <c r="D173" s="72">
        <v>95.54</v>
      </c>
      <c r="E173" s="72">
        <v>90.71</v>
      </c>
      <c r="F173" s="72">
        <v>135.44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20.51</v>
      </c>
      <c r="C176" s="72">
        <v>22.48</v>
      </c>
      <c r="D176" s="72">
        <v>22.76</v>
      </c>
      <c r="E176" s="72">
        <v>21.87</v>
      </c>
      <c r="F176" s="72">
        <v>23.55</v>
      </c>
      <c r="G176" s="72">
        <v>23.63</v>
      </c>
      <c r="H176" s="72">
        <v>22.75</v>
      </c>
      <c r="I176" s="72">
        <v>26.31</v>
      </c>
      <c r="J176" s="72">
        <v>28.96</v>
      </c>
      <c r="K176" s="72">
        <v>28.52</v>
      </c>
      <c r="L176" s="72">
        <v>27.32</v>
      </c>
      <c r="M176" s="72">
        <v>28.01</v>
      </c>
      <c r="N176" s="72">
        <v>26.99</v>
      </c>
      <c r="O176" s="72">
        <v>28.01</v>
      </c>
      <c r="P176" s="72">
        <v>29.32</v>
      </c>
      <c r="Q176" s="72">
        <v>27.34</v>
      </c>
      <c r="R176" s="72">
        <v>29.32</v>
      </c>
      <c r="S176" s="72">
        <v>27.74</v>
      </c>
      <c r="T176" s="72">
        <v>27.45</v>
      </c>
      <c r="U176" s="72">
        <v>23.94</v>
      </c>
      <c r="V176" s="72">
        <v>24.38</v>
      </c>
      <c r="W176" s="72">
        <v>25.57</v>
      </c>
      <c r="X176" s="72">
        <v>23.9</v>
      </c>
      <c r="Y176" s="72">
        <v>24.23</v>
      </c>
      <c r="Z176" s="72">
        <v>23.37</v>
      </c>
      <c r="AA176" s="72">
        <v>24.17</v>
      </c>
      <c r="AB176" s="72">
        <v>22.12</v>
      </c>
      <c r="AC176" s="72">
        <v>22.72</v>
      </c>
      <c r="AD176" s="72">
        <v>21.99</v>
      </c>
      <c r="AE176" s="72">
        <v>22.16</v>
      </c>
      <c r="AF176" s="72">
        <v>22.3</v>
      </c>
      <c r="AG176" s="72">
        <v>19.63</v>
      </c>
      <c r="AH176" s="72">
        <v>19.350000000000001</v>
      </c>
      <c r="AI176" s="72">
        <v>16.96</v>
      </c>
      <c r="AJ176" s="72">
        <v>15.57</v>
      </c>
      <c r="AK176" s="72">
        <v>15.85</v>
      </c>
      <c r="AL176" s="72">
        <v>17.07</v>
      </c>
      <c r="AM176" s="72">
        <v>16.559999999999999</v>
      </c>
      <c r="AN176" s="72">
        <v>14.9</v>
      </c>
      <c r="AO176" s="72">
        <v>13.6</v>
      </c>
      <c r="AP176" s="72">
        <v>14.04</v>
      </c>
      <c r="AQ176" s="72">
        <v>14.93</v>
      </c>
      <c r="AR176" s="72">
        <v>13.33</v>
      </c>
      <c r="AS176" s="72">
        <v>11.07</v>
      </c>
      <c r="AT176" s="72">
        <v>10.86</v>
      </c>
      <c r="AU176" s="72">
        <v>11.04</v>
      </c>
      <c r="AV176" s="72">
        <v>13.39</v>
      </c>
      <c r="AW176" s="72">
        <v>12.72</v>
      </c>
      <c r="AX176" s="72">
        <v>10.49</v>
      </c>
      <c r="AY176" s="72">
        <v>10.72</v>
      </c>
      <c r="AZ176" s="72">
        <v>14.72</v>
      </c>
      <c r="BA176" s="72">
        <v>13.99</v>
      </c>
      <c r="BB176" s="72">
        <v>13.91</v>
      </c>
      <c r="BC176" s="72">
        <v>15.4</v>
      </c>
      <c r="BD176" s="72">
        <v>16.39</v>
      </c>
      <c r="BE176" s="72">
        <v>16.61</v>
      </c>
      <c r="BF176" s="72">
        <v>16.5</v>
      </c>
      <c r="BG176" s="72">
        <v>16.13</v>
      </c>
      <c r="BH176" s="72">
        <v>15.22</v>
      </c>
      <c r="BI176" s="72">
        <v>15.1</v>
      </c>
      <c r="BJ176" s="72">
        <v>14.57</v>
      </c>
      <c r="BK176" s="72">
        <v>14.79</v>
      </c>
      <c r="BL176" s="72">
        <v>14.66</v>
      </c>
      <c r="BM176" s="72">
        <v>14.17</v>
      </c>
      <c r="BN176" s="72">
        <v>12.95</v>
      </c>
      <c r="BO176" s="72">
        <v>15.24</v>
      </c>
      <c r="BP176" s="72">
        <v>15.44</v>
      </c>
      <c r="BQ176" s="72">
        <v>19.91</v>
      </c>
      <c r="BR176" s="72">
        <v>20.260000000000002</v>
      </c>
      <c r="BS176" s="72">
        <v>22.57</v>
      </c>
      <c r="BT176" s="72">
        <v>26.83</v>
      </c>
    </row>
  </sheetData>
  <phoneticPr fontId="3" type="noConversion"/>
  <conditionalFormatting sqref="E4">
    <cfRule type="cellIs" dxfId="5471" priority="103" operator="greaterThan">
      <formula>0.2</formula>
    </cfRule>
    <cfRule type="cellIs" dxfId="5470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5469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468" priority="97" operator="greaterThan">
      <formula>$B$19</formula>
    </cfRule>
  </conditionalFormatting>
  <conditionalFormatting sqref="D33:D34">
    <cfRule type="cellIs" dxfId="5467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5466" priority="91" operator="lessThan">
      <formula>$H$62</formula>
    </cfRule>
    <cfRule type="cellIs" dxfId="5465" priority="92" operator="greaterThan">
      <formula>$H$62</formula>
    </cfRule>
  </conditionalFormatting>
  <conditionalFormatting sqref="J62">
    <cfRule type="cellIs" dxfId="5464" priority="89" operator="lessThan">
      <formula>$K$62</formula>
    </cfRule>
    <cfRule type="cellIs" dxfId="5463" priority="90" operator="greaterThan">
      <formula>$K$62</formula>
    </cfRule>
  </conditionalFormatting>
  <conditionalFormatting sqref="M62">
    <cfRule type="cellIs" dxfId="5462" priority="87" operator="lessThan">
      <formula>$N$62</formula>
    </cfRule>
    <cfRule type="cellIs" dxfId="5461" priority="88" operator="greaterThan">
      <formula>$N$62</formula>
    </cfRule>
  </conditionalFormatting>
  <conditionalFormatting sqref="B44:E44">
    <cfRule type="cellIs" dxfId="5460" priority="85" operator="greaterThan">
      <formula>0</formula>
    </cfRule>
    <cfRule type="cellIs" dxfId="5459" priority="86" operator="lessThan">
      <formula>0</formula>
    </cfRule>
  </conditionalFormatting>
  <conditionalFormatting sqref="F72">
    <cfRule type="cellIs" dxfId="5458" priority="84" operator="lessThan">
      <formula>$E$72*90%</formula>
    </cfRule>
  </conditionalFormatting>
  <conditionalFormatting sqref="F73">
    <cfRule type="cellIs" dxfId="5457" priority="83" operator="lessThan">
      <formula>$E$73*90%</formula>
    </cfRule>
  </conditionalFormatting>
  <conditionalFormatting sqref="F74">
    <cfRule type="cellIs" dxfId="5456" priority="82" operator="lessThan">
      <formula>$E$74*90%</formula>
    </cfRule>
  </conditionalFormatting>
  <conditionalFormatting sqref="F75">
    <cfRule type="cellIs" dxfId="5455" priority="81" operator="lessThan">
      <formula>$E$75*90%</formula>
    </cfRule>
  </conditionalFormatting>
  <conditionalFormatting sqref="H44:K44">
    <cfRule type="cellIs" dxfId="5454" priority="79" operator="greaterThan">
      <formula>0</formula>
    </cfRule>
    <cfRule type="cellIs" dxfId="5453" priority="80" operator="lessThan">
      <formula>0</formula>
    </cfRule>
  </conditionalFormatting>
  <conditionalFormatting sqref="H51:K51">
    <cfRule type="cellIs" dxfId="5452" priority="77" operator="greaterThan">
      <formula>0</formula>
    </cfRule>
    <cfRule type="cellIs" dxfId="5451" priority="78" operator="lessThan">
      <formula>0</formula>
    </cfRule>
  </conditionalFormatting>
  <conditionalFormatting sqref="B51:E51">
    <cfRule type="cellIs" dxfId="5450" priority="75" operator="greaterThan">
      <formula>0</formula>
    </cfRule>
    <cfRule type="cellIs" dxfId="5449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448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447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5446" priority="58" operator="lessThan">
      <formula>0</formula>
    </cfRule>
  </conditionalFormatting>
  <conditionalFormatting sqref="A25 E25 C25">
    <cfRule type="cellIs" dxfId="5445" priority="59" operator="lessThan">
      <formula>0</formula>
    </cfRule>
  </conditionalFormatting>
  <conditionalFormatting sqref="F25">
    <cfRule type="cellIs" dxfId="5444" priority="57" operator="lessThan">
      <formula>0</formula>
    </cfRule>
  </conditionalFormatting>
  <conditionalFormatting sqref="E1">
    <cfRule type="containsText" dxfId="5443" priority="56" operator="containsText" text="本季業外損益/平均=-">
      <formula>NOT(ISERROR(SEARCH("本季業外損益/平均=-",E1)))</formula>
    </cfRule>
  </conditionalFormatting>
  <conditionalFormatting sqref="M65">
    <cfRule type="cellIs" dxfId="5442" priority="55" operator="lessThan">
      <formula>$L$65*90%</formula>
    </cfRule>
  </conditionalFormatting>
  <conditionalFormatting sqref="M66">
    <cfRule type="cellIs" dxfId="5441" priority="54" operator="lessThan">
      <formula>$L$66*90%</formula>
    </cfRule>
  </conditionalFormatting>
  <conditionalFormatting sqref="M67">
    <cfRule type="cellIs" dxfId="5440" priority="53" operator="lessThan">
      <formula>$L$67*90%</formula>
    </cfRule>
  </conditionalFormatting>
  <conditionalFormatting sqref="M68">
    <cfRule type="cellIs" dxfId="5439" priority="52" operator="lessThan">
      <formula>$L$68*90%</formula>
    </cfRule>
  </conditionalFormatting>
  <conditionalFormatting sqref="B60">
    <cfRule type="cellIs" dxfId="5438" priority="51" operator="lessThan">
      <formula>0</formula>
    </cfRule>
  </conditionalFormatting>
  <conditionalFormatting sqref="B59:F59">
    <cfRule type="cellIs" dxfId="5437" priority="50" operator="lessThanOrEqual">
      <formula>0</formula>
    </cfRule>
  </conditionalFormatting>
  <conditionalFormatting sqref="D62">
    <cfRule type="cellIs" dxfId="5436" priority="48" operator="lessThan">
      <formula>$E$62</formula>
    </cfRule>
    <cfRule type="cellIs" dxfId="5435" priority="49" operator="greaterThan">
      <formula>$E$62</formula>
    </cfRule>
  </conditionalFormatting>
  <conditionalFormatting sqref="F69">
    <cfRule type="cellIs" dxfId="5434" priority="46" operator="lessThan">
      <formula>0</formula>
    </cfRule>
  </conditionalFormatting>
  <conditionalFormatting sqref="B65:E67 B69:E69 B68:D68">
    <cfRule type="cellIs" dxfId="5433" priority="47" operator="lessThan">
      <formula>0</formula>
    </cfRule>
  </conditionalFormatting>
  <conditionalFormatting sqref="E68">
    <cfRule type="cellIs" dxfId="5432" priority="45" operator="lessThan">
      <formula>0</formula>
    </cfRule>
  </conditionalFormatting>
  <conditionalFormatting sqref="F65:F68">
    <cfRule type="cellIs" dxfId="5431" priority="44" operator="lessThan">
      <formula>0</formula>
    </cfRule>
  </conditionalFormatting>
  <conditionalFormatting sqref="F65:F68">
    <cfRule type="cellIs" dxfId="5430" priority="43" operator="lessThan">
      <formula>$E$65*0.9</formula>
    </cfRule>
  </conditionalFormatting>
  <conditionalFormatting sqref="F66">
    <cfRule type="cellIs" dxfId="5429" priority="42" operator="lessThan">
      <formula>$E$66*0.9</formula>
    </cfRule>
  </conditionalFormatting>
  <conditionalFormatting sqref="F67:F68">
    <cfRule type="cellIs" dxfId="5428" priority="41" operator="lessThan">
      <formula>$E$67*0.9</formula>
    </cfRule>
  </conditionalFormatting>
  <conditionalFormatting sqref="F68">
    <cfRule type="cellIs" dxfId="5427" priority="40" operator="lessThan">
      <formula>$E$68*0.9</formula>
    </cfRule>
  </conditionalFormatting>
  <conditionalFormatting sqref="B13:F13">
    <cfRule type="cellIs" dxfId="5426" priority="29" operator="greaterThan">
      <formula>$I$16</formula>
    </cfRule>
    <cfRule type="cellIs" dxfId="5425" priority="30" operator="lessThanOrEqual">
      <formula>$I$16</formula>
    </cfRule>
  </conditionalFormatting>
  <conditionalFormatting sqref="B10:F10">
    <cfRule type="cellIs" dxfId="5424" priority="31" operator="greaterThan">
      <formula>15</formula>
    </cfRule>
    <cfRule type="cellIs" dxfId="5423" priority="38" operator="lessThan">
      <formula>$I$9</formula>
    </cfRule>
    <cfRule type="cellIs" dxfId="5422" priority="39" operator="greaterThan">
      <formula>$I$9</formula>
    </cfRule>
  </conditionalFormatting>
  <conditionalFormatting sqref="B16:F16">
    <cfRule type="cellIs" dxfId="5421" priority="36" operator="greaterThan">
      <formula>$I$16</formula>
    </cfRule>
    <cfRule type="cellIs" dxfId="5420" priority="37" operator="lessThanOrEqual">
      <formula>$I$16</formula>
    </cfRule>
  </conditionalFormatting>
  <conditionalFormatting sqref="B15:F15">
    <cfRule type="cellIs" dxfId="5419" priority="34" operator="lessThanOrEqual">
      <formula>$I$16</formula>
    </cfRule>
    <cfRule type="cellIs" dxfId="5418" priority="35" operator="greaterThan">
      <formula>$I$16</formula>
    </cfRule>
  </conditionalFormatting>
  <conditionalFormatting sqref="B14:F14">
    <cfRule type="cellIs" dxfId="5417" priority="32" operator="greaterThan">
      <formula>$I$16</formula>
    </cfRule>
    <cfRule type="cellIs" dxfId="5416" priority="33" operator="lessThanOrEqual">
      <formula>$I$16</formula>
    </cfRule>
  </conditionalFormatting>
  <conditionalFormatting sqref="K6">
    <cfRule type="containsText" dxfId="5415" priority="27" operator="containsText" text="衰退">
      <formula>NOT(ISERROR(SEARCH("衰退",K6)))</formula>
    </cfRule>
    <cfRule type="containsText" dxfId="5414" priority="28" operator="containsText" text="成長">
      <formula>NOT(ISERROR(SEARCH("成長",K6)))</formula>
    </cfRule>
  </conditionalFormatting>
  <conditionalFormatting sqref="I4:K4">
    <cfRule type="cellIs" dxfId="5413" priority="25" operator="lessThan">
      <formula>0</formula>
    </cfRule>
    <cfRule type="cellIs" dxfId="5412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411" priority="22" operator="lessThanOrEqual">
      <formula>$I$16</formula>
    </cfRule>
    <cfRule type="cellIs" dxfId="5410" priority="23" operator="greaterThan">
      <formula>$I$16</formula>
    </cfRule>
  </conditionalFormatting>
  <conditionalFormatting sqref="I6">
    <cfRule type="containsText" dxfId="5409" priority="20" operator="containsText" text="衰退">
      <formula>NOT(ISERROR(SEARCH("衰退",I6)))</formula>
    </cfRule>
    <cfRule type="containsText" dxfId="5408" priority="21" operator="containsText" text="成長">
      <formula>NOT(ISERROR(SEARCH("成長",I6)))</formula>
    </cfRule>
  </conditionalFormatting>
  <conditionalFormatting sqref="M9">
    <cfRule type="cellIs" dxfId="5407" priority="19" operator="lessThan">
      <formula>$I$9</formula>
    </cfRule>
  </conditionalFormatting>
  <conditionalFormatting sqref="M10">
    <cfRule type="cellIs" dxfId="5406" priority="18" operator="greaterThan">
      <formula>$I$9</formula>
    </cfRule>
  </conditionalFormatting>
  <conditionalFormatting sqref="M11">
    <cfRule type="cellIs" dxfId="5405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404" priority="14" operator="lessThan">
      <formula>0</formula>
    </cfRule>
    <cfRule type="cellIs" dxfId="5403" priority="15" operator="greaterThan">
      <formula>0.5</formula>
    </cfRule>
  </conditionalFormatting>
  <conditionalFormatting sqref="N14">
    <cfRule type="cellIs" dxfId="5402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401" priority="10" operator="lessThan">
      <formula>0.1</formula>
    </cfRule>
  </conditionalFormatting>
  <conditionalFormatting sqref="I14">
    <cfRule type="cellIs" dxfId="5400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399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398" priority="1" operator="lessThan">
      <formula>$N$5*0.9</formula>
    </cfRule>
    <cfRule type="cellIs" dxfId="5397" priority="2" operator="greaterThan">
      <formula>$N$5*1.1</formula>
    </cfRule>
  </conditionalFormatting>
  <hyperlinks>
    <hyperlink ref="L1" location="儀表板!A1" display="(回首頁)" xr:uid="{00000000-0004-0000-1F00-000000000000}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13.55 ~ 28.93</v>
      </c>
      <c r="L1" s="83" t="s">
        <v>176</v>
      </c>
      <c r="M1" s="84" t="str">
        <f ca="1">VLOOKUP(_xlfn.NUMBERVALUE(N1),儀表板!A:B,2,FALSE)</f>
        <v>全新</v>
      </c>
      <c r="N1" s="85" t="str">
        <f ca="1">MID(CELL("filename",L1),FIND("]",CELL("filename",L1))+1,255)</f>
        <v>2455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0.16385120318773594</v>
      </c>
    </row>
    <row r="3" spans="1:15" s="93" customFormat="1" x14ac:dyDescent="0.25">
      <c r="A3" s="81" t="s">
        <v>179</v>
      </c>
      <c r="B3" s="94">
        <f>SUM(F19:F22,F24:F27,J19)</f>
        <v>85.443917851500785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34.054822395089786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36.047997618882654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39.189621424003818</v>
      </c>
      <c r="L3" s="100"/>
      <c r="M3" s="79" t="s">
        <v>385</v>
      </c>
      <c r="N3" s="92">
        <f>(F69-E69)/E69</f>
        <v>-9.7209574145968453E-3</v>
      </c>
    </row>
    <row r="4" spans="1:15" s="93" customFormat="1" x14ac:dyDescent="0.25">
      <c r="A4" s="81" t="s">
        <v>182</v>
      </c>
      <c r="B4" s="96">
        <f>SUM(G36:G40)*2</f>
        <v>88</v>
      </c>
      <c r="C4" s="101"/>
      <c r="D4" s="102">
        <f>F4*(1+F141/10)</f>
        <v>18.5</v>
      </c>
      <c r="E4" s="82">
        <f>(D4-F4)/F4</f>
        <v>0</v>
      </c>
      <c r="F4" s="103">
        <v>18.5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1.9706552947449523</v>
      </c>
    </row>
    <row r="5" spans="1:15" s="93" customFormat="1" x14ac:dyDescent="0.25">
      <c r="A5" s="81" t="s">
        <v>184</v>
      </c>
      <c r="B5" s="107">
        <f>SUM(F30:F34)*2</f>
        <v>99.567745098039211</v>
      </c>
      <c r="C5" s="87"/>
      <c r="D5" s="87"/>
      <c r="E5" s="87"/>
      <c r="F5" s="86"/>
      <c r="G5" s="88"/>
      <c r="M5" s="79" t="s">
        <v>375</v>
      </c>
      <c r="N5" s="152">
        <f>D62</f>
        <v>1.85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2.3090861223725785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49.5</v>
      </c>
      <c r="N9" s="129"/>
    </row>
    <row r="10" spans="1:15" s="93" customFormat="1" x14ac:dyDescent="0.25">
      <c r="A10" s="123" t="s">
        <v>194</v>
      </c>
      <c r="B10" s="126">
        <f>PERCENTILE(176:176,B9)</f>
        <v>16.510000000000002</v>
      </c>
      <c r="C10" s="126">
        <f>PERCENTILE(176:176,C9)</f>
        <v>17.940000000000001</v>
      </c>
      <c r="D10" s="126">
        <f>PERCENTILE(176:176,D9)</f>
        <v>18.989999999999998</v>
      </c>
      <c r="E10" s="126">
        <f>PERCENTILE(176:176,E9)</f>
        <v>20.645</v>
      </c>
      <c r="F10" s="126">
        <f>PERCENTILE(176:176,F9)</f>
        <v>22.11</v>
      </c>
      <c r="G10" s="95"/>
      <c r="H10" s="135"/>
      <c r="I10" s="135"/>
      <c r="J10" s="135"/>
      <c r="K10" s="135"/>
      <c r="L10" s="136" t="s">
        <v>374</v>
      </c>
      <c r="M10" s="130">
        <f>MIN(176:176)</f>
        <v>14.32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14.32</v>
      </c>
      <c r="L11" s="272" t="s">
        <v>193</v>
      </c>
      <c r="M11" s="128">
        <f>STDEV(176:176)</f>
        <v>5.7740277953861057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30.497198879551821</v>
      </c>
      <c r="C13" s="141">
        <f>$B$34/5.88%</f>
        <v>37.032312925170068</v>
      </c>
      <c r="D13" s="141">
        <f>$B$34/5%</f>
        <v>43.54999999999999</v>
      </c>
      <c r="E13" s="141">
        <f>$B$34/4.35%</f>
        <v>50.057471264367813</v>
      </c>
      <c r="F13" s="141">
        <f>$B$34/3.85%</f>
        <v>56.558441558441551</v>
      </c>
      <c r="G13" s="138" t="str">
        <f>"$"&amp;ROUND(B34,2)&amp;"/"&amp;IF(STDEV(C140:F140)/AVERAGE(C140:F140)&lt;15%,"高",IF(STDEV(C140:F140)/AVERAGE(C140:F140)&lt;30%,"中","低"))</f>
        <v>$2.18/高</v>
      </c>
      <c r="H13" s="142" t="s">
        <v>199</v>
      </c>
      <c r="I13" s="143">
        <f>MAX(0,1-J15)</f>
        <v>0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33.680400000000006</v>
      </c>
      <c r="C14" s="141">
        <f>$B$33*C10</f>
        <v>36.5976</v>
      </c>
      <c r="D14" s="141">
        <f>$B$33*D10</f>
        <v>38.739599999999996</v>
      </c>
      <c r="E14" s="141">
        <f>$B$33*E10</f>
        <v>42.1158</v>
      </c>
      <c r="F14" s="141">
        <f>$B$33*F10</f>
        <v>45.104399999999998</v>
      </c>
      <c r="G14" s="138" t="str">
        <f>"$"&amp;ROUND(B33,2)&amp;"/"&amp;IF(STDEV(B69:E69)/AVERAGE(B69:E69)&lt;15%,"高",IF(STDEV(B69:E69)/AVERAGE(B69:E69)&lt;30%,"中","低"))</f>
        <v>$2.04/高</v>
      </c>
      <c r="H14" s="142" t="s">
        <v>203</v>
      </c>
      <c r="I14" s="145">
        <f>G62/100*I13</f>
        <v>0</v>
      </c>
      <c r="J14" s="76" t="s">
        <v>204</v>
      </c>
      <c r="K14" s="146"/>
      <c r="L14" s="147">
        <f>(HLOOKUP($C$1,$105:$106,2,FALSE)-HLOOKUP($C$1,$117:$127,9,FALSE))/(HLOOKUP($C$1,$117:$128,12,FALSE)/K11)</f>
        <v>4.5076287808497382</v>
      </c>
      <c r="M14" s="148">
        <f>E135/E69</f>
        <v>1.4321608040201006</v>
      </c>
      <c r="N14" s="149">
        <f>F173/100</f>
        <v>1.8237999999999999</v>
      </c>
    </row>
    <row r="15" spans="1:15" s="93" customFormat="1" x14ac:dyDescent="0.25">
      <c r="A15" s="140" t="s">
        <v>375</v>
      </c>
      <c r="B15" s="141">
        <f>$D$62*B10</f>
        <v>30.543500000000005</v>
      </c>
      <c r="C15" s="141">
        <f>$D$62*C10</f>
        <v>33.189000000000007</v>
      </c>
      <c r="D15" s="141">
        <f>$D$62*D10</f>
        <v>35.131499999999996</v>
      </c>
      <c r="E15" s="141">
        <f>$D$62*E10</f>
        <v>38.193249999999999</v>
      </c>
      <c r="F15" s="141">
        <f>$D$62*F10</f>
        <v>40.903500000000001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32.535518916239162</v>
      </c>
      <c r="C16" s="141">
        <f>$F$69*C10</f>
        <v>35.353555987724448</v>
      </c>
      <c r="D16" s="141">
        <f>$F$69*D10</f>
        <v>37.422744047206642</v>
      </c>
      <c r="E16" s="141">
        <f>$F$69*E10</f>
        <v>40.684178560009542</v>
      </c>
      <c r="F16" s="141">
        <f>$F$69*F10</f>
        <v>43.571188566810896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13120</v>
      </c>
      <c r="J17" s="92">
        <f ca="1">IF(I17&lt;=0,"",IF(I17&lt;=MIN($B$13:$F$16),(I17-MIN($B$13:$F$16))/MIN($B$13:$F$16),IF(I17&gt;=MAX($B$13:$F$16),I17/MAX($B$13:$F$16),PERCENTRANK($B$13:$F$16,I17))))</f>
        <v>231.9724454649828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2.6675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20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1.225028702640643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7.9687501006928327E-2</v>
      </c>
      <c r="J20" s="171">
        <f>HLOOKUP($C$1,$117:$127,11,FALSE)/HLOOKUP($C$1,$105:$115,11,FALSE)</f>
        <v>0.15402942099527694</v>
      </c>
      <c r="K20" s="163"/>
    </row>
    <row r="21" spans="1:14" s="93" customFormat="1" x14ac:dyDescent="0.25">
      <c r="A21" s="151" t="s">
        <v>201</v>
      </c>
      <c r="B21" s="161">
        <f>AVERAGE(C173:F173)/100</f>
        <v>1.540675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3.2797140209076083</v>
      </c>
      <c r="J21" s="78"/>
      <c r="K21" s="164" t="s">
        <v>356</v>
      </c>
      <c r="L21" s="165">
        <f>HLOOKUP($C$1,$105:$115,7,FALSE)/HLOOKUP($C$1,$105:$115,11,FALSE)</f>
        <v>0.49827484986296111</v>
      </c>
      <c r="M21" s="123" t="s">
        <v>268</v>
      </c>
      <c r="N21" s="165">
        <f>HLOOKUP($C$1,$117:$127,8,FALSE)/HLOOKUP($C$1,$117:$127,11,FALSE)</f>
        <v>0.98634604522728697</v>
      </c>
    </row>
    <row r="22" spans="1:14" s="93" customFormat="1" x14ac:dyDescent="0.25">
      <c r="A22" s="140" t="s">
        <v>222</v>
      </c>
      <c r="B22" s="161">
        <f>(-1)*SUM(C133:F133)/SUM(C132:F132)</f>
        <v>0.15560821484992102</v>
      </c>
      <c r="C22" s="157"/>
      <c r="D22" s="166"/>
      <c r="E22" s="140"/>
      <c r="F22" s="159">
        <f>IF(B22&lt;=0,10,IF(B22&gt;=100%,0,(1-B22)*10))</f>
        <v>8.4439178515007889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2.5159288488090215</v>
      </c>
      <c r="J22" s="78"/>
      <c r="K22" s="142" t="s">
        <v>357</v>
      </c>
      <c r="L22" s="165">
        <f>HLOOKUP($C$1,$105:$115,4,FALSE)/HLOOKUP($C$1,$105:$115,11,FALSE)</f>
        <v>9.9808345292956527E-2</v>
      </c>
      <c r="M22" s="123" t="s">
        <v>353</v>
      </c>
      <c r="N22" s="165">
        <f>HLOOKUP($C$1,$117:$127,4,FALSE)/HLOOKUP($C$1,$117:$127,11,FALSE)</f>
        <v>0.48264753258163712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1.1820742054368973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0.11603906301856808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61.64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3.369907117710403E-2</v>
      </c>
      <c r="M24" s="123" t="s">
        <v>355</v>
      </c>
      <c r="N24" s="165">
        <f>HLOOKUP($C$1,$117:$127,9,FALSE)/HLOOKUP($C$1,$117:$127,11,FALSE)</f>
        <v>1.3653954772713009E-2</v>
      </c>
    </row>
    <row r="25" spans="1:14" s="93" customFormat="1" x14ac:dyDescent="0.25">
      <c r="A25" s="151" t="s">
        <v>366</v>
      </c>
      <c r="B25" s="255">
        <f>AVERAGE(94:94)</f>
        <v>1402.7826086956522</v>
      </c>
      <c r="C25" s="254">
        <f>STDEV(94:94)/AVERAGE(94:94)</f>
        <v>11.109231455496811</v>
      </c>
      <c r="D25" s="76" t="str">
        <f>IF(C25&lt;=1,"高",IF(C25&lt;=2,"中","低"))</f>
        <v>低</v>
      </c>
      <c r="E25" s="149"/>
      <c r="F25" s="160">
        <f>MAX(0,10-ABS(C25))</f>
        <v>0</v>
      </c>
      <c r="G25" s="88" t="s">
        <v>213</v>
      </c>
      <c r="H25" s="123" t="s">
        <v>232</v>
      </c>
      <c r="I25" s="170">
        <f>IF(HLOOKUP(C1,167:170,3,FALSE)="無",0,HLOOKUP(C1,167:170,3,FALSE))</f>
        <v>98.9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62.901304347826098</v>
      </c>
      <c r="C26" s="172">
        <f>IF(COUNTIF(168:168,"&gt;0")=0,0,STDEV(168:168))</f>
        <v>8.7711729827925478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92.686521739130427</v>
      </c>
      <c r="C27" s="172">
        <f>IF(COUNTIF(169:169,"&gt;0")=0,0,STDEV(169:169))</f>
        <v>12.858779670890385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0.35512500000000002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0.22547499999999998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14.3725</v>
      </c>
      <c r="C32" s="157" t="s">
        <v>217</v>
      </c>
      <c r="D32" s="174">
        <f>COUNTIF(159:159,"&gt;3")/COUNT(159:159)</f>
        <v>0.60869565217391308</v>
      </c>
      <c r="E32" s="140" t="s">
        <v>242</v>
      </c>
      <c r="F32" s="159">
        <f>MIN(B32/15*10,10)</f>
        <v>9.581666666666667</v>
      </c>
      <c r="G32" s="135"/>
    </row>
    <row r="33" spans="1:14" x14ac:dyDescent="0.25">
      <c r="A33" s="155" t="s">
        <v>14</v>
      </c>
      <c r="B33" s="156">
        <f>AVERAGE(B69:E69)</f>
        <v>2.04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2.1774999999999998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10.20220588235294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2199621.75</v>
      </c>
      <c r="C36" s="178">
        <f>STDEV(C97:F97)</f>
        <v>136156.33891811036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35.512500000000003</v>
      </c>
      <c r="C37" s="180">
        <f>STDEV(C152:F152)</f>
        <v>2.1987780697469201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26.125</v>
      </c>
      <c r="C38" s="180">
        <f>STDEV(C153:F153)</f>
        <v>1.6971643016121531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14.3725</v>
      </c>
      <c r="C39" s="181">
        <f>STDEV(C165:F165)</f>
        <v>1.7449617951882597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2.04</v>
      </c>
      <c r="C40" s="183">
        <f>STDEV(B69:E69)</f>
        <v>0.24535688292770721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0.24390243902439035</v>
      </c>
      <c r="C44" s="186">
        <f>(C46-C49)/C49</f>
        <v>0</v>
      </c>
      <c r="D44" s="186">
        <f>(D46-D49)/D49</f>
        <v>-0.36923076923076931</v>
      </c>
      <c r="E44" s="186">
        <f>(E46-E49)/E49</f>
        <v>-0.40425531914893609</v>
      </c>
      <c r="G44" s="86" t="s">
        <v>175</v>
      </c>
      <c r="H44" s="186">
        <f>(H47-H50)/H50</f>
        <v>-3.7394957983193353E-2</v>
      </c>
      <c r="I44" s="186">
        <f>(I47-I50)/I50</f>
        <v>-0.18108651911468809</v>
      </c>
      <c r="J44" s="186">
        <f>(J47-J50)/J50</f>
        <v>-0.24158031088082887</v>
      </c>
      <c r="K44" s="186">
        <f>(K47-K50)/K50</f>
        <v>-0.23097514340344172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0.51</v>
      </c>
      <c r="C46" s="152">
        <f>HLOOKUP(C45,$81:$82,2,FALSE)</f>
        <v>0.65</v>
      </c>
      <c r="D46" s="152">
        <f>HLOOKUP(D45,$81:$82,2,FALSE)</f>
        <v>0.41</v>
      </c>
      <c r="E46" s="152">
        <f>HLOOKUP(E45,$81:$82,2,FALSE)</f>
        <v>0.28000000000000003</v>
      </c>
      <c r="G46" s="86" t="s">
        <v>164</v>
      </c>
      <c r="H46" s="145">
        <f>HLOOKUP(H45,$145:$147,2,FALSE)/100</f>
        <v>0.33740000000000003</v>
      </c>
      <c r="I46" s="145">
        <f>HLOOKUP(I45,$145:$147,2,FALSE)/100</f>
        <v>0.35039999999999999</v>
      </c>
      <c r="J46" s="145">
        <f>HLOOKUP(J45,$145:$147,2,FALSE)/100</f>
        <v>0.34570000000000001</v>
      </c>
      <c r="K46" s="145">
        <f>HLOOKUP(K45,$145:$147,2,FALSE)/100</f>
        <v>0.3301</v>
      </c>
    </row>
    <row r="47" spans="1:14" x14ac:dyDescent="0.25">
      <c r="A47" s="188" t="s">
        <v>165</v>
      </c>
      <c r="B47" s="189">
        <f>HLOOKUP(B45,$157:$159,3,FALSE)</f>
        <v>3.62</v>
      </c>
      <c r="C47" s="189">
        <f>HLOOKUP(C45,$157:$159,3,FALSE)</f>
        <v>4.45</v>
      </c>
      <c r="D47" s="189">
        <f>HLOOKUP(D45,$157:$159,3,FALSE)</f>
        <v>2.64</v>
      </c>
      <c r="E47" s="189">
        <f>HLOOKUP(E45,$157:$159,3,FALSE)</f>
        <v>2.2999999999999998</v>
      </c>
      <c r="G47" s="190" t="s">
        <v>166</v>
      </c>
      <c r="H47" s="145">
        <f>HLOOKUP(H45,$145:$147,3,FALSE)/100</f>
        <v>0.2291</v>
      </c>
      <c r="I47" s="145">
        <f>HLOOKUP(I45,$145:$147,3,FALSE)/100</f>
        <v>0.24420000000000003</v>
      </c>
      <c r="J47" s="145">
        <f>HLOOKUP(J45,$145:$147,3,FALSE)/100</f>
        <v>0.23420000000000002</v>
      </c>
      <c r="K47" s="145">
        <f>HLOOKUP(K45,$145:$147,3,FALSE)/100</f>
        <v>0.2011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0.41</v>
      </c>
      <c r="C49" s="152">
        <f>HLOOKUP(C48,$81:$82,2,FALSE)</f>
        <v>0.65</v>
      </c>
      <c r="D49" s="152">
        <f>HLOOKUP(D48,$81:$82,2,FALSE)</f>
        <v>0.65</v>
      </c>
      <c r="E49" s="152">
        <f>HLOOKUP(E48,$81:$82,2,FALSE)</f>
        <v>0.47</v>
      </c>
      <c r="G49" s="86" t="s">
        <v>164</v>
      </c>
      <c r="H49" s="145">
        <f>HLOOKUP(H48,$145:$147,2,FALSE)/100</f>
        <v>0.3528</v>
      </c>
      <c r="I49" s="145">
        <f>HLOOKUP(I48,$145:$147,2,FALSE)/100</f>
        <v>0.38880000000000003</v>
      </c>
      <c r="J49" s="145">
        <f>HLOOKUP(J48,$145:$147,2,FALSE)/100</f>
        <v>0.39240000000000003</v>
      </c>
      <c r="K49" s="145">
        <f>HLOOKUP(K48,$145:$147,2,FALSE)/100</f>
        <v>0.36649999999999999</v>
      </c>
    </row>
    <row r="50" spans="1:15" x14ac:dyDescent="0.25">
      <c r="A50" s="188" t="s">
        <v>165</v>
      </c>
      <c r="B50" s="189">
        <f>HLOOKUP(B48,$157:$159,3,FALSE)</f>
        <v>2.89</v>
      </c>
      <c r="C50" s="189">
        <f>HLOOKUP(C48,$157:$159,3,FALSE)</f>
        <v>4.58</v>
      </c>
      <c r="D50" s="189">
        <f>HLOOKUP(D48,$157:$159,3,FALSE)</f>
        <v>4.37</v>
      </c>
      <c r="E50" s="189">
        <f>HLOOKUP(E48,$157:$159,3,FALSE)</f>
        <v>3.3</v>
      </c>
      <c r="G50" s="190" t="s">
        <v>166</v>
      </c>
      <c r="H50" s="145">
        <f>HLOOKUP(H48,$145:$147,3,FALSE)/100</f>
        <v>0.23800000000000002</v>
      </c>
      <c r="I50" s="145">
        <f>HLOOKUP(I48,$145:$147,3,FALSE)/100</f>
        <v>0.29820000000000002</v>
      </c>
      <c r="J50" s="145">
        <f>HLOOKUP(J48,$145:$147,3,FALSE)/100</f>
        <v>0.30879999999999996</v>
      </c>
      <c r="K50" s="145">
        <f>HLOOKUP(K48,$145:$147,3,FALSE)/100</f>
        <v>0.26150000000000001</v>
      </c>
    </row>
    <row r="51" spans="1:15" x14ac:dyDescent="0.25">
      <c r="A51" s="86" t="s">
        <v>351</v>
      </c>
      <c r="B51" s="186">
        <f>(B47-B50)/B50</f>
        <v>0.25259515570934254</v>
      </c>
      <c r="C51" s="186">
        <f>(C47-C50)/C50</f>
        <v>-2.8384279475982509E-2</v>
      </c>
      <c r="D51" s="186">
        <f>(D47-D50)/D50</f>
        <v>-0.39588100686498856</v>
      </c>
      <c r="E51" s="186">
        <f>(E47-E50)/E50</f>
        <v>-0.30303030303030304</v>
      </c>
      <c r="G51" s="235" t="s">
        <v>174</v>
      </c>
      <c r="H51" s="186">
        <f>(H46-H49)/H49</f>
        <v>-4.3650793650793565E-2</v>
      </c>
      <c r="I51" s="186">
        <f>(I46-I49)/I49</f>
        <v>-9.8765432098765538E-2</v>
      </c>
      <c r="J51" s="186">
        <f>(J46-J49)/J49</f>
        <v>-0.11901121304791033</v>
      </c>
      <c r="K51" s="186">
        <f>(K46-K49)/K49</f>
        <v>-9.9317871759890833E-2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2.3090861223725785</v>
      </c>
      <c r="B53" s="193">
        <f>B46</f>
        <v>0.51</v>
      </c>
      <c r="C53" s="193">
        <f>E46/HLOOKUP(E45,$87:$94,5,FALSE)*HLOOKUP(E45,$87:$94,4,FALSE)*($B$25/HLOOKUP(E45,$87:$94,4,FALSE)+SUM($B$57:$D$57)/SUM($B58:$D$58)*$G$69/100/K46)</f>
        <v>0.40065529474495232</v>
      </c>
      <c r="D53" s="193">
        <f>D46/HLOOKUP(D45,$87:$94,5,FALSE)*HLOOKUP(D45,$87:$94,4,FALSE)*($B$25/HLOOKUP(D45,$87:$94,4,FALSE)+SUM($B$57:$D$57)/SUM($B58:$D$58)*$G$69/100/J46)</f>
        <v>0.64315452484225233</v>
      </c>
      <c r="E53" s="193">
        <f>C46/HLOOKUP(C45,$87:$94,5,FALSE)*HLOOKUP(C45,$87:$94,4,FALSE)*($B$25/HLOOKUP(C45,$87:$94,4,FALSE)+SUM($B$57:$D$57)/SUM($B58:$D$58)*$G$69/100/I46)</f>
        <v>0.75527630278537383</v>
      </c>
    </row>
    <row r="54" spans="1:15" x14ac:dyDescent="0.25">
      <c r="A54" s="278">
        <f>SUM(B54:E54)</f>
        <v>1.75</v>
      </c>
      <c r="B54" s="277">
        <f t="shared" ref="B54:D54" si="0">HLOOKUP(B52-10,81:82,2,FALSE)</f>
        <v>0.41</v>
      </c>
      <c r="C54" s="277">
        <f t="shared" si="0"/>
        <v>0.28000000000000003</v>
      </c>
      <c r="D54" s="277">
        <f t="shared" si="0"/>
        <v>0.41</v>
      </c>
      <c r="E54" s="277">
        <f>HLOOKUP(E52-10,81:82,2,FALSE)</f>
        <v>0.65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186023</v>
      </c>
      <c r="C57" s="196">
        <f>HLOOKUP(C56,78:79,2,FALSE)</f>
        <v>174931</v>
      </c>
      <c r="D57" s="196">
        <f>HLOOKUP(D56,78:79,2,FALSE)</f>
        <v>165747</v>
      </c>
      <c r="E57" s="196">
        <f>HLOOKUP(E56,78:79,2,FALSE)</f>
        <v>159251</v>
      </c>
      <c r="F57" s="196">
        <f>HLOOKUP(F56,78:79,2,FALSE)</f>
        <v>187978</v>
      </c>
      <c r="G57" s="196">
        <f t="shared" ref="G57:M57" si="2">HLOOKUP(G56,78:79,2,FALSE)</f>
        <v>191958</v>
      </c>
      <c r="H57" s="196">
        <f t="shared" si="2"/>
        <v>183311</v>
      </c>
      <c r="I57" s="196">
        <f t="shared" si="2"/>
        <v>198095</v>
      </c>
      <c r="J57" s="196">
        <f t="shared" si="2"/>
        <v>137160</v>
      </c>
      <c r="K57" s="196">
        <f t="shared" si="2"/>
        <v>157902</v>
      </c>
      <c r="L57" s="196">
        <f t="shared" si="2"/>
        <v>124558</v>
      </c>
      <c r="M57" s="196">
        <f t="shared" si="2"/>
        <v>145821</v>
      </c>
      <c r="N57" s="197"/>
    </row>
    <row r="58" spans="1:15" x14ac:dyDescent="0.25">
      <c r="A58" s="198" t="s">
        <v>253</v>
      </c>
      <c r="B58" s="196">
        <f>HLOOKUP(B56-100,78:79,2,FALSE)</f>
        <v>164323</v>
      </c>
      <c r="C58" s="196">
        <f>HLOOKUP(C56-100,78:79,2,FALSE)</f>
        <v>134240</v>
      </c>
      <c r="D58" s="196">
        <f>HLOOKUP(D56-100,78:79,2,FALSE)</f>
        <v>161289</v>
      </c>
      <c r="E58" s="196">
        <f>HLOOKUP(E56-100,78:79,2,FALSE)</f>
        <v>164061</v>
      </c>
      <c r="F58" s="196">
        <f>HLOOKUP(F56-100,78:79,2,FALSE)</f>
        <v>163735</v>
      </c>
      <c r="G58" s="196">
        <f t="shared" ref="G58:M58" si="3">HLOOKUP(G56-100,78:79,2,FALSE)</f>
        <v>252692</v>
      </c>
      <c r="H58" s="196">
        <f t="shared" si="3"/>
        <v>208838</v>
      </c>
      <c r="I58" s="196">
        <f t="shared" si="3"/>
        <v>253367</v>
      </c>
      <c r="J58" s="196">
        <f t="shared" si="3"/>
        <v>188226</v>
      </c>
      <c r="K58" s="196">
        <f t="shared" si="3"/>
        <v>221675</v>
      </c>
      <c r="L58" s="196">
        <f t="shared" si="3"/>
        <v>254890</v>
      </c>
      <c r="M58" s="196">
        <f t="shared" si="3"/>
        <v>200158</v>
      </c>
      <c r="N58" s="197"/>
    </row>
    <row r="59" spans="1:15" x14ac:dyDescent="0.25">
      <c r="A59" s="199" t="s">
        <v>254</v>
      </c>
      <c r="B59" s="165">
        <f>IF(B57&lt;&gt;"",(B57-B58)/B58,"")</f>
        <v>0.13205698532767782</v>
      </c>
      <c r="C59" s="165">
        <f>IF(C57&lt;&gt;"",(C57-C58)/C58,"")</f>
        <v>0.30312127532777117</v>
      </c>
      <c r="D59" s="165">
        <f>IF(D57&lt;&gt;"",(D57-D58)/D58,"")</f>
        <v>2.7639826646578502E-2</v>
      </c>
      <c r="E59" s="165">
        <f>IF(E57&lt;&gt;"",(E57-E58)/E58,"")</f>
        <v>-2.9318363291702478E-2</v>
      </c>
      <c r="F59" s="165">
        <f>IF(F57&lt;&gt;"",(F57-F58)/F58,"")</f>
        <v>0.14806241793141356</v>
      </c>
      <c r="G59" s="165">
        <f t="shared" ref="G59:M59" si="4">IF(G57&lt;&gt;"",(G57-G58)/G58,"")</f>
        <v>-0.2403479334525826</v>
      </c>
      <c r="H59" s="165">
        <f t="shared" si="4"/>
        <v>-0.12223350156580699</v>
      </c>
      <c r="I59" s="165">
        <f t="shared" si="4"/>
        <v>-0.21814995638737483</v>
      </c>
      <c r="J59" s="165">
        <f t="shared" si="4"/>
        <v>-0.27130152051257533</v>
      </c>
      <c r="K59" s="165">
        <f t="shared" si="4"/>
        <v>-0.28768692906281718</v>
      </c>
      <c r="L59" s="165">
        <f t="shared" si="4"/>
        <v>-0.51132645454902115</v>
      </c>
      <c r="M59" s="165">
        <f t="shared" si="4"/>
        <v>-0.27147053827476292</v>
      </c>
    </row>
    <row r="60" spans="1:15" x14ac:dyDescent="0.25">
      <c r="A60" s="195" t="s">
        <v>255</v>
      </c>
      <c r="B60" s="196">
        <f>SUM(B57:M57)</f>
        <v>2012735</v>
      </c>
    </row>
    <row r="61" spans="1:15" x14ac:dyDescent="0.25">
      <c r="A61" s="198" t="s">
        <v>256</v>
      </c>
      <c r="B61" s="196">
        <f>SUM(B58:M58)</f>
        <v>2367494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0.85015421369600097</v>
      </c>
      <c r="D62" s="152">
        <f>SUM(B46:E46)</f>
        <v>1.85</v>
      </c>
      <c r="E62" s="152">
        <f>SUM(B49:E49)</f>
        <v>2.1799999999999997</v>
      </c>
      <c r="G62" s="126">
        <f>SUM(B47:E47)</f>
        <v>13.010000000000002</v>
      </c>
      <c r="H62" s="126">
        <f>SUM(B50:E50)</f>
        <v>15.14</v>
      </c>
      <c r="J62" s="200">
        <f>AVERAGE(H46:K46)</f>
        <v>0.34090000000000004</v>
      </c>
      <c r="K62" s="200">
        <f>AVERAGE(H49:K49)</f>
        <v>0.37512500000000004</v>
      </c>
      <c r="M62" s="200">
        <f>AVERAGE(H47:K47)</f>
        <v>0.22715000000000002</v>
      </c>
      <c r="N62" s="200">
        <f>AVERAGE(H50:K50)</f>
        <v>0.27662500000000001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0.54</v>
      </c>
      <c r="C65" s="205">
        <f t="shared" si="5"/>
        <v>0.3</v>
      </c>
      <c r="D65" s="205">
        <f t="shared" si="5"/>
        <v>0.54</v>
      </c>
      <c r="E65" s="205">
        <f t="shared" si="5"/>
        <v>0.65</v>
      </c>
      <c r="F65" s="206">
        <f>IF(ISNA(HLOOKUP(F$64*10+$A65,$81:$82,2,FALSE)),(HLOOKUP(E$64*10+$A65,$87:$94,4,FALSE)*$G65+$B$25)/HLOOKUP(E$64*10+$A65,$87:$94,5,FALSE)*$E65,HLOOKUP(F$64*10+$A65,$81:$82,2,FALSE))</f>
        <v>0.41</v>
      </c>
      <c r="G65" s="101">
        <f>MIN(130%,SUM($B$57:$D$57)/SUM($B$58:$D$58)*$G$69/HLOOKUP(E$64*10+$A65,$145:$146,2,FALSE))</f>
        <v>1.055901214500871</v>
      </c>
      <c r="H65" s="204">
        <v>1</v>
      </c>
      <c r="I65" s="208">
        <f t="shared" ref="I65:M68" si="6">IF(ISNA(HLOOKUP(I$64*10+$H65,$145:$147,3,FALSE)),"",HLOOKUP(I$64*10+$H65,$145:$147,3,FALSE)/100)</f>
        <v>0.25009999999999999</v>
      </c>
      <c r="J65" s="208">
        <f t="shared" si="6"/>
        <v>0.20180000000000001</v>
      </c>
      <c r="K65" s="208">
        <f t="shared" si="6"/>
        <v>0.29389999999999999</v>
      </c>
      <c r="L65" s="208">
        <f t="shared" si="6"/>
        <v>0.30879999999999996</v>
      </c>
      <c r="M65" s="209">
        <f t="shared" si="6"/>
        <v>0.23420000000000002</v>
      </c>
      <c r="N65" s="256">
        <f t="shared" ref="N65:O68" si="7">HLOOKUP(E$64*10+$A65,$87:$94,8,FALSE)</f>
        <v>-11381</v>
      </c>
      <c r="O65" s="256">
        <f t="shared" si="7"/>
        <v>-26363</v>
      </c>
      <c r="P65" s="210"/>
    </row>
    <row r="66" spans="1:71" x14ac:dyDescent="0.25">
      <c r="A66" s="204">
        <v>2</v>
      </c>
      <c r="B66" s="205">
        <f t="shared" si="5"/>
        <v>0.75</v>
      </c>
      <c r="C66" s="205">
        <f t="shared" si="5"/>
        <v>0.36</v>
      </c>
      <c r="D66" s="205">
        <f t="shared" si="5"/>
        <v>0.7</v>
      </c>
      <c r="E66" s="205">
        <f t="shared" si="5"/>
        <v>0.65</v>
      </c>
      <c r="F66" s="206">
        <f>IF(ISNA(HLOOKUP(F$64*10+$A66,$81:$82,2,FALSE)),(HLOOKUP(E$64*10+$A66,$87:$94,4,FALSE)*$G66+$B$25)/HLOOKUP(E$64*10+$A66,$87:$94,5,FALSE)*$E66,HLOOKUP(F$64*10+$A66,$81:$82,2,FALSE))</f>
        <v>0.65</v>
      </c>
      <c r="G66" s="101">
        <f>MIN(130%,SUM($B$57:$D$57)/SUM($B$58:$D$58)*$G$69/HLOOKUP(E$64*10+$A66,$145:$146,2,FALSE))</f>
        <v>1.0656780775981014</v>
      </c>
      <c r="H66" s="204">
        <v>2</v>
      </c>
      <c r="I66" s="208">
        <f t="shared" si="6"/>
        <v>0.29620000000000002</v>
      </c>
      <c r="J66" s="208">
        <f t="shared" si="6"/>
        <v>0.247</v>
      </c>
      <c r="K66" s="208">
        <f t="shared" si="6"/>
        <v>0.30260000000000004</v>
      </c>
      <c r="L66" s="208">
        <f t="shared" si="6"/>
        <v>0.29820000000000002</v>
      </c>
      <c r="M66" s="209">
        <f t="shared" si="6"/>
        <v>0.24420000000000003</v>
      </c>
      <c r="N66" s="256">
        <f t="shared" si="7"/>
        <v>6835</v>
      </c>
      <c r="O66" s="256">
        <f t="shared" si="7"/>
        <v>3634</v>
      </c>
      <c r="P66" s="210"/>
    </row>
    <row r="67" spans="1:71" x14ac:dyDescent="0.25">
      <c r="A67" s="204">
        <v>3</v>
      </c>
      <c r="B67" s="205">
        <f t="shared" si="5"/>
        <v>0.33</v>
      </c>
      <c r="C67" s="205">
        <f t="shared" si="5"/>
        <v>0.63</v>
      </c>
      <c r="D67" s="205">
        <f t="shared" si="5"/>
        <v>0.69</v>
      </c>
      <c r="E67" s="205">
        <f t="shared" si="5"/>
        <v>0.41</v>
      </c>
      <c r="F67" s="206">
        <f>IF(ISNA(HLOOKUP(F$64*10+$A67,$81:$82,2,FALSE)),(HLOOKUP(E$64*10+$A67,$87:$94,4,FALSE)*$G67+$B$25)/HLOOKUP(E$64*10+$A67,$87:$94,5,FALSE)*$E67,HLOOKUP(F$64*10+$A67,$81:$82,2,FALSE))</f>
        <v>0.51</v>
      </c>
      <c r="G67" s="101">
        <f>MIN(130%,SUM($B$57:$D$57)/SUM($B$58:$D$58)*$G$69/HLOOKUP(E$64*10+$A67,$145:$146,2,FALSE))</f>
        <v>1.1744207385774994</v>
      </c>
      <c r="H67" s="204">
        <v>3</v>
      </c>
      <c r="I67" s="208">
        <f t="shared" si="6"/>
        <v>0.21879999999999999</v>
      </c>
      <c r="J67" s="208">
        <f t="shared" si="6"/>
        <v>0.2767</v>
      </c>
      <c r="K67" s="208">
        <f t="shared" si="6"/>
        <v>0.26400000000000001</v>
      </c>
      <c r="L67" s="208">
        <f t="shared" si="6"/>
        <v>0.23800000000000002</v>
      </c>
      <c r="M67" s="209">
        <f t="shared" si="6"/>
        <v>0.2291</v>
      </c>
      <c r="N67" s="256">
        <f t="shared" si="7"/>
        <v>-15127</v>
      </c>
      <c r="O67" s="256">
        <f t="shared" si="7"/>
        <v>992</v>
      </c>
      <c r="P67" s="210"/>
    </row>
    <row r="68" spans="1:71" x14ac:dyDescent="0.25">
      <c r="A68" s="204">
        <v>4</v>
      </c>
      <c r="B68" s="205">
        <f>HLOOKUP(B$64*10+$A68,$81:$82,2,FALSE)</f>
        <v>0.25</v>
      </c>
      <c r="C68" s="205">
        <f>HLOOKUP(C$64*10+$A68,$81:$82,2,FALSE)</f>
        <v>0.61</v>
      </c>
      <c r="D68" s="205">
        <f>HLOOKUP(D$64*10+$A68,$81:$82,2,FALSE)</f>
        <v>0.47</v>
      </c>
      <c r="E68" s="206">
        <f>IF(ISNA(HLOOKUP(E$64*10+$A68,$81:$82,2,FALSE)),D68*(1-$N68)*#REF!*(1+$B$25)/(1+$E$4),HLOOKUP(E$64*10+$A68,$81:$82,2,FALSE))</f>
        <v>0.28000000000000003</v>
      </c>
      <c r="F68" s="206">
        <f>IF(ISNA(HLOOKUP(F$64*10+$A68,$81:$82,2,FALSE)),(HLOOKUP(E$64*10+$A68,$87:$94,4,FALSE)*$G68+$B$25)/HLOOKUP(E$64*10+$A68,$87:$94,5,FALSE)*$E68,HLOOKUP(F$64*10+$A68,$81:$82,2,FALSE))</f>
        <v>0.40065529474495226</v>
      </c>
      <c r="G68" s="101">
        <f>MIN(130%,SUM($B$57:$D$57)/SUM($B$58:$D$58)*$G$69/HLOOKUP(E$64*10+$A68,$145:$146,2,FALSE))</f>
        <v>1.2551821768256342</v>
      </c>
      <c r="H68" s="204">
        <v>4</v>
      </c>
      <c r="I68" s="208">
        <f t="shared" si="6"/>
        <v>0.16469999999999999</v>
      </c>
      <c r="J68" s="208">
        <f t="shared" si="6"/>
        <v>0.2671</v>
      </c>
      <c r="K68" s="208">
        <f t="shared" si="6"/>
        <v>0.26150000000000001</v>
      </c>
      <c r="L68" s="208">
        <f t="shared" si="6"/>
        <v>0.2011</v>
      </c>
      <c r="M68" s="209" t="str">
        <f t="shared" si="6"/>
        <v/>
      </c>
      <c r="N68" s="256">
        <f t="shared" si="7"/>
        <v>-9758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1.87</v>
      </c>
      <c r="C69" s="213">
        <f>SUM(C65:C68)</f>
        <v>1.9</v>
      </c>
      <c r="D69" s="213">
        <f>SUM(D65:D68)</f>
        <v>2.4</v>
      </c>
      <c r="E69" s="213">
        <f>SUM(E65:E68)</f>
        <v>1.99</v>
      </c>
      <c r="F69" s="213">
        <f>SUM(F65:F68)</f>
        <v>1.9706552947449523</v>
      </c>
      <c r="G69" s="257">
        <f>_xlfn.FORECAST.ETS(23,B146:W146,{1,2,3,4,5,6,7,8,9,10,11,12,13,14,15,16,17,18,19,20,21,22})</f>
        <v>36.174807176757369</v>
      </c>
      <c r="H69" s="214" t="s">
        <v>19</v>
      </c>
      <c r="I69" s="215">
        <f>HLOOKUP(I64,151:155,3,FALSE)/100</f>
        <v>0.2422</v>
      </c>
      <c r="J69" s="215">
        <f>HLOOKUP(J64,151:155,3,FALSE)/100</f>
        <v>0.253</v>
      </c>
      <c r="K69" s="215">
        <f>HLOOKUP(K64,151:155,3,FALSE)/100</f>
        <v>0.28039999999999998</v>
      </c>
      <c r="L69" s="215">
        <f>IF(ISNA(HLOOKUP(L64,151:155,3,FALSE)/100),AVERAGE(L65:L68),HLOOKUP(L64,151:155,3,FALSE)/100)</f>
        <v>0.26940000000000003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3.53</v>
      </c>
      <c r="C72" s="205">
        <f t="shared" si="8"/>
        <v>2.09</v>
      </c>
      <c r="D72" s="205">
        <f t="shared" si="8"/>
        <v>3.72</v>
      </c>
      <c r="E72" s="205">
        <f t="shared" si="8"/>
        <v>4.37</v>
      </c>
      <c r="F72" s="205">
        <f t="shared" si="8"/>
        <v>2.64</v>
      </c>
    </row>
    <row r="73" spans="1:71" s="135" customFormat="1" x14ac:dyDescent="0.25">
      <c r="A73" s="204">
        <v>2</v>
      </c>
      <c r="B73" s="205">
        <f t="shared" si="8"/>
        <v>5.18</v>
      </c>
      <c r="C73" s="205">
        <f t="shared" si="8"/>
        <v>2.58</v>
      </c>
      <c r="D73" s="205">
        <f t="shared" si="8"/>
        <v>4.96</v>
      </c>
      <c r="E73" s="205">
        <f t="shared" si="8"/>
        <v>4.58</v>
      </c>
      <c r="F73" s="205">
        <f t="shared" si="8"/>
        <v>4.45</v>
      </c>
    </row>
    <row r="74" spans="1:71" s="135" customFormat="1" x14ac:dyDescent="0.25">
      <c r="A74" s="204">
        <v>3</v>
      </c>
      <c r="B74" s="205">
        <f t="shared" si="8"/>
        <v>2.34</v>
      </c>
      <c r="C74" s="205">
        <f t="shared" si="8"/>
        <v>4.75</v>
      </c>
      <c r="D74" s="205">
        <f t="shared" si="8"/>
        <v>5.03</v>
      </c>
      <c r="E74" s="205">
        <f t="shared" si="8"/>
        <v>2.89</v>
      </c>
      <c r="F74" s="205">
        <f t="shared" si="8"/>
        <v>3.62</v>
      </c>
    </row>
    <row r="75" spans="1:71" s="135" customFormat="1" x14ac:dyDescent="0.25">
      <c r="A75" s="204">
        <v>4</v>
      </c>
      <c r="B75" s="205">
        <f t="shared" si="8"/>
        <v>1.78</v>
      </c>
      <c r="C75" s="205">
        <f t="shared" si="8"/>
        <v>4.41</v>
      </c>
      <c r="D75" s="205">
        <f t="shared" si="8"/>
        <v>3.3</v>
      </c>
      <c r="E75" s="205">
        <f t="shared" si="8"/>
        <v>2.2999999999999998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12.829999999999998</v>
      </c>
      <c r="C76" s="213">
        <f>SUM(C72:C75)</f>
        <v>13.83</v>
      </c>
      <c r="D76" s="213">
        <f>SUM(D72:D75)</f>
        <v>17.010000000000002</v>
      </c>
      <c r="E76" s="213">
        <f>AVERAGE(E72:E75)*4</f>
        <v>14.14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228263</v>
      </c>
      <c r="C79" s="270">
        <v>222038</v>
      </c>
      <c r="D79" s="270">
        <v>242278</v>
      </c>
      <c r="E79" s="270">
        <v>232680</v>
      </c>
      <c r="F79" s="270">
        <v>193359</v>
      </c>
      <c r="G79" s="270">
        <v>220157</v>
      </c>
      <c r="H79" s="270">
        <v>170053</v>
      </c>
      <c r="I79" s="270">
        <v>182880</v>
      </c>
      <c r="J79" s="270">
        <v>122626</v>
      </c>
      <c r="K79" s="270">
        <v>134730</v>
      </c>
      <c r="L79" s="270">
        <v>137119</v>
      </c>
      <c r="M79" s="270">
        <v>162339</v>
      </c>
      <c r="N79" s="270">
        <v>150360</v>
      </c>
      <c r="O79" s="270">
        <v>184250</v>
      </c>
      <c r="P79" s="270">
        <v>204040</v>
      </c>
      <c r="Q79" s="270">
        <v>243004</v>
      </c>
      <c r="R79" s="270">
        <v>251817</v>
      </c>
      <c r="S79" s="270">
        <v>222833</v>
      </c>
      <c r="T79" s="270">
        <v>160054</v>
      </c>
      <c r="U79" s="270">
        <v>167331</v>
      </c>
      <c r="V79" s="270">
        <v>158778</v>
      </c>
      <c r="W79" s="270">
        <v>140485</v>
      </c>
      <c r="X79" s="270">
        <v>127031</v>
      </c>
      <c r="Y79" s="270">
        <v>140410</v>
      </c>
      <c r="Z79" s="270">
        <v>136834</v>
      </c>
      <c r="AA79" s="270">
        <v>116686</v>
      </c>
      <c r="AB79" s="270">
        <v>122583</v>
      </c>
      <c r="AC79" s="270">
        <v>163784</v>
      </c>
      <c r="AD79" s="270">
        <v>178685</v>
      </c>
      <c r="AE79" s="270">
        <v>184112</v>
      </c>
      <c r="AF79" s="270">
        <v>207038</v>
      </c>
      <c r="AG79" s="270">
        <v>218281</v>
      </c>
      <c r="AH79" s="270">
        <v>180165</v>
      </c>
      <c r="AI79" s="270">
        <v>198670</v>
      </c>
      <c r="AJ79" s="270">
        <v>174879</v>
      </c>
      <c r="AK79" s="270">
        <v>191653</v>
      </c>
      <c r="AL79" s="270">
        <v>153003</v>
      </c>
      <c r="AM79" s="270">
        <v>178401</v>
      </c>
      <c r="AN79" s="270">
        <v>193400</v>
      </c>
      <c r="AO79" s="270">
        <v>199940</v>
      </c>
      <c r="AP79" s="270">
        <v>188854</v>
      </c>
      <c r="AQ79" s="270">
        <v>261357</v>
      </c>
      <c r="AR79" s="270">
        <v>210327</v>
      </c>
      <c r="AS79" s="270">
        <v>192442</v>
      </c>
      <c r="AT79" s="270">
        <v>187025</v>
      </c>
      <c r="AU79" s="270">
        <v>174233</v>
      </c>
      <c r="AV79" s="270">
        <v>200158</v>
      </c>
      <c r="AW79" s="270">
        <v>254890</v>
      </c>
      <c r="AX79" s="270">
        <v>221675</v>
      </c>
      <c r="AY79" s="270">
        <v>188226</v>
      </c>
      <c r="AZ79" s="270">
        <v>253367</v>
      </c>
      <c r="BA79" s="270">
        <v>208838</v>
      </c>
      <c r="BB79" s="270">
        <v>252692</v>
      </c>
      <c r="BC79" s="270">
        <v>163735</v>
      </c>
      <c r="BD79" s="270">
        <v>164061</v>
      </c>
      <c r="BE79" s="270">
        <v>161289</v>
      </c>
      <c r="BF79" s="270">
        <v>134240</v>
      </c>
      <c r="BG79" s="270">
        <v>164323</v>
      </c>
      <c r="BH79" s="270">
        <v>145821</v>
      </c>
      <c r="BI79" s="270">
        <v>124558</v>
      </c>
      <c r="BJ79" s="270">
        <v>157902</v>
      </c>
      <c r="BK79" s="270">
        <v>137160</v>
      </c>
      <c r="BL79" s="270">
        <v>198095</v>
      </c>
      <c r="BM79" s="270">
        <v>183311</v>
      </c>
      <c r="BN79" s="270">
        <v>191958</v>
      </c>
      <c r="BO79" s="270">
        <v>187978</v>
      </c>
      <c r="BP79" s="270">
        <v>159251</v>
      </c>
      <c r="BQ79" s="270">
        <v>165747</v>
      </c>
      <c r="BR79" s="270">
        <v>174931</v>
      </c>
      <c r="BS79" s="270">
        <v>186023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0.74</v>
      </c>
      <c r="C82" s="72">
        <v>0.68</v>
      </c>
      <c r="D82" s="72">
        <v>0.26</v>
      </c>
      <c r="E82" s="72">
        <v>0.28000000000000003</v>
      </c>
      <c r="F82" s="72">
        <v>0.54</v>
      </c>
      <c r="G82" s="72">
        <v>0.75</v>
      </c>
      <c r="H82" s="72">
        <v>0.33</v>
      </c>
      <c r="I82" s="72">
        <v>0.25</v>
      </c>
      <c r="J82" s="72">
        <v>0.3</v>
      </c>
      <c r="K82" s="72">
        <v>0.36</v>
      </c>
      <c r="L82" s="72">
        <v>0.63</v>
      </c>
      <c r="M82" s="72">
        <v>0.61</v>
      </c>
      <c r="N82" s="72">
        <v>0.54</v>
      </c>
      <c r="O82" s="72">
        <v>0.7</v>
      </c>
      <c r="P82" s="72">
        <v>0.69</v>
      </c>
      <c r="Q82" s="72">
        <v>0.47</v>
      </c>
      <c r="R82" s="72">
        <v>0.65</v>
      </c>
      <c r="S82" s="72">
        <v>0.65</v>
      </c>
      <c r="T82" s="72">
        <v>0.41</v>
      </c>
      <c r="U82" s="72">
        <v>0.28000000000000003</v>
      </c>
      <c r="V82" s="72">
        <v>0.41</v>
      </c>
      <c r="W82" s="72">
        <v>0.65</v>
      </c>
      <c r="X82" s="72">
        <v>0.51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17.059999999999999</v>
      </c>
      <c r="C85" s="72">
        <v>15.82</v>
      </c>
      <c r="D85" s="72">
        <v>14.65</v>
      </c>
      <c r="E85" s="72">
        <v>14.95</v>
      </c>
      <c r="F85" s="72">
        <v>15.47</v>
      </c>
      <c r="G85" s="72">
        <v>13.73</v>
      </c>
      <c r="H85" s="72">
        <v>14.05</v>
      </c>
      <c r="I85" s="72">
        <v>14.3</v>
      </c>
      <c r="J85" s="72">
        <v>14.62</v>
      </c>
      <c r="K85" s="72">
        <v>12.95</v>
      </c>
      <c r="L85" s="72">
        <v>13.56</v>
      </c>
      <c r="M85" s="72">
        <v>14.22</v>
      </c>
      <c r="N85" s="72">
        <v>14.77</v>
      </c>
      <c r="O85" s="72">
        <v>13.46</v>
      </c>
      <c r="P85" s="72">
        <v>14.03</v>
      </c>
      <c r="Q85" s="72">
        <v>14.58</v>
      </c>
      <c r="R85" s="72">
        <v>15.19</v>
      </c>
      <c r="S85" s="72">
        <v>13.19</v>
      </c>
      <c r="T85" s="72">
        <v>14.72</v>
      </c>
      <c r="U85" s="72">
        <v>15.16</v>
      </c>
      <c r="V85" s="72">
        <v>15.53</v>
      </c>
      <c r="W85" s="72">
        <v>13.65</v>
      </c>
      <c r="X85" s="72">
        <v>14.32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692579</v>
      </c>
      <c r="C88" s="273">
        <v>646196</v>
      </c>
      <c r="D88" s="273">
        <v>475559</v>
      </c>
      <c r="E88" s="273">
        <v>434188</v>
      </c>
      <c r="F88" s="273">
        <v>538651</v>
      </c>
      <c r="G88" s="273">
        <v>717653</v>
      </c>
      <c r="H88" s="273">
        <v>486163</v>
      </c>
      <c r="I88" s="273">
        <v>407926</v>
      </c>
      <c r="J88" s="273">
        <v>376103</v>
      </c>
      <c r="K88" s="273">
        <v>526582</v>
      </c>
      <c r="L88" s="273">
        <v>605484</v>
      </c>
      <c r="M88" s="273">
        <v>565201</v>
      </c>
      <c r="N88" s="273">
        <v>524804</v>
      </c>
      <c r="O88" s="273">
        <v>650150</v>
      </c>
      <c r="P88" s="273">
        <v>589794</v>
      </c>
      <c r="Q88" s="273">
        <v>627151</v>
      </c>
      <c r="R88" s="273">
        <v>663268</v>
      </c>
      <c r="S88" s="273">
        <v>625265</v>
      </c>
      <c r="T88" s="273">
        <v>459590</v>
      </c>
      <c r="U88" s="273">
        <v>434702</v>
      </c>
      <c r="V88" s="273">
        <v>493156</v>
      </c>
      <c r="W88" s="273">
        <v>563248</v>
      </c>
      <c r="X88" s="273">
        <v>499929</v>
      </c>
    </row>
    <row r="89" spans="1:25" ht="14.25" thickBot="1" x14ac:dyDescent="0.3">
      <c r="A89" s="250" t="s">
        <v>4</v>
      </c>
      <c r="B89" s="275">
        <v>248849</v>
      </c>
      <c r="C89" s="275">
        <v>240584</v>
      </c>
      <c r="D89" s="275">
        <v>141803</v>
      </c>
      <c r="E89" s="275">
        <v>126978</v>
      </c>
      <c r="F89" s="275">
        <v>174973</v>
      </c>
      <c r="G89" s="275">
        <v>257215</v>
      </c>
      <c r="H89" s="275">
        <v>153584</v>
      </c>
      <c r="I89" s="275">
        <v>118278</v>
      </c>
      <c r="J89" s="275">
        <v>120152</v>
      </c>
      <c r="K89" s="275">
        <v>177726</v>
      </c>
      <c r="L89" s="275">
        <v>215241</v>
      </c>
      <c r="M89" s="275">
        <v>207856</v>
      </c>
      <c r="N89" s="275">
        <v>204777</v>
      </c>
      <c r="O89" s="275">
        <v>250743</v>
      </c>
      <c r="P89" s="275">
        <v>210983</v>
      </c>
      <c r="Q89" s="275">
        <v>229866</v>
      </c>
      <c r="R89" s="275">
        <v>260274</v>
      </c>
      <c r="S89" s="275">
        <v>243132</v>
      </c>
      <c r="T89" s="275">
        <v>162143</v>
      </c>
      <c r="U89" s="275">
        <v>143510</v>
      </c>
      <c r="V89" s="275">
        <v>170476</v>
      </c>
      <c r="W89" s="275">
        <v>197365</v>
      </c>
      <c r="X89" s="275">
        <v>168694</v>
      </c>
    </row>
    <row r="90" spans="1:25" ht="14.25" thickBot="1" x14ac:dyDescent="0.3">
      <c r="A90" s="251" t="s">
        <v>5</v>
      </c>
      <c r="B90" s="273">
        <v>201518</v>
      </c>
      <c r="C90" s="273">
        <v>192659</v>
      </c>
      <c r="D90" s="273">
        <v>95987</v>
      </c>
      <c r="E90" s="273">
        <v>78328</v>
      </c>
      <c r="F90" s="273">
        <v>134706</v>
      </c>
      <c r="G90" s="273">
        <v>212565</v>
      </c>
      <c r="H90" s="273">
        <v>106385</v>
      </c>
      <c r="I90" s="273">
        <v>67177</v>
      </c>
      <c r="J90" s="273">
        <v>75912</v>
      </c>
      <c r="K90" s="273">
        <v>130089</v>
      </c>
      <c r="L90" s="273">
        <v>167518</v>
      </c>
      <c r="M90" s="273">
        <v>150968</v>
      </c>
      <c r="N90" s="273">
        <v>154265</v>
      </c>
      <c r="O90" s="273">
        <v>196766</v>
      </c>
      <c r="P90" s="273">
        <v>155687</v>
      </c>
      <c r="Q90" s="273">
        <v>163982</v>
      </c>
      <c r="R90" s="273">
        <v>204792</v>
      </c>
      <c r="S90" s="273">
        <v>186473</v>
      </c>
      <c r="T90" s="273">
        <v>109368</v>
      </c>
      <c r="U90" s="273">
        <v>87439</v>
      </c>
      <c r="V90" s="273">
        <v>115521</v>
      </c>
      <c r="W90" s="273">
        <v>137543</v>
      </c>
      <c r="X90" s="273">
        <v>114550</v>
      </c>
    </row>
    <row r="91" spans="1:25" ht="14.25" thickBot="1" x14ac:dyDescent="0.3">
      <c r="A91" s="250" t="s">
        <v>6</v>
      </c>
      <c r="B91" s="275">
        <v>189753</v>
      </c>
      <c r="C91" s="275">
        <v>199819</v>
      </c>
      <c r="D91" s="275">
        <v>82819</v>
      </c>
      <c r="E91" s="275">
        <v>87209</v>
      </c>
      <c r="F91" s="275">
        <v>156172</v>
      </c>
      <c r="G91" s="275">
        <v>219676</v>
      </c>
      <c r="H91" s="275">
        <v>104517</v>
      </c>
      <c r="I91" s="275">
        <v>72401</v>
      </c>
      <c r="J91" s="275">
        <v>85297</v>
      </c>
      <c r="K91" s="275">
        <v>127194</v>
      </c>
      <c r="L91" s="275">
        <v>177651</v>
      </c>
      <c r="M91" s="275">
        <v>174478</v>
      </c>
      <c r="N91" s="275">
        <v>152654</v>
      </c>
      <c r="O91" s="275">
        <v>200728</v>
      </c>
      <c r="P91" s="275">
        <v>198286</v>
      </c>
      <c r="Q91" s="275">
        <v>139290</v>
      </c>
      <c r="R91" s="275">
        <v>193411</v>
      </c>
      <c r="S91" s="275">
        <v>193308</v>
      </c>
      <c r="T91" s="275">
        <v>94241</v>
      </c>
      <c r="U91" s="275">
        <v>77681</v>
      </c>
      <c r="V91" s="275">
        <v>89158</v>
      </c>
      <c r="W91" s="275">
        <v>141177</v>
      </c>
      <c r="X91" s="275">
        <v>115542</v>
      </c>
    </row>
    <row r="92" spans="1:25" ht="14.25" thickBot="1" x14ac:dyDescent="0.3">
      <c r="A92" s="251" t="s">
        <v>7</v>
      </c>
      <c r="B92" s="273">
        <v>163505</v>
      </c>
      <c r="C92" s="273">
        <v>165562</v>
      </c>
      <c r="D92" s="273">
        <v>64428</v>
      </c>
      <c r="E92" s="273">
        <v>68021</v>
      </c>
      <c r="F92" s="273">
        <v>132257</v>
      </c>
      <c r="G92" s="273">
        <v>186436</v>
      </c>
      <c r="H92" s="273">
        <v>79975</v>
      </c>
      <c r="I92" s="273">
        <v>62044</v>
      </c>
      <c r="J92" s="273">
        <v>74384</v>
      </c>
      <c r="K92" s="273">
        <v>87676</v>
      </c>
      <c r="L92" s="273">
        <v>155223</v>
      </c>
      <c r="M92" s="273">
        <v>151128</v>
      </c>
      <c r="N92" s="273">
        <v>133016</v>
      </c>
      <c r="O92" s="273">
        <v>172606</v>
      </c>
      <c r="P92" s="273">
        <v>170641</v>
      </c>
      <c r="Q92" s="273">
        <v>116394</v>
      </c>
      <c r="R92" s="273">
        <v>160359</v>
      </c>
      <c r="S92" s="273">
        <v>159243</v>
      </c>
      <c r="T92" s="273">
        <v>84958</v>
      </c>
      <c r="U92" s="273">
        <v>62547</v>
      </c>
      <c r="V92" s="273">
        <v>73989</v>
      </c>
      <c r="W92" s="273">
        <v>118447</v>
      </c>
      <c r="X92" s="273">
        <v>92682</v>
      </c>
    </row>
    <row r="93" spans="1:25" ht="26.25" thickBot="1" x14ac:dyDescent="0.3">
      <c r="A93" s="252" t="s">
        <v>8</v>
      </c>
      <c r="B93" s="276">
        <v>163505</v>
      </c>
      <c r="C93" s="276">
        <v>165562</v>
      </c>
      <c r="D93" s="276">
        <v>64428</v>
      </c>
      <c r="E93" s="276">
        <v>68021</v>
      </c>
      <c r="F93" s="276">
        <v>132257</v>
      </c>
      <c r="G93" s="276">
        <v>186436</v>
      </c>
      <c r="H93" s="276">
        <v>79975</v>
      </c>
      <c r="I93" s="276">
        <v>62044</v>
      </c>
      <c r="J93" s="276">
        <v>74384</v>
      </c>
      <c r="K93" s="276">
        <v>87676</v>
      </c>
      <c r="L93" s="276">
        <v>155223</v>
      </c>
      <c r="M93" s="276">
        <v>151128</v>
      </c>
      <c r="N93" s="276">
        <v>133016</v>
      </c>
      <c r="O93" s="276">
        <v>172606</v>
      </c>
      <c r="P93" s="276">
        <v>170641</v>
      </c>
      <c r="Q93" s="276">
        <v>116394</v>
      </c>
      <c r="R93" s="276">
        <v>160359</v>
      </c>
      <c r="S93" s="276">
        <v>159243</v>
      </c>
      <c r="T93" s="276">
        <v>84958</v>
      </c>
      <c r="U93" s="276">
        <v>62547</v>
      </c>
      <c r="V93" s="276">
        <v>73989</v>
      </c>
      <c r="W93" s="276">
        <v>118447</v>
      </c>
      <c r="X93" s="276">
        <v>92682</v>
      </c>
    </row>
    <row r="94" spans="1:25" x14ac:dyDescent="0.25">
      <c r="A94" s="233" t="s">
        <v>365</v>
      </c>
      <c r="B94" s="253">
        <f>IF(B91="","",B91-B90)</f>
        <v>-11765</v>
      </c>
      <c r="C94" s="253">
        <f>IF(C91="","",C91-C90)</f>
        <v>7160</v>
      </c>
      <c r="D94" s="253">
        <f t="shared" ref="D94:Y94" si="9">IF(D91="","",D91-D90)</f>
        <v>-13168</v>
      </c>
      <c r="E94" s="253">
        <f t="shared" si="9"/>
        <v>8881</v>
      </c>
      <c r="F94" s="253">
        <f t="shared" si="9"/>
        <v>21466</v>
      </c>
      <c r="G94" s="253">
        <f t="shared" si="9"/>
        <v>7111</v>
      </c>
      <c r="H94" s="253">
        <f t="shared" si="9"/>
        <v>-1868</v>
      </c>
      <c r="I94" s="253">
        <f t="shared" si="9"/>
        <v>5224</v>
      </c>
      <c r="J94" s="253">
        <f t="shared" si="9"/>
        <v>9385</v>
      </c>
      <c r="K94" s="253">
        <f t="shared" si="9"/>
        <v>-2895</v>
      </c>
      <c r="L94" s="253">
        <f t="shared" si="9"/>
        <v>10133</v>
      </c>
      <c r="M94" s="253">
        <f t="shared" si="9"/>
        <v>23510</v>
      </c>
      <c r="N94" s="253">
        <f t="shared" si="9"/>
        <v>-1611</v>
      </c>
      <c r="O94" s="253">
        <f t="shared" si="9"/>
        <v>3962</v>
      </c>
      <c r="P94" s="253">
        <f t="shared" si="9"/>
        <v>42599</v>
      </c>
      <c r="Q94" s="253">
        <f t="shared" si="9"/>
        <v>-24692</v>
      </c>
      <c r="R94" s="253">
        <f t="shared" si="9"/>
        <v>-11381</v>
      </c>
      <c r="S94" s="253">
        <f t="shared" si="9"/>
        <v>6835</v>
      </c>
      <c r="T94" s="253">
        <f t="shared" si="9"/>
        <v>-15127</v>
      </c>
      <c r="U94" s="253">
        <f t="shared" si="9"/>
        <v>-9758</v>
      </c>
      <c r="V94" s="253">
        <f t="shared" si="9"/>
        <v>-26363</v>
      </c>
      <c r="W94" s="253">
        <f t="shared" si="9"/>
        <v>3634</v>
      </c>
      <c r="X94" s="253">
        <f t="shared" si="9"/>
        <v>992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2248522</v>
      </c>
      <c r="C97" s="273">
        <v>2150393</v>
      </c>
      <c r="D97" s="273">
        <v>2073370</v>
      </c>
      <c r="E97" s="273">
        <v>2391899</v>
      </c>
      <c r="F97" s="273">
        <v>2182825</v>
      </c>
    </row>
    <row r="98" spans="1:24" ht="14.25" thickBot="1" x14ac:dyDescent="0.3">
      <c r="A98" s="225" t="s">
        <v>4</v>
      </c>
      <c r="B98" s="275">
        <v>758214</v>
      </c>
      <c r="C98" s="275">
        <v>704050</v>
      </c>
      <c r="D98" s="275">
        <v>720975</v>
      </c>
      <c r="E98" s="275">
        <v>896369</v>
      </c>
      <c r="F98" s="275">
        <v>809059</v>
      </c>
    </row>
    <row r="99" spans="1:24" ht="14.25" thickBot="1" x14ac:dyDescent="0.3">
      <c r="A99" s="224" t="s">
        <v>5</v>
      </c>
      <c r="B99" s="273">
        <v>568492</v>
      </c>
      <c r="C99" s="273">
        <v>520833</v>
      </c>
      <c r="D99" s="273">
        <v>524487</v>
      </c>
      <c r="E99" s="273">
        <v>670700</v>
      </c>
      <c r="F99" s="273">
        <v>588072</v>
      </c>
    </row>
    <row r="100" spans="1:24" ht="14.25" thickBot="1" x14ac:dyDescent="0.3">
      <c r="A100" s="225" t="s">
        <v>6</v>
      </c>
      <c r="B100" s="275">
        <v>559600</v>
      </c>
      <c r="C100" s="275">
        <v>552766</v>
      </c>
      <c r="D100" s="275">
        <v>564620</v>
      </c>
      <c r="E100" s="275">
        <v>690958</v>
      </c>
      <c r="F100" s="275">
        <v>558641</v>
      </c>
    </row>
    <row r="101" spans="1:24" ht="14.25" thickBot="1" x14ac:dyDescent="0.3">
      <c r="A101" s="224" t="s">
        <v>7</v>
      </c>
      <c r="B101" s="273">
        <v>461516</v>
      </c>
      <c r="C101" s="273">
        <v>460712</v>
      </c>
      <c r="D101" s="273">
        <v>468411</v>
      </c>
      <c r="E101" s="273">
        <v>592657</v>
      </c>
      <c r="F101" s="273">
        <v>467107</v>
      </c>
    </row>
    <row r="102" spans="1:24" ht="14.25" thickBot="1" x14ac:dyDescent="0.3">
      <c r="A102" s="227" t="s">
        <v>8</v>
      </c>
      <c r="B102" s="276">
        <v>461516</v>
      </c>
      <c r="C102" s="276">
        <v>460712</v>
      </c>
      <c r="D102" s="276">
        <v>468411</v>
      </c>
      <c r="E102" s="276">
        <v>592657</v>
      </c>
      <c r="F102" s="276">
        <v>467107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1203925</v>
      </c>
      <c r="C106" s="273">
        <v>1293733</v>
      </c>
      <c r="D106" s="273">
        <v>1107947</v>
      </c>
      <c r="E106" s="273">
        <v>1309352</v>
      </c>
      <c r="F106" s="273">
        <v>1494718</v>
      </c>
      <c r="G106" s="273">
        <v>1645935</v>
      </c>
      <c r="H106" s="273">
        <v>1130569</v>
      </c>
      <c r="I106" s="273">
        <v>1292480</v>
      </c>
      <c r="J106" s="273">
        <v>1317756</v>
      </c>
      <c r="K106" s="273">
        <v>1415849</v>
      </c>
      <c r="L106" s="273">
        <v>1072280</v>
      </c>
      <c r="M106" s="273">
        <v>1311584</v>
      </c>
      <c r="N106" s="273">
        <v>1446585</v>
      </c>
      <c r="O106" s="273">
        <v>1592471</v>
      </c>
      <c r="P106" s="273">
        <v>1394394</v>
      </c>
      <c r="Q106" s="273">
        <v>1528875</v>
      </c>
      <c r="R106" s="273">
        <v>1803959</v>
      </c>
      <c r="S106" s="273">
        <v>1827111</v>
      </c>
      <c r="T106" s="273">
        <v>1394067</v>
      </c>
      <c r="U106" s="273">
        <v>981833</v>
      </c>
      <c r="V106" s="273">
        <v>1049528</v>
      </c>
      <c r="W106" s="273">
        <v>1147426</v>
      </c>
      <c r="X106" s="273">
        <v>832968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569721</v>
      </c>
      <c r="C108" s="273">
        <v>575479</v>
      </c>
      <c r="D108" s="273">
        <v>335951</v>
      </c>
      <c r="E108" s="273">
        <v>339430</v>
      </c>
      <c r="F108" s="273">
        <v>374445</v>
      </c>
      <c r="G108" s="273">
        <v>465793</v>
      </c>
      <c r="H108" s="273">
        <v>324254</v>
      </c>
      <c r="I108" s="273">
        <v>256110</v>
      </c>
      <c r="J108" s="273">
        <v>269851</v>
      </c>
      <c r="K108" s="273">
        <v>346840</v>
      </c>
      <c r="L108" s="273">
        <v>395534</v>
      </c>
      <c r="M108" s="273">
        <v>374381</v>
      </c>
      <c r="N108" s="273">
        <v>364103</v>
      </c>
      <c r="O108" s="273">
        <v>453157</v>
      </c>
      <c r="P108" s="273">
        <v>381810</v>
      </c>
      <c r="Q108" s="273">
        <v>490714</v>
      </c>
      <c r="R108" s="273">
        <v>464233</v>
      </c>
      <c r="S108" s="273">
        <v>429287</v>
      </c>
      <c r="T108" s="273">
        <v>284086</v>
      </c>
      <c r="U108" s="273">
        <v>242323</v>
      </c>
      <c r="V108" s="273">
        <v>301922</v>
      </c>
      <c r="W108" s="273">
        <v>376653</v>
      </c>
      <c r="X108" s="273">
        <v>309755</v>
      </c>
    </row>
    <row r="109" spans="1:24" ht="14.25" thickBot="1" x14ac:dyDescent="0.3">
      <c r="A109" s="225" t="s">
        <v>264</v>
      </c>
      <c r="B109" s="275">
        <v>381038</v>
      </c>
      <c r="C109" s="275">
        <v>428073</v>
      </c>
      <c r="D109" s="275">
        <v>337609</v>
      </c>
      <c r="E109" s="275">
        <v>301933</v>
      </c>
      <c r="F109" s="275">
        <v>332560</v>
      </c>
      <c r="G109" s="275">
        <v>349050</v>
      </c>
      <c r="H109" s="275">
        <v>327589</v>
      </c>
      <c r="I109" s="275">
        <v>284826</v>
      </c>
      <c r="J109" s="275">
        <v>300110</v>
      </c>
      <c r="K109" s="275">
        <v>322433</v>
      </c>
      <c r="L109" s="275">
        <v>341075</v>
      </c>
      <c r="M109" s="275">
        <v>355570</v>
      </c>
      <c r="N109" s="275">
        <v>431464</v>
      </c>
      <c r="O109" s="275">
        <v>409110</v>
      </c>
      <c r="P109" s="275">
        <v>362304</v>
      </c>
      <c r="Q109" s="275">
        <v>366129</v>
      </c>
      <c r="R109" s="275">
        <v>400849</v>
      </c>
      <c r="S109" s="275">
        <v>402859</v>
      </c>
      <c r="T109" s="275">
        <v>372315</v>
      </c>
      <c r="U109" s="275">
        <v>372708</v>
      </c>
      <c r="V109" s="275">
        <v>387549</v>
      </c>
      <c r="W109" s="275">
        <v>366712</v>
      </c>
      <c r="X109" s="275">
        <v>360127</v>
      </c>
    </row>
    <row r="110" spans="1:24" ht="14.25" thickBot="1" x14ac:dyDescent="0.3">
      <c r="A110" s="224" t="s">
        <v>23</v>
      </c>
      <c r="B110" s="273">
        <v>90618</v>
      </c>
      <c r="C110" s="273">
        <v>71521</v>
      </c>
      <c r="D110" s="273">
        <v>58951</v>
      </c>
      <c r="E110" s="273">
        <v>45730</v>
      </c>
      <c r="F110" s="273">
        <v>44052</v>
      </c>
      <c r="G110" s="273">
        <v>34636</v>
      </c>
      <c r="H110" s="273">
        <v>39873</v>
      </c>
      <c r="I110" s="273">
        <v>36635</v>
      </c>
      <c r="J110" s="273">
        <v>44938</v>
      </c>
      <c r="K110" s="273">
        <v>33526</v>
      </c>
      <c r="L110" s="273">
        <v>39297</v>
      </c>
      <c r="M110" s="273">
        <v>35335</v>
      </c>
      <c r="N110" s="273">
        <v>48514</v>
      </c>
      <c r="O110" s="273">
        <v>36577</v>
      </c>
      <c r="P110" s="273">
        <v>38505</v>
      </c>
      <c r="Q110" s="273">
        <v>32246</v>
      </c>
      <c r="R110" s="273">
        <v>59227</v>
      </c>
      <c r="S110" s="273">
        <v>46378</v>
      </c>
      <c r="T110" s="273">
        <v>38452</v>
      </c>
      <c r="U110" s="273">
        <v>47261</v>
      </c>
      <c r="V110" s="273">
        <v>47036</v>
      </c>
      <c r="W110" s="273">
        <v>39630</v>
      </c>
      <c r="X110" s="273">
        <v>43545</v>
      </c>
    </row>
    <row r="111" spans="1:24" ht="14.25" thickBot="1" x14ac:dyDescent="0.3">
      <c r="A111" s="225" t="s">
        <v>24</v>
      </c>
      <c r="B111" s="275">
        <v>2245302</v>
      </c>
      <c r="C111" s="275">
        <v>2368806</v>
      </c>
      <c r="D111" s="275">
        <v>1840458</v>
      </c>
      <c r="E111" s="275">
        <v>1996445</v>
      </c>
      <c r="F111" s="275">
        <v>2245775</v>
      </c>
      <c r="G111" s="275">
        <v>2495414</v>
      </c>
      <c r="H111" s="275">
        <v>1822285</v>
      </c>
      <c r="I111" s="275">
        <v>1870051</v>
      </c>
      <c r="J111" s="275">
        <v>1932655</v>
      </c>
      <c r="K111" s="275">
        <v>2118648</v>
      </c>
      <c r="L111" s="275">
        <v>1848186</v>
      </c>
      <c r="M111" s="275">
        <v>2076870</v>
      </c>
      <c r="N111" s="275">
        <v>2290666</v>
      </c>
      <c r="O111" s="275">
        <v>2491315</v>
      </c>
      <c r="P111" s="275">
        <v>2177013</v>
      </c>
      <c r="Q111" s="275">
        <v>2417964</v>
      </c>
      <c r="R111" s="275">
        <v>2728268</v>
      </c>
      <c r="S111" s="275">
        <v>2705635</v>
      </c>
      <c r="T111" s="275">
        <v>2088920</v>
      </c>
      <c r="U111" s="275">
        <v>1644125</v>
      </c>
      <c r="V111" s="275">
        <v>1786035</v>
      </c>
      <c r="W111" s="275">
        <v>1930421</v>
      </c>
      <c r="X111" s="275">
        <v>1546395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273">
        <v>63776</v>
      </c>
      <c r="K112" s="273">
        <v>57568</v>
      </c>
      <c r="L112" s="273">
        <v>54176</v>
      </c>
      <c r="M112" s="273">
        <v>66400</v>
      </c>
      <c r="N112" s="273">
        <v>69088</v>
      </c>
      <c r="O112" s="273">
        <v>67168</v>
      </c>
      <c r="P112" s="273">
        <v>36896</v>
      </c>
      <c r="Q112" s="273">
        <v>29856</v>
      </c>
      <c r="R112" s="273">
        <v>21856</v>
      </c>
      <c r="S112" s="273">
        <v>9130</v>
      </c>
      <c r="T112" s="273">
        <v>5755</v>
      </c>
      <c r="U112" s="273">
        <v>5755</v>
      </c>
      <c r="V112" s="68">
        <v>334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2036796</v>
      </c>
      <c r="C113" s="275">
        <v>2055006</v>
      </c>
      <c r="D113" s="275">
        <v>2021697</v>
      </c>
      <c r="E113" s="275">
        <v>1999414</v>
      </c>
      <c r="F113" s="275">
        <v>1907463</v>
      </c>
      <c r="G113" s="275">
        <v>1869104</v>
      </c>
      <c r="H113" s="275">
        <v>1848336</v>
      </c>
      <c r="I113" s="275">
        <v>1850638</v>
      </c>
      <c r="J113" s="275">
        <v>1808704</v>
      </c>
      <c r="K113" s="275">
        <v>1765392</v>
      </c>
      <c r="L113" s="275">
        <v>1715940</v>
      </c>
      <c r="M113" s="275">
        <v>1773678</v>
      </c>
      <c r="N113" s="275">
        <v>1722126</v>
      </c>
      <c r="O113" s="275">
        <v>1685109</v>
      </c>
      <c r="P113" s="275">
        <v>1656377</v>
      </c>
      <c r="Q113" s="275">
        <v>1630601</v>
      </c>
      <c r="R113" s="275">
        <v>1579105</v>
      </c>
      <c r="S113" s="275">
        <v>1575291</v>
      </c>
      <c r="T113" s="275">
        <v>1525487</v>
      </c>
      <c r="U113" s="275">
        <v>1517969</v>
      </c>
      <c r="V113" s="275">
        <v>1523758</v>
      </c>
      <c r="W113" s="275">
        <v>1487713</v>
      </c>
      <c r="X113" s="275">
        <v>1452518</v>
      </c>
    </row>
    <row r="114" spans="1:24" ht="14.25" thickBot="1" x14ac:dyDescent="0.3">
      <c r="A114" s="224" t="s">
        <v>27</v>
      </c>
      <c r="B114" s="273">
        <v>47210</v>
      </c>
      <c r="C114" s="273">
        <v>47138</v>
      </c>
      <c r="D114" s="273">
        <v>47045</v>
      </c>
      <c r="E114" s="273">
        <v>47066</v>
      </c>
      <c r="F114" s="273">
        <v>119819</v>
      </c>
      <c r="G114" s="273">
        <v>118571</v>
      </c>
      <c r="H114" s="273">
        <v>159474</v>
      </c>
      <c r="I114" s="273">
        <v>178247</v>
      </c>
      <c r="J114" s="273">
        <v>165006</v>
      </c>
      <c r="K114" s="273">
        <v>138013</v>
      </c>
      <c r="L114" s="273">
        <v>138366</v>
      </c>
      <c r="M114" s="273">
        <v>29789</v>
      </c>
      <c r="N114" s="273">
        <v>37173</v>
      </c>
      <c r="O114" s="273">
        <v>26322</v>
      </c>
      <c r="P114" s="273">
        <v>24954</v>
      </c>
      <c r="Q114" s="273">
        <v>24673</v>
      </c>
      <c r="R114" s="273">
        <v>31180</v>
      </c>
      <c r="S114" s="273">
        <v>26282</v>
      </c>
      <c r="T114" s="273">
        <v>64297</v>
      </c>
      <c r="U114" s="273">
        <v>73588</v>
      </c>
      <c r="V114" s="273">
        <v>37898</v>
      </c>
      <c r="W114" s="273">
        <v>31388</v>
      </c>
      <c r="X114" s="273">
        <v>104585</v>
      </c>
    </row>
    <row r="115" spans="1:24" ht="14.25" thickBot="1" x14ac:dyDescent="0.3">
      <c r="A115" s="225" t="s">
        <v>265</v>
      </c>
      <c r="B115" s="276">
        <v>4329308</v>
      </c>
      <c r="C115" s="276">
        <v>4470950</v>
      </c>
      <c r="D115" s="276">
        <v>3909200</v>
      </c>
      <c r="E115" s="276">
        <v>4042925</v>
      </c>
      <c r="F115" s="276">
        <v>4273057</v>
      </c>
      <c r="G115" s="276">
        <v>4483089</v>
      </c>
      <c r="H115" s="276">
        <v>3830095</v>
      </c>
      <c r="I115" s="276">
        <v>3898936</v>
      </c>
      <c r="J115" s="276">
        <v>3970141</v>
      </c>
      <c r="K115" s="276">
        <v>4079621</v>
      </c>
      <c r="L115" s="276">
        <v>3756668</v>
      </c>
      <c r="M115" s="276">
        <v>3946737</v>
      </c>
      <c r="N115" s="276">
        <v>4119053</v>
      </c>
      <c r="O115" s="276">
        <v>4269914</v>
      </c>
      <c r="P115" s="276">
        <v>3895240</v>
      </c>
      <c r="Q115" s="276">
        <v>4103094</v>
      </c>
      <c r="R115" s="276">
        <v>4360409</v>
      </c>
      <c r="S115" s="276">
        <v>4316338</v>
      </c>
      <c r="T115" s="276">
        <v>3684459</v>
      </c>
      <c r="U115" s="276">
        <v>3241437</v>
      </c>
      <c r="V115" s="276">
        <v>3348025</v>
      </c>
      <c r="W115" s="276">
        <v>3449522</v>
      </c>
      <c r="X115" s="276">
        <v>3103498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324526</v>
      </c>
      <c r="C120" s="273">
        <v>293446</v>
      </c>
      <c r="D120" s="273">
        <v>134276</v>
      </c>
      <c r="E120" s="273">
        <v>165873</v>
      </c>
      <c r="F120" s="273">
        <v>260403</v>
      </c>
      <c r="G120" s="273">
        <v>312332</v>
      </c>
      <c r="H120" s="273">
        <v>187218</v>
      </c>
      <c r="I120" s="273">
        <v>171605</v>
      </c>
      <c r="J120" s="273">
        <v>172438</v>
      </c>
      <c r="K120" s="273">
        <v>249857</v>
      </c>
      <c r="L120" s="273">
        <v>279941</v>
      </c>
      <c r="M120" s="273">
        <v>269337</v>
      </c>
      <c r="N120" s="273">
        <v>272727</v>
      </c>
      <c r="O120" s="273">
        <v>256603</v>
      </c>
      <c r="P120" s="273">
        <v>232919</v>
      </c>
      <c r="Q120" s="273">
        <v>248099</v>
      </c>
      <c r="R120" s="273">
        <v>300813</v>
      </c>
      <c r="S120" s="273">
        <v>254607</v>
      </c>
      <c r="T120" s="273">
        <v>160188</v>
      </c>
      <c r="U120" s="273">
        <v>203959</v>
      </c>
      <c r="V120" s="273">
        <v>244242</v>
      </c>
      <c r="W120" s="273">
        <v>240869</v>
      </c>
      <c r="X120" s="273">
        <v>230720</v>
      </c>
    </row>
    <row r="121" spans="1:24" ht="14.25" thickBot="1" x14ac:dyDescent="0.3">
      <c r="A121" s="225" t="s">
        <v>267</v>
      </c>
      <c r="B121" s="275">
        <v>3410</v>
      </c>
      <c r="C121" s="275">
        <v>2980</v>
      </c>
      <c r="D121" s="275">
        <v>2980</v>
      </c>
      <c r="E121" s="275">
        <v>4011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195942</v>
      </c>
      <c r="C123" s="275">
        <v>639499</v>
      </c>
      <c r="D123" s="275">
        <v>170157</v>
      </c>
      <c r="E123" s="275">
        <v>188153</v>
      </c>
      <c r="F123" s="275">
        <v>198286</v>
      </c>
      <c r="G123" s="275">
        <v>786307</v>
      </c>
      <c r="H123" s="275">
        <v>178452</v>
      </c>
      <c r="I123" s="275">
        <v>202089</v>
      </c>
      <c r="J123" s="275">
        <v>193501</v>
      </c>
      <c r="K123" s="275">
        <v>637176</v>
      </c>
      <c r="L123" s="275">
        <v>132308</v>
      </c>
      <c r="M123" s="275">
        <v>171434</v>
      </c>
      <c r="N123" s="275">
        <v>204656</v>
      </c>
      <c r="O123" s="275">
        <v>694037</v>
      </c>
      <c r="P123" s="275">
        <v>202678</v>
      </c>
      <c r="Q123" s="275">
        <v>256999</v>
      </c>
      <c r="R123" s="275">
        <v>309241</v>
      </c>
      <c r="S123" s="275">
        <v>845818</v>
      </c>
      <c r="T123" s="275">
        <v>842157</v>
      </c>
      <c r="U123" s="275">
        <v>260347</v>
      </c>
      <c r="V123" s="275">
        <v>258995</v>
      </c>
      <c r="W123" s="275">
        <v>708290</v>
      </c>
      <c r="X123" s="275">
        <v>240783</v>
      </c>
    </row>
    <row r="124" spans="1:24" ht="14.25" thickBot="1" x14ac:dyDescent="0.3">
      <c r="A124" s="224" t="s">
        <v>268</v>
      </c>
      <c r="B124" s="273">
        <v>523878</v>
      </c>
      <c r="C124" s="273">
        <v>935925</v>
      </c>
      <c r="D124" s="273">
        <v>307413</v>
      </c>
      <c r="E124" s="273">
        <v>358037</v>
      </c>
      <c r="F124" s="273">
        <v>458689</v>
      </c>
      <c r="G124" s="273">
        <v>1098639</v>
      </c>
      <c r="H124" s="273">
        <v>365670</v>
      </c>
      <c r="I124" s="273">
        <v>373694</v>
      </c>
      <c r="J124" s="273">
        <v>365939</v>
      </c>
      <c r="K124" s="273">
        <v>887033</v>
      </c>
      <c r="L124" s="273">
        <v>412249</v>
      </c>
      <c r="M124" s="273">
        <v>440771</v>
      </c>
      <c r="N124" s="273">
        <v>477383</v>
      </c>
      <c r="O124" s="273">
        <v>950640</v>
      </c>
      <c r="P124" s="273">
        <v>435597</v>
      </c>
      <c r="Q124" s="273">
        <v>505098</v>
      </c>
      <c r="R124" s="273">
        <v>610054</v>
      </c>
      <c r="S124" s="273">
        <v>1100425</v>
      </c>
      <c r="T124" s="273">
        <v>1002345</v>
      </c>
      <c r="U124" s="273">
        <v>464306</v>
      </c>
      <c r="V124" s="273">
        <v>503237</v>
      </c>
      <c r="W124" s="273">
        <v>949159</v>
      </c>
      <c r="X124" s="273">
        <v>471503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4">
        <v>669</v>
      </c>
      <c r="G125" s="274">
        <v>668</v>
      </c>
      <c r="H125" s="274">
        <v>668</v>
      </c>
      <c r="I125" s="274">
        <v>473</v>
      </c>
      <c r="J125" s="274">
        <v>473</v>
      </c>
      <c r="K125" s="274">
        <v>473</v>
      </c>
      <c r="L125" s="274">
        <v>473</v>
      </c>
      <c r="M125" s="274">
        <v>167</v>
      </c>
      <c r="N125" s="274">
        <v>167</v>
      </c>
      <c r="O125" s="274">
        <v>167</v>
      </c>
      <c r="P125" s="274">
        <v>167</v>
      </c>
      <c r="Q125" s="275">
        <v>4175</v>
      </c>
      <c r="R125" s="275">
        <v>4175</v>
      </c>
      <c r="S125" s="275">
        <v>4175</v>
      </c>
      <c r="T125" s="275">
        <v>5146</v>
      </c>
      <c r="U125" s="275">
        <v>8891</v>
      </c>
      <c r="V125" s="275">
        <v>7980</v>
      </c>
      <c r="W125" s="275">
        <v>7707</v>
      </c>
      <c r="X125" s="275">
        <v>6527</v>
      </c>
    </row>
    <row r="126" spans="1:24" ht="14.25" thickBot="1" x14ac:dyDescent="0.3">
      <c r="A126" s="224" t="s">
        <v>33</v>
      </c>
      <c r="B126" s="68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523878</v>
      </c>
      <c r="C127" s="275">
        <v>935925</v>
      </c>
      <c r="D127" s="275">
        <v>307413</v>
      </c>
      <c r="E127" s="275">
        <v>358037</v>
      </c>
      <c r="F127" s="275">
        <v>459358</v>
      </c>
      <c r="G127" s="275">
        <v>1099307</v>
      </c>
      <c r="H127" s="275">
        <v>366338</v>
      </c>
      <c r="I127" s="275">
        <v>374167</v>
      </c>
      <c r="J127" s="275">
        <v>366412</v>
      </c>
      <c r="K127" s="275">
        <v>887506</v>
      </c>
      <c r="L127" s="275">
        <v>412722</v>
      </c>
      <c r="M127" s="275">
        <v>440938</v>
      </c>
      <c r="N127" s="275">
        <v>477550</v>
      </c>
      <c r="O127" s="275">
        <v>950807</v>
      </c>
      <c r="P127" s="275">
        <v>435764</v>
      </c>
      <c r="Q127" s="275">
        <v>509273</v>
      </c>
      <c r="R127" s="275">
        <v>614229</v>
      </c>
      <c r="S127" s="275">
        <v>1104600</v>
      </c>
      <c r="T127" s="275">
        <v>1007491</v>
      </c>
      <c r="U127" s="275">
        <v>473197</v>
      </c>
      <c r="V127" s="275">
        <v>511217</v>
      </c>
      <c r="W127" s="275">
        <v>956866</v>
      </c>
      <c r="X127" s="275">
        <v>478030</v>
      </c>
    </row>
    <row r="128" spans="1:24" ht="14.25" thickBot="1" x14ac:dyDescent="0.3">
      <c r="A128" s="224" t="s">
        <v>34</v>
      </c>
      <c r="B128" s="273">
        <v>3805430</v>
      </c>
      <c r="C128" s="273">
        <v>3535025</v>
      </c>
      <c r="D128" s="273">
        <v>3601787</v>
      </c>
      <c r="E128" s="273">
        <v>3684888</v>
      </c>
      <c r="F128" s="273">
        <v>3813699</v>
      </c>
      <c r="G128" s="273">
        <v>3383782</v>
      </c>
      <c r="H128" s="273">
        <v>3463757</v>
      </c>
      <c r="I128" s="273">
        <v>3524769</v>
      </c>
      <c r="J128" s="273">
        <v>3603729</v>
      </c>
      <c r="K128" s="273">
        <v>3192115</v>
      </c>
      <c r="L128" s="273">
        <v>3343946</v>
      </c>
      <c r="M128" s="273">
        <v>3505799</v>
      </c>
      <c r="N128" s="273">
        <v>3641503</v>
      </c>
      <c r="O128" s="273">
        <v>3319107</v>
      </c>
      <c r="P128" s="273">
        <v>3459476</v>
      </c>
      <c r="Q128" s="273">
        <v>3593821</v>
      </c>
      <c r="R128" s="273">
        <v>3746180</v>
      </c>
      <c r="S128" s="273">
        <v>3211738</v>
      </c>
      <c r="T128" s="273">
        <v>2676968</v>
      </c>
      <c r="U128" s="273">
        <v>2768240</v>
      </c>
      <c r="V128" s="273">
        <v>2836808</v>
      </c>
      <c r="W128" s="273">
        <v>2492656</v>
      </c>
      <c r="X128" s="273">
        <v>2625468</v>
      </c>
    </row>
    <row r="129" spans="1:24" ht="14.25" thickBot="1" x14ac:dyDescent="0.3">
      <c r="A129" s="225" t="s">
        <v>35</v>
      </c>
      <c r="B129" s="276">
        <v>4329308</v>
      </c>
      <c r="C129" s="276">
        <v>4470950</v>
      </c>
      <c r="D129" s="276">
        <v>3909200</v>
      </c>
      <c r="E129" s="276">
        <v>4042925</v>
      </c>
      <c r="F129" s="276">
        <v>4273057</v>
      </c>
      <c r="G129" s="276">
        <v>4483089</v>
      </c>
      <c r="H129" s="276">
        <v>3830095</v>
      </c>
      <c r="I129" s="276">
        <v>3898936</v>
      </c>
      <c r="J129" s="276">
        <v>3970141</v>
      </c>
      <c r="K129" s="276">
        <v>4079621</v>
      </c>
      <c r="L129" s="276">
        <v>3756668</v>
      </c>
      <c r="M129" s="276">
        <v>3946737</v>
      </c>
      <c r="N129" s="276">
        <v>4119053</v>
      </c>
      <c r="O129" s="276">
        <v>4269914</v>
      </c>
      <c r="P129" s="276">
        <v>3895240</v>
      </c>
      <c r="Q129" s="276">
        <v>4103094</v>
      </c>
      <c r="R129" s="276">
        <v>4360409</v>
      </c>
      <c r="S129" s="276">
        <v>4316338</v>
      </c>
      <c r="T129" s="276">
        <v>3684459</v>
      </c>
      <c r="U129" s="276">
        <v>3241437</v>
      </c>
      <c r="V129" s="276">
        <v>3348025</v>
      </c>
      <c r="W129" s="276">
        <v>3449522</v>
      </c>
      <c r="X129" s="276">
        <v>3103498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3.46</v>
      </c>
      <c r="C132" s="68">
        <v>3.31</v>
      </c>
      <c r="D132" s="68">
        <v>2.41</v>
      </c>
      <c r="E132" s="68">
        <v>3.07</v>
      </c>
      <c r="F132" s="68">
        <v>3.87</v>
      </c>
    </row>
    <row r="133" spans="1:24" ht="14.25" thickBot="1" x14ac:dyDescent="0.3">
      <c r="A133" s="225" t="s">
        <v>37</v>
      </c>
      <c r="B133" s="274">
        <v>-1.1499999999999999</v>
      </c>
      <c r="C133" s="274">
        <v>-0.89</v>
      </c>
      <c r="D133" s="274">
        <v>-0.35</v>
      </c>
      <c r="E133" s="274">
        <v>-0.22</v>
      </c>
      <c r="F133" s="274">
        <v>-0.51</v>
      </c>
    </row>
    <row r="134" spans="1:24" ht="14.25" thickBot="1" x14ac:dyDescent="0.3">
      <c r="A134" s="224" t="s">
        <v>38</v>
      </c>
      <c r="B134" s="68">
        <v>-1.5</v>
      </c>
      <c r="C134" s="68">
        <v>-2.48</v>
      </c>
      <c r="D134" s="68">
        <v>-1.99</v>
      </c>
      <c r="E134" s="68">
        <v>-1.99</v>
      </c>
      <c r="F134" s="68">
        <v>-5.85</v>
      </c>
    </row>
    <row r="135" spans="1:24" ht="14.25" thickBot="1" x14ac:dyDescent="0.3">
      <c r="A135" s="225" t="s">
        <v>270</v>
      </c>
      <c r="B135" s="274">
        <v>2.31</v>
      </c>
      <c r="C135" s="274">
        <v>2.41</v>
      </c>
      <c r="D135" s="274">
        <v>2.0499999999999998</v>
      </c>
      <c r="E135" s="274">
        <v>2.85</v>
      </c>
      <c r="F135" s="274">
        <v>3.36</v>
      </c>
    </row>
    <row r="136" spans="1:24" ht="14.25" thickBot="1" x14ac:dyDescent="0.3">
      <c r="A136" s="229" t="s">
        <v>39</v>
      </c>
      <c r="B136" s="72">
        <v>0.81</v>
      </c>
      <c r="C136" s="72">
        <v>-7.0000000000000007E-2</v>
      </c>
      <c r="D136" s="72">
        <v>0.06</v>
      </c>
      <c r="E136" s="72">
        <v>0.86</v>
      </c>
      <c r="F136" s="72">
        <v>-2.4900000000000002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2.5</v>
      </c>
      <c r="C140" s="68">
        <v>2</v>
      </c>
      <c r="D140" s="68">
        <v>2</v>
      </c>
      <c r="E140" s="68">
        <v>2.1800000000000002</v>
      </c>
      <c r="F140" s="68">
        <v>2.5299999999999998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1.2755102040816326</v>
      </c>
      <c r="C142" s="234">
        <f>IF(C140&lt;&gt;"無",IF(ISNA(HLOOKUP(C139,$B$64:$F$69,6,FALSE)),"",C140/HLOOKUP(C139,$B$64:$F$69,6,FALSE)),"")</f>
        <v>1.0695187165775399</v>
      </c>
      <c r="D142" s="234">
        <f>IF(D140&lt;&gt;"無",IF(ISNA(HLOOKUP(D139,$B$64:$F$69,6,FALSE)),"",D140/HLOOKUP(D139,$B$64:$F$69,6,FALSE)),"")</f>
        <v>1.0526315789473684</v>
      </c>
      <c r="E142" s="234">
        <f>IF(E140&lt;&gt;"無",IF(ISNA(HLOOKUP(E139,$B$64:$F$69,6,FALSE)),"",E140/HLOOKUP(E139,$B$64:$F$69,6,FALSE)),"")</f>
        <v>0.90833333333333344</v>
      </c>
      <c r="F142" s="234">
        <f>IF(F140&lt;&gt;"無",IF(ISNA(HLOOKUP(F139,$B$64:$F$69,6,FALSE)),"",F140/HLOOKUP(F139,$B$64:$F$69,6,FALSE)),"")</f>
        <v>1.2713567839195978</v>
      </c>
    </row>
    <row r="143" spans="1:24" x14ac:dyDescent="0.25">
      <c r="A143" s="233" t="s">
        <v>216</v>
      </c>
      <c r="B143" s="234">
        <f>IF(OR(B140=0,B140="無"),"",B135/B140)</f>
        <v>0.92400000000000004</v>
      </c>
      <c r="C143" s="234">
        <f>IF(OR(C140=0,C140="無"),"",C135/C140)</f>
        <v>1.2050000000000001</v>
      </c>
      <c r="D143" s="234">
        <f>IF(OR(D140=0,D140="無"),"",D135/D140)</f>
        <v>1.0249999999999999</v>
      </c>
      <c r="E143" s="234">
        <f>IF(OR(E140=0,E140="無"),"",E135/E140)</f>
        <v>1.3073394495412844</v>
      </c>
      <c r="F143" s="234">
        <f>IF(OR(F140=0,F140="無"),"",F135/F140)</f>
        <v>1.3280632411067195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35.93</v>
      </c>
      <c r="C146" s="68">
        <v>37.229999999999997</v>
      </c>
      <c r="D146" s="68">
        <v>29.82</v>
      </c>
      <c r="E146" s="68">
        <v>29.24</v>
      </c>
      <c r="F146" s="68">
        <v>32.479999999999997</v>
      </c>
      <c r="G146" s="68">
        <v>35.840000000000003</v>
      </c>
      <c r="H146" s="68">
        <v>31.59</v>
      </c>
      <c r="I146" s="68">
        <v>28.99</v>
      </c>
      <c r="J146" s="68">
        <v>31.95</v>
      </c>
      <c r="K146" s="68">
        <v>33.75</v>
      </c>
      <c r="L146" s="68">
        <v>35.549999999999997</v>
      </c>
      <c r="M146" s="68">
        <v>36.78</v>
      </c>
      <c r="N146" s="68">
        <v>39.020000000000003</v>
      </c>
      <c r="O146" s="68">
        <v>38.57</v>
      </c>
      <c r="P146" s="68">
        <v>35.770000000000003</v>
      </c>
      <c r="Q146" s="68">
        <v>36.65</v>
      </c>
      <c r="R146" s="68">
        <v>39.24</v>
      </c>
      <c r="S146" s="68">
        <v>38.880000000000003</v>
      </c>
      <c r="T146" s="68">
        <v>35.28</v>
      </c>
      <c r="U146" s="68">
        <v>33.01</v>
      </c>
      <c r="V146" s="68">
        <v>34.57</v>
      </c>
      <c r="W146" s="68">
        <v>35.04</v>
      </c>
      <c r="X146" s="68">
        <v>33.74</v>
      </c>
    </row>
    <row r="147" spans="1:24" s="93" customFormat="1" ht="14.25" thickBot="1" x14ac:dyDescent="0.3">
      <c r="A147" s="225" t="s">
        <v>19</v>
      </c>
      <c r="B147" s="274">
        <v>29.1</v>
      </c>
      <c r="C147" s="274">
        <v>29.81</v>
      </c>
      <c r="D147" s="274">
        <v>20.18</v>
      </c>
      <c r="E147" s="274">
        <v>18.04</v>
      </c>
      <c r="F147" s="274">
        <v>25.01</v>
      </c>
      <c r="G147" s="274">
        <v>29.62</v>
      </c>
      <c r="H147" s="274">
        <v>21.88</v>
      </c>
      <c r="I147" s="274">
        <v>16.47</v>
      </c>
      <c r="J147" s="274">
        <v>20.18</v>
      </c>
      <c r="K147" s="274">
        <v>24.7</v>
      </c>
      <c r="L147" s="274">
        <v>27.67</v>
      </c>
      <c r="M147" s="274">
        <v>26.71</v>
      </c>
      <c r="N147" s="274">
        <v>29.39</v>
      </c>
      <c r="O147" s="274">
        <v>30.26</v>
      </c>
      <c r="P147" s="274">
        <v>26.4</v>
      </c>
      <c r="Q147" s="274">
        <v>26.15</v>
      </c>
      <c r="R147" s="274">
        <v>30.88</v>
      </c>
      <c r="S147" s="274">
        <v>29.82</v>
      </c>
      <c r="T147" s="274">
        <v>23.8</v>
      </c>
      <c r="U147" s="274">
        <v>20.11</v>
      </c>
      <c r="V147" s="274">
        <v>23.42</v>
      </c>
      <c r="W147" s="274">
        <v>24.42</v>
      </c>
      <c r="X147" s="274">
        <v>22.91</v>
      </c>
    </row>
    <row r="148" spans="1:24" s="93" customFormat="1" ht="14.25" thickBot="1" x14ac:dyDescent="0.3">
      <c r="A148" s="224" t="s">
        <v>41</v>
      </c>
      <c r="B148" s="68">
        <v>27.4</v>
      </c>
      <c r="C148" s="68">
        <v>30.92</v>
      </c>
      <c r="D148" s="68">
        <v>17.420000000000002</v>
      </c>
      <c r="E148" s="68">
        <v>20.09</v>
      </c>
      <c r="F148" s="68">
        <v>28.99</v>
      </c>
      <c r="G148" s="68">
        <v>30.61</v>
      </c>
      <c r="H148" s="68">
        <v>21.5</v>
      </c>
      <c r="I148" s="68">
        <v>17.75</v>
      </c>
      <c r="J148" s="68">
        <v>22.68</v>
      </c>
      <c r="K148" s="68">
        <v>24.15</v>
      </c>
      <c r="L148" s="68">
        <v>29.34</v>
      </c>
      <c r="M148" s="68">
        <v>30.87</v>
      </c>
      <c r="N148" s="68">
        <v>29.09</v>
      </c>
      <c r="O148" s="68">
        <v>30.87</v>
      </c>
      <c r="P148" s="68">
        <v>33.619999999999997</v>
      </c>
      <c r="Q148" s="68">
        <v>22.21</v>
      </c>
      <c r="R148" s="68">
        <v>29.16</v>
      </c>
      <c r="S148" s="68">
        <v>30.92</v>
      </c>
      <c r="T148" s="68">
        <v>20.51</v>
      </c>
      <c r="U148" s="68">
        <v>17.87</v>
      </c>
      <c r="V148" s="68">
        <v>18.079999999999998</v>
      </c>
      <c r="W148" s="68">
        <v>25.06</v>
      </c>
      <c r="X148" s="68">
        <v>23.11</v>
      </c>
    </row>
    <row r="149" spans="1:24" s="93" customFormat="1" ht="14.25" thickBot="1" x14ac:dyDescent="0.3">
      <c r="A149" s="225" t="s">
        <v>13</v>
      </c>
      <c r="B149" s="73">
        <v>23.61</v>
      </c>
      <c r="C149" s="73">
        <v>25.62</v>
      </c>
      <c r="D149" s="73">
        <v>13.55</v>
      </c>
      <c r="E149" s="73">
        <v>15.67</v>
      </c>
      <c r="F149" s="73">
        <v>24.55</v>
      </c>
      <c r="G149" s="73">
        <v>25.98</v>
      </c>
      <c r="H149" s="73">
        <v>16.45</v>
      </c>
      <c r="I149" s="73">
        <v>15.21</v>
      </c>
      <c r="J149" s="73">
        <v>19.78</v>
      </c>
      <c r="K149" s="73">
        <v>16.649999999999999</v>
      </c>
      <c r="L149" s="73">
        <v>25.64</v>
      </c>
      <c r="M149" s="73">
        <v>26.74</v>
      </c>
      <c r="N149" s="73">
        <v>25.35</v>
      </c>
      <c r="O149" s="73">
        <v>26.55</v>
      </c>
      <c r="P149" s="73">
        <v>28.93</v>
      </c>
      <c r="Q149" s="73">
        <v>18.559999999999999</v>
      </c>
      <c r="R149" s="73">
        <v>24.18</v>
      </c>
      <c r="S149" s="73">
        <v>25.47</v>
      </c>
      <c r="T149" s="73">
        <v>18.489999999999998</v>
      </c>
      <c r="U149" s="73">
        <v>14.39</v>
      </c>
      <c r="V149" s="73">
        <v>15</v>
      </c>
      <c r="W149" s="73">
        <v>21.03</v>
      </c>
      <c r="X149" s="73">
        <v>18.54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33.72</v>
      </c>
      <c r="C152" s="68">
        <v>32.74</v>
      </c>
      <c r="D152" s="68">
        <v>34.770000000000003</v>
      </c>
      <c r="E152" s="68">
        <v>37.479999999999997</v>
      </c>
      <c r="F152" s="68">
        <v>37.06</v>
      </c>
    </row>
    <row r="153" spans="1:24" s="93" customFormat="1" ht="14.25" thickBot="1" x14ac:dyDescent="0.3">
      <c r="A153" s="225" t="s">
        <v>19</v>
      </c>
      <c r="B153" s="274">
        <v>25.28</v>
      </c>
      <c r="C153" s="274">
        <v>24.22</v>
      </c>
      <c r="D153" s="274">
        <v>25.3</v>
      </c>
      <c r="E153" s="274">
        <v>28.04</v>
      </c>
      <c r="F153" s="274">
        <v>26.94</v>
      </c>
    </row>
    <row r="154" spans="1:24" s="93" customFormat="1" ht="14.25" thickBot="1" x14ac:dyDescent="0.3">
      <c r="A154" s="224" t="s">
        <v>41</v>
      </c>
      <c r="B154" s="68">
        <v>24.89</v>
      </c>
      <c r="C154" s="68">
        <v>25.71</v>
      </c>
      <c r="D154" s="68">
        <v>27.23</v>
      </c>
      <c r="E154" s="68">
        <v>28.89</v>
      </c>
      <c r="F154" s="68">
        <v>25.59</v>
      </c>
    </row>
    <row r="155" spans="1:24" s="93" customFormat="1" ht="14.25" thickBot="1" x14ac:dyDescent="0.3">
      <c r="A155" s="225" t="s">
        <v>13</v>
      </c>
      <c r="B155" s="73">
        <v>20.53</v>
      </c>
      <c r="C155" s="73">
        <v>21.42</v>
      </c>
      <c r="D155" s="73">
        <v>22.59</v>
      </c>
      <c r="E155" s="73">
        <v>24.78</v>
      </c>
      <c r="F155" s="73">
        <v>21.4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3.92</v>
      </c>
      <c r="C158" s="68">
        <v>3.76</v>
      </c>
      <c r="D158" s="68">
        <v>1.54</v>
      </c>
      <c r="E158" s="68">
        <v>1.71</v>
      </c>
      <c r="F158" s="68">
        <v>3.18</v>
      </c>
      <c r="G158" s="68">
        <v>4.26</v>
      </c>
      <c r="H158" s="68">
        <v>1.92</v>
      </c>
      <c r="I158" s="68">
        <v>1.61</v>
      </c>
      <c r="J158" s="68">
        <v>1.89</v>
      </c>
      <c r="K158" s="68">
        <v>2.1800000000000002</v>
      </c>
      <c r="L158" s="68">
        <v>3.96</v>
      </c>
      <c r="M158" s="68">
        <v>3.92</v>
      </c>
      <c r="N158" s="68">
        <v>3.3</v>
      </c>
      <c r="O158" s="68">
        <v>4.12</v>
      </c>
      <c r="P158" s="68">
        <v>4.18</v>
      </c>
      <c r="Q158" s="68">
        <v>2.91</v>
      </c>
      <c r="R158" s="68">
        <v>3.79</v>
      </c>
      <c r="S158" s="68">
        <v>3.67</v>
      </c>
      <c r="T158" s="68">
        <v>2.12</v>
      </c>
      <c r="U158" s="68">
        <v>1.81</v>
      </c>
      <c r="V158" s="68">
        <v>2.25</v>
      </c>
      <c r="W158" s="68">
        <v>3.49</v>
      </c>
      <c r="X158" s="68">
        <v>2.83</v>
      </c>
    </row>
    <row r="159" spans="1:24" s="93" customFormat="1" ht="14.25" thickBot="1" x14ac:dyDescent="0.3">
      <c r="A159" s="225" t="s">
        <v>45</v>
      </c>
      <c r="B159" s="73">
        <v>4.5</v>
      </c>
      <c r="C159" s="73">
        <v>4.51</v>
      </c>
      <c r="D159" s="73">
        <v>1.81</v>
      </c>
      <c r="E159" s="73">
        <v>1.87</v>
      </c>
      <c r="F159" s="73">
        <v>3.53</v>
      </c>
      <c r="G159" s="73">
        <v>5.18</v>
      </c>
      <c r="H159" s="73">
        <v>2.34</v>
      </c>
      <c r="I159" s="73">
        <v>1.78</v>
      </c>
      <c r="J159" s="73">
        <v>2.09</v>
      </c>
      <c r="K159" s="73">
        <v>2.58</v>
      </c>
      <c r="L159" s="73">
        <v>4.75</v>
      </c>
      <c r="M159" s="73">
        <v>4.41</v>
      </c>
      <c r="N159" s="73">
        <v>3.72</v>
      </c>
      <c r="O159" s="73">
        <v>4.96</v>
      </c>
      <c r="P159" s="73">
        <v>5.03</v>
      </c>
      <c r="Q159" s="73">
        <v>3.3</v>
      </c>
      <c r="R159" s="73">
        <v>4.37</v>
      </c>
      <c r="S159" s="73">
        <v>4.58</v>
      </c>
      <c r="T159" s="73">
        <v>2.89</v>
      </c>
      <c r="U159" s="73">
        <v>2.2999999999999998</v>
      </c>
      <c r="V159" s="73">
        <v>2.64</v>
      </c>
      <c r="W159" s="73">
        <v>4.45</v>
      </c>
      <c r="X159" s="73">
        <v>3.62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20.53</v>
      </c>
      <c r="C162" s="68">
        <v>21.42</v>
      </c>
      <c r="D162" s="68">
        <v>22.59</v>
      </c>
      <c r="E162" s="68">
        <v>24.78</v>
      </c>
      <c r="F162" s="68">
        <v>21.4</v>
      </c>
    </row>
    <row r="163" spans="1:72" s="93" customFormat="1" ht="14.25" thickBot="1" x14ac:dyDescent="0.3">
      <c r="A163" s="225" t="s">
        <v>18</v>
      </c>
      <c r="B163" s="274">
        <v>0.56000000000000005</v>
      </c>
      <c r="C163" s="274">
        <v>0.55000000000000004</v>
      </c>
      <c r="D163" s="274">
        <v>0.53</v>
      </c>
      <c r="E163" s="274">
        <v>0.57999999999999996</v>
      </c>
      <c r="F163" s="274">
        <v>0.67</v>
      </c>
    </row>
    <row r="164" spans="1:72" s="93" customFormat="1" ht="14.25" thickBot="1" x14ac:dyDescent="0.3">
      <c r="A164" s="224" t="s">
        <v>15</v>
      </c>
      <c r="B164" s="68">
        <v>1.1000000000000001</v>
      </c>
      <c r="C164" s="68">
        <v>1.1100000000000001</v>
      </c>
      <c r="D164" s="68">
        <v>1.1299999999999999</v>
      </c>
      <c r="E164" s="68">
        <v>1.1399999999999999</v>
      </c>
      <c r="F164" s="68">
        <v>1.17</v>
      </c>
    </row>
    <row r="165" spans="1:72" s="93" customFormat="1" ht="14.25" thickBot="1" x14ac:dyDescent="0.3">
      <c r="A165" s="225" t="s">
        <v>45</v>
      </c>
      <c r="B165" s="73">
        <v>12.91</v>
      </c>
      <c r="C165" s="73">
        <v>12.78</v>
      </c>
      <c r="D165" s="73">
        <v>13.33</v>
      </c>
      <c r="E165" s="73">
        <v>16.7</v>
      </c>
      <c r="F165" s="73">
        <v>14.68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64.290000000000006</v>
      </c>
      <c r="C168" s="68">
        <v>79.650000000000006</v>
      </c>
      <c r="D168" s="68">
        <v>86.54</v>
      </c>
      <c r="E168" s="68">
        <v>69.77</v>
      </c>
      <c r="F168" s="68">
        <v>59.6</v>
      </c>
      <c r="G168" s="68">
        <v>52.63</v>
      </c>
      <c r="H168" s="68">
        <v>73.17</v>
      </c>
      <c r="I168" s="68">
        <v>63.83</v>
      </c>
      <c r="J168" s="68">
        <v>62.94</v>
      </c>
      <c r="K168" s="68">
        <v>52.63</v>
      </c>
      <c r="L168" s="68">
        <v>55.21</v>
      </c>
      <c r="M168" s="68">
        <v>61.22</v>
      </c>
      <c r="N168" s="68">
        <v>63.38</v>
      </c>
      <c r="O168" s="68">
        <v>56.6</v>
      </c>
      <c r="P168" s="68">
        <v>63.83</v>
      </c>
      <c r="Q168" s="68">
        <v>62.5</v>
      </c>
      <c r="R168" s="68">
        <v>64.75</v>
      </c>
      <c r="S168" s="68">
        <v>64.290000000000006</v>
      </c>
      <c r="T168" s="68">
        <v>69.77</v>
      </c>
      <c r="U168" s="68">
        <v>54.55</v>
      </c>
      <c r="V168" s="68">
        <v>49.72</v>
      </c>
      <c r="W168" s="68">
        <v>54.22</v>
      </c>
      <c r="X168" s="68">
        <v>61.64</v>
      </c>
    </row>
    <row r="169" spans="1:72" s="93" customFormat="1" ht="14.25" thickBot="1" x14ac:dyDescent="0.3">
      <c r="A169" s="225" t="s">
        <v>17</v>
      </c>
      <c r="B169" s="274">
        <v>76.27</v>
      </c>
      <c r="C169" s="274">
        <v>90</v>
      </c>
      <c r="D169" s="274">
        <v>103.45</v>
      </c>
      <c r="E169" s="274">
        <v>93.75</v>
      </c>
      <c r="F169" s="274">
        <v>78.260000000000005</v>
      </c>
      <c r="G169" s="274">
        <v>66.67</v>
      </c>
      <c r="H169" s="274">
        <v>91.84</v>
      </c>
      <c r="I169" s="274">
        <v>94.74</v>
      </c>
      <c r="J169" s="274">
        <v>102.27</v>
      </c>
      <c r="K169" s="274">
        <v>80.36</v>
      </c>
      <c r="L169" s="274">
        <v>76.27</v>
      </c>
      <c r="M169" s="274">
        <v>87.38</v>
      </c>
      <c r="N169" s="274">
        <v>111.11</v>
      </c>
      <c r="O169" s="274">
        <v>94.74</v>
      </c>
      <c r="P169" s="274">
        <v>91.84</v>
      </c>
      <c r="Q169" s="274">
        <v>82.57</v>
      </c>
      <c r="R169" s="274">
        <v>85.71</v>
      </c>
      <c r="S169" s="274">
        <v>94.74</v>
      </c>
      <c r="T169" s="274">
        <v>116.88</v>
      </c>
      <c r="U169" s="274">
        <v>115.38</v>
      </c>
      <c r="V169" s="274">
        <v>105.88</v>
      </c>
      <c r="W169" s="274">
        <v>92.78</v>
      </c>
      <c r="X169" s="274">
        <v>98.9</v>
      </c>
    </row>
    <row r="170" spans="1:72" s="93" customFormat="1" ht="14.25" thickBot="1" x14ac:dyDescent="0.3">
      <c r="A170" s="224" t="s">
        <v>42</v>
      </c>
      <c r="B170" s="72">
        <v>140.56</v>
      </c>
      <c r="C170" s="72">
        <v>169.65</v>
      </c>
      <c r="D170" s="72">
        <v>189.99</v>
      </c>
      <c r="E170" s="72">
        <v>163.52000000000001</v>
      </c>
      <c r="F170" s="72">
        <v>137.86000000000001</v>
      </c>
      <c r="G170" s="72">
        <v>119.3</v>
      </c>
      <c r="H170" s="72">
        <v>165.01</v>
      </c>
      <c r="I170" s="72">
        <v>158.57</v>
      </c>
      <c r="J170" s="72">
        <v>165.21</v>
      </c>
      <c r="K170" s="72">
        <v>132.99</v>
      </c>
      <c r="L170" s="72">
        <v>131.49</v>
      </c>
      <c r="M170" s="72">
        <v>148.6</v>
      </c>
      <c r="N170" s="72">
        <v>174.49</v>
      </c>
      <c r="O170" s="72">
        <v>151.34</v>
      </c>
      <c r="P170" s="72">
        <v>155.66999999999999</v>
      </c>
      <c r="Q170" s="72">
        <v>145.07</v>
      </c>
      <c r="R170" s="72">
        <v>150.46</v>
      </c>
      <c r="S170" s="72">
        <v>159.02000000000001</v>
      </c>
      <c r="T170" s="72">
        <v>186.65</v>
      </c>
      <c r="U170" s="72">
        <v>169.93</v>
      </c>
      <c r="V170" s="72">
        <v>155.61000000000001</v>
      </c>
      <c r="W170" s="72">
        <v>147</v>
      </c>
      <c r="X170" s="72">
        <v>160.54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182.38</v>
      </c>
      <c r="C173" s="72">
        <v>178.11</v>
      </c>
      <c r="D173" s="72">
        <v>127.33</v>
      </c>
      <c r="E173" s="72">
        <v>128.44999999999999</v>
      </c>
      <c r="F173" s="72">
        <v>182.38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16.95</v>
      </c>
      <c r="C176" s="72">
        <v>21.28</v>
      </c>
      <c r="D176" s="72">
        <v>23.57</v>
      </c>
      <c r="E176" s="72">
        <v>21.91</v>
      </c>
      <c r="F176" s="72">
        <v>20.7</v>
      </c>
      <c r="G176" s="72">
        <v>18.88</v>
      </c>
      <c r="H176" s="72">
        <v>20.100000000000001</v>
      </c>
      <c r="I176" s="72">
        <v>17.940000000000001</v>
      </c>
      <c r="J176" s="72">
        <v>17.47</v>
      </c>
      <c r="K176" s="72">
        <v>14.61</v>
      </c>
      <c r="L176" s="72">
        <v>15.58</v>
      </c>
      <c r="M176" s="72">
        <v>16.89</v>
      </c>
      <c r="N176" s="72">
        <v>17.649999999999999</v>
      </c>
      <c r="O176" s="72">
        <v>16.5</v>
      </c>
      <c r="P176" s="72">
        <v>16.07</v>
      </c>
      <c r="Q176" s="72">
        <v>18.190000000000001</v>
      </c>
      <c r="R176" s="72">
        <v>20.76</v>
      </c>
      <c r="S176" s="72">
        <v>21.19</v>
      </c>
      <c r="T176" s="72">
        <v>19.22</v>
      </c>
      <c r="U176" s="72">
        <v>18.23</v>
      </c>
      <c r="V176" s="72">
        <v>17.28</v>
      </c>
      <c r="W176" s="72">
        <v>16.739999999999998</v>
      </c>
      <c r="X176" s="72">
        <v>14.32</v>
      </c>
      <c r="Y176" s="72">
        <v>14.8</v>
      </c>
      <c r="Z176" s="72">
        <v>15.55</v>
      </c>
      <c r="AA176" s="72">
        <v>15.05</v>
      </c>
      <c r="AB176" s="72">
        <v>15.88</v>
      </c>
      <c r="AC176" s="72">
        <v>16.28</v>
      </c>
      <c r="AD176" s="72">
        <v>20.2</v>
      </c>
      <c r="AE176" s="72">
        <v>20.59</v>
      </c>
      <c r="AF176" s="72">
        <v>19.170000000000002</v>
      </c>
      <c r="AG176" s="72">
        <v>24.29</v>
      </c>
      <c r="AH176" s="72">
        <v>25.68</v>
      </c>
      <c r="AI176" s="72">
        <v>22.11</v>
      </c>
      <c r="AJ176" s="72">
        <v>18.010000000000002</v>
      </c>
      <c r="AK176" s="72">
        <v>18.399999999999999</v>
      </c>
      <c r="AL176" s="72">
        <v>20.7</v>
      </c>
      <c r="AM176" s="72">
        <v>21.34</v>
      </c>
      <c r="AN176" s="72">
        <v>20.04</v>
      </c>
      <c r="AO176" s="72">
        <v>19.89</v>
      </c>
      <c r="AP176" s="72">
        <v>18.47</v>
      </c>
      <c r="AQ176" s="72">
        <v>21.4</v>
      </c>
      <c r="AR176" s="72">
        <v>22.1</v>
      </c>
      <c r="AS176" s="72">
        <v>15.42</v>
      </c>
      <c r="AT176" s="72">
        <v>15.65</v>
      </c>
      <c r="AU176" s="72">
        <v>16.13</v>
      </c>
      <c r="AV176" s="72">
        <v>14.87</v>
      </c>
      <c r="AW176" s="72">
        <v>17.940000000000001</v>
      </c>
      <c r="AX176" s="72">
        <v>18.809999999999999</v>
      </c>
      <c r="AY176" s="72">
        <v>20.04</v>
      </c>
      <c r="AZ176" s="72">
        <v>22.47</v>
      </c>
      <c r="BA176" s="72">
        <v>21.32</v>
      </c>
      <c r="BB176" s="72">
        <v>18.88</v>
      </c>
      <c r="BC176" s="72">
        <v>19.670000000000002</v>
      </c>
      <c r="BD176" s="72">
        <v>16.96</v>
      </c>
      <c r="BE176" s="72">
        <v>16.510000000000002</v>
      </c>
      <c r="BF176" s="72">
        <v>17.41</v>
      </c>
      <c r="BG176" s="72">
        <v>18.75</v>
      </c>
      <c r="BH176" s="72">
        <v>17.29</v>
      </c>
      <c r="BI176" s="72">
        <v>18.989999999999998</v>
      </c>
      <c r="BJ176" s="72">
        <v>19.420000000000002</v>
      </c>
      <c r="BK176" s="72">
        <v>22.77</v>
      </c>
      <c r="BL176" s="72">
        <v>27.03</v>
      </c>
      <c r="BM176" s="72">
        <v>26.17</v>
      </c>
      <c r="BN176" s="72">
        <v>26.8</v>
      </c>
      <c r="BO176" s="72">
        <v>28.74</v>
      </c>
      <c r="BP176" s="72">
        <v>34.19</v>
      </c>
      <c r="BQ176" s="72">
        <v>34.520000000000003</v>
      </c>
      <c r="BR176" s="72">
        <v>31.91</v>
      </c>
      <c r="BS176" s="72">
        <v>34.409999999999997</v>
      </c>
      <c r="BT176" s="72">
        <v>49.5</v>
      </c>
    </row>
  </sheetData>
  <phoneticPr fontId="3" type="noConversion"/>
  <conditionalFormatting sqref="E4">
    <cfRule type="cellIs" dxfId="5396" priority="101" operator="greaterThan">
      <formula>0.2</formula>
    </cfRule>
    <cfRule type="cellIs" dxfId="5395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5394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393" priority="95" operator="greaterThan">
      <formula>$B$19</formula>
    </cfRule>
  </conditionalFormatting>
  <conditionalFormatting sqref="D33:D34">
    <cfRule type="cellIs" dxfId="5392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5391" priority="89" operator="lessThan">
      <formula>$H$62</formula>
    </cfRule>
    <cfRule type="cellIs" dxfId="5390" priority="90" operator="greaterThan">
      <formula>$H$62</formula>
    </cfRule>
  </conditionalFormatting>
  <conditionalFormatting sqref="J62">
    <cfRule type="cellIs" dxfId="5389" priority="87" operator="lessThan">
      <formula>$K$62</formula>
    </cfRule>
    <cfRule type="cellIs" dxfId="5388" priority="88" operator="greaterThan">
      <formula>$K$62</formula>
    </cfRule>
  </conditionalFormatting>
  <conditionalFormatting sqref="M62">
    <cfRule type="cellIs" dxfId="5387" priority="85" operator="lessThan">
      <formula>$N$62</formula>
    </cfRule>
    <cfRule type="cellIs" dxfId="5386" priority="86" operator="greaterThan">
      <formula>$N$62</formula>
    </cfRule>
  </conditionalFormatting>
  <conditionalFormatting sqref="B44:E44">
    <cfRule type="cellIs" dxfId="5385" priority="83" operator="greaterThan">
      <formula>0</formula>
    </cfRule>
    <cfRule type="cellIs" dxfId="5384" priority="84" operator="lessThan">
      <formula>0</formula>
    </cfRule>
  </conditionalFormatting>
  <conditionalFormatting sqref="F72">
    <cfRule type="cellIs" dxfId="5383" priority="82" operator="lessThan">
      <formula>$E$72*90%</formula>
    </cfRule>
  </conditionalFormatting>
  <conditionalFormatting sqref="F73">
    <cfRule type="cellIs" dxfId="5382" priority="81" operator="lessThan">
      <formula>$E$73*90%</formula>
    </cfRule>
  </conditionalFormatting>
  <conditionalFormatting sqref="F74">
    <cfRule type="cellIs" dxfId="5381" priority="80" operator="lessThan">
      <formula>$E$74*90%</formula>
    </cfRule>
  </conditionalFormatting>
  <conditionalFormatting sqref="F75">
    <cfRule type="cellIs" dxfId="5380" priority="79" operator="lessThan">
      <formula>$E$75*90%</formula>
    </cfRule>
  </conditionalFormatting>
  <conditionalFormatting sqref="H44:K44">
    <cfRule type="cellIs" dxfId="5379" priority="77" operator="greaterThan">
      <formula>0</formula>
    </cfRule>
    <cfRule type="cellIs" dxfId="5378" priority="78" operator="lessThan">
      <formula>0</formula>
    </cfRule>
  </conditionalFormatting>
  <conditionalFormatting sqref="H51:K51">
    <cfRule type="cellIs" dxfId="5377" priority="75" operator="greaterThan">
      <formula>0</formula>
    </cfRule>
    <cfRule type="cellIs" dxfId="5376" priority="76" operator="lessThan">
      <formula>0</formula>
    </cfRule>
  </conditionalFormatting>
  <conditionalFormatting sqref="B51:E51">
    <cfRule type="cellIs" dxfId="5375" priority="73" operator="greaterThan">
      <formula>0</formula>
    </cfRule>
    <cfRule type="cellIs" dxfId="5374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373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372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5371" priority="56" operator="lessThan">
      <formula>0</formula>
    </cfRule>
  </conditionalFormatting>
  <conditionalFormatting sqref="A25 E25 C25">
    <cfRule type="cellIs" dxfId="5370" priority="57" operator="lessThan">
      <formula>0</formula>
    </cfRule>
  </conditionalFormatting>
  <conditionalFormatting sqref="F25">
    <cfRule type="cellIs" dxfId="5369" priority="55" operator="lessThan">
      <formula>0</formula>
    </cfRule>
  </conditionalFormatting>
  <conditionalFormatting sqref="E1">
    <cfRule type="containsText" dxfId="5368" priority="54" operator="containsText" text="本季業外損益/平均=-">
      <formula>NOT(ISERROR(SEARCH("本季業外損益/平均=-",E1)))</formula>
    </cfRule>
  </conditionalFormatting>
  <conditionalFormatting sqref="M65">
    <cfRule type="cellIs" dxfId="5367" priority="53" operator="lessThan">
      <formula>$L$65*90%</formula>
    </cfRule>
  </conditionalFormatting>
  <conditionalFormatting sqref="M66">
    <cfRule type="cellIs" dxfId="5366" priority="52" operator="lessThan">
      <formula>$L$66*90%</formula>
    </cfRule>
  </conditionalFormatting>
  <conditionalFormatting sqref="M67">
    <cfRule type="cellIs" dxfId="5365" priority="51" operator="lessThan">
      <formula>$L$67*90%</formula>
    </cfRule>
  </conditionalFormatting>
  <conditionalFormatting sqref="M68">
    <cfRule type="cellIs" dxfId="5364" priority="50" operator="lessThan">
      <formula>$L$68*90%</formula>
    </cfRule>
  </conditionalFormatting>
  <conditionalFormatting sqref="B60">
    <cfRule type="cellIs" dxfId="5363" priority="49" operator="lessThan">
      <formula>0</formula>
    </cfRule>
  </conditionalFormatting>
  <conditionalFormatting sqref="B59:F59">
    <cfRule type="cellIs" dxfId="5362" priority="48" operator="lessThanOrEqual">
      <formula>0</formula>
    </cfRule>
  </conditionalFormatting>
  <conditionalFormatting sqref="D62">
    <cfRule type="cellIs" dxfId="5361" priority="46" operator="lessThan">
      <formula>$E$62</formula>
    </cfRule>
    <cfRule type="cellIs" dxfId="5360" priority="47" operator="greaterThan">
      <formula>$E$62</formula>
    </cfRule>
  </conditionalFormatting>
  <conditionalFormatting sqref="F69">
    <cfRule type="cellIs" dxfId="5359" priority="44" operator="lessThan">
      <formula>0</formula>
    </cfRule>
  </conditionalFormatting>
  <conditionalFormatting sqref="B65:E67 B69:E69 B68:D68">
    <cfRule type="cellIs" dxfId="5358" priority="45" operator="lessThan">
      <formula>0</formula>
    </cfRule>
  </conditionalFormatting>
  <conditionalFormatting sqref="E68">
    <cfRule type="cellIs" dxfId="5357" priority="43" operator="lessThan">
      <formula>0</formula>
    </cfRule>
  </conditionalFormatting>
  <conditionalFormatting sqref="F65:F68">
    <cfRule type="cellIs" dxfId="5356" priority="42" operator="lessThan">
      <formula>0</formula>
    </cfRule>
  </conditionalFormatting>
  <conditionalFormatting sqref="F65:F68">
    <cfRule type="cellIs" dxfId="5355" priority="41" operator="lessThan">
      <formula>$E$65*0.9</formula>
    </cfRule>
  </conditionalFormatting>
  <conditionalFormatting sqref="F66">
    <cfRule type="cellIs" dxfId="5354" priority="40" operator="lessThan">
      <formula>$E$66*0.9</formula>
    </cfRule>
  </conditionalFormatting>
  <conditionalFormatting sqref="F67:F68">
    <cfRule type="cellIs" dxfId="5353" priority="39" operator="lessThan">
      <formula>$E$67*0.9</formula>
    </cfRule>
  </conditionalFormatting>
  <conditionalFormatting sqref="F68">
    <cfRule type="cellIs" dxfId="5352" priority="38" operator="lessThan">
      <formula>$E$68*0.9</formula>
    </cfRule>
  </conditionalFormatting>
  <conditionalFormatting sqref="B13:F13">
    <cfRule type="cellIs" dxfId="5351" priority="27" operator="greaterThan">
      <formula>$I$16</formula>
    </cfRule>
    <cfRule type="cellIs" dxfId="5350" priority="28" operator="lessThanOrEqual">
      <formula>$I$16</formula>
    </cfRule>
  </conditionalFormatting>
  <conditionalFormatting sqref="B10:F10">
    <cfRule type="cellIs" dxfId="5349" priority="29" operator="greaterThan">
      <formula>15</formula>
    </cfRule>
    <cfRule type="cellIs" dxfId="5348" priority="36" operator="lessThan">
      <formula>$I$9</formula>
    </cfRule>
    <cfRule type="cellIs" dxfId="5347" priority="37" operator="greaterThan">
      <formula>$I$9</formula>
    </cfRule>
  </conditionalFormatting>
  <conditionalFormatting sqref="B16:F16">
    <cfRule type="cellIs" dxfId="5346" priority="34" operator="greaterThan">
      <formula>$I$16</formula>
    </cfRule>
    <cfRule type="cellIs" dxfId="5345" priority="35" operator="lessThanOrEqual">
      <formula>$I$16</formula>
    </cfRule>
  </conditionalFormatting>
  <conditionalFormatting sqref="B15:F15">
    <cfRule type="cellIs" dxfId="5344" priority="32" operator="lessThanOrEqual">
      <formula>$I$16</formula>
    </cfRule>
    <cfRule type="cellIs" dxfId="5343" priority="33" operator="greaterThan">
      <formula>$I$16</formula>
    </cfRule>
  </conditionalFormatting>
  <conditionalFormatting sqref="B14:F14">
    <cfRule type="cellIs" dxfId="5342" priority="30" operator="greaterThan">
      <formula>$I$16</formula>
    </cfRule>
    <cfRule type="cellIs" dxfId="5341" priority="31" operator="lessThanOrEqual">
      <formula>$I$16</formula>
    </cfRule>
  </conditionalFormatting>
  <conditionalFormatting sqref="K6">
    <cfRule type="containsText" dxfId="5340" priority="25" operator="containsText" text="衰退">
      <formula>NOT(ISERROR(SEARCH("衰退",K6)))</formula>
    </cfRule>
    <cfRule type="containsText" dxfId="5339" priority="26" operator="containsText" text="成長">
      <formula>NOT(ISERROR(SEARCH("成長",K6)))</formula>
    </cfRule>
  </conditionalFormatting>
  <conditionalFormatting sqref="I4:K4">
    <cfRule type="cellIs" dxfId="5338" priority="23" operator="lessThan">
      <formula>0</formula>
    </cfRule>
    <cfRule type="cellIs" dxfId="5337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336" priority="20" operator="lessThanOrEqual">
      <formula>$I$16</formula>
    </cfRule>
    <cfRule type="cellIs" dxfId="5335" priority="21" operator="greaterThan">
      <formula>$I$16</formula>
    </cfRule>
  </conditionalFormatting>
  <conditionalFormatting sqref="I6">
    <cfRule type="containsText" dxfId="5334" priority="18" operator="containsText" text="衰退">
      <formula>NOT(ISERROR(SEARCH("衰退",I6)))</formula>
    </cfRule>
    <cfRule type="containsText" dxfId="5333" priority="19" operator="containsText" text="成長">
      <formula>NOT(ISERROR(SEARCH("成長",I6)))</formula>
    </cfRule>
  </conditionalFormatting>
  <conditionalFormatting sqref="M9">
    <cfRule type="cellIs" dxfId="5332" priority="17" operator="lessThan">
      <formula>$I$9</formula>
    </cfRule>
  </conditionalFormatting>
  <conditionalFormatting sqref="M10">
    <cfRule type="cellIs" dxfId="5331" priority="16" operator="greaterThan">
      <formula>$I$9</formula>
    </cfRule>
  </conditionalFormatting>
  <conditionalFormatting sqref="M11">
    <cfRule type="cellIs" dxfId="5330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329" priority="12" operator="lessThan">
      <formula>0</formula>
    </cfRule>
    <cfRule type="cellIs" dxfId="5328" priority="13" operator="greaterThan">
      <formula>0.5</formula>
    </cfRule>
  </conditionalFormatting>
  <conditionalFormatting sqref="N14">
    <cfRule type="cellIs" dxfId="5327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326" priority="8" operator="lessThan">
      <formula>0.1</formula>
    </cfRule>
  </conditionalFormatting>
  <conditionalFormatting sqref="I14">
    <cfRule type="cellIs" dxfId="5325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324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323" priority="1" operator="lessThan">
      <formula>$N$5*0.9</formula>
    </cfRule>
    <cfRule type="cellIs" dxfId="5322" priority="2" operator="greaterThan">
      <formula>$N$5*1.1</formula>
    </cfRule>
  </conditionalFormatting>
  <hyperlinks>
    <hyperlink ref="L1" location="儀表板!A1" display="(回首頁)" xr:uid="{00000000-0004-0000-2000-000000000000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14.43 ~ 46.43</v>
      </c>
      <c r="L1" s="83" t="s">
        <v>176</v>
      </c>
      <c r="M1" s="84" t="str">
        <f ca="1">VLOOKUP(_xlfn.NUMBERVALUE(N1),儀表板!A:B,2,FALSE)</f>
        <v>可成科技</v>
      </c>
      <c r="N1" s="85" t="str">
        <f ca="1">MID(CELL("filename",L1),FIND("]",CELL("filename",L1))+1,255)</f>
        <v>2474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0.32357868101833903</v>
      </c>
    </row>
    <row r="3" spans="1:15" s="93" customFormat="1" x14ac:dyDescent="0.25">
      <c r="A3" s="81" t="s">
        <v>179</v>
      </c>
      <c r="B3" s="94">
        <f>SUM(F19:F22,F24:F27,J19)</f>
        <v>71.347298589367369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300.30164669494081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336.58871787687542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369.88919883807478</v>
      </c>
      <c r="L3" s="100"/>
      <c r="M3" s="79" t="s">
        <v>385</v>
      </c>
      <c r="N3" s="92">
        <f>(F69-E69)/E69</f>
        <v>4.1000854258477194E-2</v>
      </c>
    </row>
    <row r="4" spans="1:15" s="93" customFormat="1" x14ac:dyDescent="0.25">
      <c r="A4" s="81" t="s">
        <v>182</v>
      </c>
      <c r="B4" s="96">
        <f>SUM(G36:G40)*2</f>
        <v>78</v>
      </c>
      <c r="C4" s="101"/>
      <c r="D4" s="102">
        <f>F4*(1+F141/10)</f>
        <v>77</v>
      </c>
      <c r="E4" s="82">
        <f>(D4-F4)/F4</f>
        <v>0</v>
      </c>
      <c r="F4" s="103">
        <v>77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29.751804414707276</v>
      </c>
    </row>
    <row r="5" spans="1:15" s="93" customFormat="1" x14ac:dyDescent="0.25">
      <c r="A5" s="81" t="s">
        <v>184</v>
      </c>
      <c r="B5" s="107">
        <f>SUM(F30:F34)*2</f>
        <v>95.802500242271535</v>
      </c>
      <c r="C5" s="87"/>
      <c r="D5" s="87"/>
      <c r="E5" s="87"/>
      <c r="F5" s="86"/>
      <c r="G5" s="88"/>
      <c r="M5" s="79" t="s">
        <v>375</v>
      </c>
      <c r="N5" s="152">
        <f>D62</f>
        <v>29.979999999999997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連2季成長</v>
      </c>
      <c r="L6" s="112"/>
      <c r="M6" s="79" t="s">
        <v>190</v>
      </c>
      <c r="N6" s="152">
        <f>A53</f>
        <v>36.942561601100209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17.18</v>
      </c>
      <c r="N9" s="129"/>
    </row>
    <row r="10" spans="1:15" s="93" customFormat="1" x14ac:dyDescent="0.25">
      <c r="A10" s="123" t="s">
        <v>194</v>
      </c>
      <c r="B10" s="126">
        <f>PERCENTILE(176:176,B9)</f>
        <v>8.93</v>
      </c>
      <c r="C10" s="126">
        <f>PERCENTILE(176:176,C9)</f>
        <v>10.055</v>
      </c>
      <c r="D10" s="126">
        <f>PERCENTILE(176:176,D9)</f>
        <v>11.27</v>
      </c>
      <c r="E10" s="126">
        <f>PERCENTILE(176:176,E9)</f>
        <v>12.385</v>
      </c>
      <c r="F10" s="126">
        <f>PERCENTILE(176:176,F9)</f>
        <v>13.85</v>
      </c>
      <c r="G10" s="95"/>
      <c r="H10" s="135"/>
      <c r="I10" s="135"/>
      <c r="J10" s="135"/>
      <c r="K10" s="135"/>
      <c r="L10" s="136" t="s">
        <v>374</v>
      </c>
      <c r="M10" s="130">
        <f>MIN(176:176)</f>
        <v>7.08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162.68</v>
      </c>
      <c r="L11" s="272" t="s">
        <v>193</v>
      </c>
      <c r="M11" s="128">
        <f>STDEV(176:176)</f>
        <v>2.6485585465013695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108.5434173669468</v>
      </c>
      <c r="C13" s="141">
        <f>$B$34/5.88%</f>
        <v>131.80272108843539</v>
      </c>
      <c r="D13" s="141">
        <f>$B$34/5%</f>
        <v>155</v>
      </c>
      <c r="E13" s="141">
        <f>$B$34/4.35%</f>
        <v>178.16091954022988</v>
      </c>
      <c r="F13" s="141">
        <f>$B$34/3.85%</f>
        <v>201.2987012987013</v>
      </c>
      <c r="G13" s="138" t="str">
        <f>"$"&amp;ROUND(B34,2)&amp;"/"&amp;IF(STDEV(C140:F140)/AVERAGE(C140:F140)&lt;15%,"高",IF(STDEV(C140:F140)/AVERAGE(C140:F140)&lt;30%,"中","低"))</f>
        <v>$7.75/低</v>
      </c>
      <c r="H13" s="142" t="s">
        <v>199</v>
      </c>
      <c r="I13" s="143">
        <f>MAX(0,1-J15)</f>
        <v>0.6501049685094471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230.37167499999998</v>
      </c>
      <c r="C14" s="141">
        <f>$B$33*C10</f>
        <v>259.39386250000001</v>
      </c>
      <c r="D14" s="141">
        <f>$B$33*D10</f>
        <v>290.73782499999999</v>
      </c>
      <c r="E14" s="141">
        <f>$B$33*E10</f>
        <v>319.50203749999997</v>
      </c>
      <c r="F14" s="141">
        <f>$B$33*F10</f>
        <v>357.29537499999998</v>
      </c>
      <c r="G14" s="138" t="str">
        <f>"$"&amp;ROUND(B33,2)&amp;"/"&amp;IF(STDEV(B69:E69)/AVERAGE(B69:E69)&lt;15%,"高",IF(STDEV(B69:E69)/AVERAGE(B69:E69)&lt;30%,"中","低"))</f>
        <v>$25.8/中</v>
      </c>
      <c r="H14" s="142" t="s">
        <v>203</v>
      </c>
      <c r="I14" s="145">
        <f>G62/100*I13</f>
        <v>0.12618537438768368</v>
      </c>
      <c r="J14" s="76" t="s">
        <v>204</v>
      </c>
      <c r="K14" s="146"/>
      <c r="L14" s="147">
        <f>(HLOOKUP($C$1,$105:$106,2,FALSE)-HLOOKUP($C$1,$117:$127,9,FALSE))/(HLOOKUP($C$1,$117:$128,12,FALSE)/K11)</f>
        <v>18.792961113862983</v>
      </c>
      <c r="M14" s="148">
        <f>E135/E69</f>
        <v>0.64065780265920225</v>
      </c>
      <c r="N14" s="149">
        <f>F173/100</f>
        <v>1.2004000000000001</v>
      </c>
    </row>
    <row r="15" spans="1:15" s="93" customFormat="1" x14ac:dyDescent="0.25">
      <c r="A15" s="140" t="s">
        <v>375</v>
      </c>
      <c r="B15" s="141">
        <f>$D$62*B10</f>
        <v>267.72139999999996</v>
      </c>
      <c r="C15" s="141">
        <f>$D$62*C10</f>
        <v>301.44889999999998</v>
      </c>
      <c r="D15" s="141">
        <f>$D$62*D10</f>
        <v>337.87459999999993</v>
      </c>
      <c r="E15" s="141">
        <f>$D$62*E10</f>
        <v>371.30229999999995</v>
      </c>
      <c r="F15" s="141">
        <f>$D$62*F10</f>
        <v>415.22299999999996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0.34989503149055284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265.683613423336</v>
      </c>
      <c r="C16" s="141">
        <f>$F$69*C10</f>
        <v>299.15439338988165</v>
      </c>
      <c r="D16" s="141">
        <f>$F$69*D10</f>
        <v>335.30283575375097</v>
      </c>
      <c r="E16" s="141">
        <f>$F$69*E10</f>
        <v>368.47609767614961</v>
      </c>
      <c r="F16" s="141">
        <f>$F$69*F10</f>
        <v>412.06249114369575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6862</v>
      </c>
      <c r="J17" s="92">
        <f ca="1">IF(I17&lt;=0,"",IF(I17&lt;=MIN($B$13:$F$16),(I17-MIN($B$13:$F$16))/MIN($B$13:$F$16),IF(I17&gt;=MAX($B$13:$F$16),I17/MAX($B$13:$F$16),PERCENTRANK($B$13:$F$16,I17))))</f>
        <v>16.526059490924155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-1.4600000000000009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6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15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-0.18838709677419366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0.32542534236747539</v>
      </c>
      <c r="J20" s="171">
        <f>HLOOKUP($C$1,$117:$127,11,FALSE)/HLOOKUP($C$1,$105:$115,11,FALSE)</f>
        <v>0.37710464557923934</v>
      </c>
      <c r="K20" s="163"/>
    </row>
    <row r="21" spans="1:14" s="93" customFormat="1" x14ac:dyDescent="0.25">
      <c r="A21" s="151" t="s">
        <v>201</v>
      </c>
      <c r="B21" s="161">
        <f>AVERAGE(C173:F173)/100</f>
        <v>1.371175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1.9632073343848733</v>
      </c>
      <c r="J21" s="78"/>
      <c r="K21" s="164" t="s">
        <v>356</v>
      </c>
      <c r="L21" s="165">
        <f>HLOOKUP($C$1,$105:$115,7,FALSE)/HLOOKUP($C$1,$105:$115,11,FALSE)</f>
        <v>0.70267822214267839</v>
      </c>
      <c r="M21" s="123" t="s">
        <v>268</v>
      </c>
      <c r="N21" s="165">
        <f>HLOOKUP($C$1,$117:$127,8,FALSE)/HLOOKUP($C$1,$117:$127,11,FALSE)</f>
        <v>0.9491359939380215</v>
      </c>
    </row>
    <row r="22" spans="1:14" s="93" customFormat="1" x14ac:dyDescent="0.25">
      <c r="A22" s="140" t="s">
        <v>222</v>
      </c>
      <c r="B22" s="161">
        <f>(-1)*SUM(C133:F133)/SUM(C132:F132)</f>
        <v>1.0417799399055658</v>
      </c>
      <c r="C22" s="157"/>
      <c r="D22" s="166"/>
      <c r="E22" s="140"/>
      <c r="F22" s="159">
        <f>IF(B22&lt;=0,10,IF(B22&gt;=100%,0,(1-B22)*10))</f>
        <v>0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1.8374743423112776</v>
      </c>
      <c r="J22" s="78"/>
      <c r="K22" s="142" t="s">
        <v>357</v>
      </c>
      <c r="L22" s="165">
        <f>HLOOKUP($C$1,$105:$115,4,FALSE)/HLOOKUP($C$1,$105:$115,11,FALSE)</f>
        <v>0.1456140789437067</v>
      </c>
      <c r="M22" s="123" t="s">
        <v>353</v>
      </c>
      <c r="N22" s="165">
        <f>HLOOKUP($C$1,$117:$127,4,FALSE)/HLOOKUP($C$1,$117:$127,11,FALSE)</f>
        <v>0.13704234041557248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1.6054060973530848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4.5002804231391191E-2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0.99841381259904849</v>
      </c>
      <c r="C24" s="169">
        <f>STDEV(C103:F103)</f>
        <v>8.5925475696688983E-4</v>
      </c>
      <c r="D24" s="76" t="str">
        <f>IF(C24/B24&lt;15%,"高",IF(C24/B24&lt;30%,"中","低"))</f>
        <v>高</v>
      </c>
      <c r="E24" s="149"/>
      <c r="F24" s="160">
        <f>MIN(100%,B24)*5</f>
        <v>4.9920690629952427</v>
      </c>
      <c r="G24" s="88" t="s">
        <v>229</v>
      </c>
      <c r="H24" s="123" t="s">
        <v>16</v>
      </c>
      <c r="I24" s="170">
        <f>HLOOKUP(C1,167:170,2,FALSE)</f>
        <v>90.91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5.2452346157924851E-2</v>
      </c>
      <c r="M24" s="123" t="s">
        <v>355</v>
      </c>
      <c r="N24" s="165">
        <f>HLOOKUP($C$1,$117:$127,9,FALSE)/HLOOKUP($C$1,$117:$127,11,FALSE)</f>
        <v>5.0864006061978544E-2</v>
      </c>
    </row>
    <row r="25" spans="1:14" s="93" customFormat="1" x14ac:dyDescent="0.25">
      <c r="A25" s="151" t="s">
        <v>366</v>
      </c>
      <c r="B25" s="255">
        <f>AVERAGE(94:94)</f>
        <v>809313.69565217395</v>
      </c>
      <c r="C25" s="254">
        <f>STDEV(94:94)/AVERAGE(94:94)</f>
        <v>1.6447704736278665</v>
      </c>
      <c r="D25" s="76" t="str">
        <f>IF(C25&lt;=1,"高",IF(C25&lt;=2,"中","低"))</f>
        <v>中</v>
      </c>
      <c r="E25" s="149"/>
      <c r="F25" s="160">
        <f>MAX(0,10-ABS(C25))</f>
        <v>8.355229526372133</v>
      </c>
      <c r="G25" s="88" t="s">
        <v>213</v>
      </c>
      <c r="H25" s="123" t="s">
        <v>232</v>
      </c>
      <c r="I25" s="170">
        <f>IF(HLOOKUP(C1,167:170,3,FALSE)="無",0,HLOOKUP(C1,167:170,3,FALSE))</f>
        <v>43.27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127.0208695652174</v>
      </c>
      <c r="C26" s="172">
        <f>IF(COUNTIF(168:168,"&gt;0")=0,0,STDEV(168:168))</f>
        <v>18.560465294188006</v>
      </c>
      <c r="D26" s="76" t="str">
        <f>IF(C26&lt;=15,"高",IF(C26&lt;=30,"中","低"))</f>
        <v>中</v>
      </c>
      <c r="E26" s="149"/>
      <c r="F26" s="160">
        <f>IF(I24&lt;=60,4,IF(I24&lt;=90,3,IF(I24&lt;=120,2,IF(I24&lt;=150,1,0))))+IF(D26="高",6,IF(D26="中",4,2))</f>
        <v>6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47.283478260869565</v>
      </c>
      <c r="C27" s="172">
        <f>IF(COUNTIF(169:169,"&gt;0")=0,0,STDEV(169:169))</f>
        <v>8.2899575657953566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0.44837499999999997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0.30687500000000001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20.947500000000002</v>
      </c>
      <c r="C32" s="157" t="s">
        <v>217</v>
      </c>
      <c r="D32" s="174">
        <f>COUNTIF(159:159,"&gt;3")/COUNT(159:159)</f>
        <v>0.91304347826086951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25.797499999999999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7.75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7.9012501211357691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65012488.25</v>
      </c>
      <c r="C36" s="178">
        <f>STDEV(C97:F97)</f>
        <v>18887440.981445916</v>
      </c>
      <c r="D36" s="76" t="str">
        <f>IF(C36/B36&lt;15%,"高",IF(C36/B36&lt;30%,"中","低"))</f>
        <v>中</v>
      </c>
      <c r="E36" s="107">
        <f>IF(F97&gt;E97,1,0)+IF(E97&gt;D97,1,0)+IF(D97&gt;C97,1,0)</f>
        <v>2</v>
      </c>
      <c r="F36" s="179"/>
      <c r="G36" s="160">
        <f>IF(D36="高",6,IF(D36="中",4,2))+E36+1</f>
        <v>7</v>
      </c>
    </row>
    <row r="37" spans="1:14" x14ac:dyDescent="0.25">
      <c r="A37" s="164" t="s">
        <v>248</v>
      </c>
      <c r="B37" s="180">
        <f>AVERAGE(C152:F152)</f>
        <v>44.837499999999999</v>
      </c>
      <c r="C37" s="180">
        <f>STDEV(C152:F152)</f>
        <v>2.2925149944984007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34.717500000000001</v>
      </c>
      <c r="C38" s="180">
        <f>STDEV(C153:F153)</f>
        <v>1.799321631430393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20.947500000000002</v>
      </c>
      <c r="C39" s="181">
        <f>STDEV(C165:F165)</f>
        <v>2.1730834467794065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25.797499999999999</v>
      </c>
      <c r="C40" s="183">
        <f>STDEV(B69:E69)</f>
        <v>6.160056141519056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0.65344827586206899</v>
      </c>
      <c r="C44" s="186">
        <f>(C46-C49)/C49</f>
        <v>5.9880239520958049E-2</v>
      </c>
      <c r="D44" s="186">
        <f>(D46-D49)/D49</f>
        <v>-0.49814814814814817</v>
      </c>
      <c r="E44" s="186">
        <f>(E46-E49)/E49</f>
        <v>0.34896401308615044</v>
      </c>
      <c r="G44" s="86" t="s">
        <v>175</v>
      </c>
      <c r="H44" s="186">
        <f>(H47-H50)/H50</f>
        <v>-4.1716328963051618E-3</v>
      </c>
      <c r="I44" s="186">
        <f>(I47-I50)/I50</f>
        <v>0.3607142857142856</v>
      </c>
      <c r="J44" s="186">
        <f>(J47-J50)/J50</f>
        <v>6.529309344167139E-2</v>
      </c>
      <c r="K44" s="186">
        <f>(K47-K50)/K50</f>
        <v>0.19340723453908976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9.59</v>
      </c>
      <c r="C46" s="152">
        <f>HLOOKUP(C45,$81:$82,2,FALSE)</f>
        <v>5.31</v>
      </c>
      <c r="D46" s="152">
        <f>HLOOKUP(D45,$81:$82,2,FALSE)</f>
        <v>2.71</v>
      </c>
      <c r="E46" s="152">
        <f>HLOOKUP(E45,$81:$82,2,FALSE)</f>
        <v>12.37</v>
      </c>
      <c r="G46" s="86" t="s">
        <v>164</v>
      </c>
      <c r="H46" s="145">
        <f>HLOOKUP(H45,$145:$147,2,FALSE)/100</f>
        <v>0.42560000000000003</v>
      </c>
      <c r="I46" s="145">
        <f>HLOOKUP(I45,$145:$147,2,FALSE)/100</f>
        <v>0.48130000000000001</v>
      </c>
      <c r="J46" s="145">
        <f>HLOOKUP(J45,$145:$147,2,FALSE)/100</f>
        <v>0.48950000000000005</v>
      </c>
      <c r="K46" s="145">
        <f>HLOOKUP(K45,$145:$147,2,FALSE)/100</f>
        <v>0.50049999999999994</v>
      </c>
    </row>
    <row r="47" spans="1:14" x14ac:dyDescent="0.25">
      <c r="A47" s="188" t="s">
        <v>165</v>
      </c>
      <c r="B47" s="189">
        <f>HLOOKUP(B45,$157:$159,3,FALSE)</f>
        <v>6.1</v>
      </c>
      <c r="C47" s="189">
        <f>HLOOKUP(C45,$157:$159,3,FALSE)</f>
        <v>3.48</v>
      </c>
      <c r="D47" s="189">
        <f>HLOOKUP(D45,$157:$159,3,FALSE)</f>
        <v>1.74</v>
      </c>
      <c r="E47" s="189">
        <f>HLOOKUP(E45,$157:$159,3,FALSE)</f>
        <v>8.09</v>
      </c>
      <c r="G47" s="190" t="s">
        <v>166</v>
      </c>
      <c r="H47" s="145">
        <f>HLOOKUP(H45,$145:$147,3,FALSE)/100</f>
        <v>0.3342</v>
      </c>
      <c r="I47" s="145">
        <f>HLOOKUP(I45,$145:$147,3,FALSE)/100</f>
        <v>0.38100000000000001</v>
      </c>
      <c r="J47" s="145">
        <f>HLOOKUP(J45,$145:$147,3,FALSE)/100</f>
        <v>0.36709999999999998</v>
      </c>
      <c r="K47" s="145">
        <f>HLOOKUP(K45,$145:$147,3,FALSE)/100</f>
        <v>0.40909999999999996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5.8</v>
      </c>
      <c r="C49" s="152">
        <f>HLOOKUP(C48,$81:$82,2,FALSE)</f>
        <v>5.01</v>
      </c>
      <c r="D49" s="152">
        <f>HLOOKUP(D48,$81:$82,2,FALSE)</f>
        <v>5.4</v>
      </c>
      <c r="E49" s="152">
        <f>HLOOKUP(E48,$81:$82,2,FALSE)</f>
        <v>9.17</v>
      </c>
      <c r="G49" s="86" t="s">
        <v>164</v>
      </c>
      <c r="H49" s="145">
        <f>HLOOKUP(H48,$145:$147,2,FALSE)/100</f>
        <v>0.4264</v>
      </c>
      <c r="I49" s="145">
        <f>HLOOKUP(I48,$145:$147,2,FALSE)/100</f>
        <v>0.36109999999999998</v>
      </c>
      <c r="J49" s="145">
        <f>HLOOKUP(J48,$145:$147,2,FALSE)/100</f>
        <v>0.42810000000000004</v>
      </c>
      <c r="K49" s="145">
        <f>HLOOKUP(K48,$145:$147,2,FALSE)/100</f>
        <v>0.4486</v>
      </c>
    </row>
    <row r="50" spans="1:15" x14ac:dyDescent="0.25">
      <c r="A50" s="188" t="s">
        <v>165</v>
      </c>
      <c r="B50" s="189">
        <f>HLOOKUP(B48,$157:$159,3,FALSE)</f>
        <v>3.96</v>
      </c>
      <c r="C50" s="189">
        <f>HLOOKUP(C48,$157:$159,3,FALSE)</f>
        <v>3.35</v>
      </c>
      <c r="D50" s="189">
        <f>HLOOKUP(D48,$157:$159,3,FALSE)</f>
        <v>3.55</v>
      </c>
      <c r="E50" s="189">
        <f>HLOOKUP(E48,$157:$159,3,FALSE)</f>
        <v>6.25</v>
      </c>
      <c r="G50" s="190" t="s">
        <v>166</v>
      </c>
      <c r="H50" s="145">
        <f>HLOOKUP(H48,$145:$147,3,FALSE)/100</f>
        <v>0.33560000000000001</v>
      </c>
      <c r="I50" s="145">
        <f>HLOOKUP(I48,$145:$147,3,FALSE)/100</f>
        <v>0.28000000000000003</v>
      </c>
      <c r="J50" s="145">
        <f>HLOOKUP(J48,$145:$147,3,FALSE)/100</f>
        <v>0.34460000000000002</v>
      </c>
      <c r="K50" s="145">
        <f>HLOOKUP(K48,$145:$147,3,FALSE)/100</f>
        <v>0.34279999999999999</v>
      </c>
    </row>
    <row r="51" spans="1:15" x14ac:dyDescent="0.25">
      <c r="A51" s="86" t="s">
        <v>351</v>
      </c>
      <c r="B51" s="186">
        <f>(B47-B50)/B50</f>
        <v>0.54040404040404033</v>
      </c>
      <c r="C51" s="186">
        <f>(C47-C50)/C50</f>
        <v>3.8805970149253702E-2</v>
      </c>
      <c r="D51" s="186">
        <f>(D47-D50)/D50</f>
        <v>-0.50985915492957745</v>
      </c>
      <c r="E51" s="186">
        <f>(E47-E50)/E50</f>
        <v>0.2944</v>
      </c>
      <c r="G51" s="235" t="s">
        <v>174</v>
      </c>
      <c r="H51" s="186">
        <f>(H46-H49)/H49</f>
        <v>-1.8761726078798484E-3</v>
      </c>
      <c r="I51" s="186">
        <f>(I46-I49)/I49</f>
        <v>0.33287178067017459</v>
      </c>
      <c r="J51" s="186">
        <f>(J46-J49)/J49</f>
        <v>0.1434244335435646</v>
      </c>
      <c r="K51" s="186">
        <f>(K46-K49)/K49</f>
        <v>0.11569326794471678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36.942561601100209</v>
      </c>
      <c r="B53" s="193">
        <f>B46</f>
        <v>9.59</v>
      </c>
      <c r="C53" s="193">
        <f>E46/HLOOKUP(E45,$87:$94,5,FALSE)*HLOOKUP(E45,$87:$94,4,FALSE)*($B$25/HLOOKUP(E45,$87:$94,4,FALSE)+SUM($B$57:$D$57)/SUM($B58:$D$58)*$G$69/100/K46)</f>
        <v>12.310050742591573</v>
      </c>
      <c r="D53" s="193">
        <f>D46/HLOOKUP(D45,$87:$94,5,FALSE)*HLOOKUP(D45,$87:$94,4,FALSE)*($B$25/HLOOKUP(D45,$87:$94,4,FALSE)+SUM($B$57:$D$57)/SUM($B58:$D$58)*$G$69/100/J46)</f>
        <v>7.0525757993919713</v>
      </c>
      <c r="E53" s="193">
        <f>C46/HLOOKUP(C45,$87:$94,5,FALSE)*HLOOKUP(C45,$87:$94,4,FALSE)*($B$25/HLOOKUP(C45,$87:$94,4,FALSE)+SUM($B$57:$D$57)/SUM($B58:$D$58)*$G$69/100/I46)</f>
        <v>7.9899350591166654</v>
      </c>
    </row>
    <row r="54" spans="1:15" x14ac:dyDescent="0.25">
      <c r="A54" s="278">
        <f>SUM(B54:E54)</f>
        <v>26.189999999999998</v>
      </c>
      <c r="B54" s="277">
        <f t="shared" ref="B54:D54" si="0">HLOOKUP(B52-10,81:82,2,FALSE)</f>
        <v>5.8</v>
      </c>
      <c r="C54" s="277">
        <f t="shared" si="0"/>
        <v>12.37</v>
      </c>
      <c r="D54" s="277">
        <f t="shared" si="0"/>
        <v>2.71</v>
      </c>
      <c r="E54" s="277">
        <f>HLOOKUP(E52-10,81:82,2,FALSE)</f>
        <v>5.31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12394217</v>
      </c>
      <c r="C57" s="196">
        <f>HLOOKUP(C56,78:79,2,FALSE)</f>
        <v>11446428</v>
      </c>
      <c r="D57" s="196">
        <f>HLOOKUP(D56,78:79,2,FALSE)</f>
        <v>8524135</v>
      </c>
      <c r="E57" s="196">
        <f>HLOOKUP(E56,78:79,2,FALSE)</f>
        <v>7449235</v>
      </c>
      <c r="F57" s="196">
        <f>HLOOKUP(F56,78:79,2,FALSE)</f>
        <v>7288788</v>
      </c>
      <c r="G57" s="196">
        <f t="shared" ref="G57:M57" si="2">HLOOKUP(G56,78:79,2,FALSE)</f>
        <v>6084016</v>
      </c>
      <c r="H57" s="196">
        <f t="shared" si="2"/>
        <v>5135626</v>
      </c>
      <c r="I57" s="196">
        <f t="shared" si="2"/>
        <v>4971022</v>
      </c>
      <c r="J57" s="196">
        <f t="shared" si="2"/>
        <v>4744537</v>
      </c>
      <c r="K57" s="196">
        <f t="shared" si="2"/>
        <v>4860112</v>
      </c>
      <c r="L57" s="196">
        <f t="shared" si="2"/>
        <v>7627387</v>
      </c>
      <c r="M57" s="196">
        <f t="shared" si="2"/>
        <v>8205234</v>
      </c>
      <c r="N57" s="197"/>
    </row>
    <row r="58" spans="1:15" x14ac:dyDescent="0.25">
      <c r="A58" s="198" t="s">
        <v>253</v>
      </c>
      <c r="B58" s="196">
        <f>HLOOKUP(B56-100,78:79,2,FALSE)</f>
        <v>8181396</v>
      </c>
      <c r="C58" s="196">
        <f>HLOOKUP(C56-100,78:79,2,FALSE)</f>
        <v>7722300</v>
      </c>
      <c r="D58" s="196">
        <f>HLOOKUP(D56-100,78:79,2,FALSE)</f>
        <v>7002104</v>
      </c>
      <c r="E58" s="196">
        <f>HLOOKUP(E56-100,78:79,2,FALSE)</f>
        <v>5996240</v>
      </c>
      <c r="F58" s="196">
        <f>HLOOKUP(F56-100,78:79,2,FALSE)</f>
        <v>5608145</v>
      </c>
      <c r="G58" s="196">
        <f t="shared" ref="G58:M58" si="3">HLOOKUP(G56-100,78:79,2,FALSE)</f>
        <v>5877849</v>
      </c>
      <c r="H58" s="196">
        <f t="shared" si="3"/>
        <v>6035124</v>
      </c>
      <c r="I58" s="196">
        <f t="shared" si="3"/>
        <v>6442754</v>
      </c>
      <c r="J58" s="196">
        <f t="shared" si="3"/>
        <v>4167468</v>
      </c>
      <c r="K58" s="196">
        <f t="shared" si="3"/>
        <v>6231066</v>
      </c>
      <c r="L58" s="196">
        <f t="shared" si="3"/>
        <v>6913754</v>
      </c>
      <c r="M58" s="196">
        <f t="shared" si="3"/>
        <v>8341327</v>
      </c>
      <c r="N58" s="197"/>
    </row>
    <row r="59" spans="1:15" x14ac:dyDescent="0.25">
      <c r="A59" s="199" t="s">
        <v>254</v>
      </c>
      <c r="B59" s="165">
        <f>IF(B57&lt;&gt;"",(B57-B58)/B58,"")</f>
        <v>0.51492691467324159</v>
      </c>
      <c r="C59" s="165">
        <f>IF(C57&lt;&gt;"",(C57-C58)/C58,"")</f>
        <v>0.48225632259818968</v>
      </c>
      <c r="D59" s="165">
        <f>IF(D57&lt;&gt;"",(D57-D58)/D58,"")</f>
        <v>0.21736766549025835</v>
      </c>
      <c r="E59" s="165">
        <f>IF(E57&lt;&gt;"",(E57-E58)/E58,"")</f>
        <v>0.2423176857497365</v>
      </c>
      <c r="F59" s="165">
        <f>IF(F57&lt;&gt;"",(F57-F58)/F58,"")</f>
        <v>0.29967894909992521</v>
      </c>
      <c r="G59" s="165">
        <f t="shared" ref="G59:M59" si="4">IF(G57&lt;&gt;"",(G57-G58)/G58,"")</f>
        <v>3.5075246063653559E-2</v>
      </c>
      <c r="H59" s="165">
        <f t="shared" si="4"/>
        <v>-0.14904383074813377</v>
      </c>
      <c r="I59" s="165">
        <f t="shared" si="4"/>
        <v>-0.22843212700655652</v>
      </c>
      <c r="J59" s="165">
        <f t="shared" si="4"/>
        <v>0.13846992946316564</v>
      </c>
      <c r="K59" s="165">
        <f t="shared" si="4"/>
        <v>-0.22001917488917627</v>
      </c>
      <c r="L59" s="165">
        <f t="shared" si="4"/>
        <v>0.10321932194868375</v>
      </c>
      <c r="M59" s="165">
        <f t="shared" si="4"/>
        <v>-1.6315509510656998E-2</v>
      </c>
    </row>
    <row r="60" spans="1:15" x14ac:dyDescent="0.25">
      <c r="A60" s="195" t="s">
        <v>255</v>
      </c>
      <c r="B60" s="196">
        <f>SUM(B57:M57)</f>
        <v>88730737</v>
      </c>
    </row>
    <row r="61" spans="1:15" x14ac:dyDescent="0.25">
      <c r="A61" s="198" t="s">
        <v>256</v>
      </c>
      <c r="B61" s="196">
        <f>SUM(B58:M58)</f>
        <v>78519527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1.1300467589418872</v>
      </c>
      <c r="D62" s="152">
        <f>SUM(B46:E46)</f>
        <v>29.979999999999997</v>
      </c>
      <c r="E62" s="152">
        <f>SUM(B49:E49)</f>
        <v>25.380000000000003</v>
      </c>
      <c r="G62" s="126">
        <f>SUM(B47:E47)</f>
        <v>19.41</v>
      </c>
      <c r="H62" s="126">
        <f>SUM(B50:E50)</f>
        <v>17.11</v>
      </c>
      <c r="J62" s="200">
        <f>AVERAGE(H46:K46)</f>
        <v>0.47422500000000001</v>
      </c>
      <c r="K62" s="200">
        <f>AVERAGE(H49:K49)</f>
        <v>0.41605000000000003</v>
      </c>
      <c r="M62" s="200">
        <f>AVERAGE(H47:K47)</f>
        <v>0.37285000000000001</v>
      </c>
      <c r="N62" s="200">
        <f>AVERAGE(H50:K50)</f>
        <v>0.32574999999999998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5.22</v>
      </c>
      <c r="C65" s="205">
        <f t="shared" si="5"/>
        <v>3.97</v>
      </c>
      <c r="D65" s="205">
        <f t="shared" si="5"/>
        <v>6.04</v>
      </c>
      <c r="E65" s="205">
        <f t="shared" si="5"/>
        <v>5.4</v>
      </c>
      <c r="F65" s="206">
        <f>IF(ISNA(HLOOKUP(F$64*10+$A65,$81:$82,2,FALSE)),(HLOOKUP(E$64*10+$A65,$87:$94,4,FALSE)*$G65+$B$25)/HLOOKUP(E$64*10+$A65,$87:$94,5,FALSE)*$E65,HLOOKUP(F$64*10+$A65,$81:$82,2,FALSE))</f>
        <v>2.71</v>
      </c>
      <c r="G65" s="101">
        <f>MIN(130%,SUM($B$57:$D$57)/SUM($B$58:$D$58)*$G$69/HLOOKUP(E$64*10+$A65,$145:$146,2,FALSE))</f>
        <v>1.3</v>
      </c>
      <c r="H65" s="204">
        <v>1</v>
      </c>
      <c r="I65" s="208">
        <f t="shared" ref="I65:M68" si="6">IF(ISNA(HLOOKUP(I$64*10+$H65,$145:$147,3,FALSE)),"",HLOOKUP(I$64*10+$H65,$145:$147,3,FALSE)/100)</f>
        <v>0.31739999999999996</v>
      </c>
      <c r="J65" s="208">
        <f t="shared" si="6"/>
        <v>0.308</v>
      </c>
      <c r="K65" s="208">
        <f t="shared" si="6"/>
        <v>0.35880000000000001</v>
      </c>
      <c r="L65" s="208">
        <f t="shared" si="6"/>
        <v>0.34460000000000002</v>
      </c>
      <c r="M65" s="209">
        <f t="shared" si="6"/>
        <v>0.36709999999999998</v>
      </c>
      <c r="N65" s="256">
        <f t="shared" ref="N65:O68" si="7">HLOOKUP(E$64*10+$A65,$87:$94,8,FALSE)</f>
        <v>-117424</v>
      </c>
      <c r="O65" s="256">
        <f t="shared" si="7"/>
        <v>-2266972</v>
      </c>
      <c r="P65" s="210"/>
    </row>
    <row r="66" spans="1:71" x14ac:dyDescent="0.25">
      <c r="A66" s="204">
        <v>2</v>
      </c>
      <c r="B66" s="205">
        <f t="shared" si="5"/>
        <v>4.84</v>
      </c>
      <c r="C66" s="205">
        <f t="shared" si="5"/>
        <v>4.84</v>
      </c>
      <c r="D66" s="205">
        <f t="shared" si="5"/>
        <v>6.81</v>
      </c>
      <c r="E66" s="205">
        <f t="shared" si="5"/>
        <v>5.01</v>
      </c>
      <c r="F66" s="206">
        <f>IF(ISNA(HLOOKUP(F$64*10+$A66,$81:$82,2,FALSE)),(HLOOKUP(E$64*10+$A66,$87:$94,4,FALSE)*$G66+$B$25)/HLOOKUP(E$64*10+$A66,$87:$94,5,FALSE)*$E66,HLOOKUP(F$64*10+$A66,$81:$82,2,FALSE))</f>
        <v>5.31</v>
      </c>
      <c r="G66" s="101">
        <f>MIN(130%,SUM($B$57:$D$57)/SUM($B$58:$D$58)*$G$69/HLOOKUP(E$64*10+$A66,$145:$146,2,FALSE))</f>
        <v>1.3</v>
      </c>
      <c r="H66" s="204">
        <v>2</v>
      </c>
      <c r="I66" s="208">
        <f t="shared" si="6"/>
        <v>0.3468</v>
      </c>
      <c r="J66" s="208">
        <f t="shared" si="6"/>
        <v>0.38719999999999999</v>
      </c>
      <c r="K66" s="208">
        <f t="shared" si="6"/>
        <v>0.373</v>
      </c>
      <c r="L66" s="208">
        <f t="shared" si="6"/>
        <v>0.28000000000000003</v>
      </c>
      <c r="M66" s="209">
        <f t="shared" si="6"/>
        <v>0.38100000000000001</v>
      </c>
      <c r="N66" s="256">
        <f t="shared" si="7"/>
        <v>1907518</v>
      </c>
      <c r="O66" s="256">
        <f t="shared" si="7"/>
        <v>-84819</v>
      </c>
      <c r="P66" s="210"/>
    </row>
    <row r="67" spans="1:71" x14ac:dyDescent="0.25">
      <c r="A67" s="204">
        <v>3</v>
      </c>
      <c r="B67" s="205">
        <f t="shared" si="5"/>
        <v>3.69</v>
      </c>
      <c r="C67" s="205">
        <f t="shared" si="5"/>
        <v>6.36</v>
      </c>
      <c r="D67" s="205">
        <f t="shared" si="5"/>
        <v>10.58</v>
      </c>
      <c r="E67" s="205">
        <f t="shared" si="5"/>
        <v>5.8</v>
      </c>
      <c r="F67" s="206">
        <f>IF(ISNA(HLOOKUP(F$64*10+$A67,$81:$82,2,FALSE)),(HLOOKUP(E$64*10+$A67,$87:$94,4,FALSE)*$G67+$B$25)/HLOOKUP(E$64*10+$A67,$87:$94,5,FALSE)*$E67,HLOOKUP(F$64*10+$A67,$81:$82,2,FALSE))</f>
        <v>9.59</v>
      </c>
      <c r="G67" s="101">
        <f>MIN(130%,SUM($B$57:$D$57)/SUM($B$58:$D$58)*$G$69/HLOOKUP(E$64*10+$A67,$145:$146,2,FALSE))</f>
        <v>1.3</v>
      </c>
      <c r="H67" s="204">
        <v>3</v>
      </c>
      <c r="I67" s="208">
        <f t="shared" si="6"/>
        <v>0.31090000000000001</v>
      </c>
      <c r="J67" s="208">
        <f t="shared" si="6"/>
        <v>0.37560000000000004</v>
      </c>
      <c r="K67" s="208">
        <f t="shared" si="6"/>
        <v>0.35619999999999996</v>
      </c>
      <c r="L67" s="208">
        <f t="shared" si="6"/>
        <v>0.33560000000000001</v>
      </c>
      <c r="M67" s="209">
        <f t="shared" si="6"/>
        <v>0.3342</v>
      </c>
      <c r="N67" s="256">
        <f t="shared" si="7"/>
        <v>-667760</v>
      </c>
      <c r="O67" s="256">
        <f t="shared" si="7"/>
        <v>1635363</v>
      </c>
      <c r="P67" s="210"/>
    </row>
    <row r="68" spans="1:71" x14ac:dyDescent="0.25">
      <c r="A68" s="204">
        <v>4</v>
      </c>
      <c r="B68" s="205">
        <f>HLOOKUP(B$64*10+$A68,$81:$82,2,FALSE)</f>
        <v>4.62</v>
      </c>
      <c r="C68" s="205">
        <f>HLOOKUP(C$64*10+$A68,$81:$82,2,FALSE)</f>
        <v>8.4700000000000006</v>
      </c>
      <c r="D68" s="205">
        <f>HLOOKUP(D$64*10+$A68,$81:$82,2,FALSE)</f>
        <v>9.17</v>
      </c>
      <c r="E68" s="206">
        <f>IF(ISNA(HLOOKUP(E$64*10+$A68,$81:$82,2,FALSE)),D68*(1-$N68)*#REF!*(1+$B$25)/(1+$E$4),HLOOKUP(E$64*10+$A68,$81:$82,2,FALSE))</f>
        <v>12.37</v>
      </c>
      <c r="F68" s="206">
        <f>IF(ISNA(HLOOKUP(F$64*10+$A68,$81:$82,2,FALSE)),(HLOOKUP(E$64*10+$A68,$87:$94,4,FALSE)*$G68+$B$25)/HLOOKUP(E$64*10+$A68,$87:$94,5,FALSE)*$E68,HLOOKUP(F$64*10+$A68,$81:$82,2,FALSE))</f>
        <v>12.141804414707277</v>
      </c>
      <c r="G68" s="101">
        <f>MIN(130%,SUM($B$57:$D$57)/SUM($B$58:$D$58)*$G$69/HLOOKUP(E$64*10+$A68,$145:$146,2,FALSE))</f>
        <v>1.3</v>
      </c>
      <c r="H68" s="204">
        <v>4</v>
      </c>
      <c r="I68" s="208">
        <f t="shared" si="6"/>
        <v>0.31359999999999999</v>
      </c>
      <c r="J68" s="208">
        <f t="shared" si="6"/>
        <v>0.36450000000000005</v>
      </c>
      <c r="K68" s="208">
        <f t="shared" si="6"/>
        <v>0.34279999999999999</v>
      </c>
      <c r="L68" s="208">
        <f t="shared" si="6"/>
        <v>0.40909999999999996</v>
      </c>
      <c r="M68" s="209" t="str">
        <f t="shared" si="6"/>
        <v/>
      </c>
      <c r="N68" s="256">
        <f t="shared" si="7"/>
        <v>4011895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18.369999999999997</v>
      </c>
      <c r="C69" s="213">
        <f>SUM(C65:C68)</f>
        <v>23.64</v>
      </c>
      <c r="D69" s="213">
        <f>SUM(D65:D68)</f>
        <v>32.6</v>
      </c>
      <c r="E69" s="213">
        <f>SUM(E65:E68)</f>
        <v>28.58</v>
      </c>
      <c r="F69" s="213">
        <f>SUM(F65:F68)</f>
        <v>29.751804414707276</v>
      </c>
      <c r="G69" s="257">
        <f>_xlfn.FORECAST.ETS(23,B146:W146,{1,2,3,4,5,6,7,8,9,10,11,12,13,14,15,16,17,18,19,20,21,22})</f>
        <v>46.727528872651781</v>
      </c>
      <c r="H69" s="214" t="s">
        <v>19</v>
      </c>
      <c r="I69" s="215">
        <f>HLOOKUP(I64,151:155,3,FALSE)/100</f>
        <v>0.32179999999999997</v>
      </c>
      <c r="J69" s="215">
        <f>HLOOKUP(J64,151:155,3,FALSE)/100</f>
        <v>0.36229999999999996</v>
      </c>
      <c r="K69" s="215">
        <f>HLOOKUP(K64,151:155,3,FALSE)/100</f>
        <v>0.35710000000000003</v>
      </c>
      <c r="L69" s="215">
        <f>IF(ISNA(HLOOKUP(L64,151:155,3,FALSE)/100),AVERAGE(L65:L68),HLOOKUP(L64,151:155,3,FALSE)/100)</f>
        <v>0.34749999999999998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6.12</v>
      </c>
      <c r="C72" s="205">
        <f t="shared" si="8"/>
        <v>3.94</v>
      </c>
      <c r="D72" s="205">
        <f t="shared" si="8"/>
        <v>4.7699999999999996</v>
      </c>
      <c r="E72" s="205">
        <f t="shared" si="8"/>
        <v>3.55</v>
      </c>
      <c r="F72" s="205">
        <f t="shared" si="8"/>
        <v>1.74</v>
      </c>
    </row>
    <row r="73" spans="1:71" s="135" customFormat="1" x14ac:dyDescent="0.25">
      <c r="A73" s="204">
        <v>2</v>
      </c>
      <c r="B73" s="205">
        <f t="shared" si="8"/>
        <v>5.42</v>
      </c>
      <c r="C73" s="205">
        <f t="shared" si="8"/>
        <v>4.68</v>
      </c>
      <c r="D73" s="205">
        <f t="shared" si="8"/>
        <v>5.29</v>
      </c>
      <c r="E73" s="205">
        <f t="shared" si="8"/>
        <v>3.35</v>
      </c>
      <c r="F73" s="205">
        <f t="shared" si="8"/>
        <v>3.48</v>
      </c>
    </row>
    <row r="74" spans="1:71" s="135" customFormat="1" x14ac:dyDescent="0.25">
      <c r="A74" s="204">
        <v>3</v>
      </c>
      <c r="B74" s="205">
        <f t="shared" si="8"/>
        <v>4.07</v>
      </c>
      <c r="C74" s="205">
        <f t="shared" si="8"/>
        <v>5.89</v>
      </c>
      <c r="D74" s="205">
        <f t="shared" si="8"/>
        <v>7.79</v>
      </c>
      <c r="E74" s="205">
        <f t="shared" si="8"/>
        <v>3.96</v>
      </c>
      <c r="F74" s="205">
        <f t="shared" si="8"/>
        <v>6.1</v>
      </c>
    </row>
    <row r="75" spans="1:71" s="135" customFormat="1" x14ac:dyDescent="0.25">
      <c r="A75" s="204">
        <v>4</v>
      </c>
      <c r="B75" s="205">
        <f t="shared" si="8"/>
        <v>4.8600000000000003</v>
      </c>
      <c r="C75" s="205">
        <f t="shared" si="8"/>
        <v>7.1</v>
      </c>
      <c r="D75" s="205">
        <f t="shared" si="8"/>
        <v>6.25</v>
      </c>
      <c r="E75" s="205">
        <f t="shared" si="8"/>
        <v>8.09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20.47</v>
      </c>
      <c r="C76" s="213">
        <f>SUM(C72:C75)</f>
        <v>21.61</v>
      </c>
      <c r="D76" s="213">
        <f>SUM(D72:D75)</f>
        <v>24.099999999999998</v>
      </c>
      <c r="E76" s="213">
        <f>AVERAGE(E72:E75)*4</f>
        <v>18.95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2815936</v>
      </c>
      <c r="C79" s="270">
        <v>2819722</v>
      </c>
      <c r="D79" s="270">
        <v>3018500</v>
      </c>
      <c r="E79" s="270">
        <v>3024521</v>
      </c>
      <c r="F79" s="270">
        <v>3293325</v>
      </c>
      <c r="G79" s="270">
        <v>3330514</v>
      </c>
      <c r="H79" s="270">
        <v>3095426</v>
      </c>
      <c r="I79" s="270">
        <v>2711160</v>
      </c>
      <c r="J79" s="270">
        <v>3005627</v>
      </c>
      <c r="K79" s="270">
        <v>3053919</v>
      </c>
      <c r="L79" s="270">
        <v>3103269</v>
      </c>
      <c r="M79" s="270">
        <v>3755787</v>
      </c>
      <c r="N79" s="270">
        <v>3298357</v>
      </c>
      <c r="O79" s="270">
        <v>2052996</v>
      </c>
      <c r="P79" s="270">
        <v>3878853</v>
      </c>
      <c r="Q79" s="270">
        <v>3615279</v>
      </c>
      <c r="R79" s="270">
        <v>3493259</v>
      </c>
      <c r="S79" s="270">
        <v>3350675</v>
      </c>
      <c r="T79" s="270">
        <v>3395000</v>
      </c>
      <c r="U79" s="270">
        <v>3226323</v>
      </c>
      <c r="V79" s="270">
        <v>3810028</v>
      </c>
      <c r="W79" s="270">
        <v>4553560</v>
      </c>
      <c r="X79" s="270">
        <v>4651582</v>
      </c>
      <c r="Y79" s="270">
        <v>3906389</v>
      </c>
      <c r="Z79" s="270">
        <v>3576942</v>
      </c>
      <c r="AA79" s="270">
        <v>2762558</v>
      </c>
      <c r="AB79" s="270">
        <v>4075979</v>
      </c>
      <c r="AC79" s="270">
        <v>4269960</v>
      </c>
      <c r="AD79" s="270">
        <v>4417724</v>
      </c>
      <c r="AE79" s="270">
        <v>4629565</v>
      </c>
      <c r="AF79" s="270">
        <v>4644371</v>
      </c>
      <c r="AG79" s="270">
        <v>5004630</v>
      </c>
      <c r="AH79" s="270">
        <v>4880132</v>
      </c>
      <c r="AI79" s="270">
        <v>5410168</v>
      </c>
      <c r="AJ79" s="270">
        <v>5551220</v>
      </c>
      <c r="AK79" s="270">
        <v>6044690</v>
      </c>
      <c r="AL79" s="270">
        <v>5963702</v>
      </c>
      <c r="AM79" s="270">
        <v>4505494</v>
      </c>
      <c r="AN79" s="270">
        <v>6932408</v>
      </c>
      <c r="AO79" s="270">
        <v>7088001</v>
      </c>
      <c r="AP79" s="270">
        <v>6853928</v>
      </c>
      <c r="AQ79" s="270">
        <v>6188471</v>
      </c>
      <c r="AR79" s="270">
        <v>6235931</v>
      </c>
      <c r="AS79" s="270">
        <v>7186002</v>
      </c>
      <c r="AT79" s="270">
        <v>7982270</v>
      </c>
      <c r="AU79" s="270">
        <v>8224925</v>
      </c>
      <c r="AV79" s="270">
        <v>8341327</v>
      </c>
      <c r="AW79" s="270">
        <v>6913754</v>
      </c>
      <c r="AX79" s="270">
        <v>6231066</v>
      </c>
      <c r="AY79" s="270">
        <v>4167468</v>
      </c>
      <c r="AZ79" s="270">
        <v>6442754</v>
      </c>
      <c r="BA79" s="270">
        <v>6035124</v>
      </c>
      <c r="BB79" s="270">
        <v>5877849</v>
      </c>
      <c r="BC79" s="270">
        <v>5608145</v>
      </c>
      <c r="BD79" s="270">
        <v>5996240</v>
      </c>
      <c r="BE79" s="270">
        <v>7002104</v>
      </c>
      <c r="BF79" s="270">
        <v>7722300</v>
      </c>
      <c r="BG79" s="270">
        <v>8181396</v>
      </c>
      <c r="BH79" s="270">
        <v>8205234</v>
      </c>
      <c r="BI79" s="270">
        <v>7627387</v>
      </c>
      <c r="BJ79" s="270">
        <v>4860112</v>
      </c>
      <c r="BK79" s="270">
        <v>4744537</v>
      </c>
      <c r="BL79" s="270">
        <v>4971022</v>
      </c>
      <c r="BM79" s="270">
        <v>5135626</v>
      </c>
      <c r="BN79" s="270">
        <v>6084016</v>
      </c>
      <c r="BO79" s="270">
        <v>7288788</v>
      </c>
      <c r="BP79" s="270">
        <v>7449235</v>
      </c>
      <c r="BQ79" s="270">
        <v>8524135</v>
      </c>
      <c r="BR79" s="270">
        <v>11446428</v>
      </c>
      <c r="BS79" s="270">
        <v>12394217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3.72</v>
      </c>
      <c r="C82" s="72">
        <v>2.0299999999999998</v>
      </c>
      <c r="D82" s="72">
        <v>2.64</v>
      </c>
      <c r="E82" s="72">
        <v>6.12</v>
      </c>
      <c r="F82" s="72">
        <v>5.22</v>
      </c>
      <c r="G82" s="72">
        <v>4.84</v>
      </c>
      <c r="H82" s="72">
        <v>3.69</v>
      </c>
      <c r="I82" s="72">
        <v>4.62</v>
      </c>
      <c r="J82" s="72">
        <v>3.97</v>
      </c>
      <c r="K82" s="72">
        <v>4.84</v>
      </c>
      <c r="L82" s="72">
        <v>6.36</v>
      </c>
      <c r="M82" s="72">
        <v>8.4700000000000006</v>
      </c>
      <c r="N82" s="72">
        <v>6.04</v>
      </c>
      <c r="O82" s="72">
        <v>6.81</v>
      </c>
      <c r="P82" s="72">
        <v>10.58</v>
      </c>
      <c r="Q82" s="72">
        <v>9.17</v>
      </c>
      <c r="R82" s="72">
        <v>5.4</v>
      </c>
      <c r="S82" s="72">
        <v>5.01</v>
      </c>
      <c r="T82" s="72">
        <v>5.8</v>
      </c>
      <c r="U82" s="72">
        <v>12.37</v>
      </c>
      <c r="V82" s="72">
        <v>2.71</v>
      </c>
      <c r="W82" s="72">
        <v>5.31</v>
      </c>
      <c r="X82" s="72">
        <v>9.59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76.53</v>
      </c>
      <c r="C85" s="72">
        <v>74.17</v>
      </c>
      <c r="D85" s="72">
        <v>75.37</v>
      </c>
      <c r="E85" s="72">
        <v>81.3</v>
      </c>
      <c r="F85" s="72">
        <v>89.23</v>
      </c>
      <c r="G85" s="72">
        <v>89.39</v>
      </c>
      <c r="H85" s="72">
        <v>92.08</v>
      </c>
      <c r="I85" s="72">
        <v>97.92</v>
      </c>
      <c r="J85" s="72">
        <v>103.43</v>
      </c>
      <c r="K85" s="72">
        <v>102.22</v>
      </c>
      <c r="L85" s="72">
        <v>111.06</v>
      </c>
      <c r="M85" s="72">
        <v>124.48</v>
      </c>
      <c r="N85" s="72">
        <v>128.9</v>
      </c>
      <c r="O85" s="72">
        <v>128.5</v>
      </c>
      <c r="P85" s="72">
        <v>143.5</v>
      </c>
      <c r="Q85" s="72">
        <v>150.26</v>
      </c>
      <c r="R85" s="72">
        <v>153.47</v>
      </c>
      <c r="S85" s="72">
        <v>146</v>
      </c>
      <c r="T85" s="72">
        <v>146.9</v>
      </c>
      <c r="U85" s="72">
        <v>159.18</v>
      </c>
      <c r="V85" s="72">
        <v>153.54</v>
      </c>
      <c r="W85" s="72">
        <v>151.35</v>
      </c>
      <c r="X85" s="72">
        <v>162.68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8655870</v>
      </c>
      <c r="C88" s="273">
        <v>9645904</v>
      </c>
      <c r="D88" s="273">
        <v>8815275</v>
      </c>
      <c r="E88" s="273">
        <v>9911749</v>
      </c>
      <c r="F88" s="273">
        <v>9232427</v>
      </c>
      <c r="G88" s="273">
        <v>10459627</v>
      </c>
      <c r="H88" s="273">
        <v>10438226</v>
      </c>
      <c r="I88" s="273">
        <v>13115270</v>
      </c>
      <c r="J88" s="273">
        <v>10415869</v>
      </c>
      <c r="K88" s="273">
        <v>13319014</v>
      </c>
      <c r="L88" s="273">
        <v>14528751</v>
      </c>
      <c r="M88" s="273">
        <v>17013731</v>
      </c>
      <c r="N88" s="273">
        <v>17400119</v>
      </c>
      <c r="O88" s="273">
        <v>20129280</v>
      </c>
      <c r="P88" s="273">
        <v>21404681</v>
      </c>
      <c r="Q88" s="273">
        <v>23479305</v>
      </c>
      <c r="R88" s="273">
        <v>16843396</v>
      </c>
      <c r="S88" s="273">
        <v>17523634</v>
      </c>
      <c r="T88" s="273">
        <v>20730931</v>
      </c>
      <c r="U88" s="273">
        <v>24015692</v>
      </c>
      <c r="V88" s="273">
        <v>14579685</v>
      </c>
      <c r="W88" s="273">
        <v>18500404</v>
      </c>
      <c r="X88" s="273">
        <v>27421937</v>
      </c>
    </row>
    <row r="89" spans="1:25" ht="14.25" thickBot="1" x14ac:dyDescent="0.3">
      <c r="A89" s="250" t="s">
        <v>4</v>
      </c>
      <c r="B89" s="275">
        <v>3562351</v>
      </c>
      <c r="C89" s="275">
        <v>4360532</v>
      </c>
      <c r="D89" s="275">
        <v>3704398</v>
      </c>
      <c r="E89" s="275">
        <v>4411744</v>
      </c>
      <c r="F89" s="275">
        <v>3851977</v>
      </c>
      <c r="G89" s="275">
        <v>4652235</v>
      </c>
      <c r="H89" s="275">
        <v>4348333</v>
      </c>
      <c r="I89" s="275">
        <v>5468181</v>
      </c>
      <c r="J89" s="275">
        <v>4303379</v>
      </c>
      <c r="K89" s="275">
        <v>6556751</v>
      </c>
      <c r="L89" s="275">
        <v>7094315</v>
      </c>
      <c r="M89" s="275">
        <v>8146903</v>
      </c>
      <c r="N89" s="275">
        <v>8109470</v>
      </c>
      <c r="O89" s="275">
        <v>9547875</v>
      </c>
      <c r="P89" s="275">
        <v>9957522</v>
      </c>
      <c r="Q89" s="275">
        <v>10531689</v>
      </c>
      <c r="R89" s="275">
        <v>7210597</v>
      </c>
      <c r="S89" s="275">
        <v>6327230</v>
      </c>
      <c r="T89" s="275">
        <v>8840045</v>
      </c>
      <c r="U89" s="275">
        <v>12019758</v>
      </c>
      <c r="V89" s="275">
        <v>7136794</v>
      </c>
      <c r="W89" s="275">
        <v>8903558</v>
      </c>
      <c r="X89" s="275">
        <v>11671208</v>
      </c>
    </row>
    <row r="90" spans="1:25" ht="14.25" thickBot="1" x14ac:dyDescent="0.3">
      <c r="A90" s="251" t="s">
        <v>5</v>
      </c>
      <c r="B90" s="273">
        <v>2632152</v>
      </c>
      <c r="C90" s="273">
        <v>3341231</v>
      </c>
      <c r="D90" s="273">
        <v>2814179</v>
      </c>
      <c r="E90" s="273">
        <v>3370712</v>
      </c>
      <c r="F90" s="273">
        <v>2930177</v>
      </c>
      <c r="G90" s="273">
        <v>3626920</v>
      </c>
      <c r="H90" s="273">
        <v>3245433</v>
      </c>
      <c r="I90" s="273">
        <v>4113131</v>
      </c>
      <c r="J90" s="273">
        <v>3208254</v>
      </c>
      <c r="K90" s="273">
        <v>5157369</v>
      </c>
      <c r="L90" s="273">
        <v>5457295</v>
      </c>
      <c r="M90" s="273">
        <v>6202007</v>
      </c>
      <c r="N90" s="273">
        <v>6243313</v>
      </c>
      <c r="O90" s="273">
        <v>7509045</v>
      </c>
      <c r="P90" s="273">
        <v>7624883</v>
      </c>
      <c r="Q90" s="273">
        <v>8048446</v>
      </c>
      <c r="R90" s="273">
        <v>5803504</v>
      </c>
      <c r="S90" s="273">
        <v>4906496</v>
      </c>
      <c r="T90" s="273">
        <v>6956368</v>
      </c>
      <c r="U90" s="273">
        <v>9824451</v>
      </c>
      <c r="V90" s="273">
        <v>5351624</v>
      </c>
      <c r="W90" s="273">
        <v>7049071</v>
      </c>
      <c r="X90" s="273">
        <v>9165142</v>
      </c>
    </row>
    <row r="91" spans="1:25" ht="14.25" thickBot="1" x14ac:dyDescent="0.3">
      <c r="A91" s="250" t="s">
        <v>6</v>
      </c>
      <c r="B91" s="275">
        <v>3305028</v>
      </c>
      <c r="C91" s="275">
        <v>3027272</v>
      </c>
      <c r="D91" s="275">
        <v>2493473</v>
      </c>
      <c r="E91" s="275">
        <v>5125312</v>
      </c>
      <c r="F91" s="275">
        <v>4649937</v>
      </c>
      <c r="G91" s="275">
        <v>4866285</v>
      </c>
      <c r="H91" s="275">
        <v>3415275</v>
      </c>
      <c r="I91" s="275">
        <v>4596778</v>
      </c>
      <c r="J91" s="275">
        <v>3858813</v>
      </c>
      <c r="K91" s="275">
        <v>5436032</v>
      </c>
      <c r="L91" s="275">
        <v>6293475</v>
      </c>
      <c r="M91" s="275">
        <v>7956283</v>
      </c>
      <c r="N91" s="275">
        <v>6249696</v>
      </c>
      <c r="O91" s="275">
        <v>8161368</v>
      </c>
      <c r="P91" s="275">
        <v>10980533</v>
      </c>
      <c r="Q91" s="275">
        <v>9305401</v>
      </c>
      <c r="R91" s="275">
        <v>5686080</v>
      </c>
      <c r="S91" s="275">
        <v>6814014</v>
      </c>
      <c r="T91" s="275">
        <v>6288608</v>
      </c>
      <c r="U91" s="275">
        <v>13836346</v>
      </c>
      <c r="V91" s="275">
        <v>3084652</v>
      </c>
      <c r="W91" s="275">
        <v>6964252</v>
      </c>
      <c r="X91" s="275">
        <v>10800505</v>
      </c>
    </row>
    <row r="92" spans="1:25" ht="14.25" thickBot="1" x14ac:dyDescent="0.3">
      <c r="A92" s="251" t="s">
        <v>7</v>
      </c>
      <c r="B92" s="273">
        <v>2792533</v>
      </c>
      <c r="C92" s="273">
        <v>1526790</v>
      </c>
      <c r="D92" s="273">
        <v>1987693</v>
      </c>
      <c r="E92" s="273">
        <v>4602027</v>
      </c>
      <c r="F92" s="273">
        <v>3925731</v>
      </c>
      <c r="G92" s="273">
        <v>3641144</v>
      </c>
      <c r="H92" s="273">
        <v>2776235</v>
      </c>
      <c r="I92" s="273">
        <v>3474010</v>
      </c>
      <c r="J92" s="273">
        <v>2986804</v>
      </c>
      <c r="K92" s="273">
        <v>3645992</v>
      </c>
      <c r="L92" s="273">
        <v>4812180</v>
      </c>
      <c r="M92" s="273">
        <v>6442781</v>
      </c>
      <c r="N92" s="273">
        <v>4664919</v>
      </c>
      <c r="O92" s="273">
        <v>5258352</v>
      </c>
      <c r="P92" s="273">
        <v>8172271</v>
      </c>
      <c r="Q92" s="273">
        <v>7085809</v>
      </c>
      <c r="R92" s="273">
        <v>4165629</v>
      </c>
      <c r="S92" s="273">
        <v>3871644</v>
      </c>
      <c r="T92" s="273">
        <v>4480721</v>
      </c>
      <c r="U92" s="273">
        <v>9550284</v>
      </c>
      <c r="V92" s="273">
        <v>2104148</v>
      </c>
      <c r="W92" s="273">
        <v>4095767</v>
      </c>
      <c r="X92" s="273">
        <v>7384201</v>
      </c>
    </row>
    <row r="93" spans="1:25" ht="26.25" thickBot="1" x14ac:dyDescent="0.3">
      <c r="A93" s="252" t="s">
        <v>8</v>
      </c>
      <c r="B93" s="276">
        <v>2791510</v>
      </c>
      <c r="C93" s="276">
        <v>1522435</v>
      </c>
      <c r="D93" s="276">
        <v>1980668</v>
      </c>
      <c r="E93" s="276">
        <v>4595872</v>
      </c>
      <c r="F93" s="276">
        <v>3922330</v>
      </c>
      <c r="G93" s="276">
        <v>3635954</v>
      </c>
      <c r="H93" s="276">
        <v>2770944</v>
      </c>
      <c r="I93" s="276">
        <v>3471956</v>
      </c>
      <c r="J93" s="276">
        <v>2983809</v>
      </c>
      <c r="K93" s="276">
        <v>3643676</v>
      </c>
      <c r="L93" s="276">
        <v>4811219</v>
      </c>
      <c r="M93" s="276">
        <v>6438463</v>
      </c>
      <c r="N93" s="276">
        <v>4652343</v>
      </c>
      <c r="O93" s="276">
        <v>5246992</v>
      </c>
      <c r="P93" s="276">
        <v>8153812</v>
      </c>
      <c r="Q93" s="276">
        <v>7067709</v>
      </c>
      <c r="R93" s="276">
        <v>4159340</v>
      </c>
      <c r="S93" s="276">
        <v>3861413</v>
      </c>
      <c r="T93" s="276">
        <v>4470817</v>
      </c>
      <c r="U93" s="276">
        <v>9528224</v>
      </c>
      <c r="V93" s="276">
        <v>2090405</v>
      </c>
      <c r="W93" s="276">
        <v>4093767</v>
      </c>
      <c r="X93" s="276">
        <v>7387780</v>
      </c>
    </row>
    <row r="94" spans="1:25" x14ac:dyDescent="0.25">
      <c r="A94" s="233" t="s">
        <v>365</v>
      </c>
      <c r="B94" s="253">
        <f>IF(B91="","",B91-B90)</f>
        <v>672876</v>
      </c>
      <c r="C94" s="253">
        <f>IF(C91="","",C91-C90)</f>
        <v>-313959</v>
      </c>
      <c r="D94" s="253">
        <f t="shared" ref="D94:Y94" si="9">IF(D91="","",D91-D90)</f>
        <v>-320706</v>
      </c>
      <c r="E94" s="253">
        <f t="shared" si="9"/>
        <v>1754600</v>
      </c>
      <c r="F94" s="253">
        <f t="shared" si="9"/>
        <v>1719760</v>
      </c>
      <c r="G94" s="253">
        <f t="shared" si="9"/>
        <v>1239365</v>
      </c>
      <c r="H94" s="253">
        <f t="shared" si="9"/>
        <v>169842</v>
      </c>
      <c r="I94" s="253">
        <f t="shared" si="9"/>
        <v>483647</v>
      </c>
      <c r="J94" s="253">
        <f t="shared" si="9"/>
        <v>650559</v>
      </c>
      <c r="K94" s="253">
        <f t="shared" si="9"/>
        <v>278663</v>
      </c>
      <c r="L94" s="253">
        <f t="shared" si="9"/>
        <v>836180</v>
      </c>
      <c r="M94" s="253">
        <f t="shared" si="9"/>
        <v>1754276</v>
      </c>
      <c r="N94" s="253">
        <f t="shared" si="9"/>
        <v>6383</v>
      </c>
      <c r="O94" s="253">
        <f t="shared" si="9"/>
        <v>652323</v>
      </c>
      <c r="P94" s="253">
        <f t="shared" si="9"/>
        <v>3355650</v>
      </c>
      <c r="Q94" s="253">
        <f t="shared" si="9"/>
        <v>1256955</v>
      </c>
      <c r="R94" s="253">
        <f t="shared" si="9"/>
        <v>-117424</v>
      </c>
      <c r="S94" s="253">
        <f t="shared" si="9"/>
        <v>1907518</v>
      </c>
      <c r="T94" s="253">
        <f t="shared" si="9"/>
        <v>-667760</v>
      </c>
      <c r="U94" s="253">
        <f t="shared" si="9"/>
        <v>4011895</v>
      </c>
      <c r="V94" s="253">
        <f t="shared" si="9"/>
        <v>-2266972</v>
      </c>
      <c r="W94" s="253">
        <f t="shared" si="9"/>
        <v>-84819</v>
      </c>
      <c r="X94" s="253">
        <f t="shared" si="9"/>
        <v>1635363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37028798</v>
      </c>
      <c r="C97" s="273">
        <v>43245550</v>
      </c>
      <c r="D97" s="273">
        <v>55277365</v>
      </c>
      <c r="E97" s="273">
        <v>82413385</v>
      </c>
      <c r="F97" s="273">
        <v>79113653</v>
      </c>
    </row>
    <row r="98" spans="1:24" ht="14.25" thickBot="1" x14ac:dyDescent="0.3">
      <c r="A98" s="225" t="s">
        <v>4</v>
      </c>
      <c r="B98" s="275">
        <v>16039025</v>
      </c>
      <c r="C98" s="275">
        <v>18320726</v>
      </c>
      <c r="D98" s="275">
        <v>26101348</v>
      </c>
      <c r="E98" s="275">
        <v>38146556</v>
      </c>
      <c r="F98" s="275">
        <v>34397630</v>
      </c>
    </row>
    <row r="99" spans="1:24" ht="14.25" thickBot="1" x14ac:dyDescent="0.3">
      <c r="A99" s="224" t="s">
        <v>5</v>
      </c>
      <c r="B99" s="273">
        <v>12158274</v>
      </c>
      <c r="C99" s="273">
        <v>13915661</v>
      </c>
      <c r="D99" s="273">
        <v>20024925</v>
      </c>
      <c r="E99" s="273">
        <v>29425687</v>
      </c>
      <c r="F99" s="273">
        <v>27490819</v>
      </c>
    </row>
    <row r="100" spans="1:24" ht="14.25" thickBot="1" x14ac:dyDescent="0.3">
      <c r="A100" s="225" t="s">
        <v>6</v>
      </c>
      <c r="B100" s="275">
        <v>13951085</v>
      </c>
      <c r="C100" s="275">
        <v>17528275</v>
      </c>
      <c r="D100" s="275">
        <v>23544603</v>
      </c>
      <c r="E100" s="275">
        <v>34696998</v>
      </c>
      <c r="F100" s="275">
        <v>32625048</v>
      </c>
    </row>
    <row r="101" spans="1:24" ht="14.25" thickBot="1" x14ac:dyDescent="0.3">
      <c r="A101" s="224" t="s">
        <v>7</v>
      </c>
      <c r="B101" s="273">
        <v>10909043</v>
      </c>
      <c r="C101" s="273">
        <v>13817120</v>
      </c>
      <c r="D101" s="273">
        <v>17887757</v>
      </c>
      <c r="E101" s="273">
        <v>25181351</v>
      </c>
      <c r="F101" s="273">
        <v>22068278</v>
      </c>
    </row>
    <row r="102" spans="1:24" ht="14.25" thickBot="1" x14ac:dyDescent="0.3">
      <c r="A102" s="227" t="s">
        <v>8</v>
      </c>
      <c r="B102" s="276">
        <v>10890485</v>
      </c>
      <c r="C102" s="276">
        <v>13801184</v>
      </c>
      <c r="D102" s="276">
        <v>17877167</v>
      </c>
      <c r="E102" s="276">
        <v>25120856</v>
      </c>
      <c r="F102" s="276">
        <v>22019794</v>
      </c>
    </row>
    <row r="103" spans="1:24" x14ac:dyDescent="0.25">
      <c r="A103" s="233" t="s">
        <v>262</v>
      </c>
      <c r="B103" s="234">
        <f>IF(OR(B102="",B102="無"),"",B102/B101)</f>
        <v>0.99829884252908341</v>
      </c>
      <c r="C103" s="234">
        <f>IF(OR(C102="",C102="無"),"",C102/C101)</f>
        <v>0.99884664821612612</v>
      </c>
      <c r="D103" s="234">
        <f>IF(OR(D102="",D102="無"),"",D102/D101)</f>
        <v>0.99940797496298728</v>
      </c>
      <c r="E103" s="234">
        <f>IF(OR(E102="",E102="無"),"",E102/E101)</f>
        <v>0.99759762691048626</v>
      </c>
      <c r="F103" s="234">
        <f>IF(OR(F102="",F102="無"),"",F102/F101)</f>
        <v>0.99780300030659397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42263677</v>
      </c>
      <c r="C106" s="273">
        <v>42746469</v>
      </c>
      <c r="D106" s="273">
        <v>44359968</v>
      </c>
      <c r="E106" s="273">
        <v>45725615</v>
      </c>
      <c r="F106" s="273">
        <v>47015202</v>
      </c>
      <c r="G106" s="273">
        <v>34408366</v>
      </c>
      <c r="H106" s="273">
        <v>33161276</v>
      </c>
      <c r="I106" s="273">
        <v>39378362</v>
      </c>
      <c r="J106" s="273">
        <v>39878229</v>
      </c>
      <c r="K106" s="273">
        <v>38900532</v>
      </c>
      <c r="L106" s="273">
        <v>48191910</v>
      </c>
      <c r="M106" s="273">
        <v>48119090</v>
      </c>
      <c r="N106" s="273">
        <v>46310267</v>
      </c>
      <c r="O106" s="273">
        <v>43348208</v>
      </c>
      <c r="P106" s="273">
        <v>49003508</v>
      </c>
      <c r="Q106" s="273">
        <v>65678648</v>
      </c>
      <c r="R106" s="273">
        <v>68251427</v>
      </c>
      <c r="S106" s="273">
        <v>74007586</v>
      </c>
      <c r="T106" s="273">
        <v>51017227</v>
      </c>
      <c r="U106" s="273">
        <v>29666993</v>
      </c>
      <c r="V106" s="273">
        <v>22154216</v>
      </c>
      <c r="W106" s="273">
        <v>31169703</v>
      </c>
      <c r="X106" s="273">
        <v>18349548</v>
      </c>
    </row>
    <row r="107" spans="1:24" ht="14.25" thickBot="1" x14ac:dyDescent="0.3">
      <c r="A107" s="225" t="s">
        <v>22</v>
      </c>
      <c r="B107" s="275">
        <v>1395274</v>
      </c>
      <c r="C107" s="275">
        <v>811476</v>
      </c>
      <c r="D107" s="275">
        <v>1402031</v>
      </c>
      <c r="E107" s="275">
        <v>937361</v>
      </c>
      <c r="F107" s="275">
        <v>6549321</v>
      </c>
      <c r="G107" s="275">
        <v>4012981</v>
      </c>
      <c r="H107" s="275">
        <v>4530628</v>
      </c>
      <c r="I107" s="275">
        <v>3264759</v>
      </c>
      <c r="J107" s="275">
        <v>2965831</v>
      </c>
      <c r="K107" s="275">
        <v>385243</v>
      </c>
      <c r="L107" s="275">
        <v>10136</v>
      </c>
      <c r="M107" s="275">
        <v>18103</v>
      </c>
      <c r="N107" s="275">
        <v>31877</v>
      </c>
      <c r="O107" s="275">
        <v>15396</v>
      </c>
      <c r="P107" s="275">
        <v>10593</v>
      </c>
      <c r="Q107" s="275">
        <v>5308</v>
      </c>
      <c r="R107" s="274">
        <v>249</v>
      </c>
      <c r="S107" s="274">
        <v>0</v>
      </c>
      <c r="T107" s="275">
        <v>22531537</v>
      </c>
      <c r="U107" s="275">
        <v>59767949</v>
      </c>
      <c r="V107" s="275">
        <v>75239968</v>
      </c>
      <c r="W107" s="275">
        <v>63042581</v>
      </c>
      <c r="X107" s="275">
        <v>80943569</v>
      </c>
    </row>
    <row r="108" spans="1:24" ht="14.25" thickBot="1" x14ac:dyDescent="0.3">
      <c r="A108" s="224" t="s">
        <v>263</v>
      </c>
      <c r="B108" s="273">
        <v>10081081</v>
      </c>
      <c r="C108" s="273">
        <v>13314752</v>
      </c>
      <c r="D108" s="273">
        <v>13520501</v>
      </c>
      <c r="E108" s="273">
        <v>15173256</v>
      </c>
      <c r="F108" s="273">
        <v>15742323</v>
      </c>
      <c r="G108" s="273">
        <v>16715788</v>
      </c>
      <c r="H108" s="273">
        <v>16499518</v>
      </c>
      <c r="I108" s="273">
        <v>17505351</v>
      </c>
      <c r="J108" s="273">
        <v>15557117</v>
      </c>
      <c r="K108" s="273">
        <v>18080538</v>
      </c>
      <c r="L108" s="273">
        <v>16883121</v>
      </c>
      <c r="M108" s="273">
        <v>21027297</v>
      </c>
      <c r="N108" s="273">
        <v>23219095</v>
      </c>
      <c r="O108" s="273">
        <v>28294738</v>
      </c>
      <c r="P108" s="273">
        <v>32951295</v>
      </c>
      <c r="Q108" s="273">
        <v>28180044</v>
      </c>
      <c r="R108" s="273">
        <v>27863490</v>
      </c>
      <c r="S108" s="273">
        <v>28249132</v>
      </c>
      <c r="T108" s="273">
        <v>36307112</v>
      </c>
      <c r="U108" s="273">
        <v>33434215</v>
      </c>
      <c r="V108" s="273">
        <v>20487097</v>
      </c>
      <c r="W108" s="273">
        <v>26199328</v>
      </c>
      <c r="X108" s="273">
        <v>29317474</v>
      </c>
    </row>
    <row r="109" spans="1:24" ht="14.25" thickBot="1" x14ac:dyDescent="0.3">
      <c r="A109" s="225" t="s">
        <v>264</v>
      </c>
      <c r="B109" s="275">
        <v>2593030</v>
      </c>
      <c r="C109" s="275">
        <v>2493080</v>
      </c>
      <c r="D109" s="275">
        <v>2329595</v>
      </c>
      <c r="E109" s="275">
        <v>2449094</v>
      </c>
      <c r="F109" s="275">
        <v>2880118</v>
      </c>
      <c r="G109" s="275">
        <v>3406279</v>
      </c>
      <c r="H109" s="275">
        <v>3899651</v>
      </c>
      <c r="I109" s="275">
        <v>3873173</v>
      </c>
      <c r="J109" s="275">
        <v>3988220</v>
      </c>
      <c r="K109" s="275">
        <v>3787046</v>
      </c>
      <c r="L109" s="275">
        <v>4087648</v>
      </c>
      <c r="M109" s="275">
        <v>5600468</v>
      </c>
      <c r="N109" s="275">
        <v>6152219</v>
      </c>
      <c r="O109" s="275">
        <v>6087545</v>
      </c>
      <c r="P109" s="275">
        <v>7400093</v>
      </c>
      <c r="Q109" s="275">
        <v>7243801</v>
      </c>
      <c r="R109" s="275">
        <v>6882782</v>
      </c>
      <c r="S109" s="275">
        <v>4632772</v>
      </c>
      <c r="T109" s="275">
        <v>3671539</v>
      </c>
      <c r="U109" s="275">
        <v>3455707</v>
      </c>
      <c r="V109" s="275">
        <v>3940131</v>
      </c>
      <c r="W109" s="275">
        <v>6081821</v>
      </c>
      <c r="X109" s="275">
        <v>9060721</v>
      </c>
    </row>
    <row r="110" spans="1:24" ht="14.25" thickBot="1" x14ac:dyDescent="0.3">
      <c r="A110" s="224" t="s">
        <v>23</v>
      </c>
      <c r="B110" s="273">
        <v>1994669</v>
      </c>
      <c r="C110" s="273">
        <v>2018369</v>
      </c>
      <c r="D110" s="273">
        <v>2113440</v>
      </c>
      <c r="E110" s="273">
        <v>2347388</v>
      </c>
      <c r="F110" s="273">
        <v>2144457</v>
      </c>
      <c r="G110" s="273">
        <v>2097024</v>
      </c>
      <c r="H110" s="273">
        <v>1586180</v>
      </c>
      <c r="I110" s="273">
        <v>1325011</v>
      </c>
      <c r="J110" s="273">
        <v>1615248</v>
      </c>
      <c r="K110" s="273">
        <v>1959746</v>
      </c>
      <c r="L110" s="273">
        <v>3026256</v>
      </c>
      <c r="M110" s="273">
        <v>5112714</v>
      </c>
      <c r="N110" s="273">
        <v>4614538</v>
      </c>
      <c r="O110" s="273">
        <v>4320847</v>
      </c>
      <c r="P110" s="273">
        <v>3763154</v>
      </c>
      <c r="Q110" s="273">
        <v>2443435</v>
      </c>
      <c r="R110" s="273">
        <v>1525867</v>
      </c>
      <c r="S110" s="273">
        <v>1707781</v>
      </c>
      <c r="T110" s="273">
        <v>1558579</v>
      </c>
      <c r="U110" s="273">
        <v>1618180</v>
      </c>
      <c r="V110" s="273">
        <v>1671992</v>
      </c>
      <c r="W110" s="273">
        <v>2804370</v>
      </c>
      <c r="X110" s="273">
        <v>3803679</v>
      </c>
    </row>
    <row r="111" spans="1:24" ht="14.25" thickBot="1" x14ac:dyDescent="0.3">
      <c r="A111" s="225" t="s">
        <v>24</v>
      </c>
      <c r="B111" s="275">
        <v>58327731</v>
      </c>
      <c r="C111" s="275">
        <v>61384146</v>
      </c>
      <c r="D111" s="275">
        <v>63725535</v>
      </c>
      <c r="E111" s="275">
        <v>66632714</v>
      </c>
      <c r="F111" s="275">
        <v>74331421</v>
      </c>
      <c r="G111" s="275">
        <v>60640438</v>
      </c>
      <c r="H111" s="275">
        <v>59677253</v>
      </c>
      <c r="I111" s="275">
        <v>65346656</v>
      </c>
      <c r="J111" s="275">
        <v>64004645</v>
      </c>
      <c r="K111" s="275">
        <v>63113105</v>
      </c>
      <c r="L111" s="275">
        <v>72199071</v>
      </c>
      <c r="M111" s="275">
        <v>79877672</v>
      </c>
      <c r="N111" s="275">
        <v>80327996</v>
      </c>
      <c r="O111" s="275">
        <v>82066734</v>
      </c>
      <c r="P111" s="275">
        <v>93128643</v>
      </c>
      <c r="Q111" s="275">
        <v>103551236</v>
      </c>
      <c r="R111" s="275">
        <v>104523815</v>
      </c>
      <c r="S111" s="275">
        <v>108597271</v>
      </c>
      <c r="T111" s="275">
        <v>115085994</v>
      </c>
      <c r="U111" s="275">
        <v>127943044</v>
      </c>
      <c r="V111" s="275">
        <v>123493404</v>
      </c>
      <c r="W111" s="275">
        <v>129297803</v>
      </c>
      <c r="X111" s="275">
        <v>141474991</v>
      </c>
    </row>
    <row r="112" spans="1:24" ht="14.25" thickBot="1" x14ac:dyDescent="0.3">
      <c r="A112" s="224" t="s">
        <v>25</v>
      </c>
      <c r="B112" s="273">
        <v>1430227</v>
      </c>
      <c r="C112" s="273">
        <v>1455674</v>
      </c>
      <c r="D112" s="273">
        <v>1701015</v>
      </c>
      <c r="E112" s="273">
        <v>1718384</v>
      </c>
      <c r="F112" s="273">
        <v>1797206</v>
      </c>
      <c r="G112" s="273">
        <v>1750236</v>
      </c>
      <c r="H112" s="273">
        <v>1731705</v>
      </c>
      <c r="I112" s="273">
        <v>1730683</v>
      </c>
      <c r="J112" s="273">
        <v>1658434</v>
      </c>
      <c r="K112" s="273">
        <v>1575439</v>
      </c>
      <c r="L112" s="273">
        <v>1516635</v>
      </c>
      <c r="M112" s="273">
        <v>1545197</v>
      </c>
      <c r="N112" s="273">
        <v>1507340</v>
      </c>
      <c r="O112" s="273">
        <v>1441274</v>
      </c>
      <c r="P112" s="273">
        <v>1479680</v>
      </c>
      <c r="Q112" s="273">
        <v>1473633</v>
      </c>
      <c r="R112" s="273">
        <v>1471465</v>
      </c>
      <c r="S112" s="273">
        <v>536406</v>
      </c>
      <c r="T112" s="273">
        <v>561942</v>
      </c>
      <c r="U112" s="273">
        <v>539634</v>
      </c>
      <c r="V112" s="273">
        <v>586235</v>
      </c>
      <c r="W112" s="273">
        <v>570517</v>
      </c>
      <c r="X112" s="273">
        <v>584687</v>
      </c>
    </row>
    <row r="113" spans="1:24" ht="14.25" thickBot="1" x14ac:dyDescent="0.3">
      <c r="A113" s="225" t="s">
        <v>26</v>
      </c>
      <c r="B113" s="275">
        <v>28941449</v>
      </c>
      <c r="C113" s="275">
        <v>30474597</v>
      </c>
      <c r="D113" s="275">
        <v>30824912</v>
      </c>
      <c r="E113" s="275">
        <v>30998040</v>
      </c>
      <c r="F113" s="275">
        <v>31807402</v>
      </c>
      <c r="G113" s="275">
        <v>33215128</v>
      </c>
      <c r="H113" s="275">
        <v>34905136</v>
      </c>
      <c r="I113" s="275">
        <v>34903140</v>
      </c>
      <c r="J113" s="275">
        <v>35459756</v>
      </c>
      <c r="K113" s="275">
        <v>34211620</v>
      </c>
      <c r="L113" s="275">
        <v>35473148</v>
      </c>
      <c r="M113" s="275">
        <v>45405426</v>
      </c>
      <c r="N113" s="275">
        <v>48033533</v>
      </c>
      <c r="O113" s="275">
        <v>54120023</v>
      </c>
      <c r="P113" s="275">
        <v>58185073</v>
      </c>
      <c r="Q113" s="275">
        <v>58737606</v>
      </c>
      <c r="R113" s="275">
        <v>57139166</v>
      </c>
      <c r="S113" s="275">
        <v>54719627</v>
      </c>
      <c r="T113" s="275">
        <v>52764588</v>
      </c>
      <c r="U113" s="275">
        <v>51055042</v>
      </c>
      <c r="V113" s="275">
        <v>47610784</v>
      </c>
      <c r="W113" s="275">
        <v>47263901</v>
      </c>
      <c r="X113" s="275">
        <v>48716543</v>
      </c>
    </row>
    <row r="114" spans="1:24" ht="14.25" thickBot="1" x14ac:dyDescent="0.3">
      <c r="A114" s="224" t="s">
        <v>27</v>
      </c>
      <c r="B114" s="273">
        <v>1434902</v>
      </c>
      <c r="C114" s="273">
        <v>1245223</v>
      </c>
      <c r="D114" s="273">
        <v>1495307</v>
      </c>
      <c r="E114" s="273">
        <v>1576705</v>
      </c>
      <c r="F114" s="273">
        <v>2483912</v>
      </c>
      <c r="G114" s="273">
        <v>4142738</v>
      </c>
      <c r="H114" s="273">
        <v>3293818</v>
      </c>
      <c r="I114" s="273">
        <v>3398557</v>
      </c>
      <c r="J114" s="273">
        <v>3725238</v>
      </c>
      <c r="K114" s="273">
        <v>6224291</v>
      </c>
      <c r="L114" s="273">
        <v>9580141</v>
      </c>
      <c r="M114" s="273">
        <v>10136409</v>
      </c>
      <c r="N114" s="273">
        <v>10489626</v>
      </c>
      <c r="O114" s="273">
        <v>7741660</v>
      </c>
      <c r="P114" s="273">
        <v>8254823</v>
      </c>
      <c r="Q114" s="273">
        <v>7817197</v>
      </c>
      <c r="R114" s="273">
        <v>7691231</v>
      </c>
      <c r="S114" s="273">
        <v>7046021</v>
      </c>
      <c r="T114" s="273">
        <v>6471837</v>
      </c>
      <c r="U114" s="273">
        <v>6809864</v>
      </c>
      <c r="V114" s="273">
        <v>7044005</v>
      </c>
      <c r="W114" s="273">
        <v>8933170</v>
      </c>
      <c r="X114" s="273">
        <v>10560588</v>
      </c>
    </row>
    <row r="115" spans="1:24" ht="14.25" thickBot="1" x14ac:dyDescent="0.3">
      <c r="A115" s="225" t="s">
        <v>265</v>
      </c>
      <c r="B115" s="276">
        <v>90134309</v>
      </c>
      <c r="C115" s="276">
        <v>94559640</v>
      </c>
      <c r="D115" s="276">
        <v>97746769</v>
      </c>
      <c r="E115" s="276">
        <v>100925843</v>
      </c>
      <c r="F115" s="276">
        <v>110419941</v>
      </c>
      <c r="G115" s="276">
        <v>99748540</v>
      </c>
      <c r="H115" s="276">
        <v>99607912</v>
      </c>
      <c r="I115" s="276">
        <v>105379036</v>
      </c>
      <c r="J115" s="276">
        <v>104848073</v>
      </c>
      <c r="K115" s="276">
        <v>105124455</v>
      </c>
      <c r="L115" s="276">
        <v>118768995</v>
      </c>
      <c r="M115" s="276">
        <v>136964704</v>
      </c>
      <c r="N115" s="276">
        <v>140358495</v>
      </c>
      <c r="O115" s="276">
        <v>145369691</v>
      </c>
      <c r="P115" s="276">
        <v>161048219</v>
      </c>
      <c r="Q115" s="276">
        <v>171579672</v>
      </c>
      <c r="R115" s="276">
        <v>170825677</v>
      </c>
      <c r="S115" s="276">
        <v>170899325</v>
      </c>
      <c r="T115" s="276">
        <v>174884361</v>
      </c>
      <c r="U115" s="276">
        <v>186347584</v>
      </c>
      <c r="V115" s="276">
        <v>178734428</v>
      </c>
      <c r="W115" s="276">
        <v>186065391</v>
      </c>
      <c r="X115" s="276">
        <v>201336809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16910847</v>
      </c>
      <c r="C118" s="273">
        <v>19132162</v>
      </c>
      <c r="D118" s="273">
        <v>21913341</v>
      </c>
      <c r="E118" s="273">
        <v>24439799</v>
      </c>
      <c r="F118" s="273">
        <v>26999556</v>
      </c>
      <c r="G118" s="273">
        <v>14472000</v>
      </c>
      <c r="H118" s="273">
        <v>12808970</v>
      </c>
      <c r="I118" s="273">
        <v>16155655</v>
      </c>
      <c r="J118" s="273">
        <v>12798970</v>
      </c>
      <c r="K118" s="273">
        <v>11993000</v>
      </c>
      <c r="L118" s="273">
        <v>11745000</v>
      </c>
      <c r="M118" s="273">
        <v>15527000</v>
      </c>
      <c r="N118" s="273">
        <v>15834500</v>
      </c>
      <c r="O118" s="273">
        <v>17136000</v>
      </c>
      <c r="P118" s="273">
        <v>21848500</v>
      </c>
      <c r="Q118" s="273">
        <v>22985500</v>
      </c>
      <c r="R118" s="273">
        <v>24431760</v>
      </c>
      <c r="S118" s="273">
        <v>28631965</v>
      </c>
      <c r="T118" s="273">
        <v>31023080</v>
      </c>
      <c r="U118" s="273">
        <v>38474388</v>
      </c>
      <c r="V118" s="273">
        <v>38591571</v>
      </c>
      <c r="W118" s="273">
        <v>38189368</v>
      </c>
      <c r="X118" s="273">
        <v>40873209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3009363</v>
      </c>
      <c r="C120" s="273">
        <v>3049437</v>
      </c>
      <c r="D120" s="273">
        <v>2735303</v>
      </c>
      <c r="E120" s="273">
        <v>3338208</v>
      </c>
      <c r="F120" s="273">
        <v>3659831</v>
      </c>
      <c r="G120" s="273">
        <v>3583495</v>
      </c>
      <c r="H120" s="273">
        <v>3610823</v>
      </c>
      <c r="I120" s="273">
        <v>4782316</v>
      </c>
      <c r="J120" s="273">
        <v>4002982</v>
      </c>
      <c r="K120" s="273">
        <v>3847081</v>
      </c>
      <c r="L120" s="273">
        <v>4319441</v>
      </c>
      <c r="M120" s="273">
        <v>6223708</v>
      </c>
      <c r="N120" s="273">
        <v>6076756</v>
      </c>
      <c r="O120" s="273">
        <v>5713960</v>
      </c>
      <c r="P120" s="273">
        <v>6898839</v>
      </c>
      <c r="Q120" s="273">
        <v>6288680</v>
      </c>
      <c r="R120" s="273">
        <v>3757399</v>
      </c>
      <c r="S120" s="273">
        <v>3577050</v>
      </c>
      <c r="T120" s="273">
        <v>5011427</v>
      </c>
      <c r="U120" s="273">
        <v>5463299</v>
      </c>
      <c r="V120" s="273">
        <v>5109129</v>
      </c>
      <c r="W120" s="273">
        <v>5860869</v>
      </c>
      <c r="X120" s="273">
        <v>10404946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933460</v>
      </c>
      <c r="C122" s="273">
        <v>4230504</v>
      </c>
      <c r="D122" s="273">
        <v>4213186</v>
      </c>
      <c r="E122" s="273">
        <v>4327339</v>
      </c>
      <c r="F122" s="273">
        <v>4340508</v>
      </c>
      <c r="G122" s="273">
        <v>4722896</v>
      </c>
      <c r="H122" s="273">
        <v>4591841</v>
      </c>
      <c r="I122" s="273">
        <v>4492625</v>
      </c>
      <c r="J122" s="273">
        <v>4334590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4476973</v>
      </c>
      <c r="C123" s="275">
        <v>8842546</v>
      </c>
      <c r="D123" s="275">
        <v>8429107</v>
      </c>
      <c r="E123" s="275">
        <v>4636028</v>
      </c>
      <c r="F123" s="275">
        <v>5510125</v>
      </c>
      <c r="G123" s="275">
        <v>9572035</v>
      </c>
      <c r="H123" s="275">
        <v>9188781</v>
      </c>
      <c r="I123" s="275">
        <v>6143972</v>
      </c>
      <c r="J123" s="275">
        <v>5673206</v>
      </c>
      <c r="K123" s="275">
        <v>9513408</v>
      </c>
      <c r="L123" s="275">
        <v>11429979</v>
      </c>
      <c r="M123" s="275">
        <v>10429378</v>
      </c>
      <c r="N123" s="275">
        <v>10694942</v>
      </c>
      <c r="O123" s="275">
        <v>15185169</v>
      </c>
      <c r="P123" s="275">
        <v>13183563</v>
      </c>
      <c r="Q123" s="275">
        <v>15599359</v>
      </c>
      <c r="R123" s="275">
        <v>14065220</v>
      </c>
      <c r="S123" s="275">
        <v>19095322</v>
      </c>
      <c r="T123" s="275">
        <v>19191121</v>
      </c>
      <c r="U123" s="275">
        <v>13353414</v>
      </c>
      <c r="V123" s="275">
        <v>11459973</v>
      </c>
      <c r="W123" s="275">
        <v>20530460</v>
      </c>
      <c r="X123" s="275">
        <v>20785039</v>
      </c>
    </row>
    <row r="124" spans="1:24" ht="14.25" thickBot="1" x14ac:dyDescent="0.3">
      <c r="A124" s="224" t="s">
        <v>268</v>
      </c>
      <c r="B124" s="273">
        <v>25330643</v>
      </c>
      <c r="C124" s="273">
        <v>35254649</v>
      </c>
      <c r="D124" s="273">
        <v>37290937</v>
      </c>
      <c r="E124" s="273">
        <v>36741374</v>
      </c>
      <c r="F124" s="273">
        <v>40510020</v>
      </c>
      <c r="G124" s="273">
        <v>32350426</v>
      </c>
      <c r="H124" s="273">
        <v>30200415</v>
      </c>
      <c r="I124" s="273">
        <v>31574568</v>
      </c>
      <c r="J124" s="273">
        <v>26809748</v>
      </c>
      <c r="K124" s="273">
        <v>25353489</v>
      </c>
      <c r="L124" s="273">
        <v>27494420</v>
      </c>
      <c r="M124" s="273">
        <v>32180086</v>
      </c>
      <c r="N124" s="273">
        <v>32606198</v>
      </c>
      <c r="O124" s="273">
        <v>38035129</v>
      </c>
      <c r="P124" s="273">
        <v>41930902</v>
      </c>
      <c r="Q124" s="273">
        <v>44873539</v>
      </c>
      <c r="R124" s="273">
        <v>42254379</v>
      </c>
      <c r="S124" s="273">
        <v>51304337</v>
      </c>
      <c r="T124" s="273">
        <v>55225628</v>
      </c>
      <c r="U124" s="273">
        <v>57291101</v>
      </c>
      <c r="V124" s="273">
        <v>55160673</v>
      </c>
      <c r="W124" s="273">
        <v>64580697</v>
      </c>
      <c r="X124" s="273">
        <v>72063194</v>
      </c>
    </row>
    <row r="125" spans="1:24" ht="14.25" thickBot="1" x14ac:dyDescent="0.3">
      <c r="A125" s="225" t="s">
        <v>32</v>
      </c>
      <c r="B125" s="275">
        <v>7060250</v>
      </c>
      <c r="C125" s="275">
        <v>3318992</v>
      </c>
      <c r="D125" s="275">
        <v>3579771</v>
      </c>
      <c r="E125" s="275">
        <v>2862875</v>
      </c>
      <c r="F125" s="275">
        <v>2770758</v>
      </c>
      <c r="G125" s="275">
        <v>128068</v>
      </c>
      <c r="H125" s="275">
        <v>117763</v>
      </c>
      <c r="I125" s="275">
        <v>124362</v>
      </c>
      <c r="J125" s="275">
        <v>114687</v>
      </c>
      <c r="K125" s="275">
        <v>1856247</v>
      </c>
      <c r="L125" s="275">
        <v>5864478</v>
      </c>
      <c r="M125" s="275">
        <v>8695459</v>
      </c>
      <c r="N125" s="275">
        <v>8288798</v>
      </c>
      <c r="O125" s="275">
        <v>8176153</v>
      </c>
      <c r="P125" s="275">
        <v>8375039</v>
      </c>
      <c r="Q125" s="275">
        <v>10740671</v>
      </c>
      <c r="R125" s="275">
        <v>10130413</v>
      </c>
      <c r="S125" s="275">
        <v>6901712</v>
      </c>
      <c r="T125" s="275">
        <v>6270212</v>
      </c>
      <c r="U125" s="275">
        <v>6226431</v>
      </c>
      <c r="V125" s="275">
        <v>5153715</v>
      </c>
      <c r="W125" s="275">
        <v>4745833</v>
      </c>
      <c r="X125" s="275">
        <v>3861852</v>
      </c>
    </row>
    <row r="126" spans="1:24" ht="14.25" thickBot="1" x14ac:dyDescent="0.3">
      <c r="A126" s="224" t="s">
        <v>33</v>
      </c>
      <c r="B126" s="273">
        <v>105410</v>
      </c>
      <c r="C126" s="273">
        <v>109451</v>
      </c>
      <c r="D126" s="273">
        <v>121497</v>
      </c>
      <c r="E126" s="273">
        <v>111479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32496303</v>
      </c>
      <c r="C127" s="275">
        <v>38683092</v>
      </c>
      <c r="D127" s="275">
        <v>40992205</v>
      </c>
      <c r="E127" s="275">
        <v>39715728</v>
      </c>
      <c r="F127" s="275">
        <v>43280778</v>
      </c>
      <c r="G127" s="275">
        <v>32478494</v>
      </c>
      <c r="H127" s="275">
        <v>30318178</v>
      </c>
      <c r="I127" s="275">
        <v>31698930</v>
      </c>
      <c r="J127" s="275">
        <v>26924435</v>
      </c>
      <c r="K127" s="275">
        <v>27209736</v>
      </c>
      <c r="L127" s="275">
        <v>33358898</v>
      </c>
      <c r="M127" s="275">
        <v>40875545</v>
      </c>
      <c r="N127" s="275">
        <v>40894996</v>
      </c>
      <c r="O127" s="275">
        <v>46211282</v>
      </c>
      <c r="P127" s="275">
        <v>50305941</v>
      </c>
      <c r="Q127" s="275">
        <v>55614210</v>
      </c>
      <c r="R127" s="275">
        <v>52384792</v>
      </c>
      <c r="S127" s="275">
        <v>58206049</v>
      </c>
      <c r="T127" s="275">
        <v>61495840</v>
      </c>
      <c r="U127" s="275">
        <v>63517532</v>
      </c>
      <c r="V127" s="275">
        <v>60314388</v>
      </c>
      <c r="W127" s="275">
        <v>69326530</v>
      </c>
      <c r="X127" s="275">
        <v>75925046</v>
      </c>
    </row>
    <row r="128" spans="1:24" ht="14.25" thickBot="1" x14ac:dyDescent="0.3">
      <c r="A128" s="224" t="s">
        <v>34</v>
      </c>
      <c r="B128" s="273">
        <v>57638006</v>
      </c>
      <c r="C128" s="273">
        <v>55876548</v>
      </c>
      <c r="D128" s="273">
        <v>56754564</v>
      </c>
      <c r="E128" s="273">
        <v>61210115</v>
      </c>
      <c r="F128" s="273">
        <v>67139163</v>
      </c>
      <c r="G128" s="273">
        <v>67270046</v>
      </c>
      <c r="H128" s="273">
        <v>69289734</v>
      </c>
      <c r="I128" s="273">
        <v>73680106</v>
      </c>
      <c r="J128" s="273">
        <v>77923638</v>
      </c>
      <c r="K128" s="273">
        <v>77914719</v>
      </c>
      <c r="L128" s="273">
        <v>85410097</v>
      </c>
      <c r="M128" s="273">
        <v>96089159</v>
      </c>
      <c r="N128" s="273">
        <v>99463499</v>
      </c>
      <c r="O128" s="273">
        <v>99158409</v>
      </c>
      <c r="P128" s="273">
        <v>110742278</v>
      </c>
      <c r="Q128" s="273">
        <v>115965462</v>
      </c>
      <c r="R128" s="273">
        <v>118440885</v>
      </c>
      <c r="S128" s="273">
        <v>112693276</v>
      </c>
      <c r="T128" s="273">
        <v>113388521</v>
      </c>
      <c r="U128" s="273">
        <v>122830052</v>
      </c>
      <c r="V128" s="273">
        <v>118420040</v>
      </c>
      <c r="W128" s="273">
        <v>116738861</v>
      </c>
      <c r="X128" s="273">
        <v>125411763</v>
      </c>
    </row>
    <row r="129" spans="1:24" ht="14.25" thickBot="1" x14ac:dyDescent="0.3">
      <c r="A129" s="225" t="s">
        <v>35</v>
      </c>
      <c r="B129" s="276">
        <v>90134309</v>
      </c>
      <c r="C129" s="276">
        <v>94559640</v>
      </c>
      <c r="D129" s="276">
        <v>97746769</v>
      </c>
      <c r="E129" s="276">
        <v>100925843</v>
      </c>
      <c r="F129" s="276">
        <v>110419941</v>
      </c>
      <c r="G129" s="276">
        <v>99748540</v>
      </c>
      <c r="H129" s="276">
        <v>99607912</v>
      </c>
      <c r="I129" s="276">
        <v>105379036</v>
      </c>
      <c r="J129" s="276">
        <v>104848073</v>
      </c>
      <c r="K129" s="276">
        <v>105124455</v>
      </c>
      <c r="L129" s="276">
        <v>118768995</v>
      </c>
      <c r="M129" s="276">
        <v>136964704</v>
      </c>
      <c r="N129" s="276">
        <v>140358495</v>
      </c>
      <c r="O129" s="276">
        <v>145369691</v>
      </c>
      <c r="P129" s="276">
        <v>161048219</v>
      </c>
      <c r="Q129" s="276">
        <v>171579672</v>
      </c>
      <c r="R129" s="276">
        <v>170825677</v>
      </c>
      <c r="S129" s="276">
        <v>170899325</v>
      </c>
      <c r="T129" s="276">
        <v>174884361</v>
      </c>
      <c r="U129" s="276">
        <v>186347584</v>
      </c>
      <c r="V129" s="276">
        <v>178734428</v>
      </c>
      <c r="W129" s="276">
        <v>186065391</v>
      </c>
      <c r="X129" s="276">
        <v>201336809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15.29</v>
      </c>
      <c r="C132" s="68">
        <v>26.77</v>
      </c>
      <c r="D132" s="68">
        <v>35.5</v>
      </c>
      <c r="E132" s="68">
        <v>43.13</v>
      </c>
      <c r="F132" s="68">
        <v>34.380000000000003</v>
      </c>
    </row>
    <row r="133" spans="1:24" ht="14.25" thickBot="1" x14ac:dyDescent="0.3">
      <c r="A133" s="225" t="s">
        <v>37</v>
      </c>
      <c r="B133" s="274">
        <v>-11.11</v>
      </c>
      <c r="C133" s="274">
        <v>-14.28</v>
      </c>
      <c r="D133" s="274">
        <v>-20.89</v>
      </c>
      <c r="E133" s="274">
        <v>-24.82</v>
      </c>
      <c r="F133" s="274">
        <v>-85.63</v>
      </c>
    </row>
    <row r="134" spans="1:24" ht="14.25" thickBot="1" x14ac:dyDescent="0.3">
      <c r="A134" s="224" t="s">
        <v>38</v>
      </c>
      <c r="B134" s="68">
        <v>3.71</v>
      </c>
      <c r="C134" s="68">
        <v>-22.07</v>
      </c>
      <c r="D134" s="68">
        <v>-7.21</v>
      </c>
      <c r="E134" s="68">
        <v>3.55</v>
      </c>
      <c r="F134" s="68">
        <v>9.68</v>
      </c>
    </row>
    <row r="135" spans="1:24" ht="14.25" thickBot="1" x14ac:dyDescent="0.3">
      <c r="A135" s="225" t="s">
        <v>270</v>
      </c>
      <c r="B135" s="274">
        <v>4.18</v>
      </c>
      <c r="C135" s="274">
        <v>12.49</v>
      </c>
      <c r="D135" s="274">
        <v>14.61</v>
      </c>
      <c r="E135" s="274">
        <v>18.309999999999999</v>
      </c>
      <c r="F135" s="274">
        <v>-51.25</v>
      </c>
    </row>
    <row r="136" spans="1:24" ht="14.25" thickBot="1" x14ac:dyDescent="0.3">
      <c r="A136" s="229" t="s">
        <v>39</v>
      </c>
      <c r="B136" s="72">
        <v>7.88</v>
      </c>
      <c r="C136" s="72">
        <v>-9.58</v>
      </c>
      <c r="D136" s="72">
        <v>7.4</v>
      </c>
      <c r="E136" s="72">
        <v>21.86</v>
      </c>
      <c r="F136" s="72">
        <v>-41.57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6</v>
      </c>
      <c r="C140" s="68">
        <v>5</v>
      </c>
      <c r="D140" s="68">
        <v>6</v>
      </c>
      <c r="E140" s="68">
        <v>10</v>
      </c>
      <c r="F140" s="68">
        <v>10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0.41350792556857335</v>
      </c>
      <c r="C142" s="234">
        <f>IF(C140&lt;&gt;"無",IF(ISNA(HLOOKUP(C139,$B$64:$F$69,6,FALSE)),"",C140/HLOOKUP(C139,$B$64:$F$69,6,FALSE)),"")</f>
        <v>0.27218290691344588</v>
      </c>
      <c r="D142" s="234">
        <f>IF(D140&lt;&gt;"無",IF(ISNA(HLOOKUP(D139,$B$64:$F$69,6,FALSE)),"",D140/HLOOKUP(D139,$B$64:$F$69,6,FALSE)),"")</f>
        <v>0.25380710659898476</v>
      </c>
      <c r="E142" s="234">
        <f>IF(E140&lt;&gt;"無",IF(ISNA(HLOOKUP(E139,$B$64:$F$69,6,FALSE)),"",E140/HLOOKUP(E139,$B$64:$F$69,6,FALSE)),"")</f>
        <v>0.30674846625766872</v>
      </c>
      <c r="F142" s="234">
        <f>IF(F140&lt;&gt;"無",IF(ISNA(HLOOKUP(F139,$B$64:$F$69,6,FALSE)),"",F140/HLOOKUP(F139,$B$64:$F$69,6,FALSE)),"")</f>
        <v>0.34989503149055284</v>
      </c>
    </row>
    <row r="143" spans="1:24" x14ac:dyDescent="0.25">
      <c r="A143" s="233" t="s">
        <v>216</v>
      </c>
      <c r="B143" s="234">
        <f>IF(OR(B140=0,B140="無"),"",B135/B140)</f>
        <v>0.69666666666666666</v>
      </c>
      <c r="C143" s="234">
        <f>IF(OR(C140=0,C140="無"),"",C135/C140)</f>
        <v>2.4980000000000002</v>
      </c>
      <c r="D143" s="234">
        <f>IF(OR(D140=0,D140="無"),"",D135/D140)</f>
        <v>2.4350000000000001</v>
      </c>
      <c r="E143" s="234">
        <f>IF(OR(E140=0,E140="無"),"",E135/E140)</f>
        <v>1.831</v>
      </c>
      <c r="F143" s="234">
        <f>IF(OR(F140=0,F140="無"),"",F135/F140)</f>
        <v>-5.125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41.16</v>
      </c>
      <c r="C146" s="68">
        <v>45.21</v>
      </c>
      <c r="D146" s="68">
        <v>42.02</v>
      </c>
      <c r="E146" s="68">
        <v>44.51</v>
      </c>
      <c r="F146" s="68">
        <v>41.72</v>
      </c>
      <c r="G146" s="68">
        <v>44.48</v>
      </c>
      <c r="H146" s="68">
        <v>41.66</v>
      </c>
      <c r="I146" s="68">
        <v>41.69</v>
      </c>
      <c r="J146" s="68">
        <v>41.32</v>
      </c>
      <c r="K146" s="68">
        <v>49.23</v>
      </c>
      <c r="L146" s="68">
        <v>48.83</v>
      </c>
      <c r="M146" s="68">
        <v>47.88</v>
      </c>
      <c r="N146" s="68">
        <v>46.61</v>
      </c>
      <c r="O146" s="68">
        <v>47.43</v>
      </c>
      <c r="P146" s="68">
        <v>46.52</v>
      </c>
      <c r="Q146" s="68">
        <v>44.86</v>
      </c>
      <c r="R146" s="68">
        <v>42.81</v>
      </c>
      <c r="S146" s="68">
        <v>36.11</v>
      </c>
      <c r="T146" s="68">
        <v>42.64</v>
      </c>
      <c r="U146" s="68">
        <v>50.05</v>
      </c>
      <c r="V146" s="68">
        <v>48.95</v>
      </c>
      <c r="W146" s="68">
        <v>48.13</v>
      </c>
      <c r="X146" s="68">
        <v>42.56</v>
      </c>
    </row>
    <row r="147" spans="1:24" s="93" customFormat="1" ht="14.25" thickBot="1" x14ac:dyDescent="0.3">
      <c r="A147" s="225" t="s">
        <v>19</v>
      </c>
      <c r="B147" s="274">
        <v>30.41</v>
      </c>
      <c r="C147" s="274">
        <v>34.64</v>
      </c>
      <c r="D147" s="274">
        <v>31.92</v>
      </c>
      <c r="E147" s="274">
        <v>34.01</v>
      </c>
      <c r="F147" s="274">
        <v>31.74</v>
      </c>
      <c r="G147" s="274">
        <v>34.68</v>
      </c>
      <c r="H147" s="274">
        <v>31.09</v>
      </c>
      <c r="I147" s="274">
        <v>31.36</v>
      </c>
      <c r="J147" s="274">
        <v>30.8</v>
      </c>
      <c r="K147" s="274">
        <v>38.72</v>
      </c>
      <c r="L147" s="274">
        <v>37.56</v>
      </c>
      <c r="M147" s="274">
        <v>36.450000000000003</v>
      </c>
      <c r="N147" s="274">
        <v>35.880000000000003</v>
      </c>
      <c r="O147" s="274">
        <v>37.299999999999997</v>
      </c>
      <c r="P147" s="274">
        <v>35.619999999999997</v>
      </c>
      <c r="Q147" s="274">
        <v>34.28</v>
      </c>
      <c r="R147" s="274">
        <v>34.46</v>
      </c>
      <c r="S147" s="274">
        <v>28</v>
      </c>
      <c r="T147" s="274">
        <v>33.56</v>
      </c>
      <c r="U147" s="274">
        <v>40.909999999999997</v>
      </c>
      <c r="V147" s="274">
        <v>36.71</v>
      </c>
      <c r="W147" s="274">
        <v>38.1</v>
      </c>
      <c r="X147" s="274">
        <v>33.42</v>
      </c>
    </row>
    <row r="148" spans="1:24" s="93" customFormat="1" ht="14.25" thickBot="1" x14ac:dyDescent="0.3">
      <c r="A148" s="224" t="s">
        <v>41</v>
      </c>
      <c r="B148" s="68">
        <v>38.18</v>
      </c>
      <c r="C148" s="68">
        <v>31.38</v>
      </c>
      <c r="D148" s="68">
        <v>28.29</v>
      </c>
      <c r="E148" s="68">
        <v>51.71</v>
      </c>
      <c r="F148" s="68">
        <v>50.37</v>
      </c>
      <c r="G148" s="68">
        <v>46.52</v>
      </c>
      <c r="H148" s="68">
        <v>32.72</v>
      </c>
      <c r="I148" s="68">
        <v>35.049999999999997</v>
      </c>
      <c r="J148" s="68">
        <v>37.049999999999997</v>
      </c>
      <c r="K148" s="68">
        <v>40.81</v>
      </c>
      <c r="L148" s="68">
        <v>43.32</v>
      </c>
      <c r="M148" s="68">
        <v>46.76</v>
      </c>
      <c r="N148" s="68">
        <v>35.92</v>
      </c>
      <c r="O148" s="68">
        <v>40.54</v>
      </c>
      <c r="P148" s="68">
        <v>51.3</v>
      </c>
      <c r="Q148" s="68">
        <v>39.630000000000003</v>
      </c>
      <c r="R148" s="68">
        <v>33.76</v>
      </c>
      <c r="S148" s="68">
        <v>38.880000000000003</v>
      </c>
      <c r="T148" s="68">
        <v>30.33</v>
      </c>
      <c r="U148" s="68">
        <v>57.61</v>
      </c>
      <c r="V148" s="68">
        <v>21.16</v>
      </c>
      <c r="W148" s="68">
        <v>37.64</v>
      </c>
      <c r="X148" s="68">
        <v>39.39</v>
      </c>
    </row>
    <row r="149" spans="1:24" s="93" customFormat="1" ht="14.25" thickBot="1" x14ac:dyDescent="0.3">
      <c r="A149" s="225" t="s">
        <v>13</v>
      </c>
      <c r="B149" s="73">
        <v>32.26</v>
      </c>
      <c r="C149" s="73">
        <v>15.83</v>
      </c>
      <c r="D149" s="73">
        <v>22.55</v>
      </c>
      <c r="E149" s="73">
        <v>46.43</v>
      </c>
      <c r="F149" s="73">
        <v>42.52</v>
      </c>
      <c r="G149" s="73">
        <v>34.81</v>
      </c>
      <c r="H149" s="73">
        <v>26.6</v>
      </c>
      <c r="I149" s="73">
        <v>26.49</v>
      </c>
      <c r="J149" s="73">
        <v>28.68</v>
      </c>
      <c r="K149" s="73">
        <v>27.37</v>
      </c>
      <c r="L149" s="73">
        <v>33.119999999999997</v>
      </c>
      <c r="M149" s="73">
        <v>37.869999999999997</v>
      </c>
      <c r="N149" s="73">
        <v>26.81</v>
      </c>
      <c r="O149" s="73">
        <v>26.12</v>
      </c>
      <c r="P149" s="73">
        <v>38.18</v>
      </c>
      <c r="Q149" s="73">
        <v>30.18</v>
      </c>
      <c r="R149" s="73">
        <v>24.73</v>
      </c>
      <c r="S149" s="73">
        <v>22.09</v>
      </c>
      <c r="T149" s="73">
        <v>21.61</v>
      </c>
      <c r="U149" s="73">
        <v>39.770000000000003</v>
      </c>
      <c r="V149" s="73">
        <v>14.43</v>
      </c>
      <c r="W149" s="73">
        <v>22.14</v>
      </c>
      <c r="X149" s="73">
        <v>26.93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43.32</v>
      </c>
      <c r="C152" s="68">
        <v>42.36</v>
      </c>
      <c r="D152" s="68">
        <v>47.22</v>
      </c>
      <c r="E152" s="68">
        <v>46.29</v>
      </c>
      <c r="F152" s="68">
        <v>43.48</v>
      </c>
    </row>
    <row r="153" spans="1:24" s="93" customFormat="1" ht="14.25" thickBot="1" x14ac:dyDescent="0.3">
      <c r="A153" s="225" t="s">
        <v>19</v>
      </c>
      <c r="B153" s="274">
        <v>32.83</v>
      </c>
      <c r="C153" s="274">
        <v>32.18</v>
      </c>
      <c r="D153" s="274">
        <v>36.229999999999997</v>
      </c>
      <c r="E153" s="274">
        <v>35.71</v>
      </c>
      <c r="F153" s="274">
        <v>34.75</v>
      </c>
    </row>
    <row r="154" spans="1:24" s="93" customFormat="1" ht="14.25" thickBot="1" x14ac:dyDescent="0.3">
      <c r="A154" s="224" t="s">
        <v>41</v>
      </c>
      <c r="B154" s="68">
        <v>37.68</v>
      </c>
      <c r="C154" s="68">
        <v>40.53</v>
      </c>
      <c r="D154" s="68">
        <v>42.59</v>
      </c>
      <c r="E154" s="68">
        <v>42.1</v>
      </c>
      <c r="F154" s="68">
        <v>41.24</v>
      </c>
    </row>
    <row r="155" spans="1:24" s="93" customFormat="1" ht="14.25" thickBot="1" x14ac:dyDescent="0.3">
      <c r="A155" s="225" t="s">
        <v>13</v>
      </c>
      <c r="B155" s="73">
        <v>29.46</v>
      </c>
      <c r="C155" s="73">
        <v>31.95</v>
      </c>
      <c r="D155" s="73">
        <v>32.36</v>
      </c>
      <c r="E155" s="73">
        <v>30.55</v>
      </c>
      <c r="F155" s="73">
        <v>27.89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3.17</v>
      </c>
      <c r="C158" s="68">
        <v>1.69</v>
      </c>
      <c r="D158" s="68">
        <v>2.13</v>
      </c>
      <c r="E158" s="68">
        <v>4.71</v>
      </c>
      <c r="F158" s="68">
        <v>3.78</v>
      </c>
      <c r="G158" s="68">
        <v>3.52</v>
      </c>
      <c r="H158" s="68">
        <v>2.83</v>
      </c>
      <c r="I158" s="68">
        <v>3.44</v>
      </c>
      <c r="J158" s="68">
        <v>2.88</v>
      </c>
      <c r="K158" s="68">
        <v>3.5</v>
      </c>
      <c r="L158" s="68">
        <v>4.32</v>
      </c>
      <c r="M158" s="68">
        <v>5.0599999999999996</v>
      </c>
      <c r="N158" s="68">
        <v>3.38</v>
      </c>
      <c r="O158" s="68">
        <v>3.7</v>
      </c>
      <c r="P158" s="68">
        <v>5.35</v>
      </c>
      <c r="Q158" s="68">
        <v>4.28</v>
      </c>
      <c r="R158" s="68">
        <v>2.46</v>
      </c>
      <c r="S158" s="68">
        <v>2.2799999999999998</v>
      </c>
      <c r="T158" s="68">
        <v>2.64</v>
      </c>
      <c r="U158" s="68">
        <v>5.3</v>
      </c>
      <c r="V158" s="68">
        <v>1.18</v>
      </c>
      <c r="W158" s="68">
        <v>2.27</v>
      </c>
      <c r="X158" s="68">
        <v>3.84</v>
      </c>
    </row>
    <row r="159" spans="1:24" s="93" customFormat="1" ht="14.25" thickBot="1" x14ac:dyDescent="0.3">
      <c r="A159" s="225" t="s">
        <v>45</v>
      </c>
      <c r="B159" s="73">
        <v>4.91</v>
      </c>
      <c r="C159" s="73">
        <v>2.69</v>
      </c>
      <c r="D159" s="73">
        <v>3.53</v>
      </c>
      <c r="E159" s="73">
        <v>7.8</v>
      </c>
      <c r="F159" s="73">
        <v>6.12</v>
      </c>
      <c r="G159" s="73">
        <v>5.42</v>
      </c>
      <c r="H159" s="73">
        <v>4.07</v>
      </c>
      <c r="I159" s="73">
        <v>4.8600000000000003</v>
      </c>
      <c r="J159" s="73">
        <v>3.94</v>
      </c>
      <c r="K159" s="73">
        <v>4.68</v>
      </c>
      <c r="L159" s="73">
        <v>5.89</v>
      </c>
      <c r="M159" s="73">
        <v>7.1</v>
      </c>
      <c r="N159" s="73">
        <v>4.7699999999999996</v>
      </c>
      <c r="O159" s="73">
        <v>5.29</v>
      </c>
      <c r="P159" s="73">
        <v>7.79</v>
      </c>
      <c r="Q159" s="73">
        <v>6.25</v>
      </c>
      <c r="R159" s="73">
        <v>3.55</v>
      </c>
      <c r="S159" s="73">
        <v>3.35</v>
      </c>
      <c r="T159" s="73">
        <v>3.96</v>
      </c>
      <c r="U159" s="73">
        <v>8.09</v>
      </c>
      <c r="V159" s="73">
        <v>1.74</v>
      </c>
      <c r="W159" s="73">
        <v>3.48</v>
      </c>
      <c r="X159" s="73">
        <v>6.1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29.46</v>
      </c>
      <c r="C162" s="68">
        <v>31.95</v>
      </c>
      <c r="D162" s="68">
        <v>32.36</v>
      </c>
      <c r="E162" s="68">
        <v>30.55</v>
      </c>
      <c r="F162" s="68">
        <v>27.89</v>
      </c>
    </row>
    <row r="163" spans="1:72" s="93" customFormat="1" ht="14.25" thickBot="1" x14ac:dyDescent="0.3">
      <c r="A163" s="225" t="s">
        <v>18</v>
      </c>
      <c r="B163" s="274">
        <v>0.37</v>
      </c>
      <c r="C163" s="274">
        <v>0.41</v>
      </c>
      <c r="D163" s="274">
        <v>0.4</v>
      </c>
      <c r="E163" s="274">
        <v>0.48</v>
      </c>
      <c r="F163" s="274">
        <v>0.42</v>
      </c>
    </row>
    <row r="164" spans="1:72" s="93" customFormat="1" ht="14.25" thickBot="1" x14ac:dyDescent="0.3">
      <c r="A164" s="224" t="s">
        <v>15</v>
      </c>
      <c r="B164" s="68">
        <v>1.65</v>
      </c>
      <c r="C164" s="68">
        <v>1.43</v>
      </c>
      <c r="D164" s="68">
        <v>1.43</v>
      </c>
      <c r="E164" s="68">
        <v>1.48</v>
      </c>
      <c r="F164" s="68">
        <v>1.52</v>
      </c>
    </row>
    <row r="165" spans="1:72" s="93" customFormat="1" ht="14.25" thickBot="1" x14ac:dyDescent="0.3">
      <c r="A165" s="225" t="s">
        <v>45</v>
      </c>
      <c r="B165" s="73">
        <v>18.61</v>
      </c>
      <c r="C165" s="73">
        <v>20.49</v>
      </c>
      <c r="D165" s="73">
        <v>21.07</v>
      </c>
      <c r="E165" s="73">
        <v>23.75</v>
      </c>
      <c r="F165" s="73">
        <v>18.48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116.88</v>
      </c>
      <c r="C168" s="68">
        <v>109.76</v>
      </c>
      <c r="D168" s="68">
        <v>136.36000000000001</v>
      </c>
      <c r="E168" s="68">
        <v>130.43</v>
      </c>
      <c r="F168" s="68">
        <v>150</v>
      </c>
      <c r="G168" s="68">
        <v>140.63</v>
      </c>
      <c r="H168" s="68">
        <v>142.86000000000001</v>
      </c>
      <c r="I168" s="68">
        <v>116.88</v>
      </c>
      <c r="J168" s="68">
        <v>142.86000000000001</v>
      </c>
      <c r="K168" s="68">
        <v>113.92</v>
      </c>
      <c r="L168" s="68">
        <v>108.43</v>
      </c>
      <c r="M168" s="68">
        <v>100</v>
      </c>
      <c r="N168" s="68">
        <v>113.92</v>
      </c>
      <c r="O168" s="68">
        <v>115.38</v>
      </c>
      <c r="P168" s="68">
        <v>128.57</v>
      </c>
      <c r="Q168" s="68">
        <v>116.88</v>
      </c>
      <c r="R168" s="68">
        <v>150</v>
      </c>
      <c r="S168" s="68">
        <v>145.16</v>
      </c>
      <c r="T168" s="68">
        <v>140.63</v>
      </c>
      <c r="U168" s="68">
        <v>130.43</v>
      </c>
      <c r="V168" s="68">
        <v>166.67</v>
      </c>
      <c r="W168" s="68">
        <v>113.92</v>
      </c>
      <c r="X168" s="68">
        <v>90.91</v>
      </c>
    </row>
    <row r="169" spans="1:72" s="93" customFormat="1" ht="14.25" thickBot="1" x14ac:dyDescent="0.3">
      <c r="A169" s="225" t="s">
        <v>17</v>
      </c>
      <c r="B169" s="274">
        <v>45.23</v>
      </c>
      <c r="C169" s="274">
        <v>43.27</v>
      </c>
      <c r="D169" s="274">
        <v>42.45</v>
      </c>
      <c r="E169" s="274">
        <v>39.130000000000003</v>
      </c>
      <c r="F169" s="274">
        <v>44.55</v>
      </c>
      <c r="G169" s="274">
        <v>48.65</v>
      </c>
      <c r="H169" s="274">
        <v>53.89</v>
      </c>
      <c r="I169" s="274">
        <v>45.69</v>
      </c>
      <c r="J169" s="274">
        <v>57.69</v>
      </c>
      <c r="K169" s="274">
        <v>51.72</v>
      </c>
      <c r="L169" s="274">
        <v>47.62</v>
      </c>
      <c r="M169" s="274">
        <v>49.18</v>
      </c>
      <c r="N169" s="274">
        <v>56.96</v>
      </c>
      <c r="O169" s="274">
        <v>52.02</v>
      </c>
      <c r="P169" s="274">
        <v>52.94</v>
      </c>
      <c r="Q169" s="274">
        <v>50.85</v>
      </c>
      <c r="R169" s="274">
        <v>66.180000000000007</v>
      </c>
      <c r="S169" s="274">
        <v>46.39</v>
      </c>
      <c r="T169" s="274">
        <v>31.47</v>
      </c>
      <c r="U169" s="274">
        <v>26.71</v>
      </c>
      <c r="V169" s="274">
        <v>44.78</v>
      </c>
      <c r="W169" s="274">
        <v>46.88</v>
      </c>
      <c r="X169" s="274">
        <v>43.27</v>
      </c>
    </row>
    <row r="170" spans="1:72" s="93" customFormat="1" ht="14.25" thickBot="1" x14ac:dyDescent="0.3">
      <c r="A170" s="224" t="s">
        <v>42</v>
      </c>
      <c r="B170" s="72">
        <v>162.11000000000001</v>
      </c>
      <c r="C170" s="72">
        <v>153.03</v>
      </c>
      <c r="D170" s="72">
        <v>178.82</v>
      </c>
      <c r="E170" s="72">
        <v>169.57</v>
      </c>
      <c r="F170" s="72">
        <v>194.55</v>
      </c>
      <c r="G170" s="72">
        <v>189.27</v>
      </c>
      <c r="H170" s="72">
        <v>196.75</v>
      </c>
      <c r="I170" s="72">
        <v>162.57</v>
      </c>
      <c r="J170" s="72">
        <v>200.55</v>
      </c>
      <c r="K170" s="72">
        <v>165.65</v>
      </c>
      <c r="L170" s="72">
        <v>156.05000000000001</v>
      </c>
      <c r="M170" s="72">
        <v>149.18</v>
      </c>
      <c r="N170" s="72">
        <v>170.89</v>
      </c>
      <c r="O170" s="72">
        <v>167.41</v>
      </c>
      <c r="P170" s="72">
        <v>181.51</v>
      </c>
      <c r="Q170" s="72">
        <v>167.73</v>
      </c>
      <c r="R170" s="72">
        <v>216.18</v>
      </c>
      <c r="S170" s="72">
        <v>191.55</v>
      </c>
      <c r="T170" s="72">
        <v>172.09</v>
      </c>
      <c r="U170" s="72">
        <v>157.13999999999999</v>
      </c>
      <c r="V170" s="72">
        <v>211.44</v>
      </c>
      <c r="W170" s="72">
        <v>160.80000000000001</v>
      </c>
      <c r="X170" s="72">
        <v>134.18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105.23</v>
      </c>
      <c r="C173" s="72">
        <v>145.58000000000001</v>
      </c>
      <c r="D173" s="72">
        <v>150.85</v>
      </c>
      <c r="E173" s="72">
        <v>132</v>
      </c>
      <c r="F173" s="72">
        <v>120.04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11.23</v>
      </c>
      <c r="C176" s="72">
        <v>14.01</v>
      </c>
      <c r="D176" s="72">
        <v>15.37</v>
      </c>
      <c r="E176" s="72">
        <v>13.34</v>
      </c>
      <c r="F176" s="72">
        <v>12.13</v>
      </c>
      <c r="G176" s="72">
        <v>12.47</v>
      </c>
      <c r="H176" s="72">
        <v>11.48</v>
      </c>
      <c r="I176" s="72">
        <v>10.38</v>
      </c>
      <c r="J176" s="72">
        <v>10.220000000000001</v>
      </c>
      <c r="K176" s="72">
        <v>9.32</v>
      </c>
      <c r="L176" s="72">
        <v>11.38</v>
      </c>
      <c r="M176" s="72">
        <v>11.97</v>
      </c>
      <c r="N176" s="72">
        <v>11.26</v>
      </c>
      <c r="O176" s="72">
        <v>11.27</v>
      </c>
      <c r="P176" s="72">
        <v>10.88</v>
      </c>
      <c r="Q176" s="72">
        <v>10.02</v>
      </c>
      <c r="R176" s="72">
        <v>9.9700000000000006</v>
      </c>
      <c r="S176" s="72">
        <v>9.8000000000000007</v>
      </c>
      <c r="T176" s="72">
        <v>9</v>
      </c>
      <c r="U176" s="72">
        <v>7.61</v>
      </c>
      <c r="V176" s="72">
        <v>8.02</v>
      </c>
      <c r="W176" s="72">
        <v>8.82</v>
      </c>
      <c r="X176" s="72">
        <v>8.93</v>
      </c>
      <c r="Y176" s="72">
        <v>9.5399999999999991</v>
      </c>
      <c r="Z176" s="72">
        <v>10.14</v>
      </c>
      <c r="AA176" s="72">
        <v>10.93</v>
      </c>
      <c r="AB176" s="72">
        <v>11.97</v>
      </c>
      <c r="AC176" s="72">
        <v>13</v>
      </c>
      <c r="AD176" s="72">
        <v>15.6</v>
      </c>
      <c r="AE176" s="72">
        <v>16.47</v>
      </c>
      <c r="AF176" s="72">
        <v>16.02</v>
      </c>
      <c r="AG176" s="72">
        <v>16.559999999999999</v>
      </c>
      <c r="AH176" s="72">
        <v>17.18</v>
      </c>
      <c r="AI176" s="72">
        <v>15.51</v>
      </c>
      <c r="AJ176" s="72">
        <v>12.9</v>
      </c>
      <c r="AK176" s="72">
        <v>12.57</v>
      </c>
      <c r="AL176" s="72">
        <v>13.39</v>
      </c>
      <c r="AM176" s="72">
        <v>14.52</v>
      </c>
      <c r="AN176" s="72">
        <v>13.08</v>
      </c>
      <c r="AO176" s="72">
        <v>15.16</v>
      </c>
      <c r="AP176" s="72">
        <v>13.85</v>
      </c>
      <c r="AQ176" s="72">
        <v>14.28</v>
      </c>
      <c r="AR176" s="72">
        <v>14.48</v>
      </c>
      <c r="AS176" s="72">
        <v>12.26</v>
      </c>
      <c r="AT176" s="72">
        <v>12.13</v>
      </c>
      <c r="AU176" s="72">
        <v>12.33</v>
      </c>
      <c r="AV176" s="72">
        <v>10.09</v>
      </c>
      <c r="AW176" s="72">
        <v>9.36</v>
      </c>
      <c r="AX176" s="72">
        <v>7.24</v>
      </c>
      <c r="AY176" s="72">
        <v>7.81</v>
      </c>
      <c r="AZ176" s="72">
        <v>8.42</v>
      </c>
      <c r="BA176" s="72">
        <v>7.62</v>
      </c>
      <c r="BB176" s="72">
        <v>7.08</v>
      </c>
      <c r="BC176" s="72">
        <v>7.63</v>
      </c>
      <c r="BD176" s="72">
        <v>7.26</v>
      </c>
      <c r="BE176" s="72">
        <v>7.36</v>
      </c>
      <c r="BF176" s="72">
        <v>8.1999999999999993</v>
      </c>
      <c r="BG176" s="72">
        <v>8.26</v>
      </c>
      <c r="BH176" s="72">
        <v>8.84</v>
      </c>
      <c r="BI176" s="72">
        <v>9.07</v>
      </c>
      <c r="BJ176" s="72">
        <v>8.93</v>
      </c>
      <c r="BK176" s="72">
        <v>10.25</v>
      </c>
      <c r="BL176" s="72">
        <v>9.6</v>
      </c>
      <c r="BM176" s="72">
        <v>10.42</v>
      </c>
      <c r="BN176" s="72">
        <v>12.44</v>
      </c>
      <c r="BO176" s="72">
        <v>13.73</v>
      </c>
      <c r="BP176" s="72">
        <v>14.32</v>
      </c>
      <c r="BQ176" s="72">
        <v>14.41</v>
      </c>
      <c r="BR176" s="72">
        <v>12.53</v>
      </c>
      <c r="BS176" s="72">
        <v>11.9</v>
      </c>
      <c r="BT176" s="72">
        <v>11.42</v>
      </c>
    </row>
  </sheetData>
  <phoneticPr fontId="3" type="noConversion"/>
  <conditionalFormatting sqref="E4">
    <cfRule type="cellIs" dxfId="5321" priority="101" operator="greaterThan">
      <formula>0.2</formula>
    </cfRule>
    <cfRule type="cellIs" dxfId="5320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5319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318" priority="95" operator="greaterThan">
      <formula>$B$19</formula>
    </cfRule>
  </conditionalFormatting>
  <conditionalFormatting sqref="D33:D34">
    <cfRule type="cellIs" dxfId="5317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5316" priority="89" operator="lessThan">
      <formula>$H$62</formula>
    </cfRule>
    <cfRule type="cellIs" dxfId="5315" priority="90" operator="greaterThan">
      <formula>$H$62</formula>
    </cfRule>
  </conditionalFormatting>
  <conditionalFormatting sqref="J62">
    <cfRule type="cellIs" dxfId="5314" priority="87" operator="lessThan">
      <formula>$K$62</formula>
    </cfRule>
    <cfRule type="cellIs" dxfId="5313" priority="88" operator="greaterThan">
      <formula>$K$62</formula>
    </cfRule>
  </conditionalFormatting>
  <conditionalFormatting sqref="M62">
    <cfRule type="cellIs" dxfId="5312" priority="85" operator="lessThan">
      <formula>$N$62</formula>
    </cfRule>
    <cfRule type="cellIs" dxfId="5311" priority="86" operator="greaterThan">
      <formula>$N$62</formula>
    </cfRule>
  </conditionalFormatting>
  <conditionalFormatting sqref="B44:E44">
    <cfRule type="cellIs" dxfId="5310" priority="83" operator="greaterThan">
      <formula>0</formula>
    </cfRule>
    <cfRule type="cellIs" dxfId="5309" priority="84" operator="lessThan">
      <formula>0</formula>
    </cfRule>
  </conditionalFormatting>
  <conditionalFormatting sqref="F72">
    <cfRule type="cellIs" dxfId="5308" priority="82" operator="lessThan">
      <formula>$E$72*90%</formula>
    </cfRule>
  </conditionalFormatting>
  <conditionalFormatting sqref="F73">
    <cfRule type="cellIs" dxfId="5307" priority="81" operator="lessThan">
      <formula>$E$73*90%</formula>
    </cfRule>
  </conditionalFormatting>
  <conditionalFormatting sqref="F74">
    <cfRule type="cellIs" dxfId="5306" priority="80" operator="lessThan">
      <formula>$E$74*90%</formula>
    </cfRule>
  </conditionalFormatting>
  <conditionalFormatting sqref="F75">
    <cfRule type="cellIs" dxfId="5305" priority="79" operator="lessThan">
      <formula>$E$75*90%</formula>
    </cfRule>
  </conditionalFormatting>
  <conditionalFormatting sqref="H44:K44">
    <cfRule type="cellIs" dxfId="5304" priority="77" operator="greaterThan">
      <formula>0</formula>
    </cfRule>
    <cfRule type="cellIs" dxfId="5303" priority="78" operator="lessThan">
      <formula>0</formula>
    </cfRule>
  </conditionalFormatting>
  <conditionalFormatting sqref="H51:K51">
    <cfRule type="cellIs" dxfId="5302" priority="75" operator="greaterThan">
      <formula>0</formula>
    </cfRule>
    <cfRule type="cellIs" dxfId="5301" priority="76" operator="lessThan">
      <formula>0</formula>
    </cfRule>
  </conditionalFormatting>
  <conditionalFormatting sqref="B51:E51">
    <cfRule type="cellIs" dxfId="5300" priority="73" operator="greaterThan">
      <formula>0</formula>
    </cfRule>
    <cfRule type="cellIs" dxfId="5299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298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297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5296" priority="56" operator="lessThan">
      <formula>0</formula>
    </cfRule>
  </conditionalFormatting>
  <conditionalFormatting sqref="A25 E25 C25">
    <cfRule type="cellIs" dxfId="5295" priority="57" operator="lessThan">
      <formula>0</formula>
    </cfRule>
  </conditionalFormatting>
  <conditionalFormatting sqref="F25">
    <cfRule type="cellIs" dxfId="5294" priority="55" operator="lessThan">
      <formula>0</formula>
    </cfRule>
  </conditionalFormatting>
  <conditionalFormatting sqref="E1">
    <cfRule type="containsText" dxfId="5293" priority="54" operator="containsText" text="本季業外損益/平均=-">
      <formula>NOT(ISERROR(SEARCH("本季業外損益/平均=-",E1)))</formula>
    </cfRule>
  </conditionalFormatting>
  <conditionalFormatting sqref="M65">
    <cfRule type="cellIs" dxfId="5292" priority="53" operator="lessThan">
      <formula>$L$65*90%</formula>
    </cfRule>
  </conditionalFormatting>
  <conditionalFormatting sqref="M66">
    <cfRule type="cellIs" dxfId="5291" priority="52" operator="lessThan">
      <formula>$L$66*90%</formula>
    </cfRule>
  </conditionalFormatting>
  <conditionalFormatting sqref="M67">
    <cfRule type="cellIs" dxfId="5290" priority="51" operator="lessThan">
      <formula>$L$67*90%</formula>
    </cfRule>
  </conditionalFormatting>
  <conditionalFormatting sqref="M68">
    <cfRule type="cellIs" dxfId="5289" priority="50" operator="lessThan">
      <formula>$L$68*90%</formula>
    </cfRule>
  </conditionalFormatting>
  <conditionalFormatting sqref="B60">
    <cfRule type="cellIs" dxfId="5288" priority="49" operator="lessThan">
      <formula>0</formula>
    </cfRule>
  </conditionalFormatting>
  <conditionalFormatting sqref="B59:F59">
    <cfRule type="cellIs" dxfId="5287" priority="48" operator="lessThanOrEqual">
      <formula>0</formula>
    </cfRule>
  </conditionalFormatting>
  <conditionalFormatting sqref="D62">
    <cfRule type="cellIs" dxfId="5286" priority="46" operator="lessThan">
      <formula>$E$62</formula>
    </cfRule>
    <cfRule type="cellIs" dxfId="5285" priority="47" operator="greaterThan">
      <formula>$E$62</formula>
    </cfRule>
  </conditionalFormatting>
  <conditionalFormatting sqref="F69">
    <cfRule type="cellIs" dxfId="5284" priority="44" operator="lessThan">
      <formula>0</formula>
    </cfRule>
  </conditionalFormatting>
  <conditionalFormatting sqref="B65:E67 B69:E69 B68:D68">
    <cfRule type="cellIs" dxfId="5283" priority="45" operator="lessThan">
      <formula>0</formula>
    </cfRule>
  </conditionalFormatting>
  <conditionalFormatting sqref="E68">
    <cfRule type="cellIs" dxfId="5282" priority="43" operator="lessThan">
      <formula>0</formula>
    </cfRule>
  </conditionalFormatting>
  <conditionalFormatting sqref="F65:F68">
    <cfRule type="cellIs" dxfId="5281" priority="42" operator="lessThan">
      <formula>0</formula>
    </cfRule>
  </conditionalFormatting>
  <conditionalFormatting sqref="F65:F68">
    <cfRule type="cellIs" dxfId="5280" priority="41" operator="lessThan">
      <formula>$E$65*0.9</formula>
    </cfRule>
  </conditionalFormatting>
  <conditionalFormatting sqref="F66">
    <cfRule type="cellIs" dxfId="5279" priority="40" operator="lessThan">
      <formula>$E$66*0.9</formula>
    </cfRule>
  </conditionalFormatting>
  <conditionalFormatting sqref="F67:F68">
    <cfRule type="cellIs" dxfId="5278" priority="39" operator="lessThan">
      <formula>$E$67*0.9</formula>
    </cfRule>
  </conditionalFormatting>
  <conditionalFormatting sqref="F68">
    <cfRule type="cellIs" dxfId="5277" priority="38" operator="lessThan">
      <formula>$E$68*0.9</formula>
    </cfRule>
  </conditionalFormatting>
  <conditionalFormatting sqref="B13:F13">
    <cfRule type="cellIs" dxfId="5276" priority="27" operator="greaterThan">
      <formula>$I$16</formula>
    </cfRule>
    <cfRule type="cellIs" dxfId="5275" priority="28" operator="lessThanOrEqual">
      <formula>$I$16</formula>
    </cfRule>
  </conditionalFormatting>
  <conditionalFormatting sqref="B10:F10">
    <cfRule type="cellIs" dxfId="5274" priority="29" operator="greaterThan">
      <formula>15</formula>
    </cfRule>
    <cfRule type="cellIs" dxfId="5273" priority="36" operator="lessThan">
      <formula>$I$9</formula>
    </cfRule>
    <cfRule type="cellIs" dxfId="5272" priority="37" operator="greaterThan">
      <formula>$I$9</formula>
    </cfRule>
  </conditionalFormatting>
  <conditionalFormatting sqref="B16:F16">
    <cfRule type="cellIs" dxfId="5271" priority="34" operator="greaterThan">
      <formula>$I$16</formula>
    </cfRule>
    <cfRule type="cellIs" dxfId="5270" priority="35" operator="lessThanOrEqual">
      <formula>$I$16</formula>
    </cfRule>
  </conditionalFormatting>
  <conditionalFormatting sqref="B15:F15">
    <cfRule type="cellIs" dxfId="5269" priority="32" operator="lessThanOrEqual">
      <formula>$I$16</formula>
    </cfRule>
    <cfRule type="cellIs" dxfId="5268" priority="33" operator="greaterThan">
      <formula>$I$16</formula>
    </cfRule>
  </conditionalFormatting>
  <conditionalFormatting sqref="B14:F14">
    <cfRule type="cellIs" dxfId="5267" priority="30" operator="greaterThan">
      <formula>$I$16</formula>
    </cfRule>
    <cfRule type="cellIs" dxfId="5266" priority="31" operator="lessThanOrEqual">
      <formula>$I$16</formula>
    </cfRule>
  </conditionalFormatting>
  <conditionalFormatting sqref="K6">
    <cfRule type="containsText" dxfId="5265" priority="25" operator="containsText" text="衰退">
      <formula>NOT(ISERROR(SEARCH("衰退",K6)))</formula>
    </cfRule>
    <cfRule type="containsText" dxfId="5264" priority="26" operator="containsText" text="成長">
      <formula>NOT(ISERROR(SEARCH("成長",K6)))</formula>
    </cfRule>
  </conditionalFormatting>
  <conditionalFormatting sqref="I4:K4">
    <cfRule type="cellIs" dxfId="5263" priority="23" operator="lessThan">
      <formula>0</formula>
    </cfRule>
    <cfRule type="cellIs" dxfId="5262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261" priority="20" operator="lessThanOrEqual">
      <formula>$I$16</formula>
    </cfRule>
    <cfRule type="cellIs" dxfId="5260" priority="21" operator="greaterThan">
      <formula>$I$16</formula>
    </cfRule>
  </conditionalFormatting>
  <conditionalFormatting sqref="I6">
    <cfRule type="containsText" dxfId="5259" priority="18" operator="containsText" text="衰退">
      <formula>NOT(ISERROR(SEARCH("衰退",I6)))</formula>
    </cfRule>
    <cfRule type="containsText" dxfId="5258" priority="19" operator="containsText" text="成長">
      <formula>NOT(ISERROR(SEARCH("成長",I6)))</formula>
    </cfRule>
  </conditionalFormatting>
  <conditionalFormatting sqref="M9">
    <cfRule type="cellIs" dxfId="5257" priority="17" operator="lessThan">
      <formula>$I$9</formula>
    </cfRule>
  </conditionalFormatting>
  <conditionalFormatting sqref="M10">
    <cfRule type="cellIs" dxfId="5256" priority="16" operator="greaterThan">
      <formula>$I$9</formula>
    </cfRule>
  </conditionalFormatting>
  <conditionalFormatting sqref="M11">
    <cfRule type="cellIs" dxfId="5255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254" priority="12" operator="lessThan">
      <formula>0</formula>
    </cfRule>
    <cfRule type="cellIs" dxfId="5253" priority="13" operator="greaterThan">
      <formula>0.5</formula>
    </cfRule>
  </conditionalFormatting>
  <conditionalFormatting sqref="N14">
    <cfRule type="cellIs" dxfId="5252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251" priority="8" operator="lessThan">
      <formula>0.1</formula>
    </cfRule>
  </conditionalFormatting>
  <conditionalFormatting sqref="I14">
    <cfRule type="cellIs" dxfId="5250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249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248" priority="1" operator="lessThan">
      <formula>$N$5*0.9</formula>
    </cfRule>
    <cfRule type="cellIs" dxfId="5247" priority="2" operator="greaterThan">
      <formula>$N$5*1.1</formula>
    </cfRule>
  </conditionalFormatting>
  <hyperlinks>
    <hyperlink ref="L1" location="儀表板!A1" display="(回首頁)" xr:uid="{00000000-0004-0000-2100-000000000000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8.66 ~ 19.65</v>
      </c>
      <c r="L1" s="83" t="s">
        <v>176</v>
      </c>
      <c r="M1" s="84" t="str">
        <f ca="1">VLOOKUP(_xlfn.NUMBERVALUE(N1),儀表板!A:B,2,FALSE)</f>
        <v>嘉里大榮</v>
      </c>
      <c r="N1" s="85" t="str">
        <f ca="1">MID(CELL("filename",L1),FIND("]",CELL("filename",L1))+1,255)</f>
        <v>2608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0.18687520986157624</v>
      </c>
    </row>
    <row r="3" spans="1:15" s="93" customFormat="1" x14ac:dyDescent="0.25">
      <c r="A3" s="81" t="s">
        <v>179</v>
      </c>
      <c r="B3" s="94">
        <f>SUM(F19:F22,F24:F27,J19)</f>
        <v>72.121580291885763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40.15360114590689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49.023167727752387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52.773304363191926</v>
      </c>
      <c r="L3" s="100"/>
      <c r="M3" s="79" t="s">
        <v>385</v>
      </c>
      <c r="N3" s="92">
        <f>(F69-E69)/E69</f>
        <v>-7.6407086733850701E-2</v>
      </c>
    </row>
    <row r="4" spans="1:15" s="93" customFormat="1" x14ac:dyDescent="0.25">
      <c r="A4" s="81" t="s">
        <v>182</v>
      </c>
      <c r="B4" s="96">
        <f>SUM(G36:G40)*2</f>
        <v>82</v>
      </c>
      <c r="C4" s="101"/>
      <c r="D4" s="102">
        <f>F4*(1+F141/10)</f>
        <v>48.4</v>
      </c>
      <c r="E4" s="82">
        <f>(D4-F4)/F4</f>
        <v>0</v>
      </c>
      <c r="F4" s="103">
        <v>48.4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2.4659930784206185</v>
      </c>
    </row>
    <row r="5" spans="1:15" s="93" customFormat="1" x14ac:dyDescent="0.25">
      <c r="A5" s="81" t="s">
        <v>184</v>
      </c>
      <c r="B5" s="107">
        <f>SUM(F30:F34)*2</f>
        <v>93.639053763440856</v>
      </c>
      <c r="C5" s="87"/>
      <c r="D5" s="87"/>
      <c r="E5" s="87"/>
      <c r="F5" s="86"/>
      <c r="G5" s="88"/>
      <c r="M5" s="79" t="s">
        <v>386</v>
      </c>
      <c r="N5" s="152">
        <f>D62</f>
        <v>2.4699999999999998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2.5605894620908245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30.91</v>
      </c>
      <c r="N9" s="129"/>
    </row>
    <row r="10" spans="1:15" s="93" customFormat="1" x14ac:dyDescent="0.25">
      <c r="A10" s="123" t="s">
        <v>194</v>
      </c>
      <c r="B10" s="126">
        <f>PERCENTILE(176:176,B9)</f>
        <v>15.05</v>
      </c>
      <c r="C10" s="126">
        <f>PERCENTILE(176:176,C9)</f>
        <v>16.274999999999999</v>
      </c>
      <c r="D10" s="126">
        <f>PERCENTILE(176:176,D9)</f>
        <v>19.87</v>
      </c>
      <c r="E10" s="126">
        <f>PERCENTILE(176:176,E9)</f>
        <v>21.39</v>
      </c>
      <c r="F10" s="126">
        <f>PERCENTILE(176:176,F9)</f>
        <v>23.53</v>
      </c>
      <c r="G10" s="95"/>
      <c r="H10" s="135"/>
      <c r="I10" s="135"/>
      <c r="J10" s="135"/>
      <c r="K10" s="135"/>
      <c r="L10" s="136" t="s">
        <v>374</v>
      </c>
      <c r="M10" s="130">
        <f>MIN(176:176)</f>
        <v>13.75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17.309999999999999</v>
      </c>
      <c r="L11" s="272" t="s">
        <v>193</v>
      </c>
      <c r="M11" s="128">
        <f>STDEV(176:176)</f>
        <v>4.8624805172549195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21.428571428571431</v>
      </c>
      <c r="C13" s="141">
        <f>$B$34/5.88%</f>
        <v>26.020408163265309</v>
      </c>
      <c r="D13" s="141">
        <f>$B$34/5%</f>
        <v>30.599999999999998</v>
      </c>
      <c r="E13" s="141">
        <f>$B$34/4.35%</f>
        <v>35.172413793103452</v>
      </c>
      <c r="F13" s="141">
        <f>$B$34/3.85%</f>
        <v>39.740259740259738</v>
      </c>
      <c r="G13" s="138" t="str">
        <f>"$"&amp;ROUND(B34,2)&amp;"/"&amp;IF(STDEV(C140:F140)/AVERAGE(C140:F140)&lt;15%,"高",IF(STDEV(C140:F140)/AVERAGE(C140:F140)&lt;30%,"中","低"))</f>
        <v>$1.53/高</v>
      </c>
      <c r="H13" s="142" t="s">
        <v>199</v>
      </c>
      <c r="I13" s="143">
        <f>MAX(0,1-J15)</f>
        <v>0.4382022471910112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34.991250000000001</v>
      </c>
      <c r="C14" s="141">
        <f>$B$33*C10</f>
        <v>37.839374999999997</v>
      </c>
      <c r="D14" s="141">
        <f>$B$33*D10</f>
        <v>46.197750000000006</v>
      </c>
      <c r="E14" s="141">
        <f>$B$33*E10</f>
        <v>49.731750000000005</v>
      </c>
      <c r="F14" s="141">
        <f>$B$33*F10</f>
        <v>54.707250000000009</v>
      </c>
      <c r="G14" s="138" t="str">
        <f>"$"&amp;ROUND(B33,2)&amp;"/"&amp;IF(STDEV(B69:E69)/AVERAGE(B69:E69)&lt;15%,"高",IF(STDEV(B69:E69)/AVERAGE(B69:E69)&lt;30%,"中","低"))</f>
        <v>$2.33/中</v>
      </c>
      <c r="H14" s="142" t="s">
        <v>203</v>
      </c>
      <c r="I14" s="145">
        <f>G62/100*I13</f>
        <v>6.3977528089887645E-2</v>
      </c>
      <c r="J14" s="76" t="s">
        <v>204</v>
      </c>
      <c r="K14" s="146"/>
      <c r="L14" s="147">
        <f>(HLOOKUP($C$1,$105:$106,2,FALSE)-HLOOKUP($C$1,$117:$127,9,FALSE))/(HLOOKUP($C$1,$117:$128,12,FALSE)/K11)</f>
        <v>-3.8628765420717492</v>
      </c>
      <c r="M14" s="148">
        <f>E135/E69</f>
        <v>0.71535580524344566</v>
      </c>
      <c r="N14" s="149">
        <f>F173/100</f>
        <v>0.63470000000000004</v>
      </c>
    </row>
    <row r="15" spans="1:15" s="93" customFormat="1" x14ac:dyDescent="0.25">
      <c r="A15" s="140" t="s">
        <v>375</v>
      </c>
      <c r="B15" s="141">
        <f>$D$62*B10</f>
        <v>37.173499999999997</v>
      </c>
      <c r="C15" s="141">
        <f>$D$62*C10</f>
        <v>40.199249999999992</v>
      </c>
      <c r="D15" s="141">
        <f>$D$62*D10</f>
        <v>49.078899999999997</v>
      </c>
      <c r="E15" s="141">
        <f>$D$62*E10</f>
        <v>52.833299999999994</v>
      </c>
      <c r="F15" s="141">
        <f>$D$62*F10</f>
        <v>58.119099999999996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0.5617977528089888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37.11319583023031</v>
      </c>
      <c r="C16" s="141">
        <f>$F$69*C10</f>
        <v>40.134037351295561</v>
      </c>
      <c r="D16" s="141">
        <f>$F$69*D10</f>
        <v>48.999282468217693</v>
      </c>
      <c r="E16" s="141">
        <f>$F$69*E10</f>
        <v>52.747591947417035</v>
      </c>
      <c r="F16" s="141">
        <f>$F$69*F10</f>
        <v>58.024817135237157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214</v>
      </c>
      <c r="J17" s="92">
        <f ca="1">IF(I17&lt;=0,"",IF(I17&lt;=MIN($B$13:$F$16),(I17-MIN($B$13:$F$16))/MIN($B$13:$F$16),IF(I17&gt;=MAX($B$13:$F$16),I17/MAX($B$13:$F$16),PERCENTRANK($B$13:$F$16,I17))))</f>
        <v>3.6820941824632523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1.1925000000000001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0.77941176470588236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4</v>
      </c>
      <c r="G20" s="88" t="s">
        <v>213</v>
      </c>
      <c r="H20" s="123" t="s">
        <v>219</v>
      </c>
      <c r="I20" s="237">
        <f>HLOOKUP($C$1,$117:$127,11,FALSE)*(1-N22)/HLOOKUP($C$1,$105:$115,11,FALSE)</f>
        <v>0.38617795595921617</v>
      </c>
      <c r="J20" s="171">
        <f>HLOOKUP($C$1,$117:$127,11,FALSE)/HLOOKUP($C$1,$105:$115,11,FALSE)</f>
        <v>0.42071880382519605</v>
      </c>
      <c r="K20" s="163"/>
    </row>
    <row r="21" spans="1:14" s="93" customFormat="1" x14ac:dyDescent="0.25">
      <c r="A21" s="151" t="s">
        <v>201</v>
      </c>
      <c r="B21" s="161">
        <f>AVERAGE(C173:F173)/100</f>
        <v>1.1874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0.86676662032783169</v>
      </c>
      <c r="J21" s="78"/>
      <c r="K21" s="164" t="s">
        <v>356</v>
      </c>
      <c r="L21" s="165">
        <f>HLOOKUP($C$1,$105:$115,7,FALSE)/HLOOKUP($C$1,$105:$115,11,FALSE)</f>
        <v>0.19247005413001111</v>
      </c>
      <c r="M21" s="123" t="s">
        <v>268</v>
      </c>
      <c r="N21" s="165">
        <f>HLOOKUP($C$1,$117:$127,8,FALSE)/HLOOKUP($C$1,$117:$127,11,FALSE)</f>
        <v>0.52779961291484634</v>
      </c>
    </row>
    <row r="22" spans="1:14" s="93" customFormat="1" x14ac:dyDescent="0.25">
      <c r="A22" s="140" t="s">
        <v>222</v>
      </c>
      <c r="B22" s="161">
        <f>(-1)*SUM(C133:F133)/SUM(C132:F132)</f>
        <v>0.55305164319248834</v>
      </c>
      <c r="C22" s="157"/>
      <c r="D22" s="166"/>
      <c r="E22" s="140"/>
      <c r="F22" s="159">
        <f>IF(B22&lt;=0,10,IF(B22&gt;=100%,0,(1-B22)*10))</f>
        <v>4.4694835680751162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0.85222494016624029</v>
      </c>
      <c r="J22" s="78"/>
      <c r="K22" s="142" t="s">
        <v>357</v>
      </c>
      <c r="L22" s="165">
        <f>HLOOKUP($C$1,$105:$115,4,FALSE)/HLOOKUP($C$1,$105:$115,11,FALSE)</f>
        <v>0.10958265694947286</v>
      </c>
      <c r="M22" s="123" t="s">
        <v>353</v>
      </c>
      <c r="N22" s="165">
        <f>HLOOKUP($C$1,$117:$127,4,FALSE)/HLOOKUP($C$1,$117:$127,11,FALSE)</f>
        <v>8.2099605608146803E-2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1.7262773357798409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3.2290560136986096E-3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0.9897757935961975</v>
      </c>
      <c r="C24" s="169">
        <f>STDEV(C103:F103)</f>
        <v>8.924502452718459E-3</v>
      </c>
      <c r="D24" s="76" t="str">
        <f>IF(C24/B24&lt;15%,"高",IF(C24/B24&lt;30%,"中","低"))</f>
        <v>高</v>
      </c>
      <c r="E24" s="149"/>
      <c r="F24" s="160">
        <f>MIN(100%,B24)*5</f>
        <v>4.9488789679809875</v>
      </c>
      <c r="G24" s="88" t="s">
        <v>229</v>
      </c>
      <c r="H24" s="123" t="s">
        <v>16</v>
      </c>
      <c r="I24" s="170">
        <f>HLOOKUP(C1,167:170,2,FALSE)</f>
        <v>52.63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4.1252892034730655E-2</v>
      </c>
      <c r="M24" s="123" t="s">
        <v>355</v>
      </c>
      <c r="N24" s="165">
        <f>HLOOKUP($C$1,$117:$127,9,FALSE)/HLOOKUP($C$1,$117:$127,11,FALSE)</f>
        <v>0.47220038708515366</v>
      </c>
    </row>
    <row r="25" spans="1:14" s="93" customFormat="1" x14ac:dyDescent="0.25">
      <c r="A25" s="151" t="s">
        <v>366</v>
      </c>
      <c r="B25" s="255">
        <f>AVERAGE(94:94)</f>
        <v>32255.08695652174</v>
      </c>
      <c r="C25" s="254">
        <f>STDEV(94:94)/AVERAGE(94:94)</f>
        <v>1.7967822441703392</v>
      </c>
      <c r="D25" s="76" t="str">
        <f>IF(C25&lt;=1,"高",IF(C25&lt;=2,"中","低"))</f>
        <v>中</v>
      </c>
      <c r="E25" s="149"/>
      <c r="F25" s="160">
        <f>MAX(0,10-ABS(C25))</f>
        <v>8.2032177558296606</v>
      </c>
      <c r="G25" s="88" t="s">
        <v>213</v>
      </c>
      <c r="H25" s="123" t="s">
        <v>232</v>
      </c>
      <c r="I25" s="170">
        <f>IF(HLOOKUP(C1,167:170,3,FALSE)="無",0,HLOOKUP(C1,167:170,3,FALSE))</f>
        <v>2.0299999999999998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56.630434782608702</v>
      </c>
      <c r="C26" s="172">
        <f>IF(COUNTIF(168:168,"&gt;0")=0,0,STDEV(168:168))</f>
        <v>3.8670772123152526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2.6334782608695653</v>
      </c>
      <c r="C27" s="172">
        <f>IF(COUNTIF(169:169,"&gt;0")=0,0,STDEV(169:169))</f>
        <v>0.83831328866985844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0.20530000000000001</v>
      </c>
      <c r="C30" s="157" t="s">
        <v>217</v>
      </c>
      <c r="D30" s="174">
        <f>COUNTIF(146:146,"&gt;20")/COUNT(146:146)</f>
        <v>0.60869565217391308</v>
      </c>
      <c r="E30" s="140" t="s">
        <v>239</v>
      </c>
      <c r="F30" s="159">
        <f>MIN(B30/25%*10,10)</f>
        <v>8.2119999999999997</v>
      </c>
      <c r="G30" s="175"/>
      <c r="H30" s="176"/>
    </row>
    <row r="31" spans="1:14" x14ac:dyDescent="0.25">
      <c r="A31" s="164" t="s">
        <v>240</v>
      </c>
      <c r="B31" s="173">
        <f>AVERAGE(C155:F155)/100</f>
        <v>0.13170000000000001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14.45</v>
      </c>
      <c r="C32" s="157" t="s">
        <v>217</v>
      </c>
      <c r="D32" s="174">
        <f>COUNTIF(159:159,"&gt;3")/COUNT(159:159)</f>
        <v>0.73913043478260865</v>
      </c>
      <c r="E32" s="140" t="s">
        <v>242</v>
      </c>
      <c r="F32" s="159">
        <f>MIN(B32/15*10,10)</f>
        <v>9.6333333333333329</v>
      </c>
      <c r="G32" s="135"/>
    </row>
    <row r="33" spans="1:14" x14ac:dyDescent="0.25">
      <c r="A33" s="155" t="s">
        <v>14</v>
      </c>
      <c r="B33" s="156">
        <f>AVERAGE(B69:E69)</f>
        <v>2.3250000000000002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1.53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8.9741935483870972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8551137.25</v>
      </c>
      <c r="C36" s="178">
        <f>STDEV(C97:F97)</f>
        <v>834816.98778170336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20.53</v>
      </c>
      <c r="C37" s="180">
        <f>STDEV(C152:F152)</f>
        <v>0.44504681401698176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15.005000000000001</v>
      </c>
      <c r="C38" s="180">
        <f>STDEV(C153:F153)</f>
        <v>0.66985072964056713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14.45</v>
      </c>
      <c r="C39" s="181">
        <f>STDEV(C165:F165)</f>
        <v>2.1920310216783032</v>
      </c>
      <c r="D39" s="76" t="str">
        <f>IF(C39/B39&lt;15%,"高",IF(C39/B39&lt;30%,"中","低"))</f>
        <v>中</v>
      </c>
      <c r="E39" s="107">
        <f>IF(F165&gt;E165,1,0)+IF(E165&gt;D165,1,0)+IF(D165&gt;C165,1,0)</f>
        <v>2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2.3250000000000002</v>
      </c>
      <c r="C40" s="183">
        <f>STDEV(B69:E69)</f>
        <v>0.44799553569204237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0.53703703703703687</v>
      </c>
      <c r="C44" s="186">
        <f>(C46-C49)/C49</f>
        <v>-0.23529411764705876</v>
      </c>
      <c r="D44" s="186">
        <f>(D46-D49)/D49</f>
        <v>-0.40845070422535212</v>
      </c>
      <c r="E44" s="186">
        <f>(E46-E49)/E49</f>
        <v>-0.1093750000000001</v>
      </c>
      <c r="G44" s="86" t="s">
        <v>175</v>
      </c>
      <c r="H44" s="186">
        <f>(H47-H50)/H50</f>
        <v>2.9753265602322151E-2</v>
      </c>
      <c r="I44" s="186">
        <f>(I47-I50)/I50</f>
        <v>-0.19403794037940378</v>
      </c>
      <c r="J44" s="186">
        <f>(J47-J50)/J50</f>
        <v>-0.35003054367745878</v>
      </c>
      <c r="K44" s="186">
        <f>(K47-K50)/K50</f>
        <v>-8.584534731323723E-2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0.83</v>
      </c>
      <c r="C46" s="152">
        <f>HLOOKUP(C45,$81:$82,2,FALSE)</f>
        <v>0.65</v>
      </c>
      <c r="D46" s="152">
        <f>HLOOKUP(D45,$81:$82,2,FALSE)</f>
        <v>0.42</v>
      </c>
      <c r="E46" s="152">
        <f>HLOOKUP(E45,$81:$82,2,FALSE)</f>
        <v>0.56999999999999995</v>
      </c>
      <c r="G46" s="86" t="s">
        <v>164</v>
      </c>
      <c r="H46" s="145">
        <f>HLOOKUP(H45,$145:$147,2,FALSE)/100</f>
        <v>0.18379999999999999</v>
      </c>
      <c r="I46" s="145">
        <f>HLOOKUP(I45,$145:$147,2,FALSE)/100</f>
        <v>0.1918</v>
      </c>
      <c r="J46" s="145">
        <f>HLOOKUP(J45,$145:$147,2,FALSE)/100</f>
        <v>0.15190000000000001</v>
      </c>
      <c r="K46" s="145">
        <f>HLOOKUP(K45,$145:$147,2,FALSE)/100</f>
        <v>0.20850000000000002</v>
      </c>
    </row>
    <row r="47" spans="1:14" x14ac:dyDescent="0.25">
      <c r="A47" s="188" t="s">
        <v>165</v>
      </c>
      <c r="B47" s="189">
        <f>HLOOKUP(B45,$157:$159,3,FALSE)</f>
        <v>4.9400000000000004</v>
      </c>
      <c r="C47" s="189">
        <f>HLOOKUP(C45,$157:$159,3,FALSE)</f>
        <v>3.82</v>
      </c>
      <c r="D47" s="189">
        <f>HLOOKUP(D45,$157:$159,3,FALSE)</f>
        <v>2.4700000000000002</v>
      </c>
      <c r="E47" s="189">
        <f>HLOOKUP(E45,$157:$159,3,FALSE)</f>
        <v>3.37</v>
      </c>
      <c r="G47" s="190" t="s">
        <v>166</v>
      </c>
      <c r="H47" s="145">
        <f>HLOOKUP(H45,$145:$147,3,FALSE)/100</f>
        <v>0.1419</v>
      </c>
      <c r="I47" s="145">
        <f>HLOOKUP(I45,$145:$147,3,FALSE)/100</f>
        <v>0.1487</v>
      </c>
      <c r="J47" s="145">
        <f>HLOOKUP(J45,$145:$147,3,FALSE)/100</f>
        <v>0.10640000000000001</v>
      </c>
      <c r="K47" s="145">
        <f>HLOOKUP(K45,$145:$147,3,FALSE)/100</f>
        <v>0.13949999999999999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0.54</v>
      </c>
      <c r="C49" s="152">
        <f>HLOOKUP(C48,$81:$82,2,FALSE)</f>
        <v>0.85</v>
      </c>
      <c r="D49" s="152">
        <f>HLOOKUP(D48,$81:$82,2,FALSE)</f>
        <v>0.71</v>
      </c>
      <c r="E49" s="152">
        <f>HLOOKUP(E48,$81:$82,2,FALSE)</f>
        <v>0.64</v>
      </c>
      <c r="G49" s="86" t="s">
        <v>164</v>
      </c>
      <c r="H49" s="145">
        <f>HLOOKUP(H48,$145:$147,2,FALSE)/100</f>
        <v>0.17949999999999999</v>
      </c>
      <c r="I49" s="145">
        <f>HLOOKUP(I48,$145:$147,2,FALSE)/100</f>
        <v>0.2195</v>
      </c>
      <c r="J49" s="145">
        <f>HLOOKUP(J48,$145:$147,2,FALSE)/100</f>
        <v>0.21030000000000001</v>
      </c>
      <c r="K49" s="145">
        <f>HLOOKUP(K48,$145:$147,2,FALSE)/100</f>
        <v>0.21410000000000001</v>
      </c>
    </row>
    <row r="50" spans="1:15" x14ac:dyDescent="0.25">
      <c r="A50" s="188" t="s">
        <v>165</v>
      </c>
      <c r="B50" s="189">
        <f>HLOOKUP(B48,$157:$159,3,FALSE)</f>
        <v>3.18</v>
      </c>
      <c r="C50" s="189">
        <f>HLOOKUP(C48,$157:$159,3,FALSE)</f>
        <v>4.93</v>
      </c>
      <c r="D50" s="189">
        <f>HLOOKUP(D48,$157:$159,3,FALSE)</f>
        <v>4.0599999999999996</v>
      </c>
      <c r="E50" s="189">
        <f>HLOOKUP(E48,$157:$159,3,FALSE)</f>
        <v>3.8</v>
      </c>
      <c r="G50" s="190" t="s">
        <v>166</v>
      </c>
      <c r="H50" s="145">
        <f>HLOOKUP(H48,$145:$147,3,FALSE)/100</f>
        <v>0.13780000000000001</v>
      </c>
      <c r="I50" s="145">
        <f>HLOOKUP(I48,$145:$147,3,FALSE)/100</f>
        <v>0.1845</v>
      </c>
      <c r="J50" s="145">
        <f>HLOOKUP(J48,$145:$147,3,FALSE)/100</f>
        <v>0.16370000000000001</v>
      </c>
      <c r="K50" s="145">
        <f>HLOOKUP(K48,$145:$147,3,FALSE)/100</f>
        <v>0.15259999999999999</v>
      </c>
    </row>
    <row r="51" spans="1:15" x14ac:dyDescent="0.25">
      <c r="A51" s="86" t="s">
        <v>351</v>
      </c>
      <c r="B51" s="186">
        <f>(B47-B50)/B50</f>
        <v>0.55345911949685545</v>
      </c>
      <c r="C51" s="186">
        <f>(C47-C50)/C50</f>
        <v>-0.2251521298174442</v>
      </c>
      <c r="D51" s="186">
        <f>(D47-D50)/D50</f>
        <v>-0.39162561576354671</v>
      </c>
      <c r="E51" s="186">
        <f>(E47-E50)/E50</f>
        <v>-0.11315789473684204</v>
      </c>
      <c r="G51" s="235" t="s">
        <v>174</v>
      </c>
      <c r="H51" s="186">
        <f>(H46-H49)/H49</f>
        <v>2.3955431754874645E-2</v>
      </c>
      <c r="I51" s="186">
        <f>(I46-I49)/I49</f>
        <v>-0.12619589977220957</v>
      </c>
      <c r="J51" s="186">
        <f>(J46-J49)/J49</f>
        <v>-0.27769852591535904</v>
      </c>
      <c r="K51" s="186">
        <f>(K46-K49)/K49</f>
        <v>-2.6156001868285816E-2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2.5605894620908245</v>
      </c>
      <c r="B53" s="193">
        <f>B46</f>
        <v>0.83</v>
      </c>
      <c r="C53" s="193">
        <f>E46/HLOOKUP(E45,$87:$94,5,FALSE)*HLOOKUP(E45,$87:$94,4,FALSE)*($B$25/HLOOKUP(E45,$87:$94,4,FALSE)+SUM($B$57:$D$57)/SUM($B58:$D$58)*$G$69/100/K46)</f>
        <v>0.56599307842061852</v>
      </c>
      <c r="D53" s="193">
        <f>D46/HLOOKUP(D45,$87:$94,5,FALSE)*HLOOKUP(D45,$87:$94,4,FALSE)*($B$25/HLOOKUP(D45,$87:$94,4,FALSE)+SUM($B$57:$D$57)/SUM($B58:$D$58)*$G$69/100/J46)</f>
        <v>0.55876005569855713</v>
      </c>
      <c r="E53" s="193">
        <f>C46/HLOOKUP(C45,$87:$94,5,FALSE)*HLOOKUP(C45,$87:$94,4,FALSE)*($B$25/HLOOKUP(C45,$87:$94,4,FALSE)+SUM($B$57:$D$57)/SUM($B58:$D$58)*$G$69/100/I46)</f>
        <v>0.6058363279716491</v>
      </c>
    </row>
    <row r="54" spans="1:15" x14ac:dyDescent="0.25">
      <c r="A54" s="278">
        <f>SUM(B54:E54)</f>
        <v>2.1799999999999997</v>
      </c>
      <c r="B54" s="277">
        <f t="shared" ref="B54:D54" si="0">HLOOKUP(B52-10,81:82,2,FALSE)</f>
        <v>0.54</v>
      </c>
      <c r="C54" s="277">
        <f t="shared" si="0"/>
        <v>0.56999999999999995</v>
      </c>
      <c r="D54" s="277">
        <f t="shared" si="0"/>
        <v>0.42</v>
      </c>
      <c r="E54" s="277">
        <f>HLOOKUP(E52-10,81:82,2,FALSE)</f>
        <v>0.65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783212</v>
      </c>
      <c r="C57" s="196">
        <f>HLOOKUP(C56,78:79,2,FALSE)</f>
        <v>855206</v>
      </c>
      <c r="D57" s="196">
        <f>HLOOKUP(D56,78:79,2,FALSE)</f>
        <v>876937</v>
      </c>
      <c r="E57" s="196">
        <f>HLOOKUP(E56,78:79,2,FALSE)</f>
        <v>792548</v>
      </c>
      <c r="F57" s="196">
        <f>HLOOKUP(F56,78:79,2,FALSE)</f>
        <v>825617</v>
      </c>
      <c r="G57" s="196">
        <f t="shared" ref="G57:M57" si="2">HLOOKUP(G56,78:79,2,FALSE)</f>
        <v>779463</v>
      </c>
      <c r="H57" s="196">
        <f t="shared" si="2"/>
        <v>708988</v>
      </c>
      <c r="I57" s="196">
        <f t="shared" si="2"/>
        <v>853536</v>
      </c>
      <c r="J57" s="196">
        <f t="shared" si="2"/>
        <v>642858</v>
      </c>
      <c r="K57" s="196">
        <f t="shared" si="2"/>
        <v>782695</v>
      </c>
      <c r="L57" s="196">
        <f t="shared" si="2"/>
        <v>860117</v>
      </c>
      <c r="M57" s="196">
        <f t="shared" si="2"/>
        <v>832665</v>
      </c>
      <c r="N57" s="197"/>
    </row>
    <row r="58" spans="1:15" x14ac:dyDescent="0.25">
      <c r="A58" s="198" t="s">
        <v>253</v>
      </c>
      <c r="B58" s="196">
        <f>HLOOKUP(B56-100,78:79,2,FALSE)</f>
        <v>757253</v>
      </c>
      <c r="C58" s="196">
        <f>HLOOKUP(C56-100,78:79,2,FALSE)</f>
        <v>745598</v>
      </c>
      <c r="D58" s="196">
        <f>HLOOKUP(D56-100,78:79,2,FALSE)</f>
        <v>842249</v>
      </c>
      <c r="E58" s="196">
        <f>HLOOKUP(E56-100,78:79,2,FALSE)</f>
        <v>766396</v>
      </c>
      <c r="F58" s="196">
        <f>HLOOKUP(F56-100,78:79,2,FALSE)</f>
        <v>780288</v>
      </c>
      <c r="G58" s="196">
        <f t="shared" ref="G58:M58" si="3">HLOOKUP(G56-100,78:79,2,FALSE)</f>
        <v>793237</v>
      </c>
      <c r="H58" s="196">
        <f t="shared" si="3"/>
        <v>745461</v>
      </c>
      <c r="I58" s="196">
        <f t="shared" si="3"/>
        <v>834308</v>
      </c>
      <c r="J58" s="196">
        <f t="shared" si="3"/>
        <v>575526</v>
      </c>
      <c r="K58" s="196">
        <f t="shared" si="3"/>
        <v>867564</v>
      </c>
      <c r="L58" s="196">
        <f t="shared" si="3"/>
        <v>849440</v>
      </c>
      <c r="M58" s="196">
        <f t="shared" si="3"/>
        <v>762706</v>
      </c>
      <c r="N58" s="197"/>
    </row>
    <row r="59" spans="1:15" x14ac:dyDescent="0.25">
      <c r="A59" s="199" t="s">
        <v>254</v>
      </c>
      <c r="B59" s="165">
        <f>IF(B57&lt;&gt;"",(B57-B58)/B58,"")</f>
        <v>3.42804848577688E-2</v>
      </c>
      <c r="C59" s="165">
        <f>IF(C57&lt;&gt;"",(C57-C58)/C58,"")</f>
        <v>0.1470068320998715</v>
      </c>
      <c r="D59" s="165">
        <f>IF(D57&lt;&gt;"",(D57-D58)/D58,"")</f>
        <v>4.1184970240392096E-2</v>
      </c>
      <c r="E59" s="165">
        <f>IF(E57&lt;&gt;"",(E57-E58)/E58,"")</f>
        <v>3.4123351374485252E-2</v>
      </c>
      <c r="F59" s="165">
        <f>IF(F57&lt;&gt;"",(F57-F58)/F58,"")</f>
        <v>5.8092652969160108E-2</v>
      </c>
      <c r="G59" s="165">
        <f t="shared" ref="G59:M59" si="4">IF(G57&lt;&gt;"",(G57-G58)/G58,"")</f>
        <v>-1.7364293395290435E-2</v>
      </c>
      <c r="H59" s="165">
        <f t="shared" si="4"/>
        <v>-4.892677148771029E-2</v>
      </c>
      <c r="I59" s="165">
        <f t="shared" si="4"/>
        <v>2.304664464442388E-2</v>
      </c>
      <c r="J59" s="165">
        <f t="shared" si="4"/>
        <v>0.11699210808894819</v>
      </c>
      <c r="K59" s="165">
        <f t="shared" si="4"/>
        <v>-9.7824483265787882E-2</v>
      </c>
      <c r="L59" s="165">
        <f t="shared" si="4"/>
        <v>1.256945752495762E-2</v>
      </c>
      <c r="M59" s="165">
        <f t="shared" si="4"/>
        <v>9.1724727483460208E-2</v>
      </c>
    </row>
    <row r="60" spans="1:15" x14ac:dyDescent="0.25">
      <c r="A60" s="195" t="s">
        <v>255</v>
      </c>
      <c r="B60" s="196">
        <f>SUM(B57:M57)</f>
        <v>9593842</v>
      </c>
    </row>
    <row r="61" spans="1:15" x14ac:dyDescent="0.25">
      <c r="A61" s="198" t="s">
        <v>256</v>
      </c>
      <c r="B61" s="196">
        <f>SUM(B58:M58)</f>
        <v>9320026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1.0293793171821624</v>
      </c>
      <c r="D62" s="152">
        <f>SUM(B46:E46)</f>
        <v>2.4699999999999998</v>
      </c>
      <c r="E62" s="152">
        <f>SUM(B49:E49)</f>
        <v>2.74</v>
      </c>
      <c r="G62" s="126">
        <f>SUM(B47:E47)</f>
        <v>14.600000000000001</v>
      </c>
      <c r="H62" s="126">
        <f>SUM(B50:E50)</f>
        <v>15.969999999999999</v>
      </c>
      <c r="J62" s="200">
        <f>AVERAGE(H46:K46)</f>
        <v>0.184</v>
      </c>
      <c r="K62" s="200">
        <f>AVERAGE(H49:K49)</f>
        <v>0.20585000000000003</v>
      </c>
      <c r="M62" s="200">
        <f>AVERAGE(H47:K47)</f>
        <v>0.13412499999999999</v>
      </c>
      <c r="N62" s="200">
        <f>AVERAGE(H50:K50)</f>
        <v>0.15965000000000001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0.37</v>
      </c>
      <c r="C65" s="205">
        <f t="shared" si="5"/>
        <v>0.43</v>
      </c>
      <c r="D65" s="205">
        <f t="shared" si="5"/>
        <v>0.55000000000000004</v>
      </c>
      <c r="E65" s="205">
        <f t="shared" si="5"/>
        <v>0.71</v>
      </c>
      <c r="F65" s="206">
        <f>IF(ISNA(HLOOKUP(F$64*10+$A65,$81:$82,2,FALSE)),(HLOOKUP(E$64*10+$A65,$87:$94,4,FALSE)*$G65+$B$25)/HLOOKUP(E$64*10+$A65,$87:$94,5,FALSE)*$E65,HLOOKUP(F$64*10+$A65,$81:$82,2,FALSE))</f>
        <v>0.42</v>
      </c>
      <c r="G65" s="101">
        <f>MIN(130%,SUM($B$57:$D$57)/SUM($B$58:$D$58)*$G$69/HLOOKUP(E$64*10+$A65,$145:$146,2,FALSE))</f>
        <v>0.89867574109648152</v>
      </c>
      <c r="H65" s="204">
        <v>1</v>
      </c>
      <c r="I65" s="208">
        <f t="shared" ref="I65:M68" si="6">IF(ISNA(HLOOKUP(I$64*10+$H65,$145:$147,3,FALSE)),"",HLOOKUP(I$64*10+$H65,$145:$147,3,FALSE)/100)</f>
        <v>0.11990000000000001</v>
      </c>
      <c r="J65" s="208">
        <f t="shared" si="6"/>
        <v>0.1343</v>
      </c>
      <c r="K65" s="208">
        <f t="shared" si="6"/>
        <v>0.1585</v>
      </c>
      <c r="L65" s="208">
        <f t="shared" si="6"/>
        <v>0.16370000000000001</v>
      </c>
      <c r="M65" s="209">
        <f t="shared" si="6"/>
        <v>0.10640000000000001</v>
      </c>
      <c r="N65" s="256">
        <f t="shared" ref="N65:O68" si="7">HLOOKUP(E$64*10+$A65,$87:$94,8,FALSE)</f>
        <v>46179</v>
      </c>
      <c r="O65" s="256">
        <f t="shared" si="7"/>
        <v>8533</v>
      </c>
      <c r="P65" s="210"/>
    </row>
    <row r="66" spans="1:71" x14ac:dyDescent="0.25">
      <c r="A66" s="204">
        <v>2</v>
      </c>
      <c r="B66" s="205">
        <f t="shared" si="5"/>
        <v>0.48</v>
      </c>
      <c r="C66" s="205">
        <f t="shared" si="5"/>
        <v>0.49</v>
      </c>
      <c r="D66" s="205">
        <f t="shared" si="5"/>
        <v>0.89</v>
      </c>
      <c r="E66" s="205">
        <f t="shared" si="5"/>
        <v>0.85</v>
      </c>
      <c r="F66" s="206">
        <f>IF(ISNA(HLOOKUP(F$64*10+$A66,$81:$82,2,FALSE)),(HLOOKUP(E$64*10+$A66,$87:$94,4,FALSE)*$G66+$B$25)/HLOOKUP(E$64*10+$A66,$87:$94,5,FALSE)*$E66,HLOOKUP(F$64*10+$A66,$81:$82,2,FALSE))</f>
        <v>0.65</v>
      </c>
      <c r="G66" s="101">
        <f>MIN(130%,SUM($B$57:$D$57)/SUM($B$58:$D$58)*$G$69/HLOOKUP(E$64*10+$A66,$145:$146,2,FALSE))</f>
        <v>0.86100914967011422</v>
      </c>
      <c r="H66" s="204">
        <v>2</v>
      </c>
      <c r="I66" s="208">
        <f t="shared" si="6"/>
        <v>0.13390000000000002</v>
      </c>
      <c r="J66" s="208">
        <f t="shared" si="6"/>
        <v>0.14610000000000001</v>
      </c>
      <c r="K66" s="208">
        <f t="shared" si="6"/>
        <v>0.1552</v>
      </c>
      <c r="L66" s="208">
        <f t="shared" si="6"/>
        <v>0.1845</v>
      </c>
      <c r="M66" s="209">
        <f t="shared" si="6"/>
        <v>0.1487</v>
      </c>
      <c r="N66" s="256">
        <f t="shared" si="7"/>
        <v>74617</v>
      </c>
      <c r="O66" s="256">
        <f t="shared" si="7"/>
        <v>54291</v>
      </c>
      <c r="P66" s="210"/>
    </row>
    <row r="67" spans="1:71" x14ac:dyDescent="0.25">
      <c r="A67" s="204">
        <v>3</v>
      </c>
      <c r="B67" s="205">
        <f t="shared" si="5"/>
        <v>0.55000000000000004</v>
      </c>
      <c r="C67" s="205">
        <f t="shared" si="5"/>
        <v>0.59</v>
      </c>
      <c r="D67" s="205">
        <f t="shared" si="5"/>
        <v>0.66</v>
      </c>
      <c r="E67" s="205">
        <f t="shared" si="5"/>
        <v>0.54</v>
      </c>
      <c r="F67" s="206">
        <f>IF(ISNA(HLOOKUP(F$64*10+$A67,$81:$82,2,FALSE)),(HLOOKUP(E$64*10+$A67,$87:$94,4,FALSE)*$G67+$B$25)/HLOOKUP(E$64*10+$A67,$87:$94,5,FALSE)*$E67,HLOOKUP(F$64*10+$A67,$81:$82,2,FALSE))</f>
        <v>0.83</v>
      </c>
      <c r="G67" s="101">
        <f>MIN(130%,SUM($B$57:$D$57)/SUM($B$58:$D$58)*$G$69/HLOOKUP(E$64*10+$A67,$145:$146,2,FALSE))</f>
        <v>1.0528774838584405</v>
      </c>
      <c r="H67" s="204">
        <v>3</v>
      </c>
      <c r="I67" s="208">
        <f t="shared" si="6"/>
        <v>0.1595</v>
      </c>
      <c r="J67" s="208">
        <f t="shared" si="6"/>
        <v>0.158</v>
      </c>
      <c r="K67" s="208">
        <f t="shared" si="6"/>
        <v>0.16020000000000001</v>
      </c>
      <c r="L67" s="208">
        <f t="shared" si="6"/>
        <v>0.13780000000000001</v>
      </c>
      <c r="M67" s="209">
        <f t="shared" si="6"/>
        <v>0.1419</v>
      </c>
      <c r="N67" s="256">
        <f t="shared" si="7"/>
        <v>-7</v>
      </c>
      <c r="O67" s="256">
        <f t="shared" si="7"/>
        <v>101792</v>
      </c>
      <c r="P67" s="210"/>
    </row>
    <row r="68" spans="1:71" x14ac:dyDescent="0.25">
      <c r="A68" s="204">
        <v>4</v>
      </c>
      <c r="B68" s="205">
        <f>HLOOKUP(B$64*10+$A68,$81:$82,2,FALSE)</f>
        <v>0.44</v>
      </c>
      <c r="C68" s="205">
        <f>HLOOKUP(C$64*10+$A68,$81:$82,2,FALSE)</f>
        <v>0.54</v>
      </c>
      <c r="D68" s="205">
        <f>HLOOKUP(D$64*10+$A68,$81:$82,2,FALSE)</f>
        <v>0.64</v>
      </c>
      <c r="E68" s="206">
        <f>IF(ISNA(HLOOKUP(E$64*10+$A68,$81:$82,2,FALSE)),D68*(1-$N68)*#REF!*(1+$B$25)/(1+$E$4),HLOOKUP(E$64*10+$A68,$81:$82,2,FALSE))</f>
        <v>0.56999999999999995</v>
      </c>
      <c r="F68" s="206">
        <f>IF(ISNA(HLOOKUP(F$64*10+$A68,$81:$82,2,FALSE)),(HLOOKUP(E$64*10+$A68,$87:$94,4,FALSE)*$G68+$B$25)/HLOOKUP(E$64*10+$A68,$87:$94,5,FALSE)*$E68,HLOOKUP(F$64*10+$A68,$81:$82,2,FALSE))</f>
        <v>0.56599307842061863</v>
      </c>
      <c r="G68" s="101">
        <f>MIN(130%,SUM($B$57:$D$57)/SUM($B$58:$D$58)*$G$69/HLOOKUP(E$64*10+$A68,$145:$146,2,FALSE))</f>
        <v>0.90643409281817777</v>
      </c>
      <c r="H68" s="204">
        <v>4</v>
      </c>
      <c r="I68" s="208">
        <f t="shared" si="6"/>
        <v>0.16020000000000001</v>
      </c>
      <c r="J68" s="208">
        <f t="shared" si="6"/>
        <v>0.1333</v>
      </c>
      <c r="K68" s="208">
        <f t="shared" si="6"/>
        <v>0.15259999999999999</v>
      </c>
      <c r="L68" s="208">
        <f t="shared" si="6"/>
        <v>0.13949999999999999</v>
      </c>
      <c r="M68" s="209" t="str">
        <f t="shared" si="6"/>
        <v/>
      </c>
      <c r="N68" s="256">
        <f t="shared" si="7"/>
        <v>2695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1.8399999999999999</v>
      </c>
      <c r="C69" s="213">
        <f>SUM(C65:C68)</f>
        <v>2.0499999999999998</v>
      </c>
      <c r="D69" s="213">
        <f>SUM(D65:D68)</f>
        <v>2.74</v>
      </c>
      <c r="E69" s="213">
        <f>SUM(E65:E68)</f>
        <v>2.67</v>
      </c>
      <c r="F69" s="213">
        <f>SUM(F65:F68)</f>
        <v>2.4659930784206185</v>
      </c>
      <c r="G69" s="257">
        <f>_xlfn.FORECAST.ETS(23,B146:W146,{1,2,3,4,5,6,7,8,9,10,11,12,13,14,15,16,17,18,19,20,21,22})</f>
        <v>17.619937791590413</v>
      </c>
      <c r="H69" s="214" t="s">
        <v>19</v>
      </c>
      <c r="I69" s="215">
        <f>HLOOKUP(I64,151:155,3,FALSE)/100</f>
        <v>0.14429999999999998</v>
      </c>
      <c r="J69" s="215">
        <f>HLOOKUP(J64,151:155,3,FALSE)/100</f>
        <v>0.14419999999999999</v>
      </c>
      <c r="K69" s="215">
        <f>HLOOKUP(K64,151:155,3,FALSE)/100</f>
        <v>0.15570000000000001</v>
      </c>
      <c r="L69" s="215">
        <f>IF(ISNA(HLOOKUP(L64,151:155,3,FALSE)/100),AVERAGE(L65:L68),HLOOKUP(L64,151:155,3,FALSE)/100)</f>
        <v>0.156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2.48</v>
      </c>
      <c r="C72" s="205">
        <f t="shared" si="8"/>
        <v>2.76</v>
      </c>
      <c r="D72" s="205">
        <f t="shared" si="8"/>
        <v>3.34</v>
      </c>
      <c r="E72" s="205">
        <f t="shared" si="8"/>
        <v>4.0599999999999996</v>
      </c>
      <c r="F72" s="205">
        <f t="shared" si="8"/>
        <v>2.4700000000000002</v>
      </c>
    </row>
    <row r="73" spans="1:71" s="135" customFormat="1" x14ac:dyDescent="0.25">
      <c r="A73" s="204">
        <v>2</v>
      </c>
      <c r="B73" s="205">
        <f t="shared" si="8"/>
        <v>3.25</v>
      </c>
      <c r="C73" s="205">
        <f t="shared" si="8"/>
        <v>3.15</v>
      </c>
      <c r="D73" s="205">
        <f t="shared" si="8"/>
        <v>5.51</v>
      </c>
      <c r="E73" s="205">
        <f t="shared" si="8"/>
        <v>4.93</v>
      </c>
      <c r="F73" s="205">
        <f t="shared" si="8"/>
        <v>3.82</v>
      </c>
    </row>
    <row r="74" spans="1:71" s="135" customFormat="1" x14ac:dyDescent="0.25">
      <c r="A74" s="204">
        <v>3</v>
      </c>
      <c r="B74" s="205">
        <f t="shared" si="8"/>
        <v>3.69</v>
      </c>
      <c r="C74" s="205">
        <f t="shared" si="8"/>
        <v>3.88</v>
      </c>
      <c r="D74" s="205">
        <f t="shared" si="8"/>
        <v>4.1100000000000003</v>
      </c>
      <c r="E74" s="205">
        <f t="shared" si="8"/>
        <v>3.18</v>
      </c>
      <c r="F74" s="205">
        <f t="shared" si="8"/>
        <v>4.9400000000000004</v>
      </c>
    </row>
    <row r="75" spans="1:71" s="135" customFormat="1" x14ac:dyDescent="0.25">
      <c r="A75" s="204">
        <v>4</v>
      </c>
      <c r="B75" s="205">
        <f t="shared" si="8"/>
        <v>2.92</v>
      </c>
      <c r="C75" s="205">
        <f t="shared" si="8"/>
        <v>3.42</v>
      </c>
      <c r="D75" s="205">
        <f t="shared" si="8"/>
        <v>3.8</v>
      </c>
      <c r="E75" s="205">
        <f t="shared" si="8"/>
        <v>3.37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12.34</v>
      </c>
      <c r="C76" s="213">
        <f>SUM(C72:C75)</f>
        <v>13.209999999999999</v>
      </c>
      <c r="D76" s="213">
        <f>SUM(D72:D75)</f>
        <v>16.760000000000002</v>
      </c>
      <c r="E76" s="213">
        <f>AVERAGE(E72:E75)*4</f>
        <v>15.54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468902</v>
      </c>
      <c r="C79" s="270">
        <v>469085</v>
      </c>
      <c r="D79" s="270">
        <v>540557</v>
      </c>
      <c r="E79" s="270">
        <v>506735</v>
      </c>
      <c r="F79" s="270">
        <v>552502</v>
      </c>
      <c r="G79" s="270">
        <v>521451</v>
      </c>
      <c r="H79" s="270">
        <v>566972</v>
      </c>
      <c r="I79" s="270">
        <v>577213</v>
      </c>
      <c r="J79" s="270">
        <v>556043</v>
      </c>
      <c r="K79" s="270">
        <v>568777</v>
      </c>
      <c r="L79" s="270">
        <v>574520</v>
      </c>
      <c r="M79" s="270">
        <v>583810</v>
      </c>
      <c r="N79" s="270">
        <v>709556</v>
      </c>
      <c r="O79" s="270">
        <v>438070</v>
      </c>
      <c r="P79" s="270">
        <v>600889</v>
      </c>
      <c r="Q79" s="270">
        <v>590914</v>
      </c>
      <c r="R79" s="270">
        <v>631393</v>
      </c>
      <c r="S79" s="270">
        <v>589202</v>
      </c>
      <c r="T79" s="270">
        <v>666839</v>
      </c>
      <c r="U79" s="270">
        <v>666309</v>
      </c>
      <c r="V79" s="270">
        <v>639981</v>
      </c>
      <c r="W79" s="270">
        <v>666710</v>
      </c>
      <c r="X79" s="270">
        <v>644916</v>
      </c>
      <c r="Y79" s="270">
        <v>702951</v>
      </c>
      <c r="Z79" s="270">
        <v>718995</v>
      </c>
      <c r="AA79" s="270">
        <v>520374</v>
      </c>
      <c r="AB79" s="270">
        <v>651203</v>
      </c>
      <c r="AC79" s="270">
        <v>662505</v>
      </c>
      <c r="AD79" s="270">
        <v>677724</v>
      </c>
      <c r="AE79" s="270">
        <v>665518</v>
      </c>
      <c r="AF79" s="270">
        <v>738362</v>
      </c>
      <c r="AG79" s="270">
        <v>719924</v>
      </c>
      <c r="AH79" s="270">
        <v>692696</v>
      </c>
      <c r="AI79" s="270">
        <v>721874</v>
      </c>
      <c r="AJ79" s="270">
        <v>666008</v>
      </c>
      <c r="AK79" s="270">
        <v>772746</v>
      </c>
      <c r="AL79" s="270">
        <v>752502</v>
      </c>
      <c r="AM79" s="270">
        <v>560193</v>
      </c>
      <c r="AN79" s="270">
        <v>709170</v>
      </c>
      <c r="AO79" s="270">
        <v>693762</v>
      </c>
      <c r="AP79" s="270">
        <v>688540</v>
      </c>
      <c r="AQ79" s="270">
        <v>765394</v>
      </c>
      <c r="AR79" s="270">
        <v>796985</v>
      </c>
      <c r="AS79" s="270">
        <v>763454</v>
      </c>
      <c r="AT79" s="270">
        <v>772211</v>
      </c>
      <c r="AU79" s="270">
        <v>788146</v>
      </c>
      <c r="AV79" s="270">
        <v>762706</v>
      </c>
      <c r="AW79" s="270">
        <v>849440</v>
      </c>
      <c r="AX79" s="270">
        <v>867564</v>
      </c>
      <c r="AY79" s="270">
        <v>575526</v>
      </c>
      <c r="AZ79" s="270">
        <v>834308</v>
      </c>
      <c r="BA79" s="270">
        <v>745461</v>
      </c>
      <c r="BB79" s="270">
        <v>793237</v>
      </c>
      <c r="BC79" s="270">
        <v>780288</v>
      </c>
      <c r="BD79" s="270">
        <v>766396</v>
      </c>
      <c r="BE79" s="270">
        <v>842249</v>
      </c>
      <c r="BF79" s="270">
        <v>745598</v>
      </c>
      <c r="BG79" s="270">
        <v>757253</v>
      </c>
      <c r="BH79" s="270">
        <v>832665</v>
      </c>
      <c r="BI79" s="270">
        <v>860117</v>
      </c>
      <c r="BJ79" s="270">
        <v>782695</v>
      </c>
      <c r="BK79" s="270">
        <v>642858</v>
      </c>
      <c r="BL79" s="270">
        <v>853536</v>
      </c>
      <c r="BM79" s="270">
        <v>708988</v>
      </c>
      <c r="BN79" s="270">
        <v>779463</v>
      </c>
      <c r="BO79" s="270">
        <v>825617</v>
      </c>
      <c r="BP79" s="270">
        <v>792548</v>
      </c>
      <c r="BQ79" s="270">
        <v>876937</v>
      </c>
      <c r="BR79" s="270">
        <v>855206</v>
      </c>
      <c r="BS79" s="270">
        <v>783212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0.31</v>
      </c>
      <c r="C82" s="72">
        <v>0.46</v>
      </c>
      <c r="D82" s="72">
        <v>0.47</v>
      </c>
      <c r="E82" s="72">
        <v>0.42</v>
      </c>
      <c r="F82" s="72">
        <v>0.37</v>
      </c>
      <c r="G82" s="72">
        <v>0.48</v>
      </c>
      <c r="H82" s="72">
        <v>0.55000000000000004</v>
      </c>
      <c r="I82" s="72">
        <v>0.44</v>
      </c>
      <c r="J82" s="72">
        <v>0.43</v>
      </c>
      <c r="K82" s="72">
        <v>0.49</v>
      </c>
      <c r="L82" s="72">
        <v>0.59</v>
      </c>
      <c r="M82" s="72">
        <v>0.54</v>
      </c>
      <c r="N82" s="72">
        <v>0.55000000000000004</v>
      </c>
      <c r="O82" s="72">
        <v>0.89</v>
      </c>
      <c r="P82" s="72">
        <v>0.66</v>
      </c>
      <c r="Q82" s="72">
        <v>0.64</v>
      </c>
      <c r="R82" s="72">
        <v>0.71</v>
      </c>
      <c r="S82" s="72">
        <v>0.85</v>
      </c>
      <c r="T82" s="72">
        <v>0.54</v>
      </c>
      <c r="U82" s="72">
        <v>0.56999999999999995</v>
      </c>
      <c r="V82" s="72">
        <v>0.42</v>
      </c>
      <c r="W82" s="72">
        <v>0.65</v>
      </c>
      <c r="X82" s="72">
        <v>0.83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14.59</v>
      </c>
      <c r="C85" s="72">
        <v>14.11</v>
      </c>
      <c r="D85" s="72">
        <v>14.57</v>
      </c>
      <c r="E85" s="72">
        <v>14.74</v>
      </c>
      <c r="F85" s="72">
        <v>15.11</v>
      </c>
      <c r="G85" s="72">
        <v>14.49</v>
      </c>
      <c r="H85" s="72">
        <v>15.03</v>
      </c>
      <c r="I85" s="72">
        <v>15.53</v>
      </c>
      <c r="J85" s="72">
        <v>15.96</v>
      </c>
      <c r="K85" s="72">
        <v>15.05</v>
      </c>
      <c r="L85" s="72">
        <v>15.64</v>
      </c>
      <c r="M85" s="72">
        <v>16.18</v>
      </c>
      <c r="N85" s="72">
        <v>16.73</v>
      </c>
      <c r="O85" s="72">
        <v>15.84</v>
      </c>
      <c r="P85" s="72">
        <v>16.5</v>
      </c>
      <c r="Q85" s="72">
        <v>17.03</v>
      </c>
      <c r="R85" s="72">
        <v>17.73</v>
      </c>
      <c r="S85" s="72">
        <v>16.87</v>
      </c>
      <c r="T85" s="72">
        <v>17.41</v>
      </c>
      <c r="U85" s="72">
        <v>16.91</v>
      </c>
      <c r="V85" s="72">
        <v>17.34</v>
      </c>
      <c r="W85" s="72">
        <v>16.48</v>
      </c>
      <c r="X85" s="72">
        <v>17.309999999999999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1722938</v>
      </c>
      <c r="C88" s="273">
        <v>1831071</v>
      </c>
      <c r="D88" s="273">
        <v>1957556</v>
      </c>
      <c r="E88" s="273">
        <v>1936810</v>
      </c>
      <c r="F88" s="273">
        <v>1759805</v>
      </c>
      <c r="G88" s="273">
        <v>1801727</v>
      </c>
      <c r="H88" s="273">
        <v>1973665</v>
      </c>
      <c r="I88" s="273">
        <v>2013417</v>
      </c>
      <c r="J88" s="273">
        <v>1890572</v>
      </c>
      <c r="K88" s="273">
        <v>2005741</v>
      </c>
      <c r="L88" s="273">
        <v>2150988</v>
      </c>
      <c r="M88" s="273">
        <v>2251717</v>
      </c>
      <c r="N88" s="273">
        <v>2021865</v>
      </c>
      <c r="O88" s="273">
        <v>2206825</v>
      </c>
      <c r="P88" s="273">
        <v>2332651</v>
      </c>
      <c r="Q88" s="273">
        <v>2400291</v>
      </c>
      <c r="R88" s="273">
        <v>2277398</v>
      </c>
      <c r="S88" s="273">
        <v>2318985</v>
      </c>
      <c r="T88" s="273">
        <v>2354243</v>
      </c>
      <c r="U88" s="273">
        <v>2450036</v>
      </c>
      <c r="V88" s="273">
        <v>2279089</v>
      </c>
      <c r="W88" s="273">
        <v>2314068</v>
      </c>
      <c r="X88" s="273">
        <v>2524691</v>
      </c>
    </row>
    <row r="89" spans="1:25" ht="14.25" thickBot="1" x14ac:dyDescent="0.3">
      <c r="A89" s="250" t="s">
        <v>4</v>
      </c>
      <c r="B89" s="275">
        <v>1210329</v>
      </c>
      <c r="C89" s="275">
        <v>1300845</v>
      </c>
      <c r="D89" s="275">
        <v>1404061</v>
      </c>
      <c r="E89" s="275">
        <v>1423853</v>
      </c>
      <c r="F89" s="275">
        <v>310781</v>
      </c>
      <c r="G89" s="275">
        <v>359043</v>
      </c>
      <c r="H89" s="275">
        <v>420819</v>
      </c>
      <c r="I89" s="275">
        <v>452210</v>
      </c>
      <c r="J89" s="275">
        <v>364331</v>
      </c>
      <c r="K89" s="275">
        <v>399204</v>
      </c>
      <c r="L89" s="275">
        <v>453105</v>
      </c>
      <c r="M89" s="275">
        <v>440814</v>
      </c>
      <c r="N89" s="275">
        <v>430309</v>
      </c>
      <c r="O89" s="275">
        <v>466120</v>
      </c>
      <c r="P89" s="275">
        <v>492566</v>
      </c>
      <c r="Q89" s="275">
        <v>513803</v>
      </c>
      <c r="R89" s="275">
        <v>478883</v>
      </c>
      <c r="S89" s="275">
        <v>509112</v>
      </c>
      <c r="T89" s="275">
        <v>422584</v>
      </c>
      <c r="U89" s="275">
        <v>510874</v>
      </c>
      <c r="V89" s="275">
        <v>346109</v>
      </c>
      <c r="W89" s="275">
        <v>443762</v>
      </c>
      <c r="X89" s="275">
        <v>464009</v>
      </c>
    </row>
    <row r="90" spans="1:25" ht="14.25" thickBot="1" x14ac:dyDescent="0.3">
      <c r="A90" s="251" t="s">
        <v>5</v>
      </c>
      <c r="B90" s="273">
        <v>174956</v>
      </c>
      <c r="C90" s="273">
        <v>204230</v>
      </c>
      <c r="D90" s="273">
        <v>242126</v>
      </c>
      <c r="E90" s="273">
        <v>236508</v>
      </c>
      <c r="F90" s="273">
        <v>210917</v>
      </c>
      <c r="G90" s="273">
        <v>241218</v>
      </c>
      <c r="H90" s="273">
        <v>314748</v>
      </c>
      <c r="I90" s="273">
        <v>322450</v>
      </c>
      <c r="J90" s="273">
        <v>253969</v>
      </c>
      <c r="K90" s="273">
        <v>293126</v>
      </c>
      <c r="L90" s="273">
        <v>339814</v>
      </c>
      <c r="M90" s="273">
        <v>300049</v>
      </c>
      <c r="N90" s="273">
        <v>320502</v>
      </c>
      <c r="O90" s="273">
        <v>342433</v>
      </c>
      <c r="P90" s="273">
        <v>373642</v>
      </c>
      <c r="Q90" s="273">
        <v>366250</v>
      </c>
      <c r="R90" s="273">
        <v>372813</v>
      </c>
      <c r="S90" s="273">
        <v>427886</v>
      </c>
      <c r="T90" s="273">
        <v>324340</v>
      </c>
      <c r="U90" s="273">
        <v>341811</v>
      </c>
      <c r="V90" s="273">
        <v>242501</v>
      </c>
      <c r="W90" s="273">
        <v>344216</v>
      </c>
      <c r="X90" s="273">
        <v>358142</v>
      </c>
    </row>
    <row r="91" spans="1:25" ht="14.25" thickBot="1" x14ac:dyDescent="0.3">
      <c r="A91" s="250" t="s">
        <v>6</v>
      </c>
      <c r="B91" s="275">
        <v>183468</v>
      </c>
      <c r="C91" s="275">
        <v>281077</v>
      </c>
      <c r="D91" s="275">
        <v>263414</v>
      </c>
      <c r="E91" s="275">
        <v>244940</v>
      </c>
      <c r="F91" s="275">
        <v>216803</v>
      </c>
      <c r="G91" s="275">
        <v>309429</v>
      </c>
      <c r="H91" s="275">
        <v>318968</v>
      </c>
      <c r="I91" s="275">
        <v>277280</v>
      </c>
      <c r="J91" s="275">
        <v>256044</v>
      </c>
      <c r="K91" s="275">
        <v>301355</v>
      </c>
      <c r="L91" s="275">
        <v>349765</v>
      </c>
      <c r="M91" s="275">
        <v>315280</v>
      </c>
      <c r="N91" s="275">
        <v>321853</v>
      </c>
      <c r="O91" s="275">
        <v>593238</v>
      </c>
      <c r="P91" s="275">
        <v>385577</v>
      </c>
      <c r="Q91" s="275">
        <v>372214</v>
      </c>
      <c r="R91" s="275">
        <v>418992</v>
      </c>
      <c r="S91" s="275">
        <v>502503</v>
      </c>
      <c r="T91" s="275">
        <v>324333</v>
      </c>
      <c r="U91" s="275">
        <v>344506</v>
      </c>
      <c r="V91" s="275">
        <v>251034</v>
      </c>
      <c r="W91" s="275">
        <v>398507</v>
      </c>
      <c r="X91" s="275">
        <v>459934</v>
      </c>
    </row>
    <row r="92" spans="1:25" ht="14.25" thickBot="1" x14ac:dyDescent="0.3">
      <c r="A92" s="251" t="s">
        <v>7</v>
      </c>
      <c r="B92" s="273">
        <v>150129</v>
      </c>
      <c r="C92" s="273">
        <v>222313</v>
      </c>
      <c r="D92" s="273">
        <v>229441</v>
      </c>
      <c r="E92" s="273">
        <v>208566</v>
      </c>
      <c r="F92" s="273">
        <v>181412</v>
      </c>
      <c r="G92" s="273">
        <v>235315</v>
      </c>
      <c r="H92" s="273">
        <v>267028</v>
      </c>
      <c r="I92" s="273">
        <v>218936</v>
      </c>
      <c r="J92" s="273">
        <v>212900</v>
      </c>
      <c r="K92" s="273">
        <v>238779</v>
      </c>
      <c r="L92" s="273">
        <v>289879</v>
      </c>
      <c r="M92" s="273">
        <v>262884</v>
      </c>
      <c r="N92" s="273">
        <v>266124</v>
      </c>
      <c r="O92" s="273">
        <v>433745</v>
      </c>
      <c r="P92" s="273">
        <v>321431</v>
      </c>
      <c r="Q92" s="273">
        <v>308083</v>
      </c>
      <c r="R92" s="273">
        <v>341727</v>
      </c>
      <c r="S92" s="273">
        <v>412844</v>
      </c>
      <c r="T92" s="273">
        <v>263737</v>
      </c>
      <c r="U92" s="273">
        <v>274832</v>
      </c>
      <c r="V92" s="273">
        <v>197433</v>
      </c>
      <c r="W92" s="273">
        <v>302215</v>
      </c>
      <c r="X92" s="273">
        <v>390374</v>
      </c>
    </row>
    <row r="93" spans="1:25" ht="26.25" thickBot="1" x14ac:dyDescent="0.3">
      <c r="A93" s="252" t="s">
        <v>8</v>
      </c>
      <c r="B93" s="276">
        <v>150713</v>
      </c>
      <c r="C93" s="276">
        <v>220190</v>
      </c>
      <c r="D93" s="276">
        <v>226968</v>
      </c>
      <c r="E93" s="276">
        <v>205249</v>
      </c>
      <c r="F93" s="276">
        <v>177295</v>
      </c>
      <c r="G93" s="276">
        <v>230891</v>
      </c>
      <c r="H93" s="276">
        <v>263604</v>
      </c>
      <c r="I93" s="276">
        <v>211146</v>
      </c>
      <c r="J93" s="276">
        <v>208856</v>
      </c>
      <c r="K93" s="276">
        <v>235095</v>
      </c>
      <c r="L93" s="276">
        <v>285840</v>
      </c>
      <c r="M93" s="276">
        <v>260328</v>
      </c>
      <c r="N93" s="276">
        <v>265881</v>
      </c>
      <c r="O93" s="276">
        <v>432246</v>
      </c>
      <c r="P93" s="276">
        <v>321125</v>
      </c>
      <c r="Q93" s="276">
        <v>307569</v>
      </c>
      <c r="R93" s="276">
        <v>341262</v>
      </c>
      <c r="S93" s="276">
        <v>412033</v>
      </c>
      <c r="T93" s="276">
        <v>263396</v>
      </c>
      <c r="U93" s="276">
        <v>274687</v>
      </c>
      <c r="V93" s="276">
        <v>197043</v>
      </c>
      <c r="W93" s="276">
        <v>301518</v>
      </c>
      <c r="X93" s="276">
        <v>389211</v>
      </c>
    </row>
    <row r="94" spans="1:25" x14ac:dyDescent="0.25">
      <c r="A94" s="233" t="s">
        <v>365</v>
      </c>
      <c r="B94" s="253">
        <f>IF(B91="","",B91-B90)</f>
        <v>8512</v>
      </c>
      <c r="C94" s="253">
        <f>IF(C91="","",C91-C90)</f>
        <v>76847</v>
      </c>
      <c r="D94" s="253">
        <f t="shared" ref="D94:Y94" si="9">IF(D91="","",D91-D90)</f>
        <v>21288</v>
      </c>
      <c r="E94" s="253">
        <f t="shared" si="9"/>
        <v>8432</v>
      </c>
      <c r="F94" s="253">
        <f t="shared" si="9"/>
        <v>5886</v>
      </c>
      <c r="G94" s="253">
        <f t="shared" si="9"/>
        <v>68211</v>
      </c>
      <c r="H94" s="253">
        <f t="shared" si="9"/>
        <v>4220</v>
      </c>
      <c r="I94" s="253">
        <f t="shared" si="9"/>
        <v>-45170</v>
      </c>
      <c r="J94" s="253">
        <f t="shared" si="9"/>
        <v>2075</v>
      </c>
      <c r="K94" s="253">
        <f t="shared" si="9"/>
        <v>8229</v>
      </c>
      <c r="L94" s="253">
        <f t="shared" si="9"/>
        <v>9951</v>
      </c>
      <c r="M94" s="253">
        <f t="shared" si="9"/>
        <v>15231</v>
      </c>
      <c r="N94" s="253">
        <f t="shared" si="9"/>
        <v>1351</v>
      </c>
      <c r="O94" s="253">
        <f t="shared" si="9"/>
        <v>250805</v>
      </c>
      <c r="P94" s="253">
        <f t="shared" si="9"/>
        <v>11935</v>
      </c>
      <c r="Q94" s="253">
        <f t="shared" si="9"/>
        <v>5964</v>
      </c>
      <c r="R94" s="253">
        <f t="shared" si="9"/>
        <v>46179</v>
      </c>
      <c r="S94" s="253">
        <f t="shared" si="9"/>
        <v>74617</v>
      </c>
      <c r="T94" s="253">
        <f t="shared" si="9"/>
        <v>-7</v>
      </c>
      <c r="U94" s="253">
        <f t="shared" si="9"/>
        <v>2695</v>
      </c>
      <c r="V94" s="253">
        <f t="shared" si="9"/>
        <v>8533</v>
      </c>
      <c r="W94" s="253">
        <f t="shared" si="9"/>
        <v>54291</v>
      </c>
      <c r="X94" s="253">
        <f t="shared" si="9"/>
        <v>101792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7448375</v>
      </c>
      <c r="C97" s="273">
        <v>7548614</v>
      </c>
      <c r="D97" s="273">
        <v>8207929</v>
      </c>
      <c r="E97" s="273">
        <v>9047344</v>
      </c>
      <c r="F97" s="273">
        <v>9400662</v>
      </c>
    </row>
    <row r="98" spans="1:24" ht="14.25" thickBot="1" x14ac:dyDescent="0.3">
      <c r="A98" s="225" t="s">
        <v>4</v>
      </c>
      <c r="B98" s="275">
        <v>5339088</v>
      </c>
      <c r="C98" s="275">
        <v>1542853</v>
      </c>
      <c r="D98" s="275">
        <v>1648697</v>
      </c>
      <c r="E98" s="275">
        <v>1913253</v>
      </c>
      <c r="F98" s="275">
        <v>1921453</v>
      </c>
    </row>
    <row r="99" spans="1:24" ht="14.25" thickBot="1" x14ac:dyDescent="0.3">
      <c r="A99" s="224" t="s">
        <v>5</v>
      </c>
      <c r="B99" s="273">
        <v>857820</v>
      </c>
      <c r="C99" s="273">
        <v>1089333</v>
      </c>
      <c r="D99" s="273">
        <v>1183398</v>
      </c>
      <c r="E99" s="273">
        <v>1408880</v>
      </c>
      <c r="F99" s="273">
        <v>1466850</v>
      </c>
    </row>
    <row r="100" spans="1:24" ht="14.25" thickBot="1" x14ac:dyDescent="0.3">
      <c r="A100" s="225" t="s">
        <v>6</v>
      </c>
      <c r="B100" s="275">
        <v>972899</v>
      </c>
      <c r="C100" s="275">
        <v>1122480</v>
      </c>
      <c r="D100" s="275">
        <v>1220176</v>
      </c>
      <c r="E100" s="275">
        <v>1677820</v>
      </c>
      <c r="F100" s="275">
        <v>1590334</v>
      </c>
    </row>
    <row r="101" spans="1:24" ht="14.25" thickBot="1" x14ac:dyDescent="0.3">
      <c r="A101" s="224" t="s">
        <v>7</v>
      </c>
      <c r="B101" s="273">
        <v>810449</v>
      </c>
      <c r="C101" s="273">
        <v>902691</v>
      </c>
      <c r="D101" s="273">
        <v>1002174</v>
      </c>
      <c r="E101" s="273">
        <v>1334321</v>
      </c>
      <c r="F101" s="273">
        <v>1293140</v>
      </c>
    </row>
    <row r="102" spans="1:24" ht="14.25" thickBot="1" x14ac:dyDescent="0.3">
      <c r="A102" s="227" t="s">
        <v>8</v>
      </c>
      <c r="B102" s="276">
        <v>803120</v>
      </c>
      <c r="C102" s="276">
        <v>882936</v>
      </c>
      <c r="D102" s="276">
        <v>990119</v>
      </c>
      <c r="E102" s="276">
        <v>1326821</v>
      </c>
      <c r="F102" s="276">
        <v>1291378</v>
      </c>
    </row>
    <row r="103" spans="1:24" x14ac:dyDescent="0.25">
      <c r="A103" s="233" t="s">
        <v>262</v>
      </c>
      <c r="B103" s="234">
        <f>IF(OR(B102="",B102="無"),"",B102/B101)</f>
        <v>0.99095686465156974</v>
      </c>
      <c r="C103" s="234">
        <f>IF(OR(C102="",C102="無"),"",C102/C101)</f>
        <v>0.97811543484979913</v>
      </c>
      <c r="D103" s="234">
        <f>IF(OR(D102="",D102="無"),"",D102/D101)</f>
        <v>0.9879711507183383</v>
      </c>
      <c r="E103" s="234">
        <f>IF(OR(E102="",E102="無"),"",E102/E101)</f>
        <v>0.99437916363453771</v>
      </c>
      <c r="F103" s="234">
        <f>IF(OR(F102="",F102="無"),"",F102/F101)</f>
        <v>0.99863742518211485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981680</v>
      </c>
      <c r="C106" s="273">
        <v>983395</v>
      </c>
      <c r="D106" s="273">
        <v>805985</v>
      </c>
      <c r="E106" s="273">
        <v>698836</v>
      </c>
      <c r="F106" s="273">
        <v>630710</v>
      </c>
      <c r="G106" s="273">
        <v>670563</v>
      </c>
      <c r="H106" s="273">
        <v>825085</v>
      </c>
      <c r="I106" s="273">
        <v>965885</v>
      </c>
      <c r="J106" s="273">
        <v>932063</v>
      </c>
      <c r="K106" s="273">
        <v>827865</v>
      </c>
      <c r="L106" s="273">
        <v>658585</v>
      </c>
      <c r="M106" s="273">
        <v>749353</v>
      </c>
      <c r="N106" s="273">
        <v>704468</v>
      </c>
      <c r="O106" s="273">
        <v>918416</v>
      </c>
      <c r="P106" s="273">
        <v>586050</v>
      </c>
      <c r="Q106" s="273">
        <v>835307</v>
      </c>
      <c r="R106" s="273">
        <v>830314</v>
      </c>
      <c r="S106" s="273">
        <v>912194</v>
      </c>
      <c r="T106" s="273">
        <v>810509</v>
      </c>
      <c r="U106" s="273">
        <v>687764</v>
      </c>
      <c r="V106" s="273">
        <v>1000211</v>
      </c>
      <c r="W106" s="273">
        <v>1054104</v>
      </c>
      <c r="X106" s="273">
        <v>970654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1257724</v>
      </c>
      <c r="C108" s="273">
        <v>1254959</v>
      </c>
      <c r="D108" s="273">
        <v>1386079</v>
      </c>
      <c r="E108" s="273">
        <v>1257125</v>
      </c>
      <c r="F108" s="273">
        <v>1180946</v>
      </c>
      <c r="G108" s="273">
        <v>1252769</v>
      </c>
      <c r="H108" s="273">
        <v>1231095</v>
      </c>
      <c r="I108" s="273">
        <v>1242457</v>
      </c>
      <c r="J108" s="273">
        <v>1116799</v>
      </c>
      <c r="K108" s="273">
        <v>1215953</v>
      </c>
      <c r="L108" s="273">
        <v>1280783</v>
      </c>
      <c r="M108" s="273">
        <v>1303600</v>
      </c>
      <c r="N108" s="273">
        <v>1208436</v>
      </c>
      <c r="O108" s="273">
        <v>1327820</v>
      </c>
      <c r="P108" s="273">
        <v>1497633</v>
      </c>
      <c r="Q108" s="273">
        <v>1426829</v>
      </c>
      <c r="R108" s="273">
        <v>1371395</v>
      </c>
      <c r="S108" s="273">
        <v>1423521</v>
      </c>
      <c r="T108" s="273">
        <v>1474601</v>
      </c>
      <c r="U108" s="273">
        <v>1626952</v>
      </c>
      <c r="V108" s="273">
        <v>1376536</v>
      </c>
      <c r="W108" s="273">
        <v>1427945</v>
      </c>
      <c r="X108" s="273">
        <v>1532841</v>
      </c>
    </row>
    <row r="109" spans="1:24" ht="14.25" thickBot="1" x14ac:dyDescent="0.3">
      <c r="A109" s="225" t="s">
        <v>264</v>
      </c>
      <c r="B109" s="275">
        <v>28900</v>
      </c>
      <c r="C109" s="275">
        <v>23987</v>
      </c>
      <c r="D109" s="275">
        <v>26055</v>
      </c>
      <c r="E109" s="275">
        <v>26091</v>
      </c>
      <c r="F109" s="275">
        <v>39263</v>
      </c>
      <c r="G109" s="275">
        <v>40266</v>
      </c>
      <c r="H109" s="275">
        <v>37239</v>
      </c>
      <c r="I109" s="275">
        <v>38025</v>
      </c>
      <c r="J109" s="275">
        <v>41835</v>
      </c>
      <c r="K109" s="275">
        <v>40476</v>
      </c>
      <c r="L109" s="275">
        <v>45432</v>
      </c>
      <c r="M109" s="275">
        <v>36669</v>
      </c>
      <c r="N109" s="275">
        <v>38043</v>
      </c>
      <c r="O109" s="275">
        <v>46416</v>
      </c>
      <c r="P109" s="275">
        <v>48175</v>
      </c>
      <c r="Q109" s="275">
        <v>39489</v>
      </c>
      <c r="R109" s="275">
        <v>43883</v>
      </c>
      <c r="S109" s="275">
        <v>52535</v>
      </c>
      <c r="T109" s="275">
        <v>66046</v>
      </c>
      <c r="U109" s="275">
        <v>46554</v>
      </c>
      <c r="V109" s="275">
        <v>49951</v>
      </c>
      <c r="W109" s="275">
        <v>47802</v>
      </c>
      <c r="X109" s="275">
        <v>45168</v>
      </c>
    </row>
    <row r="110" spans="1:24" ht="14.25" thickBot="1" x14ac:dyDescent="0.3">
      <c r="A110" s="224" t="s">
        <v>23</v>
      </c>
      <c r="B110" s="273">
        <v>164829</v>
      </c>
      <c r="C110" s="273">
        <v>161125</v>
      </c>
      <c r="D110" s="273">
        <v>194770</v>
      </c>
      <c r="E110" s="273">
        <v>257765</v>
      </c>
      <c r="F110" s="273">
        <v>254517</v>
      </c>
      <c r="G110" s="273">
        <v>243794</v>
      </c>
      <c r="H110" s="273">
        <v>73902</v>
      </c>
      <c r="I110" s="273">
        <v>63443</v>
      </c>
      <c r="J110" s="273">
        <v>88826</v>
      </c>
      <c r="K110" s="273">
        <v>82158</v>
      </c>
      <c r="L110" s="273">
        <v>76685</v>
      </c>
      <c r="M110" s="273">
        <v>50605</v>
      </c>
      <c r="N110" s="273">
        <v>104752</v>
      </c>
      <c r="O110" s="273">
        <v>101514</v>
      </c>
      <c r="P110" s="273">
        <v>99072</v>
      </c>
      <c r="Q110" s="273">
        <v>63756</v>
      </c>
      <c r="R110" s="273">
        <v>128250</v>
      </c>
      <c r="S110" s="273">
        <v>139684</v>
      </c>
      <c r="T110" s="273">
        <v>152548</v>
      </c>
      <c r="U110" s="273">
        <v>119596</v>
      </c>
      <c r="V110" s="273">
        <v>143806</v>
      </c>
      <c r="W110" s="273">
        <v>157917</v>
      </c>
      <c r="X110" s="273">
        <v>143606</v>
      </c>
    </row>
    <row r="111" spans="1:24" ht="14.25" thickBot="1" x14ac:dyDescent="0.3">
      <c r="A111" s="225" t="s">
        <v>24</v>
      </c>
      <c r="B111" s="275">
        <v>2433133</v>
      </c>
      <c r="C111" s="275">
        <v>2423466</v>
      </c>
      <c r="D111" s="275">
        <v>2412889</v>
      </c>
      <c r="E111" s="275">
        <v>2239817</v>
      </c>
      <c r="F111" s="275">
        <v>2105436</v>
      </c>
      <c r="G111" s="275">
        <v>2207392</v>
      </c>
      <c r="H111" s="275">
        <v>2167321</v>
      </c>
      <c r="I111" s="275">
        <v>2309810</v>
      </c>
      <c r="J111" s="275">
        <v>2179523</v>
      </c>
      <c r="K111" s="275">
        <v>2166452</v>
      </c>
      <c r="L111" s="275">
        <v>2061485</v>
      </c>
      <c r="M111" s="275">
        <v>2140227</v>
      </c>
      <c r="N111" s="275">
        <v>2055699</v>
      </c>
      <c r="O111" s="275">
        <v>2394166</v>
      </c>
      <c r="P111" s="275">
        <v>2230930</v>
      </c>
      <c r="Q111" s="275">
        <v>2365381</v>
      </c>
      <c r="R111" s="275">
        <v>2373842</v>
      </c>
      <c r="S111" s="275">
        <v>2527934</v>
      </c>
      <c r="T111" s="275">
        <v>2503704</v>
      </c>
      <c r="U111" s="275">
        <v>2480866</v>
      </c>
      <c r="V111" s="275">
        <v>2570504</v>
      </c>
      <c r="W111" s="275">
        <v>2687768</v>
      </c>
      <c r="X111" s="275">
        <v>2692269</v>
      </c>
    </row>
    <row r="112" spans="1:24" ht="14.25" thickBot="1" x14ac:dyDescent="0.3">
      <c r="A112" s="224" t="s">
        <v>25</v>
      </c>
      <c r="B112" s="273">
        <v>183759</v>
      </c>
      <c r="C112" s="273">
        <v>183759</v>
      </c>
      <c r="D112" s="273">
        <v>183759</v>
      </c>
      <c r="E112" s="273">
        <v>277010</v>
      </c>
      <c r="F112" s="273">
        <v>282856</v>
      </c>
      <c r="G112" s="273">
        <v>285750</v>
      </c>
      <c r="H112" s="273">
        <v>288078</v>
      </c>
      <c r="I112" s="273">
        <v>278686</v>
      </c>
      <c r="J112" s="273">
        <v>278528</v>
      </c>
      <c r="K112" s="273">
        <v>279040</v>
      </c>
      <c r="L112" s="273">
        <v>279701</v>
      </c>
      <c r="M112" s="273">
        <v>294583</v>
      </c>
      <c r="N112" s="273">
        <v>299442</v>
      </c>
      <c r="O112" s="273">
        <v>299503</v>
      </c>
      <c r="P112" s="273">
        <v>298802</v>
      </c>
      <c r="Q112" s="273">
        <v>297324</v>
      </c>
      <c r="R112" s="273">
        <v>294992</v>
      </c>
      <c r="S112" s="273">
        <v>295893</v>
      </c>
      <c r="T112" s="273">
        <v>295743</v>
      </c>
      <c r="U112" s="273">
        <v>254976</v>
      </c>
      <c r="V112" s="273">
        <v>255734</v>
      </c>
      <c r="W112" s="273">
        <v>257233</v>
      </c>
      <c r="X112" s="273">
        <v>257103</v>
      </c>
    </row>
    <row r="113" spans="1:24" ht="14.25" thickBot="1" x14ac:dyDescent="0.3">
      <c r="A113" s="225" t="s">
        <v>26</v>
      </c>
      <c r="B113" s="275">
        <v>8223784</v>
      </c>
      <c r="C113" s="275">
        <v>8224320</v>
      </c>
      <c r="D113" s="275">
        <v>8272449</v>
      </c>
      <c r="E113" s="275">
        <v>8416325</v>
      </c>
      <c r="F113" s="275">
        <v>8328112</v>
      </c>
      <c r="G113" s="275">
        <v>8351840</v>
      </c>
      <c r="H113" s="275">
        <v>8387023</v>
      </c>
      <c r="I113" s="275">
        <v>8423851</v>
      </c>
      <c r="J113" s="275">
        <v>8528390</v>
      </c>
      <c r="K113" s="275">
        <v>8570922</v>
      </c>
      <c r="L113" s="275">
        <v>8702716</v>
      </c>
      <c r="M113" s="275">
        <v>8820986</v>
      </c>
      <c r="N113" s="275">
        <v>8805264</v>
      </c>
      <c r="O113" s="275">
        <v>8743183</v>
      </c>
      <c r="P113" s="275">
        <v>8909771</v>
      </c>
      <c r="Q113" s="275">
        <v>9146543</v>
      </c>
      <c r="R113" s="275">
        <v>9123435</v>
      </c>
      <c r="S113" s="275">
        <v>9088661</v>
      </c>
      <c r="T113" s="275">
        <v>9536889</v>
      </c>
      <c r="U113" s="275">
        <v>9572024</v>
      </c>
      <c r="V113" s="275">
        <v>9659293</v>
      </c>
      <c r="W113" s="275">
        <v>9724948</v>
      </c>
      <c r="X113" s="275">
        <v>10461572</v>
      </c>
    </row>
    <row r="114" spans="1:24" ht="14.25" thickBot="1" x14ac:dyDescent="0.3">
      <c r="A114" s="224" t="s">
        <v>27</v>
      </c>
      <c r="B114" s="273">
        <v>178932</v>
      </c>
      <c r="C114" s="273">
        <v>193834</v>
      </c>
      <c r="D114" s="273">
        <v>202160</v>
      </c>
      <c r="E114" s="273">
        <v>188652</v>
      </c>
      <c r="F114" s="273">
        <v>652722</v>
      </c>
      <c r="G114" s="273">
        <v>647461</v>
      </c>
      <c r="H114" s="273">
        <v>649428</v>
      </c>
      <c r="I114" s="273">
        <v>758264</v>
      </c>
      <c r="J114" s="273">
        <v>675498</v>
      </c>
      <c r="K114" s="273">
        <v>685366</v>
      </c>
      <c r="L114" s="273">
        <v>701909</v>
      </c>
      <c r="M114" s="273">
        <v>676305</v>
      </c>
      <c r="N114" s="273">
        <v>653899</v>
      </c>
      <c r="O114" s="273">
        <v>747236</v>
      </c>
      <c r="P114" s="273">
        <v>741248</v>
      </c>
      <c r="Q114" s="273">
        <v>716501</v>
      </c>
      <c r="R114" s="273">
        <v>647739</v>
      </c>
      <c r="S114" s="273">
        <v>798976</v>
      </c>
      <c r="T114" s="273">
        <v>592521</v>
      </c>
      <c r="U114" s="273">
        <v>590377</v>
      </c>
      <c r="V114" s="273">
        <v>644499</v>
      </c>
      <c r="W114" s="273">
        <v>631289</v>
      </c>
      <c r="X114" s="273">
        <v>577045</v>
      </c>
    </row>
    <row r="115" spans="1:24" ht="14.25" thickBot="1" x14ac:dyDescent="0.3">
      <c r="A115" s="225" t="s">
        <v>265</v>
      </c>
      <c r="B115" s="276">
        <v>11019608</v>
      </c>
      <c r="C115" s="276">
        <v>11025379</v>
      </c>
      <c r="D115" s="276">
        <v>11071257</v>
      </c>
      <c r="E115" s="276">
        <v>11121804</v>
      </c>
      <c r="F115" s="276">
        <v>11369126</v>
      </c>
      <c r="G115" s="276">
        <v>11492443</v>
      </c>
      <c r="H115" s="276">
        <v>11491850</v>
      </c>
      <c r="I115" s="276">
        <v>11770611</v>
      </c>
      <c r="J115" s="276">
        <v>11661939</v>
      </c>
      <c r="K115" s="276">
        <v>11701780</v>
      </c>
      <c r="L115" s="276">
        <v>11745811</v>
      </c>
      <c r="M115" s="276">
        <v>11932101</v>
      </c>
      <c r="N115" s="276">
        <v>11814304</v>
      </c>
      <c r="O115" s="276">
        <v>12184088</v>
      </c>
      <c r="P115" s="276">
        <v>12180751</v>
      </c>
      <c r="Q115" s="276">
        <v>12525749</v>
      </c>
      <c r="R115" s="276">
        <v>12440008</v>
      </c>
      <c r="S115" s="276">
        <v>12711464</v>
      </c>
      <c r="T115" s="276">
        <v>12928857</v>
      </c>
      <c r="U115" s="276">
        <v>12898243</v>
      </c>
      <c r="V115" s="276">
        <v>13130030</v>
      </c>
      <c r="W115" s="276">
        <v>13301238</v>
      </c>
      <c r="X115" s="276">
        <v>13987989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301216</v>
      </c>
      <c r="C118" s="273">
        <v>162235</v>
      </c>
      <c r="D118" s="273">
        <v>363568</v>
      </c>
      <c r="E118" s="273">
        <v>184000</v>
      </c>
      <c r="F118" s="273">
        <v>170000</v>
      </c>
      <c r="G118" s="273">
        <v>34000</v>
      </c>
      <c r="H118" s="273">
        <v>177000</v>
      </c>
      <c r="I118" s="273">
        <v>149000</v>
      </c>
      <c r="J118" s="273">
        <v>126000</v>
      </c>
      <c r="K118" s="273">
        <v>29000</v>
      </c>
      <c r="L118" s="273">
        <v>329000</v>
      </c>
      <c r="M118" s="273">
        <v>121000</v>
      </c>
      <c r="N118" s="273">
        <v>210000</v>
      </c>
      <c r="O118" s="273">
        <v>265000</v>
      </c>
      <c r="P118" s="273">
        <v>523000</v>
      </c>
      <c r="Q118" s="273">
        <v>457000</v>
      </c>
      <c r="R118" s="273">
        <v>734000</v>
      </c>
      <c r="S118" s="273">
        <v>559000</v>
      </c>
      <c r="T118" s="273">
        <v>635000</v>
      </c>
      <c r="U118" s="273">
        <v>859000</v>
      </c>
      <c r="V118" s="273">
        <v>1139000</v>
      </c>
      <c r="W118" s="273">
        <v>985000</v>
      </c>
      <c r="X118" s="273">
        <v>1410000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336396</v>
      </c>
      <c r="C120" s="273">
        <v>398763</v>
      </c>
      <c r="D120" s="273">
        <v>425786</v>
      </c>
      <c r="E120" s="273">
        <v>471261</v>
      </c>
      <c r="F120" s="273">
        <v>418462</v>
      </c>
      <c r="G120" s="273">
        <v>344839</v>
      </c>
      <c r="H120" s="273">
        <v>334394</v>
      </c>
      <c r="I120" s="273">
        <v>398985</v>
      </c>
      <c r="J120" s="273">
        <v>466176</v>
      </c>
      <c r="K120" s="273">
        <v>364706</v>
      </c>
      <c r="L120" s="273">
        <v>453369</v>
      </c>
      <c r="M120" s="273">
        <v>472510</v>
      </c>
      <c r="N120" s="273">
        <v>315382</v>
      </c>
      <c r="O120" s="273">
        <v>330863</v>
      </c>
      <c r="P120" s="273">
        <v>459010</v>
      </c>
      <c r="Q120" s="273">
        <v>442711</v>
      </c>
      <c r="R120" s="273">
        <v>401428</v>
      </c>
      <c r="S120" s="273">
        <v>379407</v>
      </c>
      <c r="T120" s="273">
        <v>481600</v>
      </c>
      <c r="U120" s="273">
        <v>376515</v>
      </c>
      <c r="V120" s="273">
        <v>418598</v>
      </c>
      <c r="W120" s="273">
        <v>459746</v>
      </c>
      <c r="X120" s="273">
        <v>483157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10571</v>
      </c>
      <c r="C122" s="273">
        <v>11664</v>
      </c>
      <c r="D122" s="273">
        <v>12760</v>
      </c>
      <c r="E122" s="68">
        <v>0</v>
      </c>
      <c r="F122" s="273">
        <v>14966</v>
      </c>
      <c r="G122" s="273">
        <v>15024</v>
      </c>
      <c r="H122" s="273">
        <v>15082</v>
      </c>
      <c r="I122" s="273">
        <v>15140</v>
      </c>
      <c r="J122" s="273">
        <v>15199</v>
      </c>
      <c r="K122" s="273">
        <v>15258</v>
      </c>
      <c r="L122" s="273">
        <v>4873</v>
      </c>
      <c r="M122" s="273">
        <v>5601</v>
      </c>
      <c r="N122" s="273">
        <v>6380</v>
      </c>
      <c r="O122" s="273">
        <v>6380</v>
      </c>
      <c r="P122" s="273">
        <v>6380</v>
      </c>
      <c r="Q122" s="273">
        <v>6380</v>
      </c>
      <c r="R122" s="273">
        <v>6380</v>
      </c>
      <c r="S122" s="273">
        <v>6380</v>
      </c>
      <c r="T122" s="273">
        <v>6380</v>
      </c>
      <c r="U122" s="273">
        <v>6380</v>
      </c>
      <c r="V122" s="273">
        <v>6380</v>
      </c>
      <c r="W122" s="273">
        <v>6380</v>
      </c>
      <c r="X122" s="273">
        <v>6380</v>
      </c>
    </row>
    <row r="123" spans="1:24" ht="14.25" thickBot="1" x14ac:dyDescent="0.3">
      <c r="A123" s="225" t="s">
        <v>31</v>
      </c>
      <c r="B123" s="275">
        <v>955772</v>
      </c>
      <c r="C123" s="275">
        <v>1285862</v>
      </c>
      <c r="D123" s="275">
        <v>903954</v>
      </c>
      <c r="E123" s="275">
        <v>928740</v>
      </c>
      <c r="F123" s="275">
        <v>843240</v>
      </c>
      <c r="G123" s="275">
        <v>1521200</v>
      </c>
      <c r="H123" s="275">
        <v>978518</v>
      </c>
      <c r="I123" s="275">
        <v>1210647</v>
      </c>
      <c r="J123" s="275">
        <v>952146</v>
      </c>
      <c r="K123" s="275">
        <v>1745705</v>
      </c>
      <c r="L123" s="275">
        <v>1074009</v>
      </c>
      <c r="M123" s="275">
        <v>1205604</v>
      </c>
      <c r="N123" s="275">
        <v>1055445</v>
      </c>
      <c r="O123" s="275">
        <v>1979101</v>
      </c>
      <c r="P123" s="275">
        <v>1164891</v>
      </c>
      <c r="Q123" s="275">
        <v>1430380</v>
      </c>
      <c r="R123" s="275">
        <v>1156723</v>
      </c>
      <c r="S123" s="275">
        <v>1929677</v>
      </c>
      <c r="T123" s="275">
        <v>1053024</v>
      </c>
      <c r="U123" s="275">
        <v>1292196</v>
      </c>
      <c r="V123" s="275">
        <v>1096167</v>
      </c>
      <c r="W123" s="275">
        <v>1828152</v>
      </c>
      <c r="X123" s="275">
        <v>1206569</v>
      </c>
    </row>
    <row r="124" spans="1:24" ht="14.25" thickBot="1" x14ac:dyDescent="0.3">
      <c r="A124" s="224" t="s">
        <v>268</v>
      </c>
      <c r="B124" s="273">
        <v>1603955</v>
      </c>
      <c r="C124" s="273">
        <v>1858524</v>
      </c>
      <c r="D124" s="273">
        <v>1706068</v>
      </c>
      <c r="E124" s="273">
        <v>1584001</v>
      </c>
      <c r="F124" s="273">
        <v>1446668</v>
      </c>
      <c r="G124" s="273">
        <v>1915063</v>
      </c>
      <c r="H124" s="273">
        <v>1504994</v>
      </c>
      <c r="I124" s="273">
        <v>1773772</v>
      </c>
      <c r="J124" s="273">
        <v>1559521</v>
      </c>
      <c r="K124" s="273">
        <v>2154669</v>
      </c>
      <c r="L124" s="273">
        <v>1861251</v>
      </c>
      <c r="M124" s="273">
        <v>1804715</v>
      </c>
      <c r="N124" s="273">
        <v>1587207</v>
      </c>
      <c r="O124" s="273">
        <v>2581344</v>
      </c>
      <c r="P124" s="273">
        <v>2153281</v>
      </c>
      <c r="Q124" s="273">
        <v>2336471</v>
      </c>
      <c r="R124" s="273">
        <v>2298531</v>
      </c>
      <c r="S124" s="273">
        <v>2874464</v>
      </c>
      <c r="T124" s="273">
        <v>2176004</v>
      </c>
      <c r="U124" s="273">
        <v>2534091</v>
      </c>
      <c r="V124" s="273">
        <v>2660145</v>
      </c>
      <c r="W124" s="273">
        <v>3279278</v>
      </c>
      <c r="X124" s="273">
        <v>3106106</v>
      </c>
    </row>
    <row r="125" spans="1:24" ht="14.25" thickBot="1" x14ac:dyDescent="0.3">
      <c r="A125" s="225" t="s">
        <v>32</v>
      </c>
      <c r="B125" s="275">
        <v>596403</v>
      </c>
      <c r="C125" s="275">
        <v>592684</v>
      </c>
      <c r="D125" s="275">
        <v>588949</v>
      </c>
      <c r="E125" s="275">
        <v>585201</v>
      </c>
      <c r="F125" s="275">
        <v>2523573</v>
      </c>
      <c r="G125" s="275">
        <v>2474721</v>
      </c>
      <c r="H125" s="275">
        <v>2619377</v>
      </c>
      <c r="I125" s="275">
        <v>2392725</v>
      </c>
      <c r="J125" s="275">
        <v>2291801</v>
      </c>
      <c r="K125" s="275">
        <v>2179140</v>
      </c>
      <c r="L125" s="275">
        <v>2317615</v>
      </c>
      <c r="M125" s="275">
        <v>2300763</v>
      </c>
      <c r="N125" s="275">
        <v>2134350</v>
      </c>
      <c r="O125" s="275">
        <v>1940145</v>
      </c>
      <c r="P125" s="275">
        <v>2043440</v>
      </c>
      <c r="Q125" s="275">
        <v>1950218</v>
      </c>
      <c r="R125" s="275">
        <v>1560690</v>
      </c>
      <c r="S125" s="275">
        <v>1675131</v>
      </c>
      <c r="T125" s="275">
        <v>2327247</v>
      </c>
      <c r="U125" s="275">
        <v>2459206</v>
      </c>
      <c r="V125" s="275">
        <v>2367506</v>
      </c>
      <c r="W125" s="275">
        <v>2318975</v>
      </c>
      <c r="X125" s="275">
        <v>2778904</v>
      </c>
    </row>
    <row r="126" spans="1:24" ht="14.25" thickBot="1" x14ac:dyDescent="0.3">
      <c r="A126" s="224" t="s">
        <v>33</v>
      </c>
      <c r="B126" s="273">
        <v>1677588</v>
      </c>
      <c r="C126" s="273">
        <v>1660251</v>
      </c>
      <c r="D126" s="273">
        <v>1634949</v>
      </c>
      <c r="E126" s="273">
        <v>1736040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3877946</v>
      </c>
      <c r="C127" s="275">
        <v>4111459</v>
      </c>
      <c r="D127" s="275">
        <v>3929966</v>
      </c>
      <c r="E127" s="275">
        <v>3905242</v>
      </c>
      <c r="F127" s="275">
        <v>3970241</v>
      </c>
      <c r="G127" s="275">
        <v>4389784</v>
      </c>
      <c r="H127" s="275">
        <v>4124371</v>
      </c>
      <c r="I127" s="275">
        <v>4166497</v>
      </c>
      <c r="J127" s="275">
        <v>3851322</v>
      </c>
      <c r="K127" s="275">
        <v>4333809</v>
      </c>
      <c r="L127" s="275">
        <v>4178866</v>
      </c>
      <c r="M127" s="275">
        <v>4105478</v>
      </c>
      <c r="N127" s="275">
        <v>3721557</v>
      </c>
      <c r="O127" s="275">
        <v>4521489</v>
      </c>
      <c r="P127" s="275">
        <v>4196721</v>
      </c>
      <c r="Q127" s="275">
        <v>4286689</v>
      </c>
      <c r="R127" s="275">
        <v>3859221</v>
      </c>
      <c r="S127" s="275">
        <v>4549595</v>
      </c>
      <c r="T127" s="275">
        <v>4503251</v>
      </c>
      <c r="U127" s="275">
        <v>4993297</v>
      </c>
      <c r="V127" s="275">
        <v>5027651</v>
      </c>
      <c r="W127" s="275">
        <v>5598253</v>
      </c>
      <c r="X127" s="275">
        <v>5885010</v>
      </c>
    </row>
    <row r="128" spans="1:24" ht="14.25" thickBot="1" x14ac:dyDescent="0.3">
      <c r="A128" s="224" t="s">
        <v>34</v>
      </c>
      <c r="B128" s="273">
        <v>7141662</v>
      </c>
      <c r="C128" s="273">
        <v>6913920</v>
      </c>
      <c r="D128" s="273">
        <v>7141291</v>
      </c>
      <c r="E128" s="273">
        <v>7216562</v>
      </c>
      <c r="F128" s="273">
        <v>7398885</v>
      </c>
      <c r="G128" s="273">
        <v>7102659</v>
      </c>
      <c r="H128" s="273">
        <v>7367479</v>
      </c>
      <c r="I128" s="273">
        <v>7604114</v>
      </c>
      <c r="J128" s="273">
        <v>7810617</v>
      </c>
      <c r="K128" s="273">
        <v>7367971</v>
      </c>
      <c r="L128" s="273">
        <v>7566945</v>
      </c>
      <c r="M128" s="273">
        <v>7826623</v>
      </c>
      <c r="N128" s="273">
        <v>8092747</v>
      </c>
      <c r="O128" s="273">
        <v>7662599</v>
      </c>
      <c r="P128" s="273">
        <v>7984030</v>
      </c>
      <c r="Q128" s="273">
        <v>8239060</v>
      </c>
      <c r="R128" s="273">
        <v>8580787</v>
      </c>
      <c r="S128" s="273">
        <v>8161869</v>
      </c>
      <c r="T128" s="273">
        <v>8425606</v>
      </c>
      <c r="U128" s="273">
        <v>7904946</v>
      </c>
      <c r="V128" s="273">
        <v>8102379</v>
      </c>
      <c r="W128" s="273">
        <v>7702985</v>
      </c>
      <c r="X128" s="273">
        <v>8102979</v>
      </c>
    </row>
    <row r="129" spans="1:24" ht="14.25" thickBot="1" x14ac:dyDescent="0.3">
      <c r="A129" s="225" t="s">
        <v>35</v>
      </c>
      <c r="B129" s="276">
        <v>11019608</v>
      </c>
      <c r="C129" s="276">
        <v>11025379</v>
      </c>
      <c r="D129" s="276">
        <v>11071257</v>
      </c>
      <c r="E129" s="276">
        <v>11121804</v>
      </c>
      <c r="F129" s="276">
        <v>11369126</v>
      </c>
      <c r="G129" s="276">
        <v>11492443</v>
      </c>
      <c r="H129" s="276">
        <v>11491850</v>
      </c>
      <c r="I129" s="276">
        <v>11770611</v>
      </c>
      <c r="J129" s="276">
        <v>11661939</v>
      </c>
      <c r="K129" s="276">
        <v>11701780</v>
      </c>
      <c r="L129" s="276">
        <v>11745811</v>
      </c>
      <c r="M129" s="276">
        <v>11932101</v>
      </c>
      <c r="N129" s="276">
        <v>11814304</v>
      </c>
      <c r="O129" s="276">
        <v>12184088</v>
      </c>
      <c r="P129" s="276">
        <v>12180751</v>
      </c>
      <c r="Q129" s="276">
        <v>12525749</v>
      </c>
      <c r="R129" s="276">
        <v>12440008</v>
      </c>
      <c r="S129" s="276">
        <v>12711464</v>
      </c>
      <c r="T129" s="276">
        <v>12928857</v>
      </c>
      <c r="U129" s="276">
        <v>12898243</v>
      </c>
      <c r="V129" s="276">
        <v>13130030</v>
      </c>
      <c r="W129" s="276">
        <v>13301238</v>
      </c>
      <c r="X129" s="276">
        <v>13987989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1.81</v>
      </c>
      <c r="C132" s="68">
        <v>3.08</v>
      </c>
      <c r="D132" s="68">
        <v>2.9</v>
      </c>
      <c r="E132" s="68">
        <v>2.97</v>
      </c>
      <c r="F132" s="68">
        <v>1.7</v>
      </c>
    </row>
    <row r="133" spans="1:24" ht="14.25" thickBot="1" x14ac:dyDescent="0.3">
      <c r="A133" s="225" t="s">
        <v>37</v>
      </c>
      <c r="B133" s="274">
        <v>-1.18</v>
      </c>
      <c r="C133" s="274">
        <v>-1.2</v>
      </c>
      <c r="D133" s="274">
        <v>-1.87</v>
      </c>
      <c r="E133" s="274">
        <v>-1.06</v>
      </c>
      <c r="F133" s="274">
        <v>-1.76</v>
      </c>
    </row>
    <row r="134" spans="1:24" ht="14.25" thickBot="1" x14ac:dyDescent="0.3">
      <c r="A134" s="224" t="s">
        <v>38</v>
      </c>
      <c r="B134" s="68">
        <v>-1.1599999999999999</v>
      </c>
      <c r="C134" s="68">
        <v>-1.28</v>
      </c>
      <c r="D134" s="68">
        <v>-1.49</v>
      </c>
      <c r="E134" s="68">
        <v>-1.76</v>
      </c>
      <c r="F134" s="68">
        <v>-0.25</v>
      </c>
    </row>
    <row r="135" spans="1:24" ht="14.25" thickBot="1" x14ac:dyDescent="0.3">
      <c r="A135" s="225" t="s">
        <v>270</v>
      </c>
      <c r="B135" s="274">
        <v>0.63</v>
      </c>
      <c r="C135" s="274">
        <v>1.88</v>
      </c>
      <c r="D135" s="274">
        <v>1.04</v>
      </c>
      <c r="E135" s="274">
        <v>1.91</v>
      </c>
      <c r="F135" s="274">
        <v>-0.06</v>
      </c>
    </row>
    <row r="136" spans="1:24" ht="14.25" thickBot="1" x14ac:dyDescent="0.3">
      <c r="A136" s="229" t="s">
        <v>39</v>
      </c>
      <c r="B136" s="72">
        <v>-0.53</v>
      </c>
      <c r="C136" s="72">
        <v>0.61</v>
      </c>
      <c r="D136" s="72">
        <v>-0.45</v>
      </c>
      <c r="E136" s="72">
        <v>0.15</v>
      </c>
      <c r="F136" s="72">
        <v>-0.31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1.1000000000000001</v>
      </c>
      <c r="C140" s="68">
        <v>1.4</v>
      </c>
      <c r="D140" s="68">
        <v>1.5</v>
      </c>
      <c r="E140" s="68">
        <v>1.72</v>
      </c>
      <c r="F140" s="68">
        <v>1.5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0.66265060240963869</v>
      </c>
      <c r="C142" s="234">
        <f>IF(C140&lt;&gt;"無",IF(ISNA(HLOOKUP(C139,$B$64:$F$69,6,FALSE)),"",C140/HLOOKUP(C139,$B$64:$F$69,6,FALSE)),"")</f>
        <v>0.76086956521739135</v>
      </c>
      <c r="D142" s="234">
        <f>IF(D140&lt;&gt;"無",IF(ISNA(HLOOKUP(D139,$B$64:$F$69,6,FALSE)),"",D140/HLOOKUP(D139,$B$64:$F$69,6,FALSE)),"")</f>
        <v>0.73170731707317083</v>
      </c>
      <c r="E142" s="234">
        <f>IF(E140&lt;&gt;"無",IF(ISNA(HLOOKUP(E139,$B$64:$F$69,6,FALSE)),"",E140/HLOOKUP(E139,$B$64:$F$69,6,FALSE)),"")</f>
        <v>0.62773722627737216</v>
      </c>
      <c r="F142" s="234">
        <f>IF(F140&lt;&gt;"無",IF(ISNA(HLOOKUP(F139,$B$64:$F$69,6,FALSE)),"",F140/HLOOKUP(F139,$B$64:$F$69,6,FALSE)),"")</f>
        <v>0.5617977528089888</v>
      </c>
    </row>
    <row r="143" spans="1:24" x14ac:dyDescent="0.25">
      <c r="A143" s="233" t="s">
        <v>216</v>
      </c>
      <c r="B143" s="234">
        <f>IF(OR(B140=0,B140="無"),"",B135/B140)</f>
        <v>0.57272727272727264</v>
      </c>
      <c r="C143" s="234">
        <f>IF(OR(C140=0,C140="無"),"",C135/C140)</f>
        <v>1.342857142857143</v>
      </c>
      <c r="D143" s="234">
        <f>IF(OR(D140=0,D140="無"),"",D135/D140)</f>
        <v>0.69333333333333336</v>
      </c>
      <c r="E143" s="234">
        <f>IF(OR(E140=0,E140="無"),"",E135/E140)</f>
        <v>1.1104651162790697</v>
      </c>
      <c r="F143" s="234">
        <f>IF(OR(F140=0,F140="無"),"",F135/F140)</f>
        <v>-0.04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70.25</v>
      </c>
      <c r="C146" s="68">
        <v>71.040000000000006</v>
      </c>
      <c r="D146" s="68">
        <v>71.73</v>
      </c>
      <c r="E146" s="68">
        <v>73.52</v>
      </c>
      <c r="F146" s="68">
        <v>17.66</v>
      </c>
      <c r="G146" s="68">
        <v>19.93</v>
      </c>
      <c r="H146" s="68">
        <v>21.32</v>
      </c>
      <c r="I146" s="68">
        <v>22.46</v>
      </c>
      <c r="J146" s="68">
        <v>19.27</v>
      </c>
      <c r="K146" s="68">
        <v>19.899999999999999</v>
      </c>
      <c r="L146" s="68">
        <v>21.07</v>
      </c>
      <c r="M146" s="68">
        <v>19.579999999999998</v>
      </c>
      <c r="N146" s="68">
        <v>21.28</v>
      </c>
      <c r="O146" s="68">
        <v>21.12</v>
      </c>
      <c r="P146" s="68">
        <v>21.12</v>
      </c>
      <c r="Q146" s="68">
        <v>21.41</v>
      </c>
      <c r="R146" s="68">
        <v>21.03</v>
      </c>
      <c r="S146" s="68">
        <v>21.95</v>
      </c>
      <c r="T146" s="68">
        <v>17.95</v>
      </c>
      <c r="U146" s="68">
        <v>20.85</v>
      </c>
      <c r="V146" s="68">
        <v>15.19</v>
      </c>
      <c r="W146" s="68">
        <v>19.18</v>
      </c>
      <c r="X146" s="68">
        <v>18.38</v>
      </c>
    </row>
    <row r="147" spans="1:24" s="93" customFormat="1" ht="14.25" thickBot="1" x14ac:dyDescent="0.3">
      <c r="A147" s="225" t="s">
        <v>19</v>
      </c>
      <c r="B147" s="274">
        <v>10.15</v>
      </c>
      <c r="C147" s="274">
        <v>11.15</v>
      </c>
      <c r="D147" s="274">
        <v>12.37</v>
      </c>
      <c r="E147" s="274">
        <v>12.21</v>
      </c>
      <c r="F147" s="274">
        <v>11.99</v>
      </c>
      <c r="G147" s="274">
        <v>13.39</v>
      </c>
      <c r="H147" s="274">
        <v>15.95</v>
      </c>
      <c r="I147" s="274">
        <v>16.02</v>
      </c>
      <c r="J147" s="274">
        <v>13.43</v>
      </c>
      <c r="K147" s="274">
        <v>14.61</v>
      </c>
      <c r="L147" s="274">
        <v>15.8</v>
      </c>
      <c r="M147" s="274">
        <v>13.33</v>
      </c>
      <c r="N147" s="274">
        <v>15.85</v>
      </c>
      <c r="O147" s="274">
        <v>15.52</v>
      </c>
      <c r="P147" s="274">
        <v>16.02</v>
      </c>
      <c r="Q147" s="274">
        <v>15.26</v>
      </c>
      <c r="R147" s="274">
        <v>16.37</v>
      </c>
      <c r="S147" s="274">
        <v>18.45</v>
      </c>
      <c r="T147" s="274">
        <v>13.78</v>
      </c>
      <c r="U147" s="274">
        <v>13.95</v>
      </c>
      <c r="V147" s="274">
        <v>10.64</v>
      </c>
      <c r="W147" s="274">
        <v>14.87</v>
      </c>
      <c r="X147" s="274">
        <v>14.19</v>
      </c>
    </row>
    <row r="148" spans="1:24" s="93" customFormat="1" ht="14.25" thickBot="1" x14ac:dyDescent="0.3">
      <c r="A148" s="224" t="s">
        <v>41</v>
      </c>
      <c r="B148" s="68">
        <v>10.65</v>
      </c>
      <c r="C148" s="68">
        <v>15.35</v>
      </c>
      <c r="D148" s="68">
        <v>13.46</v>
      </c>
      <c r="E148" s="68">
        <v>12.65</v>
      </c>
      <c r="F148" s="68">
        <v>12.32</v>
      </c>
      <c r="G148" s="68">
        <v>17.170000000000002</v>
      </c>
      <c r="H148" s="68">
        <v>16.16</v>
      </c>
      <c r="I148" s="68">
        <v>13.77</v>
      </c>
      <c r="J148" s="68">
        <v>13.54</v>
      </c>
      <c r="K148" s="68">
        <v>15.02</v>
      </c>
      <c r="L148" s="68">
        <v>16.260000000000002</v>
      </c>
      <c r="M148" s="68">
        <v>14</v>
      </c>
      <c r="N148" s="68">
        <v>15.92</v>
      </c>
      <c r="O148" s="68">
        <v>26.88</v>
      </c>
      <c r="P148" s="68">
        <v>16.53</v>
      </c>
      <c r="Q148" s="68">
        <v>15.51</v>
      </c>
      <c r="R148" s="68">
        <v>18.399999999999999</v>
      </c>
      <c r="S148" s="68">
        <v>21.67</v>
      </c>
      <c r="T148" s="68">
        <v>13.78</v>
      </c>
      <c r="U148" s="68">
        <v>14.06</v>
      </c>
      <c r="V148" s="68">
        <v>11.01</v>
      </c>
      <c r="W148" s="68">
        <v>17.22</v>
      </c>
      <c r="X148" s="68">
        <v>18.22</v>
      </c>
    </row>
    <row r="149" spans="1:24" s="93" customFormat="1" ht="14.25" thickBot="1" x14ac:dyDescent="0.3">
      <c r="A149" s="225" t="s">
        <v>13</v>
      </c>
      <c r="B149" s="73">
        <v>8.7100000000000009</v>
      </c>
      <c r="C149" s="73">
        <v>12.14</v>
      </c>
      <c r="D149" s="73">
        <v>11.72</v>
      </c>
      <c r="E149" s="73">
        <v>10.77</v>
      </c>
      <c r="F149" s="73">
        <v>10.31</v>
      </c>
      <c r="G149" s="73">
        <v>13.06</v>
      </c>
      <c r="H149" s="73">
        <v>13.53</v>
      </c>
      <c r="I149" s="73">
        <v>10.87</v>
      </c>
      <c r="J149" s="73">
        <v>11.26</v>
      </c>
      <c r="K149" s="73">
        <v>11.9</v>
      </c>
      <c r="L149" s="73">
        <v>13.48</v>
      </c>
      <c r="M149" s="73">
        <v>11.67</v>
      </c>
      <c r="N149" s="73">
        <v>13.16</v>
      </c>
      <c r="O149" s="73">
        <v>19.649999999999999</v>
      </c>
      <c r="P149" s="73">
        <v>13.78</v>
      </c>
      <c r="Q149" s="73">
        <v>12.84</v>
      </c>
      <c r="R149" s="73">
        <v>15.01</v>
      </c>
      <c r="S149" s="73">
        <v>17.8</v>
      </c>
      <c r="T149" s="73">
        <v>11.2</v>
      </c>
      <c r="U149" s="73">
        <v>11.22</v>
      </c>
      <c r="V149" s="73">
        <v>8.66</v>
      </c>
      <c r="W149" s="73">
        <v>13.06</v>
      </c>
      <c r="X149" s="73">
        <v>15.46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71.680000000000007</v>
      </c>
      <c r="C152" s="68">
        <v>20.440000000000001</v>
      </c>
      <c r="D152" s="68">
        <v>20.09</v>
      </c>
      <c r="E152" s="68">
        <v>21.15</v>
      </c>
      <c r="F152" s="68">
        <v>20.440000000000001</v>
      </c>
    </row>
    <row r="153" spans="1:24" s="93" customFormat="1" ht="14.25" thickBot="1" x14ac:dyDescent="0.3">
      <c r="A153" s="225" t="s">
        <v>19</v>
      </c>
      <c r="B153" s="274">
        <v>11.52</v>
      </c>
      <c r="C153" s="274">
        <v>14.43</v>
      </c>
      <c r="D153" s="274">
        <v>14.42</v>
      </c>
      <c r="E153" s="274">
        <v>15.57</v>
      </c>
      <c r="F153" s="274">
        <v>15.6</v>
      </c>
    </row>
    <row r="154" spans="1:24" s="93" customFormat="1" ht="14.25" thickBot="1" x14ac:dyDescent="0.3">
      <c r="A154" s="224" t="s">
        <v>41</v>
      </c>
      <c r="B154" s="68">
        <v>13.06</v>
      </c>
      <c r="C154" s="68">
        <v>14.87</v>
      </c>
      <c r="D154" s="68">
        <v>14.87</v>
      </c>
      <c r="E154" s="68">
        <v>18.54</v>
      </c>
      <c r="F154" s="68">
        <v>16.920000000000002</v>
      </c>
    </row>
    <row r="155" spans="1:24" s="93" customFormat="1" ht="14.25" thickBot="1" x14ac:dyDescent="0.3">
      <c r="A155" s="225" t="s">
        <v>13</v>
      </c>
      <c r="B155" s="73">
        <v>10.88</v>
      </c>
      <c r="C155" s="73">
        <v>11.96</v>
      </c>
      <c r="D155" s="73">
        <v>12.21</v>
      </c>
      <c r="E155" s="73">
        <v>14.75</v>
      </c>
      <c r="F155" s="73">
        <v>13.76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1.4</v>
      </c>
      <c r="C158" s="68">
        <v>2.0499999999999998</v>
      </c>
      <c r="D158" s="68">
        <v>2.11</v>
      </c>
      <c r="E158" s="68">
        <v>1.91</v>
      </c>
      <c r="F158" s="68">
        <v>1.63</v>
      </c>
      <c r="G158" s="68">
        <v>2.08</v>
      </c>
      <c r="H158" s="68">
        <v>2.34</v>
      </c>
      <c r="I158" s="68">
        <v>1.9</v>
      </c>
      <c r="J158" s="68">
        <v>1.83</v>
      </c>
      <c r="K158" s="68">
        <v>2.06</v>
      </c>
      <c r="L158" s="68">
        <v>2.4900000000000002</v>
      </c>
      <c r="M158" s="68">
        <v>2.2400000000000002</v>
      </c>
      <c r="N158" s="68">
        <v>2.2599999999999998</v>
      </c>
      <c r="O158" s="68">
        <v>3.63</v>
      </c>
      <c r="P158" s="68">
        <v>2.65</v>
      </c>
      <c r="Q158" s="68">
        <v>2.5099999999999998</v>
      </c>
      <c r="R158" s="68">
        <v>2.75</v>
      </c>
      <c r="S158" s="68">
        <v>3.3</v>
      </c>
      <c r="T158" s="68">
        <v>2.09</v>
      </c>
      <c r="U158" s="68">
        <v>2.16</v>
      </c>
      <c r="V158" s="68">
        <v>1.55</v>
      </c>
      <c r="W158" s="68">
        <v>2.33</v>
      </c>
      <c r="X158" s="68">
        <v>2.9</v>
      </c>
    </row>
    <row r="159" spans="1:24" s="93" customFormat="1" ht="14.25" thickBot="1" x14ac:dyDescent="0.3">
      <c r="A159" s="225" t="s">
        <v>45</v>
      </c>
      <c r="B159" s="73">
        <v>2.12</v>
      </c>
      <c r="C159" s="73">
        <v>3.16</v>
      </c>
      <c r="D159" s="73">
        <v>3.26</v>
      </c>
      <c r="E159" s="73">
        <v>2.91</v>
      </c>
      <c r="F159" s="73">
        <v>2.48</v>
      </c>
      <c r="G159" s="73">
        <v>3.25</v>
      </c>
      <c r="H159" s="73">
        <v>3.69</v>
      </c>
      <c r="I159" s="73">
        <v>2.92</v>
      </c>
      <c r="J159" s="73">
        <v>2.76</v>
      </c>
      <c r="K159" s="73">
        <v>3.15</v>
      </c>
      <c r="L159" s="73">
        <v>3.88</v>
      </c>
      <c r="M159" s="73">
        <v>3.42</v>
      </c>
      <c r="N159" s="73">
        <v>3.34</v>
      </c>
      <c r="O159" s="73">
        <v>5.51</v>
      </c>
      <c r="P159" s="73">
        <v>4.1100000000000003</v>
      </c>
      <c r="Q159" s="73">
        <v>3.8</v>
      </c>
      <c r="R159" s="73">
        <v>4.0599999999999996</v>
      </c>
      <c r="S159" s="73">
        <v>4.93</v>
      </c>
      <c r="T159" s="73">
        <v>3.18</v>
      </c>
      <c r="U159" s="73">
        <v>3.37</v>
      </c>
      <c r="V159" s="73">
        <v>2.4700000000000002</v>
      </c>
      <c r="W159" s="73">
        <v>3.82</v>
      </c>
      <c r="X159" s="73">
        <v>4.9400000000000004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10.88</v>
      </c>
      <c r="C162" s="68">
        <v>11.96</v>
      </c>
      <c r="D162" s="68">
        <v>12.21</v>
      </c>
      <c r="E162" s="68">
        <v>14.75</v>
      </c>
      <c r="F162" s="68">
        <v>13.76</v>
      </c>
    </row>
    <row r="163" spans="1:72" s="93" customFormat="1" ht="14.25" thickBot="1" x14ac:dyDescent="0.3">
      <c r="A163" s="225" t="s">
        <v>18</v>
      </c>
      <c r="B163" s="274">
        <v>0.67</v>
      </c>
      <c r="C163" s="274">
        <v>0.64</v>
      </c>
      <c r="D163" s="274">
        <v>0.69</v>
      </c>
      <c r="E163" s="274">
        <v>0.72</v>
      </c>
      <c r="F163" s="274">
        <v>0.73</v>
      </c>
    </row>
    <row r="164" spans="1:72" s="93" customFormat="1" ht="14.25" thickBot="1" x14ac:dyDescent="0.3">
      <c r="A164" s="224" t="s">
        <v>15</v>
      </c>
      <c r="B164" s="68">
        <v>1.54</v>
      </c>
      <c r="C164" s="68">
        <v>1.55</v>
      </c>
      <c r="D164" s="68">
        <v>1.52</v>
      </c>
      <c r="E164" s="68">
        <v>1.52</v>
      </c>
      <c r="F164" s="68">
        <v>1.63</v>
      </c>
    </row>
    <row r="165" spans="1:72" s="93" customFormat="1" ht="14.25" thickBot="1" x14ac:dyDescent="0.3">
      <c r="A165" s="225" t="s">
        <v>45</v>
      </c>
      <c r="B165" s="73">
        <v>11.41</v>
      </c>
      <c r="C165" s="73">
        <v>12.18</v>
      </c>
      <c r="D165" s="73">
        <v>12.99</v>
      </c>
      <c r="E165" s="73">
        <v>16.61</v>
      </c>
      <c r="F165" s="73">
        <v>16.02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65.69</v>
      </c>
      <c r="C168" s="68">
        <v>61.64</v>
      </c>
      <c r="D168" s="68">
        <v>60.81</v>
      </c>
      <c r="E168" s="68">
        <v>61.22</v>
      </c>
      <c r="F168" s="68">
        <v>62.5</v>
      </c>
      <c r="G168" s="68">
        <v>60.81</v>
      </c>
      <c r="H168" s="68">
        <v>56.6</v>
      </c>
      <c r="I168" s="68">
        <v>55.21</v>
      </c>
      <c r="J168" s="68">
        <v>56.25</v>
      </c>
      <c r="K168" s="68">
        <v>52.33</v>
      </c>
      <c r="L168" s="68">
        <v>52.33</v>
      </c>
      <c r="M168" s="68">
        <v>51.72</v>
      </c>
      <c r="N168" s="68">
        <v>55.9</v>
      </c>
      <c r="O168" s="68">
        <v>51.72</v>
      </c>
      <c r="P168" s="68">
        <v>54.55</v>
      </c>
      <c r="Q168" s="68">
        <v>54.88</v>
      </c>
      <c r="R168" s="68">
        <v>55.21</v>
      </c>
      <c r="S168" s="68">
        <v>54.22</v>
      </c>
      <c r="T168" s="68">
        <v>55.56</v>
      </c>
      <c r="U168" s="68">
        <v>56.96</v>
      </c>
      <c r="V168" s="68">
        <v>59.21</v>
      </c>
      <c r="W168" s="68">
        <v>54.55</v>
      </c>
      <c r="X168" s="68">
        <v>52.63</v>
      </c>
    </row>
    <row r="169" spans="1:72" s="93" customFormat="1" ht="14.25" thickBot="1" x14ac:dyDescent="0.3">
      <c r="A169" s="225" t="s">
        <v>17</v>
      </c>
      <c r="B169" s="274">
        <v>4.34</v>
      </c>
      <c r="C169" s="274">
        <v>4.49</v>
      </c>
      <c r="D169" s="274">
        <v>4.07</v>
      </c>
      <c r="E169" s="274">
        <v>4.58</v>
      </c>
      <c r="F169" s="274">
        <v>2.0299999999999998</v>
      </c>
      <c r="G169" s="274">
        <v>2.48</v>
      </c>
      <c r="H169" s="274">
        <v>2.25</v>
      </c>
      <c r="I169" s="274">
        <v>2.17</v>
      </c>
      <c r="J169" s="274">
        <v>2.35</v>
      </c>
      <c r="K169" s="274">
        <v>2.31</v>
      </c>
      <c r="L169" s="274">
        <v>2.2799999999999998</v>
      </c>
      <c r="M169" s="274">
        <v>2.04</v>
      </c>
      <c r="N169" s="274">
        <v>2.11</v>
      </c>
      <c r="O169" s="274">
        <v>2.1800000000000002</v>
      </c>
      <c r="P169" s="274">
        <v>2.31</v>
      </c>
      <c r="Q169" s="274">
        <v>2.09</v>
      </c>
      <c r="R169" s="274">
        <v>2.09</v>
      </c>
      <c r="S169" s="274">
        <v>2.4</v>
      </c>
      <c r="T169" s="274">
        <v>2.76</v>
      </c>
      <c r="U169" s="274">
        <v>2.61</v>
      </c>
      <c r="V169" s="274">
        <v>2.25</v>
      </c>
      <c r="W169" s="274">
        <v>2.35</v>
      </c>
      <c r="X169" s="274">
        <v>2.0299999999999998</v>
      </c>
    </row>
    <row r="170" spans="1:72" s="93" customFormat="1" ht="14.25" thickBot="1" x14ac:dyDescent="0.3">
      <c r="A170" s="224" t="s">
        <v>42</v>
      </c>
      <c r="B170" s="72">
        <v>70.03</v>
      </c>
      <c r="C170" s="72">
        <v>66.13</v>
      </c>
      <c r="D170" s="72">
        <v>64.88</v>
      </c>
      <c r="E170" s="72">
        <v>65.8</v>
      </c>
      <c r="F170" s="72">
        <v>64.53</v>
      </c>
      <c r="G170" s="72">
        <v>63.29</v>
      </c>
      <c r="H170" s="72">
        <v>58.85</v>
      </c>
      <c r="I170" s="72">
        <v>57.38</v>
      </c>
      <c r="J170" s="72">
        <v>58.6</v>
      </c>
      <c r="K170" s="72">
        <v>54.63</v>
      </c>
      <c r="L170" s="72">
        <v>54.6</v>
      </c>
      <c r="M170" s="72">
        <v>53.76</v>
      </c>
      <c r="N170" s="72">
        <v>58.01</v>
      </c>
      <c r="O170" s="72">
        <v>53.91</v>
      </c>
      <c r="P170" s="72">
        <v>56.86</v>
      </c>
      <c r="Q170" s="72">
        <v>56.97</v>
      </c>
      <c r="R170" s="72">
        <v>57.3</v>
      </c>
      <c r="S170" s="72">
        <v>56.61</v>
      </c>
      <c r="T170" s="72">
        <v>58.32</v>
      </c>
      <c r="U170" s="72">
        <v>59.58</v>
      </c>
      <c r="V170" s="72">
        <v>61.46</v>
      </c>
      <c r="W170" s="72">
        <v>56.9</v>
      </c>
      <c r="X170" s="72">
        <v>54.66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109.21</v>
      </c>
      <c r="C173" s="72">
        <v>163.63999999999999</v>
      </c>
      <c r="D173" s="72">
        <v>140.81</v>
      </c>
      <c r="E173" s="72">
        <v>107.04</v>
      </c>
      <c r="F173" s="72">
        <v>63.47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21.92</v>
      </c>
      <c r="C176" s="72">
        <v>22.34</v>
      </c>
      <c r="D176" s="72">
        <v>22.57</v>
      </c>
      <c r="E176" s="72">
        <v>23.37</v>
      </c>
      <c r="F176" s="72">
        <v>24.51</v>
      </c>
      <c r="G176" s="72">
        <v>24.45</v>
      </c>
      <c r="H176" s="72">
        <v>25.93</v>
      </c>
      <c r="I176" s="72">
        <v>26.31</v>
      </c>
      <c r="J176" s="72">
        <v>26.74</v>
      </c>
      <c r="K176" s="72">
        <v>28.5</v>
      </c>
      <c r="L176" s="72">
        <v>29.49</v>
      </c>
      <c r="M176" s="72">
        <v>30.64</v>
      </c>
      <c r="N176" s="72">
        <v>30.91</v>
      </c>
      <c r="O176" s="72">
        <v>30.35</v>
      </c>
      <c r="P176" s="72">
        <v>30.54</v>
      </c>
      <c r="Q176" s="72">
        <v>26.09</v>
      </c>
      <c r="R176" s="72">
        <v>23.53</v>
      </c>
      <c r="S176" s="72">
        <v>21.22</v>
      </c>
      <c r="T176" s="72">
        <v>21.1</v>
      </c>
      <c r="U176" s="72">
        <v>21.39</v>
      </c>
      <c r="V176" s="72">
        <v>21.73</v>
      </c>
      <c r="W176" s="72">
        <v>23.37</v>
      </c>
      <c r="X176" s="72">
        <v>23.4</v>
      </c>
      <c r="Y176" s="72">
        <v>25.19</v>
      </c>
      <c r="Z176" s="72">
        <v>24.38</v>
      </c>
      <c r="AA176" s="72">
        <v>23.14</v>
      </c>
      <c r="AB176" s="72">
        <v>22.99</v>
      </c>
      <c r="AC176" s="72">
        <v>21.27</v>
      </c>
      <c r="AD176" s="72">
        <v>20.48</v>
      </c>
      <c r="AE176" s="72">
        <v>21.39</v>
      </c>
      <c r="AF176" s="72">
        <v>20.91</v>
      </c>
      <c r="AG176" s="72">
        <v>20.440000000000001</v>
      </c>
      <c r="AH176" s="72">
        <v>20.45</v>
      </c>
      <c r="AI176" s="72">
        <v>19.63</v>
      </c>
      <c r="AJ176" s="72">
        <v>19.329999999999998</v>
      </c>
      <c r="AK176" s="72">
        <v>19.87</v>
      </c>
      <c r="AL176" s="72">
        <v>20.07</v>
      </c>
      <c r="AM176" s="72">
        <v>20.170000000000002</v>
      </c>
      <c r="AN176" s="72">
        <v>18.88</v>
      </c>
      <c r="AO176" s="72">
        <v>19.46</v>
      </c>
      <c r="AP176" s="72">
        <v>18.010000000000002</v>
      </c>
      <c r="AQ176" s="72">
        <v>16.850000000000001</v>
      </c>
      <c r="AR176" s="72">
        <v>15.86</v>
      </c>
      <c r="AS176" s="72">
        <v>13.75</v>
      </c>
      <c r="AT176" s="72">
        <v>14.6</v>
      </c>
      <c r="AU176" s="72">
        <v>15.1</v>
      </c>
      <c r="AV176" s="72">
        <v>14.73</v>
      </c>
      <c r="AW176" s="72">
        <v>14.57</v>
      </c>
      <c r="AX176" s="72">
        <v>14.12</v>
      </c>
      <c r="AY176" s="72">
        <v>14.38</v>
      </c>
      <c r="AZ176" s="72">
        <v>14.17</v>
      </c>
      <c r="BA176" s="72">
        <v>15.05</v>
      </c>
      <c r="BB176" s="72">
        <v>14.3</v>
      </c>
      <c r="BC176" s="72">
        <v>14.05</v>
      </c>
      <c r="BD176" s="72">
        <v>14.64</v>
      </c>
      <c r="BE176" s="72">
        <v>14.88</v>
      </c>
      <c r="BF176" s="72">
        <v>14.74</v>
      </c>
      <c r="BG176" s="72">
        <v>14.63</v>
      </c>
      <c r="BH176" s="72">
        <v>15.97</v>
      </c>
      <c r="BI176" s="72">
        <v>16.190000000000001</v>
      </c>
      <c r="BJ176" s="72">
        <v>16.34</v>
      </c>
      <c r="BK176" s="72">
        <v>16.22</v>
      </c>
      <c r="BL176" s="72">
        <v>16.27</v>
      </c>
      <c r="BM176" s="72">
        <v>15.47</v>
      </c>
      <c r="BN176" s="72">
        <v>16.28</v>
      </c>
      <c r="BO176" s="72">
        <v>15.45</v>
      </c>
      <c r="BP176" s="72">
        <v>15.17</v>
      </c>
      <c r="BQ176" s="72">
        <v>16.2</v>
      </c>
      <c r="BR176" s="72">
        <v>16.350000000000001</v>
      </c>
      <c r="BS176" s="72">
        <v>16.309999999999999</v>
      </c>
      <c r="BT176" s="72">
        <v>14.87</v>
      </c>
    </row>
  </sheetData>
  <phoneticPr fontId="3" type="noConversion"/>
  <conditionalFormatting sqref="E4">
    <cfRule type="cellIs" dxfId="5246" priority="103" operator="greaterThan">
      <formula>0.2</formula>
    </cfRule>
    <cfRule type="cellIs" dxfId="5245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5244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243" priority="97" operator="greaterThan">
      <formula>$B$19</formula>
    </cfRule>
  </conditionalFormatting>
  <conditionalFormatting sqref="D33:D34">
    <cfRule type="cellIs" dxfId="5242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5241" priority="91" operator="lessThan">
      <formula>$H$62</formula>
    </cfRule>
    <cfRule type="cellIs" dxfId="5240" priority="92" operator="greaterThan">
      <formula>$H$62</formula>
    </cfRule>
  </conditionalFormatting>
  <conditionalFormatting sqref="J62">
    <cfRule type="cellIs" dxfId="5239" priority="89" operator="lessThan">
      <formula>$K$62</formula>
    </cfRule>
    <cfRule type="cellIs" dxfId="5238" priority="90" operator="greaterThan">
      <formula>$K$62</formula>
    </cfRule>
  </conditionalFormatting>
  <conditionalFormatting sqref="M62">
    <cfRule type="cellIs" dxfId="5237" priority="87" operator="lessThan">
      <formula>$N$62</formula>
    </cfRule>
    <cfRule type="cellIs" dxfId="5236" priority="88" operator="greaterThan">
      <formula>$N$62</formula>
    </cfRule>
  </conditionalFormatting>
  <conditionalFormatting sqref="B44:E44">
    <cfRule type="cellIs" dxfId="5235" priority="85" operator="greaterThan">
      <formula>0</formula>
    </cfRule>
    <cfRule type="cellIs" dxfId="5234" priority="86" operator="lessThan">
      <formula>0</formula>
    </cfRule>
  </conditionalFormatting>
  <conditionalFormatting sqref="F72">
    <cfRule type="cellIs" dxfId="5233" priority="84" operator="lessThan">
      <formula>$E$72*90%</formula>
    </cfRule>
  </conditionalFormatting>
  <conditionalFormatting sqref="F73">
    <cfRule type="cellIs" dxfId="5232" priority="83" operator="lessThan">
      <formula>$E$73*90%</formula>
    </cfRule>
  </conditionalFormatting>
  <conditionalFormatting sqref="F74">
    <cfRule type="cellIs" dxfId="5231" priority="82" operator="lessThan">
      <formula>$E$74*90%</formula>
    </cfRule>
  </conditionalFormatting>
  <conditionalFormatting sqref="F75">
    <cfRule type="cellIs" dxfId="5230" priority="81" operator="lessThan">
      <formula>$E$75*90%</formula>
    </cfRule>
  </conditionalFormatting>
  <conditionalFormatting sqref="H44:K44">
    <cfRule type="cellIs" dxfId="5229" priority="79" operator="greaterThan">
      <formula>0</formula>
    </cfRule>
    <cfRule type="cellIs" dxfId="5228" priority="80" operator="lessThan">
      <formula>0</formula>
    </cfRule>
  </conditionalFormatting>
  <conditionalFormatting sqref="H51:K51">
    <cfRule type="cellIs" dxfId="5227" priority="77" operator="greaterThan">
      <formula>0</formula>
    </cfRule>
    <cfRule type="cellIs" dxfId="5226" priority="78" operator="lessThan">
      <formula>0</formula>
    </cfRule>
  </conditionalFormatting>
  <conditionalFormatting sqref="B51:E51">
    <cfRule type="cellIs" dxfId="5225" priority="75" operator="greaterThan">
      <formula>0</formula>
    </cfRule>
    <cfRule type="cellIs" dxfId="5224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223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222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5221" priority="58" operator="lessThan">
      <formula>0</formula>
    </cfRule>
  </conditionalFormatting>
  <conditionalFormatting sqref="A25 E25 C25">
    <cfRule type="cellIs" dxfId="5220" priority="59" operator="lessThan">
      <formula>0</formula>
    </cfRule>
  </conditionalFormatting>
  <conditionalFormatting sqref="F25">
    <cfRule type="cellIs" dxfId="5219" priority="57" operator="lessThan">
      <formula>0</formula>
    </cfRule>
  </conditionalFormatting>
  <conditionalFormatting sqref="E1">
    <cfRule type="containsText" dxfId="5218" priority="56" operator="containsText" text="本季業外損益/平均=-">
      <formula>NOT(ISERROR(SEARCH("本季業外損益/平均=-",E1)))</formula>
    </cfRule>
  </conditionalFormatting>
  <conditionalFormatting sqref="M65">
    <cfRule type="cellIs" dxfId="5217" priority="55" operator="lessThan">
      <formula>$L$65*90%</formula>
    </cfRule>
  </conditionalFormatting>
  <conditionalFormatting sqref="M66">
    <cfRule type="cellIs" dxfId="5216" priority="54" operator="lessThan">
      <formula>$L$66*90%</formula>
    </cfRule>
  </conditionalFormatting>
  <conditionalFormatting sqref="M67">
    <cfRule type="cellIs" dxfId="5215" priority="53" operator="lessThan">
      <formula>$L$67*90%</formula>
    </cfRule>
  </conditionalFormatting>
  <conditionalFormatting sqref="M68">
    <cfRule type="cellIs" dxfId="5214" priority="52" operator="lessThan">
      <formula>$L$68*90%</formula>
    </cfRule>
  </conditionalFormatting>
  <conditionalFormatting sqref="B60">
    <cfRule type="cellIs" dxfId="5213" priority="51" operator="lessThan">
      <formula>0</formula>
    </cfRule>
  </conditionalFormatting>
  <conditionalFormatting sqref="B59:F59">
    <cfRule type="cellIs" dxfId="5212" priority="50" operator="lessThanOrEqual">
      <formula>0</formula>
    </cfRule>
  </conditionalFormatting>
  <conditionalFormatting sqref="D62">
    <cfRule type="cellIs" dxfId="5211" priority="48" operator="lessThan">
      <formula>$E$62</formula>
    </cfRule>
    <cfRule type="cellIs" dxfId="5210" priority="49" operator="greaterThan">
      <formula>$E$62</formula>
    </cfRule>
  </conditionalFormatting>
  <conditionalFormatting sqref="F69">
    <cfRule type="cellIs" dxfId="5209" priority="46" operator="lessThan">
      <formula>0</formula>
    </cfRule>
  </conditionalFormatting>
  <conditionalFormatting sqref="B65:E67 B69:E69 B68:D68">
    <cfRule type="cellIs" dxfId="5208" priority="47" operator="lessThan">
      <formula>0</formula>
    </cfRule>
  </conditionalFormatting>
  <conditionalFormatting sqref="E68">
    <cfRule type="cellIs" dxfId="5207" priority="45" operator="lessThan">
      <formula>0</formula>
    </cfRule>
  </conditionalFormatting>
  <conditionalFormatting sqref="F65:F68">
    <cfRule type="cellIs" dxfId="5206" priority="44" operator="lessThan">
      <formula>0</formula>
    </cfRule>
  </conditionalFormatting>
  <conditionalFormatting sqref="F65:F68">
    <cfRule type="cellIs" dxfId="5205" priority="43" operator="lessThan">
      <formula>$E$65*0.9</formula>
    </cfRule>
  </conditionalFormatting>
  <conditionalFormatting sqref="F66">
    <cfRule type="cellIs" dxfId="5204" priority="42" operator="lessThan">
      <formula>$E$66*0.9</formula>
    </cfRule>
  </conditionalFormatting>
  <conditionalFormatting sqref="F67:F68">
    <cfRule type="cellIs" dxfId="5203" priority="41" operator="lessThan">
      <formula>$E$67*0.9</formula>
    </cfRule>
  </conditionalFormatting>
  <conditionalFormatting sqref="F68">
    <cfRule type="cellIs" dxfId="5202" priority="40" operator="lessThan">
      <formula>$E$68*0.9</formula>
    </cfRule>
  </conditionalFormatting>
  <conditionalFormatting sqref="B13:F13">
    <cfRule type="cellIs" dxfId="5201" priority="29" operator="greaterThan">
      <formula>$I$16</formula>
    </cfRule>
    <cfRule type="cellIs" dxfId="5200" priority="30" operator="lessThanOrEqual">
      <formula>$I$16</formula>
    </cfRule>
  </conditionalFormatting>
  <conditionalFormatting sqref="B10:F10">
    <cfRule type="cellIs" dxfId="5199" priority="31" operator="greaterThan">
      <formula>15</formula>
    </cfRule>
    <cfRule type="cellIs" dxfId="5198" priority="38" operator="lessThan">
      <formula>$I$9</formula>
    </cfRule>
    <cfRule type="cellIs" dxfId="5197" priority="39" operator="greaterThan">
      <formula>$I$9</formula>
    </cfRule>
  </conditionalFormatting>
  <conditionalFormatting sqref="B16:F16">
    <cfRule type="cellIs" dxfId="5196" priority="36" operator="greaterThan">
      <formula>$I$16</formula>
    </cfRule>
    <cfRule type="cellIs" dxfId="5195" priority="37" operator="lessThanOrEqual">
      <formula>$I$16</formula>
    </cfRule>
  </conditionalFormatting>
  <conditionalFormatting sqref="B15:F15">
    <cfRule type="cellIs" dxfId="5194" priority="34" operator="lessThanOrEqual">
      <formula>$I$16</formula>
    </cfRule>
    <cfRule type="cellIs" dxfId="5193" priority="35" operator="greaterThan">
      <formula>$I$16</formula>
    </cfRule>
  </conditionalFormatting>
  <conditionalFormatting sqref="B14:F14">
    <cfRule type="cellIs" dxfId="5192" priority="32" operator="greaterThan">
      <formula>$I$16</formula>
    </cfRule>
    <cfRule type="cellIs" dxfId="5191" priority="33" operator="lessThanOrEqual">
      <formula>$I$16</formula>
    </cfRule>
  </conditionalFormatting>
  <conditionalFormatting sqref="K6">
    <cfRule type="containsText" dxfId="5190" priority="27" operator="containsText" text="衰退">
      <formula>NOT(ISERROR(SEARCH("衰退",K6)))</formula>
    </cfRule>
    <cfRule type="containsText" dxfId="5189" priority="28" operator="containsText" text="成長">
      <formula>NOT(ISERROR(SEARCH("成長",K6)))</formula>
    </cfRule>
  </conditionalFormatting>
  <conditionalFormatting sqref="I4:K4">
    <cfRule type="cellIs" dxfId="5188" priority="25" operator="lessThan">
      <formula>0</formula>
    </cfRule>
    <cfRule type="cellIs" dxfId="5187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186" priority="22" operator="lessThanOrEqual">
      <formula>$I$16</formula>
    </cfRule>
    <cfRule type="cellIs" dxfId="5185" priority="23" operator="greaterThan">
      <formula>$I$16</formula>
    </cfRule>
  </conditionalFormatting>
  <conditionalFormatting sqref="I6">
    <cfRule type="containsText" dxfId="5184" priority="20" operator="containsText" text="衰退">
      <formula>NOT(ISERROR(SEARCH("衰退",I6)))</formula>
    </cfRule>
    <cfRule type="containsText" dxfId="5183" priority="21" operator="containsText" text="成長">
      <formula>NOT(ISERROR(SEARCH("成長",I6)))</formula>
    </cfRule>
  </conditionalFormatting>
  <conditionalFormatting sqref="M9">
    <cfRule type="cellIs" dxfId="5182" priority="19" operator="lessThan">
      <formula>$I$9</formula>
    </cfRule>
  </conditionalFormatting>
  <conditionalFormatting sqref="M10">
    <cfRule type="cellIs" dxfId="5181" priority="18" operator="greaterThan">
      <formula>$I$9</formula>
    </cfRule>
  </conditionalFormatting>
  <conditionalFormatting sqref="M11">
    <cfRule type="cellIs" dxfId="5180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179" priority="14" operator="lessThan">
      <formula>0</formula>
    </cfRule>
    <cfRule type="cellIs" dxfId="5178" priority="15" operator="greaterThan">
      <formula>0.5</formula>
    </cfRule>
  </conditionalFormatting>
  <conditionalFormatting sqref="N14">
    <cfRule type="cellIs" dxfId="5177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176" priority="10" operator="lessThan">
      <formula>0.1</formula>
    </cfRule>
  </conditionalFormatting>
  <conditionalFormatting sqref="I14">
    <cfRule type="cellIs" dxfId="5175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174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173" priority="1" operator="lessThan">
      <formula>$N$5*0.9</formula>
    </cfRule>
    <cfRule type="cellIs" dxfId="5172" priority="2" operator="greaterThan">
      <formula>$N$5*1.1</formula>
    </cfRule>
  </conditionalFormatting>
  <hyperlinks>
    <hyperlink ref="L1" location="儀表板!A1" display="(回首頁)" xr:uid="{00000000-0004-0000-2200-000000000000}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工作表81"/>
  <dimension ref="A1:BX148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20171</v>
      </c>
      <c r="D1" s="76">
        <f>MAX(78:78)</f>
        <v>201801</v>
      </c>
      <c r="E1" s="77"/>
      <c r="H1" s="79" t="s">
        <v>177</v>
      </c>
      <c r="I1" s="80"/>
      <c r="J1" s="81" t="s">
        <v>378</v>
      </c>
      <c r="K1" s="82" t="str">
        <f>MIN(123:123)&amp;" ~ "&amp;MAX(123:123)</f>
        <v>18.43 ~ 54.17</v>
      </c>
      <c r="L1" s="83" t="s">
        <v>176</v>
      </c>
      <c r="M1" s="84" t="str">
        <f ca="1">VLOOKUP(_xlfn.NUMBERVALUE(N1),儀表板!A:B,2,FALSE)</f>
        <v>兆豐金</v>
      </c>
      <c r="N1" s="85" t="str">
        <f ca="1">MID(CELL("filename",L1),FIND("]",CELL("filename",L1))+1,255)</f>
        <v>2886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0.19609113560153729</v>
      </c>
    </row>
    <row r="3" spans="1:15" s="93" customFormat="1" x14ac:dyDescent="0.25">
      <c r="A3" s="81" t="s">
        <v>179</v>
      </c>
      <c r="B3" s="94">
        <f>SUM(F19:F22,F24:F27,J19)</f>
        <v>92.490049751243788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19.168655322512045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19.940169136433841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20.592492924822832</v>
      </c>
      <c r="L3" s="100"/>
      <c r="M3" s="79" t="s">
        <v>385</v>
      </c>
      <c r="N3" s="92">
        <f>(F69-E69)/E69</f>
        <v>-3.1640383117618694E-2</v>
      </c>
    </row>
    <row r="4" spans="1:15" s="93" customFormat="1" x14ac:dyDescent="0.25">
      <c r="A4" s="81" t="s">
        <v>182</v>
      </c>
      <c r="B4" s="96">
        <f>SUM(G36:G40)*2</f>
        <v>72</v>
      </c>
      <c r="C4" s="101"/>
      <c r="D4" s="102">
        <f>F4*(1+F115/10)</f>
        <v>1360</v>
      </c>
      <c r="E4" s="82">
        <f>(D4-F4)/F4</f>
        <v>0</v>
      </c>
      <c r="F4" s="103">
        <v>1360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1.5977933678559291</v>
      </c>
    </row>
    <row r="5" spans="1:15" s="93" customFormat="1" x14ac:dyDescent="0.25">
      <c r="A5" s="81" t="s">
        <v>184</v>
      </c>
      <c r="B5" s="107">
        <f>SUM(F30:F34)*2</f>
        <v>91.250626238604838</v>
      </c>
      <c r="C5" s="87"/>
      <c r="D5" s="87"/>
      <c r="E5" s="87"/>
      <c r="F5" s="86"/>
      <c r="G5" s="88"/>
      <c r="M5" s="79" t="s">
        <v>386</v>
      </c>
      <c r="N5" s="152">
        <f>D62</f>
        <v>1.63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連2季衰退</v>
      </c>
      <c r="L6" s="112"/>
      <c r="M6" s="79" t="s">
        <v>190</v>
      </c>
      <c r="N6" s="152">
        <f>A53</f>
        <v>1.5977933678559291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MAX(148:148)</f>
        <v>14.97</v>
      </c>
      <c r="N9" s="129"/>
    </row>
    <row r="10" spans="1:15" s="93" customFormat="1" x14ac:dyDescent="0.25">
      <c r="A10" s="123" t="s">
        <v>194</v>
      </c>
      <c r="B10" s="126">
        <f>PERCENTILE(148:148,B9)</f>
        <v>11.034000000000001</v>
      </c>
      <c r="C10" s="126">
        <f>PERCENTILE(148:148,C9)</f>
        <v>11.901</v>
      </c>
      <c r="D10" s="126">
        <f>PERCENTILE(148:148,D9)</f>
        <v>12.38</v>
      </c>
      <c r="E10" s="126">
        <f>PERCENTILE(148:148,E9)</f>
        <v>12.785</v>
      </c>
      <c r="F10" s="126">
        <f>PERCENTILE(148:148,F9)</f>
        <v>13.096</v>
      </c>
      <c r="G10" s="95"/>
      <c r="H10" s="135"/>
      <c r="I10" s="135"/>
      <c r="J10" s="135"/>
      <c r="K10" s="135"/>
      <c r="L10" s="136" t="s">
        <v>374</v>
      </c>
      <c r="M10" s="130">
        <f>MIN(148:148)</f>
        <v>8.92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21.84</v>
      </c>
      <c r="L11" s="272" t="s">
        <v>193</v>
      </c>
      <c r="M11" s="128">
        <f>STDEV(148:148)</f>
        <v>1.3299118984570013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19.012605042016808</v>
      </c>
      <c r="C13" s="141">
        <f>$B$34/5.88%</f>
        <v>23.086734693877549</v>
      </c>
      <c r="D13" s="141">
        <f>$B$34/5%</f>
        <v>27.15</v>
      </c>
      <c r="E13" s="141">
        <f>$B$34/4.35%</f>
        <v>31.206896551724139</v>
      </c>
      <c r="F13" s="141">
        <f>$B$34/3.85%</f>
        <v>35.259740259740255</v>
      </c>
      <c r="G13" s="138" t="str">
        <f>"$"&amp;ROUND(B34,2)&amp;"/"&amp;IF(STDEV(C114:F114)/AVERAGE(C114:F114)&lt;15%,"高",IF(STDEV(C114:F114)/AVERAGE(C114:F114)&lt;30%,"中","低"))</f>
        <v>$1.36/高</v>
      </c>
      <c r="H13" s="142" t="s">
        <v>199</v>
      </c>
      <c r="I13" s="143">
        <f>MAX(0,1-J15)</f>
        <v>0.1393939393939394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23.198985</v>
      </c>
      <c r="C14" s="141">
        <f>$B$33*C10</f>
        <v>25.021852500000001</v>
      </c>
      <c r="D14" s="141">
        <f>$B$33*D10</f>
        <v>26.028950000000002</v>
      </c>
      <c r="E14" s="141">
        <f>$B$33*E10</f>
        <v>26.8804625</v>
      </c>
      <c r="F14" s="141">
        <f>$B$33*F10</f>
        <v>27.53434</v>
      </c>
      <c r="G14" s="138" t="str">
        <f>"$"&amp;ROUND(B33,2)&amp;"/"&amp;IF(STDEV(B69:E69)/AVERAGE(B69:E69)&lt;15%,"高",IF(STDEV(B69:E69)/AVERAGE(B69:E69)&lt;30%,"中","低"))</f>
        <v>$2.1/中</v>
      </c>
      <c r="H14" s="142" t="s">
        <v>203</v>
      </c>
      <c r="I14" s="145">
        <f>G62/100*I13</f>
        <v>1.0607878787878789E-2</v>
      </c>
      <c r="J14" s="76" t="s">
        <v>204</v>
      </c>
      <c r="K14" s="146"/>
      <c r="L14" s="147"/>
      <c r="M14" s="148">
        <f>E109/E69</f>
        <v>2.1454545454545455</v>
      </c>
      <c r="N14" s="149">
        <f>F145/100</f>
        <v>0.70779999999999998</v>
      </c>
    </row>
    <row r="15" spans="1:15" s="93" customFormat="1" x14ac:dyDescent="0.25">
      <c r="A15" s="140" t="s">
        <v>375</v>
      </c>
      <c r="B15" s="141">
        <f>$D$62*B10</f>
        <v>17.985420000000001</v>
      </c>
      <c r="C15" s="141">
        <f>$D$62*C10</f>
        <v>19.398629999999997</v>
      </c>
      <c r="D15" s="141">
        <f>$D$62*D10</f>
        <v>20.179400000000001</v>
      </c>
      <c r="E15" s="141">
        <f>$D$62*E10</f>
        <v>20.839549999999999</v>
      </c>
      <c r="F15" s="141">
        <f>$D$62*F10</f>
        <v>21.34648</v>
      </c>
      <c r="G15" s="150"/>
      <c r="H15" s="142" t="s">
        <v>118</v>
      </c>
      <c r="I15" s="145" t="e">
        <f ca="1">D62*J15/I16</f>
        <v>#DIV/0!</v>
      </c>
      <c r="J15" s="92">
        <f>MIN(100%,HLOOKUP(MAX(113:113),113:116,4,FALSE))</f>
        <v>0.8606060606060606</v>
      </c>
      <c r="K15" s="78" t="str">
        <f>MAX(113:113)&amp;"配息率"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17.630052020922321</v>
      </c>
      <c r="C16" s="141">
        <f>$F$69*C10</f>
        <v>19.015338870853412</v>
      </c>
      <c r="D16" s="141">
        <f>$F$69*D10</f>
        <v>19.780681894056404</v>
      </c>
      <c r="E16" s="141">
        <f>$F$69*E10</f>
        <v>20.427788208038052</v>
      </c>
      <c r="F16" s="141">
        <f>$F$69*F10</f>
        <v>20.924701945441246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18459</v>
      </c>
      <c r="J17" s="92">
        <f ca="1">IF(I17&lt;=0,"",IF(I17&lt;=MIN($B$13:$F$16),(I17-MIN($B$13:$F$16))/MIN($B$13:$F$16),IF(I17&gt;=MAX($B$13:$F$16),I17/MAX($B$13:$F$16),PERCENTRANK($B$13:$F$16,I17))))</f>
        <v>523.51491712707184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SUM(C109:F109)/4</f>
        <v>5.0199999999999996</v>
      </c>
      <c r="C19" s="157" t="s">
        <v>211</v>
      </c>
      <c r="D19" s="158">
        <f>COUNTIF(C109:F109,"&gt;0")/COUNT(C109:F109)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v>20</v>
      </c>
      <c r="K19" s="88" t="s">
        <v>215</v>
      </c>
    </row>
    <row r="20" spans="1:14" s="93" customFormat="1" x14ac:dyDescent="0.25">
      <c r="A20" s="155" t="s">
        <v>216</v>
      </c>
      <c r="B20" s="161">
        <f>SUM(C109:F109)/SUM(C114:F114)</f>
        <v>3.6979742173112338</v>
      </c>
      <c r="C20" s="157" t="s">
        <v>217</v>
      </c>
      <c r="D20" s="236">
        <f>COUNTIF(C117:F117,"&gt;=80%")/COUNT(C117:F117)</f>
        <v>0.75</v>
      </c>
      <c r="E20" s="140" t="s">
        <v>218</v>
      </c>
      <c r="F20" s="159">
        <f>IF(B20&gt;=80%,2,0)+D20*8</f>
        <v>8</v>
      </c>
      <c r="G20" s="88" t="s">
        <v>213</v>
      </c>
    </row>
    <row r="21" spans="1:14" s="93" customFormat="1" x14ac:dyDescent="0.25">
      <c r="A21" s="151" t="s">
        <v>201</v>
      </c>
      <c r="B21" s="161">
        <f>AVERAGE(C145:F145)/100</f>
        <v>2.3590249999999999</v>
      </c>
      <c r="C21" s="157" t="s">
        <v>217</v>
      </c>
      <c r="D21" s="158">
        <f>COUNTIF(C145:F145,"&gt;=80")/COUNT(C145:F145)</f>
        <v>0.75</v>
      </c>
      <c r="E21" s="140" t="s">
        <v>218</v>
      </c>
      <c r="F21" s="159">
        <f>MIN(100%,B21)*9+D21*6-COUNTIF(B106:E106,"&lt;=0")*4</f>
        <v>9.5</v>
      </c>
      <c r="G21" s="88" t="s">
        <v>220</v>
      </c>
    </row>
    <row r="22" spans="1:14" s="93" customFormat="1" x14ac:dyDescent="0.25">
      <c r="A22" s="140" t="s">
        <v>222</v>
      </c>
      <c r="B22" s="161">
        <f>(-1)*SUM(C107:F107)/SUM(C106:F106)</f>
        <v>9.9502487562189027E-4</v>
      </c>
      <c r="C22" s="157"/>
      <c r="D22" s="166"/>
      <c r="E22" s="140"/>
      <c r="F22" s="159">
        <f>IF(B22&lt;=0,10,IF(B22&gt;=100%,0,(1-B22)*10))</f>
        <v>9.9900497512437809</v>
      </c>
      <c r="G22" s="88" t="s">
        <v>213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</row>
    <row r="24" spans="1:14" s="93" customFormat="1" x14ac:dyDescent="0.25">
      <c r="A24" s="164" t="s">
        <v>228</v>
      </c>
      <c r="B24" s="127">
        <f>AVERAGE(C103:F103)</f>
        <v>1.001474641399839</v>
      </c>
      <c r="C24" s="169">
        <f>STDEV(C103:F103)</f>
        <v>2.3295092854926365E-3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</row>
    <row r="25" spans="1:14" s="93" customFormat="1" x14ac:dyDescent="0.25">
      <c r="A25" s="151" t="s">
        <v>231</v>
      </c>
      <c r="B25" s="127">
        <f>AVERAGEIF(132:132,"&lt;100")/100</f>
        <v>0</v>
      </c>
      <c r="C25" s="169">
        <f>STDEV(132:132)/100</f>
        <v>0</v>
      </c>
      <c r="D25" s="76" t="str">
        <f>IF(C25&lt;=10%,"高",IF(C25&lt;=20%,"中","低"))</f>
        <v>高</v>
      </c>
      <c r="E25" s="149"/>
      <c r="F25" s="160">
        <f>IF(B25&lt;0,MAX(0,6+B25*100),IF(B25&gt;=60%,0,(60%-B25)/10%))+IF(D25="高",4,IF(D25="中",2,0))</f>
        <v>10</v>
      </c>
      <c r="G25" s="88" t="s">
        <v>213</v>
      </c>
    </row>
    <row r="26" spans="1:14" s="93" customFormat="1" x14ac:dyDescent="0.25">
      <c r="A26" s="164" t="s">
        <v>233</v>
      </c>
      <c r="B26" s="172"/>
      <c r="C26" s="172"/>
      <c r="D26" s="76"/>
      <c r="E26" s="149"/>
      <c r="F26" s="160">
        <v>10</v>
      </c>
      <c r="G26" s="88" t="s">
        <v>213</v>
      </c>
    </row>
    <row r="27" spans="1:14" s="93" customFormat="1" x14ac:dyDescent="0.25">
      <c r="A27" s="164" t="s">
        <v>234</v>
      </c>
      <c r="B27" s="172"/>
      <c r="C27" s="172"/>
      <c r="D27" s="76"/>
      <c r="E27" s="149"/>
      <c r="F27" s="160"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236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AVERAGE(C127:F127)/100</f>
        <v>0.54114999999999991</v>
      </c>
      <c r="C30" s="157" t="s">
        <v>217</v>
      </c>
      <c r="D30" s="174">
        <f>COUNTIF(121:121,"&gt;20")/COUNT(121:121)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AVERAGE(C129:F129)/100</f>
        <v>0.45057499999999995</v>
      </c>
      <c r="C31" s="157" t="s">
        <v>217</v>
      </c>
      <c r="D31" s="174">
        <f>COUNTIF(123:123,"&gt;8")/COUNT(123:123)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AVERAGE(C142:F142)</f>
        <v>10.032500000000001</v>
      </c>
      <c r="C32" s="157" t="s">
        <v>217</v>
      </c>
      <c r="D32" s="174">
        <f>COUNTIF(136:136,"&gt;3")/COUNT(136:136)</f>
        <v>0.21739130434782608</v>
      </c>
      <c r="E32" s="140" t="s">
        <v>242</v>
      </c>
      <c r="F32" s="159">
        <f>MIN(B32/15*10,10)</f>
        <v>6.6883333333333344</v>
      </c>
      <c r="G32" s="135"/>
    </row>
    <row r="33" spans="1:14" x14ac:dyDescent="0.25">
      <c r="A33" s="155" t="s">
        <v>14</v>
      </c>
      <c r="B33" s="156">
        <f>AVERAGE(B69:E69)</f>
        <v>2.1025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AVERAGE(C114:F114)</f>
        <v>1.3574999999999999</v>
      </c>
      <c r="C34" s="157" t="s">
        <v>217</v>
      </c>
      <c r="D34" s="158">
        <f>COUNTIF(C114:F114,"&gt;0")/COUNT(C114:F114)</f>
        <v>1</v>
      </c>
      <c r="E34" s="140" t="s">
        <v>245</v>
      </c>
      <c r="F34" s="159">
        <f>B34/B33*3+D34*7</f>
        <v>8.9369797859690845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57701465.25</v>
      </c>
      <c r="C36" s="178">
        <f>STDEV(C97:F97)</f>
        <v>3079630.4104182562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/>
      <c r="C37" s="180"/>
      <c r="D37" s="76"/>
      <c r="E37" s="107"/>
      <c r="F37" s="179"/>
      <c r="G37" s="160">
        <f>G38</f>
        <v>8</v>
      </c>
    </row>
    <row r="38" spans="1:14" x14ac:dyDescent="0.25">
      <c r="A38" s="164" t="s">
        <v>249</v>
      </c>
      <c r="B38" s="180">
        <f>AVERAGE(C127:F127)</f>
        <v>54.114999999999995</v>
      </c>
      <c r="C38" s="180">
        <f>STDEV(C127:F127)</f>
        <v>4.923403294470198</v>
      </c>
      <c r="D38" s="76" t="str">
        <f>IF(C38/B38&lt;15%,"高",IF(C38/B38&lt;30%,"中","低"))</f>
        <v>高</v>
      </c>
      <c r="E38" s="107">
        <f>IF(F127&gt;E127,1,0)+IF(E127&gt;D127,1,0)+IF(D127&gt;C127,1,0)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AVERAGE(C142:F142)</f>
        <v>10.032500000000001</v>
      </c>
      <c r="C39" s="181">
        <f>STDEV(C142:F142)</f>
        <v>1.8143938381729494</v>
      </c>
      <c r="D39" s="76" t="str">
        <f>IF(C39/B39&lt;15%,"高",IF(C39/B39&lt;30%,"中","低"))</f>
        <v>中</v>
      </c>
      <c r="E39" s="107">
        <f>IF(F142&gt;E142,1,0)+IF(E142&gt;D142,1,0)+IF(D142&gt;C142,1,0)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2.1025</v>
      </c>
      <c r="C40" s="183">
        <f>STDEV(B69:E69)</f>
        <v>0.36754818278242996</v>
      </c>
      <c r="D40" s="76" t="str">
        <f>IF(C40/B40&lt;15%,"高",IF(C40/B40&lt;30%,"中","低"))</f>
        <v>中</v>
      </c>
      <c r="E40" s="107">
        <f>IF(E69&gt;D69,1,0)+IF(D69&gt;C69,1,0)+IF(C69&gt;B69,1,0)</f>
        <v>1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-3.571428571428574E-2</v>
      </c>
      <c r="C44" s="186">
        <f>(C46-C49)/C49</f>
        <v>-0.42622950819672134</v>
      </c>
      <c r="D44" s="186">
        <f>(D46-D49)/D49</f>
        <v>0.21999999999999997</v>
      </c>
      <c r="E44" s="186">
        <f>(E46-E49)/E49</f>
        <v>-0.77966101694915257</v>
      </c>
      <c r="G44" s="86" t="s">
        <v>175</v>
      </c>
      <c r="H44" s="186">
        <f>(H47-H50)/H50</f>
        <v>1.9938372303788107E-3</v>
      </c>
      <c r="I44" s="186">
        <f>(I47-I50)/I50</f>
        <v>-0.18920533758215491</v>
      </c>
      <c r="J44" s="186">
        <f>(J47-J50)/J50</f>
        <v>0.18518518518518512</v>
      </c>
      <c r="K44" s="186">
        <f>(K47-K50)/K50</f>
        <v>-0.42051860202931229</v>
      </c>
    </row>
    <row r="45" spans="1:14" x14ac:dyDescent="0.25">
      <c r="A45" s="87"/>
      <c r="B45" s="187">
        <f>$C$1</f>
        <v>20171</v>
      </c>
      <c r="C45" s="187">
        <f>IF(B45-ROUNDDOWN(B45/10,0)*10=1,(ROUNDDOWN(B45/10,0)-1)*10+4,B45-1)</f>
        <v>20164</v>
      </c>
      <c r="D45" s="187">
        <f>IF(C45-ROUNDDOWN(C45/10,0)*10=1,(ROUNDDOWN(C45/10,0)-1)*10+4,C45-1)</f>
        <v>20163</v>
      </c>
      <c r="E45" s="187">
        <f>IF(D45-ROUNDDOWN(D45/10,0)*10=1,(ROUNDDOWN(D45/10,0)-1)*10+4,D45-1)</f>
        <v>20162</v>
      </c>
      <c r="G45" s="135"/>
      <c r="H45" s="187">
        <f>$C$1</f>
        <v>20171</v>
      </c>
      <c r="I45" s="187">
        <f>IF(H45-ROUNDDOWN(H45/10,0)*10=1,(ROUNDDOWN(H45/10,0)-1)*10+4,H45-1)</f>
        <v>20164</v>
      </c>
      <c r="J45" s="187">
        <f>IF(I45-ROUNDDOWN(I45/10,0)*10=1,(ROUNDDOWN(I45/10,0)-1)*10+4,I45-1)</f>
        <v>20163</v>
      </c>
      <c r="K45" s="187">
        <f>IF(J45-ROUNDDOWN(J45/10,0)*10=1,(ROUNDDOWN(J45/10,0)-1)*10+4,J45-1)</f>
        <v>20162</v>
      </c>
    </row>
    <row r="46" spans="1:14" x14ac:dyDescent="0.25">
      <c r="A46" s="188" t="s">
        <v>163</v>
      </c>
      <c r="B46" s="152">
        <f>HLOOKUP(B45,$81:$82,2,FALSE)</f>
        <v>0.54</v>
      </c>
      <c r="C46" s="152">
        <f>HLOOKUP(C45,$81:$82,2,FALSE)</f>
        <v>0.35</v>
      </c>
      <c r="D46" s="152">
        <f>HLOOKUP(D45,$81:$82,2,FALSE)</f>
        <v>0.61</v>
      </c>
      <c r="E46" s="152">
        <f>HLOOKUP(E45,$81:$82,2,FALSE)</f>
        <v>0.13</v>
      </c>
      <c r="G46" s="86" t="s">
        <v>164</v>
      </c>
      <c r="H46" s="145"/>
      <c r="I46" s="145"/>
      <c r="J46" s="145"/>
      <c r="K46" s="145"/>
    </row>
    <row r="47" spans="1:14" x14ac:dyDescent="0.25">
      <c r="A47" s="188" t="s">
        <v>165</v>
      </c>
      <c r="B47" s="189">
        <f>HLOOKUP(B45,$134:$136,3,FALSE)</f>
        <v>2.5</v>
      </c>
      <c r="C47" s="189">
        <f>HLOOKUP(C45,$134:$136,3,FALSE)</f>
        <v>1.64</v>
      </c>
      <c r="D47" s="189">
        <f>HLOOKUP(D45,$134:$136,3,FALSE)</f>
        <v>2.86</v>
      </c>
      <c r="E47" s="189">
        <f>HLOOKUP(E45,$134:$136,3,FALSE)</f>
        <v>0.61</v>
      </c>
      <c r="G47" s="190" t="s">
        <v>166</v>
      </c>
      <c r="H47" s="145">
        <f>HLOOKUP(H45,$119:$121,3,FALSE)/100</f>
        <v>0.55279999999999996</v>
      </c>
      <c r="I47" s="145">
        <f>HLOOKUP(I45,$119:$121,3,FALSE)/100</f>
        <v>0.40710000000000002</v>
      </c>
      <c r="J47" s="145">
        <f>HLOOKUP(J45,$119:$121,3,FALSE)/100</f>
        <v>0.60799999999999998</v>
      </c>
      <c r="K47" s="145">
        <f>HLOOKUP(K45,$119:$121,3,FALSE)/100</f>
        <v>0.41119999999999995</v>
      </c>
    </row>
    <row r="48" spans="1:14" x14ac:dyDescent="0.25">
      <c r="A48" s="191"/>
      <c r="B48" s="187">
        <f>B45-10</f>
        <v>20161</v>
      </c>
      <c r="C48" s="187">
        <f>C45-10</f>
        <v>20154</v>
      </c>
      <c r="D48" s="187">
        <f>D45-10</f>
        <v>20153</v>
      </c>
      <c r="E48" s="187">
        <f>E45-10</f>
        <v>20152</v>
      </c>
      <c r="G48" s="135"/>
      <c r="H48" s="187">
        <f>H45-10</f>
        <v>20161</v>
      </c>
      <c r="I48" s="187">
        <f>I45-10</f>
        <v>20154</v>
      </c>
      <c r="J48" s="187">
        <f>J45-10</f>
        <v>20153</v>
      </c>
      <c r="K48" s="187">
        <f>K45-10</f>
        <v>20152</v>
      </c>
    </row>
    <row r="49" spans="1:15" x14ac:dyDescent="0.25">
      <c r="A49" s="188" t="s">
        <v>167</v>
      </c>
      <c r="B49" s="152">
        <f>HLOOKUP(B48,$81:$82,2,FALSE)</f>
        <v>0.56000000000000005</v>
      </c>
      <c r="C49" s="152">
        <f>HLOOKUP(C48,$81:$82,2,FALSE)</f>
        <v>0.61</v>
      </c>
      <c r="D49" s="152">
        <f>HLOOKUP(D48,$81:$82,2,FALSE)</f>
        <v>0.5</v>
      </c>
      <c r="E49" s="152">
        <f>HLOOKUP(E48,$81:$82,2,FALSE)</f>
        <v>0.59</v>
      </c>
      <c r="G49" s="86" t="s">
        <v>168</v>
      </c>
      <c r="H49" s="145"/>
      <c r="I49" s="145"/>
      <c r="J49" s="145"/>
      <c r="K49" s="145"/>
    </row>
    <row r="50" spans="1:15" x14ac:dyDescent="0.25">
      <c r="A50" s="188" t="s">
        <v>165</v>
      </c>
      <c r="B50" s="189">
        <f>HLOOKUP(B48,$134:$136,3,FALSE)</f>
        <v>2.57</v>
      </c>
      <c r="C50" s="189">
        <f>HLOOKUP(C48,$134:$136,3,FALSE)</f>
        <v>2.75</v>
      </c>
      <c r="D50" s="189">
        <f>HLOOKUP(D48,$134:$136,3,FALSE)</f>
        <v>2.39</v>
      </c>
      <c r="E50" s="189">
        <f>HLOOKUP(E48,$134:$136,3,FALSE)</f>
        <v>2.77</v>
      </c>
      <c r="G50" s="190" t="s">
        <v>169</v>
      </c>
      <c r="H50" s="145">
        <f>HLOOKUP(H48,$119:$121,3,FALSE)/100</f>
        <v>0.55169999999999997</v>
      </c>
      <c r="I50" s="145">
        <f>HLOOKUP(I48,$119:$121,3,FALSE)/100</f>
        <v>0.50209999999999999</v>
      </c>
      <c r="J50" s="145">
        <f>HLOOKUP(J48,$119:$121,3,FALSE)/100</f>
        <v>0.51300000000000001</v>
      </c>
      <c r="K50" s="145">
        <f>HLOOKUP(K48,$119:$121,3,FALSE)/100</f>
        <v>0.7095999999999999</v>
      </c>
    </row>
    <row r="51" spans="1:15" x14ac:dyDescent="0.25">
      <c r="A51" s="86" t="s">
        <v>351</v>
      </c>
      <c r="B51" s="186">
        <f>(B47-B50)/B50</f>
        <v>-2.7237354085603051E-2</v>
      </c>
      <c r="C51" s="186">
        <f>(C47-C50)/C50</f>
        <v>-0.40363636363636368</v>
      </c>
      <c r="D51" s="186">
        <f>(D47-D50)/D50</f>
        <v>0.19665271966527184</v>
      </c>
      <c r="E51" s="186">
        <f>(E47-E50)/E50</f>
        <v>-0.77978339350180514</v>
      </c>
      <c r="G51" s="235"/>
      <c r="H51" s="186"/>
      <c r="I51" s="186"/>
      <c r="J51" s="186"/>
      <c r="K51" s="186"/>
    </row>
    <row r="52" spans="1:15" x14ac:dyDescent="0.25">
      <c r="A52" s="183" t="s">
        <v>190</v>
      </c>
      <c r="B52" s="192">
        <f>B45</f>
        <v>20171</v>
      </c>
      <c r="C52" s="192">
        <f>IF(B52-ROUNDDOWN(B52/10,0)*10=4,(ROUNDDOWN(B52/10,0)+1)*10+1,B52+1)</f>
        <v>20172</v>
      </c>
      <c r="D52" s="192">
        <f>IF(C52-ROUNDDOWN(C52/10,0)*10=4,(ROUNDDOWN(C52/10,0)+1)*10+1,C52+1)</f>
        <v>20173</v>
      </c>
      <c r="E52" s="192">
        <f>IF(D52-ROUNDDOWN(D52/10,0)*10=4,(ROUNDDOWN(D52/10,0)+1)*10+1,D52+1)</f>
        <v>20174</v>
      </c>
    </row>
    <row r="53" spans="1:15" x14ac:dyDescent="0.25">
      <c r="A53" s="193">
        <f>SUM(B53:E53)</f>
        <v>1.5977933678559291</v>
      </c>
      <c r="B53" s="193">
        <f>B46</f>
        <v>0.54</v>
      </c>
      <c r="C53" s="193">
        <f>E46*(1-HLOOKUP(E45,$131:$132,2,FALSE)/100)*(1+$B$25)*$G$65</f>
        <v>0.12615884203786312</v>
      </c>
      <c r="D53" s="193">
        <f>D46*(1-HLOOKUP(D45,$131:$132,2,FALSE)/100)*(1+$B$25)*$G$65</f>
        <v>0.59197610494689612</v>
      </c>
      <c r="E53" s="193">
        <f>C46*(1-HLOOKUP(C45,$131:$132,2,FALSE)/100)*(1+$B$25)*$G$65</f>
        <v>0.33965842087116993</v>
      </c>
    </row>
    <row r="54" spans="1:15" x14ac:dyDescent="0.25">
      <c r="A54" s="278">
        <f>SUM(B54:E54)</f>
        <v>1.65</v>
      </c>
      <c r="B54" s="277">
        <f t="shared" ref="B54:D54" si="0">HLOOKUP(B52-10,81:82,2,FALSE)</f>
        <v>0.56000000000000005</v>
      </c>
      <c r="C54" s="277">
        <f t="shared" si="0"/>
        <v>0.13</v>
      </c>
      <c r="D54" s="277">
        <f t="shared" si="0"/>
        <v>0.61</v>
      </c>
      <c r="E54" s="277">
        <f>HLOOKUP(E52-10,81:82,2,FALSE)</f>
        <v>0.35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201801</v>
      </c>
      <c r="C56" s="194">
        <f>IF(B56-ROUNDDOWN(B56/100,0)*100-1=0,(ROUNDDOWN(B56/100,0)-1)*100+12,B56-1)</f>
        <v>201712</v>
      </c>
      <c r="D56" s="194">
        <f t="shared" ref="D56:M56" si="1">IF(C56-ROUNDDOWN(C56/100,0)*100-1=0,(ROUNDDOWN(C56/100,0)-1)*100+12,C56-1)</f>
        <v>201711</v>
      </c>
      <c r="E56" s="194">
        <f t="shared" si="1"/>
        <v>201710</v>
      </c>
      <c r="F56" s="194">
        <f t="shared" si="1"/>
        <v>201709</v>
      </c>
      <c r="G56" s="194">
        <f t="shared" si="1"/>
        <v>201708</v>
      </c>
      <c r="H56" s="194">
        <f t="shared" si="1"/>
        <v>201707</v>
      </c>
      <c r="I56" s="194">
        <f t="shared" si="1"/>
        <v>201706</v>
      </c>
      <c r="J56" s="194">
        <f t="shared" si="1"/>
        <v>201705</v>
      </c>
      <c r="K56" s="194">
        <f t="shared" si="1"/>
        <v>201704</v>
      </c>
      <c r="L56" s="194">
        <f t="shared" si="1"/>
        <v>201703</v>
      </c>
      <c r="M56" s="194">
        <f t="shared" si="1"/>
        <v>201702</v>
      </c>
      <c r="N56" s="138"/>
    </row>
    <row r="57" spans="1:15" x14ac:dyDescent="0.25">
      <c r="A57" s="195" t="s">
        <v>252</v>
      </c>
      <c r="B57" s="196">
        <f t="shared" ref="B57:M57" si="2">HLOOKUP(B56,78:79,2,FALSE)</f>
        <v>5579063</v>
      </c>
      <c r="C57" s="196">
        <f t="shared" si="2"/>
        <v>5303856</v>
      </c>
      <c r="D57" s="196">
        <f t="shared" si="2"/>
        <v>4913944</v>
      </c>
      <c r="E57" s="196">
        <f t="shared" si="2"/>
        <v>5110811</v>
      </c>
      <c r="F57" s="196">
        <f t="shared" si="2"/>
        <v>4959835</v>
      </c>
      <c r="G57" s="196">
        <f t="shared" si="2"/>
        <v>5159837</v>
      </c>
      <c r="H57" s="196">
        <f t="shared" si="2"/>
        <v>5681943</v>
      </c>
      <c r="I57" s="196">
        <f t="shared" si="2"/>
        <v>5468090</v>
      </c>
      <c r="J57" s="196">
        <f t="shared" si="2"/>
        <v>4671158</v>
      </c>
      <c r="K57" s="196">
        <f t="shared" si="2"/>
        <v>4530879</v>
      </c>
      <c r="L57" s="196">
        <f t="shared" si="2"/>
        <v>5124939</v>
      </c>
      <c r="M57" s="196">
        <f t="shared" si="2"/>
        <v>4702860</v>
      </c>
      <c r="N57" s="197"/>
    </row>
    <row r="58" spans="1:15" x14ac:dyDescent="0.25">
      <c r="A58" s="198" t="s">
        <v>253</v>
      </c>
      <c r="B58" s="196">
        <f t="shared" ref="B58:M58" si="3">HLOOKUP(B56-100,78:79,2,FALSE)</f>
        <v>4926780</v>
      </c>
      <c r="C58" s="196">
        <f t="shared" si="3"/>
        <v>5013040</v>
      </c>
      <c r="D58" s="196">
        <f t="shared" si="3"/>
        <v>4212110</v>
      </c>
      <c r="E58" s="196">
        <f t="shared" si="3"/>
        <v>4605083</v>
      </c>
      <c r="F58" s="196">
        <f t="shared" si="3"/>
        <v>4791405</v>
      </c>
      <c r="G58" s="196">
        <f t="shared" si="3"/>
        <v>5231928</v>
      </c>
      <c r="H58" s="196">
        <f t="shared" si="3"/>
        <v>5649841</v>
      </c>
      <c r="I58" s="196">
        <f t="shared" si="3"/>
        <v>5220736</v>
      </c>
      <c r="J58" s="196">
        <f t="shared" si="3"/>
        <v>5063454</v>
      </c>
      <c r="K58" s="196">
        <f t="shared" si="3"/>
        <v>5078128</v>
      </c>
      <c r="L58" s="196">
        <f t="shared" si="3"/>
        <v>5853486</v>
      </c>
      <c r="M58" s="196">
        <f t="shared" si="3"/>
        <v>4528211</v>
      </c>
      <c r="N58" s="197"/>
    </row>
    <row r="59" spans="1:15" x14ac:dyDescent="0.25">
      <c r="A59" s="199" t="s">
        <v>254</v>
      </c>
      <c r="B59" s="165">
        <f>IF(B57&lt;&gt;"",(B57-B58)/B58,"")</f>
        <v>0.13239539821140786</v>
      </c>
      <c r="C59" s="165">
        <f t="shared" ref="C59:M59" si="4">IF(C57&lt;&gt;"",(C57-C58)/C58,"")</f>
        <v>5.8011904951885483E-2</v>
      </c>
      <c r="D59" s="165">
        <f t="shared" si="4"/>
        <v>0.16662290396024795</v>
      </c>
      <c r="E59" s="165">
        <f t="shared" si="4"/>
        <v>0.10981951899672601</v>
      </c>
      <c r="F59" s="165">
        <f t="shared" si="4"/>
        <v>3.5152528329373114E-2</v>
      </c>
      <c r="G59" s="165">
        <f t="shared" si="4"/>
        <v>-1.3779050476229794E-2</v>
      </c>
      <c r="H59" s="165">
        <f t="shared" si="4"/>
        <v>5.6819298100601419E-3</v>
      </c>
      <c r="I59" s="165">
        <f t="shared" si="4"/>
        <v>4.7379143477088291E-2</v>
      </c>
      <c r="J59" s="165">
        <f t="shared" si="4"/>
        <v>-7.7475967985489752E-2</v>
      </c>
      <c r="K59" s="165">
        <f t="shared" si="4"/>
        <v>-0.10776589325830306</v>
      </c>
      <c r="L59" s="165">
        <f t="shared" si="4"/>
        <v>-0.12446378106994703</v>
      </c>
      <c r="M59" s="165">
        <f t="shared" si="4"/>
        <v>3.8569094947209837E-2</v>
      </c>
    </row>
    <row r="60" spans="1:15" x14ac:dyDescent="0.25">
      <c r="A60" s="195" t="s">
        <v>255</v>
      </c>
      <c r="B60" s="196">
        <f>SUM(B57:M57)</f>
        <v>61207215</v>
      </c>
    </row>
    <row r="61" spans="1:15" x14ac:dyDescent="0.25">
      <c r="A61" s="198" t="s">
        <v>256</v>
      </c>
      <c r="B61" s="196">
        <f>SUM(B58:M58)</f>
        <v>60174202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1.0171670411183849</v>
      </c>
      <c r="D62" s="152">
        <f>SUM(B46:E46)</f>
        <v>1.63</v>
      </c>
      <c r="E62" s="152">
        <f>SUM(B49:E49)</f>
        <v>2.2599999999999998</v>
      </c>
      <c r="G62" s="126">
        <f>SUM(B47:E47)</f>
        <v>7.61</v>
      </c>
      <c r="H62" s="126">
        <f>SUM(B50:E50)</f>
        <v>10.48</v>
      </c>
      <c r="J62" s="200"/>
      <c r="K62" s="200"/>
      <c r="M62" s="200">
        <f>AVERAGE(H47:K47)</f>
        <v>0.49477499999999996</v>
      </c>
      <c r="N62" s="200">
        <f>AVERAGE(H50:K50)</f>
        <v>0.56909999999999994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260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/>
      <c r="O64" s="95"/>
    </row>
    <row r="65" spans="1:72" x14ac:dyDescent="0.25">
      <c r="A65" s="204">
        <v>1</v>
      </c>
      <c r="B65" s="205">
        <f t="shared" ref="B65:E67" si="5">HLOOKUP(B$64*10+$A65,$81:$82,2,FALSE)</f>
        <v>0.54</v>
      </c>
      <c r="C65" s="205">
        <f t="shared" si="5"/>
        <v>0.65</v>
      </c>
      <c r="D65" s="205">
        <f t="shared" si="5"/>
        <v>0.66</v>
      </c>
      <c r="E65" s="205">
        <f t="shared" si="5"/>
        <v>0.56000000000000005</v>
      </c>
      <c r="F65" s="206">
        <f>IF(ISNA(HLOOKUP(F$64*10+$A65,$81:$82,2,FALSE)),E65*(1-$N65)*$G$65*(1+$B$25)/(1+$E$4),HLOOKUP(F$64*10+$A65,$81:$82,2,FALSE))</f>
        <v>0.54</v>
      </c>
      <c r="G65" s="207">
        <f>IF(G66&gt;=130%,130%,G66)</f>
        <v>0.97045263106048552</v>
      </c>
      <c r="H65" s="204">
        <v>1</v>
      </c>
      <c r="I65" s="208">
        <f t="shared" ref="I65:M68" si="6">IF(ISNA(HLOOKUP(I$64*10+$H65,$119:$121,3,FALSE)),"",HLOOKUP(I$64*10+$H65,$119:$121,3,FALSE)/100)</f>
        <v>0.54249999999999998</v>
      </c>
      <c r="J65" s="208">
        <f t="shared" si="6"/>
        <v>0.62229999999999996</v>
      </c>
      <c r="K65" s="208">
        <f t="shared" si="6"/>
        <v>0.61840000000000006</v>
      </c>
      <c r="L65" s="208">
        <f t="shared" si="6"/>
        <v>0.55169999999999997</v>
      </c>
      <c r="M65" s="209">
        <f t="shared" si="6"/>
        <v>0.55279999999999996</v>
      </c>
      <c r="N65" s="256"/>
      <c r="O65" s="256"/>
      <c r="P65" s="210"/>
    </row>
    <row r="66" spans="1:72" x14ac:dyDescent="0.25">
      <c r="A66" s="204">
        <v>2</v>
      </c>
      <c r="B66" s="205">
        <f t="shared" si="5"/>
        <v>0.5</v>
      </c>
      <c r="C66" s="205">
        <f t="shared" si="5"/>
        <v>0.65</v>
      </c>
      <c r="D66" s="205">
        <f t="shared" si="5"/>
        <v>0.59</v>
      </c>
      <c r="E66" s="205">
        <f t="shared" si="5"/>
        <v>0.13</v>
      </c>
      <c r="F66" s="206">
        <f>IF(ISNA(HLOOKUP(F$64*10+$A66,$81:$82,2,FALSE)),E66*(1-$N66)*$G$65*(1+$B$25)/(1+$E$4),HLOOKUP(F$64*10+$A66,$81:$82,2,FALSE))</f>
        <v>0.12615884203786312</v>
      </c>
      <c r="G66" s="211">
        <f>SUM(B57:D57)/SUM(B58:D58)*AVERAGE(H47:K47)/AVERAGE(H50:K50)</f>
        <v>0.97045263106048552</v>
      </c>
      <c r="H66" s="204">
        <v>2</v>
      </c>
      <c r="I66" s="208">
        <f t="shared" si="6"/>
        <v>0.57499999999999996</v>
      </c>
      <c r="J66" s="208">
        <f t="shared" si="6"/>
        <v>0.62429999999999997</v>
      </c>
      <c r="K66" s="208">
        <f t="shared" si="6"/>
        <v>0.7095999999999999</v>
      </c>
      <c r="L66" s="208">
        <f t="shared" si="6"/>
        <v>0.41119999999999995</v>
      </c>
      <c r="M66" s="209" t="str">
        <f t="shared" si="6"/>
        <v/>
      </c>
      <c r="N66" s="256"/>
      <c r="O66" s="256"/>
      <c r="P66" s="210"/>
    </row>
    <row r="67" spans="1:72" x14ac:dyDescent="0.25">
      <c r="A67" s="204">
        <v>3</v>
      </c>
      <c r="B67" s="205">
        <f t="shared" si="5"/>
        <v>0.55000000000000004</v>
      </c>
      <c r="C67" s="205">
        <f t="shared" si="5"/>
        <v>0.62</v>
      </c>
      <c r="D67" s="205">
        <f t="shared" si="5"/>
        <v>0.5</v>
      </c>
      <c r="E67" s="205">
        <f t="shared" si="5"/>
        <v>0.61</v>
      </c>
      <c r="F67" s="206">
        <f>IF(ISNA(HLOOKUP(F$64*10+$A67,$81:$82,2,FALSE)),E67*(1-$N67)*$G$65*(1+$B$25)/(1+$E$4),HLOOKUP(F$64*10+$A67,$81:$82,2,FALSE))</f>
        <v>0.59197610494689612</v>
      </c>
      <c r="G67" s="191"/>
      <c r="H67" s="204">
        <v>3</v>
      </c>
      <c r="I67" s="208">
        <f t="shared" si="6"/>
        <v>0.51690000000000003</v>
      </c>
      <c r="J67" s="208">
        <f t="shared" si="6"/>
        <v>0.58350000000000002</v>
      </c>
      <c r="K67" s="208">
        <f t="shared" si="6"/>
        <v>0.51300000000000001</v>
      </c>
      <c r="L67" s="208">
        <f t="shared" si="6"/>
        <v>0.60799999999999998</v>
      </c>
      <c r="M67" s="209" t="str">
        <f t="shared" si="6"/>
        <v/>
      </c>
      <c r="N67" s="256"/>
      <c r="O67" s="256"/>
      <c r="P67" s="210"/>
    </row>
    <row r="68" spans="1:72" x14ac:dyDescent="0.25">
      <c r="A68" s="204">
        <v>4</v>
      </c>
      <c r="B68" s="205">
        <f>HLOOKUP(B$64*10+$A68,$81:$82,2,FALSE)</f>
        <v>0.37</v>
      </c>
      <c r="C68" s="205">
        <f>HLOOKUP(C$64*10+$A68,$81:$82,2,FALSE)</f>
        <v>0.52</v>
      </c>
      <c r="D68" s="205">
        <f>HLOOKUP(D$64*10+$A68,$81:$82,2,FALSE)</f>
        <v>0.61</v>
      </c>
      <c r="E68" s="206">
        <f>IF(ISNA(HLOOKUP(E$64*10+$A68,$81:$82,2,FALSE)),D68*(1-$N68)*$G$65*(1+$B$25)/(1+$E$4),HLOOKUP(E$64*10+$A68,$81:$82,2,FALSE))</f>
        <v>0.35</v>
      </c>
      <c r="F68" s="206">
        <f>IF(ISNA(HLOOKUP(F$64*10+$A68,$81:$82,2,FALSE)),E68*(1-$N68)*$G$65*(1+$B$25)/(1+$E$4),HLOOKUP(F$64*10+$A68,$81:$82,2,FALSE))</f>
        <v>0.33965842087116993</v>
      </c>
      <c r="G68" s="191"/>
      <c r="H68" s="204">
        <v>4</v>
      </c>
      <c r="I68" s="208">
        <f t="shared" si="6"/>
        <v>0.34250000000000003</v>
      </c>
      <c r="J68" s="208">
        <f t="shared" si="6"/>
        <v>0.50009999999999999</v>
      </c>
      <c r="K68" s="208">
        <f t="shared" si="6"/>
        <v>0.50209999999999999</v>
      </c>
      <c r="L68" s="208">
        <f t="shared" si="6"/>
        <v>0.40710000000000002</v>
      </c>
      <c r="M68" s="209" t="str">
        <f t="shared" si="6"/>
        <v/>
      </c>
      <c r="N68" s="256"/>
      <c r="O68" s="256"/>
    </row>
    <row r="69" spans="1:72" x14ac:dyDescent="0.25">
      <c r="A69" s="212" t="s">
        <v>162</v>
      </c>
      <c r="B69" s="213">
        <f>SUM(B65:B68)</f>
        <v>1.96</v>
      </c>
      <c r="C69" s="213">
        <f>SUM(C65:C68)</f>
        <v>2.44</v>
      </c>
      <c r="D69" s="213">
        <f>SUM(D65:D68)</f>
        <v>2.36</v>
      </c>
      <c r="E69" s="213">
        <f>SUM(E65:E68)</f>
        <v>1.65</v>
      </c>
      <c r="F69" s="213">
        <f>SUM(F65:F68)</f>
        <v>1.5977933678559291</v>
      </c>
      <c r="G69" s="191"/>
      <c r="H69" s="214" t="s">
        <v>19</v>
      </c>
      <c r="I69" s="215">
        <f>HLOOKUP(I64,125:129,3,FALSE)/100</f>
        <v>0.49079999999999996</v>
      </c>
      <c r="J69" s="215">
        <f>HLOOKUP(J64,125:129,3,FALSE)/100</f>
        <v>0.58389999999999997</v>
      </c>
      <c r="K69" s="215">
        <f>HLOOKUP(K64,125:129,3,FALSE)/100</f>
        <v>0.58289999999999997</v>
      </c>
      <c r="L69" s="215">
        <f>IF(ISNA(HLOOKUP(L64,125:129,3,FALSE)/100),AVERAGE(L65:L68),HLOOKUP(L64,125:129,3,FALSE)/100)</f>
        <v>0.50700000000000001</v>
      </c>
      <c r="M69" s="215"/>
      <c r="N69" s="216"/>
    </row>
    <row r="70" spans="1:72" s="135" customFormat="1" x14ac:dyDescent="0.25">
      <c r="A70" s="217"/>
      <c r="B70" s="218"/>
      <c r="C70" s="218"/>
      <c r="D70" s="218"/>
      <c r="E70" s="218"/>
      <c r="F70" s="218"/>
    </row>
    <row r="71" spans="1:72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2" s="135" customFormat="1" x14ac:dyDescent="0.25">
      <c r="A72" s="204">
        <v>1</v>
      </c>
      <c r="B72" s="205">
        <f t="shared" ref="B72:F75" si="7">IF(ISNA(HLOOKUP(B$71*10+$A72,$134:$136,3,FALSE)),"",HLOOKUP(B$71*10+$A72,$134:$136,3,FALSE))</f>
        <v>2.86</v>
      </c>
      <c r="C72" s="205">
        <f t="shared" si="7"/>
        <v>3.27</v>
      </c>
      <c r="D72" s="205">
        <f t="shared" si="7"/>
        <v>3.1</v>
      </c>
      <c r="E72" s="205">
        <f t="shared" si="7"/>
        <v>2.57</v>
      </c>
      <c r="F72" s="205">
        <f t="shared" si="7"/>
        <v>2.5</v>
      </c>
    </row>
    <row r="73" spans="1:72" s="135" customFormat="1" x14ac:dyDescent="0.25">
      <c r="A73" s="204">
        <v>2</v>
      </c>
      <c r="B73" s="205">
        <f t="shared" si="7"/>
        <v>2.68</v>
      </c>
      <c r="C73" s="205">
        <f t="shared" si="7"/>
        <v>3.25</v>
      </c>
      <c r="D73" s="205">
        <f t="shared" si="7"/>
        <v>2.77</v>
      </c>
      <c r="E73" s="205">
        <f t="shared" si="7"/>
        <v>0.61</v>
      </c>
      <c r="F73" s="205" t="str">
        <f t="shared" si="7"/>
        <v/>
      </c>
    </row>
    <row r="74" spans="1:72" s="135" customFormat="1" x14ac:dyDescent="0.25">
      <c r="A74" s="204">
        <v>3</v>
      </c>
      <c r="B74" s="205">
        <f t="shared" si="7"/>
        <v>2.97</v>
      </c>
      <c r="C74" s="205">
        <f t="shared" si="7"/>
        <v>3.08</v>
      </c>
      <c r="D74" s="205">
        <f t="shared" si="7"/>
        <v>2.39</v>
      </c>
      <c r="E74" s="205">
        <f t="shared" si="7"/>
        <v>2.86</v>
      </c>
      <c r="F74" s="205" t="str">
        <f t="shared" si="7"/>
        <v/>
      </c>
    </row>
    <row r="75" spans="1:72" s="135" customFormat="1" x14ac:dyDescent="0.25">
      <c r="A75" s="204">
        <v>4</v>
      </c>
      <c r="B75" s="205">
        <f t="shared" si="7"/>
        <v>1.87</v>
      </c>
      <c r="C75" s="205">
        <f t="shared" si="7"/>
        <v>2.5</v>
      </c>
      <c r="D75" s="205">
        <f t="shared" si="7"/>
        <v>2.75</v>
      </c>
      <c r="E75" s="205">
        <f t="shared" si="7"/>
        <v>1.64</v>
      </c>
      <c r="F75" s="205" t="str">
        <f t="shared" si="7"/>
        <v/>
      </c>
    </row>
    <row r="76" spans="1:72" s="135" customFormat="1" x14ac:dyDescent="0.25">
      <c r="A76" s="212" t="s">
        <v>165</v>
      </c>
      <c r="B76" s="213">
        <f>SUM(B72:B75)</f>
        <v>10.379999999999999</v>
      </c>
      <c r="C76" s="213">
        <f>SUM(C72:C75)</f>
        <v>12.1</v>
      </c>
      <c r="D76" s="213">
        <f>SUM(D72:D75)</f>
        <v>11.01</v>
      </c>
      <c r="E76" s="213">
        <f>AVERAGE(E72:E75)*4</f>
        <v>7.6799999999999988</v>
      </c>
      <c r="F76" s="213"/>
    </row>
    <row r="77" spans="1:72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2" s="135" customFormat="1" ht="14.25" thickBot="1" x14ac:dyDescent="0.3">
      <c r="A78" s="217"/>
      <c r="B78" s="69">
        <v>201301</v>
      </c>
      <c r="C78" s="70">
        <v>201302</v>
      </c>
      <c r="D78" s="70">
        <v>201303</v>
      </c>
      <c r="E78" s="70">
        <v>201304</v>
      </c>
      <c r="F78" s="70">
        <v>201305</v>
      </c>
      <c r="G78" s="70">
        <v>201306</v>
      </c>
      <c r="H78" s="70">
        <v>201307</v>
      </c>
      <c r="I78" s="70">
        <v>201308</v>
      </c>
      <c r="J78" s="70">
        <v>201309</v>
      </c>
      <c r="K78" s="70">
        <v>201310</v>
      </c>
      <c r="L78" s="70">
        <v>201311</v>
      </c>
      <c r="M78" s="70">
        <v>201312</v>
      </c>
      <c r="N78" s="70">
        <v>201401</v>
      </c>
      <c r="O78" s="70">
        <v>201402</v>
      </c>
      <c r="P78" s="70">
        <v>201403</v>
      </c>
      <c r="Q78" s="70">
        <v>201404</v>
      </c>
      <c r="R78" s="70">
        <v>201405</v>
      </c>
      <c r="S78" s="70">
        <v>201406</v>
      </c>
      <c r="T78" s="70">
        <v>201407</v>
      </c>
      <c r="U78" s="70">
        <v>201408</v>
      </c>
      <c r="V78" s="70">
        <v>201409</v>
      </c>
      <c r="W78" s="70">
        <v>201410</v>
      </c>
      <c r="X78" s="70">
        <v>201411</v>
      </c>
      <c r="Y78" s="70">
        <v>201412</v>
      </c>
      <c r="Z78" s="70">
        <v>201501</v>
      </c>
      <c r="AA78" s="70">
        <v>201502</v>
      </c>
      <c r="AB78" s="70">
        <v>201503</v>
      </c>
      <c r="AC78" s="70">
        <v>201504</v>
      </c>
      <c r="AD78" s="70">
        <v>201505</v>
      </c>
      <c r="AE78" s="70">
        <v>201506</v>
      </c>
      <c r="AF78" s="70">
        <v>201507</v>
      </c>
      <c r="AG78" s="70">
        <v>201508</v>
      </c>
      <c r="AH78" s="70">
        <v>201509</v>
      </c>
      <c r="AI78" s="70">
        <v>201510</v>
      </c>
      <c r="AJ78" s="70">
        <v>201511</v>
      </c>
      <c r="AK78" s="70">
        <v>201512</v>
      </c>
      <c r="AL78" s="70">
        <v>201601</v>
      </c>
      <c r="AM78" s="70">
        <v>201602</v>
      </c>
      <c r="AN78" s="70">
        <v>201603</v>
      </c>
      <c r="AO78" s="70">
        <v>201604</v>
      </c>
      <c r="AP78" s="70">
        <v>201605</v>
      </c>
      <c r="AQ78" s="70">
        <v>201606</v>
      </c>
      <c r="AR78" s="70">
        <v>201607</v>
      </c>
      <c r="AS78" s="70">
        <v>201608</v>
      </c>
      <c r="AT78" s="70">
        <v>201609</v>
      </c>
      <c r="AU78" s="70">
        <v>201610</v>
      </c>
      <c r="AV78" s="70">
        <v>201611</v>
      </c>
      <c r="AW78" s="70">
        <v>201612</v>
      </c>
      <c r="AX78" s="70">
        <v>201701</v>
      </c>
      <c r="AY78" s="70">
        <v>201702</v>
      </c>
      <c r="AZ78" s="70">
        <v>201703</v>
      </c>
      <c r="BA78" s="70">
        <v>201704</v>
      </c>
      <c r="BB78" s="70">
        <v>201705</v>
      </c>
      <c r="BC78" s="70">
        <v>201706</v>
      </c>
      <c r="BD78" s="70">
        <v>201707</v>
      </c>
      <c r="BE78" s="70">
        <v>201708</v>
      </c>
      <c r="BF78" s="70">
        <v>201709</v>
      </c>
      <c r="BG78" s="70">
        <v>201710</v>
      </c>
      <c r="BH78" s="70">
        <v>201711</v>
      </c>
      <c r="BI78" s="70">
        <v>201712</v>
      </c>
      <c r="BJ78" s="71">
        <v>201801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0">
        <v>201710</v>
      </c>
      <c r="BT78" s="71">
        <v>201711</v>
      </c>
    </row>
    <row r="79" spans="1:72" ht="14.25" thickBot="1" x14ac:dyDescent="0.3">
      <c r="A79" s="222" t="s">
        <v>9</v>
      </c>
      <c r="B79" s="270">
        <v>4874035</v>
      </c>
      <c r="C79" s="270">
        <v>3955906</v>
      </c>
      <c r="D79" s="270">
        <v>4347196</v>
      </c>
      <c r="E79" s="270">
        <v>4138847</v>
      </c>
      <c r="F79" s="270">
        <v>4994138</v>
      </c>
      <c r="G79" s="270">
        <v>4078302</v>
      </c>
      <c r="H79" s="270">
        <v>5631591</v>
      </c>
      <c r="I79" s="270">
        <v>4150511</v>
      </c>
      <c r="J79" s="270">
        <v>4216848</v>
      </c>
      <c r="K79" s="270">
        <v>5135244</v>
      </c>
      <c r="L79" s="270">
        <v>4135173</v>
      </c>
      <c r="M79" s="270">
        <v>5291659</v>
      </c>
      <c r="N79" s="270">
        <v>4784357</v>
      </c>
      <c r="O79" s="270">
        <v>5048107</v>
      </c>
      <c r="P79" s="270">
        <v>5309479</v>
      </c>
      <c r="Q79" s="270">
        <v>4700946</v>
      </c>
      <c r="R79" s="270">
        <v>5221888</v>
      </c>
      <c r="S79" s="270">
        <v>5978175</v>
      </c>
      <c r="T79" s="270">
        <v>5444746</v>
      </c>
      <c r="U79" s="270">
        <v>4837352</v>
      </c>
      <c r="V79" s="270">
        <v>4666735</v>
      </c>
      <c r="W79" s="270">
        <v>4671383</v>
      </c>
      <c r="X79" s="270">
        <v>4630537</v>
      </c>
      <c r="Y79" s="270">
        <v>5187474</v>
      </c>
      <c r="Z79" s="270">
        <v>5389652</v>
      </c>
      <c r="AA79" s="270">
        <v>4712367</v>
      </c>
      <c r="AB79" s="270">
        <v>5035716</v>
      </c>
      <c r="AC79" s="270">
        <v>4906370</v>
      </c>
      <c r="AD79" s="270">
        <v>4686094</v>
      </c>
      <c r="AE79" s="270">
        <v>4675511</v>
      </c>
      <c r="AF79" s="270">
        <v>4828644</v>
      </c>
      <c r="AG79" s="270">
        <v>4214972</v>
      </c>
      <c r="AH79" s="270">
        <v>4627069</v>
      </c>
      <c r="AI79" s="270">
        <v>5612847</v>
      </c>
      <c r="AJ79" s="270">
        <v>6334128</v>
      </c>
      <c r="AK79" s="270">
        <v>5192820</v>
      </c>
      <c r="AL79" s="270">
        <v>5611446</v>
      </c>
      <c r="AM79" s="270">
        <v>4528211</v>
      </c>
      <c r="AN79" s="270">
        <v>5853486</v>
      </c>
      <c r="AO79" s="270">
        <v>5078128</v>
      </c>
      <c r="AP79" s="270">
        <v>5063454</v>
      </c>
      <c r="AQ79" s="270">
        <v>5220736</v>
      </c>
      <c r="AR79" s="270">
        <v>5649841</v>
      </c>
      <c r="AS79" s="270">
        <v>5231928</v>
      </c>
      <c r="AT79" s="270">
        <v>4791405</v>
      </c>
      <c r="AU79" s="270">
        <v>4605083</v>
      </c>
      <c r="AV79" s="270">
        <v>4212110</v>
      </c>
      <c r="AW79" s="270">
        <v>5013040</v>
      </c>
      <c r="AX79" s="270">
        <v>4926780</v>
      </c>
      <c r="AY79" s="270">
        <v>4702860</v>
      </c>
      <c r="AZ79" s="270">
        <v>5124939</v>
      </c>
      <c r="BA79" s="270">
        <v>4530879</v>
      </c>
      <c r="BB79" s="270">
        <v>4671158</v>
      </c>
      <c r="BC79" s="270">
        <v>5468090</v>
      </c>
      <c r="BD79" s="270">
        <v>5681943</v>
      </c>
      <c r="BE79" s="270">
        <v>5159837</v>
      </c>
      <c r="BF79" s="270">
        <v>4959835</v>
      </c>
      <c r="BG79" s="270">
        <v>5110811</v>
      </c>
      <c r="BH79" s="270">
        <v>4913944</v>
      </c>
      <c r="BI79" s="270">
        <v>5303856</v>
      </c>
      <c r="BJ79" s="270">
        <v>5579063</v>
      </c>
      <c r="BK79" s="270">
        <v>4702860</v>
      </c>
      <c r="BL79" s="270">
        <v>5124939</v>
      </c>
      <c r="BM79" s="270">
        <v>4530879</v>
      </c>
      <c r="BN79" s="270">
        <v>4671158</v>
      </c>
      <c r="BO79" s="270">
        <v>5468090</v>
      </c>
      <c r="BP79" s="270">
        <v>5681943</v>
      </c>
      <c r="BQ79" s="270">
        <v>5159837</v>
      </c>
      <c r="BR79" s="270">
        <v>4959835</v>
      </c>
      <c r="BS79" s="270">
        <v>5110811</v>
      </c>
      <c r="BT79" s="270">
        <v>4913944</v>
      </c>
    </row>
    <row r="80" spans="1:72" ht="14.25" thickBot="1" x14ac:dyDescent="0.3"/>
    <row r="81" spans="1:25" ht="14.25" thickBot="1" x14ac:dyDescent="0.3">
      <c r="B81" s="238">
        <v>20121</v>
      </c>
      <c r="C81" s="239">
        <v>20122</v>
      </c>
      <c r="D81" s="239">
        <v>20123</v>
      </c>
      <c r="E81" s="239">
        <v>20124</v>
      </c>
      <c r="F81" s="239">
        <v>20131</v>
      </c>
      <c r="G81" s="239">
        <v>20132</v>
      </c>
      <c r="H81" s="239">
        <v>20133</v>
      </c>
      <c r="I81" s="239">
        <v>20134</v>
      </c>
      <c r="J81" s="239">
        <v>20141</v>
      </c>
      <c r="K81" s="239">
        <v>20142</v>
      </c>
      <c r="L81" s="239">
        <v>20143</v>
      </c>
      <c r="M81" s="239">
        <v>20144</v>
      </c>
      <c r="N81" s="239">
        <v>20151</v>
      </c>
      <c r="O81" s="239">
        <v>20152</v>
      </c>
      <c r="P81" s="239">
        <v>20153</v>
      </c>
      <c r="Q81" s="239">
        <v>20154</v>
      </c>
      <c r="R81" s="239">
        <v>20161</v>
      </c>
      <c r="S81" s="239">
        <v>20162</v>
      </c>
      <c r="T81" s="239">
        <v>20163</v>
      </c>
      <c r="U81" s="239">
        <v>20164</v>
      </c>
      <c r="V81" s="240">
        <v>20171</v>
      </c>
      <c r="W81" s="70">
        <v>20162</v>
      </c>
      <c r="X81" s="71">
        <v>20163</v>
      </c>
    </row>
    <row r="82" spans="1:25" ht="14.25" thickBot="1" x14ac:dyDescent="0.3">
      <c r="A82" s="222" t="s">
        <v>10</v>
      </c>
      <c r="B82" s="241">
        <v>0.59</v>
      </c>
      <c r="C82" s="241">
        <v>0.54</v>
      </c>
      <c r="D82" s="241">
        <v>0.44</v>
      </c>
      <c r="E82" s="241">
        <v>0.33</v>
      </c>
      <c r="F82" s="241">
        <v>0.54</v>
      </c>
      <c r="G82" s="241">
        <v>0.5</v>
      </c>
      <c r="H82" s="241">
        <v>0.55000000000000004</v>
      </c>
      <c r="I82" s="241">
        <v>0.37</v>
      </c>
      <c r="J82" s="241">
        <v>0.65</v>
      </c>
      <c r="K82" s="241">
        <v>0.65</v>
      </c>
      <c r="L82" s="241">
        <v>0.62</v>
      </c>
      <c r="M82" s="241">
        <v>0.52</v>
      </c>
      <c r="N82" s="241">
        <v>0.66</v>
      </c>
      <c r="O82" s="241">
        <v>0.59</v>
      </c>
      <c r="P82" s="241">
        <v>0.5</v>
      </c>
      <c r="Q82" s="241">
        <v>0.61</v>
      </c>
      <c r="R82" s="241">
        <v>0.56000000000000005</v>
      </c>
      <c r="S82" s="241">
        <v>0.13</v>
      </c>
      <c r="T82" s="241">
        <v>0.61</v>
      </c>
      <c r="U82" s="241">
        <v>0.35</v>
      </c>
      <c r="V82" s="241">
        <v>0.54</v>
      </c>
      <c r="W82" s="72">
        <v>0.13</v>
      </c>
      <c r="X82" s="72">
        <v>0.61</v>
      </c>
    </row>
    <row r="83" spans="1:25" x14ac:dyDescent="0.25">
      <c r="A83" s="222"/>
      <c r="B83" s="223"/>
      <c r="C83" s="223"/>
      <c r="D83" s="223"/>
      <c r="E83" s="223"/>
      <c r="F83" s="223"/>
    </row>
    <row r="84" spans="1:25" x14ac:dyDescent="0.25">
      <c r="A84" s="222"/>
      <c r="B84" s="238">
        <v>20121</v>
      </c>
      <c r="C84" s="239">
        <v>20122</v>
      </c>
      <c r="D84" s="239">
        <v>20123</v>
      </c>
      <c r="E84" s="239">
        <v>20124</v>
      </c>
      <c r="F84" s="239">
        <v>20131</v>
      </c>
      <c r="G84" s="239">
        <v>20132</v>
      </c>
      <c r="H84" s="239">
        <v>20133</v>
      </c>
      <c r="I84" s="239">
        <v>20134</v>
      </c>
      <c r="J84" s="239">
        <v>20141</v>
      </c>
      <c r="K84" s="239">
        <v>20142</v>
      </c>
      <c r="L84" s="239">
        <v>20143</v>
      </c>
      <c r="M84" s="239">
        <v>20144</v>
      </c>
      <c r="N84" s="239">
        <v>20151</v>
      </c>
      <c r="O84" s="239">
        <v>20152</v>
      </c>
      <c r="P84" s="239">
        <v>20153</v>
      </c>
      <c r="Q84" s="239">
        <v>20154</v>
      </c>
      <c r="R84" s="239">
        <v>20161</v>
      </c>
      <c r="S84" s="239">
        <v>20162</v>
      </c>
      <c r="T84" s="239">
        <v>20163</v>
      </c>
      <c r="U84" s="239">
        <v>20164</v>
      </c>
      <c r="V84" s="240">
        <v>20171</v>
      </c>
    </row>
    <row r="85" spans="1:25" x14ac:dyDescent="0.25">
      <c r="A85" s="222" t="s">
        <v>20</v>
      </c>
      <c r="B85" s="241">
        <v>18.72</v>
      </c>
      <c r="C85" s="241">
        <v>18.309999999999999</v>
      </c>
      <c r="D85" s="241">
        <v>18.489999999999998</v>
      </c>
      <c r="E85" s="241">
        <v>18.690000000000001</v>
      </c>
      <c r="F85" s="241">
        <v>19.010000000000002</v>
      </c>
      <c r="G85" s="241">
        <v>18.239999999999998</v>
      </c>
      <c r="H85" s="241">
        <v>18.829999999999998</v>
      </c>
      <c r="I85" s="241">
        <v>21.04</v>
      </c>
      <c r="J85" s="241">
        <v>20.260000000000002</v>
      </c>
      <c r="K85" s="241">
        <v>19.760000000000002</v>
      </c>
      <c r="L85" s="241">
        <v>20.39</v>
      </c>
      <c r="M85" s="241">
        <v>20.96</v>
      </c>
      <c r="N85" s="241">
        <v>21.52</v>
      </c>
      <c r="O85" s="241">
        <v>20.64</v>
      </c>
      <c r="P85" s="241">
        <v>20.99</v>
      </c>
      <c r="Q85" s="241">
        <v>23.44</v>
      </c>
      <c r="R85" s="241">
        <v>22.07</v>
      </c>
      <c r="S85" s="241">
        <v>20.62</v>
      </c>
      <c r="T85" s="241">
        <v>21.64</v>
      </c>
      <c r="U85" s="241">
        <v>21.45</v>
      </c>
      <c r="V85" s="241">
        <v>21.84</v>
      </c>
    </row>
    <row r="86" spans="1:25" x14ac:dyDescent="0.25">
      <c r="A86" s="222"/>
      <c r="B86" s="363"/>
      <c r="C86" s="362"/>
      <c r="D86" s="362"/>
      <c r="E86" s="362"/>
      <c r="F86" s="362"/>
      <c r="G86" s="362"/>
      <c r="H86" s="362"/>
      <c r="I86" s="362"/>
      <c r="J86" s="362"/>
      <c r="K86" s="362"/>
      <c r="L86" s="362"/>
      <c r="M86" s="362"/>
      <c r="N86" s="362"/>
      <c r="O86" s="362"/>
      <c r="P86" s="362"/>
      <c r="Q86" s="362"/>
      <c r="R86" s="362"/>
      <c r="S86" s="362"/>
      <c r="T86" s="362"/>
      <c r="U86" s="362"/>
      <c r="V86" s="364"/>
    </row>
    <row r="87" spans="1:25" x14ac:dyDescent="0.25">
      <c r="B87" s="238">
        <v>20121</v>
      </c>
      <c r="C87" s="239">
        <v>20122</v>
      </c>
      <c r="D87" s="239">
        <v>20123</v>
      </c>
      <c r="E87" s="239">
        <v>20124</v>
      </c>
      <c r="F87" s="239">
        <v>20131</v>
      </c>
      <c r="G87" s="239">
        <v>20132</v>
      </c>
      <c r="H87" s="239">
        <v>20133</v>
      </c>
      <c r="I87" s="239">
        <v>20134</v>
      </c>
      <c r="J87" s="239">
        <v>20141</v>
      </c>
      <c r="K87" s="239">
        <v>20142</v>
      </c>
      <c r="L87" s="239">
        <v>20143</v>
      </c>
      <c r="M87" s="239">
        <v>20144</v>
      </c>
      <c r="N87" s="239">
        <v>20151</v>
      </c>
      <c r="O87" s="239">
        <v>20152</v>
      </c>
      <c r="P87" s="239">
        <v>20153</v>
      </c>
      <c r="Q87" s="239">
        <v>20154</v>
      </c>
      <c r="R87" s="239">
        <v>20161</v>
      </c>
      <c r="S87" s="239">
        <v>20162</v>
      </c>
      <c r="T87" s="239">
        <v>20163</v>
      </c>
      <c r="U87" s="239">
        <v>20164</v>
      </c>
      <c r="V87" s="240">
        <v>20171</v>
      </c>
    </row>
    <row r="88" spans="1:25" x14ac:dyDescent="0.25">
      <c r="A88" s="249" t="s">
        <v>3</v>
      </c>
      <c r="B88" s="248">
        <v>13345751</v>
      </c>
      <c r="C88" s="248">
        <v>12424985</v>
      </c>
      <c r="D88" s="248">
        <v>13068409</v>
      </c>
      <c r="E88" s="248">
        <v>12421195</v>
      </c>
      <c r="F88" s="248">
        <v>13275705</v>
      </c>
      <c r="G88" s="248">
        <v>13158105</v>
      </c>
      <c r="H88" s="248">
        <v>14025006</v>
      </c>
      <c r="I88" s="248">
        <v>14549652</v>
      </c>
      <c r="J88" s="248">
        <v>15138714</v>
      </c>
      <c r="K88" s="248">
        <v>15893246</v>
      </c>
      <c r="L88" s="248">
        <v>14958993</v>
      </c>
      <c r="M88" s="248">
        <v>14514014</v>
      </c>
      <c r="N88" s="248">
        <v>15146624</v>
      </c>
      <c r="O88" s="248">
        <v>14251284</v>
      </c>
      <c r="P88" s="248">
        <v>13679768</v>
      </c>
      <c r="Q88" s="248">
        <v>17150630</v>
      </c>
      <c r="R88" s="248">
        <v>15990724</v>
      </c>
      <c r="S88" s="248">
        <v>9691474</v>
      </c>
      <c r="T88" s="248">
        <v>15673284</v>
      </c>
      <c r="U88" s="248">
        <v>13708638</v>
      </c>
      <c r="V88" s="248">
        <v>14758685</v>
      </c>
    </row>
    <row r="89" spans="1:25" x14ac:dyDescent="0.25">
      <c r="A89" s="250" t="s">
        <v>4</v>
      </c>
      <c r="B89" s="243"/>
      <c r="C89" s="243"/>
      <c r="D89" s="243"/>
      <c r="E89" s="243"/>
      <c r="F89" s="243"/>
      <c r="G89" s="243"/>
      <c r="H89" s="243"/>
      <c r="I89" s="243"/>
      <c r="J89" s="243"/>
      <c r="K89" s="243"/>
      <c r="L89" s="243"/>
      <c r="M89" s="243"/>
      <c r="N89" s="243"/>
    </row>
    <row r="90" spans="1:25" x14ac:dyDescent="0.25">
      <c r="A90" s="251" t="s">
        <v>5</v>
      </c>
      <c r="B90" s="258">
        <v>7779895</v>
      </c>
      <c r="C90" s="258">
        <v>7725259</v>
      </c>
      <c r="D90" s="258">
        <v>5955013</v>
      </c>
      <c r="E90" s="258">
        <v>4375510</v>
      </c>
      <c r="F90" s="258">
        <v>7202156</v>
      </c>
      <c r="G90" s="258">
        <v>7565454</v>
      </c>
      <c r="H90" s="258">
        <v>7249067</v>
      </c>
      <c r="I90" s="258">
        <v>4983405</v>
      </c>
      <c r="J90" s="258">
        <v>9420937</v>
      </c>
      <c r="K90" s="258">
        <v>9921820</v>
      </c>
      <c r="L90" s="258">
        <v>8728119</v>
      </c>
      <c r="M90" s="258">
        <v>7257950</v>
      </c>
      <c r="N90" s="258">
        <v>9366982</v>
      </c>
      <c r="O90" s="258">
        <v>10113185</v>
      </c>
      <c r="P90" s="258">
        <v>7017218</v>
      </c>
      <c r="Q90" s="258">
        <v>8611597</v>
      </c>
      <c r="R90" s="258">
        <v>8821924</v>
      </c>
      <c r="S90" s="258">
        <v>3985449</v>
      </c>
      <c r="T90" s="258">
        <v>9529537</v>
      </c>
      <c r="U90" s="258">
        <v>5580303</v>
      </c>
      <c r="V90" s="258">
        <v>8158504</v>
      </c>
    </row>
    <row r="91" spans="1:25" x14ac:dyDescent="0.25">
      <c r="A91" s="250" t="s">
        <v>6</v>
      </c>
      <c r="B91" s="242">
        <v>7779895</v>
      </c>
      <c r="C91" s="242">
        <v>7725259</v>
      </c>
      <c r="D91" s="242">
        <v>5955013</v>
      </c>
      <c r="E91" s="242">
        <v>4375510</v>
      </c>
      <c r="F91" s="242">
        <v>7202156</v>
      </c>
      <c r="G91" s="242">
        <v>7565454</v>
      </c>
      <c r="H91" s="242">
        <v>7249067</v>
      </c>
      <c r="I91" s="242">
        <v>4983405</v>
      </c>
      <c r="J91" s="242">
        <v>9420937</v>
      </c>
      <c r="K91" s="242">
        <v>9921820</v>
      </c>
      <c r="L91" s="242">
        <v>8728119</v>
      </c>
      <c r="M91" s="242">
        <v>7257950</v>
      </c>
      <c r="N91" s="242">
        <v>9366982</v>
      </c>
      <c r="O91" s="242">
        <v>10113185</v>
      </c>
      <c r="P91" s="242">
        <v>7017218</v>
      </c>
      <c r="Q91" s="242">
        <v>8611597</v>
      </c>
      <c r="R91" s="242">
        <v>8821924</v>
      </c>
      <c r="S91" s="242">
        <v>3985449</v>
      </c>
      <c r="T91" s="242">
        <v>9529537</v>
      </c>
      <c r="U91" s="242">
        <v>5580303</v>
      </c>
      <c r="V91" s="242">
        <v>8158504</v>
      </c>
    </row>
    <row r="92" spans="1:25" x14ac:dyDescent="0.25">
      <c r="A92" s="251" t="s">
        <v>7</v>
      </c>
      <c r="B92" s="243">
        <v>6664377</v>
      </c>
      <c r="C92" s="243">
        <v>6061442</v>
      </c>
      <c r="D92" s="243">
        <v>5053799</v>
      </c>
      <c r="E92" s="243">
        <v>3763996</v>
      </c>
      <c r="F92" s="243">
        <v>6187587</v>
      </c>
      <c r="G92" s="243">
        <v>5726651</v>
      </c>
      <c r="H92" s="243">
        <v>6298032</v>
      </c>
      <c r="I92" s="243">
        <v>4282299</v>
      </c>
      <c r="J92" s="243">
        <v>8042461</v>
      </c>
      <c r="K92" s="243">
        <v>8083568</v>
      </c>
      <c r="L92" s="243">
        <v>7681352</v>
      </c>
      <c r="M92" s="243">
        <v>6432336</v>
      </c>
      <c r="N92" s="243">
        <v>8204910</v>
      </c>
      <c r="O92" s="243">
        <v>7248335</v>
      </c>
      <c r="P92" s="243">
        <v>6174624</v>
      </c>
      <c r="Q92" s="243">
        <v>7645400</v>
      </c>
      <c r="R92" s="243">
        <v>7646106</v>
      </c>
      <c r="S92" s="243">
        <v>1785667</v>
      </c>
      <c r="T92" s="243">
        <v>8220377</v>
      </c>
      <c r="U92" s="243">
        <v>4790745</v>
      </c>
      <c r="V92" s="243">
        <v>7403459</v>
      </c>
    </row>
    <row r="93" spans="1:25" ht="25.5" x14ac:dyDescent="0.25">
      <c r="A93" s="252" t="s">
        <v>8</v>
      </c>
      <c r="B93" s="248">
        <v>6662672</v>
      </c>
      <c r="C93" s="248">
        <v>6056296</v>
      </c>
      <c r="D93" s="248">
        <v>5049280</v>
      </c>
      <c r="E93" s="248">
        <v>3764893</v>
      </c>
      <c r="F93" s="248">
        <v>6186420</v>
      </c>
      <c r="G93" s="248">
        <v>5725771</v>
      </c>
      <c r="H93" s="248">
        <v>6290183</v>
      </c>
      <c r="I93" s="248">
        <v>4286858</v>
      </c>
      <c r="J93" s="248">
        <v>8042579</v>
      </c>
      <c r="K93" s="248">
        <v>8092860</v>
      </c>
      <c r="L93" s="248">
        <v>7690823</v>
      </c>
      <c r="M93" s="248">
        <v>6432402</v>
      </c>
      <c r="N93" s="248">
        <v>8205876</v>
      </c>
      <c r="O93" s="248">
        <v>7313179</v>
      </c>
      <c r="P93" s="248">
        <v>6231304</v>
      </c>
      <c r="Q93" s="248">
        <v>7666852</v>
      </c>
      <c r="R93" s="248">
        <v>7653318</v>
      </c>
      <c r="S93" s="248">
        <v>1785664</v>
      </c>
      <c r="T93" s="248">
        <v>8220376</v>
      </c>
      <c r="U93" s="248">
        <v>4796825</v>
      </c>
      <c r="V93" s="248">
        <v>7403469</v>
      </c>
    </row>
    <row r="94" spans="1:25" x14ac:dyDescent="0.25">
      <c r="A94" s="233" t="s">
        <v>365</v>
      </c>
      <c r="B94" s="253">
        <f>IF(B91="","",B91-B90)</f>
        <v>0</v>
      </c>
      <c r="C94" s="253">
        <f>IF(C91="","",C91-C90)</f>
        <v>0</v>
      </c>
      <c r="D94" s="253">
        <f t="shared" ref="D94:Y94" si="8">IF(D91="","",D91-D90)</f>
        <v>0</v>
      </c>
      <c r="E94" s="253">
        <f t="shared" si="8"/>
        <v>0</v>
      </c>
      <c r="F94" s="253">
        <f t="shared" si="8"/>
        <v>0</v>
      </c>
      <c r="G94" s="253">
        <f t="shared" si="8"/>
        <v>0</v>
      </c>
      <c r="H94" s="253">
        <f t="shared" si="8"/>
        <v>0</v>
      </c>
      <c r="I94" s="253">
        <f t="shared" si="8"/>
        <v>0</v>
      </c>
      <c r="J94" s="253">
        <f t="shared" si="8"/>
        <v>0</v>
      </c>
      <c r="K94" s="253">
        <f t="shared" si="8"/>
        <v>0</v>
      </c>
      <c r="L94" s="253">
        <f t="shared" si="8"/>
        <v>0</v>
      </c>
      <c r="M94" s="253">
        <f t="shared" si="8"/>
        <v>0</v>
      </c>
      <c r="N94" s="253">
        <f t="shared" si="8"/>
        <v>0</v>
      </c>
      <c r="O94" s="253">
        <f t="shared" si="8"/>
        <v>0</v>
      </c>
      <c r="P94" s="253">
        <f t="shared" si="8"/>
        <v>0</v>
      </c>
      <c r="Q94" s="253">
        <f t="shared" si="8"/>
        <v>0</v>
      </c>
      <c r="R94" s="253">
        <f t="shared" si="8"/>
        <v>0</v>
      </c>
      <c r="S94" s="253">
        <f t="shared" si="8"/>
        <v>0</v>
      </c>
      <c r="T94" s="253">
        <f t="shared" si="8"/>
        <v>0</v>
      </c>
      <c r="U94" s="253">
        <f t="shared" si="8"/>
        <v>0</v>
      </c>
      <c r="V94" s="253">
        <f t="shared" si="8"/>
        <v>0</v>
      </c>
      <c r="W94" s="253" t="str">
        <f t="shared" si="8"/>
        <v/>
      </c>
      <c r="X94" s="253" t="str">
        <f t="shared" si="8"/>
        <v/>
      </c>
      <c r="Y94" s="253" t="str">
        <f t="shared" si="8"/>
        <v/>
      </c>
    </row>
    <row r="96" spans="1:25" ht="14.25" thickBot="1" x14ac:dyDescent="0.3">
      <c r="B96" s="238">
        <v>2012</v>
      </c>
      <c r="C96" s="239">
        <v>2013</v>
      </c>
      <c r="D96" s="239">
        <v>2014</v>
      </c>
      <c r="E96" s="239">
        <v>2015</v>
      </c>
      <c r="F96" s="240">
        <v>2016</v>
      </c>
    </row>
    <row r="97" spans="1:6" ht="14.25" thickBot="1" x14ac:dyDescent="0.3">
      <c r="A97" s="224" t="s">
        <v>3</v>
      </c>
      <c r="B97" s="248">
        <v>51260340</v>
      </c>
      <c r="C97" s="248">
        <v>55008468</v>
      </c>
      <c r="D97" s="248">
        <v>60504967</v>
      </c>
      <c r="E97" s="248">
        <v>60228306</v>
      </c>
      <c r="F97" s="248">
        <v>55064120</v>
      </c>
    </row>
    <row r="98" spans="1:6" ht="14.25" thickBot="1" x14ac:dyDescent="0.3">
      <c r="A98" s="225" t="s">
        <v>4</v>
      </c>
      <c r="B98" s="226"/>
      <c r="C98" s="226"/>
      <c r="D98" s="226"/>
      <c r="E98" s="226"/>
      <c r="F98" s="226"/>
    </row>
    <row r="99" spans="1:6" ht="14.25" thickBot="1" x14ac:dyDescent="0.3">
      <c r="A99" s="224" t="s">
        <v>5</v>
      </c>
      <c r="B99" s="258">
        <v>25835677</v>
      </c>
      <c r="C99" s="258">
        <v>27000082</v>
      </c>
      <c r="D99" s="258">
        <v>35328826</v>
      </c>
      <c r="E99" s="258">
        <v>35108982</v>
      </c>
      <c r="F99" s="258">
        <v>27917213</v>
      </c>
    </row>
    <row r="100" spans="1:6" ht="14.25" thickBot="1" x14ac:dyDescent="0.3">
      <c r="A100" s="225" t="s">
        <v>6</v>
      </c>
      <c r="B100" s="242">
        <v>25835677</v>
      </c>
      <c r="C100" s="242">
        <v>27000082</v>
      </c>
      <c r="D100" s="242">
        <v>35328826</v>
      </c>
      <c r="E100" s="242">
        <v>35108982</v>
      </c>
      <c r="F100" s="242">
        <v>27917213</v>
      </c>
    </row>
    <row r="101" spans="1:6" ht="14.25" thickBot="1" x14ac:dyDescent="0.3">
      <c r="A101" s="224" t="s">
        <v>7</v>
      </c>
      <c r="B101" s="243">
        <v>21543614</v>
      </c>
      <c r="C101" s="243">
        <v>22494569</v>
      </c>
      <c r="D101" s="243">
        <v>30239717</v>
      </c>
      <c r="E101" s="243">
        <v>29273269</v>
      </c>
      <c r="F101" s="243">
        <v>22442895</v>
      </c>
    </row>
    <row r="102" spans="1:6" x14ac:dyDescent="0.25">
      <c r="A102" s="227" t="s">
        <v>8</v>
      </c>
      <c r="B102" s="248">
        <v>21533141</v>
      </c>
      <c r="C102" s="248">
        <v>22489232</v>
      </c>
      <c r="D102" s="248">
        <v>30258664</v>
      </c>
      <c r="E102" s="248">
        <v>29417211</v>
      </c>
      <c r="F102" s="248">
        <v>22456183</v>
      </c>
    </row>
    <row r="103" spans="1:6" x14ac:dyDescent="0.25">
      <c r="A103" s="233" t="s">
        <v>262</v>
      </c>
      <c r="B103" s="234">
        <f>IF(OR(B102="",B102="無"),"",B102/B101)</f>
        <v>0.99951386986417412</v>
      </c>
      <c r="C103" s="234">
        <f>IF(OR(C102="",C102="無"),"",C102/C101)</f>
        <v>0.99976274273136778</v>
      </c>
      <c r="D103" s="234">
        <f>IF(OR(D102="",D102="無"),"",D102/D101)</f>
        <v>1.0006265600964452</v>
      </c>
      <c r="E103" s="234">
        <f>IF(OR(E102="",E102="無"),"",E102/E101)</f>
        <v>1.0049171822935115</v>
      </c>
      <c r="F103" s="234">
        <f>IF(OR(F102="",F102="無"),"",F102/F101)</f>
        <v>1.0005920804780311</v>
      </c>
    </row>
    <row r="104" spans="1:6" x14ac:dyDescent="0.25">
      <c r="F104" s="135"/>
    </row>
    <row r="105" spans="1:6" ht="14.25" thickBot="1" x14ac:dyDescent="0.3">
      <c r="B105" s="238">
        <v>2012</v>
      </c>
      <c r="C105" s="239">
        <v>2013</v>
      </c>
      <c r="D105" s="239">
        <v>2014</v>
      </c>
      <c r="E105" s="239">
        <v>2015</v>
      </c>
      <c r="F105" s="240">
        <v>2016</v>
      </c>
    </row>
    <row r="106" spans="1:6" ht="14.25" thickBot="1" x14ac:dyDescent="0.3">
      <c r="A106" s="224" t="s">
        <v>36</v>
      </c>
      <c r="B106" s="244">
        <v>-0.65</v>
      </c>
      <c r="C106" s="244">
        <v>8.93</v>
      </c>
      <c r="D106" s="244">
        <v>6.51</v>
      </c>
      <c r="E106" s="244">
        <v>3.49</v>
      </c>
      <c r="F106" s="244">
        <v>1.17</v>
      </c>
    </row>
    <row r="107" spans="1:6" ht="14.25" thickBot="1" x14ac:dyDescent="0.3">
      <c r="A107" s="225" t="s">
        <v>37</v>
      </c>
      <c r="B107" s="246">
        <v>-9.0399999999999991</v>
      </c>
      <c r="C107" s="246">
        <v>0</v>
      </c>
      <c r="D107" s="246">
        <v>-0.03</v>
      </c>
      <c r="E107" s="246">
        <v>0.05</v>
      </c>
      <c r="F107" s="246">
        <v>-0.04</v>
      </c>
    </row>
    <row r="108" spans="1:6" ht="14.25" thickBot="1" x14ac:dyDescent="0.3">
      <c r="A108" s="224" t="s">
        <v>38</v>
      </c>
      <c r="B108" s="244">
        <v>8.94</v>
      </c>
      <c r="C108" s="244">
        <v>-4.1500000000000004</v>
      </c>
      <c r="D108" s="244">
        <v>1.76</v>
      </c>
      <c r="E108" s="244">
        <v>-1.1599999999999999</v>
      </c>
      <c r="F108" s="244">
        <v>-2.16</v>
      </c>
    </row>
    <row r="109" spans="1:6" ht="14.25" thickBot="1" x14ac:dyDescent="0.3">
      <c r="A109" s="225" t="s">
        <v>270</v>
      </c>
      <c r="B109" s="246">
        <v>-9.69</v>
      </c>
      <c r="C109" s="246">
        <v>8.93</v>
      </c>
      <c r="D109" s="246">
        <v>6.48</v>
      </c>
      <c r="E109" s="246">
        <v>3.54</v>
      </c>
      <c r="F109" s="246">
        <v>1.1299999999999999</v>
      </c>
    </row>
    <row r="110" spans="1:6" x14ac:dyDescent="0.25">
      <c r="A110" s="229" t="s">
        <v>39</v>
      </c>
      <c r="B110" s="241">
        <v>-0.75</v>
      </c>
      <c r="C110" s="241">
        <v>4.78</v>
      </c>
      <c r="D110" s="241">
        <v>8.24</v>
      </c>
      <c r="E110" s="241">
        <v>2.38</v>
      </c>
      <c r="F110" s="241">
        <v>-1.04</v>
      </c>
    </row>
    <row r="111" spans="1:6" x14ac:dyDescent="0.25">
      <c r="A111" s="233" t="s">
        <v>271</v>
      </c>
      <c r="B111" s="234" t="str">
        <f>IF(OR(B114&lt;=0,B114="無"),"",IF(B109&gt;=B114,"一般盈餘",IF(AND(B108&gt;0,B106&lt;B114),"借錢配息?",IF(B107&gt;(B114-B109),"可能賣資產","保留盈餘"))))</f>
        <v>借錢配息?</v>
      </c>
      <c r="C111" s="234" t="str">
        <f>IF(OR(C114&lt;=0,C114="無"),"",IF(C109&gt;=C114,"一般盈餘",IF(AND(C108&gt;0,C106&lt;C114),"借錢配息?",IF(C107&gt;(C114-C109),"可能賣資產","保留盈餘"))))</f>
        <v>一般盈餘</v>
      </c>
      <c r="D111" s="234" t="str">
        <f>IF(OR(D114&lt;=0,D114="無"),"",IF(D109&gt;=D114,"一般盈餘",IF(AND(D108&gt;0,D106&lt;D114),"借錢配息?",IF(D107&gt;(D114-D109),"可能賣資產","保留盈餘"))))</f>
        <v>一般盈餘</v>
      </c>
      <c r="E111" s="234" t="str">
        <f>IF(OR(E114&lt;=0,E114="無"),"",IF(E109&gt;=E114,"一般盈餘",IF(AND(E108&gt;0,E106&lt;E114),"借錢配息?",IF(E107&gt;(E114-E109),"可能賣資產","保留盈餘"))))</f>
        <v>一般盈餘</v>
      </c>
      <c r="F111" s="234" t="str">
        <f>IF(OR(F114&lt;=0,F114="無"),"",IF(F109&gt;=F114,"一般盈餘",IF(AND(F108&gt;0,F106&lt;F114),"借錢配息?",IF(F107&gt;(F114-F109),"可能賣資產","保留盈餘"))))</f>
        <v>保留盈餘</v>
      </c>
    </row>
    <row r="112" spans="1:6" s="93" customFormat="1" x14ac:dyDescent="0.25">
      <c r="A112" s="230"/>
      <c r="B112" s="360"/>
      <c r="C112" s="360"/>
      <c r="D112" s="360"/>
      <c r="E112" s="360"/>
      <c r="F112" s="360"/>
    </row>
    <row r="113" spans="1:22" ht="14.25" thickBot="1" x14ac:dyDescent="0.3">
      <c r="B113" s="238">
        <v>2012</v>
      </c>
      <c r="C113" s="239">
        <v>2013</v>
      </c>
      <c r="D113" s="239">
        <v>2014</v>
      </c>
      <c r="E113" s="239">
        <v>2015</v>
      </c>
      <c r="F113" s="240">
        <v>2016</v>
      </c>
    </row>
    <row r="114" spans="1:22" ht="14.25" thickBot="1" x14ac:dyDescent="0.3">
      <c r="A114" s="224" t="s">
        <v>0</v>
      </c>
      <c r="B114" s="244">
        <v>1.1000000000000001</v>
      </c>
      <c r="C114" s="244">
        <v>1.1100000000000001</v>
      </c>
      <c r="D114" s="244">
        <v>1.4</v>
      </c>
      <c r="E114" s="244">
        <v>1.5</v>
      </c>
      <c r="F114" s="244">
        <v>1.42</v>
      </c>
    </row>
    <row r="115" spans="1:22" x14ac:dyDescent="0.25">
      <c r="A115" s="227" t="s">
        <v>1</v>
      </c>
      <c r="B115" s="247">
        <v>0</v>
      </c>
      <c r="C115" s="247">
        <v>0</v>
      </c>
      <c r="D115" s="247">
        <v>0</v>
      </c>
      <c r="E115" s="247">
        <v>0</v>
      </c>
      <c r="F115" s="247">
        <v>0</v>
      </c>
    </row>
    <row r="116" spans="1:22" x14ac:dyDescent="0.25">
      <c r="A116" s="233" t="s">
        <v>272</v>
      </c>
      <c r="B116" s="234">
        <f>B114/(HLOOKUP(B113*10+1,81:82,2,FALSE)+HLOOKUP(B113*10+2,81:82,2,FALSE)+HLOOKUP(B113*10+3,81:82,2,FALSE)+HLOOKUP(B113*10+4,81:82,2,FALSE))</f>
        <v>0.57894736842105265</v>
      </c>
      <c r="C116" s="234">
        <f>C114/(HLOOKUP(C113*10+1,81:82,2,FALSE)+HLOOKUP(C113*10+2,81:82,2,FALSE)+HLOOKUP(C113*10+3,81:82,2,FALSE)+HLOOKUP(C113*10+4,81:82,2,FALSE))</f>
        <v>0.56632653061224492</v>
      </c>
      <c r="D116" s="234">
        <f>IF(D114&lt;&gt;"無",IF(ISNA(HLOOKUP(D113,$B$64:$F$69,6,FALSE)),"",D114/HLOOKUP(D113,$B$64:$F$69,6,FALSE)),"")</f>
        <v>0.57377049180327866</v>
      </c>
      <c r="E116" s="234">
        <f>IF(E114&lt;&gt;"無",IF(ISNA(HLOOKUP(E113,$B$64:$F$69,6,FALSE)),"",E114/HLOOKUP(E113,$B$64:$F$69,6,FALSE)),"")</f>
        <v>0.63559322033898313</v>
      </c>
      <c r="F116" s="234">
        <f>IF(F114&lt;&gt;"無",IF(ISNA(HLOOKUP(F113,$B$64:$F$69,6,FALSE)),"",F114/HLOOKUP(F113,$B$64:$F$69,6,FALSE)),"")</f>
        <v>0.8606060606060606</v>
      </c>
    </row>
    <row r="117" spans="1:22" x14ac:dyDescent="0.25">
      <c r="A117" s="233" t="s">
        <v>216</v>
      </c>
      <c r="B117" s="234">
        <f>IF(OR(B114=0,B114="無"),"",B109/B114)</f>
        <v>-8.8090909090909086</v>
      </c>
      <c r="C117" s="234">
        <f>IF(OR(C114=0,C114="無"),"",C109/C114)</f>
        <v>8.0450450450450433</v>
      </c>
      <c r="D117" s="234">
        <f>IF(OR(D114=0,D114="無"),"",D109/D114)</f>
        <v>4.628571428571429</v>
      </c>
      <c r="E117" s="234">
        <f>IF(OR(E114=0,E114="無"),"",E109/E114)</f>
        <v>2.36</v>
      </c>
      <c r="F117" s="234">
        <f>IF(OR(F114=0,F114="無"),"",F109/F114)</f>
        <v>0.79577464788732388</v>
      </c>
    </row>
    <row r="118" spans="1:22" s="93" customFormat="1" x14ac:dyDescent="0.25">
      <c r="A118" s="230"/>
      <c r="B118" s="231"/>
      <c r="C118" s="231"/>
      <c r="D118" s="231"/>
      <c r="E118" s="231"/>
      <c r="F118" s="231"/>
    </row>
    <row r="119" spans="1:22" s="93" customFormat="1" ht="14.25" thickBot="1" x14ac:dyDescent="0.3">
      <c r="A119" s="230"/>
      <c r="B119" s="262">
        <v>20121</v>
      </c>
      <c r="C119" s="263">
        <v>20122</v>
      </c>
      <c r="D119" s="263">
        <v>20123</v>
      </c>
      <c r="E119" s="263">
        <v>20124</v>
      </c>
      <c r="F119" s="263">
        <v>20131</v>
      </c>
      <c r="G119" s="263">
        <v>20132</v>
      </c>
      <c r="H119" s="263">
        <v>20133</v>
      </c>
      <c r="I119" s="263">
        <v>20134</v>
      </c>
      <c r="J119" s="263">
        <v>20141</v>
      </c>
      <c r="K119" s="263">
        <v>20142</v>
      </c>
      <c r="L119" s="263">
        <v>20143</v>
      </c>
      <c r="M119" s="263">
        <v>20144</v>
      </c>
      <c r="N119" s="263">
        <v>20151</v>
      </c>
      <c r="O119" s="263">
        <v>20152</v>
      </c>
      <c r="P119" s="263">
        <v>20153</v>
      </c>
      <c r="Q119" s="263">
        <v>20154</v>
      </c>
      <c r="R119" s="263">
        <v>20161</v>
      </c>
      <c r="S119" s="263">
        <v>20162</v>
      </c>
      <c r="T119" s="263">
        <v>20163</v>
      </c>
      <c r="U119" s="263">
        <v>20164</v>
      </c>
      <c r="V119" s="264">
        <v>20171</v>
      </c>
    </row>
    <row r="120" spans="1:22" s="93" customFormat="1" ht="14.25" thickBot="1" x14ac:dyDescent="0.3">
      <c r="A120" s="224" t="s">
        <v>40</v>
      </c>
      <c r="B120" s="228"/>
      <c r="C120" s="228"/>
      <c r="D120" s="228"/>
      <c r="E120" s="228"/>
      <c r="F120" s="228"/>
      <c r="G120" s="228"/>
      <c r="H120" s="228"/>
      <c r="I120" s="228"/>
      <c r="J120" s="228"/>
      <c r="K120" s="228"/>
      <c r="L120" s="228"/>
      <c r="M120" s="228"/>
      <c r="N120" s="228"/>
    </row>
    <row r="121" spans="1:22" s="93" customFormat="1" ht="14.25" thickBot="1" x14ac:dyDescent="0.3">
      <c r="A121" s="225" t="s">
        <v>19</v>
      </c>
      <c r="B121" s="265">
        <v>58.29</v>
      </c>
      <c r="C121" s="265">
        <v>62.18</v>
      </c>
      <c r="D121" s="265">
        <v>45.57</v>
      </c>
      <c r="E121" s="265">
        <v>35.229999999999997</v>
      </c>
      <c r="F121" s="265">
        <v>54.25</v>
      </c>
      <c r="G121" s="265">
        <v>57.5</v>
      </c>
      <c r="H121" s="265">
        <v>51.69</v>
      </c>
      <c r="I121" s="265">
        <v>34.25</v>
      </c>
      <c r="J121" s="265">
        <v>62.23</v>
      </c>
      <c r="K121" s="265">
        <v>62.43</v>
      </c>
      <c r="L121" s="265">
        <v>58.35</v>
      </c>
      <c r="M121" s="265">
        <v>50.01</v>
      </c>
      <c r="N121" s="265">
        <v>61.84</v>
      </c>
      <c r="O121" s="265">
        <v>70.959999999999994</v>
      </c>
      <c r="P121" s="265">
        <v>51.3</v>
      </c>
      <c r="Q121" s="265">
        <v>50.21</v>
      </c>
      <c r="R121" s="265">
        <v>55.17</v>
      </c>
      <c r="S121" s="265">
        <v>41.12</v>
      </c>
      <c r="T121" s="265">
        <v>60.8</v>
      </c>
      <c r="U121" s="265">
        <v>40.71</v>
      </c>
      <c r="V121" s="265">
        <v>55.28</v>
      </c>
    </row>
    <row r="122" spans="1:22" s="93" customFormat="1" ht="14.25" thickBot="1" x14ac:dyDescent="0.3">
      <c r="A122" s="224" t="s">
        <v>41</v>
      </c>
      <c r="B122" s="246">
        <v>58.29</v>
      </c>
      <c r="C122" s="246">
        <v>62.18</v>
      </c>
      <c r="D122" s="246">
        <v>45.57</v>
      </c>
      <c r="E122" s="246">
        <v>35.229999999999997</v>
      </c>
      <c r="F122" s="246">
        <v>54.25</v>
      </c>
      <c r="G122" s="246">
        <v>57.5</v>
      </c>
      <c r="H122" s="246">
        <v>51.69</v>
      </c>
      <c r="I122" s="246">
        <v>34.25</v>
      </c>
      <c r="J122" s="246">
        <v>62.23</v>
      </c>
      <c r="K122" s="246">
        <v>62.43</v>
      </c>
      <c r="L122" s="246">
        <v>58.35</v>
      </c>
      <c r="M122" s="246">
        <v>50.01</v>
      </c>
      <c r="N122" s="246">
        <v>61.84</v>
      </c>
      <c r="O122" s="246">
        <v>70.959999999999994</v>
      </c>
      <c r="P122" s="246">
        <v>51.3</v>
      </c>
      <c r="Q122" s="246">
        <v>50.21</v>
      </c>
      <c r="R122" s="246">
        <v>55.17</v>
      </c>
      <c r="S122" s="246">
        <v>41.12</v>
      </c>
      <c r="T122" s="246">
        <v>60.8</v>
      </c>
      <c r="U122" s="246">
        <v>40.71</v>
      </c>
      <c r="V122" s="246">
        <v>55.28</v>
      </c>
    </row>
    <row r="123" spans="1:22" s="93" customFormat="1" ht="14.25" thickBot="1" x14ac:dyDescent="0.3">
      <c r="A123" s="225" t="s">
        <v>13</v>
      </c>
      <c r="B123" s="241">
        <v>49.94</v>
      </c>
      <c r="C123" s="241">
        <v>48.78</v>
      </c>
      <c r="D123" s="241">
        <v>38.67</v>
      </c>
      <c r="E123" s="241">
        <v>30.3</v>
      </c>
      <c r="F123" s="241">
        <v>46.61</v>
      </c>
      <c r="G123" s="241">
        <v>43.52</v>
      </c>
      <c r="H123" s="241">
        <v>44.91</v>
      </c>
      <c r="I123" s="241">
        <v>29.43</v>
      </c>
      <c r="J123" s="241">
        <v>53.13</v>
      </c>
      <c r="K123" s="241">
        <v>50.86</v>
      </c>
      <c r="L123" s="241">
        <v>51.35</v>
      </c>
      <c r="M123" s="241">
        <v>44.32</v>
      </c>
      <c r="N123" s="241">
        <v>54.17</v>
      </c>
      <c r="O123" s="241">
        <v>50.86</v>
      </c>
      <c r="P123" s="241">
        <v>45.14</v>
      </c>
      <c r="Q123" s="241">
        <v>44.58</v>
      </c>
      <c r="R123" s="241">
        <v>47.82</v>
      </c>
      <c r="S123" s="241">
        <v>18.43</v>
      </c>
      <c r="T123" s="241">
        <v>52.45</v>
      </c>
      <c r="U123" s="241">
        <v>34.950000000000003</v>
      </c>
      <c r="V123" s="241">
        <v>50.16</v>
      </c>
    </row>
    <row r="124" spans="1:22" s="93" customFormat="1" x14ac:dyDescent="0.25"/>
    <row r="125" spans="1:22" s="93" customFormat="1" ht="14.25" thickBot="1" x14ac:dyDescent="0.3">
      <c r="B125" s="262">
        <v>2012</v>
      </c>
      <c r="C125" s="263">
        <v>2013</v>
      </c>
      <c r="D125" s="263">
        <v>2014</v>
      </c>
      <c r="E125" s="263">
        <v>2015</v>
      </c>
      <c r="F125" s="264">
        <v>2016</v>
      </c>
    </row>
    <row r="126" spans="1:22" s="93" customFormat="1" ht="14.25" thickBot="1" x14ac:dyDescent="0.3">
      <c r="A126" s="224" t="s">
        <v>40</v>
      </c>
      <c r="B126" s="228"/>
      <c r="C126" s="228"/>
      <c r="D126" s="228"/>
      <c r="E126" s="228"/>
      <c r="F126" s="228"/>
    </row>
    <row r="127" spans="1:22" s="93" customFormat="1" ht="14.25" thickBot="1" x14ac:dyDescent="0.3">
      <c r="A127" s="225" t="s">
        <v>19</v>
      </c>
      <c r="B127" s="265">
        <v>50.4</v>
      </c>
      <c r="C127" s="265">
        <v>49.08</v>
      </c>
      <c r="D127" s="265">
        <v>58.39</v>
      </c>
      <c r="E127" s="265">
        <v>58.29</v>
      </c>
      <c r="F127" s="265">
        <v>50.7</v>
      </c>
    </row>
    <row r="128" spans="1:22" s="93" customFormat="1" ht="14.25" thickBot="1" x14ac:dyDescent="0.3">
      <c r="A128" s="224" t="s">
        <v>41</v>
      </c>
      <c r="B128" s="246">
        <v>50.4</v>
      </c>
      <c r="C128" s="246">
        <v>49.08</v>
      </c>
      <c r="D128" s="246">
        <v>58.39</v>
      </c>
      <c r="E128" s="246">
        <v>58.29</v>
      </c>
      <c r="F128" s="246">
        <v>50.7</v>
      </c>
    </row>
    <row r="129" spans="1:24" s="93" customFormat="1" ht="14.25" thickBot="1" x14ac:dyDescent="0.3">
      <c r="A129" s="225" t="s">
        <v>13</v>
      </c>
      <c r="B129" s="241">
        <v>42.03</v>
      </c>
      <c r="C129" s="241">
        <v>40.89</v>
      </c>
      <c r="D129" s="241">
        <v>49.98</v>
      </c>
      <c r="E129" s="241">
        <v>48.6</v>
      </c>
      <c r="F129" s="241">
        <v>40.76</v>
      </c>
    </row>
    <row r="130" spans="1:24" s="93" customFormat="1" x14ac:dyDescent="0.25"/>
    <row r="131" spans="1:24" s="93" customFormat="1" x14ac:dyDescent="0.25">
      <c r="B131" s="238">
        <v>20121</v>
      </c>
      <c r="C131" s="239">
        <v>20122</v>
      </c>
      <c r="D131" s="239">
        <v>20123</v>
      </c>
      <c r="E131" s="239">
        <v>20124</v>
      </c>
      <c r="F131" s="239">
        <v>20131</v>
      </c>
      <c r="G131" s="239">
        <v>20132</v>
      </c>
      <c r="H131" s="239">
        <v>20133</v>
      </c>
      <c r="I131" s="239">
        <v>20134</v>
      </c>
      <c r="J131" s="239">
        <v>20141</v>
      </c>
      <c r="K131" s="239">
        <v>20142</v>
      </c>
      <c r="L131" s="239">
        <v>20143</v>
      </c>
      <c r="M131" s="239">
        <v>20144</v>
      </c>
      <c r="N131" s="239">
        <v>20151</v>
      </c>
      <c r="O131" s="239">
        <v>20152</v>
      </c>
      <c r="P131" s="239">
        <v>20153</v>
      </c>
      <c r="Q131" s="239">
        <v>20154</v>
      </c>
      <c r="R131" s="239">
        <v>20161</v>
      </c>
      <c r="S131" s="239">
        <v>20162</v>
      </c>
      <c r="T131" s="239">
        <v>20163</v>
      </c>
      <c r="U131" s="239">
        <v>20164</v>
      </c>
      <c r="V131" s="240">
        <v>20171</v>
      </c>
    </row>
    <row r="132" spans="1:24" s="93" customFormat="1" x14ac:dyDescent="0.25">
      <c r="A132" s="222" t="s">
        <v>11</v>
      </c>
      <c r="B132" s="241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</row>
    <row r="133" spans="1:24" s="93" customFormat="1" ht="14.25" thickBot="1" x14ac:dyDescent="0.3"/>
    <row r="134" spans="1:24" s="93" customFormat="1" ht="14.25" thickBot="1" x14ac:dyDescent="0.3">
      <c r="B134" s="238">
        <v>20121</v>
      </c>
      <c r="C134" s="239">
        <v>20122</v>
      </c>
      <c r="D134" s="239">
        <v>20123</v>
      </c>
      <c r="E134" s="239">
        <v>20124</v>
      </c>
      <c r="F134" s="239">
        <v>20131</v>
      </c>
      <c r="G134" s="239">
        <v>20132</v>
      </c>
      <c r="H134" s="239">
        <v>20133</v>
      </c>
      <c r="I134" s="239">
        <v>20134</v>
      </c>
      <c r="J134" s="239">
        <v>20141</v>
      </c>
      <c r="K134" s="239">
        <v>20142</v>
      </c>
      <c r="L134" s="239">
        <v>20143</v>
      </c>
      <c r="M134" s="239">
        <v>20144</v>
      </c>
      <c r="N134" s="239">
        <v>20151</v>
      </c>
      <c r="O134" s="239">
        <v>20152</v>
      </c>
      <c r="P134" s="239">
        <v>20153</v>
      </c>
      <c r="Q134" s="239">
        <v>20154</v>
      </c>
      <c r="R134" s="239">
        <v>20161</v>
      </c>
      <c r="S134" s="239">
        <v>20162</v>
      </c>
      <c r="T134" s="239">
        <v>20163</v>
      </c>
      <c r="U134" s="239">
        <v>20164</v>
      </c>
      <c r="V134" s="240">
        <v>20171</v>
      </c>
      <c r="W134" s="70">
        <v>20162</v>
      </c>
      <c r="X134" s="71">
        <v>20163</v>
      </c>
    </row>
    <row r="135" spans="1:24" s="93" customFormat="1" ht="14.25" thickBot="1" x14ac:dyDescent="0.3">
      <c r="A135" s="224" t="s">
        <v>48</v>
      </c>
      <c r="B135" s="244">
        <v>0.37</v>
      </c>
      <c r="C135" s="244">
        <v>0.35</v>
      </c>
      <c r="D135" s="244">
        <v>0.32</v>
      </c>
      <c r="E135" s="244">
        <v>0.26</v>
      </c>
      <c r="F135" s="244">
        <v>0.33</v>
      </c>
      <c r="G135" s="244">
        <v>0.31</v>
      </c>
      <c r="H135" s="244">
        <v>0.36</v>
      </c>
      <c r="I135" s="244">
        <v>0.26</v>
      </c>
      <c r="J135" s="244">
        <v>0.39</v>
      </c>
      <c r="K135" s="244">
        <v>0.39</v>
      </c>
      <c r="L135" s="244">
        <v>0.38</v>
      </c>
      <c r="M135" s="244">
        <v>0.33</v>
      </c>
      <c r="N135" s="244">
        <v>0.38</v>
      </c>
      <c r="O135" s="244">
        <v>0.33</v>
      </c>
      <c r="P135" s="244">
        <v>0.32</v>
      </c>
      <c r="Q135" s="244">
        <v>0.35</v>
      </c>
      <c r="R135" s="244">
        <v>0.34</v>
      </c>
      <c r="S135" s="244">
        <v>0.11</v>
      </c>
      <c r="T135" s="244">
        <v>0.35</v>
      </c>
      <c r="U135" s="244">
        <v>0.25</v>
      </c>
      <c r="V135" s="244">
        <v>0.35</v>
      </c>
      <c r="W135" s="68">
        <v>0.17</v>
      </c>
      <c r="X135" s="68">
        <v>0.19</v>
      </c>
    </row>
    <row r="136" spans="1:24" s="93" customFormat="1" ht="14.25" thickBot="1" x14ac:dyDescent="0.3">
      <c r="A136" s="225" t="s">
        <v>45</v>
      </c>
      <c r="B136" s="247">
        <v>3.22</v>
      </c>
      <c r="C136" s="247">
        <v>2.9</v>
      </c>
      <c r="D136" s="247">
        <v>2.42</v>
      </c>
      <c r="E136" s="247">
        <v>1.77</v>
      </c>
      <c r="F136" s="247">
        <v>2.86</v>
      </c>
      <c r="G136" s="247">
        <v>2.68</v>
      </c>
      <c r="H136" s="247">
        <v>2.97</v>
      </c>
      <c r="I136" s="247">
        <v>1.87</v>
      </c>
      <c r="J136" s="247">
        <v>3.27</v>
      </c>
      <c r="K136" s="247">
        <v>3.25</v>
      </c>
      <c r="L136" s="247">
        <v>3.08</v>
      </c>
      <c r="M136" s="247">
        <v>2.5</v>
      </c>
      <c r="N136" s="247">
        <v>3.1</v>
      </c>
      <c r="O136" s="247">
        <v>2.77</v>
      </c>
      <c r="P136" s="247">
        <v>2.39</v>
      </c>
      <c r="Q136" s="247">
        <v>2.75</v>
      </c>
      <c r="R136" s="247">
        <v>2.57</v>
      </c>
      <c r="S136" s="247">
        <v>0.61</v>
      </c>
      <c r="T136" s="247">
        <v>2.86</v>
      </c>
      <c r="U136" s="247">
        <v>1.64</v>
      </c>
      <c r="V136" s="247">
        <v>2.5</v>
      </c>
      <c r="W136" s="73">
        <v>2.29</v>
      </c>
      <c r="X136" s="73">
        <v>2.48</v>
      </c>
    </row>
    <row r="137" spans="1:24" s="93" customFormat="1" x14ac:dyDescent="0.25"/>
    <row r="138" spans="1:24" s="93" customFormat="1" ht="14.25" thickBot="1" x14ac:dyDescent="0.3">
      <c r="B138" s="238">
        <v>2012</v>
      </c>
      <c r="C138" s="239">
        <v>2013</v>
      </c>
      <c r="D138" s="239">
        <v>2014</v>
      </c>
      <c r="E138" s="239">
        <v>2015</v>
      </c>
      <c r="F138" s="240">
        <v>2016</v>
      </c>
    </row>
    <row r="139" spans="1:24" s="93" customFormat="1" ht="14.25" thickBot="1" x14ac:dyDescent="0.3">
      <c r="A139" s="224" t="s">
        <v>13</v>
      </c>
      <c r="B139" s="244">
        <v>42.03</v>
      </c>
      <c r="C139" s="244">
        <v>40.89</v>
      </c>
      <c r="D139" s="244">
        <v>49.98</v>
      </c>
      <c r="E139" s="244">
        <v>48.6</v>
      </c>
      <c r="F139" s="244">
        <v>40.76</v>
      </c>
    </row>
    <row r="140" spans="1:24" s="93" customFormat="1" ht="14.25" thickBot="1" x14ac:dyDescent="0.3">
      <c r="A140" s="225" t="s">
        <v>18</v>
      </c>
      <c r="B140" s="246">
        <v>0.02</v>
      </c>
      <c r="C140" s="246">
        <v>0.02</v>
      </c>
      <c r="D140" s="246">
        <v>0.02</v>
      </c>
      <c r="E140" s="246">
        <v>0.02</v>
      </c>
      <c r="F140" s="246">
        <v>0.02</v>
      </c>
    </row>
    <row r="141" spans="1:24" s="93" customFormat="1" ht="14.25" thickBot="1" x14ac:dyDescent="0.3">
      <c r="A141" s="224" t="s">
        <v>15</v>
      </c>
      <c r="B141" s="244">
        <v>12.73</v>
      </c>
      <c r="C141" s="244">
        <v>12.89</v>
      </c>
      <c r="D141" s="244">
        <v>12.52</v>
      </c>
      <c r="E141" s="244">
        <v>11.58</v>
      </c>
      <c r="F141" s="244">
        <v>11.37</v>
      </c>
    </row>
    <row r="142" spans="1:24" s="93" customFormat="1" ht="14.25" thickBot="1" x14ac:dyDescent="0.3">
      <c r="A142" s="225" t="s">
        <v>45</v>
      </c>
      <c r="B142" s="247">
        <v>10.33</v>
      </c>
      <c r="C142" s="247">
        <v>9.8699999999999992</v>
      </c>
      <c r="D142" s="247">
        <v>12.03</v>
      </c>
      <c r="E142" s="247">
        <v>10.56</v>
      </c>
      <c r="F142" s="247">
        <v>7.67</v>
      </c>
    </row>
    <row r="144" spans="1:24" x14ac:dyDescent="0.25">
      <c r="B144" s="238">
        <v>2012</v>
      </c>
      <c r="C144" s="239">
        <v>2013</v>
      </c>
      <c r="D144" s="239">
        <v>2014</v>
      </c>
      <c r="E144" s="239">
        <v>2015</v>
      </c>
      <c r="F144" s="240">
        <v>2016</v>
      </c>
    </row>
    <row r="145" spans="1:76" x14ac:dyDescent="0.25">
      <c r="A145" s="222" t="s">
        <v>12</v>
      </c>
      <c r="B145" s="241">
        <v>-34.79</v>
      </c>
      <c r="C145" s="241">
        <v>455.41</v>
      </c>
      <c r="D145" s="241">
        <v>268.12</v>
      </c>
      <c r="E145" s="241">
        <v>149.30000000000001</v>
      </c>
      <c r="F145" s="241">
        <v>70.78</v>
      </c>
    </row>
    <row r="146" spans="1:76" ht="14.25" thickBot="1" x14ac:dyDescent="0.3">
      <c r="A146" s="232"/>
    </row>
    <row r="147" spans="1:76" ht="14.25" thickBot="1" x14ac:dyDescent="0.3">
      <c r="B147" s="238">
        <v>201201</v>
      </c>
      <c r="C147" s="239">
        <v>201202</v>
      </c>
      <c r="D147" s="239">
        <v>201203</v>
      </c>
      <c r="E147" s="239">
        <v>201204</v>
      </c>
      <c r="F147" s="239">
        <v>201205</v>
      </c>
      <c r="G147" s="239">
        <v>201206</v>
      </c>
      <c r="H147" s="239">
        <v>201207</v>
      </c>
      <c r="I147" s="239">
        <v>201208</v>
      </c>
      <c r="J147" s="239">
        <v>201209</v>
      </c>
      <c r="K147" s="239">
        <v>201210</v>
      </c>
      <c r="L147" s="239">
        <v>201211</v>
      </c>
      <c r="M147" s="239">
        <v>201212</v>
      </c>
      <c r="N147" s="239">
        <v>201301</v>
      </c>
      <c r="O147" s="239">
        <v>201302</v>
      </c>
      <c r="P147" s="239">
        <v>201303</v>
      </c>
      <c r="Q147" s="239">
        <v>201304</v>
      </c>
      <c r="R147" s="239">
        <v>201305</v>
      </c>
      <c r="S147" s="239">
        <v>201306</v>
      </c>
      <c r="T147" s="239">
        <v>201307</v>
      </c>
      <c r="U147" s="239">
        <v>201308</v>
      </c>
      <c r="V147" s="239">
        <v>201309</v>
      </c>
      <c r="W147" s="239">
        <v>201310</v>
      </c>
      <c r="X147" s="239">
        <v>201311</v>
      </c>
      <c r="Y147" s="239">
        <v>201312</v>
      </c>
      <c r="Z147" s="239">
        <v>201401</v>
      </c>
      <c r="AA147" s="239">
        <v>201402</v>
      </c>
      <c r="AB147" s="239">
        <v>201403</v>
      </c>
      <c r="AC147" s="239">
        <v>201404</v>
      </c>
      <c r="AD147" s="239">
        <v>201405</v>
      </c>
      <c r="AE147" s="239">
        <v>201406</v>
      </c>
      <c r="AF147" s="239">
        <v>201407</v>
      </c>
      <c r="AG147" s="239">
        <v>201408</v>
      </c>
      <c r="AH147" s="239">
        <v>201409</v>
      </c>
      <c r="AI147" s="239">
        <v>201410</v>
      </c>
      <c r="AJ147" s="239">
        <v>201411</v>
      </c>
      <c r="AK147" s="239">
        <v>201412</v>
      </c>
      <c r="AL147" s="239">
        <v>201501</v>
      </c>
      <c r="AM147" s="239">
        <v>201502</v>
      </c>
      <c r="AN147" s="239">
        <v>201503</v>
      </c>
      <c r="AO147" s="239">
        <v>201504</v>
      </c>
      <c r="AP147" s="239">
        <v>201505</v>
      </c>
      <c r="AQ147" s="239">
        <v>201506</v>
      </c>
      <c r="AR147" s="239">
        <v>201507</v>
      </c>
      <c r="AS147" s="239">
        <v>201508</v>
      </c>
      <c r="AT147" s="239">
        <v>201509</v>
      </c>
      <c r="AU147" s="239">
        <v>201510</v>
      </c>
      <c r="AV147" s="239">
        <v>201511</v>
      </c>
      <c r="AW147" s="239">
        <v>201512</v>
      </c>
      <c r="AX147" s="239">
        <v>201601</v>
      </c>
      <c r="AY147" s="239">
        <v>201602</v>
      </c>
      <c r="AZ147" s="239">
        <v>201603</v>
      </c>
      <c r="BA147" s="239">
        <v>201604</v>
      </c>
      <c r="BB147" s="239">
        <v>201605</v>
      </c>
      <c r="BC147" s="239">
        <v>201606</v>
      </c>
      <c r="BD147" s="239">
        <v>201607</v>
      </c>
      <c r="BE147" s="239">
        <v>201608</v>
      </c>
      <c r="BF147" s="239">
        <v>201609</v>
      </c>
      <c r="BG147" s="239">
        <v>201610</v>
      </c>
      <c r="BH147" s="239">
        <v>201611</v>
      </c>
      <c r="BI147" s="239">
        <v>201612</v>
      </c>
      <c r="BJ147" s="239">
        <v>201701</v>
      </c>
      <c r="BK147" s="239">
        <v>201702</v>
      </c>
      <c r="BL147" s="239">
        <v>201703</v>
      </c>
      <c r="BM147" s="239">
        <v>201704</v>
      </c>
      <c r="BN147" s="240" t="s">
        <v>44</v>
      </c>
      <c r="BO147" s="70">
        <v>201606</v>
      </c>
      <c r="BP147" s="70">
        <v>201607</v>
      </c>
      <c r="BQ147" s="70">
        <v>201608</v>
      </c>
      <c r="BR147" s="70">
        <v>201609</v>
      </c>
      <c r="BS147" s="70">
        <v>201610</v>
      </c>
      <c r="BT147" s="70">
        <v>201611</v>
      </c>
      <c r="BU147" s="70">
        <v>201612</v>
      </c>
      <c r="BV147" s="70">
        <v>201701</v>
      </c>
      <c r="BW147" s="70">
        <v>201702</v>
      </c>
      <c r="BX147" s="71" t="s">
        <v>44</v>
      </c>
    </row>
    <row r="148" spans="1:76" ht="14.25" thickBot="1" x14ac:dyDescent="0.3">
      <c r="A148" s="222" t="s">
        <v>2</v>
      </c>
      <c r="B148" s="241">
        <v>12.86</v>
      </c>
      <c r="C148" s="241">
        <v>14.11</v>
      </c>
      <c r="D148" s="241">
        <v>13.74</v>
      </c>
      <c r="E148" s="241">
        <v>13.8</v>
      </c>
      <c r="F148" s="241">
        <v>12.28</v>
      </c>
      <c r="G148" s="241">
        <v>12.11</v>
      </c>
      <c r="H148" s="241">
        <v>13.25</v>
      </c>
      <c r="I148" s="241">
        <v>12.47</v>
      </c>
      <c r="J148" s="241">
        <v>12.15</v>
      </c>
      <c r="K148" s="241">
        <v>11.82</v>
      </c>
      <c r="L148" s="241">
        <v>11.64</v>
      </c>
      <c r="M148" s="241">
        <v>12.3</v>
      </c>
      <c r="N148" s="241">
        <v>12.59</v>
      </c>
      <c r="O148" s="241">
        <v>13.49</v>
      </c>
      <c r="P148" s="241">
        <v>13.36</v>
      </c>
      <c r="Q148" s="241">
        <v>12.38</v>
      </c>
      <c r="R148" s="241">
        <v>12.94</v>
      </c>
      <c r="S148" s="241">
        <v>12.4</v>
      </c>
      <c r="T148" s="241">
        <v>13.29</v>
      </c>
      <c r="U148" s="241">
        <v>12.97</v>
      </c>
      <c r="V148" s="241">
        <v>13.16</v>
      </c>
      <c r="W148" s="241">
        <v>13.78</v>
      </c>
      <c r="X148" s="241">
        <v>12.61</v>
      </c>
      <c r="Y148" s="241">
        <v>12.92</v>
      </c>
      <c r="Z148" s="241">
        <v>12.89</v>
      </c>
      <c r="AA148" s="241">
        <v>12.55</v>
      </c>
      <c r="AB148" s="241">
        <v>11.94</v>
      </c>
      <c r="AC148" s="241">
        <v>12</v>
      </c>
      <c r="AD148" s="241">
        <v>12.11</v>
      </c>
      <c r="AE148" s="241">
        <v>12.62</v>
      </c>
      <c r="AF148" s="241">
        <v>13.08</v>
      </c>
      <c r="AG148" s="241">
        <v>13.07</v>
      </c>
      <c r="AH148" s="241">
        <v>11.82</v>
      </c>
      <c r="AI148" s="241">
        <v>11.51</v>
      </c>
      <c r="AJ148" s="241">
        <v>11.05</v>
      </c>
      <c r="AK148" s="241">
        <v>10.67</v>
      </c>
      <c r="AL148" s="241">
        <v>10.54</v>
      </c>
      <c r="AM148" s="241">
        <v>10.85</v>
      </c>
      <c r="AN148" s="241">
        <v>10.36</v>
      </c>
      <c r="AO148" s="241">
        <v>10.97</v>
      </c>
      <c r="AP148" s="241">
        <v>11.13</v>
      </c>
      <c r="AQ148" s="241">
        <v>11.29</v>
      </c>
      <c r="AR148" s="241">
        <v>11.07</v>
      </c>
      <c r="AS148" s="241">
        <v>10.27</v>
      </c>
      <c r="AT148" s="241">
        <v>9.82</v>
      </c>
      <c r="AU148" s="241">
        <v>9.7200000000000006</v>
      </c>
      <c r="AV148" s="241">
        <v>10.039999999999999</v>
      </c>
      <c r="AW148" s="241">
        <v>9.5500000000000007</v>
      </c>
      <c r="AX148" s="241">
        <v>8.92</v>
      </c>
      <c r="AY148" s="241">
        <v>9.57</v>
      </c>
      <c r="AZ148" s="241">
        <v>9.68</v>
      </c>
      <c r="BA148" s="241">
        <v>9.7100000000000009</v>
      </c>
      <c r="BB148" s="241">
        <v>10.97</v>
      </c>
      <c r="BC148" s="241">
        <v>11.48</v>
      </c>
      <c r="BD148" s="241">
        <v>11.66</v>
      </c>
      <c r="BE148" s="241">
        <v>14.1</v>
      </c>
      <c r="BF148" s="241">
        <v>13.04</v>
      </c>
      <c r="BG148" s="241">
        <v>12.83</v>
      </c>
      <c r="BH148" s="241">
        <v>12.07</v>
      </c>
      <c r="BI148" s="241">
        <v>12.36</v>
      </c>
      <c r="BJ148" s="241">
        <v>12.51</v>
      </c>
      <c r="BK148" s="241">
        <v>12.65</v>
      </c>
      <c r="BL148" s="241">
        <v>14.58</v>
      </c>
      <c r="BM148" s="241">
        <v>14.64</v>
      </c>
      <c r="BN148" s="241">
        <v>14.97</v>
      </c>
      <c r="BO148" s="72">
        <v>14.18</v>
      </c>
      <c r="BP148" s="72">
        <v>13.24</v>
      </c>
      <c r="BQ148" s="72">
        <v>12.88</v>
      </c>
      <c r="BR148" s="72">
        <v>11.91</v>
      </c>
      <c r="BS148" s="72">
        <v>11.73</v>
      </c>
      <c r="BT148" s="72">
        <v>12.19</v>
      </c>
      <c r="BU148" s="72">
        <v>12.48</v>
      </c>
      <c r="BV148" s="72">
        <v>12.65</v>
      </c>
      <c r="BW148" s="72">
        <v>12.78</v>
      </c>
      <c r="BX148" s="72">
        <v>13.04</v>
      </c>
    </row>
  </sheetData>
  <phoneticPr fontId="3" type="noConversion"/>
  <conditionalFormatting sqref="E4">
    <cfRule type="cellIs" dxfId="5171" priority="166" operator="greaterThan">
      <formula>0.2</formula>
    </cfRule>
    <cfRule type="cellIs" dxfId="5170" priority="167" operator="greaterThan">
      <formula>0.1</formula>
    </cfRule>
  </conditionalFormatting>
  <conditionalFormatting sqref="B6">
    <cfRule type="iconSet" priority="165">
      <iconSet>
        <cfvo type="percent" val="0"/>
        <cfvo type="num" val="40"/>
        <cfvo type="num" val="70"/>
      </iconSet>
    </cfRule>
  </conditionalFormatting>
  <conditionalFormatting sqref="B60">
    <cfRule type="cellIs" dxfId="5169" priority="162" operator="lessThan">
      <formula>0</formula>
    </cfRule>
  </conditionalFormatting>
  <conditionalFormatting sqref="B59:M59">
    <cfRule type="cellIs" dxfId="5168" priority="161" operator="lessThanOrEqual">
      <formula>0</formula>
    </cfRule>
  </conditionalFormatting>
  <conditionalFormatting sqref="B30">
    <cfRule type="colorScale" priority="156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155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154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167" priority="153" operator="greaterThan">
      <formula>$B$19</formula>
    </cfRule>
  </conditionalFormatting>
  <conditionalFormatting sqref="D33:D34">
    <cfRule type="cellIs" dxfId="5166" priority="152" operator="lessThan">
      <formula>1</formula>
    </cfRule>
  </conditionalFormatting>
  <conditionalFormatting sqref="B3">
    <cfRule type="iconSet" priority="146">
      <iconSet>
        <cfvo type="percent" val="0"/>
        <cfvo type="num" val="70"/>
        <cfvo type="num" val="85"/>
      </iconSet>
    </cfRule>
  </conditionalFormatting>
  <conditionalFormatting sqref="B5">
    <cfRule type="iconSet" priority="147">
      <iconSet>
        <cfvo type="percent" val="0"/>
        <cfvo type="num" val="80"/>
        <cfvo type="num" val="90"/>
      </iconSet>
    </cfRule>
  </conditionalFormatting>
  <conditionalFormatting sqref="B4">
    <cfRule type="iconSet" priority="148">
      <iconSet>
        <cfvo type="percent" val="0"/>
        <cfvo type="num" val="70"/>
        <cfvo type="num" val="85"/>
      </iconSet>
    </cfRule>
  </conditionalFormatting>
  <conditionalFormatting sqref="G25">
    <cfRule type="cellIs" dxfId="5165" priority="132" operator="lessThan">
      <formula>0</formula>
    </cfRule>
  </conditionalFormatting>
  <conditionalFormatting sqref="D25">
    <cfRule type="cellIs" dxfId="5164" priority="128" operator="lessThan">
      <formula>0</formula>
    </cfRule>
  </conditionalFormatting>
  <conditionalFormatting sqref="D19:D20 D22">
    <cfRule type="colorScale" priority="14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14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14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14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163" priority="139" operator="lessThan">
      <formula>0</formula>
    </cfRule>
  </conditionalFormatting>
  <conditionalFormatting sqref="D21">
    <cfRule type="colorScale" priority="13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136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A25 E25 C25">
    <cfRule type="cellIs" dxfId="5162" priority="129" operator="lessThan">
      <formula>0</formula>
    </cfRule>
  </conditionalFormatting>
  <conditionalFormatting sqref="D62">
    <cfRule type="cellIs" dxfId="5161" priority="125" operator="lessThan">
      <formula>$E$62</formula>
    </cfRule>
    <cfRule type="cellIs" dxfId="5160" priority="126" operator="greaterThan">
      <formula>$E$62</formula>
    </cfRule>
  </conditionalFormatting>
  <conditionalFormatting sqref="G62">
    <cfRule type="cellIs" dxfId="5159" priority="123" operator="lessThan">
      <formula>$H$62</formula>
    </cfRule>
    <cfRule type="cellIs" dxfId="5158" priority="124" operator="greaterThan">
      <formula>$H$62</formula>
    </cfRule>
  </conditionalFormatting>
  <conditionalFormatting sqref="J62">
    <cfRule type="cellIs" dxfId="5157" priority="121" operator="lessThan">
      <formula>$K$62</formula>
    </cfRule>
    <cfRule type="cellIs" dxfId="5156" priority="122" operator="greaterThan">
      <formula>$K$62</formula>
    </cfRule>
  </conditionalFormatting>
  <conditionalFormatting sqref="M62">
    <cfRule type="cellIs" dxfId="5155" priority="119" operator="lessThan">
      <formula>$N$62</formula>
    </cfRule>
    <cfRule type="cellIs" dxfId="5154" priority="120" operator="greaterThan">
      <formula>$N$62</formula>
    </cfRule>
  </conditionalFormatting>
  <conditionalFormatting sqref="B44:E44">
    <cfRule type="cellIs" dxfId="5153" priority="94" operator="greaterThan">
      <formula>0</formula>
    </cfRule>
    <cfRule type="cellIs" dxfId="5152" priority="95" operator="lessThan">
      <formula>0</formula>
    </cfRule>
  </conditionalFormatting>
  <conditionalFormatting sqref="F69">
    <cfRule type="cellIs" dxfId="5151" priority="92" operator="lessThan">
      <formula>0</formula>
    </cfRule>
  </conditionalFormatting>
  <conditionalFormatting sqref="B65:E67 B69:E69 B68:D68">
    <cfRule type="cellIs" dxfId="5150" priority="93" operator="lessThan">
      <formula>0</formula>
    </cfRule>
  </conditionalFormatting>
  <conditionalFormatting sqref="M65">
    <cfRule type="cellIs" dxfId="5149" priority="89" operator="lessThan">
      <formula>$L$65*90%</formula>
    </cfRule>
  </conditionalFormatting>
  <conditionalFormatting sqref="M66">
    <cfRule type="cellIs" dxfId="5148" priority="88" operator="lessThan">
      <formula>$L$66*90%</formula>
    </cfRule>
  </conditionalFormatting>
  <conditionalFormatting sqref="M67">
    <cfRule type="cellIs" dxfId="5147" priority="87" operator="lessThan">
      <formula>$L$67*90%</formula>
    </cfRule>
  </conditionalFormatting>
  <conditionalFormatting sqref="M68">
    <cfRule type="cellIs" dxfId="5146" priority="86" operator="lessThan">
      <formula>$L$68*90%</formula>
    </cfRule>
  </conditionalFormatting>
  <conditionalFormatting sqref="F72">
    <cfRule type="cellIs" dxfId="5145" priority="85" operator="lessThan">
      <formula>$E$72*90%</formula>
    </cfRule>
  </conditionalFormatting>
  <conditionalFormatting sqref="F73">
    <cfRule type="cellIs" dxfId="5144" priority="84" operator="lessThan">
      <formula>$E$73*90%</formula>
    </cfRule>
  </conditionalFormatting>
  <conditionalFormatting sqref="F74">
    <cfRule type="cellIs" dxfId="5143" priority="83" operator="lessThan">
      <formula>$E$74*90%</formula>
    </cfRule>
  </conditionalFormatting>
  <conditionalFormatting sqref="F75">
    <cfRule type="cellIs" dxfId="5142" priority="82" operator="lessThan">
      <formula>$E$75*90%</formula>
    </cfRule>
  </conditionalFormatting>
  <conditionalFormatting sqref="F65:F68 E68">
    <cfRule type="cellIs" dxfId="5141" priority="81" operator="lessThan">
      <formula>0</formula>
    </cfRule>
  </conditionalFormatting>
  <conditionalFormatting sqref="F65">
    <cfRule type="cellIs" dxfId="5140" priority="80" operator="lessThan">
      <formula>$E$65*90%</formula>
    </cfRule>
  </conditionalFormatting>
  <conditionalFormatting sqref="F66">
    <cfRule type="cellIs" dxfId="5139" priority="79" operator="lessThan">
      <formula>$E$66*90%</formula>
    </cfRule>
  </conditionalFormatting>
  <conditionalFormatting sqref="F67">
    <cfRule type="cellIs" dxfId="5138" priority="78" operator="lessThan">
      <formula>$E$67*90%</formula>
    </cfRule>
  </conditionalFormatting>
  <conditionalFormatting sqref="F65:F67 E68:F68">
    <cfRule type="cellIs" dxfId="5137" priority="77" operator="lessThan">
      <formula>$E$68*90%</formula>
    </cfRule>
  </conditionalFormatting>
  <conditionalFormatting sqref="H44:K44">
    <cfRule type="cellIs" dxfId="5136" priority="69" operator="greaterThan">
      <formula>0</formula>
    </cfRule>
    <cfRule type="cellIs" dxfId="5135" priority="70" operator="lessThan">
      <formula>0</formula>
    </cfRule>
  </conditionalFormatting>
  <conditionalFormatting sqref="H51:K51">
    <cfRule type="cellIs" dxfId="5134" priority="67" operator="greaterThan">
      <formula>0</formula>
    </cfRule>
    <cfRule type="cellIs" dxfId="5133" priority="68" operator="lessThan">
      <formula>0</formula>
    </cfRule>
  </conditionalFormatting>
  <conditionalFormatting sqref="B51:E51">
    <cfRule type="cellIs" dxfId="5132" priority="64" operator="greaterThan">
      <formula>0</formula>
    </cfRule>
    <cfRule type="cellIs" dxfId="5131" priority="65" operator="lessThan">
      <formula>0</formula>
    </cfRule>
  </conditionalFormatting>
  <conditionalFormatting sqref="B25">
    <cfRule type="colorScale" priority="61">
      <colorScale>
        <cfvo type="num" val="0"/>
        <cfvo type="num" val="0.15"/>
        <cfvo type="num" val="0.3"/>
        <color rgb="FF008000"/>
        <color rgb="FFFFFF00"/>
        <color rgb="FFFF0000"/>
      </colorScale>
    </cfRule>
  </conditionalFormatting>
  <conditionalFormatting sqref="B25">
    <cfRule type="cellIs" dxfId="5130" priority="60" operator="lessThan">
      <formula>0</formula>
    </cfRule>
  </conditionalFormatting>
  <conditionalFormatting sqref="F25">
    <cfRule type="cellIs" dxfId="5129" priority="59" operator="lessThan">
      <formula>0</formula>
    </cfRule>
  </conditionalFormatting>
  <conditionalFormatting sqref="E1">
    <cfRule type="containsText" dxfId="5128" priority="58" operator="containsText" text="本季業外損益/平均=-">
      <formula>NOT(ISERROR(SEARCH("本季業外損益/平均=-",E1)))</formula>
    </cfRule>
  </conditionalFormatting>
  <conditionalFormatting sqref="B13:F13">
    <cfRule type="cellIs" dxfId="5127" priority="38" operator="greaterThan">
      <formula>$I$16</formula>
    </cfRule>
    <cfRule type="cellIs" dxfId="5126" priority="39" operator="lessThanOrEqual">
      <formula>$I$16</formula>
    </cfRule>
  </conditionalFormatting>
  <conditionalFormatting sqref="B10:F10">
    <cfRule type="cellIs" dxfId="5125" priority="40" operator="greaterThan">
      <formula>15</formula>
    </cfRule>
    <cfRule type="cellIs" dxfId="5124" priority="51" operator="lessThan">
      <formula>$I$9</formula>
    </cfRule>
    <cfRule type="cellIs" dxfId="5123" priority="52" operator="greaterThan">
      <formula>$I$9</formula>
    </cfRule>
  </conditionalFormatting>
  <conditionalFormatting sqref="B16:F16">
    <cfRule type="cellIs" dxfId="5122" priority="49" operator="greaterThan">
      <formula>$I$16</formula>
    </cfRule>
    <cfRule type="cellIs" dxfId="5121" priority="50" operator="lessThanOrEqual">
      <formula>$I$16</formula>
    </cfRule>
  </conditionalFormatting>
  <conditionalFormatting sqref="B15:F15">
    <cfRule type="cellIs" dxfId="5120" priority="47" operator="lessThanOrEqual">
      <formula>$I$16</formula>
    </cfRule>
    <cfRule type="cellIs" dxfId="5119" priority="48" operator="greaterThan">
      <formula>$I$16</formula>
    </cfRule>
  </conditionalFormatting>
  <conditionalFormatting sqref="B14:F14">
    <cfRule type="cellIs" dxfId="5118" priority="45" operator="greaterThan">
      <formula>$I$16</formula>
    </cfRule>
    <cfRule type="cellIs" dxfId="5117" priority="46" operator="lessThanOrEqual">
      <formula>$I$16</formula>
    </cfRule>
  </conditionalFormatting>
  <conditionalFormatting sqref="K6">
    <cfRule type="containsText" dxfId="5116" priority="29" operator="containsText" text="衰退">
      <formula>NOT(ISERROR(SEARCH("衰退",K6)))</formula>
    </cfRule>
    <cfRule type="containsText" dxfId="5115" priority="30" operator="containsText" text="成長">
      <formula>NOT(ISERROR(SEARCH("成長",K6)))</formula>
    </cfRule>
  </conditionalFormatting>
  <conditionalFormatting sqref="I4:K4">
    <cfRule type="cellIs" dxfId="5114" priority="27" operator="lessThan">
      <formula>0</formula>
    </cfRule>
    <cfRule type="cellIs" dxfId="5113" priority="28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112" priority="22" operator="lessThanOrEqual">
      <formula>$I$16</formula>
    </cfRule>
    <cfRule type="cellIs" dxfId="5111" priority="23" operator="greaterThan">
      <formula>$I$16</formula>
    </cfRule>
  </conditionalFormatting>
  <conditionalFormatting sqref="I6">
    <cfRule type="containsText" dxfId="5110" priority="20" operator="containsText" text="衰退">
      <formula>NOT(ISERROR(SEARCH("衰退",I6)))</formula>
    </cfRule>
    <cfRule type="containsText" dxfId="5109" priority="21" operator="containsText" text="成長">
      <formula>NOT(ISERROR(SEARCH("成長",I6)))</formula>
    </cfRule>
  </conditionalFormatting>
  <conditionalFormatting sqref="M9">
    <cfRule type="cellIs" dxfId="5108" priority="19" operator="lessThan">
      <formula>$I$9</formula>
    </cfRule>
  </conditionalFormatting>
  <conditionalFormatting sqref="M10">
    <cfRule type="cellIs" dxfId="5107" priority="18" operator="greaterThan">
      <formula>$I$9</formula>
    </cfRule>
  </conditionalFormatting>
  <conditionalFormatting sqref="M11">
    <cfRule type="cellIs" dxfId="5106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105" priority="14" operator="lessThan">
      <formula>0</formula>
    </cfRule>
    <cfRule type="cellIs" dxfId="5104" priority="15" operator="greaterThan">
      <formula>0.5</formula>
    </cfRule>
  </conditionalFormatting>
  <conditionalFormatting sqref="N14">
    <cfRule type="cellIs" dxfId="5103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102" priority="10" operator="lessThan">
      <formula>0.1</formula>
    </cfRule>
  </conditionalFormatting>
  <conditionalFormatting sqref="I14">
    <cfRule type="cellIs" dxfId="5101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100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099" priority="1" operator="lessThan">
      <formula>$N$5*0.9</formula>
    </cfRule>
    <cfRule type="cellIs" dxfId="5098" priority="2" operator="greaterThan">
      <formula>$N$5*1.1</formula>
    </cfRule>
  </conditionalFormatting>
  <hyperlinks>
    <hyperlink ref="L1" location="儀表板!A1" display="(回首頁)" xr:uid="{00000000-0004-0000-2300-000000000000}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工作表80"/>
  <dimension ref="A1:BX148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20171</v>
      </c>
      <c r="D1" s="76">
        <f>MAX(78:78)</f>
        <v>201801</v>
      </c>
      <c r="E1" s="77"/>
      <c r="H1" s="79" t="s">
        <v>177</v>
      </c>
      <c r="I1" s="80"/>
      <c r="J1" s="81" t="s">
        <v>378</v>
      </c>
      <c r="K1" s="82" t="str">
        <f>MIN(123:123)&amp;" ~ "&amp;MAX(123:123)</f>
        <v>12.35 ~ 99.18</v>
      </c>
      <c r="L1" s="83" t="s">
        <v>176</v>
      </c>
      <c r="M1" s="84" t="str">
        <f ca="1">VLOOKUP(_xlfn.NUMBERVALUE(N1),儀表板!A:B,2,FALSE)</f>
        <v>第一金控</v>
      </c>
      <c r="N1" s="85" t="str">
        <f ca="1">MID(CELL("filename",L1),FIND("]",CELL("filename",L1))+1,255)</f>
        <v>2892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0.14424292229376462</v>
      </c>
    </row>
    <row r="3" spans="1:15" s="93" customFormat="1" x14ac:dyDescent="0.25">
      <c r="A3" s="81" t="s">
        <v>179</v>
      </c>
      <c r="B3" s="94">
        <f>SUM(F19:F22,F24:F27,J19)</f>
        <v>93.715086646279303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19.209252558197495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20.35512346473454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22.443154894424278</v>
      </c>
      <c r="L3" s="100"/>
      <c r="M3" s="79" t="s">
        <v>385</v>
      </c>
      <c r="N3" s="92">
        <f>(F69-E69)/E69</f>
        <v>0.12680988356690698</v>
      </c>
    </row>
    <row r="4" spans="1:15" s="93" customFormat="1" x14ac:dyDescent="0.25">
      <c r="A4" s="81" t="s">
        <v>182</v>
      </c>
      <c r="B4" s="96">
        <f>SUM(G36:G40)*2</f>
        <v>84</v>
      </c>
      <c r="C4" s="101"/>
      <c r="D4" s="102">
        <f>F4*(1+F115/10)</f>
        <v>1221.96</v>
      </c>
      <c r="E4" s="82">
        <f>(D4-F4)/F4</f>
        <v>2.0000000000000032E-2</v>
      </c>
      <c r="F4" s="103">
        <v>1198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1.6564105288433535</v>
      </c>
    </row>
    <row r="5" spans="1:15" s="93" customFormat="1" x14ac:dyDescent="0.25">
      <c r="A5" s="81" t="s">
        <v>184</v>
      </c>
      <c r="B5" s="107">
        <f>SUM(F30:F34)*2</f>
        <v>88.30193693693694</v>
      </c>
      <c r="C5" s="87"/>
      <c r="D5" s="87"/>
      <c r="E5" s="87"/>
      <c r="F5" s="86"/>
      <c r="G5" s="88"/>
      <c r="M5" s="79" t="s">
        <v>386</v>
      </c>
      <c r="N5" s="152">
        <f>D62</f>
        <v>1.44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連2季衰退</v>
      </c>
      <c r="L6" s="112"/>
      <c r="M6" s="79" t="s">
        <v>190</v>
      </c>
      <c r="N6" s="152">
        <f>A53</f>
        <v>1.6823387394202207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MAX(148:148)</f>
        <v>15.94</v>
      </c>
      <c r="N9" s="129"/>
    </row>
    <row r="10" spans="1:15" s="93" customFormat="1" x14ac:dyDescent="0.25">
      <c r="A10" s="123" t="s">
        <v>194</v>
      </c>
      <c r="B10" s="126">
        <f>PERCENTILE(148:148,B9)</f>
        <v>11.628</v>
      </c>
      <c r="C10" s="126">
        <f>PERCENTILE(148:148,C9)</f>
        <v>12.07</v>
      </c>
      <c r="D10" s="126">
        <f>PERCENTILE(148:148,D9)</f>
        <v>12.79</v>
      </c>
      <c r="E10" s="126">
        <f>PERCENTILE(148:148,E9)</f>
        <v>14.102</v>
      </c>
      <c r="F10" s="126">
        <f>PERCENTILE(148:148,F9)</f>
        <v>14.782</v>
      </c>
      <c r="G10" s="95"/>
      <c r="H10" s="135"/>
      <c r="I10" s="135"/>
      <c r="J10" s="135"/>
      <c r="K10" s="135"/>
      <c r="L10" s="136" t="s">
        <v>374</v>
      </c>
      <c r="M10" s="130">
        <f>MIN(148:148)</f>
        <v>10.17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16.149999999999999</v>
      </c>
      <c r="L11" s="272" t="s">
        <v>193</v>
      </c>
      <c r="M11" s="128">
        <f>STDEV(148:148)</f>
        <v>1.6248647677617427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11.729691876750701</v>
      </c>
      <c r="C13" s="141">
        <f>$B$34/5.88%</f>
        <v>14.243197278911564</v>
      </c>
      <c r="D13" s="141">
        <f>$B$34/5%</f>
        <v>16.749999999999996</v>
      </c>
      <c r="E13" s="141">
        <f>$B$34/4.35%</f>
        <v>19.25287356321839</v>
      </c>
      <c r="F13" s="141">
        <f>$B$34/3.85%</f>
        <v>21.753246753246753</v>
      </c>
      <c r="G13" s="138" t="str">
        <f>"$"&amp;ROUND(B34,2)&amp;"/"&amp;IF(STDEV(C114:F114)/AVERAGE(C114:F114)&lt;15%,"高",IF(STDEV(C114:F114)/AVERAGE(C114:F114)&lt;30%,"中","低"))</f>
        <v>$0.84/低</v>
      </c>
      <c r="H13" s="142" t="s">
        <v>199</v>
      </c>
      <c r="I13" s="143">
        <f>MAX(0,1-J15)</f>
        <v>0.18367346938775519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17.209440000000001</v>
      </c>
      <c r="C14" s="141">
        <f>$B$33*C10</f>
        <v>17.863600000000002</v>
      </c>
      <c r="D14" s="141">
        <f>$B$33*D10</f>
        <v>18.929199999999998</v>
      </c>
      <c r="E14" s="141">
        <f>$B$33*E10</f>
        <v>20.87096</v>
      </c>
      <c r="F14" s="141">
        <f>$B$33*F10</f>
        <v>21.877359999999999</v>
      </c>
      <c r="G14" s="138" t="str">
        <f>"$"&amp;ROUND(B33,2)&amp;"/"&amp;IF(STDEV(B69:E69)/AVERAGE(B69:E69)&lt;15%,"高",IF(STDEV(B69:E69)/AVERAGE(B69:E69)&lt;30%,"中","低"))</f>
        <v>$1.48/高</v>
      </c>
      <c r="H14" s="142" t="s">
        <v>203</v>
      </c>
      <c r="I14" s="145">
        <f>G62/100*I13</f>
        <v>1.6585714285714294E-2</v>
      </c>
      <c r="J14" s="76" t="s">
        <v>204</v>
      </c>
      <c r="K14" s="146"/>
      <c r="L14" s="147"/>
      <c r="M14" s="148">
        <f>E109/E69</f>
        <v>3.0340136054421762</v>
      </c>
      <c r="N14" s="149">
        <f>F145/100</f>
        <v>-1.3777000000000001</v>
      </c>
    </row>
    <row r="15" spans="1:15" s="93" customFormat="1" x14ac:dyDescent="0.25">
      <c r="A15" s="140" t="s">
        <v>375</v>
      </c>
      <c r="B15" s="141">
        <f>$D$62*B10</f>
        <v>16.744319999999998</v>
      </c>
      <c r="C15" s="141">
        <f>$D$62*C10</f>
        <v>17.380800000000001</v>
      </c>
      <c r="D15" s="141">
        <f>$D$62*D10</f>
        <v>18.417599999999997</v>
      </c>
      <c r="E15" s="141">
        <f>$D$62*E10</f>
        <v>20.30688</v>
      </c>
      <c r="F15" s="141">
        <f>$D$62*F10</f>
        <v>21.286079999999998</v>
      </c>
      <c r="G15" s="150"/>
      <c r="H15" s="142" t="s">
        <v>118</v>
      </c>
      <c r="I15" s="145" t="e">
        <f ca="1">D62*J15/I16</f>
        <v>#DIV/0!</v>
      </c>
      <c r="J15" s="92">
        <f>MIN(100%,HLOOKUP(MAX(113:113),113:116,4,FALSE))</f>
        <v>0.81632653061224481</v>
      </c>
      <c r="K15" s="78" t="str">
        <f>MAX(113:113)&amp;"配息率"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19.260741629390516</v>
      </c>
      <c r="C16" s="141">
        <f>$F$69*C10</f>
        <v>19.992875083139278</v>
      </c>
      <c r="D16" s="141">
        <f>$F$69*D10</f>
        <v>21.185490663906489</v>
      </c>
      <c r="E16" s="141">
        <f>$F$69*E10</f>
        <v>23.35870127774897</v>
      </c>
      <c r="F16" s="141">
        <f>$F$69*F10</f>
        <v>24.485060437362453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30971</v>
      </c>
      <c r="J17" s="92">
        <f ca="1">IF(I17&lt;=0,"",IF(I17&lt;=MIN($B$13:$F$16),(I17-MIN($B$13:$F$16))/MIN($B$13:$F$16),IF(I17&gt;=MAX($B$13:$F$16),I17/MAX($B$13:$F$16),PERCENTRANK($B$13:$F$16,I17))))</f>
        <v>1264.8937534473253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SUM(C109:F109)/4</f>
        <v>2.2600000000000002</v>
      </c>
      <c r="C19" s="157" t="s">
        <v>211</v>
      </c>
      <c r="D19" s="158">
        <f>COUNTIF(C109:F109,"&gt;0")/COUNT(C109:F109)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v>20</v>
      </c>
      <c r="K19" s="88" t="s">
        <v>215</v>
      </c>
    </row>
    <row r="20" spans="1:14" s="93" customFormat="1" x14ac:dyDescent="0.25">
      <c r="A20" s="155" t="s">
        <v>216</v>
      </c>
      <c r="B20" s="161">
        <f>SUM(C109:F109)/SUM(C114:F114)</f>
        <v>2.6985074626865679</v>
      </c>
      <c r="C20" s="157" t="s">
        <v>217</v>
      </c>
      <c r="D20" s="236">
        <f>COUNTIF(C117:F117,"&gt;=80%")/COUNT(C117:F117)</f>
        <v>0.75</v>
      </c>
      <c r="E20" s="140" t="s">
        <v>218</v>
      </c>
      <c r="F20" s="159">
        <f>IF(B20&gt;=80%,2,0)+D20*8</f>
        <v>8</v>
      </c>
      <c r="G20" s="88" t="s">
        <v>213</v>
      </c>
    </row>
    <row r="21" spans="1:14" s="93" customFormat="1" x14ac:dyDescent="0.25">
      <c r="A21" s="151" t="s">
        <v>201</v>
      </c>
      <c r="B21" s="161">
        <f>AVERAGE(C145:F145)/100</f>
        <v>1.7286250000000001</v>
      </c>
      <c r="C21" s="157" t="s">
        <v>217</v>
      </c>
      <c r="D21" s="158">
        <f>COUNTIF(C145:F145,"&gt;=80")/COUNT(C145:F145)</f>
        <v>0.75</v>
      </c>
      <c r="E21" s="140" t="s">
        <v>218</v>
      </c>
      <c r="F21" s="159">
        <f>MIN(100%,B21)*9+D21*6-COUNTIF(B106:E106,"&lt;=0")*4</f>
        <v>13.5</v>
      </c>
      <c r="G21" s="88" t="s">
        <v>220</v>
      </c>
    </row>
    <row r="22" spans="1:14" s="93" customFormat="1" x14ac:dyDescent="0.25">
      <c r="A22" s="140" t="s">
        <v>222</v>
      </c>
      <c r="B22" s="161">
        <f>(-1)*SUM(C107:F107)/SUM(C106:F106)</f>
        <v>7.8491335372069301E-2</v>
      </c>
      <c r="C22" s="157"/>
      <c r="D22" s="166"/>
      <c r="E22" s="140"/>
      <c r="F22" s="159">
        <f>IF(B22&lt;=0,10,IF(B22&gt;=100%,0,(1-B22)*10))</f>
        <v>9.2150866462793068</v>
      </c>
      <c r="G22" s="88" t="s">
        <v>213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</row>
    <row r="24" spans="1:14" s="93" customFormat="1" x14ac:dyDescent="0.25">
      <c r="A24" s="164" t="s">
        <v>228</v>
      </c>
      <c r="B24" s="127">
        <f>AVERAGE(C103:F103)</f>
        <v>1.0021236221929095</v>
      </c>
      <c r="C24" s="169">
        <f>STDEV(C103:F103)</f>
        <v>1.6537677021000688E-3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</row>
    <row r="25" spans="1:14" s="93" customFormat="1" x14ac:dyDescent="0.25">
      <c r="A25" s="151" t="s">
        <v>231</v>
      </c>
      <c r="B25" s="127">
        <f>AVERAGEIF(132:132,"&lt;100")/100</f>
        <v>0</v>
      </c>
      <c r="C25" s="169">
        <f>STDEV(132:132)/100</f>
        <v>0</v>
      </c>
      <c r="D25" s="76" t="str">
        <f>IF(C25&lt;=10%,"高",IF(C25&lt;=20%,"中","低"))</f>
        <v>高</v>
      </c>
      <c r="E25" s="149"/>
      <c r="F25" s="160">
        <f>IF(B25&lt;0,MAX(0,6+B25*100),IF(B25&gt;=60%,0,(60%-B25)/10%))+IF(D25="高",4,IF(D25="中",2,0))</f>
        <v>10</v>
      </c>
      <c r="G25" s="88" t="s">
        <v>213</v>
      </c>
    </row>
    <row r="26" spans="1:14" s="93" customFormat="1" x14ac:dyDescent="0.25">
      <c r="A26" s="164" t="s">
        <v>233</v>
      </c>
      <c r="B26" s="172"/>
      <c r="C26" s="172"/>
      <c r="D26" s="76"/>
      <c r="E26" s="149"/>
      <c r="F26" s="160">
        <v>10</v>
      </c>
      <c r="G26" s="88" t="s">
        <v>213</v>
      </c>
    </row>
    <row r="27" spans="1:14" s="93" customFormat="1" x14ac:dyDescent="0.25">
      <c r="A27" s="164" t="s">
        <v>234</v>
      </c>
      <c r="B27" s="172"/>
      <c r="C27" s="172"/>
      <c r="D27" s="76"/>
      <c r="E27" s="149"/>
      <c r="F27" s="160"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236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AVERAGE(C127:F127)/100</f>
        <v>0.43809999999999993</v>
      </c>
      <c r="C30" s="157" t="s">
        <v>217</v>
      </c>
      <c r="D30" s="174">
        <f>COUNTIF(121:121,"&gt;20")/COUNT(121:121)</f>
        <v>0.90476190476190477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AVERAGE(C129:F129)/100</f>
        <v>0.37104999999999999</v>
      </c>
      <c r="C31" s="157" t="s">
        <v>217</v>
      </c>
      <c r="D31" s="174">
        <f>COUNTIF(123:123,"&gt;8")/COUNT(123:123)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AVERAGE(C142:F142)</f>
        <v>8.9599999999999991</v>
      </c>
      <c r="C32" s="157" t="s">
        <v>217</v>
      </c>
      <c r="D32" s="174">
        <f>COUNTIF(136:136,"&gt;3")/COUNT(136:136)</f>
        <v>4.3478260869565216E-2</v>
      </c>
      <c r="E32" s="140" t="s">
        <v>242</v>
      </c>
      <c r="F32" s="159">
        <f>MIN(B32/15*10,10)</f>
        <v>5.9733333333333327</v>
      </c>
      <c r="G32" s="135"/>
    </row>
    <row r="33" spans="1:14" x14ac:dyDescent="0.25">
      <c r="A33" s="155" t="s">
        <v>14</v>
      </c>
      <c r="B33" s="156">
        <f>AVERAGE(B69:E69)</f>
        <v>1.48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9.48</v>
      </c>
      <c r="G33" s="135"/>
    </row>
    <row r="34" spans="1:14" x14ac:dyDescent="0.25">
      <c r="A34" s="155" t="s">
        <v>244</v>
      </c>
      <c r="B34" s="156">
        <f>AVERAGE(C114:F114)</f>
        <v>0.83749999999999991</v>
      </c>
      <c r="C34" s="157" t="s">
        <v>217</v>
      </c>
      <c r="D34" s="158">
        <f>COUNTIF(C114:F114,"&gt;0")/COUNT(C114:F114)</f>
        <v>1</v>
      </c>
      <c r="E34" s="140" t="s">
        <v>245</v>
      </c>
      <c r="F34" s="159">
        <f>B34/B33*3+D34*7</f>
        <v>8.6976351351351351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39147879.5</v>
      </c>
      <c r="C36" s="178">
        <f>STDEV(C97:F97)</f>
        <v>4830944.4065890126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/>
      <c r="C37" s="180"/>
      <c r="D37" s="76"/>
      <c r="E37" s="107"/>
      <c r="F37" s="179"/>
      <c r="G37" s="160">
        <f>G38</f>
        <v>8</v>
      </c>
    </row>
    <row r="38" spans="1:14" x14ac:dyDescent="0.25">
      <c r="A38" s="164" t="s">
        <v>249</v>
      </c>
      <c r="B38" s="180">
        <f>AVERAGE(C127:F127)</f>
        <v>43.809999999999995</v>
      </c>
      <c r="C38" s="180">
        <f>STDEV(C127:F127)</f>
        <v>5.5335040134319406</v>
      </c>
      <c r="D38" s="76" t="str">
        <f>IF(C38/B38&lt;15%,"高",IF(C38/B38&lt;30%,"中","低"))</f>
        <v>高</v>
      </c>
      <c r="E38" s="107">
        <f>IF(F127&gt;E127,1,0)+IF(E127&gt;D127,1,0)+IF(D127&gt;C127,1,0)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AVERAGE(C142:F142)</f>
        <v>8.9599999999999991</v>
      </c>
      <c r="C39" s="181">
        <f>STDEV(C142:F142)</f>
        <v>0.73462008321762251</v>
      </c>
      <c r="D39" s="76" t="str">
        <f>IF(C39/B39&lt;15%,"高",IF(C39/B39&lt;30%,"中","低"))</f>
        <v>高</v>
      </c>
      <c r="E39" s="107">
        <f>IF(F142&gt;E142,1,0)+IF(E142&gt;D142,1,0)+IF(D142&gt;C142,1,0)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1.48</v>
      </c>
      <c r="C40" s="183">
        <f>STDEV(B69:E69)</f>
        <v>0.14674240468703428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-7.6923076923076983E-2</v>
      </c>
      <c r="C44" s="186">
        <f>(C46-C49)/C49</f>
        <v>-0.13157894736842102</v>
      </c>
      <c r="D44" s="186">
        <f>(D46-D49)/D49</f>
        <v>0</v>
      </c>
      <c r="E44" s="186">
        <f>(E46-E49)/E49</f>
        <v>-0.12195121951219511</v>
      </c>
      <c r="G44" s="86" t="s">
        <v>175</v>
      </c>
      <c r="H44" s="186">
        <f>(H47-H50)/H50</f>
        <v>-0.12881778516517764</v>
      </c>
      <c r="I44" s="186">
        <f>(I47-I50)/I50</f>
        <v>-7.4661689220718683E-2</v>
      </c>
      <c r="J44" s="186">
        <f>(J47-J50)/J50</f>
        <v>5.1048313582497659E-2</v>
      </c>
      <c r="K44" s="186">
        <f>(K47-K50)/K50</f>
        <v>-3.0802139037433205E-2</v>
      </c>
    </row>
    <row r="45" spans="1:14" x14ac:dyDescent="0.25">
      <c r="A45" s="87"/>
      <c r="B45" s="187">
        <f>$C$1</f>
        <v>20171</v>
      </c>
      <c r="C45" s="187">
        <f>IF(B45-ROUNDDOWN(B45/10,0)*10=1,(ROUNDDOWN(B45/10,0)-1)*10+4,B45-1)</f>
        <v>20164</v>
      </c>
      <c r="D45" s="187">
        <f>IF(C45-ROUNDDOWN(C45/10,0)*10=1,(ROUNDDOWN(C45/10,0)-1)*10+4,C45-1)</f>
        <v>20163</v>
      </c>
      <c r="E45" s="187">
        <f>IF(D45-ROUNDDOWN(D45/10,0)*10=1,(ROUNDDOWN(D45/10,0)-1)*10+4,D45-1)</f>
        <v>20162</v>
      </c>
      <c r="G45" s="135"/>
      <c r="H45" s="187">
        <f>$C$1</f>
        <v>20171</v>
      </c>
      <c r="I45" s="187">
        <f>IF(H45-ROUNDDOWN(H45/10,0)*10=1,(ROUNDDOWN(H45/10,0)-1)*10+4,H45-1)</f>
        <v>20164</v>
      </c>
      <c r="J45" s="187">
        <f>IF(I45-ROUNDDOWN(I45/10,0)*10=1,(ROUNDDOWN(I45/10,0)-1)*10+4,I45-1)</f>
        <v>20163</v>
      </c>
      <c r="K45" s="187">
        <f>IF(J45-ROUNDDOWN(J45/10,0)*10=1,(ROUNDDOWN(J45/10,0)-1)*10+4,J45-1)</f>
        <v>20162</v>
      </c>
    </row>
    <row r="46" spans="1:14" x14ac:dyDescent="0.25">
      <c r="A46" s="188" t="s">
        <v>163</v>
      </c>
      <c r="B46" s="152">
        <f>HLOOKUP(B45,$81:$82,2,FALSE)</f>
        <v>0.36</v>
      </c>
      <c r="C46" s="152">
        <f>HLOOKUP(C45,$81:$82,2,FALSE)</f>
        <v>0.33</v>
      </c>
      <c r="D46" s="152">
        <f>HLOOKUP(D45,$81:$82,2,FALSE)</f>
        <v>0.39</v>
      </c>
      <c r="E46" s="152">
        <f>HLOOKUP(E45,$81:$82,2,FALSE)</f>
        <v>0.36</v>
      </c>
      <c r="G46" s="86" t="s">
        <v>164</v>
      </c>
      <c r="H46" s="145"/>
      <c r="I46" s="145"/>
      <c r="J46" s="145"/>
      <c r="K46" s="145"/>
    </row>
    <row r="47" spans="1:14" x14ac:dyDescent="0.25">
      <c r="A47" s="188" t="s">
        <v>165</v>
      </c>
      <c r="B47" s="189">
        <f>HLOOKUP(B45,$134:$136,3,FALSE)</f>
        <v>2.23</v>
      </c>
      <c r="C47" s="189">
        <f>HLOOKUP(C45,$134:$136,3,FALSE)</f>
        <v>2.0299999999999998</v>
      </c>
      <c r="D47" s="189">
        <f>HLOOKUP(D45,$134:$136,3,FALSE)</f>
        <v>2.48</v>
      </c>
      <c r="E47" s="189">
        <f>HLOOKUP(E45,$134:$136,3,FALSE)</f>
        <v>2.29</v>
      </c>
      <c r="G47" s="190" t="s">
        <v>166</v>
      </c>
      <c r="H47" s="145">
        <f>HLOOKUP(H45,$119:$121,3,FALSE)/100</f>
        <v>0.41930000000000001</v>
      </c>
      <c r="I47" s="145">
        <f>HLOOKUP(I45,$119:$121,3,FALSE)/100</f>
        <v>0.39659999999999995</v>
      </c>
      <c r="J47" s="145">
        <f>HLOOKUP(J45,$119:$121,3,FALSE)/100</f>
        <v>0.4612</v>
      </c>
      <c r="K47" s="145">
        <f>HLOOKUP(K45,$119:$121,3,FALSE)/100</f>
        <v>0.4531</v>
      </c>
    </row>
    <row r="48" spans="1:14" x14ac:dyDescent="0.25">
      <c r="A48" s="191"/>
      <c r="B48" s="187">
        <f>B45-10</f>
        <v>20161</v>
      </c>
      <c r="C48" s="187">
        <f>C45-10</f>
        <v>20154</v>
      </c>
      <c r="D48" s="187">
        <f>D45-10</f>
        <v>20153</v>
      </c>
      <c r="E48" s="187">
        <f>E45-10</f>
        <v>20152</v>
      </c>
      <c r="G48" s="135"/>
      <c r="H48" s="187">
        <f>H45-10</f>
        <v>20161</v>
      </c>
      <c r="I48" s="187">
        <f>I45-10</f>
        <v>20154</v>
      </c>
      <c r="J48" s="187">
        <f>J45-10</f>
        <v>20153</v>
      </c>
      <c r="K48" s="187">
        <f>K45-10</f>
        <v>20152</v>
      </c>
    </row>
    <row r="49" spans="1:15" x14ac:dyDescent="0.25">
      <c r="A49" s="188" t="s">
        <v>167</v>
      </c>
      <c r="B49" s="152">
        <f>HLOOKUP(B48,$81:$82,2,FALSE)</f>
        <v>0.39</v>
      </c>
      <c r="C49" s="152">
        <f>HLOOKUP(C48,$81:$82,2,FALSE)</f>
        <v>0.38</v>
      </c>
      <c r="D49" s="152">
        <f>HLOOKUP(D48,$81:$82,2,FALSE)</f>
        <v>0.39</v>
      </c>
      <c r="E49" s="152">
        <f>HLOOKUP(E48,$81:$82,2,FALSE)</f>
        <v>0.41</v>
      </c>
      <c r="G49" s="86" t="s">
        <v>168</v>
      </c>
      <c r="H49" s="145"/>
      <c r="I49" s="145"/>
      <c r="J49" s="145"/>
      <c r="K49" s="145"/>
    </row>
    <row r="50" spans="1:15" x14ac:dyDescent="0.25">
      <c r="A50" s="188" t="s">
        <v>165</v>
      </c>
      <c r="B50" s="189">
        <f>HLOOKUP(B48,$134:$136,3,FALSE)</f>
        <v>2.3199999999999998</v>
      </c>
      <c r="C50" s="189">
        <f>HLOOKUP(C48,$134:$136,3,FALSE)</f>
        <v>2.12</v>
      </c>
      <c r="D50" s="189">
        <f>HLOOKUP(D48,$134:$136,3,FALSE)</f>
        <v>2.31</v>
      </c>
      <c r="E50" s="189">
        <f>HLOOKUP(E48,$134:$136,3,FALSE)</f>
        <v>2.56</v>
      </c>
      <c r="G50" s="190" t="s">
        <v>169</v>
      </c>
      <c r="H50" s="145">
        <f>HLOOKUP(H48,$119:$121,3,FALSE)/100</f>
        <v>0.48130000000000001</v>
      </c>
      <c r="I50" s="145">
        <f>HLOOKUP(I48,$119:$121,3,FALSE)/100</f>
        <v>0.42859999999999998</v>
      </c>
      <c r="J50" s="145">
        <f>HLOOKUP(J48,$119:$121,3,FALSE)/100</f>
        <v>0.43880000000000002</v>
      </c>
      <c r="K50" s="145">
        <f>HLOOKUP(K48,$119:$121,3,FALSE)/100</f>
        <v>0.46750000000000003</v>
      </c>
    </row>
    <row r="51" spans="1:15" x14ac:dyDescent="0.25">
      <c r="A51" s="86" t="s">
        <v>351</v>
      </c>
      <c r="B51" s="186">
        <f>(B47-B50)/B50</f>
        <v>-3.8793103448275801E-2</v>
      </c>
      <c r="C51" s="186">
        <f>(C47-C50)/C50</f>
        <v>-4.2452830188679389E-2</v>
      </c>
      <c r="D51" s="186">
        <f>(D47-D50)/D50</f>
        <v>7.3593073593073557E-2</v>
      </c>
      <c r="E51" s="186">
        <f>(E47-E50)/E50</f>
        <v>-0.10546875</v>
      </c>
      <c r="G51" s="235"/>
      <c r="H51" s="186"/>
      <c r="I51" s="186"/>
      <c r="J51" s="186"/>
      <c r="K51" s="186"/>
    </row>
    <row r="52" spans="1:15" x14ac:dyDescent="0.25">
      <c r="A52" s="183" t="s">
        <v>190</v>
      </c>
      <c r="B52" s="192">
        <f>B45</f>
        <v>20171</v>
      </c>
      <c r="C52" s="192">
        <f>IF(B52-ROUNDDOWN(B52/10,0)*10=4,(ROUNDDOWN(B52/10,0)+1)*10+1,B52+1)</f>
        <v>20172</v>
      </c>
      <c r="D52" s="192">
        <f>IF(C52-ROUNDDOWN(C52/10,0)*10=4,(ROUNDDOWN(C52/10,0)+1)*10+1,C52+1)</f>
        <v>20173</v>
      </c>
      <c r="E52" s="192">
        <f>IF(D52-ROUNDDOWN(D52/10,0)*10=4,(ROUNDDOWN(D52/10,0)+1)*10+1,D52+1)</f>
        <v>20174</v>
      </c>
    </row>
    <row r="53" spans="1:15" x14ac:dyDescent="0.25">
      <c r="A53" s="193">
        <f>SUM(B53:E53)</f>
        <v>1.6823387394202207</v>
      </c>
      <c r="B53" s="193">
        <f>B46</f>
        <v>0.36</v>
      </c>
      <c r="C53" s="193">
        <f>E46*(1-HLOOKUP(E45,$131:$132,2,FALSE)/100)*(1+$B$25)*$G$65</f>
        <v>0.44077957980674021</v>
      </c>
      <c r="D53" s="193">
        <f>D46*(1-HLOOKUP(D45,$131:$132,2,FALSE)/100)*(1+$B$25)*$G$65</f>
        <v>0.47751121145730197</v>
      </c>
      <c r="E53" s="193">
        <f>C46*(1-HLOOKUP(C45,$131:$132,2,FALSE)/100)*(1+$B$25)*$G$65</f>
        <v>0.40404794815617856</v>
      </c>
    </row>
    <row r="54" spans="1:15" x14ac:dyDescent="0.25">
      <c r="A54" s="278">
        <f>SUM(B54:E54)</f>
        <v>1.4700000000000002</v>
      </c>
      <c r="B54" s="277">
        <f t="shared" ref="B54:D54" si="0">HLOOKUP(B52-10,81:82,2,FALSE)</f>
        <v>0.39</v>
      </c>
      <c r="C54" s="277">
        <f t="shared" si="0"/>
        <v>0.36</v>
      </c>
      <c r="D54" s="277">
        <f t="shared" si="0"/>
        <v>0.39</v>
      </c>
      <c r="E54" s="277">
        <f>HLOOKUP(E52-10,81:82,2,FALSE)</f>
        <v>0.33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201801</v>
      </c>
      <c r="C56" s="194">
        <f>IF(B56-ROUNDDOWN(B56/100,0)*100-1=0,(ROUNDDOWN(B56/100,0)-1)*100+12,B56-1)</f>
        <v>201712</v>
      </c>
      <c r="D56" s="194">
        <f t="shared" ref="D56:M56" si="1">IF(C56-ROUNDDOWN(C56/100,0)*100-1=0,(ROUNDDOWN(C56/100,0)-1)*100+12,C56-1)</f>
        <v>201711</v>
      </c>
      <c r="E56" s="194">
        <f t="shared" si="1"/>
        <v>201710</v>
      </c>
      <c r="F56" s="194">
        <f t="shared" si="1"/>
        <v>201709</v>
      </c>
      <c r="G56" s="194">
        <f t="shared" si="1"/>
        <v>201708</v>
      </c>
      <c r="H56" s="194">
        <f t="shared" si="1"/>
        <v>201707</v>
      </c>
      <c r="I56" s="194">
        <f t="shared" si="1"/>
        <v>201706</v>
      </c>
      <c r="J56" s="194">
        <f t="shared" si="1"/>
        <v>201705</v>
      </c>
      <c r="K56" s="194">
        <f t="shared" si="1"/>
        <v>201704</v>
      </c>
      <c r="L56" s="194">
        <f t="shared" si="1"/>
        <v>201703</v>
      </c>
      <c r="M56" s="194">
        <f t="shared" si="1"/>
        <v>201702</v>
      </c>
      <c r="N56" s="138"/>
    </row>
    <row r="57" spans="1:15" x14ac:dyDescent="0.25">
      <c r="A57" s="195" t="s">
        <v>252</v>
      </c>
      <c r="B57" s="196">
        <f t="shared" ref="B57:M57" si="2">HLOOKUP(B56,78:79,2,FALSE)</f>
        <v>5943269</v>
      </c>
      <c r="C57" s="196">
        <f t="shared" si="2"/>
        <v>4390036</v>
      </c>
      <c r="D57" s="196">
        <f t="shared" si="2"/>
        <v>4665247</v>
      </c>
      <c r="E57" s="196">
        <f t="shared" si="2"/>
        <v>4196075</v>
      </c>
      <c r="F57" s="196">
        <f t="shared" si="2"/>
        <v>4089152</v>
      </c>
      <c r="G57" s="196">
        <f t="shared" si="2"/>
        <v>4538916</v>
      </c>
      <c r="H57" s="196">
        <f t="shared" si="2"/>
        <v>4427074</v>
      </c>
      <c r="I57" s="196">
        <f t="shared" si="2"/>
        <v>4431728</v>
      </c>
      <c r="J57" s="196">
        <f t="shared" si="2"/>
        <v>4210586</v>
      </c>
      <c r="K57" s="196">
        <f t="shared" si="2"/>
        <v>3773373</v>
      </c>
      <c r="L57" s="196">
        <f t="shared" si="2"/>
        <v>4137731</v>
      </c>
      <c r="M57" s="196">
        <f t="shared" si="2"/>
        <v>3977564</v>
      </c>
      <c r="N57" s="197"/>
    </row>
    <row r="58" spans="1:15" x14ac:dyDescent="0.25">
      <c r="A58" s="198" t="s">
        <v>253</v>
      </c>
      <c r="B58" s="196">
        <f t="shared" ref="B58:M58" si="3">HLOOKUP(B56-100,78:79,2,FALSE)</f>
        <v>3958167</v>
      </c>
      <c r="C58" s="196">
        <f t="shared" si="3"/>
        <v>4444510</v>
      </c>
      <c r="D58" s="196">
        <f t="shared" si="3"/>
        <v>3267112</v>
      </c>
      <c r="E58" s="196">
        <f t="shared" si="3"/>
        <v>3350870</v>
      </c>
      <c r="F58" s="196">
        <f t="shared" si="3"/>
        <v>3528605</v>
      </c>
      <c r="G58" s="196">
        <f t="shared" si="3"/>
        <v>4081990</v>
      </c>
      <c r="H58" s="196">
        <f t="shared" si="3"/>
        <v>4052092</v>
      </c>
      <c r="I58" s="196">
        <f t="shared" si="3"/>
        <v>3893786</v>
      </c>
      <c r="J58" s="196">
        <f t="shared" si="3"/>
        <v>3914012</v>
      </c>
      <c r="K58" s="196">
        <f t="shared" si="3"/>
        <v>3209718</v>
      </c>
      <c r="L58" s="196">
        <f t="shared" si="3"/>
        <v>4082080</v>
      </c>
      <c r="M58" s="196">
        <f t="shared" si="3"/>
        <v>3218855</v>
      </c>
      <c r="N58" s="197"/>
    </row>
    <row r="59" spans="1:15" x14ac:dyDescent="0.25">
      <c r="A59" s="199" t="s">
        <v>254</v>
      </c>
      <c r="B59" s="165">
        <f>IF(B57&lt;&gt;"",(B57-B58)/B58,"")</f>
        <v>0.50152052705204198</v>
      </c>
      <c r="C59" s="165">
        <f t="shared" ref="C59:M59" si="4">IF(C57&lt;&gt;"",(C57-C58)/C58,"")</f>
        <v>-1.2256469217079048E-2</v>
      </c>
      <c r="D59" s="165">
        <f t="shared" si="4"/>
        <v>0.42794217033269749</v>
      </c>
      <c r="E59" s="165">
        <f t="shared" si="4"/>
        <v>0.25223449432535433</v>
      </c>
      <c r="F59" s="165">
        <f t="shared" si="4"/>
        <v>0.15885796228254509</v>
      </c>
      <c r="G59" s="165">
        <f t="shared" si="4"/>
        <v>0.11193706990952942</v>
      </c>
      <c r="H59" s="165">
        <f t="shared" si="4"/>
        <v>9.2540347060234562E-2</v>
      </c>
      <c r="I59" s="165">
        <f t="shared" si="4"/>
        <v>0.13815397148174038</v>
      </c>
      <c r="J59" s="165">
        <f t="shared" si="4"/>
        <v>7.5772378827658166E-2</v>
      </c>
      <c r="K59" s="165">
        <f t="shared" si="4"/>
        <v>0.17560888526655613</v>
      </c>
      <c r="L59" s="165">
        <f t="shared" si="4"/>
        <v>1.3633000823109788E-2</v>
      </c>
      <c r="M59" s="165">
        <f t="shared" si="4"/>
        <v>0.2357077283692493</v>
      </c>
    </row>
    <row r="60" spans="1:15" x14ac:dyDescent="0.25">
      <c r="A60" s="195" t="s">
        <v>255</v>
      </c>
      <c r="B60" s="196">
        <f>SUM(B57:M57)</f>
        <v>52780751</v>
      </c>
    </row>
    <row r="61" spans="1:15" x14ac:dyDescent="0.25">
      <c r="A61" s="198" t="s">
        <v>256</v>
      </c>
      <c r="B61" s="196">
        <f>SUM(B58:M58)</f>
        <v>45001797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1.1728587416186957</v>
      </c>
      <c r="D62" s="152">
        <f>SUM(B46:E46)</f>
        <v>1.44</v>
      </c>
      <c r="E62" s="152">
        <f>SUM(B49:E49)</f>
        <v>1.57</v>
      </c>
      <c r="G62" s="126">
        <f>SUM(B47:E47)</f>
        <v>9.0300000000000011</v>
      </c>
      <c r="H62" s="126">
        <f>SUM(B50:E50)</f>
        <v>9.31</v>
      </c>
      <c r="J62" s="200"/>
      <c r="K62" s="200"/>
      <c r="M62" s="200">
        <f>AVERAGE(H47:K47)</f>
        <v>0.43254999999999999</v>
      </c>
      <c r="N62" s="200">
        <f>AVERAGE(H50:K50)</f>
        <v>0.45405000000000001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260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/>
      <c r="O64" s="95"/>
    </row>
    <row r="65" spans="1:72" x14ac:dyDescent="0.25">
      <c r="A65" s="204">
        <v>1</v>
      </c>
      <c r="B65" s="205">
        <f t="shared" ref="B65:E67" si="5">HLOOKUP(B$64*10+$A65,$81:$82,2,FALSE)</f>
        <v>0.36</v>
      </c>
      <c r="C65" s="205">
        <f t="shared" si="5"/>
        <v>0.42</v>
      </c>
      <c r="D65" s="205">
        <f t="shared" si="5"/>
        <v>0.44</v>
      </c>
      <c r="E65" s="205">
        <f t="shared" si="5"/>
        <v>0.39</v>
      </c>
      <c r="F65" s="206">
        <f>IF(ISNA(HLOOKUP(F$64*10+$A65,$81:$82,2,FALSE)),E65*(1-$N65)*$G$65*(1+$B$25)/(1+$E$4),HLOOKUP(F$64*10+$A65,$81:$82,2,FALSE))</f>
        <v>0.36</v>
      </c>
      <c r="G65" s="207">
        <f>IF(G66&gt;=130%,130%,G66)</f>
        <v>1.2243877216853896</v>
      </c>
      <c r="H65" s="204">
        <v>1</v>
      </c>
      <c r="I65" s="208">
        <f t="shared" ref="I65:M68" si="6">IF(ISNA(HLOOKUP(I$64*10+$H65,$119:$121,3,FALSE)),"",HLOOKUP(I$64*10+$H65,$119:$121,3,FALSE)/100)</f>
        <v>0.4158</v>
      </c>
      <c r="J65" s="208">
        <f t="shared" si="6"/>
        <v>0.41649999999999998</v>
      </c>
      <c r="K65" s="208">
        <f t="shared" si="6"/>
        <v>0.53299999999999992</v>
      </c>
      <c r="L65" s="208">
        <f t="shared" si="6"/>
        <v>0.48130000000000001</v>
      </c>
      <c r="M65" s="209">
        <f t="shared" si="6"/>
        <v>0.41930000000000001</v>
      </c>
      <c r="N65" s="256"/>
      <c r="O65" s="256"/>
      <c r="P65" s="210"/>
    </row>
    <row r="66" spans="1:72" x14ac:dyDescent="0.25">
      <c r="A66" s="204">
        <v>2</v>
      </c>
      <c r="B66" s="205">
        <f t="shared" si="5"/>
        <v>0.39</v>
      </c>
      <c r="C66" s="205">
        <f t="shared" si="5"/>
        <v>0.49</v>
      </c>
      <c r="D66" s="205">
        <f t="shared" si="5"/>
        <v>0.41</v>
      </c>
      <c r="E66" s="205">
        <f t="shared" si="5"/>
        <v>0.36</v>
      </c>
      <c r="F66" s="206">
        <f>IF(ISNA(HLOOKUP(F$64*10+$A66,$81:$82,2,FALSE)),E66*(1-$N66)*$G$65*(1+$B$25)/(1+$E$4),HLOOKUP(F$64*10+$A66,$81:$82,2,FALSE))</f>
        <v>0.43213684294778448</v>
      </c>
      <c r="G66" s="211">
        <f>SUM(B57:D57)/SUM(B58:D58)*AVERAGE(H47:K47)/AVERAGE(H50:K50)</f>
        <v>1.2243877216853896</v>
      </c>
      <c r="H66" s="204">
        <v>2</v>
      </c>
      <c r="I66" s="208">
        <f t="shared" si="6"/>
        <v>0.49030000000000001</v>
      </c>
      <c r="J66" s="208">
        <f t="shared" si="6"/>
        <v>0.47989999999999999</v>
      </c>
      <c r="K66" s="208">
        <f t="shared" si="6"/>
        <v>0.46750000000000003</v>
      </c>
      <c r="L66" s="208">
        <f t="shared" si="6"/>
        <v>0.4531</v>
      </c>
      <c r="M66" s="209" t="str">
        <f t="shared" si="6"/>
        <v/>
      </c>
      <c r="N66" s="256"/>
      <c r="O66" s="256"/>
      <c r="P66" s="210"/>
    </row>
    <row r="67" spans="1:72" x14ac:dyDescent="0.25">
      <c r="A67" s="204">
        <v>3</v>
      </c>
      <c r="B67" s="205">
        <f t="shared" si="5"/>
        <v>0.34</v>
      </c>
      <c r="C67" s="205">
        <f t="shared" si="5"/>
        <v>0.38</v>
      </c>
      <c r="D67" s="205">
        <f t="shared" si="5"/>
        <v>0.39</v>
      </c>
      <c r="E67" s="205">
        <f t="shared" si="5"/>
        <v>0.39</v>
      </c>
      <c r="F67" s="206">
        <f>IF(ISNA(HLOOKUP(F$64*10+$A67,$81:$82,2,FALSE)),E67*(1-$N67)*$G$65*(1+$B$25)/(1+$E$4),HLOOKUP(F$64*10+$A67,$81:$82,2,FALSE))</f>
        <v>0.46814824652676662</v>
      </c>
      <c r="G67" s="191"/>
      <c r="H67" s="204">
        <v>3</v>
      </c>
      <c r="I67" s="208">
        <f t="shared" si="6"/>
        <v>0.3931</v>
      </c>
      <c r="J67" s="208">
        <f t="shared" si="6"/>
        <v>0.37740000000000001</v>
      </c>
      <c r="K67" s="208">
        <f t="shared" si="6"/>
        <v>0.43880000000000002</v>
      </c>
      <c r="L67" s="208">
        <f t="shared" si="6"/>
        <v>0.4612</v>
      </c>
      <c r="M67" s="209" t="str">
        <f t="shared" si="6"/>
        <v/>
      </c>
      <c r="N67" s="256"/>
      <c r="O67" s="256"/>
      <c r="P67" s="210"/>
    </row>
    <row r="68" spans="1:72" x14ac:dyDescent="0.25">
      <c r="A68" s="204">
        <v>4</v>
      </c>
      <c r="B68" s="205">
        <f>HLOOKUP(B$64*10+$A68,$81:$82,2,FALSE)</f>
        <v>0.19</v>
      </c>
      <c r="C68" s="205">
        <f>HLOOKUP(C$64*10+$A68,$81:$82,2,FALSE)</f>
        <v>0.26</v>
      </c>
      <c r="D68" s="205">
        <f>HLOOKUP(D$64*10+$A68,$81:$82,2,FALSE)</f>
        <v>0.38</v>
      </c>
      <c r="E68" s="206">
        <f>IF(ISNA(HLOOKUP(E$64*10+$A68,$81:$82,2,FALSE)),D68*(1-$N68)*$G$65*(1+$B$25)/(1+$E$4),HLOOKUP(E$64*10+$A68,$81:$82,2,FALSE))</f>
        <v>0.33</v>
      </c>
      <c r="F68" s="206">
        <f>IF(ISNA(HLOOKUP(F$64*10+$A68,$81:$82,2,FALSE)),E68*(1-$N68)*$G$65*(1+$B$25)/(1+$E$4),HLOOKUP(F$64*10+$A68,$81:$82,2,FALSE))</f>
        <v>0.39612543936880251</v>
      </c>
      <c r="G68" s="191"/>
      <c r="H68" s="204">
        <v>4</v>
      </c>
      <c r="I68" s="208">
        <f t="shared" si="6"/>
        <v>0.16120000000000001</v>
      </c>
      <c r="J68" s="208">
        <f t="shared" si="6"/>
        <v>1.2487999999999999</v>
      </c>
      <c r="K68" s="208">
        <f t="shared" si="6"/>
        <v>0.42859999999999998</v>
      </c>
      <c r="L68" s="208">
        <f t="shared" si="6"/>
        <v>0.39659999999999995</v>
      </c>
      <c r="M68" s="209" t="str">
        <f t="shared" si="6"/>
        <v/>
      </c>
      <c r="N68" s="256"/>
      <c r="O68" s="256"/>
    </row>
    <row r="69" spans="1:72" x14ac:dyDescent="0.25">
      <c r="A69" s="212" t="s">
        <v>162</v>
      </c>
      <c r="B69" s="213">
        <f>SUM(B65:B68)</f>
        <v>1.28</v>
      </c>
      <c r="C69" s="213">
        <f>SUM(C65:C68)</f>
        <v>1.55</v>
      </c>
      <c r="D69" s="213">
        <f>SUM(D65:D68)</f>
        <v>1.62</v>
      </c>
      <c r="E69" s="213">
        <f>SUM(E65:E68)</f>
        <v>1.4700000000000002</v>
      </c>
      <c r="F69" s="213">
        <f>SUM(F65:F68)</f>
        <v>1.6564105288433535</v>
      </c>
      <c r="G69" s="191"/>
      <c r="H69" s="214" t="s">
        <v>19</v>
      </c>
      <c r="I69" s="215">
        <f>HLOOKUP(I64,125:129,3,FALSE)/100</f>
        <v>0.35780000000000001</v>
      </c>
      <c r="J69" s="215">
        <f>HLOOKUP(J64,125:129,3,FALSE)/100</f>
        <v>0.48219999999999996</v>
      </c>
      <c r="K69" s="215">
        <f>HLOOKUP(K64,125:129,3,FALSE)/100</f>
        <v>0.46450000000000002</v>
      </c>
      <c r="L69" s="215">
        <f>IF(ISNA(HLOOKUP(L64,125:129,3,FALSE)/100),AVERAGE(L65:L68),HLOOKUP(L64,125:129,3,FALSE)/100)</f>
        <v>0.44789999999999996</v>
      </c>
      <c r="M69" s="215"/>
      <c r="N69" s="216"/>
    </row>
    <row r="70" spans="1:72" s="135" customFormat="1" x14ac:dyDescent="0.25">
      <c r="A70" s="217"/>
      <c r="B70" s="218"/>
      <c r="C70" s="218"/>
      <c r="D70" s="218"/>
      <c r="E70" s="218"/>
      <c r="F70" s="218"/>
    </row>
    <row r="71" spans="1:72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2" s="135" customFormat="1" x14ac:dyDescent="0.25">
      <c r="A72" s="204">
        <v>1</v>
      </c>
      <c r="B72" s="205">
        <f t="shared" ref="B72:F75" si="7">IF(ISNA(HLOOKUP(B$71*10+$A72,$134:$136,3,FALSE)),"",HLOOKUP(B$71*10+$A72,$134:$136,3,FALSE))</f>
        <v>2.19</v>
      </c>
      <c r="C72" s="205">
        <f t="shared" si="7"/>
        <v>2.5499999999999998</v>
      </c>
      <c r="D72" s="205">
        <f t="shared" si="7"/>
        <v>2.63</v>
      </c>
      <c r="E72" s="205">
        <f t="shared" si="7"/>
        <v>2.3199999999999998</v>
      </c>
      <c r="F72" s="205">
        <f t="shared" si="7"/>
        <v>2.23</v>
      </c>
    </row>
    <row r="73" spans="1:72" s="135" customFormat="1" x14ac:dyDescent="0.25">
      <c r="A73" s="204">
        <v>2</v>
      </c>
      <c r="B73" s="205">
        <f t="shared" si="7"/>
        <v>2.4900000000000002</v>
      </c>
      <c r="C73" s="205">
        <f t="shared" si="7"/>
        <v>3.12</v>
      </c>
      <c r="D73" s="205">
        <f t="shared" si="7"/>
        <v>2.56</v>
      </c>
      <c r="E73" s="205">
        <f t="shared" si="7"/>
        <v>2.29</v>
      </c>
      <c r="F73" s="205" t="str">
        <f t="shared" si="7"/>
        <v/>
      </c>
    </row>
    <row r="74" spans="1:72" s="135" customFormat="1" x14ac:dyDescent="0.25">
      <c r="A74" s="204">
        <v>3</v>
      </c>
      <c r="B74" s="205">
        <f t="shared" si="7"/>
        <v>2.14</v>
      </c>
      <c r="C74" s="205">
        <f t="shared" si="7"/>
        <v>2.37</v>
      </c>
      <c r="D74" s="205">
        <f t="shared" si="7"/>
        <v>2.31</v>
      </c>
      <c r="E74" s="205">
        <f t="shared" si="7"/>
        <v>2.48</v>
      </c>
      <c r="F74" s="205" t="str">
        <f t="shared" si="7"/>
        <v/>
      </c>
    </row>
    <row r="75" spans="1:72" s="135" customFormat="1" x14ac:dyDescent="0.25">
      <c r="A75" s="204">
        <v>4</v>
      </c>
      <c r="B75" s="205">
        <f t="shared" si="7"/>
        <v>1.1299999999999999</v>
      </c>
      <c r="C75" s="205">
        <f t="shared" si="7"/>
        <v>1.56</v>
      </c>
      <c r="D75" s="205">
        <f t="shared" si="7"/>
        <v>2.12</v>
      </c>
      <c r="E75" s="205">
        <f t="shared" si="7"/>
        <v>2.0299999999999998</v>
      </c>
      <c r="F75" s="205" t="str">
        <f t="shared" si="7"/>
        <v/>
      </c>
    </row>
    <row r="76" spans="1:72" s="135" customFormat="1" x14ac:dyDescent="0.25">
      <c r="A76" s="212" t="s">
        <v>165</v>
      </c>
      <c r="B76" s="213">
        <f>SUM(B72:B75)</f>
        <v>7.95</v>
      </c>
      <c r="C76" s="213">
        <f>SUM(C72:C75)</f>
        <v>9.6</v>
      </c>
      <c r="D76" s="213">
        <f>SUM(D72:D75)</f>
        <v>9.620000000000001</v>
      </c>
      <c r="E76" s="213">
        <f>AVERAGE(E72:E75)*4</f>
        <v>9.1199999999999992</v>
      </c>
      <c r="F76" s="213"/>
    </row>
    <row r="77" spans="1:72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2" s="135" customFormat="1" ht="14.25" thickBot="1" x14ac:dyDescent="0.3">
      <c r="A78" s="217"/>
      <c r="B78" s="69">
        <v>201301</v>
      </c>
      <c r="C78" s="70">
        <v>201302</v>
      </c>
      <c r="D78" s="70">
        <v>201303</v>
      </c>
      <c r="E78" s="70">
        <v>201304</v>
      </c>
      <c r="F78" s="70">
        <v>201305</v>
      </c>
      <c r="G78" s="70">
        <v>201306</v>
      </c>
      <c r="H78" s="70">
        <v>201307</v>
      </c>
      <c r="I78" s="70">
        <v>201308</v>
      </c>
      <c r="J78" s="70">
        <v>201309</v>
      </c>
      <c r="K78" s="70">
        <v>201310</v>
      </c>
      <c r="L78" s="70">
        <v>201311</v>
      </c>
      <c r="M78" s="70">
        <v>201312</v>
      </c>
      <c r="N78" s="70">
        <v>201401</v>
      </c>
      <c r="O78" s="70">
        <v>201402</v>
      </c>
      <c r="P78" s="70">
        <v>201403</v>
      </c>
      <c r="Q78" s="70">
        <v>201404</v>
      </c>
      <c r="R78" s="70">
        <v>201405</v>
      </c>
      <c r="S78" s="70">
        <v>201406</v>
      </c>
      <c r="T78" s="70">
        <v>201407</v>
      </c>
      <c r="U78" s="70">
        <v>201408</v>
      </c>
      <c r="V78" s="70">
        <v>201409</v>
      </c>
      <c r="W78" s="70">
        <v>201410</v>
      </c>
      <c r="X78" s="70">
        <v>201411</v>
      </c>
      <c r="Y78" s="70">
        <v>201412</v>
      </c>
      <c r="Z78" s="70">
        <v>201501</v>
      </c>
      <c r="AA78" s="70">
        <v>201502</v>
      </c>
      <c r="AB78" s="70">
        <v>201503</v>
      </c>
      <c r="AC78" s="70">
        <v>201504</v>
      </c>
      <c r="AD78" s="70">
        <v>201505</v>
      </c>
      <c r="AE78" s="70">
        <v>201506</v>
      </c>
      <c r="AF78" s="70">
        <v>201507</v>
      </c>
      <c r="AG78" s="70">
        <v>201508</v>
      </c>
      <c r="AH78" s="70">
        <v>201509</v>
      </c>
      <c r="AI78" s="70">
        <v>201510</v>
      </c>
      <c r="AJ78" s="70">
        <v>201511</v>
      </c>
      <c r="AK78" s="70">
        <v>201512</v>
      </c>
      <c r="AL78" s="70">
        <v>201601</v>
      </c>
      <c r="AM78" s="70">
        <v>201602</v>
      </c>
      <c r="AN78" s="70">
        <v>201603</v>
      </c>
      <c r="AO78" s="70">
        <v>201604</v>
      </c>
      <c r="AP78" s="70">
        <v>201605</v>
      </c>
      <c r="AQ78" s="70">
        <v>201606</v>
      </c>
      <c r="AR78" s="70">
        <v>201607</v>
      </c>
      <c r="AS78" s="70">
        <v>201608</v>
      </c>
      <c r="AT78" s="70">
        <v>201609</v>
      </c>
      <c r="AU78" s="70">
        <v>201610</v>
      </c>
      <c r="AV78" s="70">
        <v>201611</v>
      </c>
      <c r="AW78" s="70">
        <v>201612</v>
      </c>
      <c r="AX78" s="70">
        <v>201701</v>
      </c>
      <c r="AY78" s="70">
        <v>201702</v>
      </c>
      <c r="AZ78" s="70">
        <v>201703</v>
      </c>
      <c r="BA78" s="70">
        <v>201704</v>
      </c>
      <c r="BB78" s="70">
        <v>201705</v>
      </c>
      <c r="BC78" s="70">
        <v>201706</v>
      </c>
      <c r="BD78" s="70">
        <v>201707</v>
      </c>
      <c r="BE78" s="70">
        <v>201708</v>
      </c>
      <c r="BF78" s="70">
        <v>201709</v>
      </c>
      <c r="BG78" s="70">
        <v>201710</v>
      </c>
      <c r="BH78" s="70">
        <v>201711</v>
      </c>
      <c r="BI78" s="70">
        <v>201712</v>
      </c>
      <c r="BJ78" s="71">
        <v>201801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0">
        <v>201710</v>
      </c>
      <c r="BT78" s="71">
        <v>201711</v>
      </c>
    </row>
    <row r="79" spans="1:72" ht="14.25" thickBot="1" x14ac:dyDescent="0.3">
      <c r="A79" s="222" t="s">
        <v>9</v>
      </c>
      <c r="B79" s="270">
        <v>3110571</v>
      </c>
      <c r="C79" s="270">
        <v>2715960</v>
      </c>
      <c r="D79" s="270">
        <v>2701965</v>
      </c>
      <c r="E79" s="270">
        <v>2798310</v>
      </c>
      <c r="F79" s="270">
        <v>2992905</v>
      </c>
      <c r="G79" s="270">
        <v>2849455</v>
      </c>
      <c r="H79" s="270">
        <v>3132624</v>
      </c>
      <c r="I79" s="270">
        <v>3076150</v>
      </c>
      <c r="J79" s="270">
        <v>3037670</v>
      </c>
      <c r="K79" s="270">
        <v>2947207</v>
      </c>
      <c r="L79" s="270">
        <v>2913256</v>
      </c>
      <c r="M79" s="270">
        <v>4038421</v>
      </c>
      <c r="N79" s="270">
        <v>3498329</v>
      </c>
      <c r="O79" s="270">
        <v>3165878</v>
      </c>
      <c r="P79" s="270">
        <v>3521002</v>
      </c>
      <c r="Q79" s="270">
        <v>3258724</v>
      </c>
      <c r="R79" s="270">
        <v>3525693</v>
      </c>
      <c r="S79" s="270">
        <v>3839006</v>
      </c>
      <c r="T79" s="270">
        <v>3696382</v>
      </c>
      <c r="U79" s="270">
        <v>3622193</v>
      </c>
      <c r="V79" s="270">
        <v>3532193</v>
      </c>
      <c r="W79" s="270">
        <v>3078609</v>
      </c>
      <c r="X79" s="270">
        <v>2597480</v>
      </c>
      <c r="Y79" s="270">
        <v>-3296873</v>
      </c>
      <c r="Z79" s="270">
        <v>3237393</v>
      </c>
      <c r="AA79" s="270">
        <v>2578668</v>
      </c>
      <c r="AB79" s="270">
        <v>3343989</v>
      </c>
      <c r="AC79" s="270">
        <v>3328209</v>
      </c>
      <c r="AD79" s="270">
        <v>3448909</v>
      </c>
      <c r="AE79" s="270">
        <v>3242817</v>
      </c>
      <c r="AF79" s="270">
        <v>3813384</v>
      </c>
      <c r="AG79" s="270">
        <v>3360561</v>
      </c>
      <c r="AH79" s="270">
        <v>3613572</v>
      </c>
      <c r="AI79" s="270">
        <v>3507543</v>
      </c>
      <c r="AJ79" s="270">
        <v>3514856</v>
      </c>
      <c r="AK79" s="270">
        <v>3804905</v>
      </c>
      <c r="AL79" s="270">
        <v>3751432</v>
      </c>
      <c r="AM79" s="270">
        <v>3218855</v>
      </c>
      <c r="AN79" s="270">
        <v>4082080</v>
      </c>
      <c r="AO79" s="270">
        <v>3209718</v>
      </c>
      <c r="AP79" s="270">
        <v>3914012</v>
      </c>
      <c r="AQ79" s="270">
        <v>3893786</v>
      </c>
      <c r="AR79" s="270">
        <v>4052092</v>
      </c>
      <c r="AS79" s="270">
        <v>4081990</v>
      </c>
      <c r="AT79" s="270">
        <v>3528605</v>
      </c>
      <c r="AU79" s="270">
        <v>3350870</v>
      </c>
      <c r="AV79" s="270">
        <v>3267112</v>
      </c>
      <c r="AW79" s="270">
        <v>4444510</v>
      </c>
      <c r="AX79" s="270">
        <v>3958167</v>
      </c>
      <c r="AY79" s="270">
        <v>3977564</v>
      </c>
      <c r="AZ79" s="270">
        <v>4137731</v>
      </c>
      <c r="BA79" s="270">
        <v>3773373</v>
      </c>
      <c r="BB79" s="270">
        <v>4210586</v>
      </c>
      <c r="BC79" s="270">
        <v>4431728</v>
      </c>
      <c r="BD79" s="270">
        <v>4427074</v>
      </c>
      <c r="BE79" s="270">
        <v>4538916</v>
      </c>
      <c r="BF79" s="270">
        <v>4089152</v>
      </c>
      <c r="BG79" s="270">
        <v>4196075</v>
      </c>
      <c r="BH79" s="270">
        <v>4665247</v>
      </c>
      <c r="BI79" s="270">
        <v>4390036</v>
      </c>
      <c r="BJ79" s="270">
        <v>5943269</v>
      </c>
      <c r="BK79" s="270">
        <v>3977564</v>
      </c>
      <c r="BL79" s="270">
        <v>4137731</v>
      </c>
      <c r="BM79" s="270">
        <v>3773373</v>
      </c>
      <c r="BN79" s="270">
        <v>4210586</v>
      </c>
      <c r="BO79" s="270">
        <v>4431728</v>
      </c>
      <c r="BP79" s="270">
        <v>4427074</v>
      </c>
      <c r="BQ79" s="270">
        <v>4538916</v>
      </c>
      <c r="BR79" s="270">
        <v>4089152</v>
      </c>
      <c r="BS79" s="270">
        <v>4196075</v>
      </c>
      <c r="BT79" s="270">
        <v>4665247</v>
      </c>
    </row>
    <row r="80" spans="1:72" ht="14.25" thickBot="1" x14ac:dyDescent="0.3"/>
    <row r="81" spans="1:25" ht="14.25" thickBot="1" x14ac:dyDescent="0.3">
      <c r="B81" s="238">
        <v>20121</v>
      </c>
      <c r="C81" s="239">
        <v>20122</v>
      </c>
      <c r="D81" s="239">
        <v>20123</v>
      </c>
      <c r="E81" s="239">
        <v>20124</v>
      </c>
      <c r="F81" s="239">
        <v>20131</v>
      </c>
      <c r="G81" s="239">
        <v>20132</v>
      </c>
      <c r="H81" s="239">
        <v>20133</v>
      </c>
      <c r="I81" s="239">
        <v>20134</v>
      </c>
      <c r="J81" s="239">
        <v>20141</v>
      </c>
      <c r="K81" s="239">
        <v>20142</v>
      </c>
      <c r="L81" s="239">
        <v>20143</v>
      </c>
      <c r="M81" s="239">
        <v>20144</v>
      </c>
      <c r="N81" s="239">
        <v>20151</v>
      </c>
      <c r="O81" s="239">
        <v>20152</v>
      </c>
      <c r="P81" s="239">
        <v>20153</v>
      </c>
      <c r="Q81" s="239">
        <v>20154</v>
      </c>
      <c r="R81" s="239">
        <v>20161</v>
      </c>
      <c r="S81" s="239">
        <v>20162</v>
      </c>
      <c r="T81" s="239">
        <v>20163</v>
      </c>
      <c r="U81" s="239">
        <v>20164</v>
      </c>
      <c r="V81" s="240">
        <v>20171</v>
      </c>
      <c r="W81" s="70">
        <v>20162</v>
      </c>
      <c r="X81" s="71">
        <v>20163</v>
      </c>
    </row>
    <row r="82" spans="1:25" ht="14.25" thickBot="1" x14ac:dyDescent="0.3">
      <c r="A82" s="222" t="s">
        <v>10</v>
      </c>
      <c r="B82" s="241">
        <v>0.39</v>
      </c>
      <c r="C82" s="241">
        <v>0.45</v>
      </c>
      <c r="D82" s="241">
        <v>0.28999999999999998</v>
      </c>
      <c r="E82" s="241">
        <v>0.14000000000000001</v>
      </c>
      <c r="F82" s="241">
        <v>0.36</v>
      </c>
      <c r="G82" s="241">
        <v>0.39</v>
      </c>
      <c r="H82" s="241">
        <v>0.34</v>
      </c>
      <c r="I82" s="241">
        <v>0.19</v>
      </c>
      <c r="J82" s="241">
        <v>0.42</v>
      </c>
      <c r="K82" s="241">
        <v>0.49</v>
      </c>
      <c r="L82" s="241">
        <v>0.38</v>
      </c>
      <c r="M82" s="241">
        <v>0.26</v>
      </c>
      <c r="N82" s="241">
        <v>0.44</v>
      </c>
      <c r="O82" s="241">
        <v>0.41</v>
      </c>
      <c r="P82" s="241">
        <v>0.39</v>
      </c>
      <c r="Q82" s="241">
        <v>0.38</v>
      </c>
      <c r="R82" s="241">
        <v>0.39</v>
      </c>
      <c r="S82" s="241">
        <v>0.36</v>
      </c>
      <c r="T82" s="241">
        <v>0.39</v>
      </c>
      <c r="U82" s="241">
        <v>0.33</v>
      </c>
      <c r="V82" s="241">
        <v>0.36</v>
      </c>
      <c r="W82" s="72">
        <v>0.36</v>
      </c>
      <c r="X82" s="72">
        <v>0.39</v>
      </c>
    </row>
    <row r="83" spans="1:25" x14ac:dyDescent="0.25">
      <c r="A83" s="222"/>
      <c r="B83" s="223"/>
      <c r="C83" s="223"/>
      <c r="D83" s="223"/>
      <c r="E83" s="223"/>
      <c r="F83" s="223"/>
    </row>
    <row r="84" spans="1:25" x14ac:dyDescent="0.25">
      <c r="A84" s="222"/>
      <c r="B84" s="238">
        <v>20121</v>
      </c>
      <c r="C84" s="239">
        <v>20122</v>
      </c>
      <c r="D84" s="239">
        <v>20123</v>
      </c>
      <c r="E84" s="239">
        <v>20124</v>
      </c>
      <c r="F84" s="239">
        <v>20131</v>
      </c>
      <c r="G84" s="239">
        <v>20132</v>
      </c>
      <c r="H84" s="239">
        <v>20133</v>
      </c>
      <c r="I84" s="239">
        <v>20134</v>
      </c>
      <c r="J84" s="239">
        <v>20141</v>
      </c>
      <c r="K84" s="239">
        <v>20142</v>
      </c>
      <c r="L84" s="239">
        <v>20143</v>
      </c>
      <c r="M84" s="239">
        <v>20144</v>
      </c>
      <c r="N84" s="239">
        <v>20151</v>
      </c>
      <c r="O84" s="239">
        <v>20152</v>
      </c>
      <c r="P84" s="239">
        <v>20153</v>
      </c>
      <c r="Q84" s="239">
        <v>20154</v>
      </c>
      <c r="R84" s="239">
        <v>20161</v>
      </c>
      <c r="S84" s="239">
        <v>20162</v>
      </c>
      <c r="T84" s="239">
        <v>20163</v>
      </c>
      <c r="U84" s="239">
        <v>20164</v>
      </c>
      <c r="V84" s="240">
        <v>20171</v>
      </c>
    </row>
    <row r="85" spans="1:25" x14ac:dyDescent="0.25">
      <c r="A85" s="222" t="s">
        <v>20</v>
      </c>
      <c r="B85" s="241">
        <v>17.13</v>
      </c>
      <c r="C85" s="241">
        <v>16.22</v>
      </c>
      <c r="D85" s="241">
        <v>16.510000000000002</v>
      </c>
      <c r="E85" s="241">
        <v>16.52</v>
      </c>
      <c r="F85" s="241">
        <v>16.55</v>
      </c>
      <c r="G85" s="241">
        <v>15.66</v>
      </c>
      <c r="H85" s="241">
        <v>16.100000000000001</v>
      </c>
      <c r="I85" s="241">
        <v>16.28</v>
      </c>
      <c r="J85" s="241">
        <v>16.690000000000001</v>
      </c>
      <c r="K85" s="241">
        <v>15.68</v>
      </c>
      <c r="L85" s="241">
        <v>16.28</v>
      </c>
      <c r="M85" s="241">
        <v>16.61</v>
      </c>
      <c r="N85" s="241">
        <v>16.87</v>
      </c>
      <c r="O85" s="241">
        <v>15.78</v>
      </c>
      <c r="P85" s="241">
        <v>18.34</v>
      </c>
      <c r="Q85" s="241">
        <v>18.170000000000002</v>
      </c>
      <c r="R85" s="241">
        <v>16.89</v>
      </c>
      <c r="S85" s="241">
        <v>15.39</v>
      </c>
      <c r="T85" s="241">
        <v>15.8</v>
      </c>
      <c r="U85" s="241">
        <v>16.02</v>
      </c>
      <c r="V85" s="241">
        <v>16.149999999999999</v>
      </c>
    </row>
    <row r="86" spans="1:25" x14ac:dyDescent="0.25">
      <c r="A86" s="222"/>
      <c r="B86" s="363"/>
      <c r="C86" s="362"/>
      <c r="D86" s="362"/>
      <c r="E86" s="362"/>
      <c r="F86" s="362"/>
      <c r="G86" s="362"/>
      <c r="H86" s="362"/>
      <c r="I86" s="362"/>
      <c r="J86" s="362"/>
      <c r="K86" s="362"/>
      <c r="L86" s="362"/>
      <c r="M86" s="362"/>
      <c r="N86" s="362"/>
      <c r="O86" s="362"/>
      <c r="P86" s="362"/>
      <c r="Q86" s="362"/>
      <c r="R86" s="362"/>
      <c r="S86" s="362"/>
      <c r="T86" s="362"/>
      <c r="U86" s="362"/>
      <c r="V86" s="364"/>
    </row>
    <row r="87" spans="1:25" x14ac:dyDescent="0.25">
      <c r="B87" s="238">
        <v>20121</v>
      </c>
      <c r="C87" s="239">
        <v>20122</v>
      </c>
      <c r="D87" s="239">
        <v>20123</v>
      </c>
      <c r="E87" s="239">
        <v>20124</v>
      </c>
      <c r="F87" s="239">
        <v>20131</v>
      </c>
      <c r="G87" s="239">
        <v>20132</v>
      </c>
      <c r="H87" s="239">
        <v>20133</v>
      </c>
      <c r="I87" s="239">
        <v>20134</v>
      </c>
      <c r="J87" s="239">
        <v>20141</v>
      </c>
      <c r="K87" s="239">
        <v>20142</v>
      </c>
      <c r="L87" s="239">
        <v>20143</v>
      </c>
      <c r="M87" s="239">
        <v>20144</v>
      </c>
      <c r="N87" s="239">
        <v>20151</v>
      </c>
      <c r="O87" s="239">
        <v>20152</v>
      </c>
      <c r="P87" s="239">
        <v>20153</v>
      </c>
      <c r="Q87" s="239">
        <v>20154</v>
      </c>
      <c r="R87" s="239">
        <v>20161</v>
      </c>
      <c r="S87" s="239">
        <v>20162</v>
      </c>
      <c r="T87" s="239">
        <v>20163</v>
      </c>
      <c r="U87" s="239">
        <v>20164</v>
      </c>
      <c r="V87" s="240">
        <v>20171</v>
      </c>
    </row>
    <row r="88" spans="1:25" x14ac:dyDescent="0.25">
      <c r="A88" s="249" t="s">
        <v>3</v>
      </c>
      <c r="B88" s="248">
        <v>9043163</v>
      </c>
      <c r="C88" s="248">
        <v>9688714</v>
      </c>
      <c r="D88" s="248">
        <v>9008721</v>
      </c>
      <c r="E88" s="248">
        <v>8918146</v>
      </c>
      <c r="F88" s="248">
        <v>8543016</v>
      </c>
      <c r="G88" s="248">
        <v>8656634</v>
      </c>
      <c r="H88" s="248">
        <v>9258273</v>
      </c>
      <c r="I88" s="248">
        <v>10008309</v>
      </c>
      <c r="J88" s="248">
        <v>10269219</v>
      </c>
      <c r="K88" s="248">
        <v>10679658</v>
      </c>
      <c r="L88" s="248">
        <v>10845360</v>
      </c>
      <c r="M88" s="248">
        <v>2392218</v>
      </c>
      <c r="N88" s="248">
        <v>9271932</v>
      </c>
      <c r="O88" s="248">
        <v>10052571</v>
      </c>
      <c r="P88" s="248">
        <v>10821946</v>
      </c>
      <c r="Q88" s="248">
        <v>10701784</v>
      </c>
      <c r="R88" s="248">
        <v>11069277</v>
      </c>
      <c r="S88" s="248">
        <v>11031130</v>
      </c>
      <c r="T88" s="248">
        <v>11668651</v>
      </c>
      <c r="U88" s="248">
        <v>11321540</v>
      </c>
      <c r="V88" s="248">
        <v>12081986</v>
      </c>
    </row>
    <row r="89" spans="1:25" x14ac:dyDescent="0.25">
      <c r="A89" s="250" t="s">
        <v>4</v>
      </c>
      <c r="B89" s="243"/>
      <c r="C89" s="243"/>
      <c r="D89" s="243"/>
      <c r="E89" s="243"/>
      <c r="F89" s="243"/>
      <c r="G89" s="243"/>
      <c r="H89" s="243"/>
      <c r="I89" s="243"/>
      <c r="J89" s="243"/>
      <c r="K89" s="243"/>
      <c r="L89" s="243"/>
      <c r="M89" s="243"/>
      <c r="N89" s="243"/>
    </row>
    <row r="90" spans="1:25" x14ac:dyDescent="0.25">
      <c r="A90" s="251" t="s">
        <v>5</v>
      </c>
      <c r="B90" s="258">
        <v>3623554</v>
      </c>
      <c r="C90" s="258">
        <v>4245786</v>
      </c>
      <c r="D90" s="258">
        <v>2798796</v>
      </c>
      <c r="E90" s="258">
        <v>1360714</v>
      </c>
      <c r="F90" s="258">
        <v>3552480</v>
      </c>
      <c r="G90" s="258">
        <v>4243939</v>
      </c>
      <c r="H90" s="258">
        <v>3639328</v>
      </c>
      <c r="I90" s="258">
        <v>1613407</v>
      </c>
      <c r="J90" s="258">
        <v>4276996</v>
      </c>
      <c r="K90" s="258">
        <v>5125032</v>
      </c>
      <c r="L90" s="258">
        <v>4093508</v>
      </c>
      <c r="M90" s="258">
        <v>2987509</v>
      </c>
      <c r="N90" s="258">
        <v>4941715</v>
      </c>
      <c r="O90" s="258">
        <v>4699291</v>
      </c>
      <c r="P90" s="258">
        <v>4748473</v>
      </c>
      <c r="Q90" s="258">
        <v>4586264</v>
      </c>
      <c r="R90" s="258">
        <v>5328076</v>
      </c>
      <c r="S90" s="258">
        <v>4997907</v>
      </c>
      <c r="T90" s="258">
        <v>5381337</v>
      </c>
      <c r="U90" s="258">
        <v>4490184</v>
      </c>
      <c r="V90" s="258">
        <v>5066062</v>
      </c>
    </row>
    <row r="91" spans="1:25" x14ac:dyDescent="0.25">
      <c r="A91" s="250" t="s">
        <v>6</v>
      </c>
      <c r="B91" s="242">
        <v>3623554</v>
      </c>
      <c r="C91" s="242">
        <v>4245786</v>
      </c>
      <c r="D91" s="242">
        <v>2798796</v>
      </c>
      <c r="E91" s="242">
        <v>1360714</v>
      </c>
      <c r="F91" s="242">
        <v>3552480</v>
      </c>
      <c r="G91" s="242">
        <v>4243939</v>
      </c>
      <c r="H91" s="242">
        <v>3639328</v>
      </c>
      <c r="I91" s="242">
        <v>1613407</v>
      </c>
      <c r="J91" s="242">
        <v>4276996</v>
      </c>
      <c r="K91" s="242">
        <v>5125032</v>
      </c>
      <c r="L91" s="242">
        <v>4093508</v>
      </c>
      <c r="M91" s="242">
        <v>2987509</v>
      </c>
      <c r="N91" s="242">
        <v>4941715</v>
      </c>
      <c r="O91" s="242">
        <v>4699291</v>
      </c>
      <c r="P91" s="242">
        <v>4748473</v>
      </c>
      <c r="Q91" s="242">
        <v>4586264</v>
      </c>
      <c r="R91" s="242">
        <v>5328076</v>
      </c>
      <c r="S91" s="242">
        <v>4997907</v>
      </c>
      <c r="T91" s="242">
        <v>5381337</v>
      </c>
      <c r="U91" s="242">
        <v>4490184</v>
      </c>
      <c r="V91" s="242">
        <v>5066062</v>
      </c>
    </row>
    <row r="92" spans="1:25" x14ac:dyDescent="0.25">
      <c r="A92" s="251" t="s">
        <v>7</v>
      </c>
      <c r="B92" s="243">
        <v>3017573</v>
      </c>
      <c r="C92" s="243">
        <v>3602155</v>
      </c>
      <c r="D92" s="243">
        <v>2396572</v>
      </c>
      <c r="E92" s="243">
        <v>1101239</v>
      </c>
      <c r="F92" s="243">
        <v>2970056</v>
      </c>
      <c r="G92" s="243">
        <v>3390670</v>
      </c>
      <c r="H92" s="243">
        <v>2932219</v>
      </c>
      <c r="I92" s="243">
        <v>1584029</v>
      </c>
      <c r="J92" s="243">
        <v>3654573</v>
      </c>
      <c r="K92" s="243">
        <v>4550434</v>
      </c>
      <c r="L92" s="243">
        <v>3500131</v>
      </c>
      <c r="M92" s="243">
        <v>2372508</v>
      </c>
      <c r="N92" s="243">
        <v>4109203</v>
      </c>
      <c r="O92" s="243">
        <v>3998670</v>
      </c>
      <c r="P92" s="243">
        <v>3910242</v>
      </c>
      <c r="Q92" s="243">
        <v>3944116</v>
      </c>
      <c r="R92" s="243">
        <v>4405605</v>
      </c>
      <c r="S92" s="243">
        <v>4340658</v>
      </c>
      <c r="T92" s="243">
        <v>4660934</v>
      </c>
      <c r="U92" s="243">
        <v>3876960</v>
      </c>
      <c r="V92" s="243">
        <v>4309071</v>
      </c>
    </row>
    <row r="93" spans="1:25" ht="25.5" x14ac:dyDescent="0.25">
      <c r="A93" s="252" t="s">
        <v>8</v>
      </c>
      <c r="B93" s="248">
        <v>2995043</v>
      </c>
      <c r="C93" s="248">
        <v>3661007</v>
      </c>
      <c r="D93" s="248">
        <v>2372368</v>
      </c>
      <c r="E93" s="248">
        <v>1145421</v>
      </c>
      <c r="F93" s="248">
        <v>2963417</v>
      </c>
      <c r="G93" s="248">
        <v>3368615</v>
      </c>
      <c r="H93" s="248">
        <v>2913242</v>
      </c>
      <c r="I93" s="248">
        <v>1643367</v>
      </c>
      <c r="J93" s="248">
        <v>3659384</v>
      </c>
      <c r="K93" s="248">
        <v>4547811</v>
      </c>
      <c r="L93" s="248">
        <v>3484993</v>
      </c>
      <c r="M93" s="248">
        <v>2392748</v>
      </c>
      <c r="N93" s="248">
        <v>4108975</v>
      </c>
      <c r="O93" s="248">
        <v>4002961</v>
      </c>
      <c r="P93" s="248">
        <v>3920915</v>
      </c>
      <c r="Q93" s="248">
        <v>3973237</v>
      </c>
      <c r="R93" s="248">
        <v>4429771</v>
      </c>
      <c r="S93" s="248">
        <v>4345560</v>
      </c>
      <c r="T93" s="248">
        <v>4674240</v>
      </c>
      <c r="U93" s="248">
        <v>3906427</v>
      </c>
      <c r="V93" s="248">
        <v>4340378</v>
      </c>
    </row>
    <row r="94" spans="1:25" x14ac:dyDescent="0.25">
      <c r="A94" s="233" t="s">
        <v>365</v>
      </c>
      <c r="B94" s="253">
        <f>IF(B91="","",B91-B90)</f>
        <v>0</v>
      </c>
      <c r="C94" s="253">
        <f>IF(C91="","",C91-C90)</f>
        <v>0</v>
      </c>
      <c r="D94" s="253">
        <f t="shared" ref="D94:Y94" si="8">IF(D91="","",D91-D90)</f>
        <v>0</v>
      </c>
      <c r="E94" s="253">
        <f t="shared" si="8"/>
        <v>0</v>
      </c>
      <c r="F94" s="253">
        <f t="shared" si="8"/>
        <v>0</v>
      </c>
      <c r="G94" s="253">
        <f t="shared" si="8"/>
        <v>0</v>
      </c>
      <c r="H94" s="253">
        <f t="shared" si="8"/>
        <v>0</v>
      </c>
      <c r="I94" s="253">
        <f t="shared" si="8"/>
        <v>0</v>
      </c>
      <c r="J94" s="253">
        <f t="shared" si="8"/>
        <v>0</v>
      </c>
      <c r="K94" s="253">
        <f t="shared" si="8"/>
        <v>0</v>
      </c>
      <c r="L94" s="253">
        <f t="shared" si="8"/>
        <v>0</v>
      </c>
      <c r="M94" s="253">
        <f t="shared" si="8"/>
        <v>0</v>
      </c>
      <c r="N94" s="253">
        <f t="shared" si="8"/>
        <v>0</v>
      </c>
      <c r="O94" s="253">
        <f t="shared" si="8"/>
        <v>0</v>
      </c>
      <c r="P94" s="253">
        <f t="shared" si="8"/>
        <v>0</v>
      </c>
      <c r="Q94" s="253">
        <f t="shared" si="8"/>
        <v>0</v>
      </c>
      <c r="R94" s="253">
        <f t="shared" si="8"/>
        <v>0</v>
      </c>
      <c r="S94" s="253">
        <f t="shared" si="8"/>
        <v>0</v>
      </c>
      <c r="T94" s="253">
        <f t="shared" si="8"/>
        <v>0</v>
      </c>
      <c r="U94" s="253">
        <f t="shared" si="8"/>
        <v>0</v>
      </c>
      <c r="V94" s="253">
        <f t="shared" si="8"/>
        <v>0</v>
      </c>
      <c r="W94" s="253" t="str">
        <f t="shared" si="8"/>
        <v/>
      </c>
      <c r="X94" s="253" t="str">
        <f t="shared" si="8"/>
        <v/>
      </c>
      <c r="Y94" s="253" t="str">
        <f t="shared" si="8"/>
        <v/>
      </c>
    </row>
    <row r="96" spans="1:25" ht="14.25" thickBot="1" x14ac:dyDescent="0.3">
      <c r="B96" s="238">
        <v>2012</v>
      </c>
      <c r="C96" s="239">
        <v>2013</v>
      </c>
      <c r="D96" s="239">
        <v>2014</v>
      </c>
      <c r="E96" s="239">
        <v>2015</v>
      </c>
      <c r="F96" s="240">
        <v>2016</v>
      </c>
    </row>
    <row r="97" spans="1:6" ht="14.25" thickBot="1" x14ac:dyDescent="0.3">
      <c r="A97" s="224" t="s">
        <v>3</v>
      </c>
      <c r="B97" s="248">
        <v>36658744</v>
      </c>
      <c r="C97" s="248">
        <v>36466232</v>
      </c>
      <c r="D97" s="248">
        <v>34186455</v>
      </c>
      <c r="E97" s="248">
        <v>40848233</v>
      </c>
      <c r="F97" s="248">
        <v>45090598</v>
      </c>
    </row>
    <row r="98" spans="1:6" ht="14.25" thickBot="1" x14ac:dyDescent="0.3">
      <c r="A98" s="225" t="s">
        <v>4</v>
      </c>
      <c r="B98" s="226"/>
      <c r="C98" s="226"/>
      <c r="D98" s="226"/>
      <c r="E98" s="226"/>
      <c r="F98" s="226"/>
    </row>
    <row r="99" spans="1:6" ht="14.25" thickBot="1" x14ac:dyDescent="0.3">
      <c r="A99" s="224" t="s">
        <v>5</v>
      </c>
      <c r="B99" s="258">
        <v>12028850</v>
      </c>
      <c r="C99" s="258">
        <v>13049154</v>
      </c>
      <c r="D99" s="258">
        <v>16483045</v>
      </c>
      <c r="E99" s="258">
        <v>18975743</v>
      </c>
      <c r="F99" s="258">
        <v>20197504</v>
      </c>
    </row>
    <row r="100" spans="1:6" ht="14.25" thickBot="1" x14ac:dyDescent="0.3">
      <c r="A100" s="225" t="s">
        <v>6</v>
      </c>
      <c r="B100" s="242">
        <v>12028850</v>
      </c>
      <c r="C100" s="242">
        <v>13049154</v>
      </c>
      <c r="D100" s="242">
        <v>16483045</v>
      </c>
      <c r="E100" s="242">
        <v>18975743</v>
      </c>
      <c r="F100" s="242">
        <v>20197504</v>
      </c>
    </row>
    <row r="101" spans="1:6" ht="14.25" thickBot="1" x14ac:dyDescent="0.3">
      <c r="A101" s="224" t="s">
        <v>7</v>
      </c>
      <c r="B101" s="243">
        <v>10117539</v>
      </c>
      <c r="C101" s="243">
        <v>10876974</v>
      </c>
      <c r="D101" s="243">
        <v>14077646</v>
      </c>
      <c r="E101" s="243">
        <v>15962231</v>
      </c>
      <c r="F101" s="243">
        <v>17284157</v>
      </c>
    </row>
    <row r="102" spans="1:6" x14ac:dyDescent="0.25">
      <c r="A102" s="227" t="s">
        <v>8</v>
      </c>
      <c r="B102" s="248">
        <v>10173839</v>
      </c>
      <c r="C102" s="248">
        <v>10888641</v>
      </c>
      <c r="D102" s="248">
        <v>14084936</v>
      </c>
      <c r="E102" s="248">
        <v>16006088</v>
      </c>
      <c r="F102" s="248">
        <v>17355998</v>
      </c>
    </row>
    <row r="103" spans="1:6" x14ac:dyDescent="0.25">
      <c r="A103" s="233" t="s">
        <v>262</v>
      </c>
      <c r="B103" s="234">
        <f>IF(OR(B102="",B102="無"),"",B102/B101)</f>
        <v>1.0055645943148823</v>
      </c>
      <c r="C103" s="234">
        <f>IF(OR(C102="",C102="無"),"",C102/C101)</f>
        <v>1.0010726328848447</v>
      </c>
      <c r="D103" s="234">
        <f>IF(OR(D102="",D102="無"),"",D102/D101)</f>
        <v>1.0005178422585708</v>
      </c>
      <c r="E103" s="234">
        <f>IF(OR(E102="",E102="無"),"",E102/E101)</f>
        <v>1.0027475482593879</v>
      </c>
      <c r="F103" s="234">
        <f>IF(OR(F102="",F102="無"),"",F102/F101)</f>
        <v>1.0041564653688346</v>
      </c>
    </row>
    <row r="104" spans="1:6" x14ac:dyDescent="0.25">
      <c r="F104" s="135"/>
    </row>
    <row r="105" spans="1:6" ht="14.25" thickBot="1" x14ac:dyDescent="0.3">
      <c r="B105" s="238">
        <v>2012</v>
      </c>
      <c r="C105" s="239">
        <v>2013</v>
      </c>
      <c r="D105" s="239">
        <v>2014</v>
      </c>
      <c r="E105" s="239">
        <v>2015</v>
      </c>
      <c r="F105" s="240">
        <v>2016</v>
      </c>
    </row>
    <row r="106" spans="1:6" ht="14.25" thickBot="1" x14ac:dyDescent="0.3">
      <c r="A106" s="224" t="s">
        <v>36</v>
      </c>
      <c r="B106" s="244">
        <v>2.46</v>
      </c>
      <c r="C106" s="244">
        <v>4.22</v>
      </c>
      <c r="D106" s="244">
        <v>3.03</v>
      </c>
      <c r="E106" s="244">
        <v>4.55</v>
      </c>
      <c r="F106" s="244">
        <v>-1.99</v>
      </c>
    </row>
    <row r="107" spans="1:6" ht="14.25" thickBot="1" x14ac:dyDescent="0.3">
      <c r="A107" s="225" t="s">
        <v>37</v>
      </c>
      <c r="B107" s="246">
        <v>-4.51</v>
      </c>
      <c r="C107" s="246">
        <v>-0.35</v>
      </c>
      <c r="D107" s="246">
        <v>-0.31</v>
      </c>
      <c r="E107" s="246">
        <v>-0.09</v>
      </c>
      <c r="F107" s="246">
        <v>-0.02</v>
      </c>
    </row>
    <row r="108" spans="1:6" ht="14.25" thickBot="1" x14ac:dyDescent="0.3">
      <c r="A108" s="224" t="s">
        <v>38</v>
      </c>
      <c r="B108" s="244">
        <v>2.94</v>
      </c>
      <c r="C108" s="244">
        <v>0.77</v>
      </c>
      <c r="D108" s="244">
        <v>-0.85</v>
      </c>
      <c r="E108" s="244">
        <v>1.0900000000000001</v>
      </c>
      <c r="F108" s="244">
        <v>-0.53</v>
      </c>
    </row>
    <row r="109" spans="1:6" ht="14.25" thickBot="1" x14ac:dyDescent="0.3">
      <c r="A109" s="225" t="s">
        <v>270</v>
      </c>
      <c r="B109" s="246">
        <v>-2.0499999999999998</v>
      </c>
      <c r="C109" s="246">
        <v>3.87</v>
      </c>
      <c r="D109" s="246">
        <v>2.72</v>
      </c>
      <c r="E109" s="246">
        <v>4.46</v>
      </c>
      <c r="F109" s="246">
        <v>-2.0099999999999998</v>
      </c>
    </row>
    <row r="110" spans="1:6" x14ac:dyDescent="0.25">
      <c r="A110" s="229" t="s">
        <v>39</v>
      </c>
      <c r="B110" s="241">
        <v>0.89</v>
      </c>
      <c r="C110" s="241">
        <v>4.6500000000000004</v>
      </c>
      <c r="D110" s="241">
        <v>1.87</v>
      </c>
      <c r="E110" s="241">
        <v>5.55</v>
      </c>
      <c r="F110" s="241">
        <v>-2.5499999999999998</v>
      </c>
    </row>
    <row r="111" spans="1:6" x14ac:dyDescent="0.25">
      <c r="A111" s="233" t="s">
        <v>271</v>
      </c>
      <c r="B111" s="234" t="str">
        <f>IF(OR(B114&lt;=0,B114="無"),"",IF(B109&gt;=B114,"一般盈餘",IF(AND(B108&gt;0,B106&lt;B114),"借錢配息?",IF(B107&gt;(B114-B109),"可能賣資產","保留盈餘"))))</f>
        <v>保留盈餘</v>
      </c>
      <c r="C111" s="234" t="str">
        <f>IF(OR(C114&lt;=0,C114="無"),"",IF(C109&gt;=C114,"一般盈餘",IF(AND(C108&gt;0,C106&lt;C114),"借錢配息?",IF(C107&gt;(C114-C109),"可能賣資產","保留盈餘"))))</f>
        <v>一般盈餘</v>
      </c>
      <c r="D111" s="234" t="str">
        <f>IF(OR(D114&lt;=0,D114="無"),"",IF(D109&gt;=D114,"一般盈餘",IF(AND(D108&gt;0,D106&lt;D114),"借錢配息?",IF(D107&gt;(D114-D109),"可能賣資產","保留盈餘"))))</f>
        <v>一般盈餘</v>
      </c>
      <c r="E111" s="234" t="str">
        <f>IF(OR(E114&lt;=0,E114="無"),"",IF(E109&gt;=E114,"一般盈餘",IF(AND(E108&gt;0,E106&lt;E114),"借錢配息?",IF(E107&gt;(E114-E109),"可能賣資產","保留盈餘"))))</f>
        <v>一般盈餘</v>
      </c>
      <c r="F111" s="234" t="str">
        <f>IF(OR(F114&lt;=0,F114="無"),"",IF(F109&gt;=F114,"一般盈餘",IF(AND(F108&gt;0,F106&lt;F114),"借錢配息?",IF(F107&gt;(F114-F109),"可能賣資產","保留盈餘"))))</f>
        <v>保留盈餘</v>
      </c>
    </row>
    <row r="112" spans="1:6" s="93" customFormat="1" x14ac:dyDescent="0.25">
      <c r="A112" s="230"/>
      <c r="B112" s="360"/>
      <c r="C112" s="360"/>
      <c r="D112" s="360"/>
      <c r="E112" s="360"/>
      <c r="F112" s="360"/>
    </row>
    <row r="113" spans="1:22" ht="14.25" thickBot="1" x14ac:dyDescent="0.3">
      <c r="B113" s="238">
        <v>2012</v>
      </c>
      <c r="C113" s="239">
        <v>2013</v>
      </c>
      <c r="D113" s="239">
        <v>2014</v>
      </c>
      <c r="E113" s="239">
        <v>2015</v>
      </c>
      <c r="F113" s="240">
        <v>2016</v>
      </c>
    </row>
    <row r="114" spans="1:22" ht="14.25" thickBot="1" x14ac:dyDescent="0.3">
      <c r="A114" s="224" t="s">
        <v>0</v>
      </c>
      <c r="B114" s="244">
        <v>0.45</v>
      </c>
      <c r="C114" s="244">
        <v>0.5</v>
      </c>
      <c r="D114" s="244">
        <v>0.7</v>
      </c>
      <c r="E114" s="244">
        <v>0.95</v>
      </c>
      <c r="F114" s="244">
        <v>1.2</v>
      </c>
    </row>
    <row r="115" spans="1:22" x14ac:dyDescent="0.25">
      <c r="A115" s="227" t="s">
        <v>1</v>
      </c>
      <c r="B115" s="247">
        <v>0.65</v>
      </c>
      <c r="C115" s="247">
        <v>0.7</v>
      </c>
      <c r="D115" s="247">
        <v>0.65</v>
      </c>
      <c r="E115" s="247">
        <v>0.45</v>
      </c>
      <c r="F115" s="247">
        <v>0.2</v>
      </c>
    </row>
    <row r="116" spans="1:22" x14ac:dyDescent="0.25">
      <c r="A116" s="233" t="s">
        <v>272</v>
      </c>
      <c r="B116" s="234">
        <f>B114/(HLOOKUP(B113*10+1,81:82,2,FALSE)+HLOOKUP(B113*10+2,81:82,2,FALSE)+HLOOKUP(B113*10+3,81:82,2,FALSE)+HLOOKUP(B113*10+4,81:82,2,FALSE))</f>
        <v>0.3543307086614173</v>
      </c>
      <c r="C116" s="234">
        <f>C114/(HLOOKUP(C113*10+1,81:82,2,FALSE)+HLOOKUP(C113*10+2,81:82,2,FALSE)+HLOOKUP(C113*10+3,81:82,2,FALSE)+HLOOKUP(C113*10+4,81:82,2,FALSE))</f>
        <v>0.390625</v>
      </c>
      <c r="D116" s="234">
        <f>IF(D114&lt;&gt;"無",IF(ISNA(HLOOKUP(D113,$B$64:$F$69,6,FALSE)),"",D114/HLOOKUP(D113,$B$64:$F$69,6,FALSE)),"")</f>
        <v>0.45161290322580638</v>
      </c>
      <c r="E116" s="234">
        <f>IF(E114&lt;&gt;"無",IF(ISNA(HLOOKUP(E113,$B$64:$F$69,6,FALSE)),"",E114/HLOOKUP(E113,$B$64:$F$69,6,FALSE)),"")</f>
        <v>0.58641975308641969</v>
      </c>
      <c r="F116" s="234">
        <f>IF(F114&lt;&gt;"無",IF(ISNA(HLOOKUP(F113,$B$64:$F$69,6,FALSE)),"",F114/HLOOKUP(F113,$B$64:$F$69,6,FALSE)),"")</f>
        <v>0.81632653061224481</v>
      </c>
    </row>
    <row r="117" spans="1:22" x14ac:dyDescent="0.25">
      <c r="A117" s="233" t="s">
        <v>216</v>
      </c>
      <c r="B117" s="234">
        <f>IF(OR(B114=0,B114="無"),"",B109/B114)</f>
        <v>-4.5555555555555554</v>
      </c>
      <c r="C117" s="234">
        <f>IF(OR(C114=0,C114="無"),"",C109/C114)</f>
        <v>7.74</v>
      </c>
      <c r="D117" s="234">
        <f>IF(OR(D114=0,D114="無"),"",D109/D114)</f>
        <v>3.8857142857142861</v>
      </c>
      <c r="E117" s="234">
        <f>IF(OR(E114=0,E114="無"),"",E109/E114)</f>
        <v>4.6947368421052635</v>
      </c>
      <c r="F117" s="234">
        <f>IF(OR(F114=0,F114="無"),"",F109/F114)</f>
        <v>-1.6749999999999998</v>
      </c>
    </row>
    <row r="118" spans="1:22" s="93" customFormat="1" x14ac:dyDescent="0.25">
      <c r="A118" s="230"/>
      <c r="B118" s="231"/>
      <c r="C118" s="231"/>
      <c r="D118" s="231"/>
      <c r="E118" s="231"/>
      <c r="F118" s="231"/>
    </row>
    <row r="119" spans="1:22" s="93" customFormat="1" ht="14.25" thickBot="1" x14ac:dyDescent="0.3">
      <c r="A119" s="230"/>
      <c r="B119" s="262">
        <v>20121</v>
      </c>
      <c r="C119" s="263">
        <v>20122</v>
      </c>
      <c r="D119" s="263">
        <v>20123</v>
      </c>
      <c r="E119" s="263">
        <v>20124</v>
      </c>
      <c r="F119" s="263">
        <v>20131</v>
      </c>
      <c r="G119" s="263">
        <v>20132</v>
      </c>
      <c r="H119" s="263">
        <v>20133</v>
      </c>
      <c r="I119" s="263">
        <v>20134</v>
      </c>
      <c r="J119" s="263">
        <v>20141</v>
      </c>
      <c r="K119" s="263">
        <v>20142</v>
      </c>
      <c r="L119" s="263">
        <v>20143</v>
      </c>
      <c r="M119" s="263">
        <v>20144</v>
      </c>
      <c r="N119" s="263">
        <v>20151</v>
      </c>
      <c r="O119" s="263">
        <v>20152</v>
      </c>
      <c r="P119" s="263">
        <v>20153</v>
      </c>
      <c r="Q119" s="263">
        <v>20154</v>
      </c>
      <c r="R119" s="263">
        <v>20161</v>
      </c>
      <c r="S119" s="263">
        <v>20162</v>
      </c>
      <c r="T119" s="263">
        <v>20163</v>
      </c>
      <c r="U119" s="263">
        <v>20164</v>
      </c>
      <c r="V119" s="264">
        <v>20171</v>
      </c>
    </row>
    <row r="120" spans="1:22" s="93" customFormat="1" ht="14.25" thickBot="1" x14ac:dyDescent="0.3">
      <c r="A120" s="224" t="s">
        <v>40</v>
      </c>
      <c r="B120" s="228"/>
      <c r="C120" s="228"/>
      <c r="D120" s="228"/>
      <c r="E120" s="228"/>
      <c r="F120" s="228"/>
      <c r="G120" s="228"/>
      <c r="H120" s="228"/>
      <c r="I120" s="228"/>
      <c r="J120" s="228"/>
      <c r="K120" s="228"/>
      <c r="L120" s="228"/>
      <c r="M120" s="228"/>
      <c r="N120" s="228"/>
    </row>
    <row r="121" spans="1:22" s="93" customFormat="1" ht="14.25" thickBot="1" x14ac:dyDescent="0.3">
      <c r="A121" s="225" t="s">
        <v>19</v>
      </c>
      <c r="B121" s="265">
        <v>40.07</v>
      </c>
      <c r="C121" s="265">
        <v>43.82</v>
      </c>
      <c r="D121" s="265">
        <v>31.07</v>
      </c>
      <c r="E121" s="265">
        <v>15.26</v>
      </c>
      <c r="F121" s="265">
        <v>41.58</v>
      </c>
      <c r="G121" s="265">
        <v>49.03</v>
      </c>
      <c r="H121" s="265">
        <v>39.31</v>
      </c>
      <c r="I121" s="265">
        <v>16.12</v>
      </c>
      <c r="J121" s="265">
        <v>41.65</v>
      </c>
      <c r="K121" s="265">
        <v>47.99</v>
      </c>
      <c r="L121" s="265">
        <v>37.74</v>
      </c>
      <c r="M121" s="265">
        <v>124.88</v>
      </c>
      <c r="N121" s="265">
        <v>53.3</v>
      </c>
      <c r="O121" s="265">
        <v>46.75</v>
      </c>
      <c r="P121" s="265">
        <v>43.88</v>
      </c>
      <c r="Q121" s="265">
        <v>42.86</v>
      </c>
      <c r="R121" s="265">
        <v>48.13</v>
      </c>
      <c r="S121" s="265">
        <v>45.31</v>
      </c>
      <c r="T121" s="265">
        <v>46.12</v>
      </c>
      <c r="U121" s="265">
        <v>39.659999999999997</v>
      </c>
      <c r="V121" s="265">
        <v>41.93</v>
      </c>
    </row>
    <row r="122" spans="1:22" s="93" customFormat="1" ht="14.25" thickBot="1" x14ac:dyDescent="0.3">
      <c r="A122" s="224" t="s">
        <v>41</v>
      </c>
      <c r="B122" s="246">
        <v>40.07</v>
      </c>
      <c r="C122" s="246">
        <v>43.82</v>
      </c>
      <c r="D122" s="246">
        <v>31.07</v>
      </c>
      <c r="E122" s="246">
        <v>15.26</v>
      </c>
      <c r="F122" s="246">
        <v>41.58</v>
      </c>
      <c r="G122" s="246">
        <v>49.03</v>
      </c>
      <c r="H122" s="246">
        <v>39.31</v>
      </c>
      <c r="I122" s="246">
        <v>16.12</v>
      </c>
      <c r="J122" s="246">
        <v>41.65</v>
      </c>
      <c r="K122" s="246">
        <v>47.99</v>
      </c>
      <c r="L122" s="246">
        <v>37.74</v>
      </c>
      <c r="M122" s="246">
        <v>124.88</v>
      </c>
      <c r="N122" s="246">
        <v>53.3</v>
      </c>
      <c r="O122" s="246">
        <v>46.75</v>
      </c>
      <c r="P122" s="246">
        <v>43.88</v>
      </c>
      <c r="Q122" s="246">
        <v>42.86</v>
      </c>
      <c r="R122" s="246">
        <v>48.13</v>
      </c>
      <c r="S122" s="246">
        <v>45.31</v>
      </c>
      <c r="T122" s="246">
        <v>46.12</v>
      </c>
      <c r="U122" s="246">
        <v>39.659999999999997</v>
      </c>
      <c r="V122" s="246">
        <v>41.93</v>
      </c>
    </row>
    <row r="123" spans="1:22" s="93" customFormat="1" ht="14.25" thickBot="1" x14ac:dyDescent="0.3">
      <c r="A123" s="225" t="s">
        <v>13</v>
      </c>
      <c r="B123" s="241">
        <v>33.369999999999997</v>
      </c>
      <c r="C123" s="241">
        <v>37.18</v>
      </c>
      <c r="D123" s="241">
        <v>26.6</v>
      </c>
      <c r="E123" s="241">
        <v>12.35</v>
      </c>
      <c r="F123" s="241">
        <v>34.770000000000003</v>
      </c>
      <c r="G123" s="241">
        <v>39.17</v>
      </c>
      <c r="H123" s="241">
        <v>31.67</v>
      </c>
      <c r="I123" s="241">
        <v>15.83</v>
      </c>
      <c r="J123" s="241">
        <v>35.590000000000003</v>
      </c>
      <c r="K123" s="241">
        <v>42.61</v>
      </c>
      <c r="L123" s="241">
        <v>32.270000000000003</v>
      </c>
      <c r="M123" s="241">
        <v>99.18</v>
      </c>
      <c r="N123" s="241">
        <v>44.32</v>
      </c>
      <c r="O123" s="241">
        <v>39.78</v>
      </c>
      <c r="P123" s="241">
        <v>36.130000000000003</v>
      </c>
      <c r="Q123" s="241">
        <v>36.85</v>
      </c>
      <c r="R123" s="241">
        <v>39.799999999999997</v>
      </c>
      <c r="S123" s="241">
        <v>39.35</v>
      </c>
      <c r="T123" s="241">
        <v>39.94</v>
      </c>
      <c r="U123" s="241">
        <v>34.24</v>
      </c>
      <c r="V123" s="241">
        <v>35.67</v>
      </c>
    </row>
    <row r="124" spans="1:22" s="93" customFormat="1" x14ac:dyDescent="0.25"/>
    <row r="125" spans="1:22" s="93" customFormat="1" ht="14.25" thickBot="1" x14ac:dyDescent="0.3">
      <c r="B125" s="262">
        <v>2012</v>
      </c>
      <c r="C125" s="263">
        <v>2013</v>
      </c>
      <c r="D125" s="263">
        <v>2014</v>
      </c>
      <c r="E125" s="263">
        <v>2015</v>
      </c>
      <c r="F125" s="264">
        <v>2016</v>
      </c>
    </row>
    <row r="126" spans="1:22" s="93" customFormat="1" ht="14.25" thickBot="1" x14ac:dyDescent="0.3">
      <c r="A126" s="224" t="s">
        <v>40</v>
      </c>
      <c r="B126" s="228"/>
      <c r="C126" s="228"/>
      <c r="D126" s="228"/>
      <c r="E126" s="228"/>
      <c r="F126" s="228"/>
    </row>
    <row r="127" spans="1:22" s="93" customFormat="1" ht="14.25" thickBot="1" x14ac:dyDescent="0.3">
      <c r="A127" s="225" t="s">
        <v>19</v>
      </c>
      <c r="B127" s="265">
        <v>32.81</v>
      </c>
      <c r="C127" s="265">
        <v>35.78</v>
      </c>
      <c r="D127" s="265">
        <v>48.22</v>
      </c>
      <c r="E127" s="265">
        <v>46.45</v>
      </c>
      <c r="F127" s="265">
        <v>44.79</v>
      </c>
    </row>
    <row r="128" spans="1:22" s="93" customFormat="1" ht="14.25" thickBot="1" x14ac:dyDescent="0.3">
      <c r="A128" s="224" t="s">
        <v>41</v>
      </c>
      <c r="B128" s="246">
        <v>32.81</v>
      </c>
      <c r="C128" s="246">
        <v>35.78</v>
      </c>
      <c r="D128" s="246">
        <v>48.22</v>
      </c>
      <c r="E128" s="246">
        <v>46.45</v>
      </c>
      <c r="F128" s="246">
        <v>44.79</v>
      </c>
    </row>
    <row r="129" spans="1:24" s="93" customFormat="1" ht="14.25" thickBot="1" x14ac:dyDescent="0.3">
      <c r="A129" s="225" t="s">
        <v>13</v>
      </c>
      <c r="B129" s="241">
        <v>27.6</v>
      </c>
      <c r="C129" s="241">
        <v>29.83</v>
      </c>
      <c r="D129" s="241">
        <v>41.18</v>
      </c>
      <c r="E129" s="241">
        <v>39.08</v>
      </c>
      <c r="F129" s="241">
        <v>38.33</v>
      </c>
    </row>
    <row r="130" spans="1:24" s="93" customFormat="1" ht="14.25" thickBot="1" x14ac:dyDescent="0.3"/>
    <row r="131" spans="1:24" s="93" customFormat="1" ht="14.25" thickBot="1" x14ac:dyDescent="0.3">
      <c r="B131" s="69">
        <v>20121</v>
      </c>
      <c r="C131" s="70">
        <v>20122</v>
      </c>
      <c r="D131" s="70">
        <v>20123</v>
      </c>
      <c r="E131" s="70">
        <v>20124</v>
      </c>
      <c r="F131" s="70">
        <v>20131</v>
      </c>
      <c r="G131" s="70">
        <v>20132</v>
      </c>
      <c r="H131" s="70">
        <v>20133</v>
      </c>
      <c r="I131" s="70">
        <v>20134</v>
      </c>
      <c r="J131" s="70">
        <v>20141</v>
      </c>
      <c r="K131" s="70">
        <v>20142</v>
      </c>
      <c r="L131" s="70">
        <v>20143</v>
      </c>
      <c r="M131" s="70">
        <v>20144</v>
      </c>
      <c r="N131" s="70">
        <v>20151</v>
      </c>
      <c r="O131" s="70">
        <v>20152</v>
      </c>
      <c r="P131" s="70">
        <v>20153</v>
      </c>
      <c r="Q131" s="70">
        <v>20154</v>
      </c>
      <c r="R131" s="70">
        <v>20161</v>
      </c>
      <c r="S131" s="70">
        <v>20162</v>
      </c>
      <c r="T131" s="70">
        <v>20163</v>
      </c>
      <c r="U131" s="71">
        <v>20164</v>
      </c>
    </row>
    <row r="132" spans="1:24" s="93" customFormat="1" ht="14.25" thickBot="1" x14ac:dyDescent="0.3">
      <c r="A132" s="222" t="s">
        <v>11</v>
      </c>
      <c r="B132" s="72">
        <v>0</v>
      </c>
      <c r="C132" s="72">
        <v>0</v>
      </c>
      <c r="D132" s="72">
        <v>0</v>
      </c>
      <c r="E132" s="72">
        <v>0</v>
      </c>
      <c r="F132" s="72">
        <v>0</v>
      </c>
      <c r="G132" s="72">
        <v>0</v>
      </c>
      <c r="H132" s="72">
        <v>0</v>
      </c>
      <c r="I132" s="72">
        <v>0</v>
      </c>
      <c r="J132" s="72">
        <v>0</v>
      </c>
      <c r="K132" s="72">
        <v>0</v>
      </c>
      <c r="L132" s="72">
        <v>0</v>
      </c>
      <c r="M132" s="72">
        <v>0</v>
      </c>
      <c r="N132" s="72">
        <v>0</v>
      </c>
      <c r="O132" s="72">
        <v>0</v>
      </c>
      <c r="P132" s="72">
        <v>0</v>
      </c>
      <c r="Q132" s="72">
        <v>0</v>
      </c>
      <c r="R132" s="72">
        <v>0</v>
      </c>
      <c r="S132" s="72">
        <v>0</v>
      </c>
      <c r="T132" s="72">
        <v>0</v>
      </c>
      <c r="U132" s="72">
        <v>0</v>
      </c>
    </row>
    <row r="133" spans="1:24" s="93" customFormat="1" ht="14.25" thickBot="1" x14ac:dyDescent="0.3"/>
    <row r="134" spans="1:24" s="93" customFormat="1" ht="14.25" thickBot="1" x14ac:dyDescent="0.3">
      <c r="B134" s="238">
        <v>20121</v>
      </c>
      <c r="C134" s="239">
        <v>20122</v>
      </c>
      <c r="D134" s="239">
        <v>20123</v>
      </c>
      <c r="E134" s="239">
        <v>20124</v>
      </c>
      <c r="F134" s="239">
        <v>20131</v>
      </c>
      <c r="G134" s="239">
        <v>20132</v>
      </c>
      <c r="H134" s="239">
        <v>20133</v>
      </c>
      <c r="I134" s="239">
        <v>20134</v>
      </c>
      <c r="J134" s="239">
        <v>20141</v>
      </c>
      <c r="K134" s="239">
        <v>20142</v>
      </c>
      <c r="L134" s="239">
        <v>20143</v>
      </c>
      <c r="M134" s="239">
        <v>20144</v>
      </c>
      <c r="N134" s="239">
        <v>20151</v>
      </c>
      <c r="O134" s="239">
        <v>20152</v>
      </c>
      <c r="P134" s="239">
        <v>20153</v>
      </c>
      <c r="Q134" s="239">
        <v>20154</v>
      </c>
      <c r="R134" s="239">
        <v>20161</v>
      </c>
      <c r="S134" s="239">
        <v>20162</v>
      </c>
      <c r="T134" s="239">
        <v>20163</v>
      </c>
      <c r="U134" s="239">
        <v>20164</v>
      </c>
      <c r="V134" s="240">
        <v>20171</v>
      </c>
      <c r="W134" s="70">
        <v>20162</v>
      </c>
      <c r="X134" s="71">
        <v>20163</v>
      </c>
    </row>
    <row r="135" spans="1:24" s="93" customFormat="1" ht="14.25" thickBot="1" x14ac:dyDescent="0.3">
      <c r="A135" s="224" t="s">
        <v>48</v>
      </c>
      <c r="B135" s="244">
        <v>0.27</v>
      </c>
      <c r="C135" s="244">
        <v>0.3</v>
      </c>
      <c r="D135" s="244">
        <v>0.24</v>
      </c>
      <c r="E135" s="244">
        <v>0.17</v>
      </c>
      <c r="F135" s="244">
        <v>0.25</v>
      </c>
      <c r="G135" s="244">
        <v>0.27</v>
      </c>
      <c r="H135" s="244">
        <v>0.25</v>
      </c>
      <c r="I135" s="244">
        <v>0.21</v>
      </c>
      <c r="J135" s="244">
        <v>0.28999999999999998</v>
      </c>
      <c r="K135" s="244">
        <v>0.34</v>
      </c>
      <c r="L135" s="244">
        <v>0.28999999999999998</v>
      </c>
      <c r="M135" s="244">
        <v>0.22</v>
      </c>
      <c r="N135" s="244">
        <v>0.3</v>
      </c>
      <c r="O135" s="244">
        <v>0.3</v>
      </c>
      <c r="P135" s="244">
        <v>0.28000000000000003</v>
      </c>
      <c r="Q135" s="244">
        <v>0.28000000000000003</v>
      </c>
      <c r="R135" s="244">
        <v>0.28999999999999998</v>
      </c>
      <c r="S135" s="244">
        <v>0.28999999999999998</v>
      </c>
      <c r="T135" s="244">
        <v>0.28999999999999998</v>
      </c>
      <c r="U135" s="244">
        <v>0.26</v>
      </c>
      <c r="V135" s="244">
        <v>0.28000000000000003</v>
      </c>
      <c r="W135" s="68">
        <v>0.17</v>
      </c>
      <c r="X135" s="68">
        <v>0.19</v>
      </c>
    </row>
    <row r="136" spans="1:24" s="93" customFormat="1" ht="14.25" thickBot="1" x14ac:dyDescent="0.3">
      <c r="A136" s="225" t="s">
        <v>45</v>
      </c>
      <c r="B136" s="247">
        <v>2.33</v>
      </c>
      <c r="C136" s="247">
        <v>2.74</v>
      </c>
      <c r="D136" s="247">
        <v>1.8</v>
      </c>
      <c r="E136" s="247">
        <v>0.82</v>
      </c>
      <c r="F136" s="247">
        <v>2.19</v>
      </c>
      <c r="G136" s="247">
        <v>2.4900000000000002</v>
      </c>
      <c r="H136" s="247">
        <v>2.14</v>
      </c>
      <c r="I136" s="247">
        <v>1.1299999999999999</v>
      </c>
      <c r="J136" s="247">
        <v>2.5499999999999998</v>
      </c>
      <c r="K136" s="247">
        <v>3.12</v>
      </c>
      <c r="L136" s="247">
        <v>2.37</v>
      </c>
      <c r="M136" s="247">
        <v>1.56</v>
      </c>
      <c r="N136" s="247">
        <v>2.63</v>
      </c>
      <c r="O136" s="247">
        <v>2.56</v>
      </c>
      <c r="P136" s="247">
        <v>2.31</v>
      </c>
      <c r="Q136" s="247">
        <v>2.12</v>
      </c>
      <c r="R136" s="247">
        <v>2.3199999999999998</v>
      </c>
      <c r="S136" s="247">
        <v>2.29</v>
      </c>
      <c r="T136" s="247">
        <v>2.48</v>
      </c>
      <c r="U136" s="247">
        <v>2.0299999999999998</v>
      </c>
      <c r="V136" s="247">
        <v>2.23</v>
      </c>
      <c r="W136" s="73">
        <v>2.29</v>
      </c>
      <c r="X136" s="73">
        <v>2.48</v>
      </c>
    </row>
    <row r="137" spans="1:24" s="93" customFormat="1" x14ac:dyDescent="0.25"/>
    <row r="138" spans="1:24" s="93" customFormat="1" ht="14.25" thickBot="1" x14ac:dyDescent="0.3">
      <c r="B138" s="238">
        <v>2012</v>
      </c>
      <c r="C138" s="239">
        <v>2013</v>
      </c>
      <c r="D138" s="239">
        <v>2014</v>
      </c>
      <c r="E138" s="239">
        <v>2015</v>
      </c>
      <c r="F138" s="240">
        <v>2016</v>
      </c>
    </row>
    <row r="139" spans="1:24" s="93" customFormat="1" ht="14.25" thickBot="1" x14ac:dyDescent="0.3">
      <c r="A139" s="224" t="s">
        <v>13</v>
      </c>
      <c r="B139" s="244">
        <v>27.6</v>
      </c>
      <c r="C139" s="244">
        <v>29.83</v>
      </c>
      <c r="D139" s="244">
        <v>41.18</v>
      </c>
      <c r="E139" s="244">
        <v>39.08</v>
      </c>
      <c r="F139" s="244">
        <v>38.33</v>
      </c>
    </row>
    <row r="140" spans="1:24" s="93" customFormat="1" ht="14.25" thickBot="1" x14ac:dyDescent="0.3">
      <c r="A140" s="225" t="s">
        <v>18</v>
      </c>
      <c r="B140" s="246">
        <v>0.02</v>
      </c>
      <c r="C140" s="246">
        <v>0.02</v>
      </c>
      <c r="D140" s="246">
        <v>0.01</v>
      </c>
      <c r="E140" s="246">
        <v>0.02</v>
      </c>
      <c r="F140" s="246">
        <v>0.02</v>
      </c>
    </row>
    <row r="141" spans="1:24" s="93" customFormat="1" ht="14.25" thickBot="1" x14ac:dyDescent="0.3">
      <c r="A141" s="224" t="s">
        <v>15</v>
      </c>
      <c r="B141" s="244">
        <v>15.75</v>
      </c>
      <c r="C141" s="244">
        <v>16.03</v>
      </c>
      <c r="D141" s="244">
        <v>15.26</v>
      </c>
      <c r="E141" s="244">
        <v>13.3</v>
      </c>
      <c r="F141" s="244">
        <v>13.23</v>
      </c>
    </row>
    <row r="142" spans="1:24" s="93" customFormat="1" ht="14.25" thickBot="1" x14ac:dyDescent="0.3">
      <c r="A142" s="225" t="s">
        <v>45</v>
      </c>
      <c r="B142" s="247">
        <v>7.73</v>
      </c>
      <c r="C142" s="247">
        <v>7.89</v>
      </c>
      <c r="D142" s="247">
        <v>9.5299999999999994</v>
      </c>
      <c r="E142" s="247">
        <v>9.32</v>
      </c>
      <c r="F142" s="247">
        <v>9.1</v>
      </c>
    </row>
    <row r="144" spans="1:24" x14ac:dyDescent="0.25">
      <c r="B144" s="238">
        <v>2012</v>
      </c>
      <c r="C144" s="239">
        <v>2013</v>
      </c>
      <c r="D144" s="239">
        <v>2014</v>
      </c>
      <c r="E144" s="239">
        <v>2015</v>
      </c>
      <c r="F144" s="240">
        <v>2016</v>
      </c>
    </row>
    <row r="145" spans="1:76" x14ac:dyDescent="0.25">
      <c r="A145" s="222" t="s">
        <v>12</v>
      </c>
      <c r="B145" s="241">
        <v>197.86</v>
      </c>
      <c r="C145" s="241">
        <v>335.46</v>
      </c>
      <c r="D145" s="241">
        <v>199.42</v>
      </c>
      <c r="E145" s="241">
        <v>294.33999999999997</v>
      </c>
      <c r="F145" s="241">
        <v>-137.77000000000001</v>
      </c>
    </row>
    <row r="146" spans="1:76" ht="14.25" thickBot="1" x14ac:dyDescent="0.3">
      <c r="A146" s="232"/>
    </row>
    <row r="147" spans="1:76" ht="14.25" thickBot="1" x14ac:dyDescent="0.3">
      <c r="B147" s="238">
        <v>201201</v>
      </c>
      <c r="C147" s="239">
        <v>201202</v>
      </c>
      <c r="D147" s="239">
        <v>201203</v>
      </c>
      <c r="E147" s="239">
        <v>201204</v>
      </c>
      <c r="F147" s="239">
        <v>201205</v>
      </c>
      <c r="G147" s="239">
        <v>201206</v>
      </c>
      <c r="H147" s="239">
        <v>201207</v>
      </c>
      <c r="I147" s="239">
        <v>201208</v>
      </c>
      <c r="J147" s="239">
        <v>201209</v>
      </c>
      <c r="K147" s="239">
        <v>201210</v>
      </c>
      <c r="L147" s="239">
        <v>201211</v>
      </c>
      <c r="M147" s="239">
        <v>201212</v>
      </c>
      <c r="N147" s="239">
        <v>201301</v>
      </c>
      <c r="O147" s="239">
        <v>201302</v>
      </c>
      <c r="P147" s="239">
        <v>201303</v>
      </c>
      <c r="Q147" s="239">
        <v>201304</v>
      </c>
      <c r="R147" s="239">
        <v>201305</v>
      </c>
      <c r="S147" s="239">
        <v>201306</v>
      </c>
      <c r="T147" s="239">
        <v>201307</v>
      </c>
      <c r="U147" s="239">
        <v>201308</v>
      </c>
      <c r="V147" s="239">
        <v>201309</v>
      </c>
      <c r="W147" s="239">
        <v>201310</v>
      </c>
      <c r="X147" s="239">
        <v>201311</v>
      </c>
      <c r="Y147" s="239">
        <v>201312</v>
      </c>
      <c r="Z147" s="239">
        <v>201401</v>
      </c>
      <c r="AA147" s="239">
        <v>201402</v>
      </c>
      <c r="AB147" s="239">
        <v>201403</v>
      </c>
      <c r="AC147" s="239">
        <v>201404</v>
      </c>
      <c r="AD147" s="239">
        <v>201405</v>
      </c>
      <c r="AE147" s="239">
        <v>201406</v>
      </c>
      <c r="AF147" s="239">
        <v>201407</v>
      </c>
      <c r="AG147" s="239">
        <v>201408</v>
      </c>
      <c r="AH147" s="239">
        <v>201409</v>
      </c>
      <c r="AI147" s="239">
        <v>201410</v>
      </c>
      <c r="AJ147" s="239">
        <v>201411</v>
      </c>
      <c r="AK147" s="239">
        <v>201412</v>
      </c>
      <c r="AL147" s="239">
        <v>201501</v>
      </c>
      <c r="AM147" s="239">
        <v>201502</v>
      </c>
      <c r="AN147" s="239">
        <v>201503</v>
      </c>
      <c r="AO147" s="239">
        <v>201504</v>
      </c>
      <c r="AP147" s="239">
        <v>201505</v>
      </c>
      <c r="AQ147" s="239">
        <v>201506</v>
      </c>
      <c r="AR147" s="239">
        <v>201507</v>
      </c>
      <c r="AS147" s="239">
        <v>201508</v>
      </c>
      <c r="AT147" s="239">
        <v>201509</v>
      </c>
      <c r="AU147" s="239">
        <v>201510</v>
      </c>
      <c r="AV147" s="239">
        <v>201511</v>
      </c>
      <c r="AW147" s="239">
        <v>201512</v>
      </c>
      <c r="AX147" s="239">
        <v>201601</v>
      </c>
      <c r="AY147" s="239">
        <v>201602</v>
      </c>
      <c r="AZ147" s="239">
        <v>201603</v>
      </c>
      <c r="BA147" s="239">
        <v>201604</v>
      </c>
      <c r="BB147" s="239">
        <v>201605</v>
      </c>
      <c r="BC147" s="239">
        <v>201606</v>
      </c>
      <c r="BD147" s="239">
        <v>201607</v>
      </c>
      <c r="BE147" s="239">
        <v>201608</v>
      </c>
      <c r="BF147" s="239">
        <v>201609</v>
      </c>
      <c r="BG147" s="239">
        <v>201610</v>
      </c>
      <c r="BH147" s="239">
        <v>201611</v>
      </c>
      <c r="BI147" s="239">
        <v>201612</v>
      </c>
      <c r="BJ147" s="239">
        <v>201701</v>
      </c>
      <c r="BK147" s="239">
        <v>201702</v>
      </c>
      <c r="BL147" s="239">
        <v>201703</v>
      </c>
      <c r="BM147" s="239">
        <v>201704</v>
      </c>
      <c r="BN147" s="240" t="s">
        <v>44</v>
      </c>
      <c r="BO147" s="70">
        <v>201606</v>
      </c>
      <c r="BP147" s="70">
        <v>201607</v>
      </c>
      <c r="BQ147" s="70">
        <v>201608</v>
      </c>
      <c r="BR147" s="70">
        <v>201609</v>
      </c>
      <c r="BS147" s="70">
        <v>201610</v>
      </c>
      <c r="BT147" s="70">
        <v>201611</v>
      </c>
      <c r="BU147" s="70">
        <v>201612</v>
      </c>
      <c r="BV147" s="70">
        <v>201701</v>
      </c>
      <c r="BW147" s="70">
        <v>201702</v>
      </c>
      <c r="BX147" s="71" t="s">
        <v>44</v>
      </c>
    </row>
    <row r="148" spans="1:76" ht="14.25" thickBot="1" x14ac:dyDescent="0.3">
      <c r="A148" s="222" t="s">
        <v>2</v>
      </c>
      <c r="B148" s="241">
        <v>13.73</v>
      </c>
      <c r="C148" s="241">
        <v>14.68</v>
      </c>
      <c r="D148" s="241">
        <v>14.07</v>
      </c>
      <c r="E148" s="241">
        <v>15.94</v>
      </c>
      <c r="F148" s="241">
        <v>15.3</v>
      </c>
      <c r="G148" s="241">
        <v>15.2</v>
      </c>
      <c r="H148" s="241">
        <v>15.9</v>
      </c>
      <c r="I148" s="241">
        <v>14.68</v>
      </c>
      <c r="J148" s="241">
        <v>14.85</v>
      </c>
      <c r="K148" s="241">
        <v>14.57</v>
      </c>
      <c r="L148" s="241">
        <v>14.1</v>
      </c>
      <c r="M148" s="241">
        <v>14.83</v>
      </c>
      <c r="N148" s="241">
        <v>14.77</v>
      </c>
      <c r="O148" s="241">
        <v>15.75</v>
      </c>
      <c r="P148" s="241">
        <v>15.53</v>
      </c>
      <c r="Q148" s="241">
        <v>14.36</v>
      </c>
      <c r="R148" s="241">
        <v>14.84</v>
      </c>
      <c r="S148" s="241">
        <v>14.28</v>
      </c>
      <c r="T148" s="241">
        <v>14.75</v>
      </c>
      <c r="U148" s="241">
        <v>13.95</v>
      </c>
      <c r="V148" s="241">
        <v>15.63</v>
      </c>
      <c r="W148" s="241">
        <v>15.87</v>
      </c>
      <c r="X148" s="241">
        <v>14.68</v>
      </c>
      <c r="Y148" s="241">
        <v>14.85</v>
      </c>
      <c r="Z148" s="241">
        <v>15.08</v>
      </c>
      <c r="AA148" s="241">
        <v>14.84</v>
      </c>
      <c r="AB148" s="241">
        <v>14.26</v>
      </c>
      <c r="AC148" s="241">
        <v>14.3</v>
      </c>
      <c r="AD148" s="241">
        <v>13.62</v>
      </c>
      <c r="AE148" s="241">
        <v>14.12</v>
      </c>
      <c r="AF148" s="241">
        <v>14.83</v>
      </c>
      <c r="AG148" s="241">
        <v>13.78</v>
      </c>
      <c r="AH148" s="241">
        <v>13.73</v>
      </c>
      <c r="AI148" s="241">
        <v>13.39</v>
      </c>
      <c r="AJ148" s="241">
        <v>12.82</v>
      </c>
      <c r="AK148" s="241">
        <v>12.69</v>
      </c>
      <c r="AL148" s="241">
        <v>12.68</v>
      </c>
      <c r="AM148" s="241">
        <v>12.82</v>
      </c>
      <c r="AN148" s="241">
        <v>12.16</v>
      </c>
      <c r="AO148" s="241">
        <v>12.45</v>
      </c>
      <c r="AP148" s="241">
        <v>12.32</v>
      </c>
      <c r="AQ148" s="241">
        <v>12.11</v>
      </c>
      <c r="AR148" s="241">
        <v>12.07</v>
      </c>
      <c r="AS148" s="241">
        <v>11.14</v>
      </c>
      <c r="AT148" s="241">
        <v>10.82</v>
      </c>
      <c r="AU148" s="241">
        <v>10.9</v>
      </c>
      <c r="AV148" s="241">
        <v>10.84</v>
      </c>
      <c r="AW148" s="241">
        <v>10.58</v>
      </c>
      <c r="AX148" s="241">
        <v>10.24</v>
      </c>
      <c r="AY148" s="241">
        <v>10.65</v>
      </c>
      <c r="AZ148" s="241">
        <v>10.28</v>
      </c>
      <c r="BA148" s="241">
        <v>10.17</v>
      </c>
      <c r="BB148" s="241">
        <v>11.19</v>
      </c>
      <c r="BC148" s="241">
        <v>11.66</v>
      </c>
      <c r="BD148" s="241">
        <v>12</v>
      </c>
      <c r="BE148" s="241">
        <v>12.03</v>
      </c>
      <c r="BF148" s="241">
        <v>12.07</v>
      </c>
      <c r="BG148" s="241">
        <v>12.02</v>
      </c>
      <c r="BH148" s="241">
        <v>11.37</v>
      </c>
      <c r="BI148" s="241">
        <v>11.76</v>
      </c>
      <c r="BJ148" s="241">
        <v>11.96</v>
      </c>
      <c r="BK148" s="241">
        <v>12.34</v>
      </c>
      <c r="BL148" s="241">
        <v>12.71</v>
      </c>
      <c r="BM148" s="241">
        <v>12.79</v>
      </c>
      <c r="BN148" s="241">
        <v>13.44</v>
      </c>
      <c r="BO148" s="72">
        <v>12.06</v>
      </c>
      <c r="BP148" s="72">
        <v>11.9</v>
      </c>
      <c r="BQ148" s="72">
        <v>11.46</v>
      </c>
      <c r="BR148" s="72">
        <v>11.5</v>
      </c>
      <c r="BS148" s="72">
        <v>11.44</v>
      </c>
      <c r="BT148" s="72">
        <v>11.4</v>
      </c>
      <c r="BU148" s="72">
        <v>11.79</v>
      </c>
      <c r="BV148" s="72">
        <v>11.99</v>
      </c>
      <c r="BW148" s="72">
        <v>12.37</v>
      </c>
      <c r="BX148" s="72">
        <v>12.72</v>
      </c>
    </row>
  </sheetData>
  <phoneticPr fontId="3" type="noConversion"/>
  <conditionalFormatting sqref="E4">
    <cfRule type="cellIs" dxfId="5097" priority="165" operator="greaterThan">
      <formula>0.2</formula>
    </cfRule>
    <cfRule type="cellIs" dxfId="5096" priority="166" operator="greaterThan">
      <formula>0.1</formula>
    </cfRule>
  </conditionalFormatting>
  <conditionalFormatting sqref="B6">
    <cfRule type="iconSet" priority="164">
      <iconSet>
        <cfvo type="percent" val="0"/>
        <cfvo type="num" val="40"/>
        <cfvo type="num" val="70"/>
      </iconSet>
    </cfRule>
  </conditionalFormatting>
  <conditionalFormatting sqref="B60">
    <cfRule type="cellIs" dxfId="5095" priority="161" operator="lessThan">
      <formula>0</formula>
    </cfRule>
  </conditionalFormatting>
  <conditionalFormatting sqref="B59:M59">
    <cfRule type="cellIs" dxfId="5094" priority="160" operator="lessThanOrEqual">
      <formula>0</formula>
    </cfRule>
  </conditionalFormatting>
  <conditionalFormatting sqref="B30">
    <cfRule type="colorScale" priority="155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154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153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093" priority="152" operator="greaterThan">
      <formula>$B$19</formula>
    </cfRule>
  </conditionalFormatting>
  <conditionalFormatting sqref="D33:D34">
    <cfRule type="cellIs" dxfId="5092" priority="151" operator="lessThan">
      <formula>1</formula>
    </cfRule>
  </conditionalFormatting>
  <conditionalFormatting sqref="B3">
    <cfRule type="iconSet" priority="145">
      <iconSet>
        <cfvo type="percent" val="0"/>
        <cfvo type="num" val="70"/>
        <cfvo type="num" val="85"/>
      </iconSet>
    </cfRule>
  </conditionalFormatting>
  <conditionalFormatting sqref="B5">
    <cfRule type="iconSet" priority="146">
      <iconSet>
        <cfvo type="percent" val="0"/>
        <cfvo type="num" val="80"/>
        <cfvo type="num" val="90"/>
      </iconSet>
    </cfRule>
  </conditionalFormatting>
  <conditionalFormatting sqref="B4">
    <cfRule type="iconSet" priority="147">
      <iconSet>
        <cfvo type="percent" val="0"/>
        <cfvo type="num" val="70"/>
        <cfvo type="num" val="85"/>
      </iconSet>
    </cfRule>
  </conditionalFormatting>
  <conditionalFormatting sqref="G25">
    <cfRule type="cellIs" dxfId="5091" priority="131" operator="lessThan">
      <formula>0</formula>
    </cfRule>
  </conditionalFormatting>
  <conditionalFormatting sqref="D25">
    <cfRule type="cellIs" dxfId="5090" priority="127" operator="lessThan">
      <formula>0</formula>
    </cfRule>
  </conditionalFormatting>
  <conditionalFormatting sqref="D19:D20 D22">
    <cfRule type="colorScale" priority="144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143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142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141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089" priority="138" operator="lessThan">
      <formula>0</formula>
    </cfRule>
  </conditionalFormatting>
  <conditionalFormatting sqref="D21">
    <cfRule type="colorScale" priority="136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135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A25 E25 C25">
    <cfRule type="cellIs" dxfId="5088" priority="128" operator="lessThan">
      <formula>0</formula>
    </cfRule>
  </conditionalFormatting>
  <conditionalFormatting sqref="D62">
    <cfRule type="cellIs" dxfId="5087" priority="124" operator="lessThan">
      <formula>$E$62</formula>
    </cfRule>
    <cfRule type="cellIs" dxfId="5086" priority="125" operator="greaterThan">
      <formula>$E$62</formula>
    </cfRule>
  </conditionalFormatting>
  <conditionalFormatting sqref="G62">
    <cfRule type="cellIs" dxfId="5085" priority="122" operator="lessThan">
      <formula>$H$62</formula>
    </cfRule>
    <cfRule type="cellIs" dxfId="5084" priority="123" operator="greaterThan">
      <formula>$H$62</formula>
    </cfRule>
  </conditionalFormatting>
  <conditionalFormatting sqref="J62">
    <cfRule type="cellIs" dxfId="5083" priority="120" operator="lessThan">
      <formula>$K$62</formula>
    </cfRule>
    <cfRule type="cellIs" dxfId="5082" priority="121" operator="greaterThan">
      <formula>$K$62</formula>
    </cfRule>
  </conditionalFormatting>
  <conditionalFormatting sqref="M62">
    <cfRule type="cellIs" dxfId="5081" priority="118" operator="lessThan">
      <formula>$N$62</formula>
    </cfRule>
    <cfRule type="cellIs" dxfId="5080" priority="119" operator="greaterThan">
      <formula>$N$62</formula>
    </cfRule>
  </conditionalFormatting>
  <conditionalFormatting sqref="B44:E44">
    <cfRule type="cellIs" dxfId="5079" priority="93" operator="greaterThan">
      <formula>0</formula>
    </cfRule>
    <cfRule type="cellIs" dxfId="5078" priority="94" operator="lessThan">
      <formula>0</formula>
    </cfRule>
  </conditionalFormatting>
  <conditionalFormatting sqref="F69">
    <cfRule type="cellIs" dxfId="5077" priority="91" operator="lessThan">
      <formula>0</formula>
    </cfRule>
  </conditionalFormatting>
  <conditionalFormatting sqref="B65:E67 B69:E69 B68:D68">
    <cfRule type="cellIs" dxfId="5076" priority="92" operator="lessThan">
      <formula>0</formula>
    </cfRule>
  </conditionalFormatting>
  <conditionalFormatting sqref="M65">
    <cfRule type="cellIs" dxfId="5075" priority="88" operator="lessThan">
      <formula>$L$65*90%</formula>
    </cfRule>
  </conditionalFormatting>
  <conditionalFormatting sqref="M66">
    <cfRule type="cellIs" dxfId="5074" priority="87" operator="lessThan">
      <formula>$L$66*90%</formula>
    </cfRule>
  </conditionalFormatting>
  <conditionalFormatting sqref="M67">
    <cfRule type="cellIs" dxfId="5073" priority="86" operator="lessThan">
      <formula>$L$67*90%</formula>
    </cfRule>
  </conditionalFormatting>
  <conditionalFormatting sqref="M68">
    <cfRule type="cellIs" dxfId="5072" priority="85" operator="lessThan">
      <formula>$L$68*90%</formula>
    </cfRule>
  </conditionalFormatting>
  <conditionalFormatting sqref="F72">
    <cfRule type="cellIs" dxfId="5071" priority="84" operator="lessThan">
      <formula>$E$72*90%</formula>
    </cfRule>
  </conditionalFormatting>
  <conditionalFormatting sqref="F73">
    <cfRule type="cellIs" dxfId="5070" priority="83" operator="lessThan">
      <formula>$E$73*90%</formula>
    </cfRule>
  </conditionalFormatting>
  <conditionalFormatting sqref="F74">
    <cfRule type="cellIs" dxfId="5069" priority="82" operator="lessThan">
      <formula>$E$74*90%</formula>
    </cfRule>
  </conditionalFormatting>
  <conditionalFormatting sqref="F75">
    <cfRule type="cellIs" dxfId="5068" priority="81" operator="lessThan">
      <formula>$E$75*90%</formula>
    </cfRule>
  </conditionalFormatting>
  <conditionalFormatting sqref="F65:F68 E68">
    <cfRule type="cellIs" dxfId="5067" priority="80" operator="lessThan">
      <formula>0</formula>
    </cfRule>
  </conditionalFormatting>
  <conditionalFormatting sqref="F65">
    <cfRule type="cellIs" dxfId="5066" priority="79" operator="lessThan">
      <formula>$E$65*90%</formula>
    </cfRule>
  </conditionalFormatting>
  <conditionalFormatting sqref="F66">
    <cfRule type="cellIs" dxfId="5065" priority="78" operator="lessThan">
      <formula>$E$66*90%</formula>
    </cfRule>
  </conditionalFormatting>
  <conditionalFormatting sqref="F67">
    <cfRule type="cellIs" dxfId="5064" priority="77" operator="lessThan">
      <formula>$E$67*90%</formula>
    </cfRule>
  </conditionalFormatting>
  <conditionalFormatting sqref="F65:F67 E68:F68">
    <cfRule type="cellIs" dxfId="5063" priority="76" operator="lessThan">
      <formula>$E$68*90%</formula>
    </cfRule>
  </conditionalFormatting>
  <conditionalFormatting sqref="H44:K44">
    <cfRule type="cellIs" dxfId="5062" priority="68" operator="greaterThan">
      <formula>0</formula>
    </cfRule>
    <cfRule type="cellIs" dxfId="5061" priority="69" operator="lessThan">
      <formula>0</formula>
    </cfRule>
  </conditionalFormatting>
  <conditionalFormatting sqref="H51:K51">
    <cfRule type="cellIs" dxfId="5060" priority="66" operator="greaterThan">
      <formula>0</formula>
    </cfRule>
    <cfRule type="cellIs" dxfId="5059" priority="67" operator="lessThan">
      <formula>0</formula>
    </cfRule>
  </conditionalFormatting>
  <conditionalFormatting sqref="B51:E51">
    <cfRule type="cellIs" dxfId="5058" priority="63" operator="greaterThan">
      <formula>0</formula>
    </cfRule>
    <cfRule type="cellIs" dxfId="5057" priority="64" operator="lessThan">
      <formula>0</formula>
    </cfRule>
  </conditionalFormatting>
  <conditionalFormatting sqref="B25">
    <cfRule type="colorScale" priority="60">
      <colorScale>
        <cfvo type="num" val="0"/>
        <cfvo type="num" val="0.15"/>
        <cfvo type="num" val="0.3"/>
        <color rgb="FF008000"/>
        <color rgb="FFFFFF00"/>
        <color rgb="FFFF0000"/>
      </colorScale>
    </cfRule>
  </conditionalFormatting>
  <conditionalFormatting sqref="B25">
    <cfRule type="cellIs" dxfId="5056" priority="59" operator="lessThan">
      <formula>0</formula>
    </cfRule>
  </conditionalFormatting>
  <conditionalFormatting sqref="F25">
    <cfRule type="cellIs" dxfId="5055" priority="58" operator="lessThan">
      <formula>0</formula>
    </cfRule>
  </conditionalFormatting>
  <conditionalFormatting sqref="B13:F13">
    <cfRule type="cellIs" dxfId="5054" priority="38" operator="greaterThan">
      <formula>$I$16</formula>
    </cfRule>
    <cfRule type="cellIs" dxfId="5053" priority="39" operator="lessThanOrEqual">
      <formula>$I$16</formula>
    </cfRule>
  </conditionalFormatting>
  <conditionalFormatting sqref="B10:F10">
    <cfRule type="cellIs" dxfId="5052" priority="40" operator="greaterThan">
      <formula>15</formula>
    </cfRule>
    <cfRule type="cellIs" dxfId="5051" priority="51" operator="lessThan">
      <formula>$I$9</formula>
    </cfRule>
    <cfRule type="cellIs" dxfId="5050" priority="52" operator="greaterThan">
      <formula>$I$9</formula>
    </cfRule>
  </conditionalFormatting>
  <conditionalFormatting sqref="B16:F16">
    <cfRule type="cellIs" dxfId="5049" priority="49" operator="greaterThan">
      <formula>$I$16</formula>
    </cfRule>
    <cfRule type="cellIs" dxfId="5048" priority="50" operator="lessThanOrEqual">
      <formula>$I$16</formula>
    </cfRule>
  </conditionalFormatting>
  <conditionalFormatting sqref="B15:F15">
    <cfRule type="cellIs" dxfId="5047" priority="47" operator="lessThanOrEqual">
      <formula>$I$16</formula>
    </cfRule>
    <cfRule type="cellIs" dxfId="5046" priority="48" operator="greaterThan">
      <formula>$I$16</formula>
    </cfRule>
  </conditionalFormatting>
  <conditionalFormatting sqref="B14:F14">
    <cfRule type="cellIs" dxfId="5045" priority="45" operator="greaterThan">
      <formula>$I$16</formula>
    </cfRule>
    <cfRule type="cellIs" dxfId="5044" priority="46" operator="lessThanOrEqual">
      <formula>$I$16</formula>
    </cfRule>
  </conditionalFormatting>
  <conditionalFormatting sqref="K6">
    <cfRule type="containsText" dxfId="5043" priority="29" operator="containsText" text="衰退">
      <formula>NOT(ISERROR(SEARCH("衰退",K6)))</formula>
    </cfRule>
    <cfRule type="containsText" dxfId="5042" priority="30" operator="containsText" text="成長">
      <formula>NOT(ISERROR(SEARCH("成長",K6)))</formula>
    </cfRule>
  </conditionalFormatting>
  <conditionalFormatting sqref="I4:K4">
    <cfRule type="cellIs" dxfId="5041" priority="27" operator="lessThan">
      <formula>0</formula>
    </cfRule>
    <cfRule type="cellIs" dxfId="5040" priority="28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039" priority="22" operator="lessThanOrEqual">
      <formula>$I$16</formula>
    </cfRule>
    <cfRule type="cellIs" dxfId="5038" priority="23" operator="greaterThan">
      <formula>$I$16</formula>
    </cfRule>
  </conditionalFormatting>
  <conditionalFormatting sqref="I6">
    <cfRule type="containsText" dxfId="5037" priority="20" operator="containsText" text="衰退">
      <formula>NOT(ISERROR(SEARCH("衰退",I6)))</formula>
    </cfRule>
    <cfRule type="containsText" dxfId="5036" priority="21" operator="containsText" text="成長">
      <formula>NOT(ISERROR(SEARCH("成長",I6)))</formula>
    </cfRule>
  </conditionalFormatting>
  <conditionalFormatting sqref="M9">
    <cfRule type="cellIs" dxfId="5035" priority="19" operator="lessThan">
      <formula>$I$9</formula>
    </cfRule>
  </conditionalFormatting>
  <conditionalFormatting sqref="M10">
    <cfRule type="cellIs" dxfId="5034" priority="18" operator="greaterThan">
      <formula>$I$9</formula>
    </cfRule>
  </conditionalFormatting>
  <conditionalFormatting sqref="M11">
    <cfRule type="cellIs" dxfId="503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032" priority="14" operator="lessThan">
      <formula>0</formula>
    </cfRule>
    <cfRule type="cellIs" dxfId="5031" priority="15" operator="greaterThan">
      <formula>0.5</formula>
    </cfRule>
  </conditionalFormatting>
  <conditionalFormatting sqref="N14">
    <cfRule type="cellIs" dxfId="503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029" priority="10" operator="lessThan">
      <formula>0.1</formula>
    </cfRule>
  </conditionalFormatting>
  <conditionalFormatting sqref="I14">
    <cfRule type="cellIs" dxfId="502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02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026" priority="1" operator="lessThan">
      <formula>$N$5*0.9</formula>
    </cfRule>
    <cfRule type="cellIs" dxfId="5025" priority="2" operator="greaterThan">
      <formula>$N$5*1.1</formula>
    </cfRule>
  </conditionalFormatting>
  <hyperlinks>
    <hyperlink ref="L1" location="儀表板!A1" display="(回首頁)" xr:uid="{00000000-0004-0000-2400-000000000000}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2.68 ~ 6.44</v>
      </c>
      <c r="L1" s="83" t="s">
        <v>176</v>
      </c>
      <c r="M1" s="84" t="str">
        <f ca="1">VLOOKUP(_xlfn.NUMBERVALUE(N1),儀表板!A:B,2,FALSE)</f>
        <v>統一超</v>
      </c>
      <c r="N1" s="85" t="str">
        <f ca="1">MID(CELL("filename",L1),FIND("]",CELL("filename",L1))+1,255)</f>
        <v>2912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0.16639070704089207</v>
      </c>
    </row>
    <row r="3" spans="1:15" s="93" customFormat="1" x14ac:dyDescent="0.25">
      <c r="A3" s="81" t="s">
        <v>179</v>
      </c>
      <c r="B3" s="94">
        <f>SUM(F19:F22,F24:F27,J19)</f>
        <v>84.086901070517456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269.35637660969604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278.13137001801346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283.67347111800342</v>
      </c>
      <c r="L3" s="100"/>
      <c r="M3" s="79" t="s">
        <v>385</v>
      </c>
      <c r="N3" s="92">
        <f>(F69-E69)/E69</f>
        <v>8.9349926914472827E-2</v>
      </c>
    </row>
    <row r="4" spans="1:15" s="93" customFormat="1" x14ac:dyDescent="0.25">
      <c r="A4" s="81" t="s">
        <v>182</v>
      </c>
      <c r="B4" s="96">
        <f>SUM(G36:G40)*2</f>
        <v>92</v>
      </c>
      <c r="C4" s="101"/>
      <c r="D4" s="102">
        <f>F4*(1+F141/10)</f>
        <v>104</v>
      </c>
      <c r="E4" s="82">
        <f>(D4-F4)/F4</f>
        <v>0</v>
      </c>
      <c r="F4" s="103">
        <v>104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10.305250308610912</v>
      </c>
    </row>
    <row r="5" spans="1:15" s="93" customFormat="1" x14ac:dyDescent="0.25">
      <c r="A5" s="81" t="s">
        <v>184</v>
      </c>
      <c r="B5" s="107">
        <f>SUM(F30:F34)*2</f>
        <v>88.645571302037212</v>
      </c>
      <c r="C5" s="87"/>
      <c r="D5" s="87"/>
      <c r="E5" s="87"/>
      <c r="F5" s="86"/>
      <c r="G5" s="88"/>
      <c r="M5" s="79" t="s">
        <v>375</v>
      </c>
      <c r="N5" s="152">
        <f>D62</f>
        <v>10.200000000000001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9.9748150734016328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31.07</v>
      </c>
      <c r="N9" s="129"/>
    </row>
    <row r="10" spans="1:15" s="93" customFormat="1" x14ac:dyDescent="0.25">
      <c r="A10" s="123" t="s">
        <v>194</v>
      </c>
      <c r="B10" s="126">
        <f>PERCENTILE(176:176,B9)</f>
        <v>25.92</v>
      </c>
      <c r="C10" s="126">
        <f>PERCENTILE(176:176,C9)</f>
        <v>26.245000000000001</v>
      </c>
      <c r="D10" s="126">
        <f>PERCENTILE(176:176,D9)</f>
        <v>27.1</v>
      </c>
      <c r="E10" s="126">
        <f>PERCENTILE(176:176,E9)</f>
        <v>27.64</v>
      </c>
      <c r="F10" s="126">
        <f>PERCENTILE(176:176,F9)</f>
        <v>28.33</v>
      </c>
      <c r="G10" s="95"/>
      <c r="H10" s="135"/>
      <c r="I10" s="135"/>
      <c r="J10" s="135"/>
      <c r="K10" s="135"/>
      <c r="L10" s="136" t="s">
        <v>374</v>
      </c>
      <c r="M10" s="130">
        <f>MIN(176:176)</f>
        <v>23.88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27.77</v>
      </c>
      <c r="L11" s="272" t="s">
        <v>193</v>
      </c>
      <c r="M11" s="128">
        <f>STDEV(176:176)</f>
        <v>1.395014463047848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98.739495798319339</v>
      </c>
      <c r="C13" s="141">
        <f>$B$34/5.88%</f>
        <v>119.89795918367346</v>
      </c>
      <c r="D13" s="141">
        <f>$B$34/5%</f>
        <v>141</v>
      </c>
      <c r="E13" s="141">
        <f>$B$34/4.35%</f>
        <v>162.06896551724139</v>
      </c>
      <c r="F13" s="141">
        <f>$B$34/3.85%</f>
        <v>183.11688311688312</v>
      </c>
      <c r="G13" s="138" t="str">
        <f>"$"&amp;ROUND(B34,2)&amp;"/"&amp;IF(STDEV(C140:F140)/AVERAGE(C140:F140)&lt;15%,"高",IF(STDEV(C140:F140)/AVERAGE(C140:F140)&lt;30%,"中","低"))</f>
        <v>$7.05/高</v>
      </c>
      <c r="H13" s="142" t="s">
        <v>199</v>
      </c>
      <c r="I13" s="143">
        <f>MAX(0,1-J15)</f>
        <v>0.15433403805496826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219.4776</v>
      </c>
      <c r="C14" s="141">
        <f>$B$33*C10</f>
        <v>222.22953749999999</v>
      </c>
      <c r="D14" s="141">
        <f>$B$33*D10</f>
        <v>229.46924999999999</v>
      </c>
      <c r="E14" s="141">
        <f>$B$33*E10</f>
        <v>234.04169999999999</v>
      </c>
      <c r="F14" s="141">
        <f>$B$33*F10</f>
        <v>239.88427499999997</v>
      </c>
      <c r="G14" s="138" t="str">
        <f>"$"&amp;ROUND(B33,2)&amp;"/"&amp;IF(STDEV(B69:E69)/AVERAGE(B69:E69)&lt;15%,"高",IF(STDEV(B69:E69)/AVERAGE(B69:E69)&lt;30%,"中","低"))</f>
        <v>$8.47/高</v>
      </c>
      <c r="H14" s="142" t="s">
        <v>203</v>
      </c>
      <c r="I14" s="145">
        <f>G62/100*I13</f>
        <v>5.5730021141649037E-2</v>
      </c>
      <c r="J14" s="76" t="s">
        <v>204</v>
      </c>
      <c r="K14" s="146"/>
      <c r="L14" s="147">
        <f>(HLOOKUP($C$1,$105:$106,2,FALSE)-HLOOKUP($C$1,$117:$127,9,FALSE))/(HLOOKUP($C$1,$117:$128,12,FALSE)/K11)</f>
        <v>15.439417762039049</v>
      </c>
      <c r="M14" s="148">
        <f>E135/E69</f>
        <v>0.91437632135306568</v>
      </c>
      <c r="N14" s="149">
        <f>F173/100</f>
        <v>2.1224000000000003</v>
      </c>
    </row>
    <row r="15" spans="1:15" s="93" customFormat="1" x14ac:dyDescent="0.25">
      <c r="A15" s="140" t="s">
        <v>375</v>
      </c>
      <c r="B15" s="141">
        <f>$D$62*B10</f>
        <v>264.38400000000007</v>
      </c>
      <c r="C15" s="141">
        <f>$D$62*C10</f>
        <v>267.69900000000001</v>
      </c>
      <c r="D15" s="141">
        <f>$D$62*D10</f>
        <v>276.42</v>
      </c>
      <c r="E15" s="141">
        <f>$D$62*E10</f>
        <v>281.92800000000005</v>
      </c>
      <c r="F15" s="141">
        <f>$D$62*F10</f>
        <v>288.96600000000001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0.84566596194503174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267.11208799919484</v>
      </c>
      <c r="C16" s="141">
        <f>$F$69*C10</f>
        <v>270.46129434949341</v>
      </c>
      <c r="D16" s="141">
        <f>$F$69*D10</f>
        <v>279.27228336335571</v>
      </c>
      <c r="E16" s="141">
        <f>$F$69*E10</f>
        <v>284.83711853000563</v>
      </c>
      <c r="F16" s="141">
        <f>$F$69*F10</f>
        <v>291.94774124294713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1924</v>
      </c>
      <c r="J17" s="92">
        <f ca="1">IF(I17&lt;=0,"",IF(I17&lt;=MIN($B$13:$F$16),(I17-MIN($B$13:$F$16))/MIN($B$13:$F$16),IF(I17&gt;=MAX($B$13:$F$16),I17/MAX($B$13:$F$16),PERCENTRANK($B$13:$F$16,I17))))</f>
        <v>6.5902205367601212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10.780000000000001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1.5290780141843974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0.41501873935698996</v>
      </c>
      <c r="J20" s="171">
        <f>HLOOKUP($C$1,$117:$127,11,FALSE)/HLOOKUP($C$1,$105:$115,11,FALSE)</f>
        <v>0.64345905382416491</v>
      </c>
      <c r="K20" s="163"/>
    </row>
    <row r="21" spans="1:14" s="93" customFormat="1" x14ac:dyDescent="0.25">
      <c r="A21" s="151" t="s">
        <v>201</v>
      </c>
      <c r="B21" s="161">
        <f>AVERAGE(C173:F173)/100</f>
        <v>1.7143000000000002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1.0646388228556181</v>
      </c>
      <c r="J21" s="78"/>
      <c r="K21" s="164" t="s">
        <v>356</v>
      </c>
      <c r="L21" s="165">
        <f>HLOOKUP($C$1,$105:$115,7,FALSE)/HLOOKUP($C$1,$105:$115,11,FALSE)</f>
        <v>0.57545551657905469</v>
      </c>
      <c r="M21" s="123" t="s">
        <v>268</v>
      </c>
      <c r="N21" s="165">
        <f>HLOOKUP($C$1,$117:$127,8,FALSE)/HLOOKUP($C$1,$117:$127,11,FALSE)</f>
        <v>0.84001790420013023</v>
      </c>
    </row>
    <row r="22" spans="1:14" s="93" customFormat="1" x14ac:dyDescent="0.25">
      <c r="A22" s="140" t="s">
        <v>222</v>
      </c>
      <c r="B22" s="161">
        <f>(-1)*SUM(C133:F133)/SUM(C132:F132)</f>
        <v>0.35332034177784444</v>
      </c>
      <c r="C22" s="157"/>
      <c r="D22" s="166"/>
      <c r="E22" s="140"/>
      <c r="F22" s="159">
        <f>IF(B22&lt;=0,10,IF(B22&gt;=100%,0,(1-B22)*10))</f>
        <v>6.4667965822215558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0.8276723420149692</v>
      </c>
      <c r="J22" s="78"/>
      <c r="K22" s="142" t="s">
        <v>357</v>
      </c>
      <c r="L22" s="165">
        <f>HLOOKUP($C$1,$105:$115,4,FALSE)/HLOOKUP($C$1,$105:$115,11,FALSE)</f>
        <v>4.4222542203976457E-2</v>
      </c>
      <c r="M22" s="123" t="s">
        <v>353</v>
      </c>
      <c r="N22" s="165">
        <f>HLOOKUP($C$1,$117:$127,4,FALSE)/HLOOKUP($C$1,$117:$127,11,FALSE)</f>
        <v>0.35501919369930862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2.8047269485475326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0.12808444114250506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0.87807440992235963</v>
      </c>
      <c r="C24" s="169">
        <f>STDEV(C103:F103)</f>
        <v>8.3531443964305653E-3</v>
      </c>
      <c r="D24" s="76" t="str">
        <f>IF(C24/B24&lt;15%,"高",IF(C24/B24&lt;30%,"中","低"))</f>
        <v>高</v>
      </c>
      <c r="E24" s="149"/>
      <c r="F24" s="160">
        <f>MIN(100%,B24)*5</f>
        <v>4.3903720496117984</v>
      </c>
      <c r="G24" s="88" t="s">
        <v>229</v>
      </c>
      <c r="H24" s="123" t="s">
        <v>16</v>
      </c>
      <c r="I24" s="170">
        <f>HLOOKUP(C1,167:170,2,FALSE)</f>
        <v>6.38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7.5526427429244467E-2</v>
      </c>
      <c r="M24" s="123" t="s">
        <v>355</v>
      </c>
      <c r="N24" s="165">
        <f>HLOOKUP($C$1,$117:$127,9,FALSE)/HLOOKUP($C$1,$117:$127,11,FALSE)</f>
        <v>0.15998209579986972</v>
      </c>
    </row>
    <row r="25" spans="1:14" s="93" customFormat="1" x14ac:dyDescent="0.25">
      <c r="A25" s="151" t="s">
        <v>366</v>
      </c>
      <c r="B25" s="255">
        <f>AVERAGE(94:94)</f>
        <v>497680.91304347827</v>
      </c>
      <c r="C25" s="254">
        <f>STDEV(94:94)/AVERAGE(94:94)</f>
        <v>0.77026756131590368</v>
      </c>
      <c r="D25" s="76" t="str">
        <f>IF(C25&lt;=1,"高",IF(C25&lt;=2,"中","低"))</f>
        <v>高</v>
      </c>
      <c r="E25" s="149"/>
      <c r="F25" s="160">
        <f>MAX(0,10-ABS(C25))</f>
        <v>9.2297324386840955</v>
      </c>
      <c r="G25" s="88" t="s">
        <v>213</v>
      </c>
      <c r="H25" s="123" t="s">
        <v>232</v>
      </c>
      <c r="I25" s="170">
        <f>IF(HLOOKUP(C1,167:170,3,FALSE)="無",0,HLOOKUP(C1,167:170,3,FALSE))</f>
        <v>29.03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7.2056521739130419</v>
      </c>
      <c r="C26" s="172">
        <f>IF(COUNTIF(168:168,"&gt;0")=0,0,STDEV(168:168))</f>
        <v>0.48053782451594151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26.764347826086954</v>
      </c>
      <c r="C27" s="172">
        <f>IF(COUNTIF(169:169,"&gt;0")=0,0,STDEV(169:169))</f>
        <v>1.5122163929055696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0.3221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4.8250000000000001E-2</v>
      </c>
      <c r="C31" s="157" t="s">
        <v>217</v>
      </c>
      <c r="D31" s="174">
        <f>COUNTIF(149:149,"&gt;8")/COUNT(149:149)</f>
        <v>0</v>
      </c>
      <c r="E31" s="140" t="s">
        <v>241</v>
      </c>
      <c r="F31" s="159">
        <f>MIN(B31/10%*10,10)</f>
        <v>4.8250000000000002</v>
      </c>
      <c r="G31" s="175"/>
    </row>
    <row r="32" spans="1:14" x14ac:dyDescent="0.25">
      <c r="A32" s="155" t="s">
        <v>47</v>
      </c>
      <c r="B32" s="177">
        <f>AVERAGE(C165:F165)</f>
        <v>33.7425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8.4674999999999994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7.05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9.4977856510186012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207360066.5</v>
      </c>
      <c r="C36" s="178">
        <f>STDEV(C97:F97)</f>
        <v>6149843.2567853034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32.21</v>
      </c>
      <c r="C37" s="180">
        <f>STDEV(C152:F152)</f>
        <v>0.48297688005396955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4.9224999999999994</v>
      </c>
      <c r="C38" s="180">
        <f>STDEV(C153:F153)</f>
        <v>0.20303940504246953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33.7425</v>
      </c>
      <c r="C39" s="181">
        <f>STDEV(C165:F165)</f>
        <v>2.058549246435458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8.4674999999999994</v>
      </c>
      <c r="C40" s="183">
        <f>STDEV(B69:E69)</f>
        <v>0.79533535903625763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9.5940959409594184E-2</v>
      </c>
      <c r="C44" s="186">
        <f>(C46-C49)/C49</f>
        <v>7.6305220883534114E-2</v>
      </c>
      <c r="D44" s="186">
        <f>(D46-D49)/D49</f>
        <v>0.12340425531914895</v>
      </c>
      <c r="E44" s="186">
        <f>(E46-E49)/E49</f>
        <v>0.3172413793103448</v>
      </c>
      <c r="G44" s="86" t="s">
        <v>175</v>
      </c>
      <c r="H44" s="186">
        <f>(H47-H50)/H50</f>
        <v>1.7274472168905913E-2</v>
      </c>
      <c r="I44" s="186">
        <f>(I47-I50)/I50</f>
        <v>9.7087378640776777E-3</v>
      </c>
      <c r="J44" s="186">
        <f>(J47-J50)/J50</f>
        <v>7.1574642126789434E-2</v>
      </c>
      <c r="K44" s="186">
        <f>(K47-K50)/K50</f>
        <v>-6.8027210884354112E-3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2.97</v>
      </c>
      <c r="C46" s="152">
        <f>HLOOKUP(C45,$81:$82,2,FALSE)</f>
        <v>2.68</v>
      </c>
      <c r="D46" s="152">
        <f>HLOOKUP(D45,$81:$82,2,FALSE)</f>
        <v>2.64</v>
      </c>
      <c r="E46" s="152">
        <f>HLOOKUP(E45,$81:$82,2,FALSE)</f>
        <v>1.91</v>
      </c>
      <c r="G46" s="86" t="s">
        <v>164</v>
      </c>
      <c r="H46" s="145">
        <f>HLOOKUP(H45,$145:$147,2,FALSE)/100</f>
        <v>0.33640000000000003</v>
      </c>
      <c r="I46" s="145">
        <f>HLOOKUP(I45,$145:$147,2,FALSE)/100</f>
        <v>0.33079999999999998</v>
      </c>
      <c r="J46" s="145">
        <f>HLOOKUP(J45,$145:$147,2,FALSE)/100</f>
        <v>0.32750000000000001</v>
      </c>
      <c r="K46" s="145">
        <f>HLOOKUP(K45,$145:$147,2,FALSE)/100</f>
        <v>0.3276</v>
      </c>
    </row>
    <row r="47" spans="1:14" x14ac:dyDescent="0.25">
      <c r="A47" s="188" t="s">
        <v>165</v>
      </c>
      <c r="B47" s="189">
        <f>HLOOKUP(B45,$157:$159,3,FALSE)</f>
        <v>10.67</v>
      </c>
      <c r="C47" s="189">
        <f>HLOOKUP(C45,$157:$159,3,FALSE)</f>
        <v>9.44</v>
      </c>
      <c r="D47" s="189">
        <f>HLOOKUP(D45,$157:$159,3,FALSE)</f>
        <v>8.81</v>
      </c>
      <c r="E47" s="189">
        <f>HLOOKUP(E45,$157:$159,3,FALSE)</f>
        <v>7.19</v>
      </c>
      <c r="G47" s="190" t="s">
        <v>166</v>
      </c>
      <c r="H47" s="145">
        <f>HLOOKUP(H45,$145:$147,3,FALSE)/100</f>
        <v>5.2999999999999999E-2</v>
      </c>
      <c r="I47" s="145">
        <f>HLOOKUP(I45,$145:$147,3,FALSE)/100</f>
        <v>5.2000000000000005E-2</v>
      </c>
      <c r="J47" s="145">
        <f>HLOOKUP(J45,$145:$147,3,FALSE)/100</f>
        <v>5.2400000000000002E-2</v>
      </c>
      <c r="K47" s="145">
        <f>HLOOKUP(K45,$145:$147,3,FALSE)/100</f>
        <v>4.3799999999999999E-2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2.71</v>
      </c>
      <c r="C49" s="152">
        <f>HLOOKUP(C48,$81:$82,2,FALSE)</f>
        <v>2.4900000000000002</v>
      </c>
      <c r="D49" s="152">
        <f>HLOOKUP(D48,$81:$82,2,FALSE)</f>
        <v>2.35</v>
      </c>
      <c r="E49" s="152">
        <f>HLOOKUP(E48,$81:$82,2,FALSE)</f>
        <v>1.45</v>
      </c>
      <c r="G49" s="86" t="s">
        <v>164</v>
      </c>
      <c r="H49" s="145">
        <f>HLOOKUP(H48,$145:$147,2,FALSE)/100</f>
        <v>0.33229999999999998</v>
      </c>
      <c r="I49" s="145">
        <f>HLOOKUP(I48,$145:$147,2,FALSE)/100</f>
        <v>0.33119999999999999</v>
      </c>
      <c r="J49" s="145">
        <f>HLOOKUP(J48,$145:$147,2,FALSE)/100</f>
        <v>0.32369999999999999</v>
      </c>
      <c r="K49" s="145">
        <f>HLOOKUP(K48,$145:$147,2,FALSE)/100</f>
        <v>0.33020000000000005</v>
      </c>
    </row>
    <row r="50" spans="1:15" x14ac:dyDescent="0.25">
      <c r="A50" s="188" t="s">
        <v>165</v>
      </c>
      <c r="B50" s="189">
        <f>HLOOKUP(B48,$157:$159,3,FALSE)</f>
        <v>10.5</v>
      </c>
      <c r="C50" s="189">
        <f>HLOOKUP(C48,$157:$159,3,FALSE)</f>
        <v>9.44</v>
      </c>
      <c r="D50" s="189">
        <f>HLOOKUP(D48,$157:$159,3,FALSE)</f>
        <v>8.4600000000000009</v>
      </c>
      <c r="E50" s="189">
        <f>HLOOKUP(E48,$157:$159,3,FALSE)</f>
        <v>6.11</v>
      </c>
      <c r="G50" s="190" t="s">
        <v>166</v>
      </c>
      <c r="H50" s="145">
        <f>HLOOKUP(H48,$145:$147,3,FALSE)/100</f>
        <v>5.21E-2</v>
      </c>
      <c r="I50" s="145">
        <f>HLOOKUP(I48,$145:$147,3,FALSE)/100</f>
        <v>5.1500000000000004E-2</v>
      </c>
      <c r="J50" s="145">
        <f>HLOOKUP(J48,$145:$147,3,FALSE)/100</f>
        <v>4.8899999999999999E-2</v>
      </c>
      <c r="K50" s="145">
        <f>HLOOKUP(K48,$145:$147,3,FALSE)/100</f>
        <v>4.41E-2</v>
      </c>
    </row>
    <row r="51" spans="1:15" x14ac:dyDescent="0.25">
      <c r="A51" s="86" t="s">
        <v>351</v>
      </c>
      <c r="B51" s="186">
        <f>(B47-B50)/B50</f>
        <v>1.6190476190476182E-2</v>
      </c>
      <c r="C51" s="186">
        <f>(C47-C50)/C50</f>
        <v>0</v>
      </c>
      <c r="D51" s="186">
        <f>(D47-D50)/D50</f>
        <v>4.1371158392434944E-2</v>
      </c>
      <c r="E51" s="186">
        <f>(E47-E50)/E50</f>
        <v>0.176759410801964</v>
      </c>
      <c r="G51" s="235" t="s">
        <v>174</v>
      </c>
      <c r="H51" s="186">
        <f>(H46-H49)/H49</f>
        <v>1.2338248570568908E-2</v>
      </c>
      <c r="I51" s="186">
        <f>(I46-I49)/I49</f>
        <v>-1.2077294685990685E-3</v>
      </c>
      <c r="J51" s="186">
        <f>(J46-J49)/J49</f>
        <v>1.1739264751313023E-2</v>
      </c>
      <c r="K51" s="186">
        <f>(K46-K49)/K49</f>
        <v>-7.8740157480316365E-3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9.9748150734016328</v>
      </c>
      <c r="B53" s="193">
        <f>B46</f>
        <v>2.97</v>
      </c>
      <c r="C53" s="193">
        <f>E46/HLOOKUP(E45,$87:$94,5,FALSE)*HLOOKUP(E45,$87:$94,4,FALSE)*($B$25/HLOOKUP(E45,$87:$94,4,FALSE)+SUM($B$57:$D$57)/SUM($B58:$D$58)*$G$69/100/K46)</f>
        <v>2.0152503086109119</v>
      </c>
      <c r="D53" s="193">
        <f>D46/HLOOKUP(D45,$87:$94,5,FALSE)*HLOOKUP(D45,$87:$94,4,FALSE)*($B$25/HLOOKUP(D45,$87:$94,4,FALSE)+SUM($B$57:$D$57)/SUM($B58:$D$58)*$G$69/100/J46)</f>
        <v>2.4880579260943905</v>
      </c>
      <c r="E53" s="193">
        <f>C46/HLOOKUP(C45,$87:$94,5,FALSE)*HLOOKUP(C45,$87:$94,4,FALSE)*($B$25/HLOOKUP(C45,$87:$94,4,FALSE)+SUM($B$57:$D$57)/SUM($B58:$D$58)*$G$69/100/I46)</f>
        <v>2.5015068386963319</v>
      </c>
    </row>
    <row r="54" spans="1:15" x14ac:dyDescent="0.25">
      <c r="A54" s="278">
        <f>SUM(B54:E54)</f>
        <v>9.94</v>
      </c>
      <c r="B54" s="277">
        <f t="shared" ref="B54:D54" si="0">HLOOKUP(B52-10,81:82,2,FALSE)</f>
        <v>2.71</v>
      </c>
      <c r="C54" s="277">
        <f t="shared" si="0"/>
        <v>1.91</v>
      </c>
      <c r="D54" s="277">
        <f t="shared" si="0"/>
        <v>2.64</v>
      </c>
      <c r="E54" s="277">
        <f>HLOOKUP(E52-10,81:82,2,FALSE)</f>
        <v>2.68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18763135</v>
      </c>
      <c r="C57" s="196">
        <f>HLOOKUP(C56,78:79,2,FALSE)</f>
        <v>18849741</v>
      </c>
      <c r="D57" s="196">
        <f>HLOOKUP(D56,78:79,2,FALSE)</f>
        <v>19590713</v>
      </c>
      <c r="E57" s="196">
        <f>HLOOKUP(E56,78:79,2,FALSE)</f>
        <v>18843001</v>
      </c>
      <c r="F57" s="196">
        <f>HLOOKUP(F56,78:79,2,FALSE)</f>
        <v>18460703</v>
      </c>
      <c r="G57" s="196">
        <f t="shared" ref="G57:M57" si="2">HLOOKUP(G56,78:79,2,FALSE)</f>
        <v>18914378</v>
      </c>
      <c r="H57" s="196">
        <f t="shared" si="2"/>
        <v>17806040</v>
      </c>
      <c r="I57" s="196">
        <f t="shared" si="2"/>
        <v>17818002</v>
      </c>
      <c r="J57" s="196">
        <f t="shared" si="2"/>
        <v>16149951</v>
      </c>
      <c r="K57" s="196">
        <f t="shared" si="2"/>
        <v>19042184</v>
      </c>
      <c r="L57" s="196">
        <f t="shared" si="2"/>
        <v>18005530</v>
      </c>
      <c r="M57" s="196">
        <f t="shared" si="2"/>
        <v>17313226</v>
      </c>
      <c r="N57" s="197"/>
    </row>
    <row r="58" spans="1:15" x14ac:dyDescent="0.25">
      <c r="A58" s="198" t="s">
        <v>253</v>
      </c>
      <c r="B58" s="196">
        <f>HLOOKUP(B56-100,78:79,2,FALSE)</f>
        <v>18584640</v>
      </c>
      <c r="C58" s="196">
        <f>HLOOKUP(C56-100,78:79,2,FALSE)</f>
        <v>18104336</v>
      </c>
      <c r="D58" s="196">
        <f>HLOOKUP(D56-100,78:79,2,FALSE)</f>
        <v>18630112</v>
      </c>
      <c r="E58" s="196">
        <f>HLOOKUP(E56-100,78:79,2,FALSE)</f>
        <v>18969904</v>
      </c>
      <c r="F58" s="196">
        <f>HLOOKUP(F56-100,78:79,2,FALSE)</f>
        <v>18272722</v>
      </c>
      <c r="G58" s="196">
        <f t="shared" ref="G58:M58" si="3">HLOOKUP(G56-100,78:79,2,FALSE)</f>
        <v>18521233</v>
      </c>
      <c r="H58" s="196">
        <f t="shared" si="3"/>
        <v>17437492</v>
      </c>
      <c r="I58" s="196">
        <f t="shared" si="3"/>
        <v>17300970</v>
      </c>
      <c r="J58" s="196">
        <f t="shared" si="3"/>
        <v>16827871</v>
      </c>
      <c r="K58" s="196">
        <f t="shared" si="3"/>
        <v>17381327</v>
      </c>
      <c r="L58" s="196">
        <f t="shared" si="3"/>
        <v>17869444</v>
      </c>
      <c r="M58" s="196">
        <f t="shared" si="3"/>
        <v>16753356</v>
      </c>
      <c r="N58" s="197"/>
    </row>
    <row r="59" spans="1:15" x14ac:dyDescent="0.25">
      <c r="A59" s="199" t="s">
        <v>254</v>
      </c>
      <c r="B59" s="165">
        <f>IF(B57&lt;&gt;"",(B57-B58)/B58,"")</f>
        <v>9.604436782202937E-3</v>
      </c>
      <c r="C59" s="165">
        <f>IF(C57&lt;&gt;"",(C57-C58)/C58,"")</f>
        <v>4.1172733426953628E-2</v>
      </c>
      <c r="D59" s="165">
        <f>IF(D57&lt;&gt;"",(D57-D58)/D58,"")</f>
        <v>5.1561740476922524E-2</v>
      </c>
      <c r="E59" s="165">
        <f>IF(E57&lt;&gt;"",(E57-E58)/E58,"")</f>
        <v>-6.689701750731053E-3</v>
      </c>
      <c r="F59" s="165">
        <f>IF(F57&lt;&gt;"",(F57-F58)/F58,"")</f>
        <v>1.0287520381473543E-2</v>
      </c>
      <c r="G59" s="165">
        <f t="shared" ref="G59:M59" si="4">IF(G57&lt;&gt;"",(G57-G58)/G58,"")</f>
        <v>2.1226718545142215E-2</v>
      </c>
      <c r="H59" s="165">
        <f t="shared" si="4"/>
        <v>2.1135378872145144E-2</v>
      </c>
      <c r="I59" s="165">
        <f t="shared" si="4"/>
        <v>2.9884567165887232E-2</v>
      </c>
      <c r="J59" s="165">
        <f t="shared" si="4"/>
        <v>-4.0285547708322697E-2</v>
      </c>
      <c r="K59" s="165">
        <f t="shared" si="4"/>
        <v>9.5554096646360775E-2</v>
      </c>
      <c r="L59" s="165">
        <f t="shared" si="4"/>
        <v>7.6155699080508602E-3</v>
      </c>
      <c r="M59" s="165">
        <f t="shared" si="4"/>
        <v>3.3418378980306994E-2</v>
      </c>
    </row>
    <row r="60" spans="1:15" x14ac:dyDescent="0.25">
      <c r="A60" s="195" t="s">
        <v>255</v>
      </c>
      <c r="B60" s="196">
        <f>SUM(B57:M57)</f>
        <v>219556604</v>
      </c>
    </row>
    <row r="61" spans="1:15" x14ac:dyDescent="0.25">
      <c r="A61" s="198" t="s">
        <v>256</v>
      </c>
      <c r="B61" s="196">
        <f>SUM(B58:M58)</f>
        <v>214653407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1.0228423907569284</v>
      </c>
      <c r="D62" s="152">
        <f>SUM(B46:E46)</f>
        <v>10.200000000000001</v>
      </c>
      <c r="E62" s="152">
        <f>SUM(B49:E49)</f>
        <v>9</v>
      </c>
      <c r="G62" s="126">
        <f>SUM(B47:E47)</f>
        <v>36.11</v>
      </c>
      <c r="H62" s="126">
        <f>SUM(B50:E50)</f>
        <v>34.51</v>
      </c>
      <c r="J62" s="200">
        <f>AVERAGE(H46:K46)</f>
        <v>0.33057500000000001</v>
      </c>
      <c r="K62" s="200">
        <f>AVERAGE(H49:K49)</f>
        <v>0.32935000000000003</v>
      </c>
      <c r="M62" s="200">
        <f>AVERAGE(H47:K47)</f>
        <v>5.0300000000000004E-2</v>
      </c>
      <c r="N62" s="200">
        <f>AVERAGE(H50:K50)</f>
        <v>4.9149999999999999E-2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1.94</v>
      </c>
      <c r="C65" s="205">
        <f t="shared" si="5"/>
        <v>2.86</v>
      </c>
      <c r="D65" s="205">
        <f t="shared" si="5"/>
        <v>2.0299999999999998</v>
      </c>
      <c r="E65" s="205">
        <f t="shared" si="5"/>
        <v>2.35</v>
      </c>
      <c r="F65" s="206">
        <f>IF(ISNA(HLOOKUP(F$64*10+$A65,$81:$82,2,FALSE)),(HLOOKUP(E$64*10+$A65,$87:$94,4,FALSE)*$G65+$B$25)/HLOOKUP(E$64*10+$A65,$87:$94,5,FALSE)*$E65,HLOOKUP(F$64*10+$A65,$81:$82,2,FALSE))</f>
        <v>2.64</v>
      </c>
      <c r="G65" s="101">
        <f>MIN(130%,SUM($B$57:$D$57)/SUM($B$58:$D$58)*$G$69/HLOOKUP(E$64*10+$A65,$145:$146,2,FALSE))</f>
        <v>1.0611115978115011</v>
      </c>
      <c r="H65" s="204">
        <v>1</v>
      </c>
      <c r="I65" s="208">
        <f t="shared" ref="I65:M68" si="6">IF(ISNA(HLOOKUP(I$64*10+$H65,$145:$147,3,FALSE)),"",HLOOKUP(I$64*10+$H65,$145:$147,3,FALSE)/100)</f>
        <v>5.0199999999999995E-2</v>
      </c>
      <c r="J65" s="208">
        <f t="shared" si="6"/>
        <v>4.7E-2</v>
      </c>
      <c r="K65" s="208">
        <f t="shared" si="6"/>
        <v>4.6900000000000004E-2</v>
      </c>
      <c r="L65" s="208">
        <f t="shared" si="6"/>
        <v>4.8899999999999999E-2</v>
      </c>
      <c r="M65" s="209">
        <f t="shared" si="6"/>
        <v>5.2400000000000002E-2</v>
      </c>
      <c r="N65" s="256">
        <f t="shared" ref="N65:O68" si="7">HLOOKUP(E$64*10+$A65,$87:$94,8,FALSE)</f>
        <v>742088</v>
      </c>
      <c r="O65" s="256">
        <f t="shared" si="7"/>
        <v>841481</v>
      </c>
      <c r="P65" s="210"/>
    </row>
    <row r="66" spans="1:71" x14ac:dyDescent="0.25">
      <c r="A66" s="204">
        <v>2</v>
      </c>
      <c r="B66" s="205">
        <f t="shared" si="5"/>
        <v>2.2200000000000002</v>
      </c>
      <c r="C66" s="205">
        <f t="shared" si="5"/>
        <v>2.11</v>
      </c>
      <c r="D66" s="205">
        <f t="shared" si="5"/>
        <v>2.09</v>
      </c>
      <c r="E66" s="205">
        <f t="shared" si="5"/>
        <v>2.4900000000000002</v>
      </c>
      <c r="F66" s="206">
        <f>IF(ISNA(HLOOKUP(F$64*10+$A66,$81:$82,2,FALSE)),(HLOOKUP(E$64*10+$A66,$87:$94,4,FALSE)*$G66+$B$25)/HLOOKUP(E$64*10+$A66,$87:$94,5,FALSE)*$E66,HLOOKUP(F$64*10+$A66,$81:$82,2,FALSE))</f>
        <v>2.68</v>
      </c>
      <c r="G66" s="101">
        <f>MIN(130%,SUM($B$57:$D$57)/SUM($B$58:$D$58)*$G$69/HLOOKUP(E$64*10+$A66,$145:$146,2,FALSE))</f>
        <v>1.0370828025712042</v>
      </c>
      <c r="H66" s="204">
        <v>2</v>
      </c>
      <c r="I66" s="208">
        <f t="shared" si="6"/>
        <v>5.28E-2</v>
      </c>
      <c r="J66" s="208">
        <f t="shared" si="6"/>
        <v>5.45E-2</v>
      </c>
      <c r="K66" s="208">
        <f t="shared" si="6"/>
        <v>4.9000000000000002E-2</v>
      </c>
      <c r="L66" s="208">
        <f t="shared" si="6"/>
        <v>5.1500000000000004E-2</v>
      </c>
      <c r="M66" s="209">
        <f t="shared" si="6"/>
        <v>5.2000000000000005E-2</v>
      </c>
      <c r="N66" s="256">
        <f t="shared" si="7"/>
        <v>770410</v>
      </c>
      <c r="O66" s="256">
        <f t="shared" si="7"/>
        <v>855593</v>
      </c>
      <c r="P66" s="210"/>
    </row>
    <row r="67" spans="1:71" x14ac:dyDescent="0.25">
      <c r="A67" s="204">
        <v>3</v>
      </c>
      <c r="B67" s="205">
        <f t="shared" si="5"/>
        <v>2.16</v>
      </c>
      <c r="C67" s="205">
        <f t="shared" si="5"/>
        <v>2.39</v>
      </c>
      <c r="D67" s="205">
        <f t="shared" si="5"/>
        <v>2.36</v>
      </c>
      <c r="E67" s="205">
        <f t="shared" si="5"/>
        <v>2.71</v>
      </c>
      <c r="F67" s="206">
        <f>IF(ISNA(HLOOKUP(F$64*10+$A67,$81:$82,2,FALSE)),(HLOOKUP(E$64*10+$A67,$87:$94,4,FALSE)*$G67+$B$25)/HLOOKUP(E$64*10+$A67,$87:$94,5,FALSE)*$E67,HLOOKUP(F$64*10+$A67,$81:$82,2,FALSE))</f>
        <v>2.97</v>
      </c>
      <c r="G67" s="101">
        <f>MIN(130%,SUM($B$57:$D$57)/SUM($B$58:$D$58)*$G$69/HLOOKUP(E$64*10+$A67,$145:$146,2,FALSE))</f>
        <v>1.0336497869743693</v>
      </c>
      <c r="H67" s="204">
        <v>3</v>
      </c>
      <c r="I67" s="208">
        <f t="shared" si="6"/>
        <v>5.3699999999999998E-2</v>
      </c>
      <c r="J67" s="208">
        <f t="shared" si="6"/>
        <v>5.6299999999999996E-2</v>
      </c>
      <c r="K67" s="208">
        <f t="shared" si="6"/>
        <v>4.7199999999999999E-2</v>
      </c>
      <c r="L67" s="208">
        <f t="shared" si="6"/>
        <v>5.21E-2</v>
      </c>
      <c r="M67" s="209">
        <f t="shared" si="6"/>
        <v>5.2999999999999999E-2</v>
      </c>
      <c r="N67" s="256">
        <f t="shared" si="7"/>
        <v>827310</v>
      </c>
      <c r="O67" s="256">
        <f t="shared" si="7"/>
        <v>866177</v>
      </c>
      <c r="P67" s="210"/>
    </row>
    <row r="68" spans="1:71" x14ac:dyDescent="0.25">
      <c r="A68" s="204">
        <v>4</v>
      </c>
      <c r="B68" s="205">
        <f>HLOOKUP(B$64*10+$A68,$81:$82,2,FALSE)</f>
        <v>1.41</v>
      </c>
      <c r="C68" s="205">
        <f>HLOOKUP(C$64*10+$A68,$81:$82,2,FALSE)</f>
        <v>1.39</v>
      </c>
      <c r="D68" s="205">
        <f>HLOOKUP(D$64*10+$A68,$81:$82,2,FALSE)</f>
        <v>1.45</v>
      </c>
      <c r="E68" s="206">
        <f>IF(ISNA(HLOOKUP(E$64*10+$A68,$81:$82,2,FALSE)),D68*(1-$N68)*#REF!*(1+$B$25)/(1+$E$4),HLOOKUP(E$64*10+$A68,$81:$82,2,FALSE))</f>
        <v>1.91</v>
      </c>
      <c r="F68" s="206">
        <f>IF(ISNA(HLOOKUP(F$64*10+$A68,$81:$82,2,FALSE)),(HLOOKUP(E$64*10+$A68,$87:$94,4,FALSE)*$G68+$B$25)/HLOOKUP(E$64*10+$A68,$87:$94,5,FALSE)*$E68,HLOOKUP(F$64*10+$A68,$81:$82,2,FALSE))</f>
        <v>2.0152503086109119</v>
      </c>
      <c r="G68" s="101">
        <f>MIN(130%,SUM($B$57:$D$57)/SUM($B$58:$D$58)*$G$69/HLOOKUP(E$64*10+$A68,$145:$146,2,FALSE))</f>
        <v>1.0484793168851736</v>
      </c>
      <c r="H68" s="204">
        <v>4</v>
      </c>
      <c r="I68" s="208">
        <f t="shared" si="6"/>
        <v>4.6500000000000007E-2</v>
      </c>
      <c r="J68" s="208">
        <f t="shared" si="6"/>
        <v>4.3099999999999999E-2</v>
      </c>
      <c r="K68" s="208">
        <f t="shared" si="6"/>
        <v>4.41E-2</v>
      </c>
      <c r="L68" s="208">
        <f t="shared" si="6"/>
        <v>4.3799999999999999E-2</v>
      </c>
      <c r="M68" s="209" t="str">
        <f t="shared" si="6"/>
        <v/>
      </c>
      <c r="N68" s="256">
        <f t="shared" si="7"/>
        <v>456871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7.73</v>
      </c>
      <c r="C69" s="213">
        <f>SUM(C65:C68)</f>
        <v>8.75</v>
      </c>
      <c r="D69" s="213">
        <f>SUM(D65:D68)</f>
        <v>7.9299999999999988</v>
      </c>
      <c r="E69" s="213">
        <f>SUM(E65:E68)</f>
        <v>9.4599999999999991</v>
      </c>
      <c r="F69" s="213">
        <f>SUM(F65:F68)</f>
        <v>10.305250308610912</v>
      </c>
      <c r="G69" s="257">
        <f>_xlfn.FORECAST.ETS(23,B146:W146,{1,2,3,4,5,6,7,8,9,10,11,12,13,14,15,16,17,18,19,20,21,22})</f>
        <v>33.216624327471969</v>
      </c>
      <c r="H69" s="214" t="s">
        <v>19</v>
      </c>
      <c r="I69" s="215">
        <f>HLOOKUP(I64,151:155,3,FALSE)/100</f>
        <v>5.0799999999999998E-2</v>
      </c>
      <c r="J69" s="215">
        <f>HLOOKUP(J64,151:155,3,FALSE)/100</f>
        <v>5.0999999999999997E-2</v>
      </c>
      <c r="K69" s="215">
        <f>HLOOKUP(K64,151:155,3,FALSE)/100</f>
        <v>4.6799999999999994E-2</v>
      </c>
      <c r="L69" s="215">
        <f>IF(ISNA(HLOOKUP(L64,151:155,3,FALSE)/100),AVERAGE(L65:L68),HLOOKUP(L64,151:155,3,FALSE)/100)</f>
        <v>4.8300000000000003E-2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8.52</v>
      </c>
      <c r="C72" s="205">
        <f t="shared" si="8"/>
        <v>11.1</v>
      </c>
      <c r="D72" s="205">
        <f t="shared" si="8"/>
        <v>7.53</v>
      </c>
      <c r="E72" s="205">
        <f t="shared" si="8"/>
        <v>8.4600000000000009</v>
      </c>
      <c r="F72" s="205">
        <f t="shared" si="8"/>
        <v>8.81</v>
      </c>
    </row>
    <row r="73" spans="1:71" s="135" customFormat="1" x14ac:dyDescent="0.25">
      <c r="A73" s="204">
        <v>2</v>
      </c>
      <c r="B73" s="205">
        <f t="shared" si="8"/>
        <v>10.4</v>
      </c>
      <c r="C73" s="205">
        <f t="shared" si="8"/>
        <v>8.89</v>
      </c>
      <c r="D73" s="205">
        <f t="shared" si="8"/>
        <v>8.32</v>
      </c>
      <c r="E73" s="205">
        <f t="shared" si="8"/>
        <v>9.44</v>
      </c>
      <c r="F73" s="205">
        <f t="shared" si="8"/>
        <v>9.44</v>
      </c>
    </row>
    <row r="74" spans="1:71" s="135" customFormat="1" x14ac:dyDescent="0.25">
      <c r="A74" s="204">
        <v>3</v>
      </c>
      <c r="B74" s="205">
        <f t="shared" si="8"/>
        <v>10.4</v>
      </c>
      <c r="C74" s="205">
        <f t="shared" si="8"/>
        <v>10.31</v>
      </c>
      <c r="D74" s="205">
        <f t="shared" si="8"/>
        <v>9.75</v>
      </c>
      <c r="E74" s="205">
        <f t="shared" si="8"/>
        <v>10.5</v>
      </c>
      <c r="F74" s="205">
        <f t="shared" si="8"/>
        <v>10.67</v>
      </c>
    </row>
    <row r="75" spans="1:71" s="135" customFormat="1" x14ac:dyDescent="0.25">
      <c r="A75" s="204">
        <v>4</v>
      </c>
      <c r="B75" s="205">
        <f t="shared" si="8"/>
        <v>6.8</v>
      </c>
      <c r="C75" s="205">
        <f t="shared" si="8"/>
        <v>5.96</v>
      </c>
      <c r="D75" s="205">
        <f t="shared" si="8"/>
        <v>6.11</v>
      </c>
      <c r="E75" s="205">
        <f t="shared" si="8"/>
        <v>7.19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36.119999999999997</v>
      </c>
      <c r="C76" s="213">
        <f>SUM(C72:C75)</f>
        <v>36.260000000000005</v>
      </c>
      <c r="D76" s="213">
        <f>SUM(D72:D75)</f>
        <v>31.71</v>
      </c>
      <c r="E76" s="213">
        <f>AVERAGE(E72:E75)*4</f>
        <v>35.589999999999996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11675088</v>
      </c>
      <c r="C79" s="270">
        <v>9969214</v>
      </c>
      <c r="D79" s="270">
        <v>10604789</v>
      </c>
      <c r="E79" s="270">
        <v>10533466</v>
      </c>
      <c r="F79" s="270">
        <v>11450010</v>
      </c>
      <c r="G79" s="270">
        <v>11454680</v>
      </c>
      <c r="H79" s="270">
        <v>12308971</v>
      </c>
      <c r="I79" s="270">
        <v>12239186</v>
      </c>
      <c r="J79" s="270">
        <v>11238228</v>
      </c>
      <c r="K79" s="270">
        <v>11096040</v>
      </c>
      <c r="L79" s="270">
        <v>10837643</v>
      </c>
      <c r="M79" s="270">
        <v>11162163</v>
      </c>
      <c r="N79" s="270">
        <v>16468538</v>
      </c>
      <c r="O79" s="270">
        <v>16135292</v>
      </c>
      <c r="P79" s="270">
        <v>15770380</v>
      </c>
      <c r="Q79" s="270">
        <v>16213602</v>
      </c>
      <c r="R79" s="270">
        <v>16678225</v>
      </c>
      <c r="S79" s="270">
        <v>16657443</v>
      </c>
      <c r="T79" s="270">
        <v>17719929</v>
      </c>
      <c r="U79" s="270">
        <v>17388814</v>
      </c>
      <c r="V79" s="270">
        <v>17263337</v>
      </c>
      <c r="W79" s="270">
        <v>16866546</v>
      </c>
      <c r="X79" s="270">
        <v>16352538</v>
      </c>
      <c r="Y79" s="270">
        <v>17056629</v>
      </c>
      <c r="Z79" s="270">
        <v>17674604</v>
      </c>
      <c r="AA79" s="270">
        <v>15378322</v>
      </c>
      <c r="AB79" s="270">
        <v>16734618</v>
      </c>
      <c r="AC79" s="270">
        <v>16615025</v>
      </c>
      <c r="AD79" s="270">
        <v>17665266</v>
      </c>
      <c r="AE79" s="270">
        <v>17372657</v>
      </c>
      <c r="AF79" s="270">
        <v>18651937</v>
      </c>
      <c r="AG79" s="270">
        <v>18307260</v>
      </c>
      <c r="AH79" s="270">
        <v>17649882</v>
      </c>
      <c r="AI79" s="270">
        <v>17716861</v>
      </c>
      <c r="AJ79" s="270">
        <v>16745707</v>
      </c>
      <c r="AK79" s="270">
        <v>17450739</v>
      </c>
      <c r="AL79" s="270">
        <v>16036231</v>
      </c>
      <c r="AM79" s="270">
        <v>16042425</v>
      </c>
      <c r="AN79" s="270">
        <v>16170017</v>
      </c>
      <c r="AO79" s="270">
        <v>16269421</v>
      </c>
      <c r="AP79" s="270">
        <v>17398886</v>
      </c>
      <c r="AQ79" s="270">
        <v>17722925</v>
      </c>
      <c r="AR79" s="270">
        <v>17729484</v>
      </c>
      <c r="AS79" s="270">
        <v>18118331</v>
      </c>
      <c r="AT79" s="270">
        <v>17577956</v>
      </c>
      <c r="AU79" s="270">
        <v>17807863</v>
      </c>
      <c r="AV79" s="270">
        <v>16753356</v>
      </c>
      <c r="AW79" s="270">
        <v>17869444</v>
      </c>
      <c r="AX79" s="270">
        <v>17381327</v>
      </c>
      <c r="AY79" s="270">
        <v>16827871</v>
      </c>
      <c r="AZ79" s="270">
        <v>17300970</v>
      </c>
      <c r="BA79" s="270">
        <v>17437492</v>
      </c>
      <c r="BB79" s="270">
        <v>18521233</v>
      </c>
      <c r="BC79" s="270">
        <v>18272722</v>
      </c>
      <c r="BD79" s="270">
        <v>18969904</v>
      </c>
      <c r="BE79" s="270">
        <v>18630112</v>
      </c>
      <c r="BF79" s="270">
        <v>18104336</v>
      </c>
      <c r="BG79" s="270">
        <v>18584640</v>
      </c>
      <c r="BH79" s="270">
        <v>17313226</v>
      </c>
      <c r="BI79" s="270">
        <v>18005530</v>
      </c>
      <c r="BJ79" s="270">
        <v>19042184</v>
      </c>
      <c r="BK79" s="270">
        <v>16149951</v>
      </c>
      <c r="BL79" s="270">
        <v>17818002</v>
      </c>
      <c r="BM79" s="270">
        <v>17806040</v>
      </c>
      <c r="BN79" s="270">
        <v>18914378</v>
      </c>
      <c r="BO79" s="270">
        <v>18460703</v>
      </c>
      <c r="BP79" s="270">
        <v>18843001</v>
      </c>
      <c r="BQ79" s="270">
        <v>19590713</v>
      </c>
      <c r="BR79" s="270">
        <v>18849741</v>
      </c>
      <c r="BS79" s="270">
        <v>18763135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1.66</v>
      </c>
      <c r="C82" s="72">
        <v>1.64</v>
      </c>
      <c r="D82" s="72">
        <v>2.08</v>
      </c>
      <c r="E82" s="72">
        <v>1.1499999999999999</v>
      </c>
      <c r="F82" s="72">
        <v>1.94</v>
      </c>
      <c r="G82" s="72">
        <v>2.2200000000000002</v>
      </c>
      <c r="H82" s="72">
        <v>2.16</v>
      </c>
      <c r="I82" s="72">
        <v>1.41</v>
      </c>
      <c r="J82" s="72">
        <v>2.86</v>
      </c>
      <c r="K82" s="72">
        <v>2.11</v>
      </c>
      <c r="L82" s="72">
        <v>2.39</v>
      </c>
      <c r="M82" s="72">
        <v>1.39</v>
      </c>
      <c r="N82" s="72">
        <v>2.0299999999999998</v>
      </c>
      <c r="O82" s="72">
        <v>2.09</v>
      </c>
      <c r="P82" s="72">
        <v>2.36</v>
      </c>
      <c r="Q82" s="72">
        <v>1.45</v>
      </c>
      <c r="R82" s="72">
        <v>2.35</v>
      </c>
      <c r="S82" s="72">
        <v>2.4900000000000002</v>
      </c>
      <c r="T82" s="72">
        <v>2.71</v>
      </c>
      <c r="U82" s="72">
        <v>1.91</v>
      </c>
      <c r="V82" s="72">
        <v>2.64</v>
      </c>
      <c r="W82" s="72">
        <v>2.68</v>
      </c>
      <c r="X82" s="72">
        <v>2.97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21.67</v>
      </c>
      <c r="C85" s="72">
        <v>18.39</v>
      </c>
      <c r="D85" s="72">
        <v>20.48</v>
      </c>
      <c r="E85" s="72">
        <v>22.04</v>
      </c>
      <c r="F85" s="72">
        <v>22.15</v>
      </c>
      <c r="G85" s="72">
        <v>19.489999999999998</v>
      </c>
      <c r="H85" s="72">
        <v>21.54</v>
      </c>
      <c r="I85" s="72">
        <v>22.84</v>
      </c>
      <c r="J85" s="72">
        <v>25.67</v>
      </c>
      <c r="K85" s="72">
        <v>21.72</v>
      </c>
      <c r="L85" s="72">
        <v>24.15</v>
      </c>
      <c r="M85" s="72">
        <v>25.51</v>
      </c>
      <c r="N85" s="72">
        <v>27.47</v>
      </c>
      <c r="O85" s="72">
        <v>22.43</v>
      </c>
      <c r="P85" s="72">
        <v>24.91</v>
      </c>
      <c r="Q85" s="72">
        <v>26.08</v>
      </c>
      <c r="R85" s="72">
        <v>28.42</v>
      </c>
      <c r="S85" s="72">
        <v>23.55</v>
      </c>
      <c r="T85" s="72">
        <v>25.82</v>
      </c>
      <c r="U85" s="72">
        <v>27.53</v>
      </c>
      <c r="V85" s="72">
        <v>29.91</v>
      </c>
      <c r="W85" s="72">
        <v>24.74</v>
      </c>
      <c r="X85" s="72">
        <v>27.77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49654279</v>
      </c>
      <c r="C88" s="273">
        <v>51237906</v>
      </c>
      <c r="D88" s="273">
        <v>54751059</v>
      </c>
      <c r="E88" s="273">
        <v>52620731</v>
      </c>
      <c r="F88" s="273">
        <v>48374210</v>
      </c>
      <c r="G88" s="273">
        <v>49548404</v>
      </c>
      <c r="H88" s="273">
        <v>52372791</v>
      </c>
      <c r="I88" s="273">
        <v>50315434</v>
      </c>
      <c r="J88" s="273">
        <v>49787544</v>
      </c>
      <c r="K88" s="273">
        <v>51652948</v>
      </c>
      <c r="L88" s="273">
        <v>54609078</v>
      </c>
      <c r="M88" s="273">
        <v>49712844</v>
      </c>
      <c r="N88" s="273">
        <v>48248674</v>
      </c>
      <c r="O88" s="273">
        <v>51391231</v>
      </c>
      <c r="P88" s="273">
        <v>53425771</v>
      </c>
      <c r="Q88" s="273">
        <v>52415641</v>
      </c>
      <c r="R88" s="273">
        <v>51519542</v>
      </c>
      <c r="S88" s="273">
        <v>54231446</v>
      </c>
      <c r="T88" s="273">
        <v>55583940</v>
      </c>
      <c r="U88" s="273">
        <v>53903223</v>
      </c>
      <c r="V88" s="273">
        <v>53001927</v>
      </c>
      <c r="W88" s="273">
        <v>55172911</v>
      </c>
      <c r="X88" s="273">
        <v>57283454</v>
      </c>
    </row>
    <row r="89" spans="1:25" ht="14.25" thickBot="1" x14ac:dyDescent="0.3">
      <c r="A89" s="250" t="s">
        <v>4</v>
      </c>
      <c r="B89" s="275">
        <v>14828438</v>
      </c>
      <c r="C89" s="275">
        <v>15761959</v>
      </c>
      <c r="D89" s="275">
        <v>16712012</v>
      </c>
      <c r="E89" s="275">
        <v>15917337</v>
      </c>
      <c r="F89" s="275">
        <v>14907147</v>
      </c>
      <c r="G89" s="275">
        <v>15598334</v>
      </c>
      <c r="H89" s="275">
        <v>16929836</v>
      </c>
      <c r="I89" s="275">
        <v>15986742</v>
      </c>
      <c r="J89" s="275">
        <v>15732725</v>
      </c>
      <c r="K89" s="275">
        <v>16791189</v>
      </c>
      <c r="L89" s="275">
        <v>17718562</v>
      </c>
      <c r="M89" s="275">
        <v>15700341</v>
      </c>
      <c r="N89" s="275">
        <v>15243958</v>
      </c>
      <c r="O89" s="275">
        <v>16643364</v>
      </c>
      <c r="P89" s="275">
        <v>17083714</v>
      </c>
      <c r="Q89" s="275">
        <v>17309831</v>
      </c>
      <c r="R89" s="275">
        <v>16675396</v>
      </c>
      <c r="S89" s="275">
        <v>17961795</v>
      </c>
      <c r="T89" s="275">
        <v>18472891</v>
      </c>
      <c r="U89" s="275">
        <v>17657119</v>
      </c>
      <c r="V89" s="275">
        <v>17356457</v>
      </c>
      <c r="W89" s="275">
        <v>18248667</v>
      </c>
      <c r="X89" s="275">
        <v>19272820</v>
      </c>
    </row>
    <row r="90" spans="1:25" ht="14.25" thickBot="1" x14ac:dyDescent="0.3">
      <c r="A90" s="251" t="s">
        <v>5</v>
      </c>
      <c r="B90" s="273">
        <v>2093484</v>
      </c>
      <c r="C90" s="273">
        <v>2020265</v>
      </c>
      <c r="D90" s="273">
        <v>2397916</v>
      </c>
      <c r="E90" s="273">
        <v>2215495</v>
      </c>
      <c r="F90" s="273">
        <v>2428819</v>
      </c>
      <c r="G90" s="273">
        <v>2615280</v>
      </c>
      <c r="H90" s="273">
        <v>2810682</v>
      </c>
      <c r="I90" s="273">
        <v>2341784</v>
      </c>
      <c r="J90" s="273">
        <v>2340779</v>
      </c>
      <c r="K90" s="273">
        <v>2813278</v>
      </c>
      <c r="L90" s="273">
        <v>3072174</v>
      </c>
      <c r="M90" s="273">
        <v>2141874</v>
      </c>
      <c r="N90" s="273">
        <v>2263668</v>
      </c>
      <c r="O90" s="273">
        <v>2516045</v>
      </c>
      <c r="P90" s="273">
        <v>2519490</v>
      </c>
      <c r="Q90" s="273">
        <v>2310610</v>
      </c>
      <c r="R90" s="273">
        <v>2518421</v>
      </c>
      <c r="S90" s="273">
        <v>2791628</v>
      </c>
      <c r="T90" s="273">
        <v>2895465</v>
      </c>
      <c r="U90" s="273">
        <v>2359665</v>
      </c>
      <c r="V90" s="273">
        <v>2777250</v>
      </c>
      <c r="W90" s="273">
        <v>2867653</v>
      </c>
      <c r="X90" s="273">
        <v>3033848</v>
      </c>
    </row>
    <row r="91" spans="1:25" ht="14.25" thickBot="1" x14ac:dyDescent="0.3">
      <c r="A91" s="250" t="s">
        <v>6</v>
      </c>
      <c r="B91" s="275">
        <v>2380541</v>
      </c>
      <c r="C91" s="275">
        <v>2339913</v>
      </c>
      <c r="D91" s="275">
        <v>2791604</v>
      </c>
      <c r="E91" s="275">
        <v>1961670</v>
      </c>
      <c r="F91" s="275">
        <v>2802650</v>
      </c>
      <c r="G91" s="275">
        <v>3274392</v>
      </c>
      <c r="H91" s="275">
        <v>3186159</v>
      </c>
      <c r="I91" s="275">
        <v>2029595</v>
      </c>
      <c r="J91" s="275">
        <v>3716543</v>
      </c>
      <c r="K91" s="275">
        <v>3135270</v>
      </c>
      <c r="L91" s="275">
        <v>3437599</v>
      </c>
      <c r="M91" s="275">
        <v>2250635</v>
      </c>
      <c r="N91" s="275">
        <v>2855786</v>
      </c>
      <c r="O91" s="275">
        <v>3121419</v>
      </c>
      <c r="P91" s="275">
        <v>3306144</v>
      </c>
      <c r="Q91" s="275">
        <v>2398454</v>
      </c>
      <c r="R91" s="275">
        <v>3260509</v>
      </c>
      <c r="S91" s="275">
        <v>3562038</v>
      </c>
      <c r="T91" s="275">
        <v>3722775</v>
      </c>
      <c r="U91" s="275">
        <v>2816536</v>
      </c>
      <c r="V91" s="275">
        <v>3618731</v>
      </c>
      <c r="W91" s="275">
        <v>3723246</v>
      </c>
      <c r="X91" s="275">
        <v>3900025</v>
      </c>
    </row>
    <row r="92" spans="1:25" ht="14.25" thickBot="1" x14ac:dyDescent="0.3">
      <c r="A92" s="251" t="s">
        <v>7</v>
      </c>
      <c r="B92" s="273">
        <v>1927645</v>
      </c>
      <c r="C92" s="273">
        <v>1878743</v>
      </c>
      <c r="D92" s="273">
        <v>2407472</v>
      </c>
      <c r="E92" s="273">
        <v>1409647</v>
      </c>
      <c r="F92" s="273">
        <v>2268424</v>
      </c>
      <c r="G92" s="273">
        <v>2600649</v>
      </c>
      <c r="H92" s="273">
        <v>2559367</v>
      </c>
      <c r="I92" s="273">
        <v>1813853</v>
      </c>
      <c r="J92" s="273">
        <v>3208147</v>
      </c>
      <c r="K92" s="273">
        <v>2490977</v>
      </c>
      <c r="L92" s="273">
        <v>2797242</v>
      </c>
      <c r="M92" s="273">
        <v>1751794</v>
      </c>
      <c r="N92" s="273">
        <v>2367042</v>
      </c>
      <c r="O92" s="273">
        <v>2470828</v>
      </c>
      <c r="P92" s="273">
        <v>2750950</v>
      </c>
      <c r="Q92" s="273">
        <v>1853634</v>
      </c>
      <c r="R92" s="273">
        <v>2743265</v>
      </c>
      <c r="S92" s="273">
        <v>2940787</v>
      </c>
      <c r="T92" s="273">
        <v>3137447</v>
      </c>
      <c r="U92" s="273">
        <v>2317070</v>
      </c>
      <c r="V92" s="273">
        <v>3047658</v>
      </c>
      <c r="W92" s="273">
        <v>3115270</v>
      </c>
      <c r="X92" s="273">
        <v>3393375</v>
      </c>
    </row>
    <row r="93" spans="1:25" ht="26.25" thickBot="1" x14ac:dyDescent="0.3">
      <c r="A93" s="252" t="s">
        <v>8</v>
      </c>
      <c r="B93" s="276">
        <v>1722228</v>
      </c>
      <c r="C93" s="276">
        <v>1709566</v>
      </c>
      <c r="D93" s="276">
        <v>2164779</v>
      </c>
      <c r="E93" s="276">
        <v>1192789</v>
      </c>
      <c r="F93" s="276">
        <v>2021859</v>
      </c>
      <c r="G93" s="276">
        <v>2302861</v>
      </c>
      <c r="H93" s="276">
        <v>2241968</v>
      </c>
      <c r="I93" s="276">
        <v>1470064</v>
      </c>
      <c r="J93" s="276">
        <v>2969808</v>
      </c>
      <c r="K93" s="276">
        <v>2195076</v>
      </c>
      <c r="L93" s="276">
        <v>2481301</v>
      </c>
      <c r="M93" s="276">
        <v>1444277</v>
      </c>
      <c r="N93" s="276">
        <v>2109156</v>
      </c>
      <c r="O93" s="276">
        <v>2171000</v>
      </c>
      <c r="P93" s="276">
        <v>2456413</v>
      </c>
      <c r="Q93" s="276">
        <v>1502424</v>
      </c>
      <c r="R93" s="276">
        <v>2447246</v>
      </c>
      <c r="S93" s="276">
        <v>2589467</v>
      </c>
      <c r="T93" s="276">
        <v>2818044</v>
      </c>
      <c r="U93" s="276">
        <v>1981933</v>
      </c>
      <c r="V93" s="276">
        <v>2741471</v>
      </c>
      <c r="W93" s="276">
        <v>2790477</v>
      </c>
      <c r="X93" s="276">
        <v>3086433</v>
      </c>
    </row>
    <row r="94" spans="1:25" x14ac:dyDescent="0.25">
      <c r="A94" s="233" t="s">
        <v>365</v>
      </c>
      <c r="B94" s="253">
        <f>IF(B91="","",B91-B90)</f>
        <v>287057</v>
      </c>
      <c r="C94" s="253">
        <f>IF(C91="","",C91-C90)</f>
        <v>319648</v>
      </c>
      <c r="D94" s="253">
        <f t="shared" ref="D94:Y94" si="9">IF(D91="","",D91-D90)</f>
        <v>393688</v>
      </c>
      <c r="E94" s="253">
        <f t="shared" si="9"/>
        <v>-253825</v>
      </c>
      <c r="F94" s="253">
        <f t="shared" si="9"/>
        <v>373831</v>
      </c>
      <c r="G94" s="253">
        <f t="shared" si="9"/>
        <v>659112</v>
      </c>
      <c r="H94" s="253">
        <f t="shared" si="9"/>
        <v>375477</v>
      </c>
      <c r="I94" s="253">
        <f t="shared" si="9"/>
        <v>-312189</v>
      </c>
      <c r="J94" s="253">
        <f t="shared" si="9"/>
        <v>1375764</v>
      </c>
      <c r="K94" s="253">
        <f t="shared" si="9"/>
        <v>321992</v>
      </c>
      <c r="L94" s="253">
        <f t="shared" si="9"/>
        <v>365425</v>
      </c>
      <c r="M94" s="253">
        <f t="shared" si="9"/>
        <v>108761</v>
      </c>
      <c r="N94" s="253">
        <f t="shared" si="9"/>
        <v>592118</v>
      </c>
      <c r="O94" s="253">
        <f t="shared" si="9"/>
        <v>605374</v>
      </c>
      <c r="P94" s="253">
        <f t="shared" si="9"/>
        <v>786654</v>
      </c>
      <c r="Q94" s="253">
        <f t="shared" si="9"/>
        <v>87844</v>
      </c>
      <c r="R94" s="253">
        <f t="shared" si="9"/>
        <v>742088</v>
      </c>
      <c r="S94" s="253">
        <f t="shared" si="9"/>
        <v>770410</v>
      </c>
      <c r="T94" s="253">
        <f t="shared" si="9"/>
        <v>827310</v>
      </c>
      <c r="U94" s="253">
        <f t="shared" si="9"/>
        <v>456871</v>
      </c>
      <c r="V94" s="253">
        <f t="shared" si="9"/>
        <v>841481</v>
      </c>
      <c r="W94" s="253">
        <f t="shared" si="9"/>
        <v>855593</v>
      </c>
      <c r="X94" s="253">
        <f t="shared" si="9"/>
        <v>866177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208263975</v>
      </c>
      <c r="C97" s="273">
        <v>200610839</v>
      </c>
      <c r="D97" s="273">
        <v>207989021</v>
      </c>
      <c r="E97" s="273">
        <v>205481317</v>
      </c>
      <c r="F97" s="273">
        <v>215359089</v>
      </c>
    </row>
    <row r="98" spans="1:24" ht="14.25" thickBot="1" x14ac:dyDescent="0.3">
      <c r="A98" s="225" t="s">
        <v>4</v>
      </c>
      <c r="B98" s="275">
        <v>63219746</v>
      </c>
      <c r="C98" s="275">
        <v>63422059</v>
      </c>
      <c r="D98" s="275">
        <v>66938168</v>
      </c>
      <c r="E98" s="275">
        <v>66280867</v>
      </c>
      <c r="F98" s="275">
        <v>70606642</v>
      </c>
    </row>
    <row r="99" spans="1:24" ht="14.25" thickBot="1" x14ac:dyDescent="0.3">
      <c r="A99" s="224" t="s">
        <v>5</v>
      </c>
      <c r="B99" s="273">
        <v>8727160</v>
      </c>
      <c r="C99" s="273">
        <v>10196565</v>
      </c>
      <c r="D99" s="273">
        <v>10597280</v>
      </c>
      <c r="E99" s="273">
        <v>9609813</v>
      </c>
      <c r="F99" s="273">
        <v>10404620</v>
      </c>
    </row>
    <row r="100" spans="1:24" ht="14.25" thickBot="1" x14ac:dyDescent="0.3">
      <c r="A100" s="225" t="s">
        <v>6</v>
      </c>
      <c r="B100" s="275">
        <v>9473728</v>
      </c>
      <c r="C100" s="275">
        <v>11292796</v>
      </c>
      <c r="D100" s="275">
        <v>12609776</v>
      </c>
      <c r="E100" s="275">
        <v>11681803</v>
      </c>
      <c r="F100" s="275">
        <v>13361858</v>
      </c>
    </row>
    <row r="101" spans="1:24" ht="14.25" thickBot="1" x14ac:dyDescent="0.3">
      <c r="A101" s="224" t="s">
        <v>7</v>
      </c>
      <c r="B101" s="273">
        <v>7623507</v>
      </c>
      <c r="C101" s="273">
        <v>9242293</v>
      </c>
      <c r="D101" s="273">
        <v>10242755</v>
      </c>
      <c r="E101" s="273">
        <v>9442454</v>
      </c>
      <c r="F101" s="273">
        <v>11138569</v>
      </c>
    </row>
    <row r="102" spans="1:24" ht="14.25" thickBot="1" x14ac:dyDescent="0.3">
      <c r="A102" s="227" t="s">
        <v>8</v>
      </c>
      <c r="B102" s="276">
        <v>6789362</v>
      </c>
      <c r="C102" s="276">
        <v>8036752</v>
      </c>
      <c r="D102" s="276">
        <v>9086015</v>
      </c>
      <c r="E102" s="276">
        <v>8238993</v>
      </c>
      <c r="F102" s="276">
        <v>9836690</v>
      </c>
    </row>
    <row r="103" spans="1:24" x14ac:dyDescent="0.25">
      <c r="A103" s="233" t="s">
        <v>262</v>
      </c>
      <c r="B103" s="234">
        <f>IF(OR(B102="",B102="無"),"",B102/B101)</f>
        <v>0.89058251012296574</v>
      </c>
      <c r="C103" s="234">
        <f>IF(OR(C102="",C102="無"),"",C102/C101)</f>
        <v>0.86956256418185396</v>
      </c>
      <c r="D103" s="234">
        <f>IF(OR(D102="",D102="無"),"",D102/D101)</f>
        <v>0.88706749307193233</v>
      </c>
      <c r="E103" s="234">
        <f>IF(OR(E102="",E102="無"),"",E102/E101)</f>
        <v>0.87254785673300606</v>
      </c>
      <c r="F103" s="234">
        <f>IF(OR(F102="",F102="無"),"",F102/F101)</f>
        <v>0.88311972570264641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14892536</v>
      </c>
      <c r="C106" s="273">
        <v>18342820</v>
      </c>
      <c r="D106" s="273">
        <v>18452845</v>
      </c>
      <c r="E106" s="273">
        <v>20024944</v>
      </c>
      <c r="F106" s="273">
        <v>19527039</v>
      </c>
      <c r="G106" s="273">
        <v>21724815</v>
      </c>
      <c r="H106" s="273">
        <v>18441338</v>
      </c>
      <c r="I106" s="273">
        <v>21008243</v>
      </c>
      <c r="J106" s="273">
        <v>21525674</v>
      </c>
      <c r="K106" s="273">
        <v>24010017</v>
      </c>
      <c r="L106" s="273">
        <v>22757695</v>
      </c>
      <c r="M106" s="273">
        <v>22369629</v>
      </c>
      <c r="N106" s="273">
        <v>22594714</v>
      </c>
      <c r="O106" s="273">
        <v>24824267</v>
      </c>
      <c r="P106" s="273">
        <v>23420834</v>
      </c>
      <c r="Q106" s="273">
        <v>22990314</v>
      </c>
      <c r="R106" s="273">
        <v>28578529</v>
      </c>
      <c r="S106" s="273">
        <v>29190900</v>
      </c>
      <c r="T106" s="273">
        <v>23478211</v>
      </c>
      <c r="U106" s="273">
        <v>32003633</v>
      </c>
      <c r="V106" s="273">
        <v>29709132</v>
      </c>
      <c r="W106" s="273">
        <v>31324779</v>
      </c>
      <c r="X106" s="273">
        <v>28311564</v>
      </c>
    </row>
    <row r="107" spans="1:24" ht="14.25" thickBot="1" x14ac:dyDescent="0.3">
      <c r="A107" s="225" t="s">
        <v>22</v>
      </c>
      <c r="B107" s="275">
        <v>7272808</v>
      </c>
      <c r="C107" s="275">
        <v>9766143</v>
      </c>
      <c r="D107" s="275">
        <v>8271796</v>
      </c>
      <c r="E107" s="275">
        <v>6162576</v>
      </c>
      <c r="F107" s="275">
        <v>7361123</v>
      </c>
      <c r="G107" s="275">
        <v>9312332</v>
      </c>
      <c r="H107" s="275">
        <v>8238746</v>
      </c>
      <c r="I107" s="275">
        <v>7204752</v>
      </c>
      <c r="J107" s="275">
        <v>8173954</v>
      </c>
      <c r="K107" s="275">
        <v>8517861</v>
      </c>
      <c r="L107" s="275">
        <v>5870441</v>
      </c>
      <c r="M107" s="275">
        <v>6772463</v>
      </c>
      <c r="N107" s="275">
        <v>7869261</v>
      </c>
      <c r="O107" s="275">
        <v>8931362</v>
      </c>
      <c r="P107" s="275">
        <v>5291963</v>
      </c>
      <c r="Q107" s="275">
        <v>5620386</v>
      </c>
      <c r="R107" s="275">
        <v>2826766</v>
      </c>
      <c r="S107" s="275">
        <v>4620233</v>
      </c>
      <c r="T107" s="275">
        <v>3249652</v>
      </c>
      <c r="U107" s="275">
        <v>847954</v>
      </c>
      <c r="V107" s="275">
        <v>992774</v>
      </c>
      <c r="W107" s="275">
        <v>1227787</v>
      </c>
      <c r="X107" s="275">
        <v>1008917</v>
      </c>
    </row>
    <row r="108" spans="1:24" ht="14.25" thickBot="1" x14ac:dyDescent="0.3">
      <c r="A108" s="224" t="s">
        <v>263</v>
      </c>
      <c r="B108" s="273">
        <v>5038285</v>
      </c>
      <c r="C108" s="273">
        <v>4126269</v>
      </c>
      <c r="D108" s="273">
        <v>4391205</v>
      </c>
      <c r="E108" s="273">
        <v>4124748</v>
      </c>
      <c r="F108" s="273">
        <v>3965646</v>
      </c>
      <c r="G108" s="273">
        <v>4237621</v>
      </c>
      <c r="H108" s="273">
        <v>4582269</v>
      </c>
      <c r="I108" s="273">
        <v>3858220</v>
      </c>
      <c r="J108" s="273">
        <v>4124905</v>
      </c>
      <c r="K108" s="273">
        <v>4251978</v>
      </c>
      <c r="L108" s="273">
        <v>4362712</v>
      </c>
      <c r="M108" s="273">
        <v>4306192</v>
      </c>
      <c r="N108" s="273">
        <v>3869530</v>
      </c>
      <c r="O108" s="273">
        <v>4095519</v>
      </c>
      <c r="P108" s="273">
        <v>4433284</v>
      </c>
      <c r="Q108" s="273">
        <v>4294865</v>
      </c>
      <c r="R108" s="273">
        <v>3807696</v>
      </c>
      <c r="S108" s="273">
        <v>3884186</v>
      </c>
      <c r="T108" s="273">
        <v>4232950</v>
      </c>
      <c r="U108" s="273">
        <v>4325889</v>
      </c>
      <c r="V108" s="273">
        <v>3751163</v>
      </c>
      <c r="W108" s="273">
        <v>3966738</v>
      </c>
      <c r="X108" s="273">
        <v>4157156</v>
      </c>
    </row>
    <row r="109" spans="1:24" ht="14.25" thickBot="1" x14ac:dyDescent="0.3">
      <c r="A109" s="225" t="s">
        <v>264</v>
      </c>
      <c r="B109" s="275">
        <v>10130808</v>
      </c>
      <c r="C109" s="275">
        <v>10242113</v>
      </c>
      <c r="D109" s="275">
        <v>10542213</v>
      </c>
      <c r="E109" s="275">
        <v>10609550</v>
      </c>
      <c r="F109" s="275">
        <v>9818507</v>
      </c>
      <c r="G109" s="275">
        <v>9753212</v>
      </c>
      <c r="H109" s="275">
        <v>10745667</v>
      </c>
      <c r="I109" s="275">
        <v>10172436</v>
      </c>
      <c r="J109" s="275">
        <v>9418595</v>
      </c>
      <c r="K109" s="275">
        <v>9828862</v>
      </c>
      <c r="L109" s="275">
        <v>10245882</v>
      </c>
      <c r="M109" s="275">
        <v>11018102</v>
      </c>
      <c r="N109" s="275">
        <v>10021535</v>
      </c>
      <c r="O109" s="275">
        <v>9747203</v>
      </c>
      <c r="P109" s="275">
        <v>10484604</v>
      </c>
      <c r="Q109" s="275">
        <v>11550553</v>
      </c>
      <c r="R109" s="275">
        <v>10220857</v>
      </c>
      <c r="S109" s="275">
        <v>10355937</v>
      </c>
      <c r="T109" s="275">
        <v>11206101</v>
      </c>
      <c r="U109" s="275">
        <v>12043420</v>
      </c>
      <c r="V109" s="275">
        <v>10797405</v>
      </c>
      <c r="W109" s="275">
        <v>12512663</v>
      </c>
      <c r="X109" s="275">
        <v>12040624</v>
      </c>
    </row>
    <row r="110" spans="1:24" ht="14.25" thickBot="1" x14ac:dyDescent="0.3">
      <c r="A110" s="224" t="s">
        <v>23</v>
      </c>
      <c r="B110" s="273">
        <v>4131253</v>
      </c>
      <c r="C110" s="273">
        <v>4605785</v>
      </c>
      <c r="D110" s="273">
        <v>4306419</v>
      </c>
      <c r="E110" s="273">
        <v>4209315</v>
      </c>
      <c r="F110" s="273">
        <v>4649662</v>
      </c>
      <c r="G110" s="273">
        <v>4203616</v>
      </c>
      <c r="H110" s="273">
        <v>4004997</v>
      </c>
      <c r="I110" s="273">
        <v>4207965</v>
      </c>
      <c r="J110" s="273">
        <v>3483166</v>
      </c>
      <c r="K110" s="273">
        <v>4114543</v>
      </c>
      <c r="L110" s="273">
        <v>5087597</v>
      </c>
      <c r="M110" s="273">
        <v>4259881</v>
      </c>
      <c r="N110" s="273">
        <v>4777689</v>
      </c>
      <c r="O110" s="273">
        <v>5127179</v>
      </c>
      <c r="P110" s="273">
        <v>5116547</v>
      </c>
      <c r="Q110" s="273">
        <v>4566839</v>
      </c>
      <c r="R110" s="273">
        <v>4626725</v>
      </c>
      <c r="S110" s="273">
        <v>6366556</v>
      </c>
      <c r="T110" s="273">
        <v>5486235</v>
      </c>
      <c r="U110" s="273">
        <v>5102096</v>
      </c>
      <c r="V110" s="273">
        <v>5385448</v>
      </c>
      <c r="W110" s="273">
        <v>5969531</v>
      </c>
      <c r="X110" s="273">
        <v>8577642</v>
      </c>
    </row>
    <row r="111" spans="1:24" ht="14.25" thickBot="1" x14ac:dyDescent="0.3">
      <c r="A111" s="225" t="s">
        <v>24</v>
      </c>
      <c r="B111" s="275">
        <v>41465690</v>
      </c>
      <c r="C111" s="275">
        <v>47083130</v>
      </c>
      <c r="D111" s="275">
        <v>45964478</v>
      </c>
      <c r="E111" s="275">
        <v>45131133</v>
      </c>
      <c r="F111" s="275">
        <v>45321977</v>
      </c>
      <c r="G111" s="275">
        <v>49231596</v>
      </c>
      <c r="H111" s="275">
        <v>46013017</v>
      </c>
      <c r="I111" s="275">
        <v>46451616</v>
      </c>
      <c r="J111" s="275">
        <v>46726294</v>
      </c>
      <c r="K111" s="275">
        <v>50723261</v>
      </c>
      <c r="L111" s="275">
        <v>48324327</v>
      </c>
      <c r="M111" s="275">
        <v>48726267</v>
      </c>
      <c r="N111" s="275">
        <v>49132729</v>
      </c>
      <c r="O111" s="275">
        <v>52725530</v>
      </c>
      <c r="P111" s="275">
        <v>48747232</v>
      </c>
      <c r="Q111" s="275">
        <v>49022957</v>
      </c>
      <c r="R111" s="275">
        <v>50060573</v>
      </c>
      <c r="S111" s="275">
        <v>54417812</v>
      </c>
      <c r="T111" s="275">
        <v>47653149</v>
      </c>
      <c r="U111" s="275">
        <v>54322992</v>
      </c>
      <c r="V111" s="275">
        <v>50635922</v>
      </c>
      <c r="W111" s="275">
        <v>55001498</v>
      </c>
      <c r="X111" s="275">
        <v>54095903</v>
      </c>
    </row>
    <row r="112" spans="1:24" ht="14.25" thickBot="1" x14ac:dyDescent="0.3">
      <c r="A112" s="224" t="s">
        <v>25</v>
      </c>
      <c r="B112" s="273">
        <v>9622951</v>
      </c>
      <c r="C112" s="273">
        <v>9549975</v>
      </c>
      <c r="D112" s="273">
        <v>9494271</v>
      </c>
      <c r="E112" s="273">
        <v>9328594</v>
      </c>
      <c r="F112" s="273">
        <v>9122179</v>
      </c>
      <c r="G112" s="273">
        <v>8917368</v>
      </c>
      <c r="H112" s="273">
        <v>8910282</v>
      </c>
      <c r="I112" s="273">
        <v>8747002</v>
      </c>
      <c r="J112" s="273">
        <v>8796708</v>
      </c>
      <c r="K112" s="273">
        <v>8873901</v>
      </c>
      <c r="L112" s="273">
        <v>8900256</v>
      </c>
      <c r="M112" s="273">
        <v>8790973</v>
      </c>
      <c r="N112" s="273">
        <v>10710416</v>
      </c>
      <c r="O112" s="273">
        <v>10530349</v>
      </c>
      <c r="P112" s="273">
        <v>11677911</v>
      </c>
      <c r="Q112" s="273">
        <v>11549290</v>
      </c>
      <c r="R112" s="273">
        <v>11619132</v>
      </c>
      <c r="S112" s="273">
        <v>11393652</v>
      </c>
      <c r="T112" s="273">
        <v>11842126</v>
      </c>
      <c r="U112" s="273">
        <v>11998433</v>
      </c>
      <c r="V112" s="273">
        <v>11960355</v>
      </c>
      <c r="W112" s="273">
        <v>12045058</v>
      </c>
      <c r="X112" s="273">
        <v>10059794</v>
      </c>
    </row>
    <row r="113" spans="1:24" ht="14.25" thickBot="1" x14ac:dyDescent="0.3">
      <c r="A113" s="225" t="s">
        <v>26</v>
      </c>
      <c r="B113" s="275">
        <v>19120235</v>
      </c>
      <c r="C113" s="275">
        <v>19876284</v>
      </c>
      <c r="D113" s="275">
        <v>20261384</v>
      </c>
      <c r="E113" s="275">
        <v>21435776</v>
      </c>
      <c r="F113" s="275">
        <v>21641549</v>
      </c>
      <c r="G113" s="275">
        <v>21495725</v>
      </c>
      <c r="H113" s="275">
        <v>21347172</v>
      </c>
      <c r="I113" s="275">
        <v>21542772</v>
      </c>
      <c r="J113" s="275">
        <v>21869422</v>
      </c>
      <c r="K113" s="275">
        <v>22071482</v>
      </c>
      <c r="L113" s="275">
        <v>22341953</v>
      </c>
      <c r="M113" s="275">
        <v>22934321</v>
      </c>
      <c r="N113" s="275">
        <v>22176475</v>
      </c>
      <c r="O113" s="275">
        <v>22014196</v>
      </c>
      <c r="P113" s="275">
        <v>21811460</v>
      </c>
      <c r="Q113" s="275">
        <v>22339376</v>
      </c>
      <c r="R113" s="275">
        <v>22233447</v>
      </c>
      <c r="S113" s="275">
        <v>21948463</v>
      </c>
      <c r="T113" s="275">
        <v>21871224</v>
      </c>
      <c r="U113" s="275">
        <v>22329291</v>
      </c>
      <c r="V113" s="275">
        <v>22273332</v>
      </c>
      <c r="W113" s="275">
        <v>22570539</v>
      </c>
      <c r="X113" s="275">
        <v>22749774</v>
      </c>
    </row>
    <row r="114" spans="1:24" ht="14.25" thickBot="1" x14ac:dyDescent="0.3">
      <c r="A114" s="224" t="s">
        <v>27</v>
      </c>
      <c r="B114" s="273">
        <v>4938123</v>
      </c>
      <c r="C114" s="273">
        <v>5301019</v>
      </c>
      <c r="D114" s="273">
        <v>5426745</v>
      </c>
      <c r="E114" s="273">
        <v>5317237</v>
      </c>
      <c r="F114" s="273">
        <v>6420479</v>
      </c>
      <c r="G114" s="273">
        <v>6473865</v>
      </c>
      <c r="H114" s="273">
        <v>6498319</v>
      </c>
      <c r="I114" s="273">
        <v>6756578</v>
      </c>
      <c r="J114" s="273">
        <v>6817591</v>
      </c>
      <c r="K114" s="273">
        <v>6897652</v>
      </c>
      <c r="L114" s="273">
        <v>7174764</v>
      </c>
      <c r="M114" s="273">
        <v>7377812</v>
      </c>
      <c r="N114" s="273">
        <v>6242154</v>
      </c>
      <c r="O114" s="273">
        <v>6256766</v>
      </c>
      <c r="P114" s="273">
        <v>6379194</v>
      </c>
      <c r="Q114" s="273">
        <v>6471089</v>
      </c>
      <c r="R114" s="273">
        <v>6397121</v>
      </c>
      <c r="S114" s="273">
        <v>6438955</v>
      </c>
      <c r="T114" s="273">
        <v>6365146</v>
      </c>
      <c r="U114" s="273">
        <v>6467801</v>
      </c>
      <c r="V114" s="273">
        <v>6835313</v>
      </c>
      <c r="W114" s="273">
        <v>6956245</v>
      </c>
      <c r="X114" s="273">
        <v>7099889</v>
      </c>
    </row>
    <row r="115" spans="1:24" ht="14.25" thickBot="1" x14ac:dyDescent="0.3">
      <c r="A115" s="225" t="s">
        <v>265</v>
      </c>
      <c r="B115" s="276">
        <v>75146999</v>
      </c>
      <c r="C115" s="276">
        <v>81810408</v>
      </c>
      <c r="D115" s="276">
        <v>81146878</v>
      </c>
      <c r="E115" s="276">
        <v>81212740</v>
      </c>
      <c r="F115" s="276">
        <v>82506184</v>
      </c>
      <c r="G115" s="276">
        <v>86118554</v>
      </c>
      <c r="H115" s="276">
        <v>82768790</v>
      </c>
      <c r="I115" s="276">
        <v>83497968</v>
      </c>
      <c r="J115" s="276">
        <v>84210015</v>
      </c>
      <c r="K115" s="276">
        <v>88566296</v>
      </c>
      <c r="L115" s="276">
        <v>86741300</v>
      </c>
      <c r="M115" s="276">
        <v>87829373</v>
      </c>
      <c r="N115" s="276">
        <v>88261774</v>
      </c>
      <c r="O115" s="276">
        <v>91526841</v>
      </c>
      <c r="P115" s="276">
        <v>88615797</v>
      </c>
      <c r="Q115" s="276">
        <v>89382712</v>
      </c>
      <c r="R115" s="276">
        <v>90310273</v>
      </c>
      <c r="S115" s="276">
        <v>94198882</v>
      </c>
      <c r="T115" s="276">
        <v>87731645</v>
      </c>
      <c r="U115" s="276">
        <v>95118517</v>
      </c>
      <c r="V115" s="276">
        <v>91704922</v>
      </c>
      <c r="W115" s="276">
        <v>96573340</v>
      </c>
      <c r="X115" s="276">
        <v>94005360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2533571</v>
      </c>
      <c r="C118" s="273">
        <v>2602237</v>
      </c>
      <c r="D118" s="273">
        <v>2888845</v>
      </c>
      <c r="E118" s="273">
        <v>3037639</v>
      </c>
      <c r="F118" s="273">
        <v>3483598</v>
      </c>
      <c r="G118" s="273">
        <v>2074883</v>
      </c>
      <c r="H118" s="273">
        <v>2455160</v>
      </c>
      <c r="I118" s="273">
        <v>1976994</v>
      </c>
      <c r="J118" s="273">
        <v>2638347</v>
      </c>
      <c r="K118" s="273">
        <v>1973152</v>
      </c>
      <c r="L118" s="273">
        <v>1769501</v>
      </c>
      <c r="M118" s="273">
        <v>1675957</v>
      </c>
      <c r="N118" s="273">
        <v>2320974</v>
      </c>
      <c r="O118" s="273">
        <v>1689884</v>
      </c>
      <c r="P118" s="273">
        <v>2868563</v>
      </c>
      <c r="Q118" s="273">
        <v>2454299</v>
      </c>
      <c r="R118" s="273">
        <v>2061146</v>
      </c>
      <c r="S118" s="273">
        <v>1889973</v>
      </c>
      <c r="T118" s="273">
        <v>1817810</v>
      </c>
      <c r="U118" s="273">
        <v>1660825</v>
      </c>
      <c r="V118" s="273">
        <v>2032452</v>
      </c>
      <c r="W118" s="273">
        <v>1602936</v>
      </c>
      <c r="X118" s="273">
        <v>1350915</v>
      </c>
    </row>
    <row r="119" spans="1:24" ht="14.25" thickBot="1" x14ac:dyDescent="0.3">
      <c r="A119" s="225" t="s">
        <v>29</v>
      </c>
      <c r="B119" s="275">
        <v>275000</v>
      </c>
      <c r="C119" s="275">
        <v>284984</v>
      </c>
      <c r="D119" s="275">
        <v>312000</v>
      </c>
      <c r="E119" s="275">
        <v>390000</v>
      </c>
      <c r="F119" s="275">
        <v>560000</v>
      </c>
      <c r="G119" s="275">
        <v>614957</v>
      </c>
      <c r="H119" s="275">
        <v>546985</v>
      </c>
      <c r="I119" s="275">
        <v>305000</v>
      </c>
      <c r="J119" s="275">
        <v>615000</v>
      </c>
      <c r="K119" s="275">
        <v>589942</v>
      </c>
      <c r="L119" s="275">
        <v>384991</v>
      </c>
      <c r="M119" s="275">
        <v>400000</v>
      </c>
      <c r="N119" s="275">
        <v>376000</v>
      </c>
      <c r="O119" s="275">
        <v>389000</v>
      </c>
      <c r="P119" s="275">
        <v>300000</v>
      </c>
      <c r="Q119" s="275">
        <v>395000</v>
      </c>
      <c r="R119" s="275">
        <v>428000</v>
      </c>
      <c r="S119" s="275">
        <v>481000</v>
      </c>
      <c r="T119" s="275">
        <v>275000</v>
      </c>
      <c r="U119" s="275">
        <v>274000</v>
      </c>
      <c r="V119" s="275">
        <v>526875</v>
      </c>
      <c r="W119" s="275">
        <v>434943</v>
      </c>
      <c r="X119" s="275">
        <v>379996</v>
      </c>
    </row>
    <row r="120" spans="1:24" ht="14.25" thickBot="1" x14ac:dyDescent="0.3">
      <c r="A120" s="224" t="s">
        <v>266</v>
      </c>
      <c r="B120" s="273">
        <v>20788633</v>
      </c>
      <c r="C120" s="273">
        <v>21316482</v>
      </c>
      <c r="D120" s="273">
        <v>23455454</v>
      </c>
      <c r="E120" s="273">
        <v>21096583</v>
      </c>
      <c r="F120" s="273">
        <v>20316447</v>
      </c>
      <c r="G120" s="273">
        <v>22325806</v>
      </c>
      <c r="H120" s="273">
        <v>20448276</v>
      </c>
      <c r="I120" s="273">
        <v>20138398</v>
      </c>
      <c r="J120" s="273">
        <v>18625081</v>
      </c>
      <c r="K120" s="273">
        <v>19918056</v>
      </c>
      <c r="L120" s="273">
        <v>21583208</v>
      </c>
      <c r="M120" s="273">
        <v>21083068</v>
      </c>
      <c r="N120" s="273">
        <v>19460714</v>
      </c>
      <c r="O120" s="273">
        <v>20597221</v>
      </c>
      <c r="P120" s="273">
        <v>21220076</v>
      </c>
      <c r="Q120" s="273">
        <v>20356075</v>
      </c>
      <c r="R120" s="273">
        <v>20460003</v>
      </c>
      <c r="S120" s="273">
        <v>20848517</v>
      </c>
      <c r="T120" s="273">
        <v>21178520</v>
      </c>
      <c r="U120" s="273">
        <v>22134352</v>
      </c>
      <c r="V120" s="273">
        <v>19335658</v>
      </c>
      <c r="W120" s="273">
        <v>20137517</v>
      </c>
      <c r="X120" s="273">
        <v>21474614</v>
      </c>
    </row>
    <row r="121" spans="1:24" ht="14.25" thickBot="1" x14ac:dyDescent="0.3">
      <c r="A121" s="225" t="s">
        <v>267</v>
      </c>
      <c r="B121" s="275">
        <v>3376510</v>
      </c>
      <c r="C121" s="275">
        <v>3157895</v>
      </c>
      <c r="D121" s="275">
        <v>3241534</v>
      </c>
      <c r="E121" s="275">
        <v>3147385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157286</v>
      </c>
      <c r="C122" s="273">
        <v>164380</v>
      </c>
      <c r="D122" s="273">
        <v>169093</v>
      </c>
      <c r="E122" s="273">
        <v>186736</v>
      </c>
      <c r="F122" s="273">
        <v>176626</v>
      </c>
      <c r="G122" s="273">
        <v>351818</v>
      </c>
      <c r="H122" s="273">
        <v>379279</v>
      </c>
      <c r="I122" s="273">
        <v>371682</v>
      </c>
      <c r="J122" s="273">
        <v>280526</v>
      </c>
      <c r="K122" s="273">
        <v>185638</v>
      </c>
      <c r="L122" s="273">
        <v>175747</v>
      </c>
      <c r="M122" s="273">
        <v>166397</v>
      </c>
      <c r="N122" s="273">
        <v>285337</v>
      </c>
      <c r="O122" s="273">
        <v>876514</v>
      </c>
      <c r="P122" s="273">
        <v>120238</v>
      </c>
      <c r="Q122" s="273">
        <v>130357</v>
      </c>
      <c r="R122" s="273">
        <v>152230</v>
      </c>
      <c r="S122" s="273">
        <v>96052</v>
      </c>
      <c r="T122" s="273">
        <v>97272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15955719</v>
      </c>
      <c r="C123" s="275">
        <v>23709137</v>
      </c>
      <c r="D123" s="275">
        <v>18803152</v>
      </c>
      <c r="E123" s="275">
        <v>20314786</v>
      </c>
      <c r="F123" s="275">
        <v>22764316</v>
      </c>
      <c r="G123" s="275">
        <v>28254638</v>
      </c>
      <c r="H123" s="275">
        <v>24035209</v>
      </c>
      <c r="I123" s="275">
        <v>24344504</v>
      </c>
      <c r="J123" s="275">
        <v>23895431</v>
      </c>
      <c r="K123" s="275">
        <v>32260841</v>
      </c>
      <c r="L123" s="275">
        <v>26125610</v>
      </c>
      <c r="M123" s="275">
        <v>25837018</v>
      </c>
      <c r="N123" s="275">
        <v>24972428</v>
      </c>
      <c r="O123" s="275">
        <v>33488149</v>
      </c>
      <c r="P123" s="275">
        <v>26334393</v>
      </c>
      <c r="Q123" s="275">
        <v>26350089</v>
      </c>
      <c r="R123" s="275">
        <v>24430299</v>
      </c>
      <c r="S123" s="275">
        <v>33256207</v>
      </c>
      <c r="T123" s="275">
        <v>24018000</v>
      </c>
      <c r="U123" s="275">
        <v>28525547</v>
      </c>
      <c r="V123" s="275">
        <v>24611146</v>
      </c>
      <c r="W123" s="275">
        <v>34875768</v>
      </c>
      <c r="X123" s="275">
        <v>27605982</v>
      </c>
    </row>
    <row r="124" spans="1:24" ht="14.25" thickBot="1" x14ac:dyDescent="0.3">
      <c r="A124" s="224" t="s">
        <v>268</v>
      </c>
      <c r="B124" s="273">
        <v>43086719</v>
      </c>
      <c r="C124" s="273">
        <v>51235115</v>
      </c>
      <c r="D124" s="273">
        <v>48870078</v>
      </c>
      <c r="E124" s="273">
        <v>48173129</v>
      </c>
      <c r="F124" s="273">
        <v>47300987</v>
      </c>
      <c r="G124" s="273">
        <v>53622102</v>
      </c>
      <c r="H124" s="273">
        <v>47864909</v>
      </c>
      <c r="I124" s="273">
        <v>47136578</v>
      </c>
      <c r="J124" s="273">
        <v>46054385</v>
      </c>
      <c r="K124" s="273">
        <v>54927629</v>
      </c>
      <c r="L124" s="273">
        <v>50039057</v>
      </c>
      <c r="M124" s="273">
        <v>49162440</v>
      </c>
      <c r="N124" s="273">
        <v>47415453</v>
      </c>
      <c r="O124" s="273">
        <v>57040768</v>
      </c>
      <c r="P124" s="273">
        <v>50843270</v>
      </c>
      <c r="Q124" s="273">
        <v>49685820</v>
      </c>
      <c r="R124" s="273">
        <v>47531678</v>
      </c>
      <c r="S124" s="273">
        <v>56571749</v>
      </c>
      <c r="T124" s="273">
        <v>47386602</v>
      </c>
      <c r="U124" s="273">
        <v>52594724</v>
      </c>
      <c r="V124" s="273">
        <v>46506131</v>
      </c>
      <c r="W124" s="273">
        <v>57051164</v>
      </c>
      <c r="X124" s="273">
        <v>50811507</v>
      </c>
    </row>
    <row r="125" spans="1:24" ht="14.25" thickBot="1" x14ac:dyDescent="0.3">
      <c r="A125" s="225" t="s">
        <v>32</v>
      </c>
      <c r="B125" s="275">
        <v>2432766</v>
      </c>
      <c r="C125" s="275">
        <v>4692739</v>
      </c>
      <c r="D125" s="275">
        <v>3965754</v>
      </c>
      <c r="E125" s="275">
        <v>2263568</v>
      </c>
      <c r="F125" s="275">
        <v>8598673</v>
      </c>
      <c r="G125" s="275">
        <v>9094133</v>
      </c>
      <c r="H125" s="275">
        <v>9077320</v>
      </c>
      <c r="I125" s="275">
        <v>8862950</v>
      </c>
      <c r="J125" s="275">
        <v>7849206</v>
      </c>
      <c r="K125" s="275">
        <v>7930579</v>
      </c>
      <c r="L125" s="275">
        <v>8165907</v>
      </c>
      <c r="M125" s="275">
        <v>8369024</v>
      </c>
      <c r="N125" s="275">
        <v>8267540</v>
      </c>
      <c r="O125" s="275">
        <v>7675536</v>
      </c>
      <c r="P125" s="275">
        <v>8149055</v>
      </c>
      <c r="Q125" s="275">
        <v>8605390</v>
      </c>
      <c r="R125" s="275">
        <v>9027921</v>
      </c>
      <c r="S125" s="275">
        <v>9057259</v>
      </c>
      <c r="T125" s="275">
        <v>9160370</v>
      </c>
      <c r="U125" s="275">
        <v>9262863</v>
      </c>
      <c r="V125" s="275">
        <v>9283065</v>
      </c>
      <c r="W125" s="275">
        <v>9446323</v>
      </c>
      <c r="X125" s="275">
        <v>9677093</v>
      </c>
    </row>
    <row r="126" spans="1:24" ht="14.25" thickBot="1" x14ac:dyDescent="0.3">
      <c r="A126" s="224" t="s">
        <v>33</v>
      </c>
      <c r="B126" s="273">
        <v>3378367</v>
      </c>
      <c r="C126" s="273">
        <v>3474660</v>
      </c>
      <c r="D126" s="273">
        <v>3503959</v>
      </c>
      <c r="E126" s="273">
        <v>4141739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48897852</v>
      </c>
      <c r="C127" s="275">
        <v>59402514</v>
      </c>
      <c r="D127" s="275">
        <v>56339791</v>
      </c>
      <c r="E127" s="275">
        <v>54578436</v>
      </c>
      <c r="F127" s="275">
        <v>55899660</v>
      </c>
      <c r="G127" s="275">
        <v>62716235</v>
      </c>
      <c r="H127" s="275">
        <v>56942229</v>
      </c>
      <c r="I127" s="275">
        <v>55999528</v>
      </c>
      <c r="J127" s="275">
        <v>53903591</v>
      </c>
      <c r="K127" s="275">
        <v>62858208</v>
      </c>
      <c r="L127" s="275">
        <v>58204964</v>
      </c>
      <c r="M127" s="275">
        <v>57531464</v>
      </c>
      <c r="N127" s="275">
        <v>55682993</v>
      </c>
      <c r="O127" s="275">
        <v>64716304</v>
      </c>
      <c r="P127" s="275">
        <v>58992325</v>
      </c>
      <c r="Q127" s="275">
        <v>58291210</v>
      </c>
      <c r="R127" s="275">
        <v>56559599</v>
      </c>
      <c r="S127" s="275">
        <v>65629008</v>
      </c>
      <c r="T127" s="275">
        <v>56546972</v>
      </c>
      <c r="U127" s="275">
        <v>61857587</v>
      </c>
      <c r="V127" s="275">
        <v>55789196</v>
      </c>
      <c r="W127" s="275">
        <v>66497487</v>
      </c>
      <c r="X127" s="275">
        <v>60488600</v>
      </c>
    </row>
    <row r="128" spans="1:24" ht="14.25" thickBot="1" x14ac:dyDescent="0.3">
      <c r="A128" s="224" t="s">
        <v>34</v>
      </c>
      <c r="B128" s="273">
        <v>26249147</v>
      </c>
      <c r="C128" s="273">
        <v>22407894</v>
      </c>
      <c r="D128" s="273">
        <v>24807087</v>
      </c>
      <c r="E128" s="273">
        <v>26634304</v>
      </c>
      <c r="F128" s="273">
        <v>26606524</v>
      </c>
      <c r="G128" s="273">
        <v>23402319</v>
      </c>
      <c r="H128" s="273">
        <v>25826561</v>
      </c>
      <c r="I128" s="273">
        <v>27498440</v>
      </c>
      <c r="J128" s="273">
        <v>30306424</v>
      </c>
      <c r="K128" s="273">
        <v>25708088</v>
      </c>
      <c r="L128" s="273">
        <v>28536336</v>
      </c>
      <c r="M128" s="273">
        <v>30297909</v>
      </c>
      <c r="N128" s="273">
        <v>32578781</v>
      </c>
      <c r="O128" s="273">
        <v>26810537</v>
      </c>
      <c r="P128" s="273">
        <v>29623472</v>
      </c>
      <c r="Q128" s="273">
        <v>31091502</v>
      </c>
      <c r="R128" s="273">
        <v>33750674</v>
      </c>
      <c r="S128" s="273">
        <v>28569874</v>
      </c>
      <c r="T128" s="273">
        <v>31184673</v>
      </c>
      <c r="U128" s="273">
        <v>33260930</v>
      </c>
      <c r="V128" s="273">
        <v>35915726</v>
      </c>
      <c r="W128" s="273">
        <v>30075853</v>
      </c>
      <c r="X128" s="273">
        <v>33516760</v>
      </c>
    </row>
    <row r="129" spans="1:24" ht="14.25" thickBot="1" x14ac:dyDescent="0.3">
      <c r="A129" s="225" t="s">
        <v>35</v>
      </c>
      <c r="B129" s="276">
        <v>75146999</v>
      </c>
      <c r="C129" s="276">
        <v>81810408</v>
      </c>
      <c r="D129" s="276">
        <v>81146878</v>
      </c>
      <c r="E129" s="276">
        <v>81212740</v>
      </c>
      <c r="F129" s="276">
        <v>82506184</v>
      </c>
      <c r="G129" s="276">
        <v>86118554</v>
      </c>
      <c r="H129" s="276">
        <v>82768790</v>
      </c>
      <c r="I129" s="276">
        <v>83497968</v>
      </c>
      <c r="J129" s="276">
        <v>84210015</v>
      </c>
      <c r="K129" s="276">
        <v>88566296</v>
      </c>
      <c r="L129" s="276">
        <v>86741300</v>
      </c>
      <c r="M129" s="276">
        <v>87829373</v>
      </c>
      <c r="N129" s="276">
        <v>88261774</v>
      </c>
      <c r="O129" s="276">
        <v>91526841</v>
      </c>
      <c r="P129" s="276">
        <v>88615797</v>
      </c>
      <c r="Q129" s="276">
        <v>89382712</v>
      </c>
      <c r="R129" s="276">
        <v>90310273</v>
      </c>
      <c r="S129" s="276">
        <v>94198882</v>
      </c>
      <c r="T129" s="276">
        <v>87731645</v>
      </c>
      <c r="U129" s="276">
        <v>95118517</v>
      </c>
      <c r="V129" s="276">
        <v>91704922</v>
      </c>
      <c r="W129" s="276">
        <v>96573340</v>
      </c>
      <c r="X129" s="276">
        <v>94005360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16.38</v>
      </c>
      <c r="C132" s="68">
        <v>12.64</v>
      </c>
      <c r="D132" s="68">
        <v>15.54</v>
      </c>
      <c r="E132" s="68">
        <v>15.79</v>
      </c>
      <c r="F132" s="68">
        <v>22.74</v>
      </c>
    </row>
    <row r="133" spans="1:24" ht="14.25" thickBot="1" x14ac:dyDescent="0.3">
      <c r="A133" s="225" t="s">
        <v>37</v>
      </c>
      <c r="B133" s="274">
        <v>-6.22</v>
      </c>
      <c r="C133" s="274">
        <v>-5.1100000000000003</v>
      </c>
      <c r="D133" s="274">
        <v>-5.85</v>
      </c>
      <c r="E133" s="274">
        <v>-7.14</v>
      </c>
      <c r="F133" s="274">
        <v>-5.47</v>
      </c>
    </row>
    <row r="134" spans="1:24" ht="14.25" thickBot="1" x14ac:dyDescent="0.3">
      <c r="A134" s="224" t="s">
        <v>38</v>
      </c>
      <c r="B134" s="68">
        <v>-6.44</v>
      </c>
      <c r="C134" s="68">
        <v>-6.73</v>
      </c>
      <c r="D134" s="68">
        <v>-8.57</v>
      </c>
      <c r="E134" s="68">
        <v>-7.15</v>
      </c>
      <c r="F134" s="68">
        <v>-8.2100000000000009</v>
      </c>
    </row>
    <row r="135" spans="1:24" ht="14.25" thickBot="1" x14ac:dyDescent="0.3">
      <c r="A135" s="225" t="s">
        <v>270</v>
      </c>
      <c r="B135" s="274">
        <v>10.16</v>
      </c>
      <c r="C135" s="274">
        <v>7.52</v>
      </c>
      <c r="D135" s="274">
        <v>9.69</v>
      </c>
      <c r="E135" s="274">
        <v>8.65</v>
      </c>
      <c r="F135" s="274">
        <v>17.260000000000002</v>
      </c>
    </row>
    <row r="136" spans="1:24" ht="14.25" thickBot="1" x14ac:dyDescent="0.3">
      <c r="A136" s="229" t="s">
        <v>39</v>
      </c>
      <c r="B136" s="72">
        <v>3.71</v>
      </c>
      <c r="C136" s="72">
        <v>0.8</v>
      </c>
      <c r="D136" s="72">
        <v>1.1200000000000001</v>
      </c>
      <c r="E136" s="72">
        <v>1.49</v>
      </c>
      <c r="F136" s="72">
        <v>9.0500000000000007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4.8499999999999996</v>
      </c>
      <c r="C140" s="68">
        <v>6</v>
      </c>
      <c r="D140" s="68">
        <v>7</v>
      </c>
      <c r="E140" s="68">
        <v>7.2</v>
      </c>
      <c r="F140" s="68">
        <v>8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0.74272588055130173</v>
      </c>
      <c r="C142" s="234">
        <f>IF(C140&lt;&gt;"無",IF(ISNA(HLOOKUP(C139,$B$64:$F$69,6,FALSE)),"",C140/HLOOKUP(C139,$B$64:$F$69,6,FALSE)),"")</f>
        <v>0.77619663648124182</v>
      </c>
      <c r="D142" s="234">
        <f>IF(D140&lt;&gt;"無",IF(ISNA(HLOOKUP(D139,$B$64:$F$69,6,FALSE)),"",D140/HLOOKUP(D139,$B$64:$F$69,6,FALSE)),"")</f>
        <v>0.8</v>
      </c>
      <c r="E142" s="234">
        <f>IF(E140&lt;&gt;"無",IF(ISNA(HLOOKUP(E139,$B$64:$F$69,6,FALSE)),"",E140/HLOOKUP(E139,$B$64:$F$69,6,FALSE)),"")</f>
        <v>0.90794451450189173</v>
      </c>
      <c r="F142" s="234">
        <f>IF(F140&lt;&gt;"無",IF(ISNA(HLOOKUP(F139,$B$64:$F$69,6,FALSE)),"",F140/HLOOKUP(F139,$B$64:$F$69,6,FALSE)),"")</f>
        <v>0.84566596194503174</v>
      </c>
    </row>
    <row r="143" spans="1:24" x14ac:dyDescent="0.25">
      <c r="A143" s="233" t="s">
        <v>216</v>
      </c>
      <c r="B143" s="234">
        <f>IF(OR(B140=0,B140="無"),"",B135/B140)</f>
        <v>2.0948453608247424</v>
      </c>
      <c r="C143" s="234">
        <f>IF(OR(C140=0,C140="無"),"",C135/C140)</f>
        <v>1.2533333333333332</v>
      </c>
      <c r="D143" s="234">
        <f>IF(OR(D140=0,D140="無"),"",D135/D140)</f>
        <v>1.3842857142857141</v>
      </c>
      <c r="E143" s="234">
        <f>IF(OR(E140=0,E140="無"),"",E135/E140)</f>
        <v>1.2013888888888888</v>
      </c>
      <c r="F143" s="234">
        <f>IF(OR(F140=0,F140="無"),"",F135/F140)</f>
        <v>2.1575000000000002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29.86</v>
      </c>
      <c r="C146" s="68">
        <v>30.76</v>
      </c>
      <c r="D146" s="68">
        <v>30.52</v>
      </c>
      <c r="E146" s="68">
        <v>30.25</v>
      </c>
      <c r="F146" s="68">
        <v>30.82</v>
      </c>
      <c r="G146" s="68">
        <v>31.48</v>
      </c>
      <c r="H146" s="68">
        <v>32.33</v>
      </c>
      <c r="I146" s="68">
        <v>31.77</v>
      </c>
      <c r="J146" s="68">
        <v>31.6</v>
      </c>
      <c r="K146" s="68">
        <v>32.51</v>
      </c>
      <c r="L146" s="68">
        <v>32.450000000000003</v>
      </c>
      <c r="M146" s="68">
        <v>31.58</v>
      </c>
      <c r="N146" s="68">
        <v>31.59</v>
      </c>
      <c r="O146" s="68">
        <v>32.39</v>
      </c>
      <c r="P146" s="68">
        <v>31.98</v>
      </c>
      <c r="Q146" s="68">
        <v>33.020000000000003</v>
      </c>
      <c r="R146" s="68">
        <v>32.369999999999997</v>
      </c>
      <c r="S146" s="68">
        <v>33.119999999999997</v>
      </c>
      <c r="T146" s="68">
        <v>33.229999999999997</v>
      </c>
      <c r="U146" s="68">
        <v>32.76</v>
      </c>
      <c r="V146" s="68">
        <v>32.75</v>
      </c>
      <c r="W146" s="68">
        <v>33.08</v>
      </c>
      <c r="X146" s="68">
        <v>33.64</v>
      </c>
    </row>
    <row r="147" spans="1:24" s="93" customFormat="1" ht="14.25" thickBot="1" x14ac:dyDescent="0.3">
      <c r="A147" s="225" t="s">
        <v>19</v>
      </c>
      <c r="B147" s="274">
        <v>4.22</v>
      </c>
      <c r="C147" s="274">
        <v>3.94</v>
      </c>
      <c r="D147" s="274">
        <v>4.38</v>
      </c>
      <c r="E147" s="274">
        <v>4.21</v>
      </c>
      <c r="F147" s="274">
        <v>5.0199999999999996</v>
      </c>
      <c r="G147" s="274">
        <v>5.28</v>
      </c>
      <c r="H147" s="274">
        <v>5.37</v>
      </c>
      <c r="I147" s="274">
        <v>4.6500000000000004</v>
      </c>
      <c r="J147" s="274">
        <v>4.7</v>
      </c>
      <c r="K147" s="274">
        <v>5.45</v>
      </c>
      <c r="L147" s="274">
        <v>5.63</v>
      </c>
      <c r="M147" s="274">
        <v>4.3099999999999996</v>
      </c>
      <c r="N147" s="274">
        <v>4.6900000000000004</v>
      </c>
      <c r="O147" s="274">
        <v>4.9000000000000004</v>
      </c>
      <c r="P147" s="274">
        <v>4.72</v>
      </c>
      <c r="Q147" s="274">
        <v>4.41</v>
      </c>
      <c r="R147" s="274">
        <v>4.8899999999999997</v>
      </c>
      <c r="S147" s="274">
        <v>5.15</v>
      </c>
      <c r="T147" s="274">
        <v>5.21</v>
      </c>
      <c r="U147" s="274">
        <v>4.38</v>
      </c>
      <c r="V147" s="274">
        <v>5.24</v>
      </c>
      <c r="W147" s="274">
        <v>5.2</v>
      </c>
      <c r="X147" s="274">
        <v>5.3</v>
      </c>
    </row>
    <row r="148" spans="1:24" s="93" customFormat="1" ht="14.25" thickBot="1" x14ac:dyDescent="0.3">
      <c r="A148" s="224" t="s">
        <v>41</v>
      </c>
      <c r="B148" s="68">
        <v>4.79</v>
      </c>
      <c r="C148" s="68">
        <v>4.57</v>
      </c>
      <c r="D148" s="68">
        <v>5.0999999999999996</v>
      </c>
      <c r="E148" s="68">
        <v>3.73</v>
      </c>
      <c r="F148" s="68">
        <v>5.79</v>
      </c>
      <c r="G148" s="68">
        <v>6.61</v>
      </c>
      <c r="H148" s="68">
        <v>6.08</v>
      </c>
      <c r="I148" s="68">
        <v>4.03</v>
      </c>
      <c r="J148" s="68">
        <v>7.46</v>
      </c>
      <c r="K148" s="68">
        <v>6.07</v>
      </c>
      <c r="L148" s="68">
        <v>6.29</v>
      </c>
      <c r="M148" s="68">
        <v>4.53</v>
      </c>
      <c r="N148" s="68">
        <v>5.92</v>
      </c>
      <c r="O148" s="68">
        <v>6.07</v>
      </c>
      <c r="P148" s="68">
        <v>6.19</v>
      </c>
      <c r="Q148" s="68">
        <v>4.58</v>
      </c>
      <c r="R148" s="68">
        <v>6.33</v>
      </c>
      <c r="S148" s="68">
        <v>6.57</v>
      </c>
      <c r="T148" s="68">
        <v>6.7</v>
      </c>
      <c r="U148" s="68">
        <v>5.23</v>
      </c>
      <c r="V148" s="68">
        <v>6.83</v>
      </c>
      <c r="W148" s="68">
        <v>6.75</v>
      </c>
      <c r="X148" s="68">
        <v>6.81</v>
      </c>
    </row>
    <row r="149" spans="1:24" s="93" customFormat="1" ht="14.25" thickBot="1" x14ac:dyDescent="0.3">
      <c r="A149" s="225" t="s">
        <v>13</v>
      </c>
      <c r="B149" s="73">
        <v>3.88</v>
      </c>
      <c r="C149" s="73">
        <v>3.67</v>
      </c>
      <c r="D149" s="73">
        <v>4.4000000000000004</v>
      </c>
      <c r="E149" s="73">
        <v>2.68</v>
      </c>
      <c r="F149" s="73">
        <v>4.6900000000000004</v>
      </c>
      <c r="G149" s="73">
        <v>5.25</v>
      </c>
      <c r="H149" s="73">
        <v>4.8899999999999997</v>
      </c>
      <c r="I149" s="73">
        <v>3.61</v>
      </c>
      <c r="J149" s="73">
        <v>6.44</v>
      </c>
      <c r="K149" s="73">
        <v>4.82</v>
      </c>
      <c r="L149" s="73">
        <v>5.12</v>
      </c>
      <c r="M149" s="73">
        <v>3.52</v>
      </c>
      <c r="N149" s="73">
        <v>4.91</v>
      </c>
      <c r="O149" s="73">
        <v>4.8099999999999996</v>
      </c>
      <c r="P149" s="73">
        <v>5.15</v>
      </c>
      <c r="Q149" s="73">
        <v>3.54</v>
      </c>
      <c r="R149" s="73">
        <v>5.32</v>
      </c>
      <c r="S149" s="73">
        <v>5.42</v>
      </c>
      <c r="T149" s="73">
        <v>5.64</v>
      </c>
      <c r="U149" s="73">
        <v>4.3</v>
      </c>
      <c r="V149" s="73">
        <v>5.75</v>
      </c>
      <c r="W149" s="73">
        <v>5.65</v>
      </c>
      <c r="X149" s="73">
        <v>5.92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30.36</v>
      </c>
      <c r="C152" s="68">
        <v>31.61</v>
      </c>
      <c r="D152" s="68">
        <v>32.18</v>
      </c>
      <c r="E152" s="68">
        <v>32.26</v>
      </c>
      <c r="F152" s="68">
        <v>32.79</v>
      </c>
    </row>
    <row r="153" spans="1:24" s="93" customFormat="1" ht="14.25" thickBot="1" x14ac:dyDescent="0.3">
      <c r="A153" s="225" t="s">
        <v>19</v>
      </c>
      <c r="B153" s="274">
        <v>4.1900000000000004</v>
      </c>
      <c r="C153" s="274">
        <v>5.08</v>
      </c>
      <c r="D153" s="274">
        <v>5.0999999999999996</v>
      </c>
      <c r="E153" s="274">
        <v>4.68</v>
      </c>
      <c r="F153" s="274">
        <v>4.83</v>
      </c>
    </row>
    <row r="154" spans="1:24" s="93" customFormat="1" ht="14.25" thickBot="1" x14ac:dyDescent="0.3">
      <c r="A154" s="224" t="s">
        <v>41</v>
      </c>
      <c r="B154" s="68">
        <v>4.55</v>
      </c>
      <c r="C154" s="68">
        <v>5.63</v>
      </c>
      <c r="D154" s="68">
        <v>6.06</v>
      </c>
      <c r="E154" s="68">
        <v>5.69</v>
      </c>
      <c r="F154" s="68">
        <v>6.2</v>
      </c>
    </row>
    <row r="155" spans="1:24" s="93" customFormat="1" ht="14.25" thickBot="1" x14ac:dyDescent="0.3">
      <c r="A155" s="225" t="s">
        <v>13</v>
      </c>
      <c r="B155" s="73">
        <v>3.66</v>
      </c>
      <c r="C155" s="73">
        <v>4.6100000000000003</v>
      </c>
      <c r="D155" s="73">
        <v>4.92</v>
      </c>
      <c r="E155" s="73">
        <v>4.5999999999999996</v>
      </c>
      <c r="F155" s="73">
        <v>5.17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2.61</v>
      </c>
      <c r="C158" s="68">
        <v>2.42</v>
      </c>
      <c r="D158" s="68">
        <v>2.99</v>
      </c>
      <c r="E158" s="68">
        <v>1.76</v>
      </c>
      <c r="F158" s="68">
        <v>2.8</v>
      </c>
      <c r="G158" s="68">
        <v>3.11</v>
      </c>
      <c r="H158" s="68">
        <v>3.06</v>
      </c>
      <c r="I158" s="68">
        <v>2.21</v>
      </c>
      <c r="J158" s="68">
        <v>3.86</v>
      </c>
      <c r="K158" s="68">
        <v>2.91</v>
      </c>
      <c r="L158" s="68">
        <v>3.21</v>
      </c>
      <c r="M158" s="68">
        <v>2.0299999999999998</v>
      </c>
      <c r="N158" s="68">
        <v>2.71</v>
      </c>
      <c r="O158" s="68">
        <v>2.77</v>
      </c>
      <c r="P158" s="68">
        <v>3.08</v>
      </c>
      <c r="Q158" s="68">
        <v>2.11</v>
      </c>
      <c r="R158" s="68">
        <v>3.08</v>
      </c>
      <c r="S158" s="68">
        <v>3.21</v>
      </c>
      <c r="T158" s="68">
        <v>3.47</v>
      </c>
      <c r="U158" s="68">
        <v>2.56</v>
      </c>
      <c r="V158" s="68">
        <v>3.28</v>
      </c>
      <c r="W158" s="68">
        <v>3.33</v>
      </c>
      <c r="X158" s="68">
        <v>3.58</v>
      </c>
    </row>
    <row r="159" spans="1:24" s="93" customFormat="1" ht="14.25" thickBot="1" x14ac:dyDescent="0.3">
      <c r="A159" s="225" t="s">
        <v>45</v>
      </c>
      <c r="B159" s="73">
        <v>7.64</v>
      </c>
      <c r="C159" s="73">
        <v>7.72</v>
      </c>
      <c r="D159" s="73">
        <v>10.199999999999999</v>
      </c>
      <c r="E159" s="73">
        <v>5.48</v>
      </c>
      <c r="F159" s="73">
        <v>8.52</v>
      </c>
      <c r="G159" s="73">
        <v>10.4</v>
      </c>
      <c r="H159" s="73">
        <v>10.4</v>
      </c>
      <c r="I159" s="73">
        <v>6.8</v>
      </c>
      <c r="J159" s="73">
        <v>11.1</v>
      </c>
      <c r="K159" s="73">
        <v>8.89</v>
      </c>
      <c r="L159" s="73">
        <v>10.31</v>
      </c>
      <c r="M159" s="73">
        <v>5.96</v>
      </c>
      <c r="N159" s="73">
        <v>7.53</v>
      </c>
      <c r="O159" s="73">
        <v>8.32</v>
      </c>
      <c r="P159" s="73">
        <v>9.75</v>
      </c>
      <c r="Q159" s="73">
        <v>6.11</v>
      </c>
      <c r="R159" s="73">
        <v>8.4600000000000009</v>
      </c>
      <c r="S159" s="73">
        <v>9.44</v>
      </c>
      <c r="T159" s="73">
        <v>10.5</v>
      </c>
      <c r="U159" s="73">
        <v>7.19</v>
      </c>
      <c r="V159" s="73">
        <v>8.81</v>
      </c>
      <c r="W159" s="73">
        <v>9.44</v>
      </c>
      <c r="X159" s="73">
        <v>10.67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3.66</v>
      </c>
      <c r="C162" s="68">
        <v>4.6100000000000003</v>
      </c>
      <c r="D162" s="68">
        <v>4.92</v>
      </c>
      <c r="E162" s="68">
        <v>4.5999999999999996</v>
      </c>
      <c r="F162" s="68">
        <v>5.17</v>
      </c>
    </row>
    <row r="163" spans="1:72" s="93" customFormat="1" ht="14.25" thickBot="1" x14ac:dyDescent="0.3">
      <c r="A163" s="225" t="s">
        <v>18</v>
      </c>
      <c r="B163" s="274">
        <v>2.56</v>
      </c>
      <c r="C163" s="274">
        <v>2.4</v>
      </c>
      <c r="D163" s="274">
        <v>2.37</v>
      </c>
      <c r="E163" s="274">
        <v>2.2999999999999998</v>
      </c>
      <c r="F163" s="274">
        <v>2.2599999999999998</v>
      </c>
    </row>
    <row r="164" spans="1:72" s="93" customFormat="1" ht="14.25" thickBot="1" x14ac:dyDescent="0.3">
      <c r="A164" s="224" t="s">
        <v>15</v>
      </c>
      <c r="B164" s="68">
        <v>3.05</v>
      </c>
      <c r="C164" s="68">
        <v>3.04</v>
      </c>
      <c r="D164" s="68">
        <v>2.9</v>
      </c>
      <c r="E164" s="68">
        <v>2.87</v>
      </c>
      <c r="F164" s="68">
        <v>2.86</v>
      </c>
    </row>
    <row r="165" spans="1:72" s="93" customFormat="1" ht="14.25" thickBot="1" x14ac:dyDescent="0.3">
      <c r="A165" s="225" t="s">
        <v>45</v>
      </c>
      <c r="B165" s="73">
        <v>29.98</v>
      </c>
      <c r="C165" s="73">
        <v>34.15</v>
      </c>
      <c r="D165" s="73">
        <v>35.44</v>
      </c>
      <c r="E165" s="73">
        <v>30.76</v>
      </c>
      <c r="F165" s="73">
        <v>34.619999999999997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7.84</v>
      </c>
      <c r="C168" s="68">
        <v>8.0500000000000007</v>
      </c>
      <c r="D168" s="68">
        <v>7</v>
      </c>
      <c r="E168" s="68">
        <v>7.28</v>
      </c>
      <c r="F168" s="68">
        <v>7.53</v>
      </c>
      <c r="G168" s="68">
        <v>7.45</v>
      </c>
      <c r="H168" s="68">
        <v>7.58</v>
      </c>
      <c r="I168" s="68">
        <v>7.55</v>
      </c>
      <c r="J168" s="68">
        <v>7.22</v>
      </c>
      <c r="K168" s="68">
        <v>7.3</v>
      </c>
      <c r="L168" s="68">
        <v>7.1</v>
      </c>
      <c r="M168" s="68">
        <v>7.85</v>
      </c>
      <c r="N168" s="68">
        <v>7.63</v>
      </c>
      <c r="O168" s="68">
        <v>6.98</v>
      </c>
      <c r="P168" s="68">
        <v>7.18</v>
      </c>
      <c r="Q168" s="68">
        <v>7.49</v>
      </c>
      <c r="R168" s="68">
        <v>7.08</v>
      </c>
      <c r="S168" s="68">
        <v>6.38</v>
      </c>
      <c r="T168" s="68">
        <v>6.57</v>
      </c>
      <c r="U168" s="68">
        <v>7.14</v>
      </c>
      <c r="V168" s="68">
        <v>6.86</v>
      </c>
      <c r="W168" s="68">
        <v>6.29</v>
      </c>
      <c r="X168" s="68">
        <v>6.38</v>
      </c>
    </row>
    <row r="169" spans="1:72" s="93" customFormat="1" ht="14.25" thickBot="1" x14ac:dyDescent="0.3">
      <c r="A169" s="225" t="s">
        <v>17</v>
      </c>
      <c r="B169" s="274">
        <v>26.63</v>
      </c>
      <c r="C169" s="274">
        <v>25.86</v>
      </c>
      <c r="D169" s="274">
        <v>24.59</v>
      </c>
      <c r="E169" s="274">
        <v>25.94</v>
      </c>
      <c r="F169" s="274">
        <v>27.44</v>
      </c>
      <c r="G169" s="274">
        <v>25.94</v>
      </c>
      <c r="H169" s="274">
        <v>26.01</v>
      </c>
      <c r="I169" s="274">
        <v>27.44</v>
      </c>
      <c r="J169" s="274">
        <v>25.86</v>
      </c>
      <c r="K169" s="274">
        <v>24.86</v>
      </c>
      <c r="L169" s="274">
        <v>24.46</v>
      </c>
      <c r="M169" s="274">
        <v>28.13</v>
      </c>
      <c r="N169" s="274">
        <v>28.66</v>
      </c>
      <c r="O169" s="274">
        <v>25.57</v>
      </c>
      <c r="P169" s="274">
        <v>25.07</v>
      </c>
      <c r="Q169" s="274">
        <v>28.21</v>
      </c>
      <c r="R169" s="274">
        <v>28.13</v>
      </c>
      <c r="S169" s="274">
        <v>25.5</v>
      </c>
      <c r="T169" s="274">
        <v>26.16</v>
      </c>
      <c r="U169" s="274">
        <v>28.85</v>
      </c>
      <c r="V169" s="274">
        <v>28.85</v>
      </c>
      <c r="W169" s="274">
        <v>28.39</v>
      </c>
      <c r="X169" s="274">
        <v>29.03</v>
      </c>
    </row>
    <row r="170" spans="1:72" s="93" customFormat="1" ht="14.25" thickBot="1" x14ac:dyDescent="0.3">
      <c r="A170" s="224" t="s">
        <v>42</v>
      </c>
      <c r="B170" s="72">
        <v>34.47</v>
      </c>
      <c r="C170" s="72">
        <v>33.909999999999997</v>
      </c>
      <c r="D170" s="72">
        <v>31.59</v>
      </c>
      <c r="E170" s="72">
        <v>33.22</v>
      </c>
      <c r="F170" s="72">
        <v>34.96</v>
      </c>
      <c r="G170" s="72">
        <v>33.39</v>
      </c>
      <c r="H170" s="72">
        <v>33.590000000000003</v>
      </c>
      <c r="I170" s="72">
        <v>34.99</v>
      </c>
      <c r="J170" s="72">
        <v>33.08</v>
      </c>
      <c r="K170" s="72">
        <v>32.159999999999997</v>
      </c>
      <c r="L170" s="72">
        <v>31.55</v>
      </c>
      <c r="M170" s="72">
        <v>35.97</v>
      </c>
      <c r="N170" s="72">
        <v>36.29</v>
      </c>
      <c r="O170" s="72">
        <v>32.54</v>
      </c>
      <c r="P170" s="72">
        <v>32.25</v>
      </c>
      <c r="Q170" s="72">
        <v>35.71</v>
      </c>
      <c r="R170" s="72">
        <v>35.200000000000003</v>
      </c>
      <c r="S170" s="72">
        <v>31.88</v>
      </c>
      <c r="T170" s="72">
        <v>32.729999999999997</v>
      </c>
      <c r="U170" s="72">
        <v>35.99</v>
      </c>
      <c r="V170" s="72">
        <v>35.71</v>
      </c>
      <c r="W170" s="72">
        <v>34.68</v>
      </c>
      <c r="X170" s="72">
        <v>35.42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222.83</v>
      </c>
      <c r="C173" s="72">
        <v>142.55000000000001</v>
      </c>
      <c r="D173" s="72">
        <v>157.71</v>
      </c>
      <c r="E173" s="72">
        <v>173.22</v>
      </c>
      <c r="F173" s="72">
        <v>212.24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27.57</v>
      </c>
      <c r="C176" s="72">
        <v>25.92</v>
      </c>
      <c r="D176" s="72">
        <v>26.44</v>
      </c>
      <c r="E176" s="72">
        <v>26.15</v>
      </c>
      <c r="F176" s="72">
        <v>25.84</v>
      </c>
      <c r="G176" s="72">
        <v>25.41</v>
      </c>
      <c r="H176" s="72">
        <v>25.74</v>
      </c>
      <c r="I176" s="72">
        <v>27.84</v>
      </c>
      <c r="J176" s="72">
        <v>26.77</v>
      </c>
      <c r="K176" s="72">
        <v>25.59</v>
      </c>
      <c r="L176" s="72">
        <v>23.88</v>
      </c>
      <c r="M176" s="72">
        <v>25.07</v>
      </c>
      <c r="N176" s="72">
        <v>25.68</v>
      </c>
      <c r="O176" s="72">
        <v>26.08</v>
      </c>
      <c r="P176" s="72">
        <v>26.15</v>
      </c>
      <c r="Q176" s="72">
        <v>27.16</v>
      </c>
      <c r="R176" s="72">
        <v>27.75</v>
      </c>
      <c r="S176" s="72">
        <v>27.44</v>
      </c>
      <c r="T176" s="72">
        <v>31.07</v>
      </c>
      <c r="U176" s="72">
        <v>28.51</v>
      </c>
      <c r="V176" s="72">
        <v>28.33</v>
      </c>
      <c r="W176" s="72">
        <v>28.6</v>
      </c>
      <c r="X176" s="72">
        <v>27.62</v>
      </c>
      <c r="Y176" s="72">
        <v>27.66</v>
      </c>
      <c r="Z176" s="72">
        <v>26.63</v>
      </c>
      <c r="AA176" s="72">
        <v>25.44</v>
      </c>
      <c r="AB176" s="72">
        <v>26.23</v>
      </c>
      <c r="AC176" s="72">
        <v>28.52</v>
      </c>
      <c r="AD176" s="72">
        <v>26.59</v>
      </c>
      <c r="AE176" s="72">
        <v>27.22</v>
      </c>
      <c r="AF176" s="72">
        <v>27.66</v>
      </c>
      <c r="AG176" s="72">
        <v>26.48</v>
      </c>
      <c r="AH176" s="72">
        <v>25.94</v>
      </c>
      <c r="AI176" s="72">
        <v>26.26</v>
      </c>
      <c r="AJ176" s="72">
        <v>26.2</v>
      </c>
      <c r="AK176" s="72">
        <v>27.09</v>
      </c>
      <c r="AL176" s="72">
        <v>27.1</v>
      </c>
      <c r="AM176" s="72">
        <v>28.41</v>
      </c>
      <c r="AN176" s="72">
        <v>28.14</v>
      </c>
      <c r="AO176" s="72">
        <v>25.98</v>
      </c>
      <c r="AP176" s="72">
        <v>28.19</v>
      </c>
      <c r="AQ176" s="72">
        <v>27.2</v>
      </c>
      <c r="AR176" s="72">
        <v>27.3</v>
      </c>
      <c r="AS176" s="72">
        <v>27.58</v>
      </c>
      <c r="AT176" s="72">
        <v>26.13</v>
      </c>
      <c r="AU176" s="72">
        <v>27.55</v>
      </c>
      <c r="AV176" s="72">
        <v>27.02</v>
      </c>
      <c r="AW176" s="72">
        <v>25.95</v>
      </c>
      <c r="AX176" s="72">
        <v>26.17</v>
      </c>
      <c r="AY176" s="72">
        <v>28.46</v>
      </c>
      <c r="AZ176" s="72">
        <v>28.48</v>
      </c>
      <c r="BA176" s="72">
        <v>29.15</v>
      </c>
      <c r="BB176" s="72">
        <v>28.58</v>
      </c>
      <c r="BC176" s="72">
        <v>29.92</v>
      </c>
      <c r="BD176" s="72">
        <v>31.05</v>
      </c>
      <c r="BE176" s="72">
        <v>29.39</v>
      </c>
      <c r="BF176" s="72">
        <v>29.13</v>
      </c>
      <c r="BG176" s="72">
        <v>28.33</v>
      </c>
      <c r="BH176" s="72">
        <v>26.59</v>
      </c>
      <c r="BI176" s="72">
        <v>25.88</v>
      </c>
      <c r="BJ176" s="72">
        <v>25.59</v>
      </c>
      <c r="BK176" s="72">
        <v>25.28</v>
      </c>
      <c r="BL176" s="72">
        <v>25.09</v>
      </c>
      <c r="BM176" s="72">
        <v>27.31</v>
      </c>
      <c r="BN176" s="72">
        <v>27.68</v>
      </c>
      <c r="BO176" s="72">
        <v>28.01</v>
      </c>
      <c r="BP176" s="72">
        <v>28.05</v>
      </c>
      <c r="BQ176" s="72">
        <v>25.44</v>
      </c>
      <c r="BR176" s="72">
        <v>25.37</v>
      </c>
      <c r="BS176" s="72">
        <v>26.63</v>
      </c>
      <c r="BT176" s="72">
        <v>27.79</v>
      </c>
    </row>
  </sheetData>
  <phoneticPr fontId="3" type="noConversion"/>
  <conditionalFormatting sqref="E4">
    <cfRule type="cellIs" dxfId="5024" priority="101" operator="greaterThan">
      <formula>0.2</formula>
    </cfRule>
    <cfRule type="cellIs" dxfId="502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502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021" priority="95" operator="greaterThan">
      <formula>$B$19</formula>
    </cfRule>
  </conditionalFormatting>
  <conditionalFormatting sqref="D33:D34">
    <cfRule type="cellIs" dxfId="502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5019" priority="89" operator="lessThan">
      <formula>$H$62</formula>
    </cfRule>
    <cfRule type="cellIs" dxfId="5018" priority="90" operator="greaterThan">
      <formula>$H$62</formula>
    </cfRule>
  </conditionalFormatting>
  <conditionalFormatting sqref="J62">
    <cfRule type="cellIs" dxfId="5017" priority="87" operator="lessThan">
      <formula>$K$62</formula>
    </cfRule>
    <cfRule type="cellIs" dxfId="5016" priority="88" operator="greaterThan">
      <formula>$K$62</formula>
    </cfRule>
  </conditionalFormatting>
  <conditionalFormatting sqref="M62">
    <cfRule type="cellIs" dxfId="5015" priority="85" operator="lessThan">
      <formula>$N$62</formula>
    </cfRule>
    <cfRule type="cellIs" dxfId="5014" priority="86" operator="greaterThan">
      <formula>$N$62</formula>
    </cfRule>
  </conditionalFormatting>
  <conditionalFormatting sqref="B44:E44">
    <cfRule type="cellIs" dxfId="5013" priority="83" operator="greaterThan">
      <formula>0</formula>
    </cfRule>
    <cfRule type="cellIs" dxfId="5012" priority="84" operator="lessThan">
      <formula>0</formula>
    </cfRule>
  </conditionalFormatting>
  <conditionalFormatting sqref="F72">
    <cfRule type="cellIs" dxfId="5011" priority="82" operator="lessThan">
      <formula>$E$72*90%</formula>
    </cfRule>
  </conditionalFormatting>
  <conditionalFormatting sqref="F73">
    <cfRule type="cellIs" dxfId="5010" priority="81" operator="lessThan">
      <formula>$E$73*90%</formula>
    </cfRule>
  </conditionalFormatting>
  <conditionalFormatting sqref="F74">
    <cfRule type="cellIs" dxfId="5009" priority="80" operator="lessThan">
      <formula>$E$74*90%</formula>
    </cfRule>
  </conditionalFormatting>
  <conditionalFormatting sqref="F75">
    <cfRule type="cellIs" dxfId="5008" priority="79" operator="lessThan">
      <formula>$E$75*90%</formula>
    </cfRule>
  </conditionalFormatting>
  <conditionalFormatting sqref="H44:K44">
    <cfRule type="cellIs" dxfId="5007" priority="77" operator="greaterThan">
      <formula>0</formula>
    </cfRule>
    <cfRule type="cellIs" dxfId="5006" priority="78" operator="lessThan">
      <formula>0</formula>
    </cfRule>
  </conditionalFormatting>
  <conditionalFormatting sqref="H51:K51">
    <cfRule type="cellIs" dxfId="5005" priority="75" operator="greaterThan">
      <formula>0</formula>
    </cfRule>
    <cfRule type="cellIs" dxfId="5004" priority="76" operator="lessThan">
      <formula>0</formula>
    </cfRule>
  </conditionalFormatting>
  <conditionalFormatting sqref="B51:E51">
    <cfRule type="cellIs" dxfId="5003" priority="73" operator="greaterThan">
      <formula>0</formula>
    </cfRule>
    <cfRule type="cellIs" dxfId="500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00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00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999" priority="56" operator="lessThan">
      <formula>0</formula>
    </cfRule>
  </conditionalFormatting>
  <conditionalFormatting sqref="A25 E25 C25">
    <cfRule type="cellIs" dxfId="4998" priority="57" operator="lessThan">
      <formula>0</formula>
    </cfRule>
  </conditionalFormatting>
  <conditionalFormatting sqref="F25">
    <cfRule type="cellIs" dxfId="4997" priority="55" operator="lessThan">
      <formula>0</formula>
    </cfRule>
  </conditionalFormatting>
  <conditionalFormatting sqref="E1">
    <cfRule type="containsText" dxfId="4996" priority="54" operator="containsText" text="本季業外損益/平均=-">
      <formula>NOT(ISERROR(SEARCH("本季業外損益/平均=-",E1)))</formula>
    </cfRule>
  </conditionalFormatting>
  <conditionalFormatting sqref="M65">
    <cfRule type="cellIs" dxfId="4995" priority="53" operator="lessThan">
      <formula>$L$65*90%</formula>
    </cfRule>
  </conditionalFormatting>
  <conditionalFormatting sqref="M66">
    <cfRule type="cellIs" dxfId="4994" priority="52" operator="lessThan">
      <formula>$L$66*90%</formula>
    </cfRule>
  </conditionalFormatting>
  <conditionalFormatting sqref="M67">
    <cfRule type="cellIs" dxfId="4993" priority="51" operator="lessThan">
      <formula>$L$67*90%</formula>
    </cfRule>
  </conditionalFormatting>
  <conditionalFormatting sqref="M68">
    <cfRule type="cellIs" dxfId="4992" priority="50" operator="lessThan">
      <formula>$L$68*90%</formula>
    </cfRule>
  </conditionalFormatting>
  <conditionalFormatting sqref="B60">
    <cfRule type="cellIs" dxfId="4991" priority="49" operator="lessThan">
      <formula>0</formula>
    </cfRule>
  </conditionalFormatting>
  <conditionalFormatting sqref="B59:F59">
    <cfRule type="cellIs" dxfId="4990" priority="48" operator="lessThanOrEqual">
      <formula>0</formula>
    </cfRule>
  </conditionalFormatting>
  <conditionalFormatting sqref="D62">
    <cfRule type="cellIs" dxfId="4989" priority="46" operator="lessThan">
      <formula>$E$62</formula>
    </cfRule>
    <cfRule type="cellIs" dxfId="4988" priority="47" operator="greaterThan">
      <formula>$E$62</formula>
    </cfRule>
  </conditionalFormatting>
  <conditionalFormatting sqref="F69">
    <cfRule type="cellIs" dxfId="4987" priority="44" operator="lessThan">
      <formula>0</formula>
    </cfRule>
  </conditionalFormatting>
  <conditionalFormatting sqref="B65:E67 B69:E69 B68:D68">
    <cfRule type="cellIs" dxfId="4986" priority="45" operator="lessThan">
      <formula>0</formula>
    </cfRule>
  </conditionalFormatting>
  <conditionalFormatting sqref="E68">
    <cfRule type="cellIs" dxfId="4985" priority="43" operator="lessThan">
      <formula>0</formula>
    </cfRule>
  </conditionalFormatting>
  <conditionalFormatting sqref="F65:F68">
    <cfRule type="cellIs" dxfId="4984" priority="42" operator="lessThan">
      <formula>0</formula>
    </cfRule>
  </conditionalFormatting>
  <conditionalFormatting sqref="F65:F68">
    <cfRule type="cellIs" dxfId="4983" priority="41" operator="lessThan">
      <formula>$E$65*0.9</formula>
    </cfRule>
  </conditionalFormatting>
  <conditionalFormatting sqref="F66">
    <cfRule type="cellIs" dxfId="4982" priority="40" operator="lessThan">
      <formula>$E$66*0.9</formula>
    </cfRule>
  </conditionalFormatting>
  <conditionalFormatting sqref="F67:F68">
    <cfRule type="cellIs" dxfId="4981" priority="39" operator="lessThan">
      <formula>$E$67*0.9</formula>
    </cfRule>
  </conditionalFormatting>
  <conditionalFormatting sqref="F68">
    <cfRule type="cellIs" dxfId="4980" priority="38" operator="lessThan">
      <formula>$E$68*0.9</formula>
    </cfRule>
  </conditionalFormatting>
  <conditionalFormatting sqref="B13:F13">
    <cfRule type="cellIs" dxfId="4979" priority="27" operator="greaterThan">
      <formula>$I$16</formula>
    </cfRule>
    <cfRule type="cellIs" dxfId="4978" priority="28" operator="lessThanOrEqual">
      <formula>$I$16</formula>
    </cfRule>
  </conditionalFormatting>
  <conditionalFormatting sqref="B10:F10">
    <cfRule type="cellIs" dxfId="4977" priority="29" operator="greaterThan">
      <formula>15</formula>
    </cfRule>
    <cfRule type="cellIs" dxfId="4976" priority="36" operator="lessThan">
      <formula>$I$9</formula>
    </cfRule>
    <cfRule type="cellIs" dxfId="4975" priority="37" operator="greaterThan">
      <formula>$I$9</formula>
    </cfRule>
  </conditionalFormatting>
  <conditionalFormatting sqref="B16:F16">
    <cfRule type="cellIs" dxfId="4974" priority="34" operator="greaterThan">
      <formula>$I$16</formula>
    </cfRule>
    <cfRule type="cellIs" dxfId="4973" priority="35" operator="lessThanOrEqual">
      <formula>$I$16</formula>
    </cfRule>
  </conditionalFormatting>
  <conditionalFormatting sqref="B15:F15">
    <cfRule type="cellIs" dxfId="4972" priority="32" operator="lessThanOrEqual">
      <formula>$I$16</formula>
    </cfRule>
    <cfRule type="cellIs" dxfId="4971" priority="33" operator="greaterThan">
      <formula>$I$16</formula>
    </cfRule>
  </conditionalFormatting>
  <conditionalFormatting sqref="B14:F14">
    <cfRule type="cellIs" dxfId="4970" priority="30" operator="greaterThan">
      <formula>$I$16</formula>
    </cfRule>
    <cfRule type="cellIs" dxfId="4969" priority="31" operator="lessThanOrEqual">
      <formula>$I$16</formula>
    </cfRule>
  </conditionalFormatting>
  <conditionalFormatting sqref="K6">
    <cfRule type="containsText" dxfId="4968" priority="25" operator="containsText" text="衰退">
      <formula>NOT(ISERROR(SEARCH("衰退",K6)))</formula>
    </cfRule>
    <cfRule type="containsText" dxfId="4967" priority="26" operator="containsText" text="成長">
      <formula>NOT(ISERROR(SEARCH("成長",K6)))</formula>
    </cfRule>
  </conditionalFormatting>
  <conditionalFormatting sqref="I4:K4">
    <cfRule type="cellIs" dxfId="4966" priority="23" operator="lessThan">
      <formula>0</formula>
    </cfRule>
    <cfRule type="cellIs" dxfId="496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964" priority="20" operator="lessThanOrEqual">
      <formula>$I$16</formula>
    </cfRule>
    <cfRule type="cellIs" dxfId="4963" priority="21" operator="greaterThan">
      <formula>$I$16</formula>
    </cfRule>
  </conditionalFormatting>
  <conditionalFormatting sqref="I6">
    <cfRule type="containsText" dxfId="4962" priority="18" operator="containsText" text="衰退">
      <formula>NOT(ISERROR(SEARCH("衰退",I6)))</formula>
    </cfRule>
    <cfRule type="containsText" dxfId="4961" priority="19" operator="containsText" text="成長">
      <formula>NOT(ISERROR(SEARCH("成長",I6)))</formula>
    </cfRule>
  </conditionalFormatting>
  <conditionalFormatting sqref="M9">
    <cfRule type="cellIs" dxfId="4960" priority="17" operator="lessThan">
      <formula>$I$9</formula>
    </cfRule>
  </conditionalFormatting>
  <conditionalFormatting sqref="M10">
    <cfRule type="cellIs" dxfId="4959" priority="16" operator="greaterThan">
      <formula>$I$9</formula>
    </cfRule>
  </conditionalFormatting>
  <conditionalFormatting sqref="M11">
    <cfRule type="cellIs" dxfId="495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957" priority="12" operator="lessThan">
      <formula>0</formula>
    </cfRule>
    <cfRule type="cellIs" dxfId="4956" priority="13" operator="greaterThan">
      <formula>0.5</formula>
    </cfRule>
  </conditionalFormatting>
  <conditionalFormatting sqref="N14">
    <cfRule type="cellIs" dxfId="495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954" priority="8" operator="lessThan">
      <formula>0.1</formula>
    </cfRule>
  </conditionalFormatting>
  <conditionalFormatting sqref="I14">
    <cfRule type="cellIs" dxfId="495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95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951" priority="1" operator="lessThan">
      <formula>$N$5*0.9</formula>
    </cfRule>
    <cfRule type="cellIs" dxfId="4950" priority="2" operator="greaterThan">
      <formula>$N$5*1.1</formula>
    </cfRule>
  </conditionalFormatting>
  <hyperlinks>
    <hyperlink ref="L1" location="儀表板!A1" display="(回首頁)" xr:uid="{00000000-0004-0000-2500-000000000000}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3.98 ~ 15.23</v>
      </c>
      <c r="L1" s="83" t="s">
        <v>176</v>
      </c>
      <c r="M1" s="84" t="str">
        <f ca="1">VLOOKUP(_xlfn.NUMBERVALUE(N1),儀表板!A:B,2,FALSE)</f>
        <v>聯陽</v>
      </c>
      <c r="N1" s="85" t="str">
        <f ca="1">MID(CELL("filename",L1),FIND("]",CELL("filename",L1))+1,255)</f>
        <v>3014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0.16929679701971856</v>
      </c>
    </row>
    <row r="3" spans="1:15" s="93" customFormat="1" x14ac:dyDescent="0.25">
      <c r="A3" s="81" t="s">
        <v>179</v>
      </c>
      <c r="B3" s="94">
        <f>SUM(F19:F22,F24:F27,J19)</f>
        <v>86.04094032949277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35.063451636203482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36.679077676725932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39.449415421886059</v>
      </c>
      <c r="L3" s="100"/>
      <c r="M3" s="79" t="s">
        <v>385</v>
      </c>
      <c r="N3" s="92">
        <f>(F69-E69)/E69</f>
        <v>2.5936912360829345E-2</v>
      </c>
    </row>
    <row r="4" spans="1:15" s="93" customFormat="1" x14ac:dyDescent="0.25">
      <c r="A4" s="81" t="s">
        <v>182</v>
      </c>
      <c r="B4" s="96">
        <f>SUM(G36:G40)*2</f>
        <v>74</v>
      </c>
      <c r="C4" s="101"/>
      <c r="D4" s="102">
        <f>F4*(1+F141/10)</f>
        <v>15.8</v>
      </c>
      <c r="E4" s="82">
        <f>(D4-F4)/F4</f>
        <v>0</v>
      </c>
      <c r="F4" s="103">
        <v>15.8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2.4417298514187742</v>
      </c>
    </row>
    <row r="5" spans="1:15" s="93" customFormat="1" x14ac:dyDescent="0.25">
      <c r="A5" s="81" t="s">
        <v>184</v>
      </c>
      <c r="B5" s="107">
        <f>SUM(F30:F34)*2</f>
        <v>91.449669926650373</v>
      </c>
      <c r="C5" s="87"/>
      <c r="D5" s="87"/>
      <c r="E5" s="87"/>
      <c r="F5" s="86"/>
      <c r="G5" s="88"/>
      <c r="M5" s="79" t="s">
        <v>386</v>
      </c>
      <c r="N5" s="152">
        <f>D62</f>
        <v>2.41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連2月成長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2.5906801451445398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34.79</v>
      </c>
      <c r="N9" s="129"/>
    </row>
    <row r="10" spans="1:15" s="93" customFormat="1" x14ac:dyDescent="0.25">
      <c r="A10" s="123" t="s">
        <v>194</v>
      </c>
      <c r="B10" s="126">
        <f>PERCENTILE(176:176,B9)</f>
        <v>13.334000000000001</v>
      </c>
      <c r="C10" s="126">
        <f>PERCENTILE(176:176,C9)</f>
        <v>14.453999999999999</v>
      </c>
      <c r="D10" s="126">
        <f>PERCENTILE(176:176,D9)</f>
        <v>15.12</v>
      </c>
      <c r="E10" s="126">
        <f>PERCENTILE(176:176,E9)</f>
        <v>16.262</v>
      </c>
      <c r="F10" s="126">
        <f>PERCENTILE(176:176,F9)</f>
        <v>23.790000000000006</v>
      </c>
      <c r="G10" s="95"/>
      <c r="H10" s="135"/>
      <c r="I10" s="135"/>
      <c r="J10" s="135"/>
      <c r="K10" s="135"/>
      <c r="L10" s="136" t="s">
        <v>374</v>
      </c>
      <c r="M10" s="130">
        <f>MIN(176:176)</f>
        <v>11.31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23.38</v>
      </c>
      <c r="L11" s="272" t="s">
        <v>193</v>
      </c>
      <c r="M11" s="128">
        <f>STDEV(176:176)</f>
        <v>5.9723126126085884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28.711484593837536</v>
      </c>
      <c r="C13" s="141">
        <f>$B$34/5.88%</f>
        <v>34.863945578231288</v>
      </c>
      <c r="D13" s="141">
        <f>$B$34/5%</f>
        <v>40.999999999999993</v>
      </c>
      <c r="E13" s="141">
        <f>$B$34/4.35%</f>
        <v>47.126436781609193</v>
      </c>
      <c r="F13" s="141">
        <f>$B$34/3.85%</f>
        <v>53.246753246753244</v>
      </c>
      <c r="G13" s="138" t="str">
        <f>"$"&amp;ROUND(B34,2)&amp;"/"&amp;IF(STDEV(C140:F140)/AVERAGE(C140:F140)&lt;15%,"高",IF(STDEV(C140:F140)/AVERAGE(C140:F140)&lt;30%,"中","低"))</f>
        <v>$2.05/低</v>
      </c>
      <c r="H13" s="142" t="s">
        <v>199</v>
      </c>
      <c r="I13" s="143">
        <f>MAX(0,1-J15)</f>
        <v>0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27.268030000000003</v>
      </c>
      <c r="C14" s="141">
        <f>$B$33*C10</f>
        <v>29.558429999999998</v>
      </c>
      <c r="D14" s="141">
        <f>$B$33*D10</f>
        <v>30.920399999999997</v>
      </c>
      <c r="E14" s="141">
        <f>$B$33*E10</f>
        <v>33.255789999999998</v>
      </c>
      <c r="F14" s="141">
        <f>$B$33*F10</f>
        <v>48.65055000000001</v>
      </c>
      <c r="G14" s="138" t="str">
        <f>"$"&amp;ROUND(B33,2)&amp;"/"&amp;IF(STDEV(B69:E69)/AVERAGE(B69:E69)&lt;15%,"高",IF(STDEV(B69:E69)/AVERAGE(B69:E69)&lt;30%,"中","低"))</f>
        <v>$2.05/中</v>
      </c>
      <c r="H14" s="142" t="s">
        <v>203</v>
      </c>
      <c r="I14" s="145">
        <f>G62/100*I13</f>
        <v>0</v>
      </c>
      <c r="J14" s="76" t="s">
        <v>204</v>
      </c>
      <c r="K14" s="146"/>
      <c r="L14" s="147">
        <f>(HLOOKUP($C$1,$105:$106,2,FALSE)-HLOOKUP($C$1,$117:$127,9,FALSE))/(HLOOKUP($C$1,$117:$128,12,FALSE)/K11)</f>
        <v>13.880098408726861</v>
      </c>
      <c r="M14" s="148">
        <f>E135/E69</f>
        <v>0.7016806722689074</v>
      </c>
      <c r="N14" s="149">
        <f>F173/100</f>
        <v>1.3055000000000001</v>
      </c>
    </row>
    <row r="15" spans="1:15" s="93" customFormat="1" x14ac:dyDescent="0.25">
      <c r="A15" s="140" t="s">
        <v>375</v>
      </c>
      <c r="B15" s="141">
        <f>$D$62*B10</f>
        <v>32.134940000000007</v>
      </c>
      <c r="C15" s="141">
        <f>$D$62*C10</f>
        <v>34.834139999999998</v>
      </c>
      <c r="D15" s="141">
        <f>$D$62*D10</f>
        <v>36.4392</v>
      </c>
      <c r="E15" s="141">
        <f>$D$62*E10</f>
        <v>39.191420000000001</v>
      </c>
      <c r="F15" s="141">
        <f>$D$62*F10</f>
        <v>57.333900000000021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32.55802583881794</v>
      </c>
      <c r="C16" s="141">
        <f>$F$69*C10</f>
        <v>35.292763272406958</v>
      </c>
      <c r="D16" s="141">
        <f>$F$69*D10</f>
        <v>36.918955353451864</v>
      </c>
      <c r="E16" s="141">
        <f>$F$69*E10</f>
        <v>39.707410843772109</v>
      </c>
      <c r="F16" s="141">
        <f>$F$69*F10</f>
        <v>58.088753165252655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1112</v>
      </c>
      <c r="J17" s="92">
        <f ca="1">IF(I17&lt;=0,"",IF(I17&lt;=MIN($B$13:$F$16),(I17-MIN($B$13:$F$16))/MIN($B$13:$F$16),IF(I17&gt;=MAX($B$13:$F$16),I17/MAX($B$13:$F$16),PERCENTRANK($B$13:$F$16,I17))))</f>
        <v>19.143120473537252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1.89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0.92195121951219516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0.12179616776569904</v>
      </c>
      <c r="J20" s="171">
        <f>HLOOKUP($C$1,$117:$127,11,FALSE)/HLOOKUP($C$1,$105:$115,11,FALSE)</f>
        <v>0.19674899797445489</v>
      </c>
      <c r="K20" s="163"/>
    </row>
    <row r="21" spans="1:14" s="93" customFormat="1" x14ac:dyDescent="0.25">
      <c r="A21" s="151" t="s">
        <v>201</v>
      </c>
      <c r="B21" s="161">
        <f>AVERAGE(C173:F173)/100</f>
        <v>1.3104500000000001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4.2526240452158284</v>
      </c>
      <c r="J21" s="78"/>
      <c r="K21" s="164" t="s">
        <v>356</v>
      </c>
      <c r="L21" s="165">
        <f>HLOOKUP($C$1,$105:$115,7,FALSE)/HLOOKUP($C$1,$105:$115,11,FALSE)</f>
        <v>0.73720456898962372</v>
      </c>
      <c r="M21" s="123" t="s">
        <v>268</v>
      </c>
      <c r="N21" s="165">
        <f>HLOOKUP($C$1,$117:$127,8,FALSE)/HLOOKUP($C$1,$117:$127,11,FALSE)</f>
        <v>0.88108640159217755</v>
      </c>
    </row>
    <row r="22" spans="1:14" s="93" customFormat="1" x14ac:dyDescent="0.25">
      <c r="A22" s="140" t="s">
        <v>222</v>
      </c>
      <c r="B22" s="161">
        <f>(-1)*SUM(C133:F133)/SUM(C132:F132)</f>
        <v>0.24850894632206758</v>
      </c>
      <c r="C22" s="157"/>
      <c r="D22" s="166"/>
      <c r="E22" s="140"/>
      <c r="F22" s="159">
        <f>IF(B22&lt;=0,10,IF(B22&gt;=100%,0,(1-B22)*10))</f>
        <v>7.5149105367793245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3.9159949520121975</v>
      </c>
      <c r="J22" s="78"/>
      <c r="K22" s="142" t="s">
        <v>357</v>
      </c>
      <c r="L22" s="165">
        <f>HLOOKUP($C$1,$105:$115,4,FALSE)/HLOOKUP($C$1,$105:$115,11,FALSE)</f>
        <v>0.1229855743222681</v>
      </c>
      <c r="M22" s="123" t="s">
        <v>353</v>
      </c>
      <c r="N22" s="165">
        <f>HLOOKUP($C$1,$117:$127,4,FALSE)/HLOOKUP($C$1,$117:$127,11,FALSE)</f>
        <v>0.38095660450828539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1.2449408683939591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5.8355618302006688E-2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1.0001890340976267</v>
      </c>
      <c r="C24" s="169">
        <f>STDEV(C103:F103)</f>
        <v>3.7806819525365576E-4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54.88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7.3269486880349829E-2</v>
      </c>
      <c r="M24" s="123" t="s">
        <v>355</v>
      </c>
      <c r="N24" s="165">
        <f>HLOOKUP($C$1,$117:$127,9,FALSE)/HLOOKUP($C$1,$117:$127,11,FALSE)</f>
        <v>0.11891359840782244</v>
      </c>
    </row>
    <row r="25" spans="1:14" s="93" customFormat="1" x14ac:dyDescent="0.25">
      <c r="A25" s="151" t="s">
        <v>366</v>
      </c>
      <c r="B25" s="255">
        <f>AVERAGE(94:94)</f>
        <v>1653.0869565217392</v>
      </c>
      <c r="C25" s="254">
        <f>STDEV(94:94)/AVERAGE(94:94)</f>
        <v>6.4739702072865537</v>
      </c>
      <c r="D25" s="76" t="str">
        <f>IF(C25&lt;=1,"高",IF(C25&lt;=2,"中","低"))</f>
        <v>低</v>
      </c>
      <c r="E25" s="149"/>
      <c r="F25" s="160">
        <f>MAX(0,10-ABS(C25))</f>
        <v>3.5260297927134463</v>
      </c>
      <c r="G25" s="88" t="s">
        <v>213</v>
      </c>
      <c r="H25" s="123" t="s">
        <v>232</v>
      </c>
      <c r="I25" s="170">
        <f>IF(HLOOKUP(C1,167:170,3,FALSE)="無",0,HLOOKUP(C1,167:170,3,FALSE))</f>
        <v>58.44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61.869130434782612</v>
      </c>
      <c r="C26" s="172">
        <f>IF(COUNTIF(168:168,"&gt;0")=0,0,STDEV(168:168))</f>
        <v>5.1665294426929806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77.960869565217394</v>
      </c>
      <c r="C27" s="172">
        <f>IF(COUNTIF(169:169,"&gt;0")=0,0,STDEV(169:169))</f>
        <v>10.297613542177166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0.46090000000000003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9.8775000000000016E-2</v>
      </c>
      <c r="C31" s="157" t="s">
        <v>217</v>
      </c>
      <c r="D31" s="174">
        <f>COUNTIF(149:149,"&gt;8")/COUNT(149:149)</f>
        <v>0.60869565217391308</v>
      </c>
      <c r="E31" s="140" t="s">
        <v>241</v>
      </c>
      <c r="F31" s="159">
        <f>MIN(B31/10%*10,10)</f>
        <v>9.8775000000000013</v>
      </c>
      <c r="G31" s="175"/>
    </row>
    <row r="32" spans="1:14" x14ac:dyDescent="0.25">
      <c r="A32" s="155" t="s">
        <v>47</v>
      </c>
      <c r="B32" s="177">
        <f>AVERAGE(C165:F165)</f>
        <v>8.76</v>
      </c>
      <c r="C32" s="157" t="s">
        <v>217</v>
      </c>
      <c r="D32" s="174">
        <f>COUNTIF(159:159,"&gt;3")/COUNT(159:159)</f>
        <v>0.21739130434782608</v>
      </c>
      <c r="E32" s="140" t="s">
        <v>242</v>
      </c>
      <c r="F32" s="159">
        <f>MIN(B32/15*10,10)</f>
        <v>5.84</v>
      </c>
      <c r="G32" s="135"/>
    </row>
    <row r="33" spans="1:14" x14ac:dyDescent="0.25">
      <c r="A33" s="155" t="s">
        <v>14</v>
      </c>
      <c r="B33" s="156">
        <f>AVERAGE(B69:E69)</f>
        <v>2.0449999999999999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2.0499999999999998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10.007334963325183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3303421.75</v>
      </c>
      <c r="C36" s="178">
        <f>STDEV(C97:F97)</f>
        <v>234052.62393939673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46.09</v>
      </c>
      <c r="C37" s="180">
        <f>STDEV(C152:F152)</f>
        <v>4.4771047191981879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12.22</v>
      </c>
      <c r="C38" s="180">
        <f>STDEV(C153:F153)</f>
        <v>3.8022537176434312</v>
      </c>
      <c r="D38" s="76" t="str">
        <f>IF(C38/B38&lt;15%,"高",IF(C38/B38&lt;30%,"中","低"))</f>
        <v>低</v>
      </c>
      <c r="E38" s="107">
        <f>IF(F153&gt;E153,1,0)+IF(E153&gt;D153,1,0)+IF(D153&gt;C153,1,0)</f>
        <v>2</v>
      </c>
      <c r="F38" s="179"/>
      <c r="G38" s="160">
        <f>IF(D38="高",6,IF(D38="中",4,2))+E38+1</f>
        <v>5</v>
      </c>
    </row>
    <row r="39" spans="1:14" x14ac:dyDescent="0.25">
      <c r="A39" s="142" t="s">
        <v>46</v>
      </c>
      <c r="B39" s="181">
        <f>AVERAGE(C165:F165)</f>
        <v>8.76</v>
      </c>
      <c r="C39" s="181">
        <f>STDEV(C165:F165)</f>
        <v>1.941288232076837</v>
      </c>
      <c r="D39" s="76" t="str">
        <f>IF(C39/B39&lt;15%,"高",IF(C39/B39&lt;30%,"中","低"))</f>
        <v>中</v>
      </c>
      <c r="E39" s="107">
        <f>IF(F165&gt;E165,1,0)+IF(E165&gt;D165,1,0)+IF(D165&gt;C165,1,0)</f>
        <v>2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2.0449999999999999</v>
      </c>
      <c r="C40" s="183">
        <f>STDEV(B69:E69)</f>
        <v>0.56595052787324152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-6.896551724137924E-2</v>
      </c>
      <c r="C44" s="186">
        <f>(C46-C49)/C49</f>
        <v>3.5087719298245647E-2</v>
      </c>
      <c r="D44" s="186">
        <f>(D46-D49)/D49</f>
        <v>0.14285714285714299</v>
      </c>
      <c r="E44" s="186">
        <f>(E46-E49)/E49</f>
        <v>-0.23728813559322029</v>
      </c>
      <c r="G44" s="86" t="s">
        <v>175</v>
      </c>
      <c r="H44" s="186">
        <f>(H47-H50)/H50</f>
        <v>-9.0857142857142845E-2</v>
      </c>
      <c r="I44" s="186">
        <f>(I47-I50)/I50</f>
        <v>0.1304034582132563</v>
      </c>
      <c r="J44" s="186">
        <f>(J47-J50)/J50</f>
        <v>0.24526873580620731</v>
      </c>
      <c r="K44" s="186">
        <f>(K47-K50)/K50</f>
        <v>-0.19145802650957286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0.81</v>
      </c>
      <c r="C46" s="152">
        <f>HLOOKUP(C45,$81:$82,2,FALSE)</f>
        <v>0.59</v>
      </c>
      <c r="D46" s="152">
        <f>HLOOKUP(D45,$81:$82,2,FALSE)</f>
        <v>0.56000000000000005</v>
      </c>
      <c r="E46" s="152">
        <f>HLOOKUP(E45,$81:$82,2,FALSE)</f>
        <v>0.45</v>
      </c>
      <c r="G46" s="86" t="s">
        <v>164</v>
      </c>
      <c r="H46" s="145">
        <f>HLOOKUP(H45,$145:$147,2,FALSE)/100</f>
        <v>0.50209999999999999</v>
      </c>
      <c r="I46" s="145">
        <f>HLOOKUP(I45,$145:$147,2,FALSE)/100</f>
        <v>0.5171</v>
      </c>
      <c r="J46" s="145">
        <f>HLOOKUP(J45,$145:$147,2,FALSE)/100</f>
        <v>0.504</v>
      </c>
      <c r="K46" s="145">
        <f>HLOOKUP(K45,$145:$147,2,FALSE)/100</f>
        <v>0.49729999999999996</v>
      </c>
    </row>
    <row r="47" spans="1:14" x14ac:dyDescent="0.25">
      <c r="A47" s="188" t="s">
        <v>165</v>
      </c>
      <c r="B47" s="189">
        <f>HLOOKUP(B45,$157:$159,3,FALSE)</f>
        <v>3.43</v>
      </c>
      <c r="C47" s="189">
        <f>HLOOKUP(C45,$157:$159,3,FALSE)</f>
        <v>2.46</v>
      </c>
      <c r="D47" s="189">
        <f>HLOOKUP(D45,$157:$159,3,FALSE)</f>
        <v>2.27</v>
      </c>
      <c r="E47" s="189">
        <f>HLOOKUP(E45,$157:$159,3,FALSE)</f>
        <v>1.84</v>
      </c>
      <c r="G47" s="190" t="s">
        <v>166</v>
      </c>
      <c r="H47" s="145">
        <f>HLOOKUP(H45,$145:$147,3,FALSE)/100</f>
        <v>0.15909999999999999</v>
      </c>
      <c r="I47" s="145">
        <f>HLOOKUP(I45,$145:$147,3,FALSE)/100</f>
        <v>0.15689999999999998</v>
      </c>
      <c r="J47" s="145">
        <f>HLOOKUP(J45,$145:$147,3,FALSE)/100</f>
        <v>0.16449999999999998</v>
      </c>
      <c r="K47" s="145">
        <f>HLOOKUP(K45,$145:$147,3,FALSE)/100</f>
        <v>0.10980000000000001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0.87</v>
      </c>
      <c r="C49" s="152">
        <f>HLOOKUP(C48,$81:$82,2,FALSE)</f>
        <v>0.56999999999999995</v>
      </c>
      <c r="D49" s="152">
        <f>HLOOKUP(D48,$81:$82,2,FALSE)</f>
        <v>0.49</v>
      </c>
      <c r="E49" s="152">
        <f>HLOOKUP(E48,$81:$82,2,FALSE)</f>
        <v>0.59</v>
      </c>
      <c r="G49" s="86" t="s">
        <v>164</v>
      </c>
      <c r="H49" s="145">
        <f>HLOOKUP(H48,$145:$147,2,FALSE)/100</f>
        <v>0.49070000000000003</v>
      </c>
      <c r="I49" s="145">
        <f>HLOOKUP(I48,$145:$147,2,FALSE)/100</f>
        <v>0.49869999999999998</v>
      </c>
      <c r="J49" s="145">
        <f>HLOOKUP(J48,$145:$147,2,FALSE)/100</f>
        <v>0.51629999999999998</v>
      </c>
      <c r="K49" s="145">
        <f>HLOOKUP(K48,$145:$147,2,FALSE)/100</f>
        <v>0.49979999999999997</v>
      </c>
    </row>
    <row r="50" spans="1:15" x14ac:dyDescent="0.25">
      <c r="A50" s="188" t="s">
        <v>165</v>
      </c>
      <c r="B50" s="189">
        <f>HLOOKUP(B48,$157:$159,3,FALSE)</f>
        <v>3.65</v>
      </c>
      <c r="C50" s="189">
        <f>HLOOKUP(C48,$157:$159,3,FALSE)</f>
        <v>2.36</v>
      </c>
      <c r="D50" s="189">
        <f>HLOOKUP(D48,$157:$159,3,FALSE)</f>
        <v>2</v>
      </c>
      <c r="E50" s="189">
        <f>HLOOKUP(E48,$157:$159,3,FALSE)</f>
        <v>2.5</v>
      </c>
      <c r="G50" s="190" t="s">
        <v>166</v>
      </c>
      <c r="H50" s="145">
        <f>HLOOKUP(H48,$145:$147,3,FALSE)/100</f>
        <v>0.17499999999999999</v>
      </c>
      <c r="I50" s="145">
        <f>HLOOKUP(I48,$145:$147,3,FALSE)/100</f>
        <v>0.13880000000000001</v>
      </c>
      <c r="J50" s="145">
        <f>HLOOKUP(J48,$145:$147,3,FALSE)/100</f>
        <v>0.1321</v>
      </c>
      <c r="K50" s="145">
        <f>HLOOKUP(K48,$145:$147,3,FALSE)/100</f>
        <v>0.1358</v>
      </c>
    </row>
    <row r="51" spans="1:15" x14ac:dyDescent="0.25">
      <c r="A51" s="86" t="s">
        <v>351</v>
      </c>
      <c r="B51" s="186">
        <f>(B47-B50)/B50</f>
        <v>-6.0273972602739659E-2</v>
      </c>
      <c r="C51" s="186">
        <f>(C47-C50)/C50</f>
        <v>4.2372881355932243E-2</v>
      </c>
      <c r="D51" s="186">
        <f>(D47-D50)/D50</f>
        <v>0.13500000000000001</v>
      </c>
      <c r="E51" s="186">
        <f>(E47-E50)/E50</f>
        <v>-0.26399999999999996</v>
      </c>
      <c r="G51" s="235" t="s">
        <v>174</v>
      </c>
      <c r="H51" s="186">
        <f>(H46-H49)/H49</f>
        <v>2.3232117383329864E-2</v>
      </c>
      <c r="I51" s="186">
        <f>(I46-I49)/I49</f>
        <v>3.6895929416482912E-2</v>
      </c>
      <c r="J51" s="186">
        <f>(J46-J49)/J49</f>
        <v>-2.3823358512492693E-2</v>
      </c>
      <c r="K51" s="186">
        <f>(K46-K49)/K49</f>
        <v>-5.0020008003201326E-3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2.5906801451445398</v>
      </c>
      <c r="B53" s="193">
        <f>B46</f>
        <v>0.81</v>
      </c>
      <c r="C53" s="193">
        <f>E46/HLOOKUP(E45,$87:$94,5,FALSE)*HLOOKUP(E45,$87:$94,4,FALSE)*($B$25/HLOOKUP(E45,$87:$94,4,FALSE)+SUM($B$57:$D$57)/SUM($B58:$D$58)*$G$69/100/K46)</f>
        <v>0.481729851418774</v>
      </c>
      <c r="D53" s="193">
        <f>D46/HLOOKUP(D45,$87:$94,5,FALSE)*HLOOKUP(D45,$87:$94,4,FALSE)*($B$25/HLOOKUP(D45,$87:$94,4,FALSE)+SUM($B$57:$D$57)/SUM($B58:$D$58)*$G$69/100/J46)</f>
        <v>0.6700469854684501</v>
      </c>
      <c r="E53" s="193">
        <f>C46/HLOOKUP(C45,$87:$94,5,FALSE)*HLOOKUP(C45,$87:$94,4,FALSE)*($B$25/HLOOKUP(C45,$87:$94,4,FALSE)+SUM($B$57:$D$57)/SUM($B58:$D$58)*$G$69/100/I46)</f>
        <v>0.62890330825731566</v>
      </c>
    </row>
    <row r="54" spans="1:15" x14ac:dyDescent="0.25">
      <c r="A54" s="278">
        <f>SUM(B54:E54)</f>
        <v>2.4700000000000002</v>
      </c>
      <c r="B54" s="277">
        <f t="shared" ref="B54:D54" si="0">HLOOKUP(B52-10,81:82,2,FALSE)</f>
        <v>0.87</v>
      </c>
      <c r="C54" s="277">
        <f t="shared" si="0"/>
        <v>0.45</v>
      </c>
      <c r="D54" s="277">
        <f t="shared" si="0"/>
        <v>0.56000000000000005</v>
      </c>
      <c r="E54" s="277">
        <f>HLOOKUP(E52-10,81:82,2,FALSE)</f>
        <v>0.59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275042</v>
      </c>
      <c r="C57" s="196">
        <f>HLOOKUP(C56,78:79,2,FALSE)</f>
        <v>318794</v>
      </c>
      <c r="D57" s="196">
        <f>HLOOKUP(D56,78:79,2,FALSE)</f>
        <v>283737</v>
      </c>
      <c r="E57" s="196">
        <f>HLOOKUP(E56,78:79,2,FALSE)</f>
        <v>271766</v>
      </c>
      <c r="F57" s="196">
        <f>HLOOKUP(F56,78:79,2,FALSE)</f>
        <v>249451</v>
      </c>
      <c r="G57" s="196">
        <f t="shared" ref="G57:M57" si="2">HLOOKUP(G56,78:79,2,FALSE)</f>
        <v>240127</v>
      </c>
      <c r="H57" s="196">
        <f t="shared" si="2"/>
        <v>255243</v>
      </c>
      <c r="I57" s="196">
        <f t="shared" si="2"/>
        <v>249000</v>
      </c>
      <c r="J57" s="196">
        <f t="shared" si="2"/>
        <v>211293</v>
      </c>
      <c r="K57" s="196">
        <f t="shared" si="2"/>
        <v>278448</v>
      </c>
      <c r="L57" s="196">
        <f t="shared" si="2"/>
        <v>229550</v>
      </c>
      <c r="M57" s="196">
        <f t="shared" si="2"/>
        <v>272726</v>
      </c>
      <c r="N57" s="197"/>
    </row>
    <row r="58" spans="1:15" x14ac:dyDescent="0.25">
      <c r="A58" s="198" t="s">
        <v>253</v>
      </c>
      <c r="B58" s="196">
        <f>HLOOKUP(B56-100,78:79,2,FALSE)</f>
        <v>253947</v>
      </c>
      <c r="C58" s="196">
        <f>HLOOKUP(C56-100,78:79,2,FALSE)</f>
        <v>313724</v>
      </c>
      <c r="D58" s="196">
        <f>HLOOKUP(D56-100,78:79,2,FALSE)</f>
        <v>299648</v>
      </c>
      <c r="E58" s="196">
        <f>HLOOKUP(E56-100,78:79,2,FALSE)</f>
        <v>260995</v>
      </c>
      <c r="F58" s="196">
        <f>HLOOKUP(F56-100,78:79,2,FALSE)</f>
        <v>283827</v>
      </c>
      <c r="G58" s="196">
        <f t="shared" ref="G58:M58" si="3">HLOOKUP(G56-100,78:79,2,FALSE)</f>
        <v>240827</v>
      </c>
      <c r="H58" s="196">
        <f t="shared" si="3"/>
        <v>239160</v>
      </c>
      <c r="I58" s="196">
        <f t="shared" si="3"/>
        <v>238644</v>
      </c>
      <c r="J58" s="196">
        <f t="shared" si="3"/>
        <v>187632</v>
      </c>
      <c r="K58" s="196">
        <f t="shared" si="3"/>
        <v>306512</v>
      </c>
      <c r="L58" s="196">
        <f t="shared" si="3"/>
        <v>245809</v>
      </c>
      <c r="M58" s="196">
        <f t="shared" si="3"/>
        <v>275958</v>
      </c>
      <c r="N58" s="197"/>
    </row>
    <row r="59" spans="1:15" x14ac:dyDescent="0.25">
      <c r="A59" s="199" t="s">
        <v>254</v>
      </c>
      <c r="B59" s="165">
        <f>IF(B57&lt;&gt;"",(B57-B58)/B58,"")</f>
        <v>8.3068514296290169E-2</v>
      </c>
      <c r="C59" s="165">
        <f>IF(C57&lt;&gt;"",(C57-C58)/C58,"")</f>
        <v>1.6160701763333375E-2</v>
      </c>
      <c r="D59" s="165">
        <f>IF(D57&lt;&gt;"",(D57-D58)/D58,"")</f>
        <v>-5.3098969457496793E-2</v>
      </c>
      <c r="E59" s="165">
        <f>IF(E57&lt;&gt;"",(E57-E58)/E58,"")</f>
        <v>4.1268989827391328E-2</v>
      </c>
      <c r="F59" s="165">
        <f>IF(F57&lt;&gt;"",(F57-F58)/F58,"")</f>
        <v>-0.12111603194903937</v>
      </c>
      <c r="G59" s="165">
        <f t="shared" ref="G59:M59" si="4">IF(G57&lt;&gt;"",(G57-G58)/G58,"")</f>
        <v>-2.9066508323402278E-3</v>
      </c>
      <c r="H59" s="165">
        <f t="shared" si="4"/>
        <v>6.724786753637732E-2</v>
      </c>
      <c r="I59" s="165">
        <f t="shared" si="4"/>
        <v>4.3395182782722384E-2</v>
      </c>
      <c r="J59" s="165">
        <f t="shared" si="4"/>
        <v>0.12610322333077514</v>
      </c>
      <c r="K59" s="165">
        <f t="shared" si="4"/>
        <v>-9.1559221172417396E-2</v>
      </c>
      <c r="L59" s="165">
        <f t="shared" si="4"/>
        <v>-6.6144852304024671E-2</v>
      </c>
      <c r="M59" s="165">
        <f t="shared" si="4"/>
        <v>-1.1711927177324085E-2</v>
      </c>
    </row>
    <row r="60" spans="1:15" x14ac:dyDescent="0.25">
      <c r="A60" s="195" t="s">
        <v>255</v>
      </c>
      <c r="B60" s="196">
        <f>SUM(B57:M57)</f>
        <v>3135177</v>
      </c>
    </row>
    <row r="61" spans="1:15" x14ac:dyDescent="0.25">
      <c r="A61" s="198" t="s">
        <v>256</v>
      </c>
      <c r="B61" s="196">
        <f>SUM(B58:M58)</f>
        <v>3146683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0.99634345118335721</v>
      </c>
      <c r="D62" s="152">
        <f>SUM(B46:E46)</f>
        <v>2.41</v>
      </c>
      <c r="E62" s="152">
        <f>SUM(B49:E49)</f>
        <v>2.52</v>
      </c>
      <c r="G62" s="126">
        <f>SUM(B47:E47)</f>
        <v>10</v>
      </c>
      <c r="H62" s="126">
        <f>SUM(B50:E50)</f>
        <v>10.51</v>
      </c>
      <c r="J62" s="200">
        <f>AVERAGE(H46:K46)</f>
        <v>0.50512500000000005</v>
      </c>
      <c r="K62" s="200">
        <f>AVERAGE(H49:K49)</f>
        <v>0.50137500000000002</v>
      </c>
      <c r="M62" s="200">
        <f>AVERAGE(H47:K47)</f>
        <v>0.14757499999999998</v>
      </c>
      <c r="N62" s="200">
        <f>AVERAGE(H50:K50)</f>
        <v>0.145425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0.16</v>
      </c>
      <c r="C65" s="205">
        <f t="shared" si="5"/>
        <v>0.65</v>
      </c>
      <c r="D65" s="205">
        <f t="shared" si="5"/>
        <v>0.62</v>
      </c>
      <c r="E65" s="205">
        <f t="shared" si="5"/>
        <v>0.49</v>
      </c>
      <c r="F65" s="206">
        <f>IF(ISNA(HLOOKUP(F$64*10+$A65,$81:$82,2,FALSE)),(HLOOKUP(E$64*10+$A65,$87:$94,4,FALSE)*$G65+$B$25)/HLOOKUP(E$64*10+$A65,$87:$94,5,FALSE)*$E65,HLOOKUP(F$64*10+$A65,$81:$82,2,FALSE))</f>
        <v>0.56000000000000005</v>
      </c>
      <c r="G65" s="101">
        <f>MIN(130%,SUM($B$57:$D$57)/SUM($B$58:$D$58)*$G$69/HLOOKUP(E$64*10+$A65,$145:$146,2,FALSE))</f>
        <v>1.0399318063946457</v>
      </c>
      <c r="H65" s="204">
        <v>1</v>
      </c>
      <c r="I65" s="208">
        <f t="shared" ref="I65:M68" si="6">IF(ISNA(HLOOKUP(I$64*10+$H65,$145:$147,3,FALSE)),"",HLOOKUP(I$64*10+$H65,$145:$147,3,FALSE)/100)</f>
        <v>4.1200000000000001E-2</v>
      </c>
      <c r="J65" s="208">
        <f t="shared" si="6"/>
        <v>0.1416</v>
      </c>
      <c r="K65" s="208">
        <f t="shared" si="6"/>
        <v>0.14400000000000002</v>
      </c>
      <c r="L65" s="208">
        <f t="shared" si="6"/>
        <v>0.1321</v>
      </c>
      <c r="M65" s="209">
        <f t="shared" si="6"/>
        <v>0.16449999999999998</v>
      </c>
      <c r="N65" s="256">
        <f t="shared" ref="N65:O68" si="7">HLOOKUP(E$64*10+$A65,$87:$94,8,FALSE)</f>
        <v>637</v>
      </c>
      <c r="O65" s="256">
        <f t="shared" si="7"/>
        <v>-11945</v>
      </c>
      <c r="P65" s="210"/>
    </row>
    <row r="66" spans="1:71" x14ac:dyDescent="0.25">
      <c r="A66" s="204">
        <v>2</v>
      </c>
      <c r="B66" s="205">
        <f t="shared" si="5"/>
        <v>0.21</v>
      </c>
      <c r="C66" s="205">
        <f t="shared" si="5"/>
        <v>0.73</v>
      </c>
      <c r="D66" s="205">
        <f t="shared" si="5"/>
        <v>0.23</v>
      </c>
      <c r="E66" s="205">
        <f t="shared" si="5"/>
        <v>0.56999999999999995</v>
      </c>
      <c r="F66" s="206">
        <f>IF(ISNA(HLOOKUP(F$64*10+$A66,$81:$82,2,FALSE)),(HLOOKUP(E$64*10+$A66,$87:$94,4,FALSE)*$G66+$B$25)/HLOOKUP(E$64*10+$A66,$87:$94,5,FALSE)*$E66,HLOOKUP(F$64*10+$A66,$81:$82,2,FALSE))</f>
        <v>0.59</v>
      </c>
      <c r="G66" s="101">
        <f>MIN(130%,SUM($B$57:$D$57)/SUM($B$58:$D$58)*$G$69/HLOOKUP(E$64*10+$A66,$145:$146,2,FALSE))</f>
        <v>1.0766328286375688</v>
      </c>
      <c r="H66" s="204">
        <v>2</v>
      </c>
      <c r="I66" s="208">
        <f t="shared" si="6"/>
        <v>6.0299999999999999E-2</v>
      </c>
      <c r="J66" s="208">
        <f t="shared" si="6"/>
        <v>0.1739</v>
      </c>
      <c r="K66" s="208">
        <f t="shared" si="6"/>
        <v>0.1052</v>
      </c>
      <c r="L66" s="208">
        <f t="shared" si="6"/>
        <v>0.13880000000000001</v>
      </c>
      <c r="M66" s="209">
        <f t="shared" si="6"/>
        <v>0.15689999999999998</v>
      </c>
      <c r="N66" s="256">
        <f t="shared" si="7"/>
        <v>1880</v>
      </c>
      <c r="O66" s="256">
        <f t="shared" si="7"/>
        <v>-1476</v>
      </c>
      <c r="P66" s="210"/>
    </row>
    <row r="67" spans="1:71" x14ac:dyDescent="0.25">
      <c r="A67" s="204">
        <v>3</v>
      </c>
      <c r="B67" s="205">
        <f t="shared" si="5"/>
        <v>0.53</v>
      </c>
      <c r="C67" s="205">
        <f t="shared" si="5"/>
        <v>0.82</v>
      </c>
      <c r="D67" s="205">
        <f t="shared" si="5"/>
        <v>0.74</v>
      </c>
      <c r="E67" s="205">
        <f t="shared" si="5"/>
        <v>0.87</v>
      </c>
      <c r="F67" s="206">
        <f>IF(ISNA(HLOOKUP(F$64*10+$A67,$81:$82,2,FALSE)),(HLOOKUP(E$64*10+$A67,$87:$94,4,FALSE)*$G67+$B$25)/HLOOKUP(E$64*10+$A67,$87:$94,5,FALSE)*$E67,HLOOKUP(F$64*10+$A67,$81:$82,2,FALSE))</f>
        <v>0.81</v>
      </c>
      <c r="G67" s="101">
        <f>MIN(130%,SUM($B$57:$D$57)/SUM($B$58:$D$58)*$G$69/HLOOKUP(E$64*10+$A67,$145:$146,2,FALSE))</f>
        <v>1.0941854323243441</v>
      </c>
      <c r="H67" s="204">
        <v>3</v>
      </c>
      <c r="I67" s="208">
        <f t="shared" si="6"/>
        <v>9.3399999999999997E-2</v>
      </c>
      <c r="J67" s="208">
        <f t="shared" si="6"/>
        <v>0.16600000000000001</v>
      </c>
      <c r="K67" s="208">
        <f t="shared" si="6"/>
        <v>0.15990000000000001</v>
      </c>
      <c r="L67" s="208">
        <f t="shared" si="6"/>
        <v>0.17499999999999999</v>
      </c>
      <c r="M67" s="209">
        <f t="shared" si="6"/>
        <v>0.15909999999999999</v>
      </c>
      <c r="N67" s="256">
        <f t="shared" si="7"/>
        <v>-5764</v>
      </c>
      <c r="O67" s="256">
        <f t="shared" si="7"/>
        <v>-1204</v>
      </c>
      <c r="P67" s="210"/>
    </row>
    <row r="68" spans="1:71" x14ac:dyDescent="0.25">
      <c r="A68" s="204">
        <v>4</v>
      </c>
      <c r="B68" s="205">
        <f>HLOOKUP(B$64*10+$A68,$81:$82,2,FALSE)</f>
        <v>0.31</v>
      </c>
      <c r="C68" s="205">
        <f>HLOOKUP(C$64*10+$A68,$81:$82,2,FALSE)</f>
        <v>0.21</v>
      </c>
      <c r="D68" s="205">
        <f>HLOOKUP(D$64*10+$A68,$81:$82,2,FALSE)</f>
        <v>0.59</v>
      </c>
      <c r="E68" s="206">
        <f>IF(ISNA(HLOOKUP(E$64*10+$A68,$81:$82,2,FALSE)),D68*(1-$N68)*#REF!*(1+$B$25)/(1+$E$4),HLOOKUP(E$64*10+$A68,$81:$82,2,FALSE))</f>
        <v>0.45</v>
      </c>
      <c r="F68" s="206">
        <f>IF(ISNA(HLOOKUP(F$64*10+$A68,$81:$82,2,FALSE)),(HLOOKUP(E$64*10+$A68,$87:$94,4,FALSE)*$G68+$B$25)/HLOOKUP(E$64*10+$A68,$87:$94,5,FALSE)*$E68,HLOOKUP(F$64*10+$A68,$81:$82,2,FALSE))</f>
        <v>0.48172985141877411</v>
      </c>
      <c r="G68" s="101">
        <f>MIN(130%,SUM($B$57:$D$57)/SUM($B$58:$D$58)*$G$69/HLOOKUP(E$64*10+$A68,$145:$146,2,FALSE))</f>
        <v>1.0796637676283041</v>
      </c>
      <c r="H68" s="204">
        <v>4</v>
      </c>
      <c r="I68" s="208">
        <f t="shared" si="6"/>
        <v>6.2899999999999998E-2</v>
      </c>
      <c r="J68" s="208">
        <f t="shared" si="6"/>
        <v>8.8499999999999995E-2</v>
      </c>
      <c r="K68" s="208">
        <f t="shared" si="6"/>
        <v>0.1358</v>
      </c>
      <c r="L68" s="208">
        <f t="shared" si="6"/>
        <v>0.10980000000000001</v>
      </c>
      <c r="M68" s="209" t="str">
        <f t="shared" si="6"/>
        <v/>
      </c>
      <c r="N68" s="256">
        <f t="shared" si="7"/>
        <v>2254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1.21</v>
      </c>
      <c r="C69" s="213">
        <f>SUM(C65:C68)</f>
        <v>2.4099999999999997</v>
      </c>
      <c r="D69" s="213">
        <f>SUM(D65:D68)</f>
        <v>2.1799999999999997</v>
      </c>
      <c r="E69" s="213">
        <f>SUM(E65:E68)</f>
        <v>2.3800000000000003</v>
      </c>
      <c r="F69" s="213">
        <f>SUM(F65:F68)</f>
        <v>2.4417298514187742</v>
      </c>
      <c r="G69" s="257">
        <f>_xlfn.FORECAST.ETS(23,B146:W146,{1,2,3,4,5,6,7,8,9,10,11,12,13,14,15,16,17,18,19,20,21,22})</f>
        <v>53.064318844103262</v>
      </c>
      <c r="H69" s="214" t="s">
        <v>19</v>
      </c>
      <c r="I69" s="215">
        <f>HLOOKUP(I64,151:155,3,FALSE)/100</f>
        <v>6.54E-2</v>
      </c>
      <c r="J69" s="215">
        <f>HLOOKUP(J64,151:155,3,FALSE)/100</f>
        <v>0.1457</v>
      </c>
      <c r="K69" s="215">
        <f>HLOOKUP(K64,151:155,3,FALSE)/100</f>
        <v>0.13739999999999999</v>
      </c>
      <c r="L69" s="215">
        <f>IF(ISNA(HLOOKUP(L64,151:155,3,FALSE)/100),AVERAGE(L65:L68),HLOOKUP(L64,151:155,3,FALSE)/100)</f>
        <v>0.14029999999999998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0.81</v>
      </c>
      <c r="C72" s="205">
        <f t="shared" si="8"/>
        <v>2.78</v>
      </c>
      <c r="D72" s="205">
        <f t="shared" si="8"/>
        <v>2.57</v>
      </c>
      <c r="E72" s="205">
        <f t="shared" si="8"/>
        <v>2</v>
      </c>
      <c r="F72" s="205">
        <f t="shared" si="8"/>
        <v>2.27</v>
      </c>
    </row>
    <row r="73" spans="1:71" s="135" customFormat="1" x14ac:dyDescent="0.25">
      <c r="A73" s="204">
        <v>2</v>
      </c>
      <c r="B73" s="205">
        <f t="shared" si="8"/>
        <v>1.08</v>
      </c>
      <c r="C73" s="205">
        <f t="shared" si="8"/>
        <v>3.14</v>
      </c>
      <c r="D73" s="205">
        <f t="shared" si="8"/>
        <v>0.99</v>
      </c>
      <c r="E73" s="205">
        <f t="shared" si="8"/>
        <v>2.36</v>
      </c>
      <c r="F73" s="205">
        <f t="shared" si="8"/>
        <v>2.46</v>
      </c>
    </row>
    <row r="74" spans="1:71" s="135" customFormat="1" x14ac:dyDescent="0.25">
      <c r="A74" s="204">
        <v>3</v>
      </c>
      <c r="B74" s="205">
        <f t="shared" si="8"/>
        <v>2.52</v>
      </c>
      <c r="C74" s="205">
        <f t="shared" si="8"/>
        <v>3.5</v>
      </c>
      <c r="D74" s="205">
        <f t="shared" si="8"/>
        <v>3.19</v>
      </c>
      <c r="E74" s="205">
        <f t="shared" si="8"/>
        <v>3.65</v>
      </c>
      <c r="F74" s="205">
        <f t="shared" si="8"/>
        <v>3.43</v>
      </c>
    </row>
    <row r="75" spans="1:71" s="135" customFormat="1" x14ac:dyDescent="0.25">
      <c r="A75" s="204">
        <v>4</v>
      </c>
      <c r="B75" s="205">
        <f t="shared" si="8"/>
        <v>1.63</v>
      </c>
      <c r="C75" s="205">
        <f t="shared" si="8"/>
        <v>0.89</v>
      </c>
      <c r="D75" s="205">
        <f t="shared" si="8"/>
        <v>2.5</v>
      </c>
      <c r="E75" s="205">
        <f t="shared" si="8"/>
        <v>1.84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6.04</v>
      </c>
      <c r="C76" s="213">
        <f>SUM(C72:C75)</f>
        <v>10.31</v>
      </c>
      <c r="D76" s="213">
        <f>SUM(D72:D75)</f>
        <v>9.25</v>
      </c>
      <c r="E76" s="213">
        <f>AVERAGE(E72:E75)*4</f>
        <v>9.85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259752</v>
      </c>
      <c r="C79" s="270">
        <v>305100</v>
      </c>
      <c r="D79" s="270">
        <v>348519</v>
      </c>
      <c r="E79" s="270">
        <v>339628</v>
      </c>
      <c r="F79" s="270">
        <v>333899</v>
      </c>
      <c r="G79" s="270">
        <v>302696</v>
      </c>
      <c r="H79" s="270">
        <v>303508</v>
      </c>
      <c r="I79" s="270">
        <v>320563</v>
      </c>
      <c r="J79" s="270">
        <v>334684</v>
      </c>
      <c r="K79" s="270">
        <v>276400</v>
      </c>
      <c r="L79" s="270">
        <v>260516</v>
      </c>
      <c r="M79" s="270">
        <v>271537</v>
      </c>
      <c r="N79" s="270">
        <v>312910</v>
      </c>
      <c r="O79" s="270">
        <v>209761</v>
      </c>
      <c r="P79" s="270">
        <v>291131</v>
      </c>
      <c r="Q79" s="270">
        <v>318207</v>
      </c>
      <c r="R79" s="270">
        <v>313191</v>
      </c>
      <c r="S79" s="270">
        <v>261936</v>
      </c>
      <c r="T79" s="270">
        <v>288415</v>
      </c>
      <c r="U79" s="270">
        <v>314775</v>
      </c>
      <c r="V79" s="270">
        <v>345492</v>
      </c>
      <c r="W79" s="270">
        <v>308118</v>
      </c>
      <c r="X79" s="270">
        <v>312116</v>
      </c>
      <c r="Y79" s="270">
        <v>285059</v>
      </c>
      <c r="Z79" s="270">
        <v>327809</v>
      </c>
      <c r="AA79" s="270">
        <v>231355</v>
      </c>
      <c r="AB79" s="270">
        <v>281547</v>
      </c>
      <c r="AC79" s="270">
        <v>315716</v>
      </c>
      <c r="AD79" s="270">
        <v>301867</v>
      </c>
      <c r="AE79" s="270">
        <v>310501</v>
      </c>
      <c r="AF79" s="270">
        <v>344538</v>
      </c>
      <c r="AG79" s="270">
        <v>305289</v>
      </c>
      <c r="AH79" s="270">
        <v>291653</v>
      </c>
      <c r="AI79" s="270">
        <v>245762</v>
      </c>
      <c r="AJ79" s="270">
        <v>244936</v>
      </c>
      <c r="AK79" s="270">
        <v>239991</v>
      </c>
      <c r="AL79" s="270">
        <v>323028</v>
      </c>
      <c r="AM79" s="270">
        <v>207479</v>
      </c>
      <c r="AN79" s="270">
        <v>262048</v>
      </c>
      <c r="AO79" s="270">
        <v>252921</v>
      </c>
      <c r="AP79" s="270">
        <v>239182</v>
      </c>
      <c r="AQ79" s="270">
        <v>201680</v>
      </c>
      <c r="AR79" s="270">
        <v>238351</v>
      </c>
      <c r="AS79" s="270">
        <v>268500</v>
      </c>
      <c r="AT79" s="270">
        <v>303841</v>
      </c>
      <c r="AU79" s="270">
        <v>265622</v>
      </c>
      <c r="AV79" s="270">
        <v>275958</v>
      </c>
      <c r="AW79" s="270">
        <v>245809</v>
      </c>
      <c r="AX79" s="270">
        <v>306512</v>
      </c>
      <c r="AY79" s="270">
        <v>187632</v>
      </c>
      <c r="AZ79" s="270">
        <v>238644</v>
      </c>
      <c r="BA79" s="270">
        <v>239160</v>
      </c>
      <c r="BB79" s="270">
        <v>240827</v>
      </c>
      <c r="BC79" s="270">
        <v>283827</v>
      </c>
      <c r="BD79" s="270">
        <v>260995</v>
      </c>
      <c r="BE79" s="270">
        <v>299648</v>
      </c>
      <c r="BF79" s="270">
        <v>313724</v>
      </c>
      <c r="BG79" s="270">
        <v>253947</v>
      </c>
      <c r="BH79" s="270">
        <v>272726</v>
      </c>
      <c r="BI79" s="270">
        <v>229550</v>
      </c>
      <c r="BJ79" s="270">
        <v>278448</v>
      </c>
      <c r="BK79" s="270">
        <v>211293</v>
      </c>
      <c r="BL79" s="270">
        <v>249000</v>
      </c>
      <c r="BM79" s="270">
        <v>255243</v>
      </c>
      <c r="BN79" s="270">
        <v>240127</v>
      </c>
      <c r="BO79" s="270">
        <v>249451</v>
      </c>
      <c r="BP79" s="270">
        <v>271766</v>
      </c>
      <c r="BQ79" s="270">
        <v>283737</v>
      </c>
      <c r="BR79" s="270">
        <v>318794</v>
      </c>
      <c r="BS79" s="270">
        <v>275042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0.26</v>
      </c>
      <c r="C82" s="72">
        <v>0.34</v>
      </c>
      <c r="D82" s="72">
        <v>0.3</v>
      </c>
      <c r="E82" s="72">
        <v>0.16</v>
      </c>
      <c r="F82" s="72">
        <v>0.16</v>
      </c>
      <c r="G82" s="72">
        <v>0.21</v>
      </c>
      <c r="H82" s="72">
        <v>0.53</v>
      </c>
      <c r="I82" s="72">
        <v>0.31</v>
      </c>
      <c r="J82" s="72">
        <v>0.65</v>
      </c>
      <c r="K82" s="72">
        <v>0.73</v>
      </c>
      <c r="L82" s="72">
        <v>0.82</v>
      </c>
      <c r="M82" s="72">
        <v>0.21</v>
      </c>
      <c r="N82" s="72">
        <v>0.62</v>
      </c>
      <c r="O82" s="72">
        <v>0.23</v>
      </c>
      <c r="P82" s="72">
        <v>0.74</v>
      </c>
      <c r="Q82" s="72">
        <v>0.59</v>
      </c>
      <c r="R82" s="72">
        <v>0.49</v>
      </c>
      <c r="S82" s="72">
        <v>0.56999999999999995</v>
      </c>
      <c r="T82" s="72">
        <v>0.87</v>
      </c>
      <c r="U82" s="72">
        <v>0.45</v>
      </c>
      <c r="V82" s="72">
        <v>0.56000000000000005</v>
      </c>
      <c r="W82" s="72">
        <v>0.59</v>
      </c>
      <c r="X82" s="72">
        <v>0.81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18.579999999999998</v>
      </c>
      <c r="C85" s="72">
        <v>18.96</v>
      </c>
      <c r="D85" s="72">
        <v>19.16</v>
      </c>
      <c r="E85" s="72">
        <v>19.36</v>
      </c>
      <c r="F85" s="72">
        <v>19.43</v>
      </c>
      <c r="G85" s="72">
        <v>18.5</v>
      </c>
      <c r="H85" s="72">
        <v>21.99</v>
      </c>
      <c r="I85" s="72">
        <v>22.56</v>
      </c>
      <c r="J85" s="72">
        <v>23.23</v>
      </c>
      <c r="K85" s="72">
        <v>22.74</v>
      </c>
      <c r="L85" s="72">
        <v>23.28</v>
      </c>
      <c r="M85" s="72">
        <v>23.48</v>
      </c>
      <c r="N85" s="72">
        <v>24.16</v>
      </c>
      <c r="O85" s="72">
        <v>22.53</v>
      </c>
      <c r="P85" s="72">
        <v>23.27</v>
      </c>
      <c r="Q85" s="72">
        <v>23.96</v>
      </c>
      <c r="R85" s="72">
        <v>24.53</v>
      </c>
      <c r="S85" s="72">
        <v>23.19</v>
      </c>
      <c r="T85" s="72">
        <v>24.07</v>
      </c>
      <c r="U85" s="72">
        <v>24.58</v>
      </c>
      <c r="V85" s="72">
        <v>25.14</v>
      </c>
      <c r="W85" s="72">
        <v>22.45</v>
      </c>
      <c r="X85" s="72">
        <v>23.38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913371</v>
      </c>
      <c r="C88" s="273">
        <v>976223</v>
      </c>
      <c r="D88" s="273">
        <v>958755</v>
      </c>
      <c r="E88" s="273">
        <v>808453</v>
      </c>
      <c r="F88" s="273">
        <v>813803</v>
      </c>
      <c r="G88" s="273">
        <v>893334</v>
      </c>
      <c r="H88" s="273">
        <v>948681</v>
      </c>
      <c r="I88" s="273">
        <v>905294</v>
      </c>
      <c r="J88" s="273">
        <v>840711</v>
      </c>
      <c r="K88" s="273">
        <v>928084</v>
      </c>
      <c r="L88" s="273">
        <v>941480</v>
      </c>
      <c r="M88" s="273">
        <v>730690</v>
      </c>
      <c r="N88" s="273">
        <v>792555</v>
      </c>
      <c r="O88" s="273">
        <v>693784</v>
      </c>
      <c r="P88" s="273">
        <v>810691</v>
      </c>
      <c r="Q88" s="273">
        <v>787389</v>
      </c>
      <c r="R88" s="273">
        <v>732787</v>
      </c>
      <c r="S88" s="273">
        <v>763814</v>
      </c>
      <c r="T88" s="273">
        <v>874367</v>
      </c>
      <c r="U88" s="273">
        <v>756223</v>
      </c>
      <c r="V88" s="273">
        <v>738742</v>
      </c>
      <c r="W88" s="273">
        <v>744821</v>
      </c>
      <c r="X88" s="273">
        <v>874297</v>
      </c>
    </row>
    <row r="89" spans="1:25" ht="14.25" thickBot="1" x14ac:dyDescent="0.3">
      <c r="A89" s="250" t="s">
        <v>4</v>
      </c>
      <c r="B89" s="275">
        <v>354173</v>
      </c>
      <c r="C89" s="275">
        <v>391255</v>
      </c>
      <c r="D89" s="275">
        <v>395186</v>
      </c>
      <c r="E89" s="275">
        <v>330979</v>
      </c>
      <c r="F89" s="275">
        <v>323535</v>
      </c>
      <c r="G89" s="275">
        <v>367811</v>
      </c>
      <c r="H89" s="275">
        <v>387475</v>
      </c>
      <c r="I89" s="275">
        <v>344723</v>
      </c>
      <c r="J89" s="275">
        <v>389319</v>
      </c>
      <c r="K89" s="275">
        <v>425355</v>
      </c>
      <c r="L89" s="275">
        <v>426229</v>
      </c>
      <c r="M89" s="275">
        <v>329335</v>
      </c>
      <c r="N89" s="275">
        <v>381135</v>
      </c>
      <c r="O89" s="275">
        <v>336816</v>
      </c>
      <c r="P89" s="275">
        <v>391964</v>
      </c>
      <c r="Q89" s="275">
        <v>393555</v>
      </c>
      <c r="R89" s="275">
        <v>378372</v>
      </c>
      <c r="S89" s="275">
        <v>380893</v>
      </c>
      <c r="T89" s="275">
        <v>429046</v>
      </c>
      <c r="U89" s="275">
        <v>376047</v>
      </c>
      <c r="V89" s="275">
        <v>372318</v>
      </c>
      <c r="W89" s="275">
        <v>385121</v>
      </c>
      <c r="X89" s="275">
        <v>438983</v>
      </c>
    </row>
    <row r="90" spans="1:25" ht="14.25" thickBot="1" x14ac:dyDescent="0.3">
      <c r="A90" s="251" t="s">
        <v>5</v>
      </c>
      <c r="B90" s="273">
        <v>49309</v>
      </c>
      <c r="C90" s="273">
        <v>82240</v>
      </c>
      <c r="D90" s="273">
        <v>75312</v>
      </c>
      <c r="E90" s="273">
        <v>19157</v>
      </c>
      <c r="F90" s="273">
        <v>33568</v>
      </c>
      <c r="G90" s="273">
        <v>53905</v>
      </c>
      <c r="H90" s="273">
        <v>88616</v>
      </c>
      <c r="I90" s="273">
        <v>56920</v>
      </c>
      <c r="J90" s="273">
        <v>119039</v>
      </c>
      <c r="K90" s="273">
        <v>161417</v>
      </c>
      <c r="L90" s="273">
        <v>156250</v>
      </c>
      <c r="M90" s="273">
        <v>64689</v>
      </c>
      <c r="N90" s="273">
        <v>114140</v>
      </c>
      <c r="O90" s="273">
        <v>73011</v>
      </c>
      <c r="P90" s="273">
        <v>129616</v>
      </c>
      <c r="Q90" s="273">
        <v>106889</v>
      </c>
      <c r="R90" s="273">
        <v>96778</v>
      </c>
      <c r="S90" s="273">
        <v>106024</v>
      </c>
      <c r="T90" s="273">
        <v>152986</v>
      </c>
      <c r="U90" s="273">
        <v>83016</v>
      </c>
      <c r="V90" s="273">
        <v>121534</v>
      </c>
      <c r="W90" s="273">
        <v>116836</v>
      </c>
      <c r="X90" s="273">
        <v>139141</v>
      </c>
    </row>
    <row r="91" spans="1:25" ht="14.25" thickBot="1" x14ac:dyDescent="0.3">
      <c r="A91" s="250" t="s">
        <v>6</v>
      </c>
      <c r="B91" s="275">
        <v>54210</v>
      </c>
      <c r="C91" s="275">
        <v>91707</v>
      </c>
      <c r="D91" s="275">
        <v>79991</v>
      </c>
      <c r="E91" s="275">
        <v>43170</v>
      </c>
      <c r="F91" s="275">
        <v>46178</v>
      </c>
      <c r="G91" s="275">
        <v>59966</v>
      </c>
      <c r="H91" s="275">
        <v>106738</v>
      </c>
      <c r="I91" s="275">
        <v>64737</v>
      </c>
      <c r="J91" s="275">
        <v>119950</v>
      </c>
      <c r="K91" s="275">
        <v>151073</v>
      </c>
      <c r="L91" s="275">
        <v>157026</v>
      </c>
      <c r="M91" s="275">
        <v>45833</v>
      </c>
      <c r="N91" s="275">
        <v>117136</v>
      </c>
      <c r="O91" s="275">
        <v>50029</v>
      </c>
      <c r="P91" s="275">
        <v>137898</v>
      </c>
      <c r="Q91" s="275">
        <v>112075</v>
      </c>
      <c r="R91" s="275">
        <v>97415</v>
      </c>
      <c r="S91" s="275">
        <v>107904</v>
      </c>
      <c r="T91" s="275">
        <v>147222</v>
      </c>
      <c r="U91" s="275">
        <v>85270</v>
      </c>
      <c r="V91" s="275">
        <v>109589</v>
      </c>
      <c r="W91" s="275">
        <v>115360</v>
      </c>
      <c r="X91" s="275">
        <v>137937</v>
      </c>
    </row>
    <row r="92" spans="1:25" ht="14.25" thickBot="1" x14ac:dyDescent="0.3">
      <c r="A92" s="251" t="s">
        <v>7</v>
      </c>
      <c r="B92" s="273">
        <v>53089</v>
      </c>
      <c r="C92" s="273">
        <v>68520</v>
      </c>
      <c r="D92" s="273">
        <v>60936</v>
      </c>
      <c r="E92" s="273">
        <v>33156</v>
      </c>
      <c r="F92" s="273">
        <v>32359</v>
      </c>
      <c r="G92" s="273">
        <v>42186</v>
      </c>
      <c r="H92" s="273">
        <v>90543</v>
      </c>
      <c r="I92" s="273">
        <v>55935</v>
      </c>
      <c r="J92" s="273">
        <v>97898</v>
      </c>
      <c r="K92" s="273">
        <v>111336</v>
      </c>
      <c r="L92" s="273">
        <v>125958</v>
      </c>
      <c r="M92" s="273">
        <v>32837</v>
      </c>
      <c r="N92" s="273">
        <v>96618</v>
      </c>
      <c r="O92" s="273">
        <v>36364</v>
      </c>
      <c r="P92" s="273">
        <v>114115</v>
      </c>
      <c r="Q92" s="273">
        <v>91220</v>
      </c>
      <c r="R92" s="273">
        <v>74783</v>
      </c>
      <c r="S92" s="273">
        <v>86748</v>
      </c>
      <c r="T92" s="273">
        <v>133130</v>
      </c>
      <c r="U92" s="273">
        <v>69030</v>
      </c>
      <c r="V92" s="273">
        <v>88208</v>
      </c>
      <c r="W92" s="273">
        <v>93581</v>
      </c>
      <c r="X92" s="273">
        <v>126808</v>
      </c>
    </row>
    <row r="93" spans="1:25" ht="26.25" thickBot="1" x14ac:dyDescent="0.3">
      <c r="A93" s="252" t="s">
        <v>8</v>
      </c>
      <c r="B93" s="276">
        <v>53089</v>
      </c>
      <c r="C93" s="276">
        <v>68520</v>
      </c>
      <c r="D93" s="276">
        <v>60936</v>
      </c>
      <c r="E93" s="276">
        <v>33156</v>
      </c>
      <c r="F93" s="276">
        <v>32359</v>
      </c>
      <c r="G93" s="276">
        <v>42186</v>
      </c>
      <c r="H93" s="276">
        <v>90543</v>
      </c>
      <c r="I93" s="276">
        <v>55935</v>
      </c>
      <c r="J93" s="276">
        <v>97898</v>
      </c>
      <c r="K93" s="276">
        <v>111336</v>
      </c>
      <c r="L93" s="276">
        <v>125958</v>
      </c>
      <c r="M93" s="276">
        <v>32837</v>
      </c>
      <c r="N93" s="276">
        <v>96618</v>
      </c>
      <c r="O93" s="276">
        <v>36364</v>
      </c>
      <c r="P93" s="276">
        <v>114115</v>
      </c>
      <c r="Q93" s="276">
        <v>91220</v>
      </c>
      <c r="R93" s="276">
        <v>74783</v>
      </c>
      <c r="S93" s="276">
        <v>86748</v>
      </c>
      <c r="T93" s="276">
        <v>133130</v>
      </c>
      <c r="U93" s="276">
        <v>69305</v>
      </c>
      <c r="V93" s="276">
        <v>88709</v>
      </c>
      <c r="W93" s="276">
        <v>93923</v>
      </c>
      <c r="X93" s="276">
        <v>127163</v>
      </c>
    </row>
    <row r="94" spans="1:25" x14ac:dyDescent="0.25">
      <c r="A94" s="233" t="s">
        <v>365</v>
      </c>
      <c r="B94" s="253">
        <f>IF(B91="","",B91-B90)</f>
        <v>4901</v>
      </c>
      <c r="C94" s="253">
        <f>IF(C91="","",C91-C90)</f>
        <v>9467</v>
      </c>
      <c r="D94" s="253">
        <f t="shared" ref="D94:Y94" si="9">IF(D91="","",D91-D90)</f>
        <v>4679</v>
      </c>
      <c r="E94" s="253">
        <f t="shared" si="9"/>
        <v>24013</v>
      </c>
      <c r="F94" s="253">
        <f t="shared" si="9"/>
        <v>12610</v>
      </c>
      <c r="G94" s="253">
        <f t="shared" si="9"/>
        <v>6061</v>
      </c>
      <c r="H94" s="253">
        <f t="shared" si="9"/>
        <v>18122</v>
      </c>
      <c r="I94" s="253">
        <f t="shared" si="9"/>
        <v>7817</v>
      </c>
      <c r="J94" s="253">
        <f t="shared" si="9"/>
        <v>911</v>
      </c>
      <c r="K94" s="253">
        <f t="shared" si="9"/>
        <v>-10344</v>
      </c>
      <c r="L94" s="253">
        <f t="shared" si="9"/>
        <v>776</v>
      </c>
      <c r="M94" s="253">
        <f t="shared" si="9"/>
        <v>-18856</v>
      </c>
      <c r="N94" s="253">
        <f t="shared" si="9"/>
        <v>2996</v>
      </c>
      <c r="O94" s="253">
        <f t="shared" si="9"/>
        <v>-22982</v>
      </c>
      <c r="P94" s="253">
        <f t="shared" si="9"/>
        <v>8282</v>
      </c>
      <c r="Q94" s="253">
        <f t="shared" si="9"/>
        <v>5186</v>
      </c>
      <c r="R94" s="253">
        <f t="shared" si="9"/>
        <v>637</v>
      </c>
      <c r="S94" s="253">
        <f t="shared" si="9"/>
        <v>1880</v>
      </c>
      <c r="T94" s="253">
        <f t="shared" si="9"/>
        <v>-5764</v>
      </c>
      <c r="U94" s="253">
        <f t="shared" si="9"/>
        <v>2254</v>
      </c>
      <c r="V94" s="253">
        <f t="shared" si="9"/>
        <v>-11945</v>
      </c>
      <c r="W94" s="253">
        <f t="shared" si="9"/>
        <v>-1476</v>
      </c>
      <c r="X94" s="253">
        <f t="shared" si="9"/>
        <v>-1204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3656802</v>
      </c>
      <c r="C97" s="273">
        <v>3561112</v>
      </c>
      <c r="D97" s="273">
        <v>3440965</v>
      </c>
      <c r="E97" s="273">
        <v>3084419</v>
      </c>
      <c r="F97" s="273">
        <v>3127191</v>
      </c>
    </row>
    <row r="98" spans="1:24" ht="14.25" thickBot="1" x14ac:dyDescent="0.3">
      <c r="A98" s="225" t="s">
        <v>4</v>
      </c>
      <c r="B98" s="275">
        <v>1471593</v>
      </c>
      <c r="C98" s="275">
        <v>1423544</v>
      </c>
      <c r="D98" s="275">
        <v>1570238</v>
      </c>
      <c r="E98" s="275">
        <v>1503470</v>
      </c>
      <c r="F98" s="275">
        <v>1564358</v>
      </c>
    </row>
    <row r="99" spans="1:24" ht="14.25" thickBot="1" x14ac:dyDescent="0.3">
      <c r="A99" s="224" t="s">
        <v>5</v>
      </c>
      <c r="B99" s="273">
        <v>226018</v>
      </c>
      <c r="C99" s="273">
        <v>233009</v>
      </c>
      <c r="D99" s="273">
        <v>501395</v>
      </c>
      <c r="E99" s="273">
        <v>423656</v>
      </c>
      <c r="F99" s="273">
        <v>438804</v>
      </c>
    </row>
    <row r="100" spans="1:24" ht="14.25" thickBot="1" x14ac:dyDescent="0.3">
      <c r="A100" s="225" t="s">
        <v>6</v>
      </c>
      <c r="B100" s="275">
        <v>269078</v>
      </c>
      <c r="C100" s="275">
        <v>277619</v>
      </c>
      <c r="D100" s="275">
        <v>473882</v>
      </c>
      <c r="E100" s="275">
        <v>417138</v>
      </c>
      <c r="F100" s="275">
        <v>437811</v>
      </c>
    </row>
    <row r="101" spans="1:24" ht="14.25" thickBot="1" x14ac:dyDescent="0.3">
      <c r="A101" s="224" t="s">
        <v>7</v>
      </c>
      <c r="B101" s="273">
        <v>215701</v>
      </c>
      <c r="C101" s="273">
        <v>221023</v>
      </c>
      <c r="D101" s="273">
        <v>368029</v>
      </c>
      <c r="E101" s="273">
        <v>338317</v>
      </c>
      <c r="F101" s="273">
        <v>363691</v>
      </c>
    </row>
    <row r="102" spans="1:24" ht="14.25" thickBot="1" x14ac:dyDescent="0.3">
      <c r="A102" s="227" t="s">
        <v>8</v>
      </c>
      <c r="B102" s="276">
        <v>215701</v>
      </c>
      <c r="C102" s="276">
        <v>221023</v>
      </c>
      <c r="D102" s="276">
        <v>368029</v>
      </c>
      <c r="E102" s="276">
        <v>338317</v>
      </c>
      <c r="F102" s="276">
        <v>363966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1.0007561363905073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2268897</v>
      </c>
      <c r="C106" s="273">
        <v>2401863</v>
      </c>
      <c r="D106" s="273">
        <v>2504934</v>
      </c>
      <c r="E106" s="273">
        <v>2651092</v>
      </c>
      <c r="F106" s="273">
        <v>2716645</v>
      </c>
      <c r="G106" s="273">
        <v>2754416</v>
      </c>
      <c r="H106" s="273">
        <v>2631984</v>
      </c>
      <c r="I106" s="273">
        <v>2250066</v>
      </c>
      <c r="J106" s="273">
        <v>2437080</v>
      </c>
      <c r="K106" s="273">
        <v>2492817</v>
      </c>
      <c r="L106" s="273">
        <v>2450182</v>
      </c>
      <c r="M106" s="273">
        <v>2492709</v>
      </c>
      <c r="N106" s="273">
        <v>2368711</v>
      </c>
      <c r="O106" s="273">
        <v>2322467</v>
      </c>
      <c r="P106" s="273">
        <v>2350737</v>
      </c>
      <c r="Q106" s="273">
        <v>2349251</v>
      </c>
      <c r="R106" s="273">
        <v>2422360</v>
      </c>
      <c r="S106" s="273">
        <v>2383422</v>
      </c>
      <c r="T106" s="273">
        <v>2463435</v>
      </c>
      <c r="U106" s="273">
        <v>2287609</v>
      </c>
      <c r="V106" s="273">
        <v>2356563</v>
      </c>
      <c r="W106" s="273">
        <v>2365002</v>
      </c>
      <c r="X106" s="273">
        <v>2350738</v>
      </c>
    </row>
    <row r="107" spans="1:24" ht="14.25" thickBot="1" x14ac:dyDescent="0.3">
      <c r="A107" s="225" t="s">
        <v>22</v>
      </c>
      <c r="B107" s="274">
        <v>14</v>
      </c>
      <c r="C107" s="274">
        <v>0</v>
      </c>
      <c r="D107" s="274">
        <v>259</v>
      </c>
      <c r="E107" s="274">
        <v>0</v>
      </c>
      <c r="F107" s="275">
        <v>8531</v>
      </c>
      <c r="G107" s="275">
        <v>7121</v>
      </c>
      <c r="H107" s="275">
        <v>7258</v>
      </c>
      <c r="I107" s="275">
        <v>5091</v>
      </c>
      <c r="J107" s="275">
        <v>19869</v>
      </c>
      <c r="K107" s="275">
        <v>60140</v>
      </c>
      <c r="L107" s="275">
        <v>150820</v>
      </c>
      <c r="M107" s="275">
        <v>191192</v>
      </c>
      <c r="N107" s="275">
        <v>451399</v>
      </c>
      <c r="O107" s="275">
        <v>580664</v>
      </c>
      <c r="P107" s="275">
        <v>170562</v>
      </c>
      <c r="Q107" s="275">
        <v>420071</v>
      </c>
      <c r="R107" s="275">
        <v>449515</v>
      </c>
      <c r="S107" s="275">
        <v>590076</v>
      </c>
      <c r="T107" s="275">
        <v>259594</v>
      </c>
      <c r="U107" s="275">
        <v>510087</v>
      </c>
      <c r="V107" s="275">
        <v>479805</v>
      </c>
      <c r="W107" s="275">
        <v>659749</v>
      </c>
      <c r="X107" s="275">
        <v>224488</v>
      </c>
    </row>
    <row r="108" spans="1:24" ht="14.25" thickBot="1" x14ac:dyDescent="0.3">
      <c r="A108" s="224" t="s">
        <v>263</v>
      </c>
      <c r="B108" s="273">
        <v>574195</v>
      </c>
      <c r="C108" s="273">
        <v>619543</v>
      </c>
      <c r="D108" s="273">
        <v>604542</v>
      </c>
      <c r="E108" s="273">
        <v>536783</v>
      </c>
      <c r="F108" s="273">
        <v>598124</v>
      </c>
      <c r="G108" s="273">
        <v>673319</v>
      </c>
      <c r="H108" s="273">
        <v>685341</v>
      </c>
      <c r="I108" s="273">
        <v>697761</v>
      </c>
      <c r="J108" s="273">
        <v>599376</v>
      </c>
      <c r="K108" s="273">
        <v>665650</v>
      </c>
      <c r="L108" s="273">
        <v>638098</v>
      </c>
      <c r="M108" s="273">
        <v>539938</v>
      </c>
      <c r="N108" s="273">
        <v>518156</v>
      </c>
      <c r="O108" s="273">
        <v>484164</v>
      </c>
      <c r="P108" s="273">
        <v>630575</v>
      </c>
      <c r="Q108" s="273">
        <v>554677</v>
      </c>
      <c r="R108" s="273">
        <v>457379</v>
      </c>
      <c r="S108" s="273">
        <v>504229</v>
      </c>
      <c r="T108" s="273">
        <v>623359</v>
      </c>
      <c r="U108" s="273">
        <v>510502</v>
      </c>
      <c r="V108" s="273">
        <v>445057</v>
      </c>
      <c r="W108" s="273">
        <v>486844</v>
      </c>
      <c r="X108" s="273">
        <v>577907</v>
      </c>
    </row>
    <row r="109" spans="1:24" ht="14.25" thickBot="1" x14ac:dyDescent="0.3">
      <c r="A109" s="225" t="s">
        <v>264</v>
      </c>
      <c r="B109" s="275">
        <v>419741</v>
      </c>
      <c r="C109" s="275">
        <v>491561</v>
      </c>
      <c r="D109" s="275">
        <v>418245</v>
      </c>
      <c r="E109" s="275">
        <v>482649</v>
      </c>
      <c r="F109" s="275">
        <v>485169</v>
      </c>
      <c r="G109" s="275">
        <v>489014</v>
      </c>
      <c r="H109" s="275">
        <v>433324</v>
      </c>
      <c r="I109" s="275">
        <v>400467</v>
      </c>
      <c r="J109" s="275">
        <v>373405</v>
      </c>
      <c r="K109" s="275">
        <v>399739</v>
      </c>
      <c r="L109" s="275">
        <v>401245</v>
      </c>
      <c r="M109" s="275">
        <v>404317</v>
      </c>
      <c r="N109" s="275">
        <v>396511</v>
      </c>
      <c r="O109" s="275">
        <v>370667</v>
      </c>
      <c r="P109" s="275">
        <v>328522</v>
      </c>
      <c r="Q109" s="275">
        <v>361599</v>
      </c>
      <c r="R109" s="275">
        <v>404103</v>
      </c>
      <c r="S109" s="275">
        <v>387898</v>
      </c>
      <c r="T109" s="275">
        <v>310161</v>
      </c>
      <c r="U109" s="275">
        <v>309436</v>
      </c>
      <c r="V109" s="275">
        <v>300516</v>
      </c>
      <c r="W109" s="275">
        <v>289579</v>
      </c>
      <c r="X109" s="275">
        <v>274212</v>
      </c>
    </row>
    <row r="110" spans="1:24" ht="14.25" thickBot="1" x14ac:dyDescent="0.3">
      <c r="A110" s="224" t="s">
        <v>23</v>
      </c>
      <c r="B110" s="273">
        <v>79831</v>
      </c>
      <c r="C110" s="273">
        <v>75622</v>
      </c>
      <c r="D110" s="273">
        <v>80286</v>
      </c>
      <c r="E110" s="273">
        <v>72857</v>
      </c>
      <c r="F110" s="273">
        <v>28210</v>
      </c>
      <c r="G110" s="273">
        <v>52088</v>
      </c>
      <c r="H110" s="273">
        <v>48003</v>
      </c>
      <c r="I110" s="273">
        <v>44342</v>
      </c>
      <c r="J110" s="273">
        <v>33305</v>
      </c>
      <c r="K110" s="273">
        <v>46638</v>
      </c>
      <c r="L110" s="273">
        <v>41577</v>
      </c>
      <c r="M110" s="273">
        <v>40219</v>
      </c>
      <c r="N110" s="273">
        <v>42773</v>
      </c>
      <c r="O110" s="273">
        <v>21881</v>
      </c>
      <c r="P110" s="273">
        <v>38407</v>
      </c>
      <c r="Q110" s="273">
        <v>40763</v>
      </c>
      <c r="R110" s="273">
        <v>29215</v>
      </c>
      <c r="S110" s="273">
        <v>31115</v>
      </c>
      <c r="T110" s="273">
        <v>48720</v>
      </c>
      <c r="U110" s="273">
        <v>47385</v>
      </c>
      <c r="V110" s="273">
        <v>44141</v>
      </c>
      <c r="W110" s="273">
        <v>28758</v>
      </c>
      <c r="X110" s="273">
        <v>36766</v>
      </c>
    </row>
    <row r="111" spans="1:24" ht="14.25" thickBot="1" x14ac:dyDescent="0.3">
      <c r="A111" s="225" t="s">
        <v>24</v>
      </c>
      <c r="B111" s="275">
        <v>3342678</v>
      </c>
      <c r="C111" s="275">
        <v>3588589</v>
      </c>
      <c r="D111" s="275">
        <v>3608266</v>
      </c>
      <c r="E111" s="275">
        <v>3743381</v>
      </c>
      <c r="F111" s="275">
        <v>3836679</v>
      </c>
      <c r="G111" s="275">
        <v>3975958</v>
      </c>
      <c r="H111" s="275">
        <v>3805910</v>
      </c>
      <c r="I111" s="275">
        <v>3397727</v>
      </c>
      <c r="J111" s="275">
        <v>3463035</v>
      </c>
      <c r="K111" s="275">
        <v>3664984</v>
      </c>
      <c r="L111" s="275">
        <v>3681922</v>
      </c>
      <c r="M111" s="275">
        <v>3668375</v>
      </c>
      <c r="N111" s="275">
        <v>3777550</v>
      </c>
      <c r="O111" s="275">
        <v>3779843</v>
      </c>
      <c r="P111" s="275">
        <v>3518803</v>
      </c>
      <c r="Q111" s="275">
        <v>3726361</v>
      </c>
      <c r="R111" s="275">
        <v>3762572</v>
      </c>
      <c r="S111" s="275">
        <v>3896740</v>
      </c>
      <c r="T111" s="275">
        <v>3705269</v>
      </c>
      <c r="U111" s="275">
        <v>3665019</v>
      </c>
      <c r="V111" s="275">
        <v>3626082</v>
      </c>
      <c r="W111" s="275">
        <v>3829932</v>
      </c>
      <c r="X111" s="275">
        <v>3464111</v>
      </c>
    </row>
    <row r="112" spans="1:24" ht="14.25" thickBot="1" x14ac:dyDescent="0.3">
      <c r="A112" s="224" t="s">
        <v>25</v>
      </c>
      <c r="B112" s="273">
        <v>203674</v>
      </c>
      <c r="C112" s="273">
        <v>203015</v>
      </c>
      <c r="D112" s="273">
        <v>202583</v>
      </c>
      <c r="E112" s="273">
        <v>202246</v>
      </c>
      <c r="F112" s="273">
        <v>198025</v>
      </c>
      <c r="G112" s="273">
        <v>197755</v>
      </c>
      <c r="H112" s="273">
        <v>246055</v>
      </c>
      <c r="I112" s="273">
        <v>273932</v>
      </c>
      <c r="J112" s="273">
        <v>265660</v>
      </c>
      <c r="K112" s="273">
        <v>271744</v>
      </c>
      <c r="L112" s="273">
        <v>251043</v>
      </c>
      <c r="M112" s="273">
        <v>217770</v>
      </c>
      <c r="N112" s="273">
        <v>217805</v>
      </c>
      <c r="O112" s="273">
        <v>224189</v>
      </c>
      <c r="P112" s="273">
        <v>221986</v>
      </c>
      <c r="Q112" s="273">
        <v>219258</v>
      </c>
      <c r="R112" s="273">
        <v>238064</v>
      </c>
      <c r="S112" s="273">
        <v>237012</v>
      </c>
      <c r="T112" s="273">
        <v>227281</v>
      </c>
      <c r="U112" s="273">
        <v>425707</v>
      </c>
      <c r="V112" s="273">
        <v>437070</v>
      </c>
      <c r="W112" s="273">
        <v>430868</v>
      </c>
      <c r="X112" s="273">
        <v>450826</v>
      </c>
    </row>
    <row r="113" spans="1:24" ht="14.25" thickBot="1" x14ac:dyDescent="0.3">
      <c r="A113" s="225" t="s">
        <v>26</v>
      </c>
      <c r="B113" s="275">
        <v>366164</v>
      </c>
      <c r="C113" s="275">
        <v>355620</v>
      </c>
      <c r="D113" s="275">
        <v>345281</v>
      </c>
      <c r="E113" s="275">
        <v>337303</v>
      </c>
      <c r="F113" s="275">
        <v>328865</v>
      </c>
      <c r="G113" s="275">
        <v>320568</v>
      </c>
      <c r="H113" s="275">
        <v>309341</v>
      </c>
      <c r="I113" s="275">
        <v>299865</v>
      </c>
      <c r="J113" s="275">
        <v>291191</v>
      </c>
      <c r="K113" s="275">
        <v>283684</v>
      </c>
      <c r="L113" s="275">
        <v>277886</v>
      </c>
      <c r="M113" s="275">
        <v>276730</v>
      </c>
      <c r="N113" s="275">
        <v>272734</v>
      </c>
      <c r="O113" s="275">
        <v>276000</v>
      </c>
      <c r="P113" s="275">
        <v>273068</v>
      </c>
      <c r="Q113" s="275">
        <v>269942</v>
      </c>
      <c r="R113" s="275">
        <v>267122</v>
      </c>
      <c r="S113" s="275">
        <v>266166</v>
      </c>
      <c r="T113" s="275">
        <v>262899</v>
      </c>
      <c r="U113" s="275">
        <v>260054</v>
      </c>
      <c r="V113" s="275">
        <v>443569</v>
      </c>
      <c r="W113" s="275">
        <v>443607</v>
      </c>
      <c r="X113" s="275">
        <v>439753</v>
      </c>
    </row>
    <row r="114" spans="1:24" ht="14.25" thickBot="1" x14ac:dyDescent="0.3">
      <c r="A114" s="224" t="s">
        <v>27</v>
      </c>
      <c r="B114" s="273">
        <v>567209</v>
      </c>
      <c r="C114" s="273">
        <v>543136</v>
      </c>
      <c r="D114" s="273">
        <v>520867</v>
      </c>
      <c r="E114" s="273">
        <v>499561</v>
      </c>
      <c r="F114" s="273">
        <v>516191</v>
      </c>
      <c r="G114" s="273">
        <v>493895</v>
      </c>
      <c r="H114" s="273">
        <v>474436</v>
      </c>
      <c r="I114" s="273">
        <v>451401</v>
      </c>
      <c r="J114" s="273">
        <v>444777</v>
      </c>
      <c r="K114" s="273">
        <v>478827</v>
      </c>
      <c r="L114" s="273">
        <v>443288</v>
      </c>
      <c r="M114" s="273">
        <v>422445</v>
      </c>
      <c r="N114" s="273">
        <v>435716</v>
      </c>
      <c r="O114" s="273">
        <v>416170</v>
      </c>
      <c r="P114" s="273">
        <v>414008</v>
      </c>
      <c r="Q114" s="273">
        <v>400305</v>
      </c>
      <c r="R114" s="273">
        <v>395843</v>
      </c>
      <c r="S114" s="273">
        <v>384322</v>
      </c>
      <c r="T114" s="273">
        <v>385748</v>
      </c>
      <c r="U114" s="273">
        <v>357597</v>
      </c>
      <c r="V114" s="273">
        <v>345017</v>
      </c>
      <c r="W114" s="273">
        <v>340347</v>
      </c>
      <c r="X114" s="273">
        <v>344292</v>
      </c>
    </row>
    <row r="115" spans="1:24" ht="14.25" thickBot="1" x14ac:dyDescent="0.3">
      <c r="A115" s="225" t="s">
        <v>265</v>
      </c>
      <c r="B115" s="276">
        <v>4479725</v>
      </c>
      <c r="C115" s="276">
        <v>4690360</v>
      </c>
      <c r="D115" s="276">
        <v>4676997</v>
      </c>
      <c r="E115" s="276">
        <v>4782491</v>
      </c>
      <c r="F115" s="276">
        <v>4879760</v>
      </c>
      <c r="G115" s="276">
        <v>4988176</v>
      </c>
      <c r="H115" s="276">
        <v>4835742</v>
      </c>
      <c r="I115" s="276">
        <v>4422925</v>
      </c>
      <c r="J115" s="276">
        <v>4464663</v>
      </c>
      <c r="K115" s="276">
        <v>4699239</v>
      </c>
      <c r="L115" s="276">
        <v>4654139</v>
      </c>
      <c r="M115" s="276">
        <v>4585320</v>
      </c>
      <c r="N115" s="276">
        <v>4703805</v>
      </c>
      <c r="O115" s="276">
        <v>4696202</v>
      </c>
      <c r="P115" s="276">
        <v>4427865</v>
      </c>
      <c r="Q115" s="276">
        <v>4615866</v>
      </c>
      <c r="R115" s="276">
        <v>4663601</v>
      </c>
      <c r="S115" s="276">
        <v>4784240</v>
      </c>
      <c r="T115" s="276">
        <v>4581197</v>
      </c>
      <c r="U115" s="276">
        <v>4708377</v>
      </c>
      <c r="V115" s="276">
        <v>4851738</v>
      </c>
      <c r="W115" s="276">
        <v>5044754</v>
      </c>
      <c r="X115" s="276">
        <v>4698982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450683</v>
      </c>
      <c r="C120" s="273">
        <v>555145</v>
      </c>
      <c r="D120" s="273">
        <v>406791</v>
      </c>
      <c r="E120" s="273">
        <v>453708</v>
      </c>
      <c r="F120" s="273">
        <v>425826</v>
      </c>
      <c r="G120" s="273">
        <v>433813</v>
      </c>
      <c r="H120" s="273">
        <v>437758</v>
      </c>
      <c r="I120" s="273">
        <v>443736</v>
      </c>
      <c r="J120" s="273">
        <v>366405</v>
      </c>
      <c r="K120" s="273">
        <v>438396</v>
      </c>
      <c r="L120" s="273">
        <v>456147</v>
      </c>
      <c r="M120" s="273">
        <v>346275</v>
      </c>
      <c r="N120" s="273">
        <v>341439</v>
      </c>
      <c r="O120" s="273">
        <v>287338</v>
      </c>
      <c r="P120" s="273">
        <v>314907</v>
      </c>
      <c r="Q120" s="273">
        <v>366494</v>
      </c>
      <c r="R120" s="273">
        <v>324243</v>
      </c>
      <c r="S120" s="273">
        <v>297701</v>
      </c>
      <c r="T120" s="273">
        <v>304813</v>
      </c>
      <c r="U120" s="273">
        <v>319105</v>
      </c>
      <c r="V120" s="273">
        <v>286052</v>
      </c>
      <c r="W120" s="273">
        <v>292642</v>
      </c>
      <c r="X120" s="273">
        <v>352202</v>
      </c>
    </row>
    <row r="121" spans="1:24" ht="14.25" thickBot="1" x14ac:dyDescent="0.3">
      <c r="A121" s="225" t="s">
        <v>267</v>
      </c>
      <c r="B121" s="275">
        <v>10151</v>
      </c>
      <c r="C121" s="275">
        <v>12278</v>
      </c>
      <c r="D121" s="275">
        <v>16733</v>
      </c>
      <c r="E121" s="275">
        <v>3237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203161</v>
      </c>
      <c r="C123" s="275">
        <v>229418</v>
      </c>
      <c r="D123" s="275">
        <v>246484</v>
      </c>
      <c r="E123" s="275">
        <v>271831</v>
      </c>
      <c r="F123" s="275">
        <v>352083</v>
      </c>
      <c r="G123" s="275">
        <v>646443</v>
      </c>
      <c r="H123" s="275">
        <v>915010</v>
      </c>
      <c r="I123" s="275">
        <v>408289</v>
      </c>
      <c r="J123" s="275">
        <v>424534</v>
      </c>
      <c r="K123" s="275">
        <v>637443</v>
      </c>
      <c r="L123" s="275">
        <v>419922</v>
      </c>
      <c r="M123" s="275">
        <v>424454</v>
      </c>
      <c r="N123" s="275">
        <v>440590</v>
      </c>
      <c r="O123" s="275">
        <v>745338</v>
      </c>
      <c r="P123" s="275">
        <v>411982</v>
      </c>
      <c r="Q123" s="275">
        <v>452459</v>
      </c>
      <c r="R123" s="275">
        <v>454413</v>
      </c>
      <c r="S123" s="275">
        <v>809190</v>
      </c>
      <c r="T123" s="275">
        <v>463268</v>
      </c>
      <c r="U123" s="275">
        <v>481914</v>
      </c>
      <c r="V123" s="275">
        <v>483446</v>
      </c>
      <c r="W123" s="275">
        <v>1016497</v>
      </c>
      <c r="X123" s="275">
        <v>462380</v>
      </c>
    </row>
    <row r="124" spans="1:24" ht="14.25" thickBot="1" x14ac:dyDescent="0.3">
      <c r="A124" s="224" t="s">
        <v>268</v>
      </c>
      <c r="B124" s="273">
        <v>663995</v>
      </c>
      <c r="C124" s="273">
        <v>796841</v>
      </c>
      <c r="D124" s="273">
        <v>670008</v>
      </c>
      <c r="E124" s="273">
        <v>728776</v>
      </c>
      <c r="F124" s="273">
        <v>777909</v>
      </c>
      <c r="G124" s="273">
        <v>1080256</v>
      </c>
      <c r="H124" s="273">
        <v>1352768</v>
      </c>
      <c r="I124" s="273">
        <v>852025</v>
      </c>
      <c r="J124" s="273">
        <v>790939</v>
      </c>
      <c r="K124" s="273">
        <v>1075839</v>
      </c>
      <c r="L124" s="273">
        <v>876069</v>
      </c>
      <c r="M124" s="273">
        <v>770729</v>
      </c>
      <c r="N124" s="273">
        <v>782029</v>
      </c>
      <c r="O124" s="273">
        <v>1032676</v>
      </c>
      <c r="P124" s="273">
        <v>726889</v>
      </c>
      <c r="Q124" s="273">
        <v>818953</v>
      </c>
      <c r="R124" s="273">
        <v>778656</v>
      </c>
      <c r="S124" s="273">
        <v>1106891</v>
      </c>
      <c r="T124" s="273">
        <v>768081</v>
      </c>
      <c r="U124" s="273">
        <v>801019</v>
      </c>
      <c r="V124" s="273">
        <v>769498</v>
      </c>
      <c r="W124" s="273">
        <v>1309139</v>
      </c>
      <c r="X124" s="273">
        <v>814582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101508</v>
      </c>
      <c r="G125" s="275">
        <v>101038</v>
      </c>
      <c r="H125" s="275">
        <v>100638</v>
      </c>
      <c r="I125" s="275">
        <v>102782</v>
      </c>
      <c r="J125" s="275">
        <v>102464</v>
      </c>
      <c r="K125" s="275">
        <v>102104</v>
      </c>
      <c r="L125" s="275">
        <v>102166</v>
      </c>
      <c r="M125" s="275">
        <v>106877</v>
      </c>
      <c r="N125" s="275">
        <v>106560</v>
      </c>
      <c r="O125" s="275">
        <v>106228</v>
      </c>
      <c r="P125" s="275">
        <v>105909</v>
      </c>
      <c r="Q125" s="275">
        <v>98884</v>
      </c>
      <c r="R125" s="275">
        <v>98448</v>
      </c>
      <c r="S125" s="275">
        <v>98088</v>
      </c>
      <c r="T125" s="275">
        <v>97573</v>
      </c>
      <c r="U125" s="275">
        <v>111201</v>
      </c>
      <c r="V125" s="275">
        <v>110551</v>
      </c>
      <c r="W125" s="275">
        <v>110459</v>
      </c>
      <c r="X125" s="275">
        <v>109938</v>
      </c>
    </row>
    <row r="126" spans="1:24" ht="14.25" thickBot="1" x14ac:dyDescent="0.3">
      <c r="A126" s="224" t="s">
        <v>33</v>
      </c>
      <c r="B126" s="273">
        <v>52897</v>
      </c>
      <c r="C126" s="273">
        <v>53755</v>
      </c>
      <c r="D126" s="273">
        <v>61054</v>
      </c>
      <c r="E126" s="273">
        <v>67238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716892</v>
      </c>
      <c r="C127" s="275">
        <v>850596</v>
      </c>
      <c r="D127" s="275">
        <v>731062</v>
      </c>
      <c r="E127" s="275">
        <v>796014</v>
      </c>
      <c r="F127" s="275">
        <v>879417</v>
      </c>
      <c r="G127" s="275">
        <v>1181294</v>
      </c>
      <c r="H127" s="275">
        <v>1453406</v>
      </c>
      <c r="I127" s="275">
        <v>954807</v>
      </c>
      <c r="J127" s="275">
        <v>893403</v>
      </c>
      <c r="K127" s="275">
        <v>1177943</v>
      </c>
      <c r="L127" s="275">
        <v>978235</v>
      </c>
      <c r="M127" s="275">
        <v>877606</v>
      </c>
      <c r="N127" s="275">
        <v>888589</v>
      </c>
      <c r="O127" s="275">
        <v>1138904</v>
      </c>
      <c r="P127" s="275">
        <v>832798</v>
      </c>
      <c r="Q127" s="275">
        <v>917837</v>
      </c>
      <c r="R127" s="275">
        <v>877104</v>
      </c>
      <c r="S127" s="275">
        <v>1204979</v>
      </c>
      <c r="T127" s="275">
        <v>865654</v>
      </c>
      <c r="U127" s="275">
        <v>912220</v>
      </c>
      <c r="V127" s="275">
        <v>880049</v>
      </c>
      <c r="W127" s="275">
        <v>1419598</v>
      </c>
      <c r="X127" s="275">
        <v>924520</v>
      </c>
    </row>
    <row r="128" spans="1:24" ht="14.25" thickBot="1" x14ac:dyDescent="0.3">
      <c r="A128" s="224" t="s">
        <v>34</v>
      </c>
      <c r="B128" s="273">
        <v>3762833</v>
      </c>
      <c r="C128" s="273">
        <v>3839764</v>
      </c>
      <c r="D128" s="273">
        <v>3945935</v>
      </c>
      <c r="E128" s="273">
        <v>3986477</v>
      </c>
      <c r="F128" s="273">
        <v>4000343</v>
      </c>
      <c r="G128" s="273">
        <v>3806882</v>
      </c>
      <c r="H128" s="273">
        <v>3382336</v>
      </c>
      <c r="I128" s="273">
        <v>3468118</v>
      </c>
      <c r="J128" s="273">
        <v>3571260</v>
      </c>
      <c r="K128" s="273">
        <v>3521296</v>
      </c>
      <c r="L128" s="273">
        <v>3675904</v>
      </c>
      <c r="M128" s="273">
        <v>3707714</v>
      </c>
      <c r="N128" s="273">
        <v>3815216</v>
      </c>
      <c r="O128" s="273">
        <v>3557298</v>
      </c>
      <c r="P128" s="273">
        <v>3595067</v>
      </c>
      <c r="Q128" s="273">
        <v>3698029</v>
      </c>
      <c r="R128" s="273">
        <v>3786497</v>
      </c>
      <c r="S128" s="273">
        <v>3579261</v>
      </c>
      <c r="T128" s="273">
        <v>3715543</v>
      </c>
      <c r="U128" s="273">
        <v>3796157</v>
      </c>
      <c r="V128" s="273">
        <v>3971689</v>
      </c>
      <c r="W128" s="273">
        <v>3625156</v>
      </c>
      <c r="X128" s="273">
        <v>3774462</v>
      </c>
    </row>
    <row r="129" spans="1:24" ht="14.25" thickBot="1" x14ac:dyDescent="0.3">
      <c r="A129" s="225" t="s">
        <v>35</v>
      </c>
      <c r="B129" s="276">
        <v>4479725</v>
      </c>
      <c r="C129" s="276">
        <v>4690360</v>
      </c>
      <c r="D129" s="276">
        <v>4676997</v>
      </c>
      <c r="E129" s="276">
        <v>4782491</v>
      </c>
      <c r="F129" s="276">
        <v>4879760</v>
      </c>
      <c r="G129" s="276">
        <v>4988176</v>
      </c>
      <c r="H129" s="276">
        <v>4835742</v>
      </c>
      <c r="I129" s="276">
        <v>4422925</v>
      </c>
      <c r="J129" s="276">
        <v>4464663</v>
      </c>
      <c r="K129" s="276">
        <v>4699239</v>
      </c>
      <c r="L129" s="276">
        <v>4654139</v>
      </c>
      <c r="M129" s="276">
        <v>4585320</v>
      </c>
      <c r="N129" s="276">
        <v>4703805</v>
      </c>
      <c r="O129" s="276">
        <v>4696202</v>
      </c>
      <c r="P129" s="276">
        <v>4427865</v>
      </c>
      <c r="Q129" s="276">
        <v>4615866</v>
      </c>
      <c r="R129" s="276">
        <v>4663601</v>
      </c>
      <c r="S129" s="276">
        <v>4784240</v>
      </c>
      <c r="T129" s="276">
        <v>4581197</v>
      </c>
      <c r="U129" s="276">
        <v>4708377</v>
      </c>
      <c r="V129" s="276">
        <v>4851738</v>
      </c>
      <c r="W129" s="276">
        <v>5044754</v>
      </c>
      <c r="X129" s="276">
        <v>4698982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2.27</v>
      </c>
      <c r="C132" s="68">
        <v>2.35</v>
      </c>
      <c r="D132" s="68">
        <v>2.72</v>
      </c>
      <c r="E132" s="68">
        <v>1.89</v>
      </c>
      <c r="F132" s="68">
        <v>3.1</v>
      </c>
    </row>
    <row r="133" spans="1:24" ht="14.25" thickBot="1" x14ac:dyDescent="0.3">
      <c r="A133" s="225" t="s">
        <v>37</v>
      </c>
      <c r="B133" s="274">
        <v>-0.27</v>
      </c>
      <c r="C133" s="274">
        <v>-0.31</v>
      </c>
      <c r="D133" s="274">
        <v>-0.45</v>
      </c>
      <c r="E133" s="274">
        <v>-0.23</v>
      </c>
      <c r="F133" s="274">
        <v>-1.51</v>
      </c>
    </row>
    <row r="134" spans="1:24" ht="14.25" thickBot="1" x14ac:dyDescent="0.3">
      <c r="A134" s="224" t="s">
        <v>38</v>
      </c>
      <c r="B134" s="68">
        <v>0.15</v>
      </c>
      <c r="C134" s="68">
        <v>-4.26</v>
      </c>
      <c r="D134" s="68">
        <v>-0.72</v>
      </c>
      <c r="E134" s="68">
        <v>-2.59</v>
      </c>
      <c r="F134" s="68">
        <v>-2</v>
      </c>
    </row>
    <row r="135" spans="1:24" ht="14.25" thickBot="1" x14ac:dyDescent="0.3">
      <c r="A135" s="225" t="s">
        <v>270</v>
      </c>
      <c r="B135" s="274">
        <v>2</v>
      </c>
      <c r="C135" s="274">
        <v>2.0299999999999998</v>
      </c>
      <c r="D135" s="274">
        <v>2.27</v>
      </c>
      <c r="E135" s="274">
        <v>1.67</v>
      </c>
      <c r="F135" s="274">
        <v>1.59</v>
      </c>
    </row>
    <row r="136" spans="1:24" ht="14.25" thickBot="1" x14ac:dyDescent="0.3">
      <c r="A136" s="229" t="s">
        <v>39</v>
      </c>
      <c r="B136" s="72">
        <v>2.15</v>
      </c>
      <c r="C136" s="72">
        <v>-2.23</v>
      </c>
      <c r="D136" s="72">
        <v>1.55</v>
      </c>
      <c r="E136" s="72">
        <v>-0.92</v>
      </c>
      <c r="F136" s="72">
        <v>-0.4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1.2</v>
      </c>
      <c r="C140" s="68">
        <v>1.2</v>
      </c>
      <c r="D140" s="68">
        <v>2</v>
      </c>
      <c r="E140" s="68">
        <v>2</v>
      </c>
      <c r="F140" s="68">
        <v>3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1.1320754716981132</v>
      </c>
      <c r="C142" s="234">
        <f>IF(C140&lt;&gt;"無",IF(ISNA(HLOOKUP(C139,$B$64:$F$69,6,FALSE)),"",C140/HLOOKUP(C139,$B$64:$F$69,6,FALSE)),"")</f>
        <v>0.99173553719008267</v>
      </c>
      <c r="D142" s="234">
        <f>IF(D140&lt;&gt;"無",IF(ISNA(HLOOKUP(D139,$B$64:$F$69,6,FALSE)),"",D140/HLOOKUP(D139,$B$64:$F$69,6,FALSE)),"")</f>
        <v>0.82987551867219922</v>
      </c>
      <c r="E142" s="234">
        <f>IF(E140&lt;&gt;"無",IF(ISNA(HLOOKUP(E139,$B$64:$F$69,6,FALSE)),"",E140/HLOOKUP(E139,$B$64:$F$69,6,FALSE)),"")</f>
        <v>0.91743119266055062</v>
      </c>
      <c r="F142" s="234">
        <f>IF(F140&lt;&gt;"無",IF(ISNA(HLOOKUP(F139,$B$64:$F$69,6,FALSE)),"",F140/HLOOKUP(F139,$B$64:$F$69,6,FALSE)),"")</f>
        <v>1.260504201680672</v>
      </c>
    </row>
    <row r="143" spans="1:24" x14ac:dyDescent="0.25">
      <c r="A143" s="233" t="s">
        <v>216</v>
      </c>
      <c r="B143" s="234">
        <f>IF(OR(B140=0,B140="無"),"",B135/B140)</f>
        <v>1.6666666666666667</v>
      </c>
      <c r="C143" s="234">
        <f>IF(OR(C140=0,C140="無"),"",C135/C140)</f>
        <v>1.6916666666666667</v>
      </c>
      <c r="D143" s="234">
        <f>IF(OR(D140=0,D140="無"),"",D135/D140)</f>
        <v>1.135</v>
      </c>
      <c r="E143" s="234">
        <f>IF(OR(E140=0,E140="無"),"",E135/E140)</f>
        <v>0.83499999999999996</v>
      </c>
      <c r="F143" s="234">
        <f>IF(OR(F140=0,F140="無"),"",F135/F140)</f>
        <v>0.53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38.78</v>
      </c>
      <c r="C146" s="68">
        <v>40.08</v>
      </c>
      <c r="D146" s="68">
        <v>41.22</v>
      </c>
      <c r="E146" s="68">
        <v>40.94</v>
      </c>
      <c r="F146" s="68">
        <v>39.76</v>
      </c>
      <c r="G146" s="68">
        <v>41.17</v>
      </c>
      <c r="H146" s="68">
        <v>40.840000000000003</v>
      </c>
      <c r="I146" s="68">
        <v>38.08</v>
      </c>
      <c r="J146" s="68">
        <v>46.31</v>
      </c>
      <c r="K146" s="68">
        <v>45.83</v>
      </c>
      <c r="L146" s="68">
        <v>45.27</v>
      </c>
      <c r="M146" s="68">
        <v>45.07</v>
      </c>
      <c r="N146" s="68">
        <v>48.09</v>
      </c>
      <c r="O146" s="68">
        <v>48.55</v>
      </c>
      <c r="P146" s="68">
        <v>48.35</v>
      </c>
      <c r="Q146" s="68">
        <v>49.98</v>
      </c>
      <c r="R146" s="68">
        <v>51.63</v>
      </c>
      <c r="S146" s="68">
        <v>49.87</v>
      </c>
      <c r="T146" s="68">
        <v>49.07</v>
      </c>
      <c r="U146" s="68">
        <v>49.73</v>
      </c>
      <c r="V146" s="68">
        <v>50.4</v>
      </c>
      <c r="W146" s="68">
        <v>51.71</v>
      </c>
      <c r="X146" s="68">
        <v>50.21</v>
      </c>
    </row>
    <row r="147" spans="1:24" s="93" customFormat="1" ht="14.25" thickBot="1" x14ac:dyDescent="0.3">
      <c r="A147" s="225" t="s">
        <v>19</v>
      </c>
      <c r="B147" s="274">
        <v>5.4</v>
      </c>
      <c r="C147" s="274">
        <v>8.42</v>
      </c>
      <c r="D147" s="274">
        <v>7.86</v>
      </c>
      <c r="E147" s="274">
        <v>2.37</v>
      </c>
      <c r="F147" s="274">
        <v>4.12</v>
      </c>
      <c r="G147" s="274">
        <v>6.03</v>
      </c>
      <c r="H147" s="274">
        <v>9.34</v>
      </c>
      <c r="I147" s="274">
        <v>6.29</v>
      </c>
      <c r="J147" s="274">
        <v>14.16</v>
      </c>
      <c r="K147" s="274">
        <v>17.39</v>
      </c>
      <c r="L147" s="274">
        <v>16.600000000000001</v>
      </c>
      <c r="M147" s="274">
        <v>8.85</v>
      </c>
      <c r="N147" s="274">
        <v>14.4</v>
      </c>
      <c r="O147" s="274">
        <v>10.52</v>
      </c>
      <c r="P147" s="274">
        <v>15.99</v>
      </c>
      <c r="Q147" s="274">
        <v>13.58</v>
      </c>
      <c r="R147" s="274">
        <v>13.21</v>
      </c>
      <c r="S147" s="274">
        <v>13.88</v>
      </c>
      <c r="T147" s="274">
        <v>17.5</v>
      </c>
      <c r="U147" s="274">
        <v>10.98</v>
      </c>
      <c r="V147" s="274">
        <v>16.45</v>
      </c>
      <c r="W147" s="274">
        <v>15.69</v>
      </c>
      <c r="X147" s="274">
        <v>15.91</v>
      </c>
    </row>
    <row r="148" spans="1:24" s="93" customFormat="1" ht="14.25" thickBot="1" x14ac:dyDescent="0.3">
      <c r="A148" s="224" t="s">
        <v>41</v>
      </c>
      <c r="B148" s="68">
        <v>5.94</v>
      </c>
      <c r="C148" s="68">
        <v>9.39</v>
      </c>
      <c r="D148" s="68">
        <v>8.34</v>
      </c>
      <c r="E148" s="68">
        <v>5.34</v>
      </c>
      <c r="F148" s="68">
        <v>5.67</v>
      </c>
      <c r="G148" s="68">
        <v>6.71</v>
      </c>
      <c r="H148" s="68">
        <v>11.25</v>
      </c>
      <c r="I148" s="68">
        <v>7.15</v>
      </c>
      <c r="J148" s="68">
        <v>14.27</v>
      </c>
      <c r="K148" s="68">
        <v>16.28</v>
      </c>
      <c r="L148" s="68">
        <v>16.68</v>
      </c>
      <c r="M148" s="68">
        <v>6.27</v>
      </c>
      <c r="N148" s="68">
        <v>14.78</v>
      </c>
      <c r="O148" s="68">
        <v>7.21</v>
      </c>
      <c r="P148" s="68">
        <v>17.010000000000002</v>
      </c>
      <c r="Q148" s="68">
        <v>14.23</v>
      </c>
      <c r="R148" s="68">
        <v>13.29</v>
      </c>
      <c r="S148" s="68">
        <v>14.13</v>
      </c>
      <c r="T148" s="68">
        <v>16.84</v>
      </c>
      <c r="U148" s="68">
        <v>11.28</v>
      </c>
      <c r="V148" s="68">
        <v>14.83</v>
      </c>
      <c r="W148" s="68">
        <v>15.49</v>
      </c>
      <c r="X148" s="68">
        <v>15.78</v>
      </c>
    </row>
    <row r="149" spans="1:24" s="93" customFormat="1" ht="14.25" thickBot="1" x14ac:dyDescent="0.3">
      <c r="A149" s="225" t="s">
        <v>13</v>
      </c>
      <c r="B149" s="73">
        <v>5.81</v>
      </c>
      <c r="C149" s="73">
        <v>7.02</v>
      </c>
      <c r="D149" s="73">
        <v>6.36</v>
      </c>
      <c r="E149" s="73">
        <v>4.0999999999999996</v>
      </c>
      <c r="F149" s="73">
        <v>3.98</v>
      </c>
      <c r="G149" s="73">
        <v>4.72</v>
      </c>
      <c r="H149" s="73">
        <v>9.5399999999999991</v>
      </c>
      <c r="I149" s="73">
        <v>6.18</v>
      </c>
      <c r="J149" s="73">
        <v>11.64</v>
      </c>
      <c r="K149" s="73">
        <v>12</v>
      </c>
      <c r="L149" s="73">
        <v>13.38</v>
      </c>
      <c r="M149" s="73">
        <v>4.49</v>
      </c>
      <c r="N149" s="73">
        <v>12.19</v>
      </c>
      <c r="O149" s="73">
        <v>5.24</v>
      </c>
      <c r="P149" s="73">
        <v>14.08</v>
      </c>
      <c r="Q149" s="73">
        <v>11.59</v>
      </c>
      <c r="R149" s="73">
        <v>10.210000000000001</v>
      </c>
      <c r="S149" s="73">
        <v>11.36</v>
      </c>
      <c r="T149" s="73">
        <v>15.23</v>
      </c>
      <c r="U149" s="73">
        <v>9.1300000000000008</v>
      </c>
      <c r="V149" s="73">
        <v>11.94</v>
      </c>
      <c r="W149" s="73">
        <v>12.56</v>
      </c>
      <c r="X149" s="73">
        <v>14.5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40.24</v>
      </c>
      <c r="C152" s="68">
        <v>39.97</v>
      </c>
      <c r="D152" s="68">
        <v>45.63</v>
      </c>
      <c r="E152" s="68">
        <v>48.74</v>
      </c>
      <c r="F152" s="68">
        <v>50.02</v>
      </c>
    </row>
    <row r="153" spans="1:24" s="93" customFormat="1" ht="14.25" thickBot="1" x14ac:dyDescent="0.3">
      <c r="A153" s="225" t="s">
        <v>19</v>
      </c>
      <c r="B153" s="274">
        <v>6.18</v>
      </c>
      <c r="C153" s="274">
        <v>6.54</v>
      </c>
      <c r="D153" s="274">
        <v>14.57</v>
      </c>
      <c r="E153" s="274">
        <v>13.74</v>
      </c>
      <c r="F153" s="274">
        <v>14.03</v>
      </c>
    </row>
    <row r="154" spans="1:24" s="93" customFormat="1" ht="14.25" thickBot="1" x14ac:dyDescent="0.3">
      <c r="A154" s="224" t="s">
        <v>41</v>
      </c>
      <c r="B154" s="68">
        <v>7.36</v>
      </c>
      <c r="C154" s="68">
        <v>7.8</v>
      </c>
      <c r="D154" s="68">
        <v>13.77</v>
      </c>
      <c r="E154" s="68">
        <v>13.52</v>
      </c>
      <c r="F154" s="68">
        <v>14</v>
      </c>
    </row>
    <row r="155" spans="1:24" s="93" customFormat="1" ht="14.25" thickBot="1" x14ac:dyDescent="0.3">
      <c r="A155" s="225" t="s">
        <v>13</v>
      </c>
      <c r="B155" s="73">
        <v>5.9</v>
      </c>
      <c r="C155" s="73">
        <v>6.21</v>
      </c>
      <c r="D155" s="73">
        <v>10.7</v>
      </c>
      <c r="E155" s="73">
        <v>10.97</v>
      </c>
      <c r="F155" s="73">
        <v>11.63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1.2</v>
      </c>
      <c r="C158" s="68">
        <v>1.49</v>
      </c>
      <c r="D158" s="68">
        <v>1.3</v>
      </c>
      <c r="E158" s="68">
        <v>0.7</v>
      </c>
      <c r="F158" s="68">
        <v>0.67</v>
      </c>
      <c r="G158" s="68">
        <v>0.86</v>
      </c>
      <c r="H158" s="68">
        <v>1.84</v>
      </c>
      <c r="I158" s="68">
        <v>1.21</v>
      </c>
      <c r="J158" s="68">
        <v>2.2000000000000002</v>
      </c>
      <c r="K158" s="68">
        <v>2.4300000000000002</v>
      </c>
      <c r="L158" s="68">
        <v>2.7</v>
      </c>
      <c r="M158" s="68">
        <v>0.71</v>
      </c>
      <c r="N158" s="68">
        <v>2.08</v>
      </c>
      <c r="O158" s="68">
        <v>0.77</v>
      </c>
      <c r="P158" s="68">
        <v>2.5</v>
      </c>
      <c r="Q158" s="68">
        <v>2.02</v>
      </c>
      <c r="R158" s="68">
        <v>1.61</v>
      </c>
      <c r="S158" s="68">
        <v>1.84</v>
      </c>
      <c r="T158" s="68">
        <v>2.84</v>
      </c>
      <c r="U158" s="68">
        <v>1.49</v>
      </c>
      <c r="V158" s="68">
        <v>1.85</v>
      </c>
      <c r="W158" s="68">
        <v>1.89</v>
      </c>
      <c r="X158" s="68">
        <v>2.6</v>
      </c>
    </row>
    <row r="159" spans="1:24" s="93" customFormat="1" ht="14.25" thickBot="1" x14ac:dyDescent="0.3">
      <c r="A159" s="225" t="s">
        <v>45</v>
      </c>
      <c r="B159" s="73">
        <v>1.42</v>
      </c>
      <c r="C159" s="73">
        <v>1.8</v>
      </c>
      <c r="D159" s="73">
        <v>1.57</v>
      </c>
      <c r="E159" s="73">
        <v>0.84</v>
      </c>
      <c r="F159" s="73">
        <v>0.81</v>
      </c>
      <c r="G159" s="73">
        <v>1.08</v>
      </c>
      <c r="H159" s="73">
        <v>2.52</v>
      </c>
      <c r="I159" s="73">
        <v>1.63</v>
      </c>
      <c r="J159" s="73">
        <v>2.78</v>
      </c>
      <c r="K159" s="73">
        <v>3.14</v>
      </c>
      <c r="L159" s="73">
        <v>3.5</v>
      </c>
      <c r="M159" s="73">
        <v>0.89</v>
      </c>
      <c r="N159" s="73">
        <v>2.57</v>
      </c>
      <c r="O159" s="73">
        <v>0.99</v>
      </c>
      <c r="P159" s="73">
        <v>3.19</v>
      </c>
      <c r="Q159" s="73">
        <v>2.5</v>
      </c>
      <c r="R159" s="73">
        <v>2</v>
      </c>
      <c r="S159" s="73">
        <v>2.36</v>
      </c>
      <c r="T159" s="73">
        <v>3.65</v>
      </c>
      <c r="U159" s="73">
        <v>1.84</v>
      </c>
      <c r="V159" s="73">
        <v>2.27</v>
      </c>
      <c r="W159" s="73">
        <v>2.46</v>
      </c>
      <c r="X159" s="73">
        <v>3.43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5.9</v>
      </c>
      <c r="C162" s="68">
        <v>6.21</v>
      </c>
      <c r="D162" s="68">
        <v>10.7</v>
      </c>
      <c r="E162" s="68">
        <v>10.97</v>
      </c>
      <c r="F162" s="68">
        <v>11.63</v>
      </c>
    </row>
    <row r="163" spans="1:72" s="93" customFormat="1" ht="14.25" thickBot="1" x14ac:dyDescent="0.3">
      <c r="A163" s="225" t="s">
        <v>18</v>
      </c>
      <c r="B163" s="274">
        <v>0.76</v>
      </c>
      <c r="C163" s="274">
        <v>0.81</v>
      </c>
      <c r="D163" s="274">
        <v>0.75</v>
      </c>
      <c r="E163" s="274">
        <v>0.67</v>
      </c>
      <c r="F163" s="274">
        <v>0.66</v>
      </c>
    </row>
    <row r="164" spans="1:72" s="93" customFormat="1" ht="14.25" thickBot="1" x14ac:dyDescent="0.3">
      <c r="A164" s="224" t="s">
        <v>15</v>
      </c>
      <c r="B164" s="68">
        <v>1.2</v>
      </c>
      <c r="C164" s="68">
        <v>1.28</v>
      </c>
      <c r="D164" s="68">
        <v>1.24</v>
      </c>
      <c r="E164" s="68">
        <v>1.25</v>
      </c>
      <c r="F164" s="68">
        <v>1.24</v>
      </c>
    </row>
    <row r="165" spans="1:72" s="93" customFormat="1" ht="14.25" thickBot="1" x14ac:dyDescent="0.3">
      <c r="A165" s="225" t="s">
        <v>45</v>
      </c>
      <c r="B165" s="73">
        <v>5.61</v>
      </c>
      <c r="C165" s="73">
        <v>5.93</v>
      </c>
      <c r="D165" s="73">
        <v>10.26</v>
      </c>
      <c r="E165" s="73">
        <v>9.14</v>
      </c>
      <c r="F165" s="73">
        <v>9.7100000000000009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53.57</v>
      </c>
      <c r="C168" s="68">
        <v>54.88</v>
      </c>
      <c r="D168" s="68">
        <v>57.32</v>
      </c>
      <c r="E168" s="68">
        <v>63.38</v>
      </c>
      <c r="F168" s="68">
        <v>62.94</v>
      </c>
      <c r="G168" s="68">
        <v>63.83</v>
      </c>
      <c r="H168" s="68">
        <v>64.290000000000006</v>
      </c>
      <c r="I168" s="68">
        <v>68.7</v>
      </c>
      <c r="J168" s="68">
        <v>69.23</v>
      </c>
      <c r="K168" s="68">
        <v>61.22</v>
      </c>
      <c r="L168" s="68">
        <v>62.5</v>
      </c>
      <c r="M168" s="68">
        <v>72.58</v>
      </c>
      <c r="N168" s="68">
        <v>60</v>
      </c>
      <c r="O168" s="68">
        <v>65.22</v>
      </c>
      <c r="P168" s="68">
        <v>62.07</v>
      </c>
      <c r="Q168" s="68">
        <v>67.67</v>
      </c>
      <c r="R168" s="68">
        <v>62.07</v>
      </c>
      <c r="S168" s="68">
        <v>56.6</v>
      </c>
      <c r="T168" s="68">
        <v>58.06</v>
      </c>
      <c r="U168" s="68">
        <v>67.67</v>
      </c>
      <c r="V168" s="68">
        <v>58.06</v>
      </c>
      <c r="W168" s="68">
        <v>56.25</v>
      </c>
      <c r="X168" s="68">
        <v>54.88</v>
      </c>
    </row>
    <row r="169" spans="1:72" s="93" customFormat="1" ht="14.25" thickBot="1" x14ac:dyDescent="0.3">
      <c r="A169" s="225" t="s">
        <v>17</v>
      </c>
      <c r="B169" s="274">
        <v>67.67</v>
      </c>
      <c r="C169" s="274">
        <v>70.31</v>
      </c>
      <c r="D169" s="274">
        <v>72.58</v>
      </c>
      <c r="E169" s="274">
        <v>84.91</v>
      </c>
      <c r="F169" s="274">
        <v>89.11</v>
      </c>
      <c r="G169" s="274">
        <v>83.33</v>
      </c>
      <c r="H169" s="274">
        <v>73.77</v>
      </c>
      <c r="I169" s="274">
        <v>67.16</v>
      </c>
      <c r="J169" s="274">
        <v>76.92</v>
      </c>
      <c r="K169" s="274">
        <v>69.23</v>
      </c>
      <c r="L169" s="274">
        <v>69.77</v>
      </c>
      <c r="M169" s="274">
        <v>90</v>
      </c>
      <c r="N169" s="274">
        <v>87.38</v>
      </c>
      <c r="O169" s="274">
        <v>96.77</v>
      </c>
      <c r="P169" s="274">
        <v>75</v>
      </c>
      <c r="Q169" s="274">
        <v>78.95</v>
      </c>
      <c r="R169" s="274">
        <v>96.77</v>
      </c>
      <c r="S169" s="274">
        <v>92.78</v>
      </c>
      <c r="T169" s="274">
        <v>70.31</v>
      </c>
      <c r="U169" s="274">
        <v>73.17</v>
      </c>
      <c r="V169" s="274">
        <v>75</v>
      </c>
      <c r="W169" s="274">
        <v>73.77</v>
      </c>
      <c r="X169" s="274">
        <v>58.44</v>
      </c>
    </row>
    <row r="170" spans="1:72" s="93" customFormat="1" ht="14.25" thickBot="1" x14ac:dyDescent="0.3">
      <c r="A170" s="224" t="s">
        <v>42</v>
      </c>
      <c r="B170" s="72">
        <v>121.24</v>
      </c>
      <c r="C170" s="72">
        <v>125.19</v>
      </c>
      <c r="D170" s="72">
        <v>129.91</v>
      </c>
      <c r="E170" s="72">
        <v>148.29</v>
      </c>
      <c r="F170" s="72">
        <v>152.05000000000001</v>
      </c>
      <c r="G170" s="72">
        <v>147.16</v>
      </c>
      <c r="H170" s="72">
        <v>138.06</v>
      </c>
      <c r="I170" s="72">
        <v>135.87</v>
      </c>
      <c r="J170" s="72">
        <v>146.15</v>
      </c>
      <c r="K170" s="72">
        <v>130.46</v>
      </c>
      <c r="L170" s="72">
        <v>132.27000000000001</v>
      </c>
      <c r="M170" s="72">
        <v>162.58000000000001</v>
      </c>
      <c r="N170" s="72">
        <v>147.38</v>
      </c>
      <c r="O170" s="72">
        <v>161.99</v>
      </c>
      <c r="P170" s="72">
        <v>137.07</v>
      </c>
      <c r="Q170" s="72">
        <v>146.62</v>
      </c>
      <c r="R170" s="72">
        <v>158.84</v>
      </c>
      <c r="S170" s="72">
        <v>149.38999999999999</v>
      </c>
      <c r="T170" s="72">
        <v>128.38</v>
      </c>
      <c r="U170" s="72">
        <v>140.84</v>
      </c>
      <c r="V170" s="72">
        <v>133.06</v>
      </c>
      <c r="W170" s="72">
        <v>130.02000000000001</v>
      </c>
      <c r="X170" s="72">
        <v>113.32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218.13</v>
      </c>
      <c r="C173" s="72">
        <v>191.59</v>
      </c>
      <c r="D173" s="72">
        <v>115.48</v>
      </c>
      <c r="E173" s="72">
        <v>86.56</v>
      </c>
      <c r="F173" s="72">
        <v>130.55000000000001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26.77</v>
      </c>
      <c r="C176" s="72">
        <v>34.79</v>
      </c>
      <c r="D176" s="72">
        <v>34.25</v>
      </c>
      <c r="E176" s="72" t="s">
        <v>43</v>
      </c>
      <c r="F176" s="72" t="s">
        <v>43</v>
      </c>
      <c r="G176" s="72" t="s">
        <v>43</v>
      </c>
      <c r="H176" s="72" t="s">
        <v>43</v>
      </c>
      <c r="I176" s="72" t="s">
        <v>43</v>
      </c>
      <c r="J176" s="72" t="s">
        <v>43</v>
      </c>
      <c r="K176" s="72" t="s">
        <v>43</v>
      </c>
      <c r="L176" s="72" t="s">
        <v>43</v>
      </c>
      <c r="M176" s="72" t="s">
        <v>43</v>
      </c>
      <c r="N176" s="72" t="s">
        <v>43</v>
      </c>
      <c r="O176" s="72" t="s">
        <v>43</v>
      </c>
      <c r="P176" s="72" t="s">
        <v>43</v>
      </c>
      <c r="Q176" s="72">
        <v>24.36</v>
      </c>
      <c r="R176" s="72">
        <v>27.62</v>
      </c>
      <c r="S176" s="72">
        <v>25.69</v>
      </c>
      <c r="T176" s="72">
        <v>24.67</v>
      </c>
      <c r="U176" s="72">
        <v>26.55</v>
      </c>
      <c r="V176" s="72">
        <v>26.03</v>
      </c>
      <c r="W176" s="72">
        <v>29.06</v>
      </c>
      <c r="X176" s="72">
        <v>21.56</v>
      </c>
      <c r="Y176" s="72">
        <v>21.74</v>
      </c>
      <c r="Z176" s="72">
        <v>23.27</v>
      </c>
      <c r="AA176" s="72">
        <v>23.41</v>
      </c>
      <c r="AB176" s="72">
        <v>25.88</v>
      </c>
      <c r="AC176" s="72">
        <v>28.52</v>
      </c>
      <c r="AD176" s="72">
        <v>19.03</v>
      </c>
      <c r="AE176" s="72">
        <v>21.2</v>
      </c>
      <c r="AF176" s="72">
        <v>19.89</v>
      </c>
      <c r="AG176" s="72">
        <v>15.97</v>
      </c>
      <c r="AH176" s="72">
        <v>15.63</v>
      </c>
      <c r="AI176" s="72">
        <v>13.68</v>
      </c>
      <c r="AJ176" s="72">
        <v>12.83</v>
      </c>
      <c r="AK176" s="72">
        <v>14.55</v>
      </c>
      <c r="AL176" s="72">
        <v>15.12</v>
      </c>
      <c r="AM176" s="72">
        <v>14.79</v>
      </c>
      <c r="AN176" s="72">
        <v>17.05</v>
      </c>
      <c r="AO176" s="72">
        <v>16.309999999999999</v>
      </c>
      <c r="AP176" s="72">
        <v>15.21</v>
      </c>
      <c r="AQ176" s="72">
        <v>14.14</v>
      </c>
      <c r="AR176" s="72">
        <v>12.21</v>
      </c>
      <c r="AS176" s="72">
        <v>12.88</v>
      </c>
      <c r="AT176" s="72">
        <v>13.5</v>
      </c>
      <c r="AU176" s="72">
        <v>15.1</v>
      </c>
      <c r="AV176" s="72">
        <v>15.82</v>
      </c>
      <c r="AW176" s="72">
        <v>16.149999999999999</v>
      </c>
      <c r="AX176" s="72">
        <v>14.51</v>
      </c>
      <c r="AY176" s="72">
        <v>15.69</v>
      </c>
      <c r="AZ176" s="72">
        <v>13.55</v>
      </c>
      <c r="BA176" s="72">
        <v>12.97</v>
      </c>
      <c r="BB176" s="72">
        <v>13.1</v>
      </c>
      <c r="BC176" s="72">
        <v>13.62</v>
      </c>
      <c r="BD176" s="72">
        <v>14.05</v>
      </c>
      <c r="BE176" s="72">
        <v>12.6</v>
      </c>
      <c r="BF176" s="72">
        <v>12.41</v>
      </c>
      <c r="BG176" s="72">
        <v>12.37</v>
      </c>
      <c r="BH176" s="72">
        <v>11.31</v>
      </c>
      <c r="BI176" s="72">
        <v>11.91</v>
      </c>
      <c r="BJ176" s="72">
        <v>11.77</v>
      </c>
      <c r="BK176" s="72">
        <v>12.21</v>
      </c>
      <c r="BL176" s="72">
        <v>14.91</v>
      </c>
      <c r="BM176" s="72">
        <v>14.68</v>
      </c>
      <c r="BN176" s="72">
        <v>15.61</v>
      </c>
      <c r="BO176" s="72">
        <v>15.77</v>
      </c>
      <c r="BP176" s="72">
        <v>14.54</v>
      </c>
      <c r="BQ176" s="72">
        <v>13.49</v>
      </c>
      <c r="BR176" s="72">
        <v>13.89</v>
      </c>
      <c r="BS176" s="72">
        <v>14.65</v>
      </c>
      <c r="BT176" s="72">
        <v>14.43</v>
      </c>
    </row>
  </sheetData>
  <phoneticPr fontId="3" type="noConversion"/>
  <conditionalFormatting sqref="E4">
    <cfRule type="cellIs" dxfId="4949" priority="103" operator="greaterThan">
      <formula>0.2</formula>
    </cfRule>
    <cfRule type="cellIs" dxfId="494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494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946" priority="97" operator="greaterThan">
      <formula>$B$19</formula>
    </cfRule>
  </conditionalFormatting>
  <conditionalFormatting sqref="D33:D34">
    <cfRule type="cellIs" dxfId="494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4944" priority="91" operator="lessThan">
      <formula>$H$62</formula>
    </cfRule>
    <cfRule type="cellIs" dxfId="4943" priority="92" operator="greaterThan">
      <formula>$H$62</formula>
    </cfRule>
  </conditionalFormatting>
  <conditionalFormatting sqref="J62">
    <cfRule type="cellIs" dxfId="4942" priority="89" operator="lessThan">
      <formula>$K$62</formula>
    </cfRule>
    <cfRule type="cellIs" dxfId="4941" priority="90" operator="greaterThan">
      <formula>$K$62</formula>
    </cfRule>
  </conditionalFormatting>
  <conditionalFormatting sqref="M62">
    <cfRule type="cellIs" dxfId="4940" priority="87" operator="lessThan">
      <formula>$N$62</formula>
    </cfRule>
    <cfRule type="cellIs" dxfId="4939" priority="88" operator="greaterThan">
      <formula>$N$62</formula>
    </cfRule>
  </conditionalFormatting>
  <conditionalFormatting sqref="B44:E44">
    <cfRule type="cellIs" dxfId="4938" priority="85" operator="greaterThan">
      <formula>0</formula>
    </cfRule>
    <cfRule type="cellIs" dxfId="4937" priority="86" operator="lessThan">
      <formula>0</formula>
    </cfRule>
  </conditionalFormatting>
  <conditionalFormatting sqref="F72">
    <cfRule type="cellIs" dxfId="4936" priority="84" operator="lessThan">
      <formula>$E$72*90%</formula>
    </cfRule>
  </conditionalFormatting>
  <conditionalFormatting sqref="F73">
    <cfRule type="cellIs" dxfId="4935" priority="83" operator="lessThan">
      <formula>$E$73*90%</formula>
    </cfRule>
  </conditionalFormatting>
  <conditionalFormatting sqref="F74">
    <cfRule type="cellIs" dxfId="4934" priority="82" operator="lessThan">
      <formula>$E$74*90%</formula>
    </cfRule>
  </conditionalFormatting>
  <conditionalFormatting sqref="F75">
    <cfRule type="cellIs" dxfId="4933" priority="81" operator="lessThan">
      <formula>$E$75*90%</formula>
    </cfRule>
  </conditionalFormatting>
  <conditionalFormatting sqref="H44:K44">
    <cfRule type="cellIs" dxfId="4932" priority="79" operator="greaterThan">
      <formula>0</formula>
    </cfRule>
    <cfRule type="cellIs" dxfId="4931" priority="80" operator="lessThan">
      <formula>0</formula>
    </cfRule>
  </conditionalFormatting>
  <conditionalFormatting sqref="H51:K51">
    <cfRule type="cellIs" dxfId="4930" priority="77" operator="greaterThan">
      <formula>0</formula>
    </cfRule>
    <cfRule type="cellIs" dxfId="4929" priority="78" operator="lessThan">
      <formula>0</formula>
    </cfRule>
  </conditionalFormatting>
  <conditionalFormatting sqref="B51:E51">
    <cfRule type="cellIs" dxfId="4928" priority="75" operator="greaterThan">
      <formula>0</formula>
    </cfRule>
    <cfRule type="cellIs" dxfId="492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92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92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924" priority="58" operator="lessThan">
      <formula>0</formula>
    </cfRule>
  </conditionalFormatting>
  <conditionalFormatting sqref="A25 E25 C25">
    <cfRule type="cellIs" dxfId="4923" priority="59" operator="lessThan">
      <formula>0</formula>
    </cfRule>
  </conditionalFormatting>
  <conditionalFormatting sqref="F25">
    <cfRule type="cellIs" dxfId="4922" priority="57" operator="lessThan">
      <formula>0</formula>
    </cfRule>
  </conditionalFormatting>
  <conditionalFormatting sqref="E1">
    <cfRule type="containsText" dxfId="4921" priority="56" operator="containsText" text="本季業外損益/平均=-">
      <formula>NOT(ISERROR(SEARCH("本季業外損益/平均=-",E1)))</formula>
    </cfRule>
  </conditionalFormatting>
  <conditionalFormatting sqref="M65">
    <cfRule type="cellIs" dxfId="4920" priority="55" operator="lessThan">
      <formula>$L$65*90%</formula>
    </cfRule>
  </conditionalFormatting>
  <conditionalFormatting sqref="M66">
    <cfRule type="cellIs" dxfId="4919" priority="54" operator="lessThan">
      <formula>$L$66*90%</formula>
    </cfRule>
  </conditionalFormatting>
  <conditionalFormatting sqref="M67">
    <cfRule type="cellIs" dxfId="4918" priority="53" operator="lessThan">
      <formula>$L$67*90%</formula>
    </cfRule>
  </conditionalFormatting>
  <conditionalFormatting sqref="M68">
    <cfRule type="cellIs" dxfId="4917" priority="52" operator="lessThan">
      <formula>$L$68*90%</formula>
    </cfRule>
  </conditionalFormatting>
  <conditionalFormatting sqref="B60">
    <cfRule type="cellIs" dxfId="4916" priority="51" operator="lessThan">
      <formula>0</formula>
    </cfRule>
  </conditionalFormatting>
  <conditionalFormatting sqref="B59:F59">
    <cfRule type="cellIs" dxfId="4915" priority="50" operator="lessThanOrEqual">
      <formula>0</formula>
    </cfRule>
  </conditionalFormatting>
  <conditionalFormatting sqref="D62">
    <cfRule type="cellIs" dxfId="4914" priority="48" operator="lessThan">
      <formula>$E$62</formula>
    </cfRule>
    <cfRule type="cellIs" dxfId="4913" priority="49" operator="greaterThan">
      <formula>$E$62</formula>
    </cfRule>
  </conditionalFormatting>
  <conditionalFormatting sqref="F69">
    <cfRule type="cellIs" dxfId="4912" priority="46" operator="lessThan">
      <formula>0</formula>
    </cfRule>
  </conditionalFormatting>
  <conditionalFormatting sqref="B65:E67 B69:E69 B68:D68">
    <cfRule type="cellIs" dxfId="4911" priority="47" operator="lessThan">
      <formula>0</formula>
    </cfRule>
  </conditionalFormatting>
  <conditionalFormatting sqref="E68">
    <cfRule type="cellIs" dxfId="4910" priority="45" operator="lessThan">
      <formula>0</formula>
    </cfRule>
  </conditionalFormatting>
  <conditionalFormatting sqref="F65:F68">
    <cfRule type="cellIs" dxfId="4909" priority="44" operator="lessThan">
      <formula>0</formula>
    </cfRule>
  </conditionalFormatting>
  <conditionalFormatting sqref="F65:F68">
    <cfRule type="cellIs" dxfId="4908" priority="43" operator="lessThan">
      <formula>$E$65*0.9</formula>
    </cfRule>
  </conditionalFormatting>
  <conditionalFormatting sqref="F66">
    <cfRule type="cellIs" dxfId="4907" priority="42" operator="lessThan">
      <formula>$E$66*0.9</formula>
    </cfRule>
  </conditionalFormatting>
  <conditionalFormatting sqref="F67:F68">
    <cfRule type="cellIs" dxfId="4906" priority="41" operator="lessThan">
      <formula>$E$67*0.9</formula>
    </cfRule>
  </conditionalFormatting>
  <conditionalFormatting sqref="F68">
    <cfRule type="cellIs" dxfId="4905" priority="40" operator="lessThan">
      <formula>$E$68*0.9</formula>
    </cfRule>
  </conditionalFormatting>
  <conditionalFormatting sqref="B13:F13">
    <cfRule type="cellIs" dxfId="4904" priority="29" operator="greaterThan">
      <formula>$I$16</formula>
    </cfRule>
    <cfRule type="cellIs" dxfId="4903" priority="30" operator="lessThanOrEqual">
      <formula>$I$16</formula>
    </cfRule>
  </conditionalFormatting>
  <conditionalFormatting sqref="B10:F10">
    <cfRule type="cellIs" dxfId="4902" priority="31" operator="greaterThan">
      <formula>15</formula>
    </cfRule>
    <cfRule type="cellIs" dxfId="4901" priority="38" operator="lessThan">
      <formula>$I$9</formula>
    </cfRule>
    <cfRule type="cellIs" dxfId="4900" priority="39" operator="greaterThan">
      <formula>$I$9</formula>
    </cfRule>
  </conditionalFormatting>
  <conditionalFormatting sqref="B16:F16">
    <cfRule type="cellIs" dxfId="4899" priority="36" operator="greaterThan">
      <formula>$I$16</formula>
    </cfRule>
    <cfRule type="cellIs" dxfId="4898" priority="37" operator="lessThanOrEqual">
      <formula>$I$16</formula>
    </cfRule>
  </conditionalFormatting>
  <conditionalFormatting sqref="B15:F15">
    <cfRule type="cellIs" dxfId="4897" priority="34" operator="lessThanOrEqual">
      <formula>$I$16</formula>
    </cfRule>
    <cfRule type="cellIs" dxfId="4896" priority="35" operator="greaterThan">
      <formula>$I$16</formula>
    </cfRule>
  </conditionalFormatting>
  <conditionalFormatting sqref="B14:F14">
    <cfRule type="cellIs" dxfId="4895" priority="32" operator="greaterThan">
      <formula>$I$16</formula>
    </cfRule>
    <cfRule type="cellIs" dxfId="4894" priority="33" operator="lessThanOrEqual">
      <formula>$I$16</formula>
    </cfRule>
  </conditionalFormatting>
  <conditionalFormatting sqref="K6">
    <cfRule type="containsText" dxfId="4893" priority="27" operator="containsText" text="衰退">
      <formula>NOT(ISERROR(SEARCH("衰退",K6)))</formula>
    </cfRule>
    <cfRule type="containsText" dxfId="4892" priority="28" operator="containsText" text="成長">
      <formula>NOT(ISERROR(SEARCH("成長",K6)))</formula>
    </cfRule>
  </conditionalFormatting>
  <conditionalFormatting sqref="I4:K4">
    <cfRule type="cellIs" dxfId="4891" priority="25" operator="lessThan">
      <formula>0</formula>
    </cfRule>
    <cfRule type="cellIs" dxfId="489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889" priority="22" operator="lessThanOrEqual">
      <formula>$I$16</formula>
    </cfRule>
    <cfRule type="cellIs" dxfId="4888" priority="23" operator="greaterThan">
      <formula>$I$16</formula>
    </cfRule>
  </conditionalFormatting>
  <conditionalFormatting sqref="I6">
    <cfRule type="containsText" dxfId="4887" priority="20" operator="containsText" text="衰退">
      <formula>NOT(ISERROR(SEARCH("衰退",I6)))</formula>
    </cfRule>
    <cfRule type="containsText" dxfId="4886" priority="21" operator="containsText" text="成長">
      <formula>NOT(ISERROR(SEARCH("成長",I6)))</formula>
    </cfRule>
  </conditionalFormatting>
  <conditionalFormatting sqref="M9">
    <cfRule type="cellIs" dxfId="4885" priority="19" operator="lessThan">
      <formula>$I$9</formula>
    </cfRule>
  </conditionalFormatting>
  <conditionalFormatting sqref="M10">
    <cfRule type="cellIs" dxfId="4884" priority="18" operator="greaterThan">
      <formula>$I$9</formula>
    </cfRule>
  </conditionalFormatting>
  <conditionalFormatting sqref="M11">
    <cfRule type="cellIs" dxfId="488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882" priority="14" operator="lessThan">
      <formula>0</formula>
    </cfRule>
    <cfRule type="cellIs" dxfId="4881" priority="15" operator="greaterThan">
      <formula>0.5</formula>
    </cfRule>
  </conditionalFormatting>
  <conditionalFormatting sqref="N14">
    <cfRule type="cellIs" dxfId="488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879" priority="10" operator="lessThan">
      <formula>0.1</formula>
    </cfRule>
  </conditionalFormatting>
  <conditionalFormatting sqref="I14">
    <cfRule type="cellIs" dxfId="487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87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876" priority="1" operator="lessThan">
      <formula>$N$5*0.9</formula>
    </cfRule>
    <cfRule type="cellIs" dxfId="4875" priority="2" operator="greaterThan">
      <formula>$N$5*1.1</formula>
    </cfRule>
  </conditionalFormatting>
  <hyperlinks>
    <hyperlink ref="L1" location="儀表板!A1" display="(回首頁)" xr:uid="{00000000-0004-0000-2600-000000000000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2.58 ~ 10.34</v>
      </c>
      <c r="L1" s="83" t="s">
        <v>176</v>
      </c>
      <c r="M1" s="84" t="str">
        <f ca="1">VLOOKUP(_xlfn.NUMBERVALUE(N1),儀表板!A:B,2,FALSE)</f>
        <v>信邦電子</v>
      </c>
      <c r="N1" s="85" t="str">
        <f ca="1">MID(CELL("filename",L1),FIND("]",CELL("filename",L1))+1,255)</f>
        <v>3023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0.27257170121800023</v>
      </c>
    </row>
    <row r="3" spans="1:15" s="93" customFormat="1" x14ac:dyDescent="0.25">
      <c r="A3" s="81" t="s">
        <v>179</v>
      </c>
      <c r="B3" s="94">
        <f>SUM(F19:F22,F24:F27,J19)</f>
        <v>91.231209320031667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63.836138313822957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70.881419210396786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74.337089307955821</v>
      </c>
      <c r="L3" s="100"/>
      <c r="M3" s="79" t="s">
        <v>385</v>
      </c>
      <c r="N3" s="92">
        <f>(F69-E69)/E69</f>
        <v>1.0545060393530606E-2</v>
      </c>
    </row>
    <row r="4" spans="1:15" s="93" customFormat="1" x14ac:dyDescent="0.25">
      <c r="A4" s="81" t="s">
        <v>182</v>
      </c>
      <c r="B4" s="96">
        <f>SUM(G36:G40)*2</f>
        <v>88</v>
      </c>
      <c r="C4" s="101"/>
      <c r="D4" s="102">
        <f>F4*(1+F141/10)</f>
        <v>22.5</v>
      </c>
      <c r="E4" s="82">
        <f>(D4-F4)/F4</f>
        <v>0</v>
      </c>
      <c r="F4" s="103">
        <v>22.5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5.2952561164621006</v>
      </c>
    </row>
    <row r="5" spans="1:15" s="93" customFormat="1" x14ac:dyDescent="0.25">
      <c r="A5" s="81" t="s">
        <v>184</v>
      </c>
      <c r="B5" s="107">
        <f>SUM(F30:F34)*2</f>
        <v>91.059605341246296</v>
      </c>
      <c r="C5" s="87"/>
      <c r="D5" s="87"/>
      <c r="E5" s="87"/>
      <c r="F5" s="86"/>
      <c r="G5" s="88"/>
      <c r="M5" s="79" t="s">
        <v>375</v>
      </c>
      <c r="N5" s="152">
        <f>D62</f>
        <v>5.42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連3年成長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連2季成長</v>
      </c>
      <c r="L6" s="112"/>
      <c r="M6" s="79" t="s">
        <v>190</v>
      </c>
      <c r="N6" s="152">
        <f>A53</f>
        <v>5.5710399408062656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16.600000000000001</v>
      </c>
      <c r="N9" s="129"/>
    </row>
    <row r="10" spans="1:15" s="93" customFormat="1" x14ac:dyDescent="0.25">
      <c r="A10" s="123" t="s">
        <v>194</v>
      </c>
      <c r="B10" s="126">
        <f>PERCENTILE(176:176,B9)</f>
        <v>10.199999999999999</v>
      </c>
      <c r="C10" s="126">
        <f>PERCENTILE(176:176,C9)</f>
        <v>11.914999999999999</v>
      </c>
      <c r="D10" s="126">
        <f>PERCENTILE(176:176,D9)</f>
        <v>13.23</v>
      </c>
      <c r="E10" s="126">
        <f>PERCENTILE(176:176,E9)</f>
        <v>13.875</v>
      </c>
      <c r="F10" s="126">
        <f>PERCENTILE(176:176,F9)</f>
        <v>14.29</v>
      </c>
      <c r="G10" s="95"/>
      <c r="H10" s="135"/>
      <c r="I10" s="135"/>
      <c r="J10" s="135"/>
      <c r="K10" s="135"/>
      <c r="L10" s="136" t="s">
        <v>374</v>
      </c>
      <c r="M10" s="130">
        <f>MIN(176:176)</f>
        <v>8.39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25.8</v>
      </c>
      <c r="L11" s="272" t="s">
        <v>193</v>
      </c>
      <c r="M11" s="128">
        <f>STDEV(176:176)</f>
        <v>2.2339205190229698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42.366946778711494</v>
      </c>
      <c r="C13" s="141">
        <f>$B$34/5.88%</f>
        <v>51.445578231292522</v>
      </c>
      <c r="D13" s="141">
        <f>$B$34/5%</f>
        <v>60.500000000000007</v>
      </c>
      <c r="E13" s="141">
        <f>$B$34/4.35%</f>
        <v>69.540229885057485</v>
      </c>
      <c r="F13" s="141">
        <f>$B$34/3.85%</f>
        <v>78.571428571428584</v>
      </c>
      <c r="G13" s="138" t="str">
        <f>"$"&amp;ROUND(B34,2)&amp;"/"&amp;IF(STDEV(C140:F140)/AVERAGE(C140:F140)&lt;15%,"高",IF(STDEV(C140:F140)/AVERAGE(C140:F140)&lt;30%,"中","低"))</f>
        <v>$3.03/中</v>
      </c>
      <c r="H13" s="142" t="s">
        <v>199</v>
      </c>
      <c r="I13" s="143">
        <f>MAX(0,1-J15)</f>
        <v>0.29389312977099236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42.967500000000001</v>
      </c>
      <c r="C14" s="141">
        <f>$B$33*C10</f>
        <v>50.191937500000002</v>
      </c>
      <c r="D14" s="141">
        <f>$B$33*D10</f>
        <v>55.731375000000007</v>
      </c>
      <c r="E14" s="141">
        <f>$B$33*E10</f>
        <v>58.448437500000004</v>
      </c>
      <c r="F14" s="141">
        <f>$B$33*F10</f>
        <v>60.196625000000004</v>
      </c>
      <c r="G14" s="138" t="str">
        <f>"$"&amp;ROUND(B33,2)&amp;"/"&amp;IF(STDEV(B69:E69)/AVERAGE(B69:E69)&lt;15%,"高",IF(STDEV(B69:E69)/AVERAGE(B69:E69)&lt;30%,"中","低"))</f>
        <v>$4.21/中</v>
      </c>
      <c r="H14" s="142" t="s">
        <v>203</v>
      </c>
      <c r="I14" s="145">
        <f>G62/100*I13</f>
        <v>6.3451526717557258E-2</v>
      </c>
      <c r="J14" s="76" t="s">
        <v>204</v>
      </c>
      <c r="K14" s="146"/>
      <c r="L14" s="147">
        <f>(HLOOKUP($C$1,$105:$106,2,FALSE)-HLOOKUP($C$1,$117:$127,9,FALSE))/(HLOOKUP($C$1,$117:$128,12,FALSE)/K11)</f>
        <v>8.8896933797736413</v>
      </c>
      <c r="M14" s="148">
        <f>E135/E69</f>
        <v>0.79770992366412208</v>
      </c>
      <c r="N14" s="149">
        <f>F173/100</f>
        <v>1.0473999999999999</v>
      </c>
    </row>
    <row r="15" spans="1:15" s="93" customFormat="1" x14ac:dyDescent="0.25">
      <c r="A15" s="140" t="s">
        <v>375</v>
      </c>
      <c r="B15" s="141">
        <f>$D$62*B10</f>
        <v>55.283999999999999</v>
      </c>
      <c r="C15" s="141">
        <f>$D$62*C10</f>
        <v>64.579299999999989</v>
      </c>
      <c r="D15" s="141">
        <f>$D$62*D10</f>
        <v>71.706599999999995</v>
      </c>
      <c r="E15" s="141">
        <f>$D$62*E10</f>
        <v>75.202500000000001</v>
      </c>
      <c r="F15" s="141">
        <f>$D$62*F10</f>
        <v>77.451799999999992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0.70610687022900764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54.011612387913424</v>
      </c>
      <c r="C16" s="141">
        <f>$F$69*C10</f>
        <v>63.092976627645925</v>
      </c>
      <c r="D16" s="141">
        <f>$F$69*D10</f>
        <v>70.056238420793591</v>
      </c>
      <c r="E16" s="141">
        <f>$F$69*E10</f>
        <v>73.471678615911642</v>
      </c>
      <c r="F16" s="141">
        <f>$F$69*F10</f>
        <v>75.669209904243417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760</v>
      </c>
      <c r="J17" s="92">
        <f ca="1">IF(I17&lt;=0,"",IF(I17&lt;=MIN($B$13:$F$16),(I17-MIN($B$13:$F$16))/MIN($B$13:$F$16),IF(I17&gt;=MAX($B$13:$F$16),I17/MAX($B$13:$F$16),PERCENTRANK($B$13:$F$16,I17))))</f>
        <v>9.672727272727272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4.3874999999999993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18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1.4504132231404954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0.26279757868033055</v>
      </c>
      <c r="J20" s="171">
        <f>HLOOKUP($C$1,$117:$127,11,FALSE)/HLOOKUP($C$1,$105:$115,11,FALSE)</f>
        <v>0.4941212669228644</v>
      </c>
      <c r="K20" s="163"/>
    </row>
    <row r="21" spans="1:14" s="93" customFormat="1" x14ac:dyDescent="0.25">
      <c r="A21" s="151" t="s">
        <v>201</v>
      </c>
      <c r="B21" s="161">
        <f>AVERAGE(C173:F173)/100</f>
        <v>1.2023750000000002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1.8232870789144369</v>
      </c>
      <c r="J21" s="78"/>
      <c r="K21" s="164" t="s">
        <v>356</v>
      </c>
      <c r="L21" s="165">
        <f>HLOOKUP($C$1,$105:$115,7,FALSE)/HLOOKUP($C$1,$105:$115,11,FALSE)</f>
        <v>0.7869386046433744</v>
      </c>
      <c r="M21" s="123" t="s">
        <v>268</v>
      </c>
      <c r="N21" s="165">
        <f>HLOOKUP($C$1,$117:$127,8,FALSE)/HLOOKUP($C$1,$117:$127,11,FALSE)</f>
        <v>0.87347856181275507</v>
      </c>
    </row>
    <row r="22" spans="1:14" s="93" customFormat="1" x14ac:dyDescent="0.25">
      <c r="A22" s="140" t="s">
        <v>222</v>
      </c>
      <c r="B22" s="161">
        <f>(-1)*SUM(C133:F133)/SUM(C132:F132)</f>
        <v>9.541000515729757E-2</v>
      </c>
      <c r="C22" s="157"/>
      <c r="D22" s="166"/>
      <c r="E22" s="140"/>
      <c r="F22" s="159">
        <f>IF(B22&lt;=0,10,IF(B22&gt;=100%,0,(1-B22)*10))</f>
        <v>9.0458999484270244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1.3984274415770666</v>
      </c>
      <c r="J22" s="78"/>
      <c r="K22" s="142" t="s">
        <v>357</v>
      </c>
      <c r="L22" s="165">
        <f>HLOOKUP($C$1,$105:$115,4,FALSE)/HLOOKUP($C$1,$105:$115,11,FALSE)</f>
        <v>0.33830984854193352</v>
      </c>
      <c r="M22" s="123" t="s">
        <v>353</v>
      </c>
      <c r="N22" s="165">
        <f>HLOOKUP($C$1,$117:$127,4,FALSE)/HLOOKUP($C$1,$117:$127,11,FALSE)</f>
        <v>0.46815165370861278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1.9767583308300916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0.18337126064350839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1.0318795062085511</v>
      </c>
      <c r="C24" s="169">
        <f>STDEV(C103:F103)</f>
        <v>4.0601326151599254E-2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100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3.1615552708914176E-2</v>
      </c>
      <c r="M24" s="123" t="s">
        <v>355</v>
      </c>
      <c r="N24" s="165">
        <f>HLOOKUP($C$1,$117:$127,9,FALSE)/HLOOKUP($C$1,$117:$127,11,FALSE)</f>
        <v>0.12652143818724493</v>
      </c>
    </row>
    <row r="25" spans="1:14" s="93" customFormat="1" x14ac:dyDescent="0.25">
      <c r="A25" s="151" t="s">
        <v>366</v>
      </c>
      <c r="B25" s="255">
        <f>AVERAGE(94:94)</f>
        <v>37546.65217391304</v>
      </c>
      <c r="C25" s="254">
        <f>STDEV(94:94)/AVERAGE(94:94)</f>
        <v>1.314690628395355</v>
      </c>
      <c r="D25" s="76" t="str">
        <f>IF(C25&lt;=1,"高",IF(C25&lt;=2,"中","低"))</f>
        <v>中</v>
      </c>
      <c r="E25" s="149"/>
      <c r="F25" s="160">
        <f>MAX(0,10-ABS(C25))</f>
        <v>8.6853093716046459</v>
      </c>
      <c r="G25" s="88" t="s">
        <v>213</v>
      </c>
      <c r="H25" s="123" t="s">
        <v>232</v>
      </c>
      <c r="I25" s="170">
        <f>IF(HLOOKUP(C1,167:170,3,FALSE)="無",0,HLOOKUP(C1,167:170,3,FALSE))</f>
        <v>69.77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96.833913043478248</v>
      </c>
      <c r="C26" s="172">
        <f>IF(COUNTIF(168:168,"&gt;0")=0,0,STDEV(168:168))</f>
        <v>5.4173255219043908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8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70.420869565217387</v>
      </c>
      <c r="C27" s="172">
        <f>IF(COUNTIF(169:169,"&gt;0")=0,0,STDEV(169:169))</f>
        <v>6.7313141449925702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0.226325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9.0530000000000008</v>
      </c>
      <c r="G30" s="175"/>
      <c r="H30" s="176"/>
    </row>
    <row r="31" spans="1:14" x14ac:dyDescent="0.25">
      <c r="A31" s="164" t="s">
        <v>240</v>
      </c>
      <c r="B31" s="173">
        <f>AVERAGE(C155:F155)/100</f>
        <v>7.3224999999999998E-2</v>
      </c>
      <c r="C31" s="157" t="s">
        <v>217</v>
      </c>
      <c r="D31" s="174">
        <f>COUNTIF(149:149,"&gt;8")/COUNT(149:149)</f>
        <v>0.34782608695652173</v>
      </c>
      <c r="E31" s="140" t="s">
        <v>241</v>
      </c>
      <c r="F31" s="159">
        <f>MIN(B31/10%*10,10)</f>
        <v>7.3224999999999998</v>
      </c>
      <c r="G31" s="175"/>
    </row>
    <row r="32" spans="1:14" x14ac:dyDescent="0.25">
      <c r="A32" s="155" t="s">
        <v>47</v>
      </c>
      <c r="B32" s="177">
        <f>AVERAGE(C165:F165)</f>
        <v>16.984999999999999</v>
      </c>
      <c r="C32" s="157" t="s">
        <v>217</v>
      </c>
      <c r="D32" s="174">
        <f>COUNTIF(159:159,"&gt;3")/COUNT(159:159)</f>
        <v>0.86956521739130432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4.2125000000000004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3.0250000000000004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9.1543026706231458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11808770.25</v>
      </c>
      <c r="C36" s="178">
        <f>STDEV(C97:F97)</f>
        <v>989647.88774505549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22.6325</v>
      </c>
      <c r="C37" s="180">
        <f>STDEV(C152:F152)</f>
        <v>1.5244753195771974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8.7200000000000006</v>
      </c>
      <c r="C38" s="180">
        <f>STDEV(C153:F153)</f>
        <v>1.6884509666160463</v>
      </c>
      <c r="D38" s="76" t="str">
        <f>IF(C38/B38&lt;15%,"高",IF(C38/B38&lt;30%,"中","低"))</f>
        <v>中</v>
      </c>
      <c r="E38" s="107">
        <f>IF(F153&gt;E153,1,0)+IF(E153&gt;D153,1,0)+IF(D153&gt;C153,1,0)</f>
        <v>3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16.984999999999999</v>
      </c>
      <c r="C39" s="181">
        <f>STDEV(C165:F165)</f>
        <v>2.7583147028575437</v>
      </c>
      <c r="D39" s="76" t="str">
        <f>IF(C39/B39&lt;15%,"高",IF(C39/B39&lt;30%,"中","低"))</f>
        <v>中</v>
      </c>
      <c r="E39" s="107">
        <f>IF(F165&gt;E165,1,0)+IF(E165&gt;D165,1,0)+IF(D165&gt;C165,1,0)</f>
        <v>3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4.2125000000000004</v>
      </c>
      <c r="C40" s="183">
        <f>STDEV(B69:E69)</f>
        <v>0.89257586045481907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0.19083969465648853</v>
      </c>
      <c r="C44" s="186">
        <f>(C46-C49)/C49</f>
        <v>6.3380281690140899E-2</v>
      </c>
      <c r="D44" s="186">
        <f>(D46-D49)/D49</f>
        <v>-0.11347517730496449</v>
      </c>
      <c r="E44" s="186">
        <f>(E46-E49)/E49</f>
        <v>0.29411764705882365</v>
      </c>
      <c r="G44" s="86" t="s">
        <v>175</v>
      </c>
      <c r="H44" s="186">
        <f>(H47-H50)/H50</f>
        <v>8.1081081081080975E-2</v>
      </c>
      <c r="I44" s="186">
        <f>(I47-I50)/I50</f>
        <v>-2.5663716814159288E-2</v>
      </c>
      <c r="J44" s="186">
        <f>(J47-J50)/J50</f>
        <v>-1.6813450760608525E-2</v>
      </c>
      <c r="K44" s="186">
        <f>(K47-K50)/K50</f>
        <v>0.16016713091922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1.56</v>
      </c>
      <c r="C46" s="152">
        <f>HLOOKUP(C45,$81:$82,2,FALSE)</f>
        <v>1.51</v>
      </c>
      <c r="D46" s="152">
        <f>HLOOKUP(D45,$81:$82,2,FALSE)</f>
        <v>1.25</v>
      </c>
      <c r="E46" s="152">
        <f>HLOOKUP(E45,$81:$82,2,FALSE)</f>
        <v>1.1000000000000001</v>
      </c>
      <c r="G46" s="86" t="s">
        <v>164</v>
      </c>
      <c r="H46" s="145">
        <f>HLOOKUP(H45,$145:$147,2,FALSE)/100</f>
        <v>0.24960000000000002</v>
      </c>
      <c r="I46" s="145">
        <f>HLOOKUP(I45,$145:$147,2,FALSE)/100</f>
        <v>0.25559999999999999</v>
      </c>
      <c r="J46" s="145">
        <f>HLOOKUP(J45,$145:$147,2,FALSE)/100</f>
        <v>0.248</v>
      </c>
      <c r="K46" s="145">
        <f>HLOOKUP(K45,$145:$147,2,FALSE)/100</f>
        <v>0.2651</v>
      </c>
    </row>
    <row r="47" spans="1:14" x14ac:dyDescent="0.25">
      <c r="A47" s="188" t="s">
        <v>165</v>
      </c>
      <c r="B47" s="189">
        <f>HLOOKUP(B45,$157:$159,3,FALSE)</f>
        <v>6.17</v>
      </c>
      <c r="C47" s="189">
        <f>HLOOKUP(C45,$157:$159,3,FALSE)</f>
        <v>6.12</v>
      </c>
      <c r="D47" s="189">
        <f>HLOOKUP(D45,$157:$159,3,FALSE)</f>
        <v>4.91</v>
      </c>
      <c r="E47" s="189">
        <f>HLOOKUP(E45,$157:$159,3,FALSE)</f>
        <v>4.3899999999999997</v>
      </c>
      <c r="G47" s="190" t="s">
        <v>166</v>
      </c>
      <c r="H47" s="145">
        <f>HLOOKUP(H45,$145:$147,3,FALSE)/100</f>
        <v>0.124</v>
      </c>
      <c r="I47" s="145">
        <f>HLOOKUP(I45,$145:$147,3,FALSE)/100</f>
        <v>0.1101</v>
      </c>
      <c r="J47" s="145">
        <f>HLOOKUP(J45,$145:$147,3,FALSE)/100</f>
        <v>0.12279999999999999</v>
      </c>
      <c r="K47" s="145">
        <f>HLOOKUP(K45,$145:$147,3,FALSE)/100</f>
        <v>8.3299999999999999E-2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1.31</v>
      </c>
      <c r="C49" s="152">
        <f>HLOOKUP(C48,$81:$82,2,FALSE)</f>
        <v>1.42</v>
      </c>
      <c r="D49" s="152">
        <f>HLOOKUP(D48,$81:$82,2,FALSE)</f>
        <v>1.41</v>
      </c>
      <c r="E49" s="152">
        <f>HLOOKUP(E48,$81:$82,2,FALSE)</f>
        <v>0.85</v>
      </c>
      <c r="G49" s="86" t="s">
        <v>164</v>
      </c>
      <c r="H49" s="145">
        <f>HLOOKUP(H48,$145:$147,2,FALSE)/100</f>
        <v>0.23960000000000001</v>
      </c>
      <c r="I49" s="145">
        <f>HLOOKUP(I48,$145:$147,2,FALSE)/100</f>
        <v>0.24050000000000002</v>
      </c>
      <c r="J49" s="145">
        <f>HLOOKUP(J48,$145:$147,2,FALSE)/100</f>
        <v>0.24979999999999999</v>
      </c>
      <c r="K49" s="145">
        <f>HLOOKUP(K48,$145:$147,2,FALSE)/100</f>
        <v>0.22420000000000001</v>
      </c>
    </row>
    <row r="50" spans="1:15" x14ac:dyDescent="0.25">
      <c r="A50" s="188" t="s">
        <v>165</v>
      </c>
      <c r="B50" s="189">
        <f>HLOOKUP(B48,$157:$159,3,FALSE)</f>
        <v>5.42</v>
      </c>
      <c r="C50" s="189">
        <f>HLOOKUP(C48,$157:$159,3,FALSE)</f>
        <v>5.53</v>
      </c>
      <c r="D50" s="189">
        <f>HLOOKUP(D48,$157:$159,3,FALSE)</f>
        <v>5.33</v>
      </c>
      <c r="E50" s="189">
        <f>HLOOKUP(E48,$157:$159,3,FALSE)</f>
        <v>3.08</v>
      </c>
      <c r="G50" s="190" t="s">
        <v>166</v>
      </c>
      <c r="H50" s="145">
        <f>HLOOKUP(H48,$145:$147,3,FALSE)/100</f>
        <v>0.11470000000000001</v>
      </c>
      <c r="I50" s="145">
        <f>HLOOKUP(I48,$145:$147,3,FALSE)/100</f>
        <v>0.113</v>
      </c>
      <c r="J50" s="145">
        <f>HLOOKUP(J48,$145:$147,3,FALSE)/100</f>
        <v>0.1249</v>
      </c>
      <c r="K50" s="145">
        <f>HLOOKUP(K48,$145:$147,3,FALSE)/100</f>
        <v>7.1800000000000003E-2</v>
      </c>
    </row>
    <row r="51" spans="1:15" x14ac:dyDescent="0.25">
      <c r="A51" s="86" t="s">
        <v>351</v>
      </c>
      <c r="B51" s="186">
        <f>(B47-B50)/B50</f>
        <v>0.13837638376383765</v>
      </c>
      <c r="C51" s="186">
        <f>(C47-C50)/C50</f>
        <v>0.1066907775768535</v>
      </c>
      <c r="D51" s="186">
        <f>(D47-D50)/D50</f>
        <v>-7.8799249530956836E-2</v>
      </c>
      <c r="E51" s="186">
        <f>(E47-E50)/E50</f>
        <v>0.42532467532467516</v>
      </c>
      <c r="G51" s="235" t="s">
        <v>174</v>
      </c>
      <c r="H51" s="186">
        <f>(H46-H49)/H49</f>
        <v>4.173622704507516E-2</v>
      </c>
      <c r="I51" s="186">
        <f>(I46-I49)/I49</f>
        <v>6.2785862785862678E-2</v>
      </c>
      <c r="J51" s="186">
        <f>(J46-J49)/J49</f>
        <v>-7.2057646116893363E-3</v>
      </c>
      <c r="K51" s="186">
        <f>(K46-K49)/K49</f>
        <v>0.18242640499553966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5.5710399408062656</v>
      </c>
      <c r="B53" s="193">
        <f>B46</f>
        <v>1.56</v>
      </c>
      <c r="C53" s="193">
        <f>E46/HLOOKUP(E45,$87:$94,5,FALSE)*HLOOKUP(E45,$87:$94,4,FALSE)*($B$25/HLOOKUP(E45,$87:$94,4,FALSE)+SUM($B$57:$D$57)/SUM($B58:$D$58)*$G$69/100/K46)</f>
        <v>0.97525611646209998</v>
      </c>
      <c r="D53" s="193">
        <f>D46/HLOOKUP(D45,$87:$94,5,FALSE)*HLOOKUP(D45,$87:$94,4,FALSE)*($B$25/HLOOKUP(D45,$87:$94,4,FALSE)+SUM($B$57:$D$57)/SUM($B58:$D$58)*$G$69/100/J46)</f>
        <v>1.6192529653477745</v>
      </c>
      <c r="E53" s="193">
        <f>C46/HLOOKUP(C45,$87:$94,5,FALSE)*HLOOKUP(C45,$87:$94,4,FALSE)*($B$25/HLOOKUP(C45,$87:$94,4,FALSE)+SUM($B$57:$D$57)/SUM($B58:$D$58)*$G$69/100/I46)</f>
        <v>1.416530858996391</v>
      </c>
    </row>
    <row r="54" spans="1:15" x14ac:dyDescent="0.25">
      <c r="A54" s="278">
        <f>SUM(B54:E54)</f>
        <v>5.17</v>
      </c>
      <c r="B54" s="277">
        <f t="shared" ref="B54:D54" si="0">HLOOKUP(B52-10,81:82,2,FALSE)</f>
        <v>1.31</v>
      </c>
      <c r="C54" s="277">
        <f t="shared" si="0"/>
        <v>1.1000000000000001</v>
      </c>
      <c r="D54" s="277">
        <f t="shared" si="0"/>
        <v>1.25</v>
      </c>
      <c r="E54" s="277">
        <f>HLOOKUP(E52-10,81:82,2,FALSE)</f>
        <v>1.51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1113106</v>
      </c>
      <c r="C57" s="196">
        <f>HLOOKUP(C56,78:79,2,FALSE)</f>
        <v>1250674</v>
      </c>
      <c r="D57" s="196">
        <f>HLOOKUP(D56,78:79,2,FALSE)</f>
        <v>1214617</v>
      </c>
      <c r="E57" s="196">
        <f>HLOOKUP(E56,78:79,2,FALSE)</f>
        <v>1208239</v>
      </c>
      <c r="F57" s="196">
        <f>HLOOKUP(F56,78:79,2,FALSE)</f>
        <v>1203510</v>
      </c>
      <c r="G57" s="196">
        <f t="shared" ref="G57:M57" si="2">HLOOKUP(G56,78:79,2,FALSE)</f>
        <v>1112308</v>
      </c>
      <c r="H57" s="196">
        <f t="shared" si="2"/>
        <v>1031539</v>
      </c>
      <c r="I57" s="196">
        <f t="shared" si="2"/>
        <v>1086436</v>
      </c>
      <c r="J57" s="196">
        <f t="shared" si="2"/>
        <v>1044775</v>
      </c>
      <c r="K57" s="196">
        <f t="shared" si="2"/>
        <v>1151241</v>
      </c>
      <c r="L57" s="196">
        <f t="shared" si="2"/>
        <v>1019057</v>
      </c>
      <c r="M57" s="196">
        <f t="shared" si="2"/>
        <v>1054954</v>
      </c>
      <c r="N57" s="197"/>
    </row>
    <row r="58" spans="1:15" x14ac:dyDescent="0.25">
      <c r="A58" s="198" t="s">
        <v>253</v>
      </c>
      <c r="B58" s="196">
        <f>HLOOKUP(B56-100,78:79,2,FALSE)</f>
        <v>1047480</v>
      </c>
      <c r="C58" s="196">
        <f>HLOOKUP(C56-100,78:79,2,FALSE)</f>
        <v>1102747</v>
      </c>
      <c r="D58" s="196">
        <f>HLOOKUP(D56-100,78:79,2,FALSE)</f>
        <v>1088207</v>
      </c>
      <c r="E58" s="196">
        <f>HLOOKUP(E56-100,78:79,2,FALSE)</f>
        <v>1069748</v>
      </c>
      <c r="F58" s="196">
        <f>HLOOKUP(F56-100,78:79,2,FALSE)</f>
        <v>1167868</v>
      </c>
      <c r="G58" s="196">
        <f t="shared" ref="G58:M58" si="3">HLOOKUP(G56-100,78:79,2,FALSE)</f>
        <v>1156504</v>
      </c>
      <c r="H58" s="196">
        <f t="shared" si="3"/>
        <v>1142696</v>
      </c>
      <c r="I58" s="196">
        <f t="shared" si="3"/>
        <v>1118070</v>
      </c>
      <c r="J58" s="196">
        <f t="shared" si="3"/>
        <v>1010416</v>
      </c>
      <c r="K58" s="196">
        <f t="shared" si="3"/>
        <v>1237837</v>
      </c>
      <c r="L58" s="196">
        <f t="shared" si="3"/>
        <v>935084</v>
      </c>
      <c r="M58" s="196">
        <f t="shared" si="3"/>
        <v>963900</v>
      </c>
      <c r="N58" s="197"/>
    </row>
    <row r="59" spans="1:15" x14ac:dyDescent="0.25">
      <c r="A59" s="199" t="s">
        <v>254</v>
      </c>
      <c r="B59" s="165">
        <f>IF(B57&lt;&gt;"",(B57-B58)/B58,"")</f>
        <v>6.2651315538244171E-2</v>
      </c>
      <c r="C59" s="165">
        <f>IF(C57&lt;&gt;"",(C57-C58)/C58,"")</f>
        <v>0.13414409651533851</v>
      </c>
      <c r="D59" s="165">
        <f>IF(D57&lt;&gt;"",(D57-D58)/D58,"")</f>
        <v>0.11616356079312117</v>
      </c>
      <c r="E59" s="165">
        <f>IF(E57&lt;&gt;"",(E57-E58)/E58,"")</f>
        <v>0.12946133107984309</v>
      </c>
      <c r="F59" s="165">
        <f>IF(F57&lt;&gt;"",(F57-F58)/F58,"")</f>
        <v>3.0518860008151606E-2</v>
      </c>
      <c r="G59" s="165">
        <f t="shared" ref="G59:M59" si="4">IF(G57&lt;&gt;"",(G57-G58)/G58,"")</f>
        <v>-3.8215172623700396E-2</v>
      </c>
      <c r="H59" s="165">
        <f t="shared" si="4"/>
        <v>-9.727609092882096E-2</v>
      </c>
      <c r="I59" s="165">
        <f t="shared" si="4"/>
        <v>-2.8293398445535609E-2</v>
      </c>
      <c r="J59" s="165">
        <f t="shared" si="4"/>
        <v>3.4004805941315261E-2</v>
      </c>
      <c r="K59" s="165">
        <f t="shared" si="4"/>
        <v>-6.9957514600064469E-2</v>
      </c>
      <c r="L59" s="165">
        <f t="shared" si="4"/>
        <v>8.9802627357542214E-2</v>
      </c>
      <c r="M59" s="165">
        <f t="shared" si="4"/>
        <v>9.4464156032783478E-2</v>
      </c>
    </row>
    <row r="60" spans="1:15" x14ac:dyDescent="0.25">
      <c r="A60" s="195" t="s">
        <v>255</v>
      </c>
      <c r="B60" s="196">
        <f>SUM(B57:M57)</f>
        <v>13490456</v>
      </c>
    </row>
    <row r="61" spans="1:15" x14ac:dyDescent="0.25">
      <c r="A61" s="198" t="s">
        <v>256</v>
      </c>
      <c r="B61" s="196">
        <f>SUM(B58:M58)</f>
        <v>13040557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1.0344999833979485</v>
      </c>
      <c r="D62" s="152">
        <f>SUM(B46:E46)</f>
        <v>5.42</v>
      </c>
      <c r="E62" s="152">
        <f>SUM(B49:E49)</f>
        <v>4.9899999999999993</v>
      </c>
      <c r="G62" s="126">
        <f>SUM(B47:E47)</f>
        <v>21.59</v>
      </c>
      <c r="H62" s="126">
        <f>SUM(B50:E50)</f>
        <v>19.36</v>
      </c>
      <c r="J62" s="200">
        <f>AVERAGE(H46:K46)</f>
        <v>0.254575</v>
      </c>
      <c r="K62" s="200">
        <f>AVERAGE(H49:K49)</f>
        <v>0.23852499999999999</v>
      </c>
      <c r="M62" s="200">
        <f>AVERAGE(H47:K47)</f>
        <v>0.11005</v>
      </c>
      <c r="N62" s="200">
        <f>AVERAGE(H50:K50)</f>
        <v>0.1061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0.64</v>
      </c>
      <c r="C65" s="205">
        <f t="shared" si="5"/>
        <v>0.97</v>
      </c>
      <c r="D65" s="205">
        <f t="shared" si="5"/>
        <v>1.1499999999999999</v>
      </c>
      <c r="E65" s="205">
        <f t="shared" si="5"/>
        <v>1.41</v>
      </c>
      <c r="F65" s="206">
        <f>IF(ISNA(HLOOKUP(F$64*10+$A65,$81:$82,2,FALSE)),(HLOOKUP(E$64*10+$A65,$87:$94,4,FALSE)*$G65+$B$25)/HLOOKUP(E$64*10+$A65,$87:$94,5,FALSE)*$E65,HLOOKUP(F$64*10+$A65,$81:$82,2,FALSE))</f>
        <v>1.25</v>
      </c>
      <c r="G65" s="101">
        <f>MIN(130%,SUM($B$57:$D$57)/SUM($B$58:$D$58)*$G$69/HLOOKUP(E$64*10+$A65,$145:$146,2,FALSE))</f>
        <v>1.1395621693872542</v>
      </c>
      <c r="H65" s="204">
        <v>1</v>
      </c>
      <c r="I65" s="208">
        <f t="shared" ref="I65:M68" si="6">IF(ISNA(HLOOKUP(I$64*10+$H65,$145:$147,3,FALSE)),"",HLOOKUP(I$64*10+$H65,$145:$147,3,FALSE)/100)</f>
        <v>7.51E-2</v>
      </c>
      <c r="J65" s="208">
        <f t="shared" si="6"/>
        <v>8.0500000000000002E-2</v>
      </c>
      <c r="K65" s="208">
        <f t="shared" si="6"/>
        <v>8.8200000000000001E-2</v>
      </c>
      <c r="L65" s="208">
        <f t="shared" si="6"/>
        <v>0.1249</v>
      </c>
      <c r="M65" s="209">
        <f t="shared" si="6"/>
        <v>0.12279999999999999</v>
      </c>
      <c r="N65" s="256">
        <f t="shared" ref="N65:O68" si="7">HLOOKUP(E$64*10+$A65,$87:$94,8,FALSE)</f>
        <v>4617</v>
      </c>
      <c r="O65" s="256">
        <f t="shared" si="7"/>
        <v>-15971</v>
      </c>
      <c r="P65" s="210"/>
    </row>
    <row r="66" spans="1:71" x14ac:dyDescent="0.25">
      <c r="A66" s="204">
        <v>2</v>
      </c>
      <c r="B66" s="205">
        <f t="shared" si="5"/>
        <v>0.8</v>
      </c>
      <c r="C66" s="205">
        <f t="shared" si="5"/>
        <v>1.06</v>
      </c>
      <c r="D66" s="205">
        <f t="shared" si="5"/>
        <v>1.21</v>
      </c>
      <c r="E66" s="205">
        <f t="shared" si="5"/>
        <v>1.42</v>
      </c>
      <c r="F66" s="206">
        <f>IF(ISNA(HLOOKUP(F$64*10+$A66,$81:$82,2,FALSE)),(HLOOKUP(E$64*10+$A66,$87:$94,4,FALSE)*$G66+$B$25)/HLOOKUP(E$64*10+$A66,$87:$94,5,FALSE)*$E66,HLOOKUP(F$64*10+$A66,$81:$82,2,FALSE))</f>
        <v>1.51</v>
      </c>
      <c r="G66" s="101">
        <f>MIN(130%,SUM($B$57:$D$57)/SUM($B$58:$D$58)*$G$69/HLOOKUP(E$64*10+$A66,$145:$146,2,FALSE))</f>
        <v>1.1836283988063869</v>
      </c>
      <c r="H66" s="204">
        <v>2</v>
      </c>
      <c r="I66" s="208">
        <f t="shared" si="6"/>
        <v>6.9400000000000003E-2</v>
      </c>
      <c r="J66" s="208">
        <f t="shared" si="6"/>
        <v>9.3800000000000008E-2</v>
      </c>
      <c r="K66" s="208">
        <f t="shared" si="6"/>
        <v>9.849999999999999E-2</v>
      </c>
      <c r="L66" s="208">
        <f t="shared" si="6"/>
        <v>0.113</v>
      </c>
      <c r="M66" s="209">
        <f t="shared" si="6"/>
        <v>0.1101</v>
      </c>
      <c r="N66" s="256">
        <f t="shared" si="7"/>
        <v>57252</v>
      </c>
      <c r="O66" s="256">
        <f t="shared" si="7"/>
        <v>108673</v>
      </c>
      <c r="P66" s="210"/>
    </row>
    <row r="67" spans="1:71" x14ac:dyDescent="0.25">
      <c r="A67" s="204">
        <v>3</v>
      </c>
      <c r="B67" s="205">
        <f t="shared" si="5"/>
        <v>1.02</v>
      </c>
      <c r="C67" s="205">
        <f t="shared" si="5"/>
        <v>1.0900000000000001</v>
      </c>
      <c r="D67" s="205">
        <f t="shared" si="5"/>
        <v>1.38</v>
      </c>
      <c r="E67" s="205">
        <f t="shared" si="5"/>
        <v>1.31</v>
      </c>
      <c r="F67" s="206">
        <f>IF(ISNA(HLOOKUP(F$64*10+$A67,$81:$82,2,FALSE)),(HLOOKUP(E$64*10+$A67,$87:$94,4,FALSE)*$G67+$B$25)/HLOOKUP(E$64*10+$A67,$87:$94,5,FALSE)*$E67,HLOOKUP(F$64*10+$A67,$81:$82,2,FALSE))</f>
        <v>1.56</v>
      </c>
      <c r="G67" s="101">
        <f>MIN(130%,SUM($B$57:$D$57)/SUM($B$58:$D$58)*$G$69/HLOOKUP(E$64*10+$A67,$145:$146,2,FALSE))</f>
        <v>1.1880744153294494</v>
      </c>
      <c r="H67" s="204">
        <v>3</v>
      </c>
      <c r="I67" s="208">
        <f t="shared" si="6"/>
        <v>6.9500000000000006E-2</v>
      </c>
      <c r="J67" s="208">
        <f t="shared" si="6"/>
        <v>8.6199999999999999E-2</v>
      </c>
      <c r="K67" s="208">
        <f t="shared" si="6"/>
        <v>9.1600000000000001E-2</v>
      </c>
      <c r="L67" s="208">
        <f t="shared" si="6"/>
        <v>0.11470000000000001</v>
      </c>
      <c r="M67" s="209">
        <f t="shared" si="6"/>
        <v>0.124</v>
      </c>
      <c r="N67" s="256">
        <f t="shared" si="7"/>
        <v>22793</v>
      </c>
      <c r="O67" s="256">
        <f t="shared" si="7"/>
        <v>26465</v>
      </c>
      <c r="P67" s="210"/>
    </row>
    <row r="68" spans="1:71" x14ac:dyDescent="0.25">
      <c r="A68" s="204">
        <v>4</v>
      </c>
      <c r="B68" s="205">
        <f>HLOOKUP(B$64*10+$A68,$81:$82,2,FALSE)</f>
        <v>0.73</v>
      </c>
      <c r="C68" s="205">
        <f>HLOOKUP(C$64*10+$A68,$81:$82,2,FALSE)</f>
        <v>0.71</v>
      </c>
      <c r="D68" s="205">
        <f>HLOOKUP(D$64*10+$A68,$81:$82,2,FALSE)</f>
        <v>0.85</v>
      </c>
      <c r="E68" s="206">
        <f>IF(ISNA(HLOOKUP(E$64*10+$A68,$81:$82,2,FALSE)),D68*(1-$N68)*#REF!*(1+$B$25)/(1+$E$4),HLOOKUP(E$64*10+$A68,$81:$82,2,FALSE))</f>
        <v>1.1000000000000001</v>
      </c>
      <c r="F68" s="206">
        <f>IF(ISNA(HLOOKUP(F$64*10+$A68,$81:$82,2,FALSE)),(HLOOKUP(E$64*10+$A68,$87:$94,4,FALSE)*$G68+$B$25)/HLOOKUP(E$64*10+$A68,$87:$94,5,FALSE)*$E68,HLOOKUP(F$64*10+$A68,$81:$82,2,FALSE))</f>
        <v>0.97525611646210009</v>
      </c>
      <c r="G68" s="101">
        <f>MIN(130%,SUM($B$57:$D$57)/SUM($B$58:$D$58)*$G$69/HLOOKUP(E$64*10+$A68,$145:$146,2,FALSE))</f>
        <v>1.073793398389046</v>
      </c>
      <c r="H68" s="204">
        <v>4</v>
      </c>
      <c r="I68" s="208">
        <f t="shared" si="6"/>
        <v>6.4600000000000005E-2</v>
      </c>
      <c r="J68" s="208">
        <f t="shared" si="6"/>
        <v>6.5299999999999997E-2</v>
      </c>
      <c r="K68" s="208">
        <f t="shared" si="6"/>
        <v>7.1800000000000003E-2</v>
      </c>
      <c r="L68" s="208">
        <f t="shared" si="6"/>
        <v>8.3299999999999999E-2</v>
      </c>
      <c r="M68" s="209" t="str">
        <f t="shared" si="6"/>
        <v/>
      </c>
      <c r="N68" s="256">
        <f t="shared" si="7"/>
        <v>94178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3.19</v>
      </c>
      <c r="C69" s="213">
        <f>SUM(C65:C68)</f>
        <v>3.83</v>
      </c>
      <c r="D69" s="213">
        <f>SUM(D65:D68)</f>
        <v>4.59</v>
      </c>
      <c r="E69" s="213">
        <f>SUM(E65:E68)</f>
        <v>5.24</v>
      </c>
      <c r="F69" s="213">
        <f>SUM(F65:F68)</f>
        <v>5.2952561164621006</v>
      </c>
      <c r="G69" s="257">
        <f>_xlfn.FORECAST.ETS(23,B146:W146,{1,2,3,4,5,6,7,8,9,10,11,12,13,14,15,16,17,18,19,20,21,22})</f>
        <v>25.76184641445511</v>
      </c>
      <c r="H69" s="214" t="s">
        <v>19</v>
      </c>
      <c r="I69" s="215">
        <f>HLOOKUP(I64,151:155,3,FALSE)/100</f>
        <v>6.9400000000000003E-2</v>
      </c>
      <c r="J69" s="215">
        <f>HLOOKUP(J64,151:155,3,FALSE)/100</f>
        <v>8.1600000000000006E-2</v>
      </c>
      <c r="K69" s="215">
        <f>HLOOKUP(K64,151:155,3,FALSE)/100</f>
        <v>8.8100000000000012E-2</v>
      </c>
      <c r="L69" s="215">
        <f>IF(ISNA(HLOOKUP(L64,151:155,3,FALSE)/100),AVERAGE(L65:L68),HLOOKUP(L64,151:155,3,FALSE)/100)</f>
        <v>0.10970000000000001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3.11</v>
      </c>
      <c r="C72" s="205">
        <f t="shared" si="8"/>
        <v>4.1100000000000003</v>
      </c>
      <c r="D72" s="205">
        <f t="shared" si="8"/>
        <v>4.58</v>
      </c>
      <c r="E72" s="205">
        <f t="shared" si="8"/>
        <v>5.33</v>
      </c>
      <c r="F72" s="205">
        <f t="shared" si="8"/>
        <v>4.91</v>
      </c>
    </row>
    <row r="73" spans="1:71" s="135" customFormat="1" x14ac:dyDescent="0.25">
      <c r="A73" s="204">
        <v>2</v>
      </c>
      <c r="B73" s="205">
        <f t="shared" si="8"/>
        <v>3.67</v>
      </c>
      <c r="C73" s="205">
        <f t="shared" si="8"/>
        <v>4.55</v>
      </c>
      <c r="D73" s="205">
        <f t="shared" si="8"/>
        <v>4.8600000000000003</v>
      </c>
      <c r="E73" s="205">
        <f t="shared" si="8"/>
        <v>5.53</v>
      </c>
      <c r="F73" s="205">
        <f t="shared" si="8"/>
        <v>6.12</v>
      </c>
    </row>
    <row r="74" spans="1:71" s="135" customFormat="1" x14ac:dyDescent="0.25">
      <c r="A74" s="204">
        <v>3</v>
      </c>
      <c r="B74" s="205">
        <f t="shared" si="8"/>
        <v>4.7300000000000004</v>
      </c>
      <c r="C74" s="205">
        <f t="shared" si="8"/>
        <v>4.79</v>
      </c>
      <c r="D74" s="205">
        <f t="shared" si="8"/>
        <v>5.64</v>
      </c>
      <c r="E74" s="205">
        <f t="shared" si="8"/>
        <v>5.42</v>
      </c>
      <c r="F74" s="205">
        <f t="shared" si="8"/>
        <v>6.17</v>
      </c>
    </row>
    <row r="75" spans="1:71" s="135" customFormat="1" x14ac:dyDescent="0.25">
      <c r="A75" s="204">
        <v>4</v>
      </c>
      <c r="B75" s="205">
        <f t="shared" si="8"/>
        <v>2.5499999999999998</v>
      </c>
      <c r="C75" s="205">
        <f t="shared" si="8"/>
        <v>2.8</v>
      </c>
      <c r="D75" s="205">
        <f t="shared" si="8"/>
        <v>3.08</v>
      </c>
      <c r="E75" s="205">
        <f t="shared" si="8"/>
        <v>4.3899999999999997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14.059999999999999</v>
      </c>
      <c r="C76" s="213">
        <f>SUM(C72:C75)</f>
        <v>16.25</v>
      </c>
      <c r="D76" s="213">
        <f>SUM(D72:D75)</f>
        <v>18.160000000000004</v>
      </c>
      <c r="E76" s="213">
        <f>AVERAGE(E72:E75)*4</f>
        <v>20.67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710024</v>
      </c>
      <c r="C79" s="270">
        <v>710494</v>
      </c>
      <c r="D79" s="270">
        <v>857285</v>
      </c>
      <c r="E79" s="270">
        <v>865605</v>
      </c>
      <c r="F79" s="270">
        <v>810160</v>
      </c>
      <c r="G79" s="270">
        <v>785943</v>
      </c>
      <c r="H79" s="270">
        <v>873665</v>
      </c>
      <c r="I79" s="270">
        <v>880119</v>
      </c>
      <c r="J79" s="270">
        <v>907480</v>
      </c>
      <c r="K79" s="270">
        <v>910252</v>
      </c>
      <c r="L79" s="270">
        <v>877776</v>
      </c>
      <c r="M79" s="270">
        <v>824000</v>
      </c>
      <c r="N79" s="270">
        <v>817202</v>
      </c>
      <c r="O79" s="270">
        <v>618017</v>
      </c>
      <c r="P79" s="270">
        <v>884096</v>
      </c>
      <c r="Q79" s="270">
        <v>889810</v>
      </c>
      <c r="R79" s="270">
        <v>909831</v>
      </c>
      <c r="S79" s="270">
        <v>900822</v>
      </c>
      <c r="T79" s="270">
        <v>972033</v>
      </c>
      <c r="U79" s="270">
        <v>981045</v>
      </c>
      <c r="V79" s="270">
        <v>942015</v>
      </c>
      <c r="W79" s="270">
        <v>900100</v>
      </c>
      <c r="X79" s="270">
        <v>908235</v>
      </c>
      <c r="Y79" s="270">
        <v>853057</v>
      </c>
      <c r="Z79" s="270">
        <v>900690</v>
      </c>
      <c r="AA79" s="270">
        <v>890092</v>
      </c>
      <c r="AB79" s="270">
        <v>953343</v>
      </c>
      <c r="AC79" s="270">
        <v>991292</v>
      </c>
      <c r="AD79" s="270">
        <v>1010481</v>
      </c>
      <c r="AE79" s="270">
        <v>1016112</v>
      </c>
      <c r="AF79" s="270">
        <v>1018059</v>
      </c>
      <c r="AG79" s="270">
        <v>982600</v>
      </c>
      <c r="AH79" s="270">
        <v>996911</v>
      </c>
      <c r="AI79" s="270">
        <v>972004</v>
      </c>
      <c r="AJ79" s="270">
        <v>972399</v>
      </c>
      <c r="AK79" s="270">
        <v>943307</v>
      </c>
      <c r="AL79" s="270">
        <v>1042379</v>
      </c>
      <c r="AM79" s="270">
        <v>911257</v>
      </c>
      <c r="AN79" s="270">
        <v>1053172</v>
      </c>
      <c r="AO79" s="270">
        <v>1073415</v>
      </c>
      <c r="AP79" s="270">
        <v>1032846</v>
      </c>
      <c r="AQ79" s="270">
        <v>1034087</v>
      </c>
      <c r="AR79" s="270">
        <v>1055491</v>
      </c>
      <c r="AS79" s="270">
        <v>1083968</v>
      </c>
      <c r="AT79" s="270">
        <v>1085092</v>
      </c>
      <c r="AU79" s="270">
        <v>1018132</v>
      </c>
      <c r="AV79" s="270">
        <v>963900</v>
      </c>
      <c r="AW79" s="270">
        <v>935084</v>
      </c>
      <c r="AX79" s="270">
        <v>1237837</v>
      </c>
      <c r="AY79" s="270">
        <v>1010416</v>
      </c>
      <c r="AZ79" s="270">
        <v>1118070</v>
      </c>
      <c r="BA79" s="270">
        <v>1142696</v>
      </c>
      <c r="BB79" s="270">
        <v>1156504</v>
      </c>
      <c r="BC79" s="270">
        <v>1167868</v>
      </c>
      <c r="BD79" s="270">
        <v>1069748</v>
      </c>
      <c r="BE79" s="270">
        <v>1088207</v>
      </c>
      <c r="BF79" s="270">
        <v>1102747</v>
      </c>
      <c r="BG79" s="270">
        <v>1047480</v>
      </c>
      <c r="BH79" s="270">
        <v>1054954</v>
      </c>
      <c r="BI79" s="270">
        <v>1019057</v>
      </c>
      <c r="BJ79" s="270">
        <v>1151241</v>
      </c>
      <c r="BK79" s="270">
        <v>1044775</v>
      </c>
      <c r="BL79" s="270">
        <v>1086436</v>
      </c>
      <c r="BM79" s="270">
        <v>1031539</v>
      </c>
      <c r="BN79" s="270">
        <v>1112308</v>
      </c>
      <c r="BO79" s="270">
        <v>1203510</v>
      </c>
      <c r="BP79" s="270">
        <v>1208239</v>
      </c>
      <c r="BQ79" s="270">
        <v>1214617</v>
      </c>
      <c r="BR79" s="270">
        <v>1250674</v>
      </c>
      <c r="BS79" s="270">
        <v>1113106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0.78</v>
      </c>
      <c r="C82" s="72">
        <v>0.85</v>
      </c>
      <c r="D82" s="72">
        <v>0.98</v>
      </c>
      <c r="E82" s="72">
        <v>0.41</v>
      </c>
      <c r="F82" s="72">
        <v>0.64</v>
      </c>
      <c r="G82" s="72">
        <v>0.8</v>
      </c>
      <c r="H82" s="72">
        <v>1.02</v>
      </c>
      <c r="I82" s="72">
        <v>0.73</v>
      </c>
      <c r="J82" s="72">
        <v>0.97</v>
      </c>
      <c r="K82" s="72">
        <v>1.06</v>
      </c>
      <c r="L82" s="72">
        <v>1.0900000000000001</v>
      </c>
      <c r="M82" s="72">
        <v>0.71</v>
      </c>
      <c r="N82" s="72">
        <v>1.1499999999999999</v>
      </c>
      <c r="O82" s="72">
        <v>1.21</v>
      </c>
      <c r="P82" s="72">
        <v>1.38</v>
      </c>
      <c r="Q82" s="72">
        <v>0.85</v>
      </c>
      <c r="R82" s="72">
        <v>1.41</v>
      </c>
      <c r="S82" s="72">
        <v>1.42</v>
      </c>
      <c r="T82" s="72">
        <v>1.31</v>
      </c>
      <c r="U82" s="72">
        <v>1.1000000000000001</v>
      </c>
      <c r="V82" s="72">
        <v>1.25</v>
      </c>
      <c r="W82" s="72">
        <v>1.51</v>
      </c>
      <c r="X82" s="72">
        <v>1.56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19.02</v>
      </c>
      <c r="C85" s="72">
        <v>17.88</v>
      </c>
      <c r="D85" s="72">
        <v>20.98</v>
      </c>
      <c r="E85" s="72">
        <v>19.91</v>
      </c>
      <c r="F85" s="72">
        <v>20.350000000000001</v>
      </c>
      <c r="G85" s="72">
        <v>19.63</v>
      </c>
      <c r="H85" s="72">
        <v>20.61</v>
      </c>
      <c r="I85" s="72">
        <v>22.02</v>
      </c>
      <c r="J85" s="72">
        <v>23.17</v>
      </c>
      <c r="K85" s="72">
        <v>21.59</v>
      </c>
      <c r="L85" s="72">
        <v>22.9</v>
      </c>
      <c r="M85" s="72">
        <v>24.17</v>
      </c>
      <c r="N85" s="72">
        <v>25.09</v>
      </c>
      <c r="O85" s="72">
        <v>23.88</v>
      </c>
      <c r="P85" s="72">
        <v>25.1</v>
      </c>
      <c r="Q85" s="72">
        <v>25.87</v>
      </c>
      <c r="R85" s="72">
        <v>26.64</v>
      </c>
      <c r="S85" s="72">
        <v>24.51</v>
      </c>
      <c r="T85" s="72">
        <v>24.51</v>
      </c>
      <c r="U85" s="72">
        <v>25.52</v>
      </c>
      <c r="V85" s="72">
        <v>25.68</v>
      </c>
      <c r="W85" s="72">
        <v>23.85</v>
      </c>
      <c r="X85" s="72">
        <v>25.8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2282362</v>
      </c>
      <c r="C88" s="273">
        <v>2483305</v>
      </c>
      <c r="D88" s="273">
        <v>2637918</v>
      </c>
      <c r="E88" s="273">
        <v>2608033</v>
      </c>
      <c r="F88" s="273">
        <v>2322584</v>
      </c>
      <c r="G88" s="273">
        <v>2695954</v>
      </c>
      <c r="H88" s="273">
        <v>2895131</v>
      </c>
      <c r="I88" s="273">
        <v>2641592</v>
      </c>
      <c r="J88" s="273">
        <v>2741173</v>
      </c>
      <c r="K88" s="273">
        <v>3019801</v>
      </c>
      <c r="L88" s="273">
        <v>2989579</v>
      </c>
      <c r="M88" s="273">
        <v>2892166</v>
      </c>
      <c r="N88" s="273">
        <v>3006333</v>
      </c>
      <c r="O88" s="273">
        <v>3135637</v>
      </c>
      <c r="P88" s="273">
        <v>3228990</v>
      </c>
      <c r="Q88" s="273">
        <v>2740298</v>
      </c>
      <c r="R88" s="273">
        <v>3322654</v>
      </c>
      <c r="S88" s="273">
        <v>3425032</v>
      </c>
      <c r="T88" s="273">
        <v>3231544</v>
      </c>
      <c r="U88" s="273">
        <v>2946613</v>
      </c>
      <c r="V88" s="273">
        <v>3213901</v>
      </c>
      <c r="W88" s="273">
        <v>3331157</v>
      </c>
      <c r="X88" s="273">
        <v>3506985</v>
      </c>
    </row>
    <row r="89" spans="1:25" ht="14.25" thickBot="1" x14ac:dyDescent="0.3">
      <c r="A89" s="250" t="s">
        <v>4</v>
      </c>
      <c r="B89" s="275">
        <v>521883</v>
      </c>
      <c r="C89" s="275">
        <v>521955</v>
      </c>
      <c r="D89" s="275">
        <v>540524</v>
      </c>
      <c r="E89" s="275">
        <v>568453</v>
      </c>
      <c r="F89" s="275">
        <v>506349</v>
      </c>
      <c r="G89" s="275">
        <v>561260</v>
      </c>
      <c r="H89" s="275">
        <v>611813</v>
      </c>
      <c r="I89" s="275">
        <v>588671</v>
      </c>
      <c r="J89" s="275">
        <v>596831</v>
      </c>
      <c r="K89" s="275">
        <v>656010</v>
      </c>
      <c r="L89" s="275">
        <v>649541</v>
      </c>
      <c r="M89" s="275">
        <v>628018</v>
      </c>
      <c r="N89" s="275">
        <v>675009</v>
      </c>
      <c r="O89" s="275">
        <v>700684</v>
      </c>
      <c r="P89" s="275">
        <v>732112</v>
      </c>
      <c r="Q89" s="275">
        <v>614352</v>
      </c>
      <c r="R89" s="275">
        <v>829989</v>
      </c>
      <c r="S89" s="275">
        <v>823583</v>
      </c>
      <c r="T89" s="275">
        <v>774244</v>
      </c>
      <c r="U89" s="275">
        <v>781286</v>
      </c>
      <c r="V89" s="275">
        <v>796951</v>
      </c>
      <c r="W89" s="275">
        <v>851409</v>
      </c>
      <c r="X89" s="275">
        <v>875480</v>
      </c>
    </row>
    <row r="90" spans="1:25" ht="14.25" thickBot="1" x14ac:dyDescent="0.3">
      <c r="A90" s="251" t="s">
        <v>5</v>
      </c>
      <c r="B90" s="273">
        <v>216039</v>
      </c>
      <c r="C90" s="273">
        <v>128464</v>
      </c>
      <c r="D90" s="273">
        <v>165236</v>
      </c>
      <c r="E90" s="273">
        <v>178908</v>
      </c>
      <c r="F90" s="273">
        <v>174349</v>
      </c>
      <c r="G90" s="273">
        <v>187013</v>
      </c>
      <c r="H90" s="273">
        <v>201102</v>
      </c>
      <c r="I90" s="273">
        <v>170534</v>
      </c>
      <c r="J90" s="273">
        <v>220717</v>
      </c>
      <c r="K90" s="273">
        <v>283381</v>
      </c>
      <c r="L90" s="273">
        <v>257650</v>
      </c>
      <c r="M90" s="273">
        <v>188842</v>
      </c>
      <c r="N90" s="273">
        <v>265218</v>
      </c>
      <c r="O90" s="273">
        <v>308975</v>
      </c>
      <c r="P90" s="273">
        <v>295925</v>
      </c>
      <c r="Q90" s="273">
        <v>196671</v>
      </c>
      <c r="R90" s="273">
        <v>415055</v>
      </c>
      <c r="S90" s="273">
        <v>387077</v>
      </c>
      <c r="T90" s="273">
        <v>370602</v>
      </c>
      <c r="U90" s="273">
        <v>245470</v>
      </c>
      <c r="V90" s="273">
        <v>394632</v>
      </c>
      <c r="W90" s="273">
        <v>366732</v>
      </c>
      <c r="X90" s="273">
        <v>434806</v>
      </c>
    </row>
    <row r="91" spans="1:25" ht="14.25" thickBot="1" x14ac:dyDescent="0.3">
      <c r="A91" s="250" t="s">
        <v>6</v>
      </c>
      <c r="B91" s="275">
        <v>195858</v>
      </c>
      <c r="C91" s="275">
        <v>210929</v>
      </c>
      <c r="D91" s="275">
        <v>224501</v>
      </c>
      <c r="E91" s="275">
        <v>92727</v>
      </c>
      <c r="F91" s="275">
        <v>182442</v>
      </c>
      <c r="G91" s="275">
        <v>222603</v>
      </c>
      <c r="H91" s="275">
        <v>293147</v>
      </c>
      <c r="I91" s="275">
        <v>168852</v>
      </c>
      <c r="J91" s="275">
        <v>275043</v>
      </c>
      <c r="K91" s="275">
        <v>314745</v>
      </c>
      <c r="L91" s="275">
        <v>290065</v>
      </c>
      <c r="M91" s="275">
        <v>163669</v>
      </c>
      <c r="N91" s="275">
        <v>319775</v>
      </c>
      <c r="O91" s="275">
        <v>351107</v>
      </c>
      <c r="P91" s="275">
        <v>420681</v>
      </c>
      <c r="Q91" s="275">
        <v>278446</v>
      </c>
      <c r="R91" s="275">
        <v>419672</v>
      </c>
      <c r="S91" s="275">
        <v>444329</v>
      </c>
      <c r="T91" s="275">
        <v>393395</v>
      </c>
      <c r="U91" s="275">
        <v>339648</v>
      </c>
      <c r="V91" s="275">
        <v>378661</v>
      </c>
      <c r="W91" s="275">
        <v>475405</v>
      </c>
      <c r="X91" s="275">
        <v>461271</v>
      </c>
    </row>
    <row r="92" spans="1:25" ht="14.25" thickBot="1" x14ac:dyDescent="0.3">
      <c r="A92" s="251" t="s">
        <v>7</v>
      </c>
      <c r="B92" s="273">
        <v>128056</v>
      </c>
      <c r="C92" s="273">
        <v>134697</v>
      </c>
      <c r="D92" s="273">
        <v>148033</v>
      </c>
      <c r="E92" s="273">
        <v>67259</v>
      </c>
      <c r="F92" s="273">
        <v>131885</v>
      </c>
      <c r="G92" s="273">
        <v>157470</v>
      </c>
      <c r="H92" s="273">
        <v>203740</v>
      </c>
      <c r="I92" s="273">
        <v>115331</v>
      </c>
      <c r="J92" s="273">
        <v>196328</v>
      </c>
      <c r="K92" s="273">
        <v>214802</v>
      </c>
      <c r="L92" s="273">
        <v>224911</v>
      </c>
      <c r="M92" s="273">
        <v>138906</v>
      </c>
      <c r="N92" s="273">
        <v>236981</v>
      </c>
      <c r="O92" s="273">
        <v>250081</v>
      </c>
      <c r="P92" s="273">
        <v>295939</v>
      </c>
      <c r="Q92" s="273">
        <v>171102</v>
      </c>
      <c r="R92" s="273">
        <v>305934</v>
      </c>
      <c r="S92" s="273">
        <v>311134</v>
      </c>
      <c r="T92" s="273">
        <v>296338</v>
      </c>
      <c r="U92" s="273">
        <v>248329</v>
      </c>
      <c r="V92" s="273">
        <v>285108</v>
      </c>
      <c r="W92" s="273">
        <v>344467</v>
      </c>
      <c r="X92" s="273">
        <v>353724</v>
      </c>
    </row>
    <row r="93" spans="1:25" ht="26.25" thickBot="1" x14ac:dyDescent="0.3">
      <c r="A93" s="252" t="s">
        <v>8</v>
      </c>
      <c r="B93" s="276">
        <v>139848</v>
      </c>
      <c r="C93" s="276">
        <v>153421</v>
      </c>
      <c r="D93" s="276">
        <v>177966</v>
      </c>
      <c r="E93" s="276">
        <v>76254</v>
      </c>
      <c r="F93" s="276">
        <v>134599</v>
      </c>
      <c r="G93" s="276">
        <v>166158</v>
      </c>
      <c r="H93" s="276">
        <v>211298</v>
      </c>
      <c r="I93" s="276">
        <v>151208</v>
      </c>
      <c r="J93" s="276">
        <v>200788</v>
      </c>
      <c r="K93" s="276">
        <v>219903</v>
      </c>
      <c r="L93" s="276">
        <v>225333</v>
      </c>
      <c r="M93" s="276">
        <v>147728</v>
      </c>
      <c r="N93" s="276">
        <v>238661</v>
      </c>
      <c r="O93" s="276">
        <v>252897</v>
      </c>
      <c r="P93" s="276">
        <v>296346</v>
      </c>
      <c r="Q93" s="276">
        <v>182291</v>
      </c>
      <c r="R93" s="276">
        <v>308126</v>
      </c>
      <c r="S93" s="276">
        <v>308409</v>
      </c>
      <c r="T93" s="276">
        <v>294197</v>
      </c>
      <c r="U93" s="276">
        <v>246654</v>
      </c>
      <c r="V93" s="276">
        <v>281937</v>
      </c>
      <c r="W93" s="276">
        <v>340161</v>
      </c>
      <c r="X93" s="276">
        <v>350914</v>
      </c>
    </row>
    <row r="94" spans="1:25" x14ac:dyDescent="0.25">
      <c r="A94" s="233" t="s">
        <v>365</v>
      </c>
      <c r="B94" s="253">
        <f>IF(B91="","",B91-B90)</f>
        <v>-20181</v>
      </c>
      <c r="C94" s="253">
        <f>IF(C91="","",C91-C90)</f>
        <v>82465</v>
      </c>
      <c r="D94" s="253">
        <f t="shared" ref="D94:Y94" si="9">IF(D91="","",D91-D90)</f>
        <v>59265</v>
      </c>
      <c r="E94" s="253">
        <f t="shared" si="9"/>
        <v>-86181</v>
      </c>
      <c r="F94" s="253">
        <f t="shared" si="9"/>
        <v>8093</v>
      </c>
      <c r="G94" s="253">
        <f t="shared" si="9"/>
        <v>35590</v>
      </c>
      <c r="H94" s="253">
        <f t="shared" si="9"/>
        <v>92045</v>
      </c>
      <c r="I94" s="253">
        <f t="shared" si="9"/>
        <v>-1682</v>
      </c>
      <c r="J94" s="253">
        <f t="shared" si="9"/>
        <v>54326</v>
      </c>
      <c r="K94" s="253">
        <f t="shared" si="9"/>
        <v>31364</v>
      </c>
      <c r="L94" s="253">
        <f t="shared" si="9"/>
        <v>32415</v>
      </c>
      <c r="M94" s="253">
        <f t="shared" si="9"/>
        <v>-25173</v>
      </c>
      <c r="N94" s="253">
        <f t="shared" si="9"/>
        <v>54557</v>
      </c>
      <c r="O94" s="253">
        <f t="shared" si="9"/>
        <v>42132</v>
      </c>
      <c r="P94" s="253">
        <f t="shared" si="9"/>
        <v>124756</v>
      </c>
      <c r="Q94" s="253">
        <f t="shared" si="9"/>
        <v>81775</v>
      </c>
      <c r="R94" s="253">
        <f t="shared" si="9"/>
        <v>4617</v>
      </c>
      <c r="S94" s="253">
        <f t="shared" si="9"/>
        <v>57252</v>
      </c>
      <c r="T94" s="253">
        <f t="shared" si="9"/>
        <v>22793</v>
      </c>
      <c r="U94" s="253">
        <f t="shared" si="9"/>
        <v>94178</v>
      </c>
      <c r="V94" s="253">
        <f t="shared" si="9"/>
        <v>-15971</v>
      </c>
      <c r="W94" s="253">
        <f t="shared" si="9"/>
        <v>108673</v>
      </c>
      <c r="X94" s="253">
        <f t="shared" si="9"/>
        <v>26465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10011618</v>
      </c>
      <c r="C97" s="273">
        <v>10555261</v>
      </c>
      <c r="D97" s="273">
        <v>11642719</v>
      </c>
      <c r="E97" s="273">
        <v>12111258</v>
      </c>
      <c r="F97" s="273">
        <v>12925843</v>
      </c>
    </row>
    <row r="98" spans="1:24" ht="14.25" thickBot="1" x14ac:dyDescent="0.3">
      <c r="A98" s="225" t="s">
        <v>4</v>
      </c>
      <c r="B98" s="275">
        <v>2152815</v>
      </c>
      <c r="C98" s="275">
        <v>2268093</v>
      </c>
      <c r="D98" s="275">
        <v>2530400</v>
      </c>
      <c r="E98" s="275">
        <v>2722157</v>
      </c>
      <c r="F98" s="275">
        <v>3209102</v>
      </c>
    </row>
    <row r="99" spans="1:24" ht="14.25" thickBot="1" x14ac:dyDescent="0.3">
      <c r="A99" s="224" t="s">
        <v>5</v>
      </c>
      <c r="B99" s="273">
        <v>688647</v>
      </c>
      <c r="C99" s="273">
        <v>732998</v>
      </c>
      <c r="D99" s="273">
        <v>950590</v>
      </c>
      <c r="E99" s="273">
        <v>1066789</v>
      </c>
      <c r="F99" s="273">
        <v>1418204</v>
      </c>
    </row>
    <row r="100" spans="1:24" ht="14.25" thickBot="1" x14ac:dyDescent="0.3">
      <c r="A100" s="225" t="s">
        <v>6</v>
      </c>
      <c r="B100" s="275">
        <v>724015</v>
      </c>
      <c r="C100" s="275">
        <v>867044</v>
      </c>
      <c r="D100" s="275">
        <v>1043522</v>
      </c>
      <c r="E100" s="275">
        <v>1370009</v>
      </c>
      <c r="F100" s="275">
        <v>1597044</v>
      </c>
    </row>
    <row r="101" spans="1:24" ht="14.25" thickBot="1" x14ac:dyDescent="0.3">
      <c r="A101" s="224" t="s">
        <v>7</v>
      </c>
      <c r="B101" s="273">
        <v>478045</v>
      </c>
      <c r="C101" s="273">
        <v>608426</v>
      </c>
      <c r="D101" s="273">
        <v>774947</v>
      </c>
      <c r="E101" s="273">
        <v>954103</v>
      </c>
      <c r="F101" s="273">
        <v>1161735</v>
      </c>
    </row>
    <row r="102" spans="1:24" ht="14.25" thickBot="1" x14ac:dyDescent="0.3">
      <c r="A102" s="227" t="s">
        <v>8</v>
      </c>
      <c r="B102" s="276">
        <v>547489</v>
      </c>
      <c r="C102" s="276">
        <v>663263</v>
      </c>
      <c r="D102" s="276">
        <v>793752</v>
      </c>
      <c r="E102" s="276">
        <v>970195</v>
      </c>
      <c r="F102" s="276">
        <v>1157386</v>
      </c>
    </row>
    <row r="103" spans="1:24" x14ac:dyDescent="0.25">
      <c r="A103" s="233" t="s">
        <v>262</v>
      </c>
      <c r="B103" s="234">
        <f>IF(OR(B102="",B102="無"),"",B102/B101)</f>
        <v>1.1452666589965379</v>
      </c>
      <c r="C103" s="234">
        <f>IF(OR(C102="",C102="無"),"",C102/C101)</f>
        <v>1.0901292844158534</v>
      </c>
      <c r="D103" s="234">
        <f>IF(OR(D102="",D102="無"),"",D102/D101)</f>
        <v>1.0242661756223328</v>
      </c>
      <c r="E103" s="234">
        <f>IF(OR(E102="",E102="無"),"",E102/E101)</f>
        <v>1.0168661035548572</v>
      </c>
      <c r="F103" s="234">
        <f>IF(OR(F102="",F102="無"),"",F102/F101)</f>
        <v>0.99625646124116085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1529428</v>
      </c>
      <c r="C106" s="273">
        <v>1349367</v>
      </c>
      <c r="D106" s="273">
        <v>1445802</v>
      </c>
      <c r="E106" s="273">
        <v>1700389</v>
      </c>
      <c r="F106" s="273">
        <v>1889739</v>
      </c>
      <c r="G106" s="273">
        <v>1962132</v>
      </c>
      <c r="H106" s="273">
        <v>1844333</v>
      </c>
      <c r="I106" s="273">
        <v>1879453</v>
      </c>
      <c r="J106" s="273">
        <v>2248436</v>
      </c>
      <c r="K106" s="273">
        <v>2585533</v>
      </c>
      <c r="L106" s="273">
        <v>1979520</v>
      </c>
      <c r="M106" s="273">
        <v>2412474</v>
      </c>
      <c r="N106" s="273">
        <v>2512508</v>
      </c>
      <c r="O106" s="273">
        <v>3034124</v>
      </c>
      <c r="P106" s="273">
        <v>2628565</v>
      </c>
      <c r="Q106" s="273">
        <v>3044273</v>
      </c>
      <c r="R106" s="273">
        <v>2764380</v>
      </c>
      <c r="S106" s="273">
        <v>3335999</v>
      </c>
      <c r="T106" s="273">
        <v>2889961</v>
      </c>
      <c r="U106" s="273">
        <v>3130300</v>
      </c>
      <c r="V106" s="273">
        <v>2977197</v>
      </c>
      <c r="W106" s="273">
        <v>2996768</v>
      </c>
      <c r="X106" s="273">
        <v>2828595</v>
      </c>
    </row>
    <row r="107" spans="1:24" ht="14.25" thickBot="1" x14ac:dyDescent="0.3">
      <c r="A107" s="225" t="s">
        <v>22</v>
      </c>
      <c r="B107" s="275">
        <v>7129</v>
      </c>
      <c r="C107" s="275">
        <v>45612</v>
      </c>
      <c r="D107" s="275">
        <v>36801</v>
      </c>
      <c r="E107" s="275">
        <v>1271</v>
      </c>
      <c r="F107" s="275">
        <v>3613</v>
      </c>
      <c r="G107" s="275">
        <v>33659</v>
      </c>
      <c r="H107" s="275">
        <v>37399</v>
      </c>
      <c r="I107" s="275">
        <v>4000</v>
      </c>
      <c r="J107" s="275">
        <v>1352</v>
      </c>
      <c r="K107" s="275">
        <v>30059</v>
      </c>
      <c r="L107" s="275">
        <v>31357</v>
      </c>
      <c r="M107" s="275">
        <v>45349</v>
      </c>
      <c r="N107" s="275">
        <v>140767</v>
      </c>
      <c r="O107" s="275">
        <v>135920</v>
      </c>
      <c r="P107" s="275">
        <v>172992</v>
      </c>
      <c r="Q107" s="275">
        <v>166703</v>
      </c>
      <c r="R107" s="275">
        <v>41245</v>
      </c>
      <c r="S107" s="275">
        <v>33977</v>
      </c>
      <c r="T107" s="275">
        <v>33236</v>
      </c>
      <c r="U107" s="275">
        <v>11662</v>
      </c>
      <c r="V107" s="275">
        <v>5272</v>
      </c>
      <c r="W107" s="275">
        <v>5758</v>
      </c>
      <c r="X107" s="275">
        <v>4183</v>
      </c>
    </row>
    <row r="108" spans="1:24" ht="14.25" thickBot="1" x14ac:dyDescent="0.3">
      <c r="A108" s="224" t="s">
        <v>263</v>
      </c>
      <c r="B108" s="273">
        <v>2401182</v>
      </c>
      <c r="C108" s="273">
        <v>2626494</v>
      </c>
      <c r="D108" s="273">
        <v>2767508</v>
      </c>
      <c r="E108" s="273">
        <v>2841835</v>
      </c>
      <c r="F108" s="273">
        <v>2626761</v>
      </c>
      <c r="G108" s="273">
        <v>2865731</v>
      </c>
      <c r="H108" s="273">
        <v>3034518</v>
      </c>
      <c r="I108" s="273">
        <v>3006905</v>
      </c>
      <c r="J108" s="273">
        <v>3044622</v>
      </c>
      <c r="K108" s="273">
        <v>3298355</v>
      </c>
      <c r="L108" s="273">
        <v>3362814</v>
      </c>
      <c r="M108" s="273">
        <v>3220212</v>
      </c>
      <c r="N108" s="273">
        <v>3216089</v>
      </c>
      <c r="O108" s="273">
        <v>3264620</v>
      </c>
      <c r="P108" s="273">
        <v>3638606</v>
      </c>
      <c r="Q108" s="273">
        <v>2926038</v>
      </c>
      <c r="R108" s="273">
        <v>3443679</v>
      </c>
      <c r="S108" s="273">
        <v>3601439</v>
      </c>
      <c r="T108" s="273">
        <v>3495434</v>
      </c>
      <c r="U108" s="273">
        <v>3312504</v>
      </c>
      <c r="V108" s="273">
        <v>3267155</v>
      </c>
      <c r="W108" s="273">
        <v>3741159</v>
      </c>
      <c r="X108" s="273">
        <v>4040739</v>
      </c>
    </row>
    <row r="109" spans="1:24" ht="14.25" thickBot="1" x14ac:dyDescent="0.3">
      <c r="A109" s="225" t="s">
        <v>264</v>
      </c>
      <c r="B109" s="275">
        <v>1599659</v>
      </c>
      <c r="C109" s="275">
        <v>1609551</v>
      </c>
      <c r="D109" s="275">
        <v>1633007</v>
      </c>
      <c r="E109" s="275">
        <v>1575089</v>
      </c>
      <c r="F109" s="275">
        <v>1504336</v>
      </c>
      <c r="G109" s="275">
        <v>1565087</v>
      </c>
      <c r="H109" s="275">
        <v>1522991</v>
      </c>
      <c r="I109" s="275">
        <v>1629228</v>
      </c>
      <c r="J109" s="275">
        <v>1627474</v>
      </c>
      <c r="K109" s="275">
        <v>1557755</v>
      </c>
      <c r="L109" s="275">
        <v>1692496</v>
      </c>
      <c r="M109" s="275">
        <v>1936312</v>
      </c>
      <c r="N109" s="275">
        <v>1844492</v>
      </c>
      <c r="O109" s="275">
        <v>1764189</v>
      </c>
      <c r="P109" s="275">
        <v>1914696</v>
      </c>
      <c r="Q109" s="275">
        <v>2171069</v>
      </c>
      <c r="R109" s="275">
        <v>1919138</v>
      </c>
      <c r="S109" s="275">
        <v>1801574</v>
      </c>
      <c r="T109" s="275">
        <v>1803779</v>
      </c>
      <c r="U109" s="275">
        <v>2104058</v>
      </c>
      <c r="V109" s="275">
        <v>1791502</v>
      </c>
      <c r="W109" s="275">
        <v>1900060</v>
      </c>
      <c r="X109" s="275">
        <v>2190168</v>
      </c>
    </row>
    <row r="110" spans="1:24" ht="14.25" thickBot="1" x14ac:dyDescent="0.3">
      <c r="A110" s="224" t="s">
        <v>23</v>
      </c>
      <c r="B110" s="273">
        <v>216945</v>
      </c>
      <c r="C110" s="273">
        <v>272197</v>
      </c>
      <c r="D110" s="273">
        <v>304722</v>
      </c>
      <c r="E110" s="273">
        <v>188434</v>
      </c>
      <c r="F110" s="273">
        <v>188023</v>
      </c>
      <c r="G110" s="273">
        <v>253316</v>
      </c>
      <c r="H110" s="273">
        <v>209377</v>
      </c>
      <c r="I110" s="273">
        <v>249052</v>
      </c>
      <c r="J110" s="273">
        <v>184232</v>
      </c>
      <c r="K110" s="273">
        <v>388890</v>
      </c>
      <c r="L110" s="273">
        <v>323507</v>
      </c>
      <c r="M110" s="273">
        <v>334715</v>
      </c>
      <c r="N110" s="273">
        <v>320468</v>
      </c>
      <c r="O110" s="273">
        <v>343815</v>
      </c>
      <c r="P110" s="273">
        <v>364325</v>
      </c>
      <c r="Q110" s="273">
        <v>222672</v>
      </c>
      <c r="R110" s="273">
        <v>182700</v>
      </c>
      <c r="S110" s="273">
        <v>206647</v>
      </c>
      <c r="T110" s="273">
        <v>265058</v>
      </c>
      <c r="U110" s="273">
        <v>248577</v>
      </c>
      <c r="V110" s="273">
        <v>262750</v>
      </c>
      <c r="W110" s="273">
        <v>322340</v>
      </c>
      <c r="X110" s="273">
        <v>335431</v>
      </c>
    </row>
    <row r="111" spans="1:24" ht="14.25" thickBot="1" x14ac:dyDescent="0.3">
      <c r="A111" s="225" t="s">
        <v>24</v>
      </c>
      <c r="B111" s="275">
        <v>5754343</v>
      </c>
      <c r="C111" s="275">
        <v>5903221</v>
      </c>
      <c r="D111" s="275">
        <v>6187840</v>
      </c>
      <c r="E111" s="275">
        <v>6307018</v>
      </c>
      <c r="F111" s="275">
        <v>6212472</v>
      </c>
      <c r="G111" s="275">
        <v>6679925</v>
      </c>
      <c r="H111" s="275">
        <v>6648618</v>
      </c>
      <c r="I111" s="275">
        <v>6768638</v>
      </c>
      <c r="J111" s="275">
        <v>7106116</v>
      </c>
      <c r="K111" s="275">
        <v>7860592</v>
      </c>
      <c r="L111" s="275">
        <v>7389694</v>
      </c>
      <c r="M111" s="275">
        <v>7949062</v>
      </c>
      <c r="N111" s="275">
        <v>8034324</v>
      </c>
      <c r="O111" s="275">
        <v>8542668</v>
      </c>
      <c r="P111" s="275">
        <v>8719184</v>
      </c>
      <c r="Q111" s="275">
        <v>8530755</v>
      </c>
      <c r="R111" s="275">
        <v>8351142</v>
      </c>
      <c r="S111" s="275">
        <v>8979636</v>
      </c>
      <c r="T111" s="275">
        <v>8487468</v>
      </c>
      <c r="U111" s="275">
        <v>8807101</v>
      </c>
      <c r="V111" s="275">
        <v>8303876</v>
      </c>
      <c r="W111" s="275">
        <v>8966085</v>
      </c>
      <c r="X111" s="275">
        <v>9399116</v>
      </c>
    </row>
    <row r="112" spans="1:24" ht="14.25" thickBot="1" x14ac:dyDescent="0.3">
      <c r="A112" s="224" t="s">
        <v>25</v>
      </c>
      <c r="B112" s="273">
        <v>774608</v>
      </c>
      <c r="C112" s="273">
        <v>727823</v>
      </c>
      <c r="D112" s="273">
        <v>763401</v>
      </c>
      <c r="E112" s="273">
        <v>740420</v>
      </c>
      <c r="F112" s="273">
        <v>759606</v>
      </c>
      <c r="G112" s="273">
        <v>783660</v>
      </c>
      <c r="H112" s="273">
        <v>811238</v>
      </c>
      <c r="I112" s="273">
        <v>883492</v>
      </c>
      <c r="J112" s="273">
        <v>842596</v>
      </c>
      <c r="K112" s="273">
        <v>843164</v>
      </c>
      <c r="L112" s="273">
        <v>799274</v>
      </c>
      <c r="M112" s="273">
        <v>800642</v>
      </c>
      <c r="N112" s="273">
        <v>798343</v>
      </c>
      <c r="O112" s="273">
        <v>810915</v>
      </c>
      <c r="P112" s="273">
        <v>773549</v>
      </c>
      <c r="Q112" s="273">
        <v>882891</v>
      </c>
      <c r="R112" s="273">
        <v>867719</v>
      </c>
      <c r="S112" s="273">
        <v>779533</v>
      </c>
      <c r="T112" s="273">
        <v>756871</v>
      </c>
      <c r="U112" s="273">
        <v>716736</v>
      </c>
      <c r="V112" s="273">
        <v>783911</v>
      </c>
      <c r="W112" s="273">
        <v>743200</v>
      </c>
      <c r="X112" s="273">
        <v>697503</v>
      </c>
    </row>
    <row r="113" spans="1:24" ht="14.25" thickBot="1" x14ac:dyDescent="0.3">
      <c r="A113" s="225" t="s">
        <v>26</v>
      </c>
      <c r="B113" s="275">
        <v>1658713</v>
      </c>
      <c r="C113" s="275">
        <v>1664500</v>
      </c>
      <c r="D113" s="275">
        <v>1633523</v>
      </c>
      <c r="E113" s="275">
        <v>1612482</v>
      </c>
      <c r="F113" s="275">
        <v>1628464</v>
      </c>
      <c r="G113" s="275">
        <v>1621801</v>
      </c>
      <c r="H113" s="275">
        <v>1579349</v>
      </c>
      <c r="I113" s="275">
        <v>1554838</v>
      </c>
      <c r="J113" s="275">
        <v>1555387</v>
      </c>
      <c r="K113" s="275">
        <v>1499731</v>
      </c>
      <c r="L113" s="275">
        <v>1530601</v>
      </c>
      <c r="M113" s="275">
        <v>1539336</v>
      </c>
      <c r="N113" s="275">
        <v>1314103</v>
      </c>
      <c r="O113" s="275">
        <v>1278075</v>
      </c>
      <c r="P113" s="275">
        <v>1288077</v>
      </c>
      <c r="Q113" s="275">
        <v>1507537</v>
      </c>
      <c r="R113" s="275">
        <v>1453806</v>
      </c>
      <c r="S113" s="275">
        <v>1414189</v>
      </c>
      <c r="T113" s="275">
        <v>1356444</v>
      </c>
      <c r="U113" s="275">
        <v>1339108</v>
      </c>
      <c r="V113" s="275">
        <v>1267219</v>
      </c>
      <c r="W113" s="275">
        <v>1276545</v>
      </c>
      <c r="X113" s="275">
        <v>1469668</v>
      </c>
    </row>
    <row r="114" spans="1:24" ht="14.25" thickBot="1" x14ac:dyDescent="0.3">
      <c r="A114" s="224" t="s">
        <v>27</v>
      </c>
      <c r="B114" s="273">
        <v>217606</v>
      </c>
      <c r="C114" s="273">
        <v>170585</v>
      </c>
      <c r="D114" s="273">
        <v>162779</v>
      </c>
      <c r="E114" s="273">
        <v>216689</v>
      </c>
      <c r="F114" s="273">
        <v>251239</v>
      </c>
      <c r="G114" s="273">
        <v>253611</v>
      </c>
      <c r="H114" s="273">
        <v>225276</v>
      </c>
      <c r="I114" s="273">
        <v>178196</v>
      </c>
      <c r="J114" s="273">
        <v>158436</v>
      </c>
      <c r="K114" s="273">
        <v>174888</v>
      </c>
      <c r="L114" s="273">
        <v>189201</v>
      </c>
      <c r="M114" s="273">
        <v>197791</v>
      </c>
      <c r="N114" s="273">
        <v>279391</v>
      </c>
      <c r="O114" s="273">
        <v>276781</v>
      </c>
      <c r="P114" s="273">
        <v>296313</v>
      </c>
      <c r="Q114" s="273">
        <v>192488</v>
      </c>
      <c r="R114" s="273">
        <v>207292</v>
      </c>
      <c r="S114" s="273">
        <v>222086</v>
      </c>
      <c r="T114" s="273">
        <v>212319</v>
      </c>
      <c r="U114" s="273">
        <v>219899</v>
      </c>
      <c r="V114" s="273">
        <v>287932</v>
      </c>
      <c r="W114" s="273">
        <v>297862</v>
      </c>
      <c r="X114" s="273">
        <v>377613</v>
      </c>
    </row>
    <row r="115" spans="1:24" ht="14.25" thickBot="1" x14ac:dyDescent="0.3">
      <c r="A115" s="225" t="s">
        <v>265</v>
      </c>
      <c r="B115" s="276">
        <v>8405270</v>
      </c>
      <c r="C115" s="276">
        <v>8466129</v>
      </c>
      <c r="D115" s="276">
        <v>8747543</v>
      </c>
      <c r="E115" s="276">
        <v>8876609</v>
      </c>
      <c r="F115" s="276">
        <v>8851781</v>
      </c>
      <c r="G115" s="276">
        <v>9338997</v>
      </c>
      <c r="H115" s="276">
        <v>9264481</v>
      </c>
      <c r="I115" s="276">
        <v>9385164</v>
      </c>
      <c r="J115" s="276">
        <v>9662535</v>
      </c>
      <c r="K115" s="276">
        <v>10378375</v>
      </c>
      <c r="L115" s="276">
        <v>9908770</v>
      </c>
      <c r="M115" s="276">
        <v>10486831</v>
      </c>
      <c r="N115" s="276">
        <v>10426161</v>
      </c>
      <c r="O115" s="276">
        <v>10908439</v>
      </c>
      <c r="P115" s="276">
        <v>11077123</v>
      </c>
      <c r="Q115" s="276">
        <v>11113671</v>
      </c>
      <c r="R115" s="276">
        <v>10879959</v>
      </c>
      <c r="S115" s="276">
        <v>11395444</v>
      </c>
      <c r="T115" s="276">
        <v>10813102</v>
      </c>
      <c r="U115" s="276">
        <v>11082844</v>
      </c>
      <c r="V115" s="276">
        <v>10642938</v>
      </c>
      <c r="W115" s="276">
        <v>11283692</v>
      </c>
      <c r="X115" s="276">
        <v>11943900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1316140</v>
      </c>
      <c r="C118" s="273">
        <v>1181298</v>
      </c>
      <c r="D118" s="273">
        <v>1437662</v>
      </c>
      <c r="E118" s="273">
        <v>1538963</v>
      </c>
      <c r="F118" s="273">
        <v>1274022</v>
      </c>
      <c r="G118" s="273">
        <v>1111304</v>
      </c>
      <c r="H118" s="273">
        <v>1385299</v>
      </c>
      <c r="I118" s="273">
        <v>1330911</v>
      </c>
      <c r="J118" s="273">
        <v>1640023</v>
      </c>
      <c r="K118" s="273">
        <v>1677398</v>
      </c>
      <c r="L118" s="273">
        <v>1697245</v>
      </c>
      <c r="M118" s="273">
        <v>1842548</v>
      </c>
      <c r="N118" s="273">
        <v>1747000</v>
      </c>
      <c r="O118" s="273">
        <v>1909549</v>
      </c>
      <c r="P118" s="273">
        <v>1296881</v>
      </c>
      <c r="Q118" s="273">
        <v>1919023</v>
      </c>
      <c r="R118" s="273">
        <v>1716421</v>
      </c>
      <c r="S118" s="273">
        <v>1688822</v>
      </c>
      <c r="T118" s="273">
        <v>1680950</v>
      </c>
      <c r="U118" s="273">
        <v>1592317</v>
      </c>
      <c r="V118" s="273">
        <v>1487636</v>
      </c>
      <c r="W118" s="273">
        <v>971927</v>
      </c>
      <c r="X118" s="273">
        <v>1318839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1412686</v>
      </c>
      <c r="C120" s="273">
        <v>1439540</v>
      </c>
      <c r="D120" s="273">
        <v>1563610</v>
      </c>
      <c r="E120" s="273">
        <v>1626004</v>
      </c>
      <c r="F120" s="273">
        <v>1590350</v>
      </c>
      <c r="G120" s="273">
        <v>1962177</v>
      </c>
      <c r="H120" s="273">
        <v>1938556</v>
      </c>
      <c r="I120" s="273">
        <v>1916990</v>
      </c>
      <c r="J120" s="273">
        <v>1949045</v>
      </c>
      <c r="K120" s="273">
        <v>2126744</v>
      </c>
      <c r="L120" s="273">
        <v>2132622</v>
      </c>
      <c r="M120" s="273">
        <v>2114817</v>
      </c>
      <c r="N120" s="273">
        <v>1999689</v>
      </c>
      <c r="O120" s="273">
        <v>2133077</v>
      </c>
      <c r="P120" s="273">
        <v>2373226</v>
      </c>
      <c r="Q120" s="273">
        <v>2234512</v>
      </c>
      <c r="R120" s="273">
        <v>1973403</v>
      </c>
      <c r="S120" s="273">
        <v>2208553</v>
      </c>
      <c r="T120" s="273">
        <v>2209106</v>
      </c>
      <c r="U120" s="273">
        <v>2311190</v>
      </c>
      <c r="V120" s="273">
        <v>2014793</v>
      </c>
      <c r="W120" s="273">
        <v>2293850</v>
      </c>
      <c r="X120" s="273">
        <v>2762907</v>
      </c>
    </row>
    <row r="121" spans="1:24" ht="14.25" thickBot="1" x14ac:dyDescent="0.3">
      <c r="A121" s="225" t="s">
        <v>267</v>
      </c>
      <c r="B121" s="275">
        <v>59467</v>
      </c>
      <c r="C121" s="274">
        <v>0</v>
      </c>
      <c r="D121" s="275">
        <v>79444</v>
      </c>
      <c r="E121" s="275">
        <v>32713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294821</v>
      </c>
      <c r="C122" s="273">
        <v>340489</v>
      </c>
      <c r="D122" s="273">
        <v>214581</v>
      </c>
      <c r="E122" s="273">
        <v>185172</v>
      </c>
      <c r="F122" s="273">
        <v>182000</v>
      </c>
      <c r="G122" s="273">
        <v>182000</v>
      </c>
      <c r="H122" s="273">
        <v>182000</v>
      </c>
      <c r="I122" s="273">
        <v>182000</v>
      </c>
      <c r="J122" s="273">
        <v>182000</v>
      </c>
      <c r="K122" s="273">
        <v>182000</v>
      </c>
      <c r="L122" s="68">
        <v>0</v>
      </c>
      <c r="M122" s="68">
        <v>0</v>
      </c>
      <c r="N122" s="68">
        <v>0</v>
      </c>
      <c r="O122" s="273">
        <v>142411</v>
      </c>
      <c r="P122" s="273">
        <v>119617</v>
      </c>
      <c r="Q122" s="273">
        <v>51102</v>
      </c>
      <c r="R122" s="273">
        <v>42128</v>
      </c>
      <c r="S122" s="273">
        <v>43598</v>
      </c>
      <c r="T122" s="273">
        <v>39390</v>
      </c>
      <c r="U122" s="273">
        <v>8998</v>
      </c>
      <c r="V122" s="273">
        <v>8400</v>
      </c>
      <c r="W122" s="273">
        <v>7950</v>
      </c>
      <c r="X122" s="68">
        <v>0</v>
      </c>
    </row>
    <row r="123" spans="1:24" ht="14.25" thickBot="1" x14ac:dyDescent="0.3">
      <c r="A123" s="225" t="s">
        <v>31</v>
      </c>
      <c r="B123" s="275">
        <v>613872</v>
      </c>
      <c r="C123" s="275">
        <v>1006705</v>
      </c>
      <c r="D123" s="275">
        <v>667194</v>
      </c>
      <c r="E123" s="275">
        <v>680936</v>
      </c>
      <c r="F123" s="275">
        <v>757911</v>
      </c>
      <c r="G123" s="275">
        <v>1213591</v>
      </c>
      <c r="H123" s="275">
        <v>749349</v>
      </c>
      <c r="I123" s="275">
        <v>696517</v>
      </c>
      <c r="J123" s="275">
        <v>626650</v>
      </c>
      <c r="K123" s="275">
        <v>1219587</v>
      </c>
      <c r="L123" s="275">
        <v>673440</v>
      </c>
      <c r="M123" s="275">
        <v>838498</v>
      </c>
      <c r="N123" s="275">
        <v>794636</v>
      </c>
      <c r="O123" s="275">
        <v>1357147</v>
      </c>
      <c r="P123" s="275">
        <v>1445828</v>
      </c>
      <c r="Q123" s="275">
        <v>911158</v>
      </c>
      <c r="R123" s="275">
        <v>920829</v>
      </c>
      <c r="S123" s="275">
        <v>1770727</v>
      </c>
      <c r="T123" s="275">
        <v>1093961</v>
      </c>
      <c r="U123" s="275">
        <v>1133288</v>
      </c>
      <c r="V123" s="275">
        <v>1008546</v>
      </c>
      <c r="W123" s="275">
        <v>1855162</v>
      </c>
      <c r="X123" s="275">
        <v>1073293</v>
      </c>
    </row>
    <row r="124" spans="1:24" ht="14.25" thickBot="1" x14ac:dyDescent="0.3">
      <c r="A124" s="224" t="s">
        <v>268</v>
      </c>
      <c r="B124" s="273">
        <v>3696986</v>
      </c>
      <c r="C124" s="273">
        <v>3968032</v>
      </c>
      <c r="D124" s="273">
        <v>3962491</v>
      </c>
      <c r="E124" s="273">
        <v>4063788</v>
      </c>
      <c r="F124" s="273">
        <v>3804283</v>
      </c>
      <c r="G124" s="273">
        <v>4469072</v>
      </c>
      <c r="H124" s="273">
        <v>4255204</v>
      </c>
      <c r="I124" s="273">
        <v>4126418</v>
      </c>
      <c r="J124" s="273">
        <v>4397718</v>
      </c>
      <c r="K124" s="273">
        <v>5205729</v>
      </c>
      <c r="L124" s="273">
        <v>4503307</v>
      </c>
      <c r="M124" s="273">
        <v>4795863</v>
      </c>
      <c r="N124" s="273">
        <v>4541325</v>
      </c>
      <c r="O124" s="273">
        <v>5542184</v>
      </c>
      <c r="P124" s="273">
        <v>5235552</v>
      </c>
      <c r="Q124" s="273">
        <v>5115795</v>
      </c>
      <c r="R124" s="273">
        <v>4652781</v>
      </c>
      <c r="S124" s="273">
        <v>5711700</v>
      </c>
      <c r="T124" s="273">
        <v>5023407</v>
      </c>
      <c r="U124" s="273">
        <v>5045793</v>
      </c>
      <c r="V124" s="273">
        <v>4519375</v>
      </c>
      <c r="W124" s="273">
        <v>5128889</v>
      </c>
      <c r="X124" s="273">
        <v>5155039</v>
      </c>
    </row>
    <row r="125" spans="1:24" ht="14.25" thickBot="1" x14ac:dyDescent="0.3">
      <c r="A125" s="225" t="s">
        <v>32</v>
      </c>
      <c r="B125" s="275">
        <v>957392</v>
      </c>
      <c r="C125" s="275">
        <v>914291</v>
      </c>
      <c r="D125" s="275">
        <v>660884</v>
      </c>
      <c r="E125" s="275">
        <v>559979</v>
      </c>
      <c r="F125" s="275">
        <v>684127</v>
      </c>
      <c r="G125" s="275">
        <v>663090</v>
      </c>
      <c r="H125" s="275">
        <v>601443</v>
      </c>
      <c r="I125" s="275">
        <v>605493</v>
      </c>
      <c r="J125" s="275">
        <v>375788</v>
      </c>
      <c r="K125" s="275">
        <v>618865</v>
      </c>
      <c r="L125" s="275">
        <v>577468</v>
      </c>
      <c r="M125" s="275">
        <v>606852</v>
      </c>
      <c r="N125" s="275">
        <v>611008</v>
      </c>
      <c r="O125" s="275">
        <v>340977</v>
      </c>
      <c r="P125" s="275">
        <v>374468</v>
      </c>
      <c r="Q125" s="275">
        <v>359820</v>
      </c>
      <c r="R125" s="275">
        <v>376830</v>
      </c>
      <c r="S125" s="275">
        <v>286210</v>
      </c>
      <c r="T125" s="275">
        <v>243256</v>
      </c>
      <c r="U125" s="275">
        <v>257620</v>
      </c>
      <c r="V125" s="275">
        <v>286384</v>
      </c>
      <c r="W125" s="275">
        <v>727428</v>
      </c>
      <c r="X125" s="275">
        <v>746696</v>
      </c>
    </row>
    <row r="126" spans="1:24" ht="14.25" thickBot="1" x14ac:dyDescent="0.3">
      <c r="A126" s="224" t="s">
        <v>33</v>
      </c>
      <c r="B126" s="273">
        <v>109449</v>
      </c>
      <c r="C126" s="273">
        <v>138072</v>
      </c>
      <c r="D126" s="273">
        <v>150175</v>
      </c>
      <c r="E126" s="273">
        <v>133030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4763827</v>
      </c>
      <c r="C127" s="275">
        <v>5020395</v>
      </c>
      <c r="D127" s="275">
        <v>4773550</v>
      </c>
      <c r="E127" s="275">
        <v>4756797</v>
      </c>
      <c r="F127" s="275">
        <v>4488410</v>
      </c>
      <c r="G127" s="275">
        <v>5132162</v>
      </c>
      <c r="H127" s="275">
        <v>4856647</v>
      </c>
      <c r="I127" s="275">
        <v>4731911</v>
      </c>
      <c r="J127" s="275">
        <v>4773506</v>
      </c>
      <c r="K127" s="275">
        <v>5824594</v>
      </c>
      <c r="L127" s="275">
        <v>5080775</v>
      </c>
      <c r="M127" s="275">
        <v>5402715</v>
      </c>
      <c r="N127" s="275">
        <v>5152333</v>
      </c>
      <c r="O127" s="275">
        <v>5883161</v>
      </c>
      <c r="P127" s="275">
        <v>5610020</v>
      </c>
      <c r="Q127" s="275">
        <v>5475615</v>
      </c>
      <c r="R127" s="275">
        <v>5029611</v>
      </c>
      <c r="S127" s="275">
        <v>5997910</v>
      </c>
      <c r="T127" s="275">
        <v>5266663</v>
      </c>
      <c r="U127" s="275">
        <v>5303413</v>
      </c>
      <c r="V127" s="275">
        <v>4805759</v>
      </c>
      <c r="W127" s="275">
        <v>5856317</v>
      </c>
      <c r="X127" s="275">
        <v>5901735</v>
      </c>
    </row>
    <row r="128" spans="1:24" ht="14.25" thickBot="1" x14ac:dyDescent="0.3">
      <c r="A128" s="224" t="s">
        <v>34</v>
      </c>
      <c r="B128" s="273">
        <v>3641443</v>
      </c>
      <c r="C128" s="273">
        <v>3445734</v>
      </c>
      <c r="D128" s="273">
        <v>3973993</v>
      </c>
      <c r="E128" s="273">
        <v>4119812</v>
      </c>
      <c r="F128" s="273">
        <v>4363371</v>
      </c>
      <c r="G128" s="273">
        <v>4206835</v>
      </c>
      <c r="H128" s="273">
        <v>4407834</v>
      </c>
      <c r="I128" s="273">
        <v>4653253</v>
      </c>
      <c r="J128" s="273">
        <v>4889029</v>
      </c>
      <c r="K128" s="273">
        <v>4553781</v>
      </c>
      <c r="L128" s="273">
        <v>4827995</v>
      </c>
      <c r="M128" s="273">
        <v>5084116</v>
      </c>
      <c r="N128" s="273">
        <v>5273828</v>
      </c>
      <c r="O128" s="273">
        <v>5025278</v>
      </c>
      <c r="P128" s="273">
        <v>5467103</v>
      </c>
      <c r="Q128" s="273">
        <v>5638056</v>
      </c>
      <c r="R128" s="273">
        <v>5850348</v>
      </c>
      <c r="S128" s="273">
        <v>5397534</v>
      </c>
      <c r="T128" s="273">
        <v>5546439</v>
      </c>
      <c r="U128" s="273">
        <v>5779431</v>
      </c>
      <c r="V128" s="273">
        <v>5837179</v>
      </c>
      <c r="W128" s="273">
        <v>5427375</v>
      </c>
      <c r="X128" s="273">
        <v>6042165</v>
      </c>
    </row>
    <row r="129" spans="1:24" ht="14.25" thickBot="1" x14ac:dyDescent="0.3">
      <c r="A129" s="225" t="s">
        <v>35</v>
      </c>
      <c r="B129" s="276">
        <v>8405270</v>
      </c>
      <c r="C129" s="276">
        <v>8466129</v>
      </c>
      <c r="D129" s="276">
        <v>8747543</v>
      </c>
      <c r="E129" s="276">
        <v>8876609</v>
      </c>
      <c r="F129" s="276">
        <v>8851781</v>
      </c>
      <c r="G129" s="276">
        <v>9338997</v>
      </c>
      <c r="H129" s="276">
        <v>9264481</v>
      </c>
      <c r="I129" s="276">
        <v>9385164</v>
      </c>
      <c r="J129" s="276">
        <v>9662535</v>
      </c>
      <c r="K129" s="276">
        <v>10378375</v>
      </c>
      <c r="L129" s="276">
        <v>9908770</v>
      </c>
      <c r="M129" s="276">
        <v>10486831</v>
      </c>
      <c r="N129" s="276">
        <v>10426161</v>
      </c>
      <c r="O129" s="276">
        <v>10908439</v>
      </c>
      <c r="P129" s="276">
        <v>11077123</v>
      </c>
      <c r="Q129" s="276">
        <v>11113671</v>
      </c>
      <c r="R129" s="276">
        <v>10879959</v>
      </c>
      <c r="S129" s="276">
        <v>11395444</v>
      </c>
      <c r="T129" s="276">
        <v>10813102</v>
      </c>
      <c r="U129" s="276">
        <v>11082844</v>
      </c>
      <c r="V129" s="276">
        <v>10642938</v>
      </c>
      <c r="W129" s="276">
        <v>11283692</v>
      </c>
      <c r="X129" s="276">
        <v>11943900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3.66</v>
      </c>
      <c r="C132" s="68">
        <v>4.25</v>
      </c>
      <c r="D132" s="68">
        <v>2.96</v>
      </c>
      <c r="E132" s="68">
        <v>6.77</v>
      </c>
      <c r="F132" s="68">
        <v>5.41</v>
      </c>
    </row>
    <row r="133" spans="1:24" ht="14.25" thickBot="1" x14ac:dyDescent="0.3">
      <c r="A133" s="225" t="s">
        <v>37</v>
      </c>
      <c r="B133" s="274">
        <v>-1.04</v>
      </c>
      <c r="C133" s="274">
        <v>-0.03</v>
      </c>
      <c r="D133" s="274">
        <v>0.02</v>
      </c>
      <c r="E133" s="274">
        <v>-2.6</v>
      </c>
      <c r="F133" s="274">
        <v>0.76</v>
      </c>
    </row>
    <row r="134" spans="1:24" ht="14.25" thickBot="1" x14ac:dyDescent="0.3">
      <c r="A134" s="224" t="s">
        <v>38</v>
      </c>
      <c r="B134" s="68">
        <v>-0.8</v>
      </c>
      <c r="C134" s="68">
        <v>-3.87</v>
      </c>
      <c r="D134" s="68">
        <v>-1.08</v>
      </c>
      <c r="E134" s="68">
        <v>-1.28</v>
      </c>
      <c r="F134" s="68">
        <v>-4.33</v>
      </c>
    </row>
    <row r="135" spans="1:24" ht="14.25" thickBot="1" x14ac:dyDescent="0.3">
      <c r="A135" s="225" t="s">
        <v>270</v>
      </c>
      <c r="B135" s="274">
        <v>2.62</v>
      </c>
      <c r="C135" s="274">
        <v>4.22</v>
      </c>
      <c r="D135" s="274">
        <v>2.98</v>
      </c>
      <c r="E135" s="274">
        <v>4.18</v>
      </c>
      <c r="F135" s="274">
        <v>6.17</v>
      </c>
    </row>
    <row r="136" spans="1:24" ht="14.25" thickBot="1" x14ac:dyDescent="0.3">
      <c r="A136" s="229" t="s">
        <v>39</v>
      </c>
      <c r="B136" s="72">
        <v>1.82</v>
      </c>
      <c r="C136" s="72">
        <v>0.34</v>
      </c>
      <c r="D136" s="72">
        <v>1.9</v>
      </c>
      <c r="E136" s="72">
        <v>2.9</v>
      </c>
      <c r="F136" s="72">
        <v>1.84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</v>
      </c>
      <c r="C140" s="68">
        <v>2.5</v>
      </c>
      <c r="D140" s="68">
        <v>2.8</v>
      </c>
      <c r="E140" s="68">
        <v>3.1</v>
      </c>
      <c r="F140" s="68">
        <v>3.7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0.2</v>
      </c>
      <c r="E141" s="73">
        <v>0.3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0.66225165562913912</v>
      </c>
      <c r="C142" s="234">
        <f>IF(C140&lt;&gt;"無",IF(ISNA(HLOOKUP(C139,$B$64:$F$69,6,FALSE)),"",C140/HLOOKUP(C139,$B$64:$F$69,6,FALSE)),"")</f>
        <v>0.78369905956112851</v>
      </c>
      <c r="D142" s="234">
        <f>IF(D140&lt;&gt;"無",IF(ISNA(HLOOKUP(D139,$B$64:$F$69,6,FALSE)),"",D140/HLOOKUP(D139,$B$64:$F$69,6,FALSE)),"")</f>
        <v>0.7310704960835509</v>
      </c>
      <c r="E142" s="234">
        <f>IF(E140&lt;&gt;"無",IF(ISNA(HLOOKUP(E139,$B$64:$F$69,6,FALSE)),"",E140/HLOOKUP(E139,$B$64:$F$69,6,FALSE)),"")</f>
        <v>0.67538126361655781</v>
      </c>
      <c r="F142" s="234">
        <f>IF(F140&lt;&gt;"無",IF(ISNA(HLOOKUP(F139,$B$64:$F$69,6,FALSE)),"",F140/HLOOKUP(F139,$B$64:$F$69,6,FALSE)),"")</f>
        <v>0.70610687022900764</v>
      </c>
    </row>
    <row r="143" spans="1:24" x14ac:dyDescent="0.25">
      <c r="A143" s="233" t="s">
        <v>216</v>
      </c>
      <c r="B143" s="234">
        <f>IF(OR(B140=0,B140="無"),"",B135/B140)</f>
        <v>1.31</v>
      </c>
      <c r="C143" s="234">
        <f>IF(OR(C140=0,C140="無"),"",C135/C140)</f>
        <v>1.6879999999999999</v>
      </c>
      <c r="D143" s="234">
        <f>IF(OR(D140=0,D140="無"),"",D135/D140)</f>
        <v>1.0642857142857143</v>
      </c>
      <c r="E143" s="234">
        <f>IF(OR(E140=0,E140="無"),"",E135/E140)</f>
        <v>1.3483870967741933</v>
      </c>
      <c r="F143" s="234">
        <f>IF(OR(F140=0,F140="無"),"",F135/F140)</f>
        <v>1.6675675675675674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22.87</v>
      </c>
      <c r="C146" s="68">
        <v>21.02</v>
      </c>
      <c r="D146" s="68">
        <v>20.49</v>
      </c>
      <c r="E146" s="68">
        <v>21.8</v>
      </c>
      <c r="F146" s="68">
        <v>21.8</v>
      </c>
      <c r="G146" s="68">
        <v>20.82</v>
      </c>
      <c r="H146" s="68">
        <v>21.13</v>
      </c>
      <c r="I146" s="68">
        <v>22.28</v>
      </c>
      <c r="J146" s="68">
        <v>21.77</v>
      </c>
      <c r="K146" s="68">
        <v>21.72</v>
      </c>
      <c r="L146" s="68">
        <v>21.73</v>
      </c>
      <c r="M146" s="68">
        <v>21.71</v>
      </c>
      <c r="N146" s="68">
        <v>22.45</v>
      </c>
      <c r="O146" s="68">
        <v>22.35</v>
      </c>
      <c r="P146" s="68">
        <v>22.67</v>
      </c>
      <c r="Q146" s="68">
        <v>22.42</v>
      </c>
      <c r="R146" s="68">
        <v>24.98</v>
      </c>
      <c r="S146" s="68">
        <v>24.05</v>
      </c>
      <c r="T146" s="68">
        <v>23.96</v>
      </c>
      <c r="U146" s="68">
        <v>26.51</v>
      </c>
      <c r="V146" s="68">
        <v>24.8</v>
      </c>
      <c r="W146" s="68">
        <v>25.56</v>
      </c>
      <c r="X146" s="68">
        <v>24.96</v>
      </c>
    </row>
    <row r="147" spans="1:24" s="93" customFormat="1" ht="14.25" thickBot="1" x14ac:dyDescent="0.3">
      <c r="A147" s="225" t="s">
        <v>19</v>
      </c>
      <c r="B147" s="274">
        <v>9.4700000000000006</v>
      </c>
      <c r="C147" s="274">
        <v>5.17</v>
      </c>
      <c r="D147" s="274">
        <v>6.26</v>
      </c>
      <c r="E147" s="274">
        <v>6.86</v>
      </c>
      <c r="F147" s="274">
        <v>7.51</v>
      </c>
      <c r="G147" s="274">
        <v>6.94</v>
      </c>
      <c r="H147" s="274">
        <v>6.95</v>
      </c>
      <c r="I147" s="274">
        <v>6.46</v>
      </c>
      <c r="J147" s="274">
        <v>8.0500000000000007</v>
      </c>
      <c r="K147" s="274">
        <v>9.3800000000000008</v>
      </c>
      <c r="L147" s="274">
        <v>8.6199999999999992</v>
      </c>
      <c r="M147" s="274">
        <v>6.53</v>
      </c>
      <c r="N147" s="274">
        <v>8.82</v>
      </c>
      <c r="O147" s="274">
        <v>9.85</v>
      </c>
      <c r="P147" s="274">
        <v>9.16</v>
      </c>
      <c r="Q147" s="274">
        <v>7.18</v>
      </c>
      <c r="R147" s="274">
        <v>12.49</v>
      </c>
      <c r="S147" s="274">
        <v>11.3</v>
      </c>
      <c r="T147" s="274">
        <v>11.47</v>
      </c>
      <c r="U147" s="274">
        <v>8.33</v>
      </c>
      <c r="V147" s="274">
        <v>12.28</v>
      </c>
      <c r="W147" s="274">
        <v>11.01</v>
      </c>
      <c r="X147" s="274">
        <v>12.4</v>
      </c>
    </row>
    <row r="148" spans="1:24" s="93" customFormat="1" ht="14.25" thickBot="1" x14ac:dyDescent="0.3">
      <c r="A148" s="224" t="s">
        <v>41</v>
      </c>
      <c r="B148" s="68">
        <v>8.58</v>
      </c>
      <c r="C148" s="68">
        <v>8.49</v>
      </c>
      <c r="D148" s="68">
        <v>8.51</v>
      </c>
      <c r="E148" s="68">
        <v>3.56</v>
      </c>
      <c r="F148" s="68">
        <v>7.86</v>
      </c>
      <c r="G148" s="68">
        <v>8.26</v>
      </c>
      <c r="H148" s="68">
        <v>10.130000000000001</v>
      </c>
      <c r="I148" s="68">
        <v>6.39</v>
      </c>
      <c r="J148" s="68">
        <v>10.029999999999999</v>
      </c>
      <c r="K148" s="68">
        <v>10.42</v>
      </c>
      <c r="L148" s="68">
        <v>9.6999999999999993</v>
      </c>
      <c r="M148" s="68">
        <v>5.66</v>
      </c>
      <c r="N148" s="68">
        <v>10.64</v>
      </c>
      <c r="O148" s="68">
        <v>11.2</v>
      </c>
      <c r="P148" s="68">
        <v>13.03</v>
      </c>
      <c r="Q148" s="68">
        <v>10.16</v>
      </c>
      <c r="R148" s="68">
        <v>12.63</v>
      </c>
      <c r="S148" s="68">
        <v>12.97</v>
      </c>
      <c r="T148" s="68">
        <v>12.17</v>
      </c>
      <c r="U148" s="68">
        <v>11.53</v>
      </c>
      <c r="V148" s="68">
        <v>11.78</v>
      </c>
      <c r="W148" s="68">
        <v>14.27</v>
      </c>
      <c r="X148" s="68">
        <v>13.15</v>
      </c>
    </row>
    <row r="149" spans="1:24" s="93" customFormat="1" ht="14.25" thickBot="1" x14ac:dyDescent="0.3">
      <c r="A149" s="225" t="s">
        <v>13</v>
      </c>
      <c r="B149" s="73">
        <v>5.61</v>
      </c>
      <c r="C149" s="73">
        <v>5.42</v>
      </c>
      <c r="D149" s="73">
        <v>5.61</v>
      </c>
      <c r="E149" s="73">
        <v>2.58</v>
      </c>
      <c r="F149" s="73">
        <v>5.68</v>
      </c>
      <c r="G149" s="73">
        <v>5.84</v>
      </c>
      <c r="H149" s="73">
        <v>7.04</v>
      </c>
      <c r="I149" s="73">
        <v>4.37</v>
      </c>
      <c r="J149" s="73">
        <v>7.16</v>
      </c>
      <c r="K149" s="73">
        <v>7.11</v>
      </c>
      <c r="L149" s="73">
        <v>7.52</v>
      </c>
      <c r="M149" s="73">
        <v>4.8</v>
      </c>
      <c r="N149" s="73">
        <v>7.88</v>
      </c>
      <c r="O149" s="73">
        <v>7.98</v>
      </c>
      <c r="P149" s="73">
        <v>9.17</v>
      </c>
      <c r="Q149" s="73">
        <v>6.24</v>
      </c>
      <c r="R149" s="73">
        <v>9.2100000000000009</v>
      </c>
      <c r="S149" s="73">
        <v>9.08</v>
      </c>
      <c r="T149" s="73">
        <v>9.17</v>
      </c>
      <c r="U149" s="73">
        <v>8.43</v>
      </c>
      <c r="V149" s="73">
        <v>8.8699999999999992</v>
      </c>
      <c r="W149" s="73">
        <v>10.34</v>
      </c>
      <c r="X149" s="73">
        <v>10.09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21.5</v>
      </c>
      <c r="C152" s="68">
        <v>21.49</v>
      </c>
      <c r="D152" s="68">
        <v>21.73</v>
      </c>
      <c r="E152" s="68">
        <v>22.48</v>
      </c>
      <c r="F152" s="68">
        <v>24.83</v>
      </c>
    </row>
    <row r="153" spans="1:24" s="93" customFormat="1" ht="14.25" thickBot="1" x14ac:dyDescent="0.3">
      <c r="A153" s="225" t="s">
        <v>19</v>
      </c>
      <c r="B153" s="274">
        <v>6.88</v>
      </c>
      <c r="C153" s="274">
        <v>6.94</v>
      </c>
      <c r="D153" s="274">
        <v>8.16</v>
      </c>
      <c r="E153" s="274">
        <v>8.81</v>
      </c>
      <c r="F153" s="274">
        <v>10.97</v>
      </c>
    </row>
    <row r="154" spans="1:24" s="93" customFormat="1" ht="14.25" thickBot="1" x14ac:dyDescent="0.3">
      <c r="A154" s="224" t="s">
        <v>41</v>
      </c>
      <c r="B154" s="68">
        <v>7.23</v>
      </c>
      <c r="C154" s="68">
        <v>8.2100000000000009</v>
      </c>
      <c r="D154" s="68">
        <v>8.9600000000000009</v>
      </c>
      <c r="E154" s="68">
        <v>11.31</v>
      </c>
      <c r="F154" s="68">
        <v>12.36</v>
      </c>
    </row>
    <row r="155" spans="1:24" s="93" customFormat="1" ht="14.25" thickBot="1" x14ac:dyDescent="0.3">
      <c r="A155" s="225" t="s">
        <v>13</v>
      </c>
      <c r="B155" s="73">
        <v>4.7699999999999996</v>
      </c>
      <c r="C155" s="73">
        <v>5.76</v>
      </c>
      <c r="D155" s="73">
        <v>6.66</v>
      </c>
      <c r="E155" s="73">
        <v>7.88</v>
      </c>
      <c r="F155" s="73">
        <v>8.99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1.64</v>
      </c>
      <c r="C158" s="68">
        <v>1.73</v>
      </c>
      <c r="D158" s="68">
        <v>1.84</v>
      </c>
      <c r="E158" s="68">
        <v>0.86</v>
      </c>
      <c r="F158" s="68">
        <v>1.57</v>
      </c>
      <c r="G158" s="68">
        <v>1.8</v>
      </c>
      <c r="H158" s="68">
        <v>2.25</v>
      </c>
      <c r="I158" s="68">
        <v>1.3</v>
      </c>
      <c r="J158" s="68">
        <v>2.13</v>
      </c>
      <c r="K158" s="68">
        <v>2.2000000000000002</v>
      </c>
      <c r="L158" s="68">
        <v>2.2799999999999998</v>
      </c>
      <c r="M158" s="68">
        <v>1.49</v>
      </c>
      <c r="N158" s="68">
        <v>2.33</v>
      </c>
      <c r="O158" s="68">
        <v>2.41</v>
      </c>
      <c r="P158" s="68">
        <v>2.73</v>
      </c>
      <c r="Q158" s="68">
        <v>1.62</v>
      </c>
      <c r="R158" s="68">
        <v>2.82</v>
      </c>
      <c r="S158" s="68">
        <v>2.84</v>
      </c>
      <c r="T158" s="68">
        <v>2.71</v>
      </c>
      <c r="U158" s="68">
        <v>2.3199999999999998</v>
      </c>
      <c r="V158" s="68">
        <v>2.66</v>
      </c>
      <c r="W158" s="68">
        <v>3.18</v>
      </c>
      <c r="X158" s="68">
        <v>3.09</v>
      </c>
    </row>
    <row r="159" spans="1:24" s="93" customFormat="1" ht="14.25" thickBot="1" x14ac:dyDescent="0.3">
      <c r="A159" s="225" t="s">
        <v>45</v>
      </c>
      <c r="B159" s="73">
        <v>3.58</v>
      </c>
      <c r="C159" s="73">
        <v>3.8</v>
      </c>
      <c r="D159" s="73">
        <v>3.99</v>
      </c>
      <c r="E159" s="73">
        <v>1.66</v>
      </c>
      <c r="F159" s="73">
        <v>3.11</v>
      </c>
      <c r="G159" s="73">
        <v>3.67</v>
      </c>
      <c r="H159" s="73">
        <v>4.7300000000000004</v>
      </c>
      <c r="I159" s="73">
        <v>2.5499999999999998</v>
      </c>
      <c r="J159" s="73">
        <v>4.1100000000000003</v>
      </c>
      <c r="K159" s="73">
        <v>4.55</v>
      </c>
      <c r="L159" s="73">
        <v>4.79</v>
      </c>
      <c r="M159" s="73">
        <v>2.8</v>
      </c>
      <c r="N159" s="73">
        <v>4.58</v>
      </c>
      <c r="O159" s="73">
        <v>4.8600000000000003</v>
      </c>
      <c r="P159" s="73">
        <v>5.64</v>
      </c>
      <c r="Q159" s="73">
        <v>3.08</v>
      </c>
      <c r="R159" s="73">
        <v>5.33</v>
      </c>
      <c r="S159" s="73">
        <v>5.53</v>
      </c>
      <c r="T159" s="73">
        <v>5.42</v>
      </c>
      <c r="U159" s="73">
        <v>4.3899999999999997</v>
      </c>
      <c r="V159" s="73">
        <v>4.91</v>
      </c>
      <c r="W159" s="73">
        <v>6.12</v>
      </c>
      <c r="X159" s="73">
        <v>6.17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4.7699999999999996</v>
      </c>
      <c r="C162" s="68">
        <v>5.76</v>
      </c>
      <c r="D162" s="68">
        <v>6.66</v>
      </c>
      <c r="E162" s="68">
        <v>7.88</v>
      </c>
      <c r="F162" s="68">
        <v>8.99</v>
      </c>
    </row>
    <row r="163" spans="1:72" s="93" customFormat="1" ht="14.25" thickBot="1" x14ac:dyDescent="0.3">
      <c r="A163" s="225" t="s">
        <v>18</v>
      </c>
      <c r="B163" s="274">
        <v>1.1299999999999999</v>
      </c>
      <c r="C163" s="274">
        <v>1.1200000000000001</v>
      </c>
      <c r="D163" s="274">
        <v>1.1100000000000001</v>
      </c>
      <c r="E163" s="274">
        <v>1.0900000000000001</v>
      </c>
      <c r="F163" s="274">
        <v>1.17</v>
      </c>
    </row>
    <row r="164" spans="1:72" s="93" customFormat="1" ht="14.25" thickBot="1" x14ac:dyDescent="0.3">
      <c r="A164" s="224" t="s">
        <v>15</v>
      </c>
      <c r="B164" s="68">
        <v>2.15</v>
      </c>
      <c r="C164" s="68">
        <v>2.02</v>
      </c>
      <c r="D164" s="68">
        <v>2.06</v>
      </c>
      <c r="E164" s="68">
        <v>1.97</v>
      </c>
      <c r="F164" s="68">
        <v>1.92</v>
      </c>
    </row>
    <row r="165" spans="1:72" s="93" customFormat="1" ht="14.25" thickBot="1" x14ac:dyDescent="0.3">
      <c r="A165" s="225" t="s">
        <v>45</v>
      </c>
      <c r="B165" s="73">
        <v>12.53</v>
      </c>
      <c r="C165" s="73">
        <v>13.87</v>
      </c>
      <c r="D165" s="73">
        <v>15.92</v>
      </c>
      <c r="E165" s="73">
        <v>17.8</v>
      </c>
      <c r="F165" s="73">
        <v>20.350000000000001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96.77</v>
      </c>
      <c r="C168" s="68">
        <v>90.91</v>
      </c>
      <c r="D168" s="68">
        <v>91.84</v>
      </c>
      <c r="E168" s="68">
        <v>96.77</v>
      </c>
      <c r="F168" s="68">
        <v>105.88</v>
      </c>
      <c r="G168" s="68">
        <v>91.84</v>
      </c>
      <c r="H168" s="68">
        <v>91.84</v>
      </c>
      <c r="I168" s="68">
        <v>103.45</v>
      </c>
      <c r="J168" s="68">
        <v>98.9</v>
      </c>
      <c r="K168" s="68">
        <v>94.74</v>
      </c>
      <c r="L168" s="68">
        <v>100</v>
      </c>
      <c r="M168" s="68">
        <v>102.27</v>
      </c>
      <c r="N168" s="68">
        <v>96.77</v>
      </c>
      <c r="O168" s="68">
        <v>92.78</v>
      </c>
      <c r="P168" s="68">
        <v>95.74</v>
      </c>
      <c r="Q168" s="68">
        <v>108.43</v>
      </c>
      <c r="R168" s="68">
        <v>86.54</v>
      </c>
      <c r="S168" s="68">
        <v>92.78</v>
      </c>
      <c r="T168" s="68">
        <v>98.9</v>
      </c>
      <c r="U168" s="68">
        <v>103.45</v>
      </c>
      <c r="V168" s="68">
        <v>91.84</v>
      </c>
      <c r="W168" s="68">
        <v>94.74</v>
      </c>
      <c r="X168" s="68">
        <v>100</v>
      </c>
    </row>
    <row r="169" spans="1:72" s="93" customFormat="1" ht="14.25" thickBot="1" x14ac:dyDescent="0.3">
      <c r="A169" s="225" t="s">
        <v>17</v>
      </c>
      <c r="B169" s="274">
        <v>83.33</v>
      </c>
      <c r="C169" s="274">
        <v>73.77</v>
      </c>
      <c r="D169" s="274">
        <v>69.77</v>
      </c>
      <c r="E169" s="274">
        <v>70.87</v>
      </c>
      <c r="F169" s="274">
        <v>76.27</v>
      </c>
      <c r="G169" s="274">
        <v>64.75</v>
      </c>
      <c r="H169" s="274">
        <v>60.81</v>
      </c>
      <c r="I169" s="274">
        <v>69.23</v>
      </c>
      <c r="J169" s="274">
        <v>68.180000000000007</v>
      </c>
      <c r="K169" s="274">
        <v>60.81</v>
      </c>
      <c r="L169" s="274">
        <v>62.5</v>
      </c>
      <c r="M169" s="274">
        <v>72</v>
      </c>
      <c r="N169" s="274">
        <v>73.17</v>
      </c>
      <c r="O169" s="274">
        <v>66.67</v>
      </c>
      <c r="P169" s="274">
        <v>66.180000000000007</v>
      </c>
      <c r="Q169" s="274">
        <v>86.54</v>
      </c>
      <c r="R169" s="274">
        <v>73.77</v>
      </c>
      <c r="S169" s="274">
        <v>64.290000000000006</v>
      </c>
      <c r="T169" s="274">
        <v>66.180000000000007</v>
      </c>
      <c r="U169" s="274">
        <v>81.08</v>
      </c>
      <c r="V169" s="274">
        <v>72.58</v>
      </c>
      <c r="W169" s="274">
        <v>67.16</v>
      </c>
      <c r="X169" s="274">
        <v>69.77</v>
      </c>
    </row>
    <row r="170" spans="1:72" s="93" customFormat="1" ht="14.25" thickBot="1" x14ac:dyDescent="0.3">
      <c r="A170" s="224" t="s">
        <v>42</v>
      </c>
      <c r="B170" s="72">
        <v>180.11</v>
      </c>
      <c r="C170" s="72">
        <v>164.68</v>
      </c>
      <c r="D170" s="72">
        <v>161.6</v>
      </c>
      <c r="E170" s="72">
        <v>167.64</v>
      </c>
      <c r="F170" s="72">
        <v>182.15</v>
      </c>
      <c r="G170" s="72">
        <v>156.58000000000001</v>
      </c>
      <c r="H170" s="72">
        <v>152.65</v>
      </c>
      <c r="I170" s="72">
        <v>172.68</v>
      </c>
      <c r="J170" s="72">
        <v>167.08</v>
      </c>
      <c r="K170" s="72">
        <v>155.55000000000001</v>
      </c>
      <c r="L170" s="72">
        <v>162.5</v>
      </c>
      <c r="M170" s="72">
        <v>174.27</v>
      </c>
      <c r="N170" s="72">
        <v>169.94</v>
      </c>
      <c r="O170" s="72">
        <v>159.44999999999999</v>
      </c>
      <c r="P170" s="72">
        <v>161.91999999999999</v>
      </c>
      <c r="Q170" s="72">
        <v>194.97</v>
      </c>
      <c r="R170" s="72">
        <v>160.31</v>
      </c>
      <c r="S170" s="72">
        <v>157.07</v>
      </c>
      <c r="T170" s="72">
        <v>165.08</v>
      </c>
      <c r="U170" s="72">
        <v>184.53</v>
      </c>
      <c r="V170" s="72">
        <v>164.42</v>
      </c>
      <c r="W170" s="72">
        <v>161.9</v>
      </c>
      <c r="X170" s="72">
        <v>169.77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142.25</v>
      </c>
      <c r="C173" s="72">
        <v>144.52000000000001</v>
      </c>
      <c r="D173" s="72">
        <v>79.430000000000007</v>
      </c>
      <c r="E173" s="72">
        <v>152.26</v>
      </c>
      <c r="F173" s="72">
        <v>104.74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8.84</v>
      </c>
      <c r="C176" s="72">
        <v>10.199999999999999</v>
      </c>
      <c r="D176" s="72">
        <v>10.74</v>
      </c>
      <c r="E176" s="72">
        <v>9.26</v>
      </c>
      <c r="F176" s="72">
        <v>9.4499999999999993</v>
      </c>
      <c r="G176" s="72">
        <v>9.15</v>
      </c>
      <c r="H176" s="72">
        <v>9.32</v>
      </c>
      <c r="I176" s="72">
        <v>8.93</v>
      </c>
      <c r="J176" s="72">
        <v>9.36</v>
      </c>
      <c r="K176" s="72">
        <v>9.3800000000000008</v>
      </c>
      <c r="L176" s="72">
        <v>8.39</v>
      </c>
      <c r="M176" s="72">
        <v>8.5299999999999994</v>
      </c>
      <c r="N176" s="72">
        <v>8.49</v>
      </c>
      <c r="O176" s="72">
        <v>8.75</v>
      </c>
      <c r="P176" s="72">
        <v>9.09</v>
      </c>
      <c r="Q176" s="72">
        <v>9.5399999999999991</v>
      </c>
      <c r="R176" s="72">
        <v>10.85</v>
      </c>
      <c r="S176" s="72">
        <v>10.69</v>
      </c>
      <c r="T176" s="72">
        <v>10.83</v>
      </c>
      <c r="U176" s="72">
        <v>11.93</v>
      </c>
      <c r="V176" s="72">
        <v>12.8</v>
      </c>
      <c r="W176" s="72">
        <v>12.94</v>
      </c>
      <c r="X176" s="72">
        <v>12.07</v>
      </c>
      <c r="Y176" s="72">
        <v>12.96</v>
      </c>
      <c r="Z176" s="72">
        <v>13.82</v>
      </c>
      <c r="AA176" s="72">
        <v>13.71</v>
      </c>
      <c r="AB176" s="72">
        <v>13.24</v>
      </c>
      <c r="AC176" s="72">
        <v>14.03</v>
      </c>
      <c r="AD176" s="72">
        <v>12.68</v>
      </c>
      <c r="AE176" s="72">
        <v>13.37</v>
      </c>
      <c r="AF176" s="72">
        <v>13.68</v>
      </c>
      <c r="AG176" s="72">
        <v>12.28</v>
      </c>
      <c r="AH176" s="72">
        <v>10.88</v>
      </c>
      <c r="AI176" s="72">
        <v>10.27</v>
      </c>
      <c r="AJ176" s="72">
        <v>10.54</v>
      </c>
      <c r="AK176" s="72">
        <v>11.37</v>
      </c>
      <c r="AL176" s="72">
        <v>11.57</v>
      </c>
      <c r="AM176" s="72">
        <v>11.99</v>
      </c>
      <c r="AN176" s="72">
        <v>13.12</v>
      </c>
      <c r="AO176" s="72">
        <v>13.8</v>
      </c>
      <c r="AP176" s="72">
        <v>13.52</v>
      </c>
      <c r="AQ176" s="72">
        <v>15.1</v>
      </c>
      <c r="AR176" s="72">
        <v>12.89</v>
      </c>
      <c r="AS176" s="72">
        <v>11.9</v>
      </c>
      <c r="AT176" s="72">
        <v>13.23</v>
      </c>
      <c r="AU176" s="72">
        <v>13.54</v>
      </c>
      <c r="AV176" s="72">
        <v>14.13</v>
      </c>
      <c r="AW176" s="72">
        <v>13.93</v>
      </c>
      <c r="AX176" s="72">
        <v>13.66</v>
      </c>
      <c r="AY176" s="72">
        <v>14.58</v>
      </c>
      <c r="AZ176" s="72">
        <v>14.27</v>
      </c>
      <c r="BA176" s="72">
        <v>14.56</v>
      </c>
      <c r="BB176" s="72">
        <v>15.31</v>
      </c>
      <c r="BC176" s="72">
        <v>15.47</v>
      </c>
      <c r="BD176" s="72">
        <v>15.95</v>
      </c>
      <c r="BE176" s="72">
        <v>14.78</v>
      </c>
      <c r="BF176" s="72">
        <v>14.24</v>
      </c>
      <c r="BG176" s="72">
        <v>13.82</v>
      </c>
      <c r="BH176" s="72">
        <v>14.2</v>
      </c>
      <c r="BI176" s="72">
        <v>14.1</v>
      </c>
      <c r="BJ176" s="72">
        <v>14.35</v>
      </c>
      <c r="BK176" s="72">
        <v>14.74</v>
      </c>
      <c r="BL176" s="72">
        <v>14.29</v>
      </c>
      <c r="BM176" s="72">
        <v>14.44</v>
      </c>
      <c r="BN176" s="72">
        <v>14.52</v>
      </c>
      <c r="BO176" s="72">
        <v>14.12</v>
      </c>
      <c r="BP176" s="72">
        <v>14.24</v>
      </c>
      <c r="BQ176" s="72">
        <v>14.28</v>
      </c>
      <c r="BR176" s="72">
        <v>14.93</v>
      </c>
      <c r="BS176" s="72">
        <v>16.260000000000002</v>
      </c>
      <c r="BT176" s="72">
        <v>16.600000000000001</v>
      </c>
    </row>
  </sheetData>
  <phoneticPr fontId="3" type="noConversion"/>
  <conditionalFormatting sqref="E4">
    <cfRule type="cellIs" dxfId="4874" priority="101" operator="greaterThan">
      <formula>0.2</formula>
    </cfRule>
    <cfRule type="cellIs" dxfId="487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487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871" priority="95" operator="greaterThan">
      <formula>$B$19</formula>
    </cfRule>
  </conditionalFormatting>
  <conditionalFormatting sqref="D33:D34">
    <cfRule type="cellIs" dxfId="487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4869" priority="89" operator="lessThan">
      <formula>$H$62</formula>
    </cfRule>
    <cfRule type="cellIs" dxfId="4868" priority="90" operator="greaterThan">
      <formula>$H$62</formula>
    </cfRule>
  </conditionalFormatting>
  <conditionalFormatting sqref="J62">
    <cfRule type="cellIs" dxfId="4867" priority="87" operator="lessThan">
      <formula>$K$62</formula>
    </cfRule>
    <cfRule type="cellIs" dxfId="4866" priority="88" operator="greaterThan">
      <formula>$K$62</formula>
    </cfRule>
  </conditionalFormatting>
  <conditionalFormatting sqref="M62">
    <cfRule type="cellIs" dxfId="4865" priority="85" operator="lessThan">
      <formula>$N$62</formula>
    </cfRule>
    <cfRule type="cellIs" dxfId="4864" priority="86" operator="greaterThan">
      <formula>$N$62</formula>
    </cfRule>
  </conditionalFormatting>
  <conditionalFormatting sqref="B44:E44">
    <cfRule type="cellIs" dxfId="4863" priority="83" operator="greaterThan">
      <formula>0</formula>
    </cfRule>
    <cfRule type="cellIs" dxfId="4862" priority="84" operator="lessThan">
      <formula>0</formula>
    </cfRule>
  </conditionalFormatting>
  <conditionalFormatting sqref="F72">
    <cfRule type="cellIs" dxfId="4861" priority="82" operator="lessThan">
      <formula>$E$72*90%</formula>
    </cfRule>
  </conditionalFormatting>
  <conditionalFormatting sqref="F73">
    <cfRule type="cellIs" dxfId="4860" priority="81" operator="lessThan">
      <formula>$E$73*90%</formula>
    </cfRule>
  </conditionalFormatting>
  <conditionalFormatting sqref="F74">
    <cfRule type="cellIs" dxfId="4859" priority="80" operator="lessThan">
      <formula>$E$74*90%</formula>
    </cfRule>
  </conditionalFormatting>
  <conditionalFormatting sqref="F75">
    <cfRule type="cellIs" dxfId="4858" priority="79" operator="lessThan">
      <formula>$E$75*90%</formula>
    </cfRule>
  </conditionalFormatting>
  <conditionalFormatting sqref="H44:K44">
    <cfRule type="cellIs" dxfId="4857" priority="77" operator="greaterThan">
      <formula>0</formula>
    </cfRule>
    <cfRule type="cellIs" dxfId="4856" priority="78" operator="lessThan">
      <formula>0</formula>
    </cfRule>
  </conditionalFormatting>
  <conditionalFormatting sqref="H51:K51">
    <cfRule type="cellIs" dxfId="4855" priority="75" operator="greaterThan">
      <formula>0</formula>
    </cfRule>
    <cfRule type="cellIs" dxfId="4854" priority="76" operator="lessThan">
      <formula>0</formula>
    </cfRule>
  </conditionalFormatting>
  <conditionalFormatting sqref="B51:E51">
    <cfRule type="cellIs" dxfId="4853" priority="73" operator="greaterThan">
      <formula>0</formula>
    </cfRule>
    <cfRule type="cellIs" dxfId="485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85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85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849" priority="56" operator="lessThan">
      <formula>0</formula>
    </cfRule>
  </conditionalFormatting>
  <conditionalFormatting sqref="A25 E25 C25">
    <cfRule type="cellIs" dxfId="4848" priority="57" operator="lessThan">
      <formula>0</formula>
    </cfRule>
  </conditionalFormatting>
  <conditionalFormatting sqref="F25">
    <cfRule type="cellIs" dxfId="4847" priority="55" operator="lessThan">
      <formula>0</formula>
    </cfRule>
  </conditionalFormatting>
  <conditionalFormatting sqref="E1">
    <cfRule type="containsText" dxfId="4846" priority="54" operator="containsText" text="本季業外損益/平均=-">
      <formula>NOT(ISERROR(SEARCH("本季業外損益/平均=-",E1)))</formula>
    </cfRule>
  </conditionalFormatting>
  <conditionalFormatting sqref="M65">
    <cfRule type="cellIs" dxfId="4845" priority="53" operator="lessThan">
      <formula>$L$65*90%</formula>
    </cfRule>
  </conditionalFormatting>
  <conditionalFormatting sqref="M66">
    <cfRule type="cellIs" dxfId="4844" priority="52" operator="lessThan">
      <formula>$L$66*90%</formula>
    </cfRule>
  </conditionalFormatting>
  <conditionalFormatting sqref="M67">
    <cfRule type="cellIs" dxfId="4843" priority="51" operator="lessThan">
      <formula>$L$67*90%</formula>
    </cfRule>
  </conditionalFormatting>
  <conditionalFormatting sqref="M68">
    <cfRule type="cellIs" dxfId="4842" priority="50" operator="lessThan">
      <formula>$L$68*90%</formula>
    </cfRule>
  </conditionalFormatting>
  <conditionalFormatting sqref="B60">
    <cfRule type="cellIs" dxfId="4841" priority="49" operator="lessThan">
      <formula>0</formula>
    </cfRule>
  </conditionalFormatting>
  <conditionalFormatting sqref="B59:F59">
    <cfRule type="cellIs" dxfId="4840" priority="48" operator="lessThanOrEqual">
      <formula>0</formula>
    </cfRule>
  </conditionalFormatting>
  <conditionalFormatting sqref="D62">
    <cfRule type="cellIs" dxfId="4839" priority="46" operator="lessThan">
      <formula>$E$62</formula>
    </cfRule>
    <cfRule type="cellIs" dxfId="4838" priority="47" operator="greaterThan">
      <formula>$E$62</formula>
    </cfRule>
  </conditionalFormatting>
  <conditionalFormatting sqref="F69">
    <cfRule type="cellIs" dxfId="4837" priority="44" operator="lessThan">
      <formula>0</formula>
    </cfRule>
  </conditionalFormatting>
  <conditionalFormatting sqref="B65:E67 B69:E69 B68:D68">
    <cfRule type="cellIs" dxfId="4836" priority="45" operator="lessThan">
      <formula>0</formula>
    </cfRule>
  </conditionalFormatting>
  <conditionalFormatting sqref="E68">
    <cfRule type="cellIs" dxfId="4835" priority="43" operator="lessThan">
      <formula>0</formula>
    </cfRule>
  </conditionalFormatting>
  <conditionalFormatting sqref="F65:F68">
    <cfRule type="cellIs" dxfId="4834" priority="42" operator="lessThan">
      <formula>0</formula>
    </cfRule>
  </conditionalFormatting>
  <conditionalFormatting sqref="F65:F68">
    <cfRule type="cellIs" dxfId="4833" priority="41" operator="lessThan">
      <formula>$E$65*0.9</formula>
    </cfRule>
  </conditionalFormatting>
  <conditionalFormatting sqref="F66">
    <cfRule type="cellIs" dxfId="4832" priority="40" operator="lessThan">
      <formula>$E$66*0.9</formula>
    </cfRule>
  </conditionalFormatting>
  <conditionalFormatting sqref="F67:F68">
    <cfRule type="cellIs" dxfId="4831" priority="39" operator="lessThan">
      <formula>$E$67*0.9</formula>
    </cfRule>
  </conditionalFormatting>
  <conditionalFormatting sqref="F68">
    <cfRule type="cellIs" dxfId="4830" priority="38" operator="lessThan">
      <formula>$E$68*0.9</formula>
    </cfRule>
  </conditionalFormatting>
  <conditionalFormatting sqref="B13:F13">
    <cfRule type="cellIs" dxfId="4829" priority="27" operator="greaterThan">
      <formula>$I$16</formula>
    </cfRule>
    <cfRule type="cellIs" dxfId="4828" priority="28" operator="lessThanOrEqual">
      <formula>$I$16</formula>
    </cfRule>
  </conditionalFormatting>
  <conditionalFormatting sqref="B10:F10">
    <cfRule type="cellIs" dxfId="4827" priority="29" operator="greaterThan">
      <formula>15</formula>
    </cfRule>
    <cfRule type="cellIs" dxfId="4826" priority="36" operator="lessThan">
      <formula>$I$9</formula>
    </cfRule>
    <cfRule type="cellIs" dxfId="4825" priority="37" operator="greaterThan">
      <formula>$I$9</formula>
    </cfRule>
  </conditionalFormatting>
  <conditionalFormatting sqref="B16:F16">
    <cfRule type="cellIs" dxfId="4824" priority="34" operator="greaterThan">
      <formula>$I$16</formula>
    </cfRule>
    <cfRule type="cellIs" dxfId="4823" priority="35" operator="lessThanOrEqual">
      <formula>$I$16</formula>
    </cfRule>
  </conditionalFormatting>
  <conditionalFormatting sqref="B15:F15">
    <cfRule type="cellIs" dxfId="4822" priority="32" operator="lessThanOrEqual">
      <formula>$I$16</formula>
    </cfRule>
    <cfRule type="cellIs" dxfId="4821" priority="33" operator="greaterThan">
      <formula>$I$16</formula>
    </cfRule>
  </conditionalFormatting>
  <conditionalFormatting sqref="B14:F14">
    <cfRule type="cellIs" dxfId="4820" priority="30" operator="greaterThan">
      <formula>$I$16</formula>
    </cfRule>
    <cfRule type="cellIs" dxfId="4819" priority="31" operator="lessThanOrEqual">
      <formula>$I$16</formula>
    </cfRule>
  </conditionalFormatting>
  <conditionalFormatting sqref="K6">
    <cfRule type="containsText" dxfId="4818" priority="25" operator="containsText" text="衰退">
      <formula>NOT(ISERROR(SEARCH("衰退",K6)))</formula>
    </cfRule>
    <cfRule type="containsText" dxfId="4817" priority="26" operator="containsText" text="成長">
      <formula>NOT(ISERROR(SEARCH("成長",K6)))</formula>
    </cfRule>
  </conditionalFormatting>
  <conditionalFormatting sqref="I4:K4">
    <cfRule type="cellIs" dxfId="4816" priority="23" operator="lessThan">
      <formula>0</formula>
    </cfRule>
    <cfRule type="cellIs" dxfId="481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814" priority="20" operator="lessThanOrEqual">
      <formula>$I$16</formula>
    </cfRule>
    <cfRule type="cellIs" dxfId="4813" priority="21" operator="greaterThan">
      <formula>$I$16</formula>
    </cfRule>
  </conditionalFormatting>
  <conditionalFormatting sqref="I6">
    <cfRule type="containsText" dxfId="4812" priority="18" operator="containsText" text="衰退">
      <formula>NOT(ISERROR(SEARCH("衰退",I6)))</formula>
    </cfRule>
    <cfRule type="containsText" dxfId="4811" priority="19" operator="containsText" text="成長">
      <formula>NOT(ISERROR(SEARCH("成長",I6)))</formula>
    </cfRule>
  </conditionalFormatting>
  <conditionalFormatting sqref="M9">
    <cfRule type="cellIs" dxfId="4810" priority="17" operator="lessThan">
      <formula>$I$9</formula>
    </cfRule>
  </conditionalFormatting>
  <conditionalFormatting sqref="M10">
    <cfRule type="cellIs" dxfId="4809" priority="16" operator="greaterThan">
      <formula>$I$9</formula>
    </cfRule>
  </conditionalFormatting>
  <conditionalFormatting sqref="M11">
    <cfRule type="cellIs" dxfId="480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807" priority="12" operator="lessThan">
      <formula>0</formula>
    </cfRule>
    <cfRule type="cellIs" dxfId="4806" priority="13" operator="greaterThan">
      <formula>0.5</formula>
    </cfRule>
  </conditionalFormatting>
  <conditionalFormatting sqref="N14">
    <cfRule type="cellIs" dxfId="480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804" priority="8" operator="lessThan">
      <formula>0.1</formula>
    </cfRule>
  </conditionalFormatting>
  <conditionalFormatting sqref="I14">
    <cfRule type="cellIs" dxfId="480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80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801" priority="1" operator="lessThan">
      <formula>$N$5*0.9</formula>
    </cfRule>
    <cfRule type="cellIs" dxfId="4800" priority="2" operator="greaterThan">
      <formula>$N$5*1.1</formula>
    </cfRule>
  </conditionalFormatting>
  <hyperlinks>
    <hyperlink ref="L1" location="儀表板!A1" display="(回首頁)" xr:uid="{00000000-0004-0000-2700-000000000000}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8.51 ~ 13.82</v>
      </c>
      <c r="L1" s="83" t="s">
        <v>176</v>
      </c>
      <c r="M1" s="84" t="str">
        <f ca="1">VLOOKUP(_xlfn.NUMBERVALUE(N1),儀表板!A:B,2,FALSE)</f>
        <v>聯詠</v>
      </c>
      <c r="N1" s="85" t="str">
        <f ca="1">MID(CELL("filename",L1),FIND("]",CELL("filename",L1))+1,255)</f>
        <v>3034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0.13497453941658541</v>
      </c>
    </row>
    <row r="3" spans="1:15" s="93" customFormat="1" x14ac:dyDescent="0.25">
      <c r="A3" s="81" t="s">
        <v>179</v>
      </c>
      <c r="B3" s="94">
        <f>SUM(F19:F22,F24:F27,J19)</f>
        <v>92.399990835591638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113.97150500197002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119.80678076827209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128.33526073440592</v>
      </c>
      <c r="L3" s="100"/>
      <c r="M3" s="79" t="s">
        <v>385</v>
      </c>
      <c r="N3" s="92">
        <f>(F69-E69)/E69</f>
        <v>-6.3107995215862002E-3</v>
      </c>
    </row>
    <row r="4" spans="1:15" s="93" customFormat="1" x14ac:dyDescent="0.25">
      <c r="A4" s="81" t="s">
        <v>182</v>
      </c>
      <c r="B4" s="96">
        <f>SUM(G36:G40)*2</f>
        <v>72</v>
      </c>
      <c r="C4" s="101"/>
      <c r="D4" s="102">
        <f>F4*(1+F141/10)</f>
        <v>60.9</v>
      </c>
      <c r="E4" s="82">
        <f>(D4-F4)/F4</f>
        <v>0</v>
      </c>
      <c r="F4" s="103">
        <v>60.9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8.178062119937346</v>
      </c>
    </row>
    <row r="5" spans="1:15" s="93" customFormat="1" x14ac:dyDescent="0.25">
      <c r="A5" s="81" t="s">
        <v>184</v>
      </c>
      <c r="B5" s="107">
        <f>SUM(F30:F34)*2</f>
        <v>99</v>
      </c>
      <c r="C5" s="87"/>
      <c r="D5" s="87"/>
      <c r="E5" s="87"/>
      <c r="F5" s="86"/>
      <c r="G5" s="88"/>
      <c r="M5" s="79" t="s">
        <v>386</v>
      </c>
      <c r="N5" s="152">
        <f>D62</f>
        <v>8.15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8.5868872146927302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19.809999999999999</v>
      </c>
      <c r="N9" s="129"/>
    </row>
    <row r="10" spans="1:15" s="93" customFormat="1" x14ac:dyDescent="0.25">
      <c r="A10" s="123" t="s">
        <v>194</v>
      </c>
      <c r="B10" s="126">
        <f>PERCENTILE(176:176,B9)</f>
        <v>12.25</v>
      </c>
      <c r="C10" s="126">
        <f>PERCENTILE(176:176,C9)</f>
        <v>13.965</v>
      </c>
      <c r="D10" s="126">
        <f>PERCENTILE(176:176,D9)</f>
        <v>14.68</v>
      </c>
      <c r="E10" s="126">
        <f>PERCENTILE(176:176,E9)</f>
        <v>15.725000000000001</v>
      </c>
      <c r="F10" s="126">
        <f>PERCENTILE(176:176,F9)</f>
        <v>17.34</v>
      </c>
      <c r="G10" s="95"/>
      <c r="H10" s="135"/>
      <c r="I10" s="135"/>
      <c r="J10" s="135"/>
      <c r="K10" s="135"/>
      <c r="L10" s="136" t="s">
        <v>374</v>
      </c>
      <c r="M10" s="130">
        <f>MIN(176:176)</f>
        <v>9.08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44.79</v>
      </c>
      <c r="L11" s="272" t="s">
        <v>193</v>
      </c>
      <c r="M11" s="128">
        <f>STDEV(176:176)</f>
        <v>2.6883363393820123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112.04481792717088</v>
      </c>
      <c r="C13" s="141">
        <f>$B$34/5.88%</f>
        <v>136.0544217687075</v>
      </c>
      <c r="D13" s="141">
        <f>$B$34/5%</f>
        <v>160</v>
      </c>
      <c r="E13" s="141">
        <f>$B$34/4.35%</f>
        <v>183.90804597701151</v>
      </c>
      <c r="F13" s="141">
        <f>$B$34/3.85%</f>
        <v>207.79220779220779</v>
      </c>
      <c r="G13" s="138" t="str">
        <f>"$"&amp;ROUND(B34,2)&amp;"/"&amp;IF(STDEV(C140:F140)/AVERAGE(C140:F140)&lt;15%,"高",IF(STDEV(C140:F140)/AVERAGE(C140:F140)&lt;30%,"中","低"))</f>
        <v>$8/中</v>
      </c>
      <c r="H13" s="142" t="s">
        <v>199</v>
      </c>
      <c r="I13" s="143">
        <f>MAX(0,1-J15)</f>
        <v>0.14945321992709604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117.60000000000002</v>
      </c>
      <c r="C14" s="141">
        <f>$B$33*C10</f>
        <v>134.06400000000002</v>
      </c>
      <c r="D14" s="141">
        <f>$B$33*D10</f>
        <v>140.92800000000003</v>
      </c>
      <c r="E14" s="141">
        <f>$B$33*E10</f>
        <v>150.96000000000004</v>
      </c>
      <c r="F14" s="141">
        <f>$B$33*F10</f>
        <v>166.46400000000003</v>
      </c>
      <c r="G14" s="138" t="str">
        <f>"$"&amp;ROUND(B33,2)&amp;"/"&amp;IF(STDEV(B69:E69)/AVERAGE(B69:E69)&lt;15%,"高",IF(STDEV(B69:E69)/AVERAGE(B69:E69)&lt;30%,"中","低"))</f>
        <v>$9.6/中</v>
      </c>
      <c r="H14" s="142" t="s">
        <v>203</v>
      </c>
      <c r="I14" s="145">
        <f>G62/100*I13</f>
        <v>2.7200486026731478E-2</v>
      </c>
      <c r="J14" s="76" t="s">
        <v>204</v>
      </c>
      <c r="K14" s="146"/>
      <c r="L14" s="147">
        <f>(HLOOKUP($C$1,$105:$106,2,FALSE)-HLOOKUP($C$1,$117:$127,9,FALSE))/(HLOOKUP($C$1,$117:$128,12,FALSE)/K11)</f>
        <v>27.316038406326111</v>
      </c>
      <c r="M14" s="148">
        <f>E135/E69</f>
        <v>1.6075334143377886</v>
      </c>
      <c r="N14" s="149">
        <f>F173/100</f>
        <v>1.4086000000000001</v>
      </c>
    </row>
    <row r="15" spans="1:15" s="93" customFormat="1" x14ac:dyDescent="0.25">
      <c r="A15" s="140" t="s">
        <v>375</v>
      </c>
      <c r="B15" s="141">
        <f>$D$62*B10</f>
        <v>99.837500000000006</v>
      </c>
      <c r="C15" s="141">
        <f>$D$62*C10</f>
        <v>113.81475</v>
      </c>
      <c r="D15" s="141">
        <f>$D$62*D10</f>
        <v>119.642</v>
      </c>
      <c r="E15" s="141">
        <f>$D$62*E10</f>
        <v>128.15875000000003</v>
      </c>
      <c r="F15" s="141">
        <f>$D$62*F10</f>
        <v>141.321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0.85054678007290396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100.18126096923248</v>
      </c>
      <c r="C16" s="141">
        <f>$F$69*C10</f>
        <v>114.20663750492504</v>
      </c>
      <c r="D16" s="141">
        <f>$F$69*D10</f>
        <v>120.05395192068023</v>
      </c>
      <c r="E16" s="141">
        <f>$F$69*E10</f>
        <v>128.60002683601479</v>
      </c>
      <c r="F16" s="141">
        <f>$F$69*F10</f>
        <v>141.80759715971357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4229</v>
      </c>
      <c r="J17" s="92">
        <f ca="1">IF(I17&lt;=0,"",IF(I17&lt;=MIN($B$13:$F$16),(I17-MIN($B$13:$F$16))/MIN($B$13:$F$16),IF(I17&gt;=MAX($B$13:$F$16),I17/MAX($B$13:$F$16),PERCENTRANK($B$13:$F$16,I17))))</f>
        <v>20.352062499999999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10.0075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1.2509375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0.14868106932573036</v>
      </c>
      <c r="J20" s="171">
        <f>HLOOKUP($C$1,$117:$127,11,FALSE)/HLOOKUP($C$1,$105:$115,11,FALSE)</f>
        <v>0.33991358191456444</v>
      </c>
      <c r="K20" s="163"/>
    </row>
    <row r="21" spans="1:14" s="93" customFormat="1" x14ac:dyDescent="0.25">
      <c r="A21" s="151" t="s">
        <v>201</v>
      </c>
      <c r="B21" s="161">
        <f>AVERAGE(C173:F173)/100</f>
        <v>1.1655249999999999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2.5592541562967237</v>
      </c>
      <c r="J21" s="78"/>
      <c r="K21" s="164" t="s">
        <v>356</v>
      </c>
      <c r="L21" s="165">
        <f>HLOOKUP($C$1,$105:$115,7,FALSE)/HLOOKUP($C$1,$105:$115,11,FALSE)</f>
        <v>0.8417934372954764</v>
      </c>
      <c r="M21" s="123" t="s">
        <v>268</v>
      </c>
      <c r="N21" s="165">
        <f>HLOOKUP($C$1,$117:$127,8,FALSE)/HLOOKUP($C$1,$117:$127,11,FALSE)</f>
        <v>0.96766180762254694</v>
      </c>
    </row>
    <row r="22" spans="1:14" s="93" customFormat="1" x14ac:dyDescent="0.25">
      <c r="A22" s="140" t="s">
        <v>222</v>
      </c>
      <c r="B22" s="161">
        <f>(-1)*SUM(C133:F133)/SUM(C132:F132)</f>
        <v>9.1693145710394927E-2</v>
      </c>
      <c r="C22" s="157"/>
      <c r="D22" s="166"/>
      <c r="E22" s="140"/>
      <c r="F22" s="159">
        <f>IF(B22&lt;=0,10,IF(B22&gt;=100%,0,(1-B22)*10))</f>
        <v>9.0830685428960507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2.1247235049980402</v>
      </c>
      <c r="J22" s="78"/>
      <c r="K22" s="142" t="s">
        <v>357</v>
      </c>
      <c r="L22" s="165">
        <f>HLOOKUP($C$1,$105:$115,4,FALSE)/HLOOKUP($C$1,$105:$115,11,FALSE)</f>
        <v>0.27687634761876834</v>
      </c>
      <c r="M22" s="123" t="s">
        <v>353</v>
      </c>
      <c r="N22" s="165">
        <f>HLOOKUP($C$1,$117:$127,4,FALSE)/HLOOKUP($C$1,$117:$127,11,FALSE)</f>
        <v>0.56259156080706241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1.5149531524985402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0.1429264263054893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78.95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7.6480620709953623E-2</v>
      </c>
      <c r="M24" s="123" t="s">
        <v>355</v>
      </c>
      <c r="N24" s="165">
        <f>HLOOKUP($C$1,$117:$127,9,FALSE)/HLOOKUP($C$1,$117:$127,11,FALSE)</f>
        <v>3.233819237745305E-2</v>
      </c>
    </row>
    <row r="25" spans="1:14" s="93" customFormat="1" x14ac:dyDescent="0.25">
      <c r="A25" s="151" t="s">
        <v>366</v>
      </c>
      <c r="B25" s="255">
        <f>AVERAGE(94:94)</f>
        <v>67028.65217391304</v>
      </c>
      <c r="C25" s="254">
        <f>STDEV(94:94)/AVERAGE(94:94)</f>
        <v>1.1830777073044221</v>
      </c>
      <c r="D25" s="76" t="str">
        <f>IF(C25&lt;=1,"高",IF(C25&lt;=2,"中","低"))</f>
        <v>中</v>
      </c>
      <c r="E25" s="149"/>
      <c r="F25" s="160">
        <f>MAX(0,10-ABS(C25))</f>
        <v>8.8169222926955779</v>
      </c>
      <c r="G25" s="88" t="s">
        <v>213</v>
      </c>
      <c r="H25" s="123" t="s">
        <v>232</v>
      </c>
      <c r="I25" s="170">
        <f>IF(HLOOKUP(C1,167:170,3,FALSE)="無",0,HLOOKUP(C1,167:170,3,FALSE))</f>
        <v>59.21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86.954347826086945</v>
      </c>
      <c r="C26" s="172">
        <f>IF(COUNTIF(168:168,"&gt;0")=0,0,STDEV(168:168))</f>
        <v>10.218980480230734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54.221739130434791</v>
      </c>
      <c r="C27" s="172">
        <f>IF(COUNTIF(169:169,"&gt;0")=0,0,STDEV(169:169))</f>
        <v>5.6341480376957698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0.28242499999999998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0.1208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21.765000000000001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9.6000000000000014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8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9.5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48009410.5</v>
      </c>
      <c r="C36" s="178">
        <f>STDEV(C97:F97)</f>
        <v>5581844.0067409622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28.2425</v>
      </c>
      <c r="C37" s="180">
        <f>STDEV(C152:F152)</f>
        <v>0.3441293361513954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13.432499999999999</v>
      </c>
      <c r="C38" s="180">
        <f>STDEV(C153:F153)</f>
        <v>0.95188847385955178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21.765000000000001</v>
      </c>
      <c r="C39" s="181">
        <f>STDEV(C165:F165)</f>
        <v>4.1824434644515387</v>
      </c>
      <c r="D39" s="76" t="str">
        <f>IF(C39/B39&lt;15%,"高",IF(C39/B39&lt;30%,"中","低"))</f>
        <v>中</v>
      </c>
      <c r="E39" s="107">
        <f>IF(F165&gt;E165,1,0)+IF(E165&gt;D165,1,0)+IF(D165&gt;C165,1,0)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9.6000000000000014</v>
      </c>
      <c r="C40" s="183">
        <f>STDEV(B69:E69)</f>
        <v>1.9053433636311548</v>
      </c>
      <c r="D40" s="76" t="str">
        <f>IF(C40/B40&lt;15%,"高",IF(C40/B40&lt;30%,"中","低"))</f>
        <v>中</v>
      </c>
      <c r="E40" s="107">
        <f>IF(E69&gt;D69,1,0)+IF(D69&gt;C69,1,0)+IF(C69&gt;B69,1,0)</f>
        <v>1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0.26237623762376228</v>
      </c>
      <c r="C44" s="186">
        <f>(C46-C49)/C49</f>
        <v>-6.0747663551402022E-2</v>
      </c>
      <c r="D44" s="186">
        <f>(D46-D49)/D49</f>
        <v>-0.23880597014925364</v>
      </c>
      <c r="E44" s="186">
        <f>(E46-E49)/E49</f>
        <v>-0.17269076305220887</v>
      </c>
      <c r="G44" s="86" t="s">
        <v>175</v>
      </c>
      <c r="H44" s="186">
        <f>(H47-H50)/H50</f>
        <v>5.9210526315789457E-2</v>
      </c>
      <c r="I44" s="186">
        <f>(I47-I50)/I50</f>
        <v>-6.3149480415667286E-2</v>
      </c>
      <c r="J44" s="186">
        <f>(J47-J50)/J50</f>
        <v>-0.14605873261205554</v>
      </c>
      <c r="K44" s="186">
        <f>(K47-K50)/K50</f>
        <v>-0.10617469879518084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2.5499999999999998</v>
      </c>
      <c r="C46" s="152">
        <f>HLOOKUP(C45,$81:$82,2,FALSE)</f>
        <v>2.0099999999999998</v>
      </c>
      <c r="D46" s="152">
        <f>HLOOKUP(D45,$81:$82,2,FALSE)</f>
        <v>1.53</v>
      </c>
      <c r="E46" s="152">
        <f>HLOOKUP(E45,$81:$82,2,FALSE)</f>
        <v>2.06</v>
      </c>
      <c r="G46" s="86" t="s">
        <v>164</v>
      </c>
      <c r="H46" s="145">
        <f>HLOOKUP(H45,$145:$147,2,FALSE)/100</f>
        <v>0.29010000000000002</v>
      </c>
      <c r="I46" s="145">
        <f>HLOOKUP(I45,$145:$147,2,FALSE)/100</f>
        <v>0.2828</v>
      </c>
      <c r="J46" s="145">
        <f>HLOOKUP(J45,$145:$147,2,FALSE)/100</f>
        <v>0.28489999999999999</v>
      </c>
      <c r="K46" s="145">
        <f>HLOOKUP(K45,$145:$147,2,FALSE)/100</f>
        <v>0.28199999999999997</v>
      </c>
    </row>
    <row r="47" spans="1:14" x14ac:dyDescent="0.25">
      <c r="A47" s="188" t="s">
        <v>165</v>
      </c>
      <c r="B47" s="189">
        <f>HLOOKUP(B45,$157:$159,3,FALSE)</f>
        <v>5.86</v>
      </c>
      <c r="C47" s="189">
        <f>HLOOKUP(C45,$157:$159,3,FALSE)</f>
        <v>4.4800000000000004</v>
      </c>
      <c r="D47" s="189">
        <f>HLOOKUP(D45,$157:$159,3,FALSE)</f>
        <v>3.27</v>
      </c>
      <c r="E47" s="189">
        <f>HLOOKUP(E45,$157:$159,3,FALSE)</f>
        <v>4.59</v>
      </c>
      <c r="G47" s="190" t="s">
        <v>166</v>
      </c>
      <c r="H47" s="145">
        <f>HLOOKUP(H45,$145:$147,3,FALSE)/100</f>
        <v>0.1288</v>
      </c>
      <c r="I47" s="145">
        <f>HLOOKUP(I45,$145:$147,3,FALSE)/100</f>
        <v>0.11720000000000001</v>
      </c>
      <c r="J47" s="145">
        <f>HLOOKUP(J45,$145:$147,3,FALSE)/100</f>
        <v>0.1105</v>
      </c>
      <c r="K47" s="145">
        <f>HLOOKUP(K45,$145:$147,3,FALSE)/100</f>
        <v>0.11869999999999999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2.02</v>
      </c>
      <c r="C49" s="152">
        <f>HLOOKUP(C48,$81:$82,2,FALSE)</f>
        <v>2.14</v>
      </c>
      <c r="D49" s="152">
        <f>HLOOKUP(D48,$81:$82,2,FALSE)</f>
        <v>2.0099999999999998</v>
      </c>
      <c r="E49" s="152">
        <f>HLOOKUP(E48,$81:$82,2,FALSE)</f>
        <v>2.4900000000000002</v>
      </c>
      <c r="G49" s="86" t="s">
        <v>164</v>
      </c>
      <c r="H49" s="145">
        <f>HLOOKUP(H48,$145:$147,2,FALSE)/100</f>
        <v>0.27710000000000001</v>
      </c>
      <c r="I49" s="145">
        <f>HLOOKUP(I48,$145:$147,2,FALSE)/100</f>
        <v>0.28190000000000004</v>
      </c>
      <c r="J49" s="145">
        <f>HLOOKUP(J48,$145:$147,2,FALSE)/100</f>
        <v>0.29410000000000003</v>
      </c>
      <c r="K49" s="145">
        <f>HLOOKUP(K48,$145:$147,2,FALSE)/100</f>
        <v>0.28449999999999998</v>
      </c>
    </row>
    <row r="50" spans="1:15" x14ac:dyDescent="0.25">
      <c r="A50" s="188" t="s">
        <v>165</v>
      </c>
      <c r="B50" s="189">
        <f>HLOOKUP(B48,$157:$159,3,FALSE)</f>
        <v>4.7</v>
      </c>
      <c r="C50" s="189">
        <f>HLOOKUP(C48,$157:$159,3,FALSE)</f>
        <v>4.71</v>
      </c>
      <c r="D50" s="189">
        <f>HLOOKUP(D48,$157:$159,3,FALSE)</f>
        <v>4.1900000000000004</v>
      </c>
      <c r="E50" s="189">
        <f>HLOOKUP(E48,$157:$159,3,FALSE)</f>
        <v>5.46</v>
      </c>
      <c r="G50" s="190" t="s">
        <v>166</v>
      </c>
      <c r="H50" s="145">
        <f>HLOOKUP(H48,$145:$147,3,FALSE)/100</f>
        <v>0.1216</v>
      </c>
      <c r="I50" s="145">
        <f>HLOOKUP(I48,$145:$147,3,FALSE)/100</f>
        <v>0.12509999999999999</v>
      </c>
      <c r="J50" s="145">
        <f>HLOOKUP(J48,$145:$147,3,FALSE)/100</f>
        <v>0.12939999999999999</v>
      </c>
      <c r="K50" s="145">
        <f>HLOOKUP(K48,$145:$147,3,FALSE)/100</f>
        <v>0.1328</v>
      </c>
    </row>
    <row r="51" spans="1:15" x14ac:dyDescent="0.25">
      <c r="A51" s="86" t="s">
        <v>351</v>
      </c>
      <c r="B51" s="186">
        <f>(B47-B50)/B50</f>
        <v>0.2468085106382979</v>
      </c>
      <c r="C51" s="186">
        <f>(C47-C50)/C50</f>
        <v>-4.8832271762207967E-2</v>
      </c>
      <c r="D51" s="186">
        <f>(D47-D50)/D50</f>
        <v>-0.21957040572792369</v>
      </c>
      <c r="E51" s="186">
        <f>(E47-E50)/E50</f>
        <v>-0.15934065934065936</v>
      </c>
      <c r="G51" s="235" t="s">
        <v>174</v>
      </c>
      <c r="H51" s="186">
        <f>(H46-H49)/H49</f>
        <v>4.6914471309996431E-2</v>
      </c>
      <c r="I51" s="186">
        <f>(I46-I49)/I49</f>
        <v>3.1926214969845912E-3</v>
      </c>
      <c r="J51" s="186">
        <f>(J46-J49)/J49</f>
        <v>-3.1281876912614894E-2</v>
      </c>
      <c r="K51" s="186">
        <f>(K46-K49)/K49</f>
        <v>-8.7873462214411325E-3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8.5868872146927302</v>
      </c>
      <c r="B53" s="193">
        <f>B46</f>
        <v>2.5499999999999998</v>
      </c>
      <c r="C53" s="193">
        <f>E46/HLOOKUP(E45,$87:$94,5,FALSE)*HLOOKUP(E45,$87:$94,4,FALSE)*($B$25/HLOOKUP(E45,$87:$94,4,FALSE)+SUM($B$57:$D$57)/SUM($B58:$D$58)*$G$69/100/K46)</f>
        <v>2.0880621199373461</v>
      </c>
      <c r="D53" s="193">
        <f>D46/HLOOKUP(D45,$87:$94,5,FALSE)*HLOOKUP(D45,$87:$94,4,FALSE)*($B$25/HLOOKUP(D45,$87:$94,4,FALSE)+SUM($B$57:$D$57)/SUM($B58:$D$58)*$G$69/100/J46)</f>
        <v>1.8467491245292535</v>
      </c>
      <c r="E53" s="193">
        <f>C46/HLOOKUP(C45,$87:$94,5,FALSE)*HLOOKUP(C45,$87:$94,4,FALSE)*($B$25/HLOOKUP(C45,$87:$94,4,FALSE)+SUM($B$57:$D$57)/SUM($B58:$D$58)*$G$69/100/I46)</f>
        <v>2.1020759702261307</v>
      </c>
    </row>
    <row r="54" spans="1:15" x14ac:dyDescent="0.25">
      <c r="A54" s="278">
        <f>SUM(B54:E54)</f>
        <v>7.62</v>
      </c>
      <c r="B54" s="277">
        <f t="shared" ref="B54:D54" si="0">HLOOKUP(B52-10,81:82,2,FALSE)</f>
        <v>2.02</v>
      </c>
      <c r="C54" s="277">
        <f t="shared" si="0"/>
        <v>2.06</v>
      </c>
      <c r="D54" s="277">
        <f t="shared" si="0"/>
        <v>1.53</v>
      </c>
      <c r="E54" s="277">
        <f>HLOOKUP(E52-10,81:82,2,FALSE)</f>
        <v>2.0099999999999998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4264670</v>
      </c>
      <c r="C57" s="196">
        <f>HLOOKUP(C56,78:79,2,FALSE)</f>
        <v>4324469</v>
      </c>
      <c r="D57" s="196">
        <f>HLOOKUP(D56,78:79,2,FALSE)</f>
        <v>4121012</v>
      </c>
      <c r="E57" s="196">
        <f>HLOOKUP(E56,78:79,2,FALSE)</f>
        <v>3952776</v>
      </c>
      <c r="F57" s="196">
        <f>HLOOKUP(F56,78:79,2,FALSE)</f>
        <v>3879881</v>
      </c>
      <c r="G57" s="196">
        <f t="shared" ref="G57:M57" si="2">HLOOKUP(G56,78:79,2,FALSE)</f>
        <v>4015948</v>
      </c>
      <c r="H57" s="196">
        <f t="shared" si="2"/>
        <v>3910213</v>
      </c>
      <c r="I57" s="196">
        <f t="shared" si="2"/>
        <v>3906443</v>
      </c>
      <c r="J57" s="196">
        <f t="shared" si="2"/>
        <v>3360330</v>
      </c>
      <c r="K57" s="196">
        <f t="shared" si="2"/>
        <v>3651765</v>
      </c>
      <c r="L57" s="196">
        <f t="shared" si="2"/>
        <v>3725155</v>
      </c>
      <c r="M57" s="196">
        <f t="shared" si="2"/>
        <v>3630255</v>
      </c>
      <c r="N57" s="197"/>
    </row>
    <row r="58" spans="1:15" x14ac:dyDescent="0.25">
      <c r="A58" s="198" t="s">
        <v>253</v>
      </c>
      <c r="B58" s="196">
        <f>HLOOKUP(B56-100,78:79,2,FALSE)</f>
        <v>3864010</v>
      </c>
      <c r="C58" s="196">
        <f>HLOOKUP(C56-100,78:79,2,FALSE)</f>
        <v>4111217</v>
      </c>
      <c r="D58" s="196">
        <f>HLOOKUP(D56-100,78:79,2,FALSE)</f>
        <v>4094737</v>
      </c>
      <c r="E58" s="196">
        <f>HLOOKUP(E56-100,78:79,2,FALSE)</f>
        <v>3815389</v>
      </c>
      <c r="F58" s="196">
        <f>HLOOKUP(F56-100,78:79,2,FALSE)</f>
        <v>3737463</v>
      </c>
      <c r="G58" s="196">
        <f t="shared" ref="G58:M58" si="3">HLOOKUP(G56-100,78:79,2,FALSE)</f>
        <v>3872523</v>
      </c>
      <c r="H58" s="196">
        <f t="shared" si="3"/>
        <v>3830088</v>
      </c>
      <c r="I58" s="196">
        <f t="shared" si="3"/>
        <v>3820834</v>
      </c>
      <c r="J58" s="196">
        <f t="shared" si="3"/>
        <v>3111217</v>
      </c>
      <c r="K58" s="196">
        <f t="shared" si="3"/>
        <v>4037993</v>
      </c>
      <c r="L58" s="196">
        <f t="shared" si="3"/>
        <v>4007765</v>
      </c>
      <c r="M58" s="196">
        <f t="shared" si="3"/>
        <v>4204216</v>
      </c>
      <c r="N58" s="197"/>
    </row>
    <row r="59" spans="1:15" x14ac:dyDescent="0.25">
      <c r="A59" s="199" t="s">
        <v>254</v>
      </c>
      <c r="B59" s="165">
        <f>IF(B57&lt;&gt;"",(B57-B58)/B58,"")</f>
        <v>0.10369020784107702</v>
      </c>
      <c r="C59" s="165">
        <f>IF(C57&lt;&gt;"",(C57-C58)/C58,"")</f>
        <v>5.187077208524872E-2</v>
      </c>
      <c r="D59" s="165">
        <f>IF(D57&lt;&gt;"",(D57-D58)/D58,"")</f>
        <v>6.416773531486882E-3</v>
      </c>
      <c r="E59" s="165">
        <f>IF(E57&lt;&gt;"",(E57-E58)/E58,"")</f>
        <v>3.6008648135222907E-2</v>
      </c>
      <c r="F59" s="165">
        <f>IF(F57&lt;&gt;"",(F57-F58)/F58,"")</f>
        <v>3.8105527733652479E-2</v>
      </c>
      <c r="G59" s="165">
        <f t="shared" ref="G59:M59" si="4">IF(G57&lt;&gt;"",(G57-G58)/G58,"")</f>
        <v>3.703657796222256E-2</v>
      </c>
      <c r="H59" s="165">
        <f t="shared" si="4"/>
        <v>2.0919884869486028E-2</v>
      </c>
      <c r="I59" s="165">
        <f t="shared" si="4"/>
        <v>2.2405841237803054E-2</v>
      </c>
      <c r="J59" s="165">
        <f t="shared" si="4"/>
        <v>8.0069310498110544E-2</v>
      </c>
      <c r="K59" s="165">
        <f t="shared" si="4"/>
        <v>-9.564850657244825E-2</v>
      </c>
      <c r="L59" s="165">
        <f t="shared" si="4"/>
        <v>-7.0515611569041597E-2</v>
      </c>
      <c r="M59" s="165">
        <f t="shared" si="4"/>
        <v>-0.13652034053435885</v>
      </c>
    </row>
    <row r="60" spans="1:15" x14ac:dyDescent="0.25">
      <c r="A60" s="195" t="s">
        <v>255</v>
      </c>
      <c r="B60" s="196">
        <f>SUM(B57:M57)</f>
        <v>46742917</v>
      </c>
    </row>
    <row r="61" spans="1:15" x14ac:dyDescent="0.25">
      <c r="A61" s="198" t="s">
        <v>256</v>
      </c>
      <c r="B61" s="196">
        <f>SUM(B58:M58)</f>
        <v>46507452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1.0050629520619621</v>
      </c>
      <c r="D62" s="152">
        <f>SUM(B46:E46)</f>
        <v>8.15</v>
      </c>
      <c r="E62" s="152">
        <f>SUM(B49:E49)</f>
        <v>8.66</v>
      </c>
      <c r="G62" s="126">
        <f>SUM(B47:E47)</f>
        <v>18.2</v>
      </c>
      <c r="H62" s="126">
        <f>SUM(B50:E50)</f>
        <v>19.060000000000002</v>
      </c>
      <c r="J62" s="200">
        <f>AVERAGE(H46:K46)</f>
        <v>0.28494999999999998</v>
      </c>
      <c r="K62" s="200">
        <f>AVERAGE(H49:K49)</f>
        <v>0.28439999999999999</v>
      </c>
      <c r="M62" s="200">
        <f>AVERAGE(H47:K47)</f>
        <v>0.11879999999999999</v>
      </c>
      <c r="N62" s="200">
        <f>AVERAGE(H50:K50)</f>
        <v>0.127225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1.75</v>
      </c>
      <c r="C65" s="205">
        <f t="shared" si="5"/>
        <v>2.08</v>
      </c>
      <c r="D65" s="205">
        <f t="shared" si="5"/>
        <v>2.79</v>
      </c>
      <c r="E65" s="205">
        <f t="shared" si="5"/>
        <v>2.0099999999999998</v>
      </c>
      <c r="F65" s="206">
        <f>IF(ISNA(HLOOKUP(F$64*10+$A65,$81:$82,2,FALSE)),(HLOOKUP(E$64*10+$A65,$87:$94,4,FALSE)*$G65+$B$25)/HLOOKUP(E$64*10+$A65,$87:$94,5,FALSE)*$E65,HLOOKUP(F$64*10+$A65,$81:$82,2,FALSE))</f>
        <v>1.53</v>
      </c>
      <c r="G65" s="101">
        <f>MIN(130%,SUM($B$57:$D$57)/SUM($B$58:$D$58)*$G$69/HLOOKUP(E$64*10+$A65,$145:$146,2,FALSE))</f>
        <v>1.0146064921037197</v>
      </c>
      <c r="H65" s="204">
        <v>1</v>
      </c>
      <c r="I65" s="208">
        <f t="shared" ref="I65:M68" si="6">IF(ISNA(HLOOKUP(I$64*10+$H65,$145:$147,3,FALSE)),"",HLOOKUP(I$64*10+$H65,$145:$147,3,FALSE)/100)</f>
        <v>0.12859999999999999</v>
      </c>
      <c r="J65" s="208">
        <f t="shared" si="6"/>
        <v>0.13109999999999999</v>
      </c>
      <c r="K65" s="208">
        <f t="shared" si="6"/>
        <v>0.151</v>
      </c>
      <c r="L65" s="208">
        <f t="shared" si="6"/>
        <v>0.12939999999999999</v>
      </c>
      <c r="M65" s="209">
        <f t="shared" si="6"/>
        <v>0.1105</v>
      </c>
      <c r="N65" s="256">
        <f t="shared" ref="N65:O68" si="7">HLOOKUP(E$64*10+$A65,$87:$94,8,FALSE)</f>
        <v>-25197</v>
      </c>
      <c r="O65" s="256">
        <f t="shared" si="7"/>
        <v>-104008</v>
      </c>
      <c r="P65" s="210"/>
    </row>
    <row r="66" spans="1:71" x14ac:dyDescent="0.25">
      <c r="A66" s="204">
        <v>2</v>
      </c>
      <c r="B66" s="205">
        <f t="shared" si="5"/>
        <v>2.0699999999999998</v>
      </c>
      <c r="C66" s="205">
        <f t="shared" si="5"/>
        <v>2.9</v>
      </c>
      <c r="D66" s="205">
        <f t="shared" si="5"/>
        <v>2.44</v>
      </c>
      <c r="E66" s="205">
        <f t="shared" si="5"/>
        <v>2.14</v>
      </c>
      <c r="F66" s="206">
        <f>IF(ISNA(HLOOKUP(F$64*10+$A66,$81:$82,2,FALSE)),(HLOOKUP(E$64*10+$A66,$87:$94,4,FALSE)*$G66+$B$25)/HLOOKUP(E$64*10+$A66,$87:$94,5,FALSE)*$E66,HLOOKUP(F$64*10+$A66,$81:$82,2,FALSE))</f>
        <v>2.0099999999999998</v>
      </c>
      <c r="G66" s="101">
        <f>MIN(130%,SUM($B$57:$D$57)/SUM($B$58:$D$58)*$G$69/HLOOKUP(E$64*10+$A66,$145:$146,2,FALSE))</f>
        <v>1.058516386405477</v>
      </c>
      <c r="H66" s="204">
        <v>2</v>
      </c>
      <c r="I66" s="208">
        <f t="shared" si="6"/>
        <v>0.1368</v>
      </c>
      <c r="J66" s="208">
        <f t="shared" si="6"/>
        <v>0.14940000000000001</v>
      </c>
      <c r="K66" s="208">
        <f t="shared" si="6"/>
        <v>0.1333</v>
      </c>
      <c r="L66" s="208">
        <f t="shared" si="6"/>
        <v>0.12509999999999999</v>
      </c>
      <c r="M66" s="209">
        <f t="shared" si="6"/>
        <v>0.11720000000000001</v>
      </c>
      <c r="N66" s="256">
        <f t="shared" si="7"/>
        <v>81355</v>
      </c>
      <c r="O66" s="256">
        <f t="shared" si="7"/>
        <v>76450</v>
      </c>
      <c r="P66" s="210"/>
    </row>
    <row r="67" spans="1:71" x14ac:dyDescent="0.25">
      <c r="A67" s="204">
        <v>3</v>
      </c>
      <c r="B67" s="205">
        <f t="shared" si="5"/>
        <v>2.04</v>
      </c>
      <c r="C67" s="205">
        <f t="shared" si="5"/>
        <v>3.43</v>
      </c>
      <c r="D67" s="205">
        <f t="shared" si="5"/>
        <v>2.79</v>
      </c>
      <c r="E67" s="205">
        <f t="shared" si="5"/>
        <v>2.02</v>
      </c>
      <c r="F67" s="206">
        <f>IF(ISNA(HLOOKUP(F$64*10+$A67,$81:$82,2,FALSE)),(HLOOKUP(E$64*10+$A67,$87:$94,4,FALSE)*$G67+$B$25)/HLOOKUP(E$64*10+$A67,$87:$94,5,FALSE)*$E67,HLOOKUP(F$64*10+$A67,$81:$82,2,FALSE))</f>
        <v>2.5499999999999998</v>
      </c>
      <c r="G67" s="101">
        <f>MIN(130%,SUM($B$57:$D$57)/SUM($B$58:$D$58)*$G$69/HLOOKUP(E$64*10+$A67,$145:$146,2,FALSE))</f>
        <v>1.0768522891652976</v>
      </c>
      <c r="H67" s="204">
        <v>3</v>
      </c>
      <c r="I67" s="208">
        <f t="shared" si="6"/>
        <v>0.13220000000000001</v>
      </c>
      <c r="J67" s="208">
        <f t="shared" si="6"/>
        <v>0.15060000000000001</v>
      </c>
      <c r="K67" s="208">
        <f t="shared" si="6"/>
        <v>0.129</v>
      </c>
      <c r="L67" s="208">
        <f t="shared" si="6"/>
        <v>0.1216</v>
      </c>
      <c r="M67" s="209">
        <f t="shared" si="6"/>
        <v>0.1288</v>
      </c>
      <c r="N67" s="256">
        <f t="shared" si="7"/>
        <v>-39425</v>
      </c>
      <c r="O67" s="256">
        <f t="shared" si="7"/>
        <v>233122</v>
      </c>
      <c r="P67" s="210"/>
    </row>
    <row r="68" spans="1:71" x14ac:dyDescent="0.25">
      <c r="A68" s="204">
        <v>4</v>
      </c>
      <c r="B68" s="205">
        <f>HLOOKUP(B$64*10+$A68,$81:$82,2,FALSE)</f>
        <v>1.96</v>
      </c>
      <c r="C68" s="205">
        <f>HLOOKUP(C$64*10+$A68,$81:$82,2,FALSE)</f>
        <v>3.43</v>
      </c>
      <c r="D68" s="205">
        <f>HLOOKUP(D$64*10+$A68,$81:$82,2,FALSE)</f>
        <v>2.4900000000000002</v>
      </c>
      <c r="E68" s="206">
        <f>IF(ISNA(HLOOKUP(E$64*10+$A68,$81:$82,2,FALSE)),D68*(1-$N68)*#REF!*(1+$B$25)/(1+$E$4),HLOOKUP(E$64*10+$A68,$81:$82,2,FALSE))</f>
        <v>2.06</v>
      </c>
      <c r="F68" s="206">
        <f>IF(ISNA(HLOOKUP(F$64*10+$A68,$81:$82,2,FALSE)),(HLOOKUP(E$64*10+$A68,$87:$94,4,FALSE)*$G68+$B$25)/HLOOKUP(E$64*10+$A68,$87:$94,5,FALSE)*$E68,HLOOKUP(F$64*10+$A68,$81:$82,2,FALSE))</f>
        <v>2.0880621199373466</v>
      </c>
      <c r="G68" s="101">
        <f>MIN(130%,SUM($B$57:$D$57)/SUM($B$58:$D$58)*$G$69/HLOOKUP(E$64*10+$A68,$145:$146,2,FALSE))</f>
        <v>1.0581410259847659</v>
      </c>
      <c r="H68" s="204">
        <v>4</v>
      </c>
      <c r="I68" s="208">
        <f t="shared" si="6"/>
        <v>0.12619999999999998</v>
      </c>
      <c r="J68" s="208">
        <f t="shared" si="6"/>
        <v>0.1497</v>
      </c>
      <c r="K68" s="208">
        <f t="shared" si="6"/>
        <v>0.1328</v>
      </c>
      <c r="L68" s="208">
        <f t="shared" si="6"/>
        <v>0.11869999999999999</v>
      </c>
      <c r="M68" s="209" t="str">
        <f t="shared" si="6"/>
        <v/>
      </c>
      <c r="N68" s="256">
        <f t="shared" si="7"/>
        <v>124627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7.8199999999999994</v>
      </c>
      <c r="C69" s="213">
        <f>SUM(C65:C68)</f>
        <v>11.84</v>
      </c>
      <c r="D69" s="213">
        <f>SUM(D65:D68)</f>
        <v>10.51</v>
      </c>
      <c r="E69" s="213">
        <f>SUM(E65:E68)</f>
        <v>8.23</v>
      </c>
      <c r="F69" s="213">
        <f>SUM(F65:F68)</f>
        <v>8.178062119937346</v>
      </c>
      <c r="G69" s="257">
        <f>_xlfn.FORECAST.ETS(23,B146:W146,{1,2,3,4,5,6,7,8,9,10,11,12,13,14,15,16,17,18,19,20,21,22})</f>
        <v>28.336612157776024</v>
      </c>
      <c r="H69" s="214" t="s">
        <v>19</v>
      </c>
      <c r="I69" s="215">
        <f>HLOOKUP(I64,151:155,3,FALSE)/100</f>
        <v>0.13100000000000001</v>
      </c>
      <c r="J69" s="215">
        <f>HLOOKUP(J64,151:155,3,FALSE)/100</f>
        <v>0.1462</v>
      </c>
      <c r="K69" s="215">
        <f>HLOOKUP(K64,151:155,3,FALSE)/100</f>
        <v>0.13650000000000001</v>
      </c>
      <c r="L69" s="215">
        <f>IF(ISNA(HLOOKUP(L64,151:155,3,FALSE)/100),AVERAGE(L65:L68),HLOOKUP(L64,151:155,3,FALSE)/100)</f>
        <v>0.12359999999999999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4.4000000000000004</v>
      </c>
      <c r="C72" s="205">
        <f t="shared" si="8"/>
        <v>5.01</v>
      </c>
      <c r="D72" s="205">
        <f t="shared" si="8"/>
        <v>5.84</v>
      </c>
      <c r="E72" s="205">
        <f t="shared" si="8"/>
        <v>4.1900000000000004</v>
      </c>
      <c r="F72" s="205">
        <f t="shared" si="8"/>
        <v>3.27</v>
      </c>
    </row>
    <row r="73" spans="1:71" s="135" customFormat="1" x14ac:dyDescent="0.25">
      <c r="A73" s="204">
        <v>2</v>
      </c>
      <c r="B73" s="205">
        <f t="shared" si="8"/>
        <v>5.4</v>
      </c>
      <c r="C73" s="205">
        <f t="shared" si="8"/>
        <v>7.07</v>
      </c>
      <c r="D73" s="205">
        <f t="shared" si="8"/>
        <v>5.36</v>
      </c>
      <c r="E73" s="205">
        <f t="shared" si="8"/>
        <v>4.71</v>
      </c>
      <c r="F73" s="205">
        <f t="shared" si="8"/>
        <v>4.4800000000000004</v>
      </c>
    </row>
    <row r="74" spans="1:71" s="135" customFormat="1" x14ac:dyDescent="0.25">
      <c r="A74" s="204">
        <v>3</v>
      </c>
      <c r="B74" s="205">
        <f t="shared" si="8"/>
        <v>5.44</v>
      </c>
      <c r="C74" s="205">
        <f t="shared" si="8"/>
        <v>8.31</v>
      </c>
      <c r="D74" s="205">
        <f t="shared" si="8"/>
        <v>6.48</v>
      </c>
      <c r="E74" s="205">
        <f t="shared" si="8"/>
        <v>4.7</v>
      </c>
      <c r="F74" s="205">
        <f t="shared" si="8"/>
        <v>5.86</v>
      </c>
    </row>
    <row r="75" spans="1:71" s="135" customFormat="1" x14ac:dyDescent="0.25">
      <c r="A75" s="204">
        <v>4</v>
      </c>
      <c r="B75" s="205">
        <f t="shared" si="8"/>
        <v>4.96</v>
      </c>
      <c r="C75" s="205">
        <f t="shared" si="8"/>
        <v>7.68</v>
      </c>
      <c r="D75" s="205">
        <f t="shared" si="8"/>
        <v>5.46</v>
      </c>
      <c r="E75" s="205">
        <f t="shared" si="8"/>
        <v>4.59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20.200000000000003</v>
      </c>
      <c r="C76" s="213">
        <f>SUM(C72:C75)</f>
        <v>28.07</v>
      </c>
      <c r="D76" s="213">
        <f>SUM(D72:D75)</f>
        <v>23.14</v>
      </c>
      <c r="E76" s="213">
        <f>AVERAGE(E72:E75)*4</f>
        <v>18.190000000000001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2322047</v>
      </c>
      <c r="C79" s="270">
        <v>2516447</v>
      </c>
      <c r="D79" s="270">
        <v>2669682</v>
      </c>
      <c r="E79" s="270">
        <v>2805739</v>
      </c>
      <c r="F79" s="270">
        <v>2857381</v>
      </c>
      <c r="G79" s="270">
        <v>2902617</v>
      </c>
      <c r="H79" s="270">
        <v>3158808</v>
      </c>
      <c r="I79" s="270">
        <v>3462199</v>
      </c>
      <c r="J79" s="270">
        <v>3615270</v>
      </c>
      <c r="K79" s="270">
        <v>3752668</v>
      </c>
      <c r="L79" s="270">
        <v>3613738</v>
      </c>
      <c r="M79" s="270">
        <v>3334293</v>
      </c>
      <c r="N79" s="270">
        <v>3303987</v>
      </c>
      <c r="O79" s="270">
        <v>2734319</v>
      </c>
      <c r="P79" s="270">
        <v>3299895</v>
      </c>
      <c r="Q79" s="270">
        <v>3608462</v>
      </c>
      <c r="R79" s="270">
        <v>3823281</v>
      </c>
      <c r="S79" s="270">
        <v>3495875</v>
      </c>
      <c r="T79" s="270">
        <v>3328170</v>
      </c>
      <c r="U79" s="270">
        <v>3597463</v>
      </c>
      <c r="V79" s="270">
        <v>3647945</v>
      </c>
      <c r="W79" s="270">
        <v>3514463</v>
      </c>
      <c r="X79" s="270">
        <v>3558288</v>
      </c>
      <c r="Y79" s="270">
        <v>3537506</v>
      </c>
      <c r="Z79" s="270">
        <v>3519687</v>
      </c>
      <c r="AA79" s="270">
        <v>3313477</v>
      </c>
      <c r="AB79" s="270">
        <v>3760006</v>
      </c>
      <c r="AC79" s="270">
        <v>4367071</v>
      </c>
      <c r="AD79" s="270">
        <v>4495831</v>
      </c>
      <c r="AE79" s="270">
        <v>4220274</v>
      </c>
      <c r="AF79" s="270">
        <v>4813575</v>
      </c>
      <c r="AG79" s="270">
        <v>5111800</v>
      </c>
      <c r="AH79" s="270">
        <v>5356279</v>
      </c>
      <c r="AI79" s="270">
        <v>5418792</v>
      </c>
      <c r="AJ79" s="270">
        <v>5041780</v>
      </c>
      <c r="AK79" s="270">
        <v>4648410</v>
      </c>
      <c r="AL79" s="270">
        <v>4624544</v>
      </c>
      <c r="AM79" s="270">
        <v>3822590</v>
      </c>
      <c r="AN79" s="270">
        <v>4250746</v>
      </c>
      <c r="AO79" s="270">
        <v>4255094</v>
      </c>
      <c r="AP79" s="270">
        <v>4011141</v>
      </c>
      <c r="AQ79" s="270">
        <v>4190025</v>
      </c>
      <c r="AR79" s="270">
        <v>4397086</v>
      </c>
      <c r="AS79" s="270">
        <v>4418826</v>
      </c>
      <c r="AT79" s="270">
        <v>4268164</v>
      </c>
      <c r="AU79" s="270">
        <v>4419931</v>
      </c>
      <c r="AV79" s="270">
        <v>4204216</v>
      </c>
      <c r="AW79" s="270">
        <v>4007765</v>
      </c>
      <c r="AX79" s="270">
        <v>4037993</v>
      </c>
      <c r="AY79" s="270">
        <v>3111217</v>
      </c>
      <c r="AZ79" s="270">
        <v>3820834</v>
      </c>
      <c r="BA79" s="270">
        <v>3830088</v>
      </c>
      <c r="BB79" s="270">
        <v>3872523</v>
      </c>
      <c r="BC79" s="270">
        <v>3737463</v>
      </c>
      <c r="BD79" s="270">
        <v>3815389</v>
      </c>
      <c r="BE79" s="270">
        <v>4094737</v>
      </c>
      <c r="BF79" s="270">
        <v>4111217</v>
      </c>
      <c r="BG79" s="270">
        <v>3864010</v>
      </c>
      <c r="BH79" s="270">
        <v>3630255</v>
      </c>
      <c r="BI79" s="270">
        <v>3725155</v>
      </c>
      <c r="BJ79" s="270">
        <v>3651765</v>
      </c>
      <c r="BK79" s="270">
        <v>3360330</v>
      </c>
      <c r="BL79" s="270">
        <v>3906443</v>
      </c>
      <c r="BM79" s="270">
        <v>3910213</v>
      </c>
      <c r="BN79" s="270">
        <v>4015948</v>
      </c>
      <c r="BO79" s="270">
        <v>3879881</v>
      </c>
      <c r="BP79" s="270">
        <v>3952776</v>
      </c>
      <c r="BQ79" s="270">
        <v>4121012</v>
      </c>
      <c r="BR79" s="270">
        <v>4324469</v>
      </c>
      <c r="BS79" s="270">
        <v>4264670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1.3</v>
      </c>
      <c r="C82" s="72">
        <v>1.71</v>
      </c>
      <c r="D82" s="72">
        <v>2.15</v>
      </c>
      <c r="E82" s="72">
        <v>2.2000000000000002</v>
      </c>
      <c r="F82" s="72">
        <v>1.75</v>
      </c>
      <c r="G82" s="72">
        <v>2.0699999999999998</v>
      </c>
      <c r="H82" s="72">
        <v>2.04</v>
      </c>
      <c r="I82" s="72">
        <v>1.96</v>
      </c>
      <c r="J82" s="72">
        <v>2.08</v>
      </c>
      <c r="K82" s="72">
        <v>2.9</v>
      </c>
      <c r="L82" s="72">
        <v>3.43</v>
      </c>
      <c r="M82" s="72">
        <v>3.43</v>
      </c>
      <c r="N82" s="72">
        <v>2.79</v>
      </c>
      <c r="O82" s="72">
        <v>2.44</v>
      </c>
      <c r="P82" s="72">
        <v>2.79</v>
      </c>
      <c r="Q82" s="72">
        <v>2.4900000000000002</v>
      </c>
      <c r="R82" s="72">
        <v>2.0099999999999998</v>
      </c>
      <c r="S82" s="72">
        <v>2.14</v>
      </c>
      <c r="T82" s="72">
        <v>2.02</v>
      </c>
      <c r="U82" s="72">
        <v>2.06</v>
      </c>
      <c r="V82" s="72">
        <v>1.53</v>
      </c>
      <c r="W82" s="72">
        <v>2.0099999999999998</v>
      </c>
      <c r="X82" s="72">
        <v>2.5499999999999998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38.229999999999997</v>
      </c>
      <c r="C85" s="72">
        <v>35.380000000000003</v>
      </c>
      <c r="D85" s="72">
        <v>37.51</v>
      </c>
      <c r="E85" s="72">
        <v>39.630000000000003</v>
      </c>
      <c r="F85" s="72">
        <v>40.01</v>
      </c>
      <c r="G85" s="72">
        <v>36.46</v>
      </c>
      <c r="H85" s="72">
        <v>38.479999999999997</v>
      </c>
      <c r="I85" s="72">
        <v>40.46</v>
      </c>
      <c r="J85" s="72">
        <v>42.62</v>
      </c>
      <c r="K85" s="72">
        <v>39.549999999999997</v>
      </c>
      <c r="L85" s="72">
        <v>42.99</v>
      </c>
      <c r="M85" s="72">
        <v>46.39</v>
      </c>
      <c r="N85" s="72">
        <v>49.31</v>
      </c>
      <c r="O85" s="72">
        <v>41.72</v>
      </c>
      <c r="P85" s="72">
        <v>44.43</v>
      </c>
      <c r="Q85" s="72">
        <v>46.86</v>
      </c>
      <c r="R85" s="72">
        <v>48.87</v>
      </c>
      <c r="S85" s="72">
        <v>41.92</v>
      </c>
      <c r="T85" s="72">
        <v>43.9</v>
      </c>
      <c r="U85" s="72">
        <v>45.95</v>
      </c>
      <c r="V85" s="72">
        <v>47.4</v>
      </c>
      <c r="W85" s="72">
        <v>42.45</v>
      </c>
      <c r="X85" s="72">
        <v>44.79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7517225</v>
      </c>
      <c r="C88" s="273">
        <v>8574270</v>
      </c>
      <c r="D88" s="273">
        <v>10237373</v>
      </c>
      <c r="E88" s="273">
        <v>10699802</v>
      </c>
      <c r="F88" s="273">
        <v>9338200</v>
      </c>
      <c r="G88" s="273">
        <v>10927619</v>
      </c>
      <c r="H88" s="273">
        <v>10573578</v>
      </c>
      <c r="I88" s="273">
        <v>10610257</v>
      </c>
      <c r="J88" s="273">
        <v>10593171</v>
      </c>
      <c r="K88" s="273">
        <v>13083176</v>
      </c>
      <c r="L88" s="273">
        <v>15281654</v>
      </c>
      <c r="M88" s="273">
        <v>15108981</v>
      </c>
      <c r="N88" s="273">
        <v>12697879</v>
      </c>
      <c r="O88" s="273">
        <v>12456260</v>
      </c>
      <c r="P88" s="273">
        <v>13084076</v>
      </c>
      <c r="Q88" s="273">
        <v>12631912</v>
      </c>
      <c r="R88" s="273">
        <v>10970044</v>
      </c>
      <c r="S88" s="273">
        <v>11440074</v>
      </c>
      <c r="T88" s="273">
        <v>12021342</v>
      </c>
      <c r="U88" s="273">
        <v>11219419</v>
      </c>
      <c r="V88" s="273">
        <v>10918538</v>
      </c>
      <c r="W88" s="273">
        <v>11806043</v>
      </c>
      <c r="X88" s="273">
        <v>12398257</v>
      </c>
    </row>
    <row r="89" spans="1:25" ht="14.25" thickBot="1" x14ac:dyDescent="0.3">
      <c r="A89" s="250" t="s">
        <v>4</v>
      </c>
      <c r="B89" s="275">
        <v>2001043</v>
      </c>
      <c r="C89" s="275">
        <v>2360030</v>
      </c>
      <c r="D89" s="275">
        <v>2935012</v>
      </c>
      <c r="E89" s="275">
        <v>3091065</v>
      </c>
      <c r="F89" s="275">
        <v>2605740</v>
      </c>
      <c r="G89" s="275">
        <v>3027592</v>
      </c>
      <c r="H89" s="275">
        <v>2957277</v>
      </c>
      <c r="I89" s="275">
        <v>2902490</v>
      </c>
      <c r="J89" s="275">
        <v>2970830</v>
      </c>
      <c r="K89" s="275">
        <v>3775643</v>
      </c>
      <c r="L89" s="275">
        <v>4334829</v>
      </c>
      <c r="M89" s="275">
        <v>4307413</v>
      </c>
      <c r="N89" s="275">
        <v>3697750</v>
      </c>
      <c r="O89" s="275">
        <v>3493716</v>
      </c>
      <c r="P89" s="275">
        <v>3669559</v>
      </c>
      <c r="Q89" s="275">
        <v>3593914</v>
      </c>
      <c r="R89" s="275">
        <v>3226472</v>
      </c>
      <c r="S89" s="275">
        <v>3224592</v>
      </c>
      <c r="T89" s="275">
        <v>3331061</v>
      </c>
      <c r="U89" s="275">
        <v>3163494</v>
      </c>
      <c r="V89" s="275">
        <v>3110324</v>
      </c>
      <c r="W89" s="275">
        <v>3338931</v>
      </c>
      <c r="X89" s="275">
        <v>3596384</v>
      </c>
    </row>
    <row r="90" spans="1:25" ht="14.25" thickBot="1" x14ac:dyDescent="0.3">
      <c r="A90" s="251" t="s">
        <v>5</v>
      </c>
      <c r="B90" s="273">
        <v>878966</v>
      </c>
      <c r="C90" s="273">
        <v>1157865</v>
      </c>
      <c r="D90" s="273">
        <v>1425142</v>
      </c>
      <c r="E90" s="273">
        <v>1489792</v>
      </c>
      <c r="F90" s="273">
        <v>1200641</v>
      </c>
      <c r="G90" s="273">
        <v>1494450</v>
      </c>
      <c r="H90" s="273">
        <v>1397794</v>
      </c>
      <c r="I90" s="273">
        <v>1338489</v>
      </c>
      <c r="J90" s="273">
        <v>1389268</v>
      </c>
      <c r="K90" s="273">
        <v>1955183</v>
      </c>
      <c r="L90" s="273">
        <v>2301478</v>
      </c>
      <c r="M90" s="273">
        <v>2261182</v>
      </c>
      <c r="N90" s="273">
        <v>1917485</v>
      </c>
      <c r="O90" s="273">
        <v>1660347</v>
      </c>
      <c r="P90" s="273">
        <v>1687909</v>
      </c>
      <c r="Q90" s="273">
        <v>1677215</v>
      </c>
      <c r="R90" s="273">
        <v>1419021</v>
      </c>
      <c r="S90" s="273">
        <v>1430819</v>
      </c>
      <c r="T90" s="273">
        <v>1462079</v>
      </c>
      <c r="U90" s="273">
        <v>1331938</v>
      </c>
      <c r="V90" s="273">
        <v>1206154</v>
      </c>
      <c r="W90" s="273">
        <v>1383850</v>
      </c>
      <c r="X90" s="273">
        <v>1596368</v>
      </c>
    </row>
    <row r="91" spans="1:25" ht="14.25" thickBot="1" x14ac:dyDescent="0.3">
      <c r="A91" s="250" t="s">
        <v>6</v>
      </c>
      <c r="B91" s="275">
        <v>916057</v>
      </c>
      <c r="C91" s="275">
        <v>1167330</v>
      </c>
      <c r="D91" s="275">
        <v>1474535</v>
      </c>
      <c r="E91" s="275">
        <v>1563182</v>
      </c>
      <c r="F91" s="275">
        <v>1252455</v>
      </c>
      <c r="G91" s="275">
        <v>1543511</v>
      </c>
      <c r="H91" s="275">
        <v>1461792</v>
      </c>
      <c r="I91" s="275">
        <v>1425528</v>
      </c>
      <c r="J91" s="275">
        <v>1444409</v>
      </c>
      <c r="K91" s="275">
        <v>2005990</v>
      </c>
      <c r="L91" s="275">
        <v>2409463</v>
      </c>
      <c r="M91" s="275">
        <v>2417615</v>
      </c>
      <c r="N91" s="275">
        <v>1935277</v>
      </c>
      <c r="O91" s="275">
        <v>1710380</v>
      </c>
      <c r="P91" s="275">
        <v>1954287</v>
      </c>
      <c r="Q91" s="275">
        <v>1746130</v>
      </c>
      <c r="R91" s="275">
        <v>1393824</v>
      </c>
      <c r="S91" s="275">
        <v>1512174</v>
      </c>
      <c r="T91" s="275">
        <v>1422654</v>
      </c>
      <c r="U91" s="275">
        <v>1456565</v>
      </c>
      <c r="V91" s="275">
        <v>1102146</v>
      </c>
      <c r="W91" s="275">
        <v>1460300</v>
      </c>
      <c r="X91" s="275">
        <v>1829490</v>
      </c>
    </row>
    <row r="92" spans="1:25" ht="14.25" thickBot="1" x14ac:dyDescent="0.3">
      <c r="A92" s="251" t="s">
        <v>7</v>
      </c>
      <c r="B92" s="273">
        <v>780991</v>
      </c>
      <c r="C92" s="273">
        <v>1032807</v>
      </c>
      <c r="D92" s="273">
        <v>1294200</v>
      </c>
      <c r="E92" s="273">
        <v>1329392</v>
      </c>
      <c r="F92" s="273">
        <v>1061336</v>
      </c>
      <c r="G92" s="273">
        <v>1253352</v>
      </c>
      <c r="H92" s="273">
        <v>1239346</v>
      </c>
      <c r="I92" s="273">
        <v>1190924</v>
      </c>
      <c r="J92" s="273">
        <v>1266946</v>
      </c>
      <c r="K92" s="273">
        <v>1767290</v>
      </c>
      <c r="L92" s="273">
        <v>2087768</v>
      </c>
      <c r="M92" s="273">
        <v>2087379</v>
      </c>
      <c r="N92" s="273">
        <v>1699681</v>
      </c>
      <c r="O92" s="273">
        <v>1485241</v>
      </c>
      <c r="P92" s="273">
        <v>1698112</v>
      </c>
      <c r="Q92" s="273">
        <v>1516053</v>
      </c>
      <c r="R92" s="273">
        <v>1221237</v>
      </c>
      <c r="S92" s="273">
        <v>1299953</v>
      </c>
      <c r="T92" s="273">
        <v>1227239</v>
      </c>
      <c r="U92" s="273">
        <v>1255931</v>
      </c>
      <c r="V92" s="273">
        <v>928883</v>
      </c>
      <c r="W92" s="273">
        <v>1225785</v>
      </c>
      <c r="X92" s="273">
        <v>1554401</v>
      </c>
    </row>
    <row r="93" spans="1:25" ht="26.25" thickBot="1" x14ac:dyDescent="0.3">
      <c r="A93" s="252" t="s">
        <v>8</v>
      </c>
      <c r="B93" s="276">
        <v>780991</v>
      </c>
      <c r="C93" s="276">
        <v>1032807</v>
      </c>
      <c r="D93" s="276">
        <v>1294200</v>
      </c>
      <c r="E93" s="276">
        <v>1329392</v>
      </c>
      <c r="F93" s="276">
        <v>1061336</v>
      </c>
      <c r="G93" s="276">
        <v>1253352</v>
      </c>
      <c r="H93" s="276">
        <v>1239346</v>
      </c>
      <c r="I93" s="276">
        <v>1190924</v>
      </c>
      <c r="J93" s="276">
        <v>1266946</v>
      </c>
      <c r="K93" s="276">
        <v>1767290</v>
      </c>
      <c r="L93" s="276">
        <v>2087768</v>
      </c>
      <c r="M93" s="276">
        <v>2087379</v>
      </c>
      <c r="N93" s="276">
        <v>1699681</v>
      </c>
      <c r="O93" s="276">
        <v>1485241</v>
      </c>
      <c r="P93" s="276">
        <v>1698112</v>
      </c>
      <c r="Q93" s="276">
        <v>1516053</v>
      </c>
      <c r="R93" s="276">
        <v>1221237</v>
      </c>
      <c r="S93" s="276">
        <v>1299953</v>
      </c>
      <c r="T93" s="276">
        <v>1227239</v>
      </c>
      <c r="U93" s="276">
        <v>1255931</v>
      </c>
      <c r="V93" s="276">
        <v>928883</v>
      </c>
      <c r="W93" s="276">
        <v>1225785</v>
      </c>
      <c r="X93" s="276">
        <v>1554401</v>
      </c>
    </row>
    <row r="94" spans="1:25" x14ac:dyDescent="0.25">
      <c r="A94" s="233" t="s">
        <v>365</v>
      </c>
      <c r="B94" s="253">
        <f>IF(B91="","",B91-B90)</f>
        <v>37091</v>
      </c>
      <c r="C94" s="253">
        <f>IF(C91="","",C91-C90)</f>
        <v>9465</v>
      </c>
      <c r="D94" s="253">
        <f t="shared" ref="D94:Y94" si="9">IF(D91="","",D91-D90)</f>
        <v>49393</v>
      </c>
      <c r="E94" s="253">
        <f t="shared" si="9"/>
        <v>73390</v>
      </c>
      <c r="F94" s="253">
        <f t="shared" si="9"/>
        <v>51814</v>
      </c>
      <c r="G94" s="253">
        <f t="shared" si="9"/>
        <v>49061</v>
      </c>
      <c r="H94" s="253">
        <f t="shared" si="9"/>
        <v>63998</v>
      </c>
      <c r="I94" s="253">
        <f t="shared" si="9"/>
        <v>87039</v>
      </c>
      <c r="J94" s="253">
        <f t="shared" si="9"/>
        <v>55141</v>
      </c>
      <c r="K94" s="253">
        <f t="shared" si="9"/>
        <v>50807</v>
      </c>
      <c r="L94" s="253">
        <f t="shared" si="9"/>
        <v>107985</v>
      </c>
      <c r="M94" s="253">
        <f t="shared" si="9"/>
        <v>156433</v>
      </c>
      <c r="N94" s="253">
        <f t="shared" si="9"/>
        <v>17792</v>
      </c>
      <c r="O94" s="253">
        <f t="shared" si="9"/>
        <v>50033</v>
      </c>
      <c r="P94" s="253">
        <f t="shared" si="9"/>
        <v>266378</v>
      </c>
      <c r="Q94" s="253">
        <f t="shared" si="9"/>
        <v>68915</v>
      </c>
      <c r="R94" s="253">
        <f t="shared" si="9"/>
        <v>-25197</v>
      </c>
      <c r="S94" s="253">
        <f t="shared" si="9"/>
        <v>81355</v>
      </c>
      <c r="T94" s="253">
        <f t="shared" si="9"/>
        <v>-39425</v>
      </c>
      <c r="U94" s="253">
        <f t="shared" si="9"/>
        <v>124627</v>
      </c>
      <c r="V94" s="253">
        <f t="shared" si="9"/>
        <v>-104008</v>
      </c>
      <c r="W94" s="253">
        <f t="shared" si="9"/>
        <v>76450</v>
      </c>
      <c r="X94" s="253">
        <f t="shared" si="9"/>
        <v>233122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37028670</v>
      </c>
      <c r="C97" s="273">
        <v>41449654</v>
      </c>
      <c r="D97" s="273">
        <v>54066982</v>
      </c>
      <c r="E97" s="273">
        <v>50870127</v>
      </c>
      <c r="F97" s="273">
        <v>45650879</v>
      </c>
    </row>
    <row r="98" spans="1:24" ht="14.25" thickBot="1" x14ac:dyDescent="0.3">
      <c r="A98" s="225" t="s">
        <v>4</v>
      </c>
      <c r="B98" s="275">
        <v>10387150</v>
      </c>
      <c r="C98" s="275">
        <v>11493099</v>
      </c>
      <c r="D98" s="275">
        <v>15388715</v>
      </c>
      <c r="E98" s="275">
        <v>14454939</v>
      </c>
      <c r="F98" s="275">
        <v>12945619</v>
      </c>
    </row>
    <row r="99" spans="1:24" ht="14.25" thickBot="1" x14ac:dyDescent="0.3">
      <c r="A99" s="224" t="s">
        <v>5</v>
      </c>
      <c r="B99" s="273">
        <v>4951765</v>
      </c>
      <c r="C99" s="273">
        <v>5431374</v>
      </c>
      <c r="D99" s="273">
        <v>7907111</v>
      </c>
      <c r="E99" s="273">
        <v>6942956</v>
      </c>
      <c r="F99" s="273">
        <v>5643857</v>
      </c>
    </row>
    <row r="100" spans="1:24" ht="14.25" thickBot="1" x14ac:dyDescent="0.3">
      <c r="A100" s="225" t="s">
        <v>6</v>
      </c>
      <c r="B100" s="275">
        <v>5121104</v>
      </c>
      <c r="C100" s="275">
        <v>5683286</v>
      </c>
      <c r="D100" s="275">
        <v>8277477</v>
      </c>
      <c r="E100" s="275">
        <v>7346074</v>
      </c>
      <c r="F100" s="275">
        <v>5785217</v>
      </c>
    </row>
    <row r="101" spans="1:24" ht="14.25" thickBot="1" x14ac:dyDescent="0.3">
      <c r="A101" s="224" t="s">
        <v>7</v>
      </c>
      <c r="B101" s="273">
        <v>4437390</v>
      </c>
      <c r="C101" s="273">
        <v>4744958</v>
      </c>
      <c r="D101" s="273">
        <v>7209383</v>
      </c>
      <c r="E101" s="273">
        <v>6399087</v>
      </c>
      <c r="F101" s="273">
        <v>5004360</v>
      </c>
    </row>
    <row r="102" spans="1:24" ht="14.25" thickBot="1" x14ac:dyDescent="0.3">
      <c r="A102" s="227" t="s">
        <v>8</v>
      </c>
      <c r="B102" s="276">
        <v>4437390</v>
      </c>
      <c r="C102" s="276">
        <v>4744958</v>
      </c>
      <c r="D102" s="276">
        <v>7209383</v>
      </c>
      <c r="E102" s="276">
        <v>6399087</v>
      </c>
      <c r="F102" s="276">
        <v>5004360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17259273</v>
      </c>
      <c r="C106" s="273">
        <v>18271334</v>
      </c>
      <c r="D106" s="273">
        <v>16763067</v>
      </c>
      <c r="E106" s="273">
        <v>18122674</v>
      </c>
      <c r="F106" s="273">
        <v>19105605</v>
      </c>
      <c r="G106" s="273">
        <v>19592219</v>
      </c>
      <c r="H106" s="273">
        <v>17123605</v>
      </c>
      <c r="I106" s="273">
        <v>18292348</v>
      </c>
      <c r="J106" s="273">
        <v>20016708</v>
      </c>
      <c r="K106" s="273">
        <v>20876080</v>
      </c>
      <c r="L106" s="273">
        <v>19082941</v>
      </c>
      <c r="M106" s="273">
        <v>20013371</v>
      </c>
      <c r="N106" s="273">
        <v>21822865</v>
      </c>
      <c r="O106" s="273">
        <v>20766650</v>
      </c>
      <c r="P106" s="273">
        <v>16687172</v>
      </c>
      <c r="Q106" s="273">
        <v>19123376</v>
      </c>
      <c r="R106" s="273">
        <v>19333723</v>
      </c>
      <c r="S106" s="273">
        <v>20659284</v>
      </c>
      <c r="T106" s="273">
        <v>16603342</v>
      </c>
      <c r="U106" s="273">
        <v>19641545</v>
      </c>
      <c r="V106" s="273">
        <v>18474970</v>
      </c>
      <c r="W106" s="273">
        <v>19381022</v>
      </c>
      <c r="X106" s="273">
        <v>17077541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5">
        <v>530232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9213185</v>
      </c>
      <c r="C108" s="273">
        <v>9756524</v>
      </c>
      <c r="D108" s="273">
        <v>10887937</v>
      </c>
      <c r="E108" s="273">
        <v>10964500</v>
      </c>
      <c r="F108" s="273">
        <v>10100726</v>
      </c>
      <c r="G108" s="273">
        <v>11030337</v>
      </c>
      <c r="H108" s="273">
        <v>10759522</v>
      </c>
      <c r="I108" s="273">
        <v>10777507</v>
      </c>
      <c r="J108" s="273">
        <v>10984753</v>
      </c>
      <c r="K108" s="273">
        <v>12347032</v>
      </c>
      <c r="L108" s="273">
        <v>14636988</v>
      </c>
      <c r="M108" s="273">
        <v>14101689</v>
      </c>
      <c r="N108" s="273">
        <v>12062984</v>
      </c>
      <c r="O108" s="273">
        <v>11082375</v>
      </c>
      <c r="P108" s="273">
        <v>11911211</v>
      </c>
      <c r="Q108" s="273">
        <v>10846177</v>
      </c>
      <c r="R108" s="273">
        <v>9395877</v>
      </c>
      <c r="S108" s="273">
        <v>9613409</v>
      </c>
      <c r="T108" s="273">
        <v>10083427</v>
      </c>
      <c r="U108" s="273">
        <v>10627716</v>
      </c>
      <c r="V108" s="273">
        <v>9441901</v>
      </c>
      <c r="W108" s="273">
        <v>10236080</v>
      </c>
      <c r="X108" s="273">
        <v>11433369</v>
      </c>
    </row>
    <row r="109" spans="1:24" ht="14.25" thickBot="1" x14ac:dyDescent="0.3">
      <c r="A109" s="225" t="s">
        <v>264</v>
      </c>
      <c r="B109" s="275">
        <v>3013748</v>
      </c>
      <c r="C109" s="275">
        <v>3612216</v>
      </c>
      <c r="D109" s="275">
        <v>3663677</v>
      </c>
      <c r="E109" s="275">
        <v>3862306</v>
      </c>
      <c r="F109" s="275">
        <v>4230533</v>
      </c>
      <c r="G109" s="275">
        <v>4610041</v>
      </c>
      <c r="H109" s="275">
        <v>5225960</v>
      </c>
      <c r="I109" s="275">
        <v>4361867</v>
      </c>
      <c r="J109" s="275">
        <v>5472004</v>
      </c>
      <c r="K109" s="275">
        <v>6404471</v>
      </c>
      <c r="L109" s="275">
        <v>6676066</v>
      </c>
      <c r="M109" s="275">
        <v>6160007</v>
      </c>
      <c r="N109" s="275">
        <v>6980216</v>
      </c>
      <c r="O109" s="275">
        <v>6299090</v>
      </c>
      <c r="P109" s="275">
        <v>5527705</v>
      </c>
      <c r="Q109" s="275">
        <v>4222460</v>
      </c>
      <c r="R109" s="275">
        <v>5165161</v>
      </c>
      <c r="S109" s="275">
        <v>5129134</v>
      </c>
      <c r="T109" s="275">
        <v>4644980</v>
      </c>
      <c r="U109" s="275">
        <v>4687037</v>
      </c>
      <c r="V109" s="275">
        <v>4814493</v>
      </c>
      <c r="W109" s="275">
        <v>5671681</v>
      </c>
      <c r="X109" s="275">
        <v>5902023</v>
      </c>
    </row>
    <row r="110" spans="1:24" ht="14.25" thickBot="1" x14ac:dyDescent="0.3">
      <c r="A110" s="224" t="s">
        <v>23</v>
      </c>
      <c r="B110" s="273">
        <v>570067</v>
      </c>
      <c r="C110" s="273">
        <v>501975</v>
      </c>
      <c r="D110" s="273">
        <v>553302</v>
      </c>
      <c r="E110" s="273">
        <v>695450</v>
      </c>
      <c r="F110" s="273">
        <v>303225</v>
      </c>
      <c r="G110" s="273">
        <v>455279</v>
      </c>
      <c r="H110" s="273">
        <v>312755</v>
      </c>
      <c r="I110" s="273">
        <v>295625</v>
      </c>
      <c r="J110" s="273">
        <v>334336</v>
      </c>
      <c r="K110" s="273">
        <v>364569</v>
      </c>
      <c r="L110" s="273">
        <v>339949</v>
      </c>
      <c r="M110" s="273">
        <v>390771</v>
      </c>
      <c r="N110" s="273">
        <v>335077</v>
      </c>
      <c r="O110" s="273">
        <v>245118</v>
      </c>
      <c r="P110" s="273">
        <v>379691</v>
      </c>
      <c r="Q110" s="273">
        <v>369077</v>
      </c>
      <c r="R110" s="273">
        <v>320105</v>
      </c>
      <c r="S110" s="273">
        <v>267672</v>
      </c>
      <c r="T110" s="273">
        <v>266233</v>
      </c>
      <c r="U110" s="273">
        <v>406912</v>
      </c>
      <c r="V110" s="273">
        <v>320445</v>
      </c>
      <c r="W110" s="273">
        <v>389632</v>
      </c>
      <c r="X110" s="273">
        <v>348198</v>
      </c>
    </row>
    <row r="111" spans="1:24" ht="14.25" thickBot="1" x14ac:dyDescent="0.3">
      <c r="A111" s="225" t="s">
        <v>24</v>
      </c>
      <c r="B111" s="275">
        <v>30056273</v>
      </c>
      <c r="C111" s="275">
        <v>32142049</v>
      </c>
      <c r="D111" s="275">
        <v>31867983</v>
      </c>
      <c r="E111" s="275">
        <v>33644930</v>
      </c>
      <c r="F111" s="275">
        <v>33740089</v>
      </c>
      <c r="G111" s="275">
        <v>35687876</v>
      </c>
      <c r="H111" s="275">
        <v>33421842</v>
      </c>
      <c r="I111" s="275">
        <v>33727347</v>
      </c>
      <c r="J111" s="275">
        <v>36807801</v>
      </c>
      <c r="K111" s="275">
        <v>39992152</v>
      </c>
      <c r="L111" s="275">
        <v>40735944</v>
      </c>
      <c r="M111" s="275">
        <v>40665838</v>
      </c>
      <c r="N111" s="275">
        <v>41201142</v>
      </c>
      <c r="O111" s="275">
        <v>38393233</v>
      </c>
      <c r="P111" s="275">
        <v>34505779</v>
      </c>
      <c r="Q111" s="275">
        <v>35091322</v>
      </c>
      <c r="R111" s="275">
        <v>34214866</v>
      </c>
      <c r="S111" s="275">
        <v>35669499</v>
      </c>
      <c r="T111" s="275">
        <v>31597982</v>
      </c>
      <c r="U111" s="275">
        <v>35363210</v>
      </c>
      <c r="V111" s="275">
        <v>33051809</v>
      </c>
      <c r="W111" s="275">
        <v>35678415</v>
      </c>
      <c r="X111" s="275">
        <v>34761131</v>
      </c>
    </row>
    <row r="112" spans="1:24" ht="14.25" thickBot="1" x14ac:dyDescent="0.3">
      <c r="A112" s="224" t="s">
        <v>25</v>
      </c>
      <c r="B112" s="273">
        <v>1528745</v>
      </c>
      <c r="C112" s="273">
        <v>1511192</v>
      </c>
      <c r="D112" s="273">
        <v>1508097</v>
      </c>
      <c r="E112" s="273">
        <v>1480209</v>
      </c>
      <c r="F112" s="273">
        <v>1473237</v>
      </c>
      <c r="G112" s="273">
        <v>1451470</v>
      </c>
      <c r="H112" s="273">
        <v>1448681</v>
      </c>
      <c r="I112" s="273">
        <v>1426843</v>
      </c>
      <c r="J112" s="273">
        <v>1469522</v>
      </c>
      <c r="K112" s="273">
        <v>1486946</v>
      </c>
      <c r="L112" s="273">
        <v>1468676</v>
      </c>
      <c r="M112" s="273">
        <v>1436958</v>
      </c>
      <c r="N112" s="273">
        <v>1519808</v>
      </c>
      <c r="O112" s="273">
        <v>1513528</v>
      </c>
      <c r="P112" s="273">
        <v>1424077</v>
      </c>
      <c r="Q112" s="273">
        <v>1449202</v>
      </c>
      <c r="R112" s="273">
        <v>1448187</v>
      </c>
      <c r="S112" s="273">
        <v>1419417</v>
      </c>
      <c r="T112" s="273">
        <v>1421482</v>
      </c>
      <c r="U112" s="273">
        <v>1562962</v>
      </c>
      <c r="V112" s="273">
        <v>1529464</v>
      </c>
      <c r="W112" s="273">
        <v>1533647</v>
      </c>
      <c r="X112" s="273">
        <v>1376481</v>
      </c>
    </row>
    <row r="113" spans="1:24" ht="14.25" thickBot="1" x14ac:dyDescent="0.3">
      <c r="A113" s="225" t="s">
        <v>26</v>
      </c>
      <c r="B113" s="275">
        <v>1572232</v>
      </c>
      <c r="C113" s="275">
        <v>1554909</v>
      </c>
      <c r="D113" s="275">
        <v>1571135</v>
      </c>
      <c r="E113" s="275">
        <v>1544390</v>
      </c>
      <c r="F113" s="275">
        <v>1561477</v>
      </c>
      <c r="G113" s="275">
        <v>1526266</v>
      </c>
      <c r="H113" s="275">
        <v>1522203</v>
      </c>
      <c r="I113" s="275">
        <v>1521913</v>
      </c>
      <c r="J113" s="275">
        <v>1470271</v>
      </c>
      <c r="K113" s="275">
        <v>1423752</v>
      </c>
      <c r="L113" s="275">
        <v>1430588</v>
      </c>
      <c r="M113" s="275">
        <v>1412610</v>
      </c>
      <c r="N113" s="275">
        <v>1376355</v>
      </c>
      <c r="O113" s="275">
        <v>1964611</v>
      </c>
      <c r="P113" s="275">
        <v>2051476</v>
      </c>
      <c r="Q113" s="275">
        <v>2041648</v>
      </c>
      <c r="R113" s="275">
        <v>1996305</v>
      </c>
      <c r="S113" s="275">
        <v>1938300</v>
      </c>
      <c r="T113" s="275">
        <v>1975727</v>
      </c>
      <c r="U113" s="275">
        <v>2002631</v>
      </c>
      <c r="V113" s="275">
        <v>1952743</v>
      </c>
      <c r="W113" s="275">
        <v>1928661</v>
      </c>
      <c r="X113" s="275">
        <v>1998321</v>
      </c>
    </row>
    <row r="114" spans="1:24" ht="14.25" thickBot="1" x14ac:dyDescent="0.3">
      <c r="A114" s="224" t="s">
        <v>27</v>
      </c>
      <c r="B114" s="273">
        <v>2967069</v>
      </c>
      <c r="C114" s="273">
        <v>2982651</v>
      </c>
      <c r="D114" s="273">
        <v>3004415</v>
      </c>
      <c r="E114" s="273">
        <v>2840880</v>
      </c>
      <c r="F114" s="273">
        <v>2465433</v>
      </c>
      <c r="G114" s="273">
        <v>2370463</v>
      </c>
      <c r="H114" s="273">
        <v>2374414</v>
      </c>
      <c r="I114" s="273">
        <v>2320243</v>
      </c>
      <c r="J114" s="273">
        <v>2309263</v>
      </c>
      <c r="K114" s="273">
        <v>2361988</v>
      </c>
      <c r="L114" s="273">
        <v>2337746</v>
      </c>
      <c r="M114" s="273">
        <v>2415924</v>
      </c>
      <c r="N114" s="273">
        <v>2569859</v>
      </c>
      <c r="O114" s="273">
        <v>2498078</v>
      </c>
      <c r="P114" s="273">
        <v>2495455</v>
      </c>
      <c r="Q114" s="273">
        <v>2510433</v>
      </c>
      <c r="R114" s="273">
        <v>2614513</v>
      </c>
      <c r="S114" s="273">
        <v>2584633</v>
      </c>
      <c r="T114" s="273">
        <v>2530304</v>
      </c>
      <c r="U114" s="273">
        <v>2615802</v>
      </c>
      <c r="V114" s="273">
        <v>3212161</v>
      </c>
      <c r="W114" s="273">
        <v>3208251</v>
      </c>
      <c r="X114" s="273">
        <v>3158201</v>
      </c>
    </row>
    <row r="115" spans="1:24" ht="14.25" thickBot="1" x14ac:dyDescent="0.3">
      <c r="A115" s="225" t="s">
        <v>265</v>
      </c>
      <c r="B115" s="276">
        <v>36124319</v>
      </c>
      <c r="C115" s="276">
        <v>38190801</v>
      </c>
      <c r="D115" s="276">
        <v>37951630</v>
      </c>
      <c r="E115" s="276">
        <v>39510409</v>
      </c>
      <c r="F115" s="276">
        <v>39240236</v>
      </c>
      <c r="G115" s="276">
        <v>41036075</v>
      </c>
      <c r="H115" s="276">
        <v>38767140</v>
      </c>
      <c r="I115" s="276">
        <v>38996346</v>
      </c>
      <c r="J115" s="276">
        <v>42056857</v>
      </c>
      <c r="K115" s="276">
        <v>45264838</v>
      </c>
      <c r="L115" s="276">
        <v>45972954</v>
      </c>
      <c r="M115" s="276">
        <v>45931330</v>
      </c>
      <c r="N115" s="276">
        <v>46667164</v>
      </c>
      <c r="O115" s="276">
        <v>44369450</v>
      </c>
      <c r="P115" s="276">
        <v>40476787</v>
      </c>
      <c r="Q115" s="276">
        <v>41092605</v>
      </c>
      <c r="R115" s="276">
        <v>40273871</v>
      </c>
      <c r="S115" s="276">
        <v>41611849</v>
      </c>
      <c r="T115" s="276">
        <v>37525495</v>
      </c>
      <c r="U115" s="276">
        <v>41544605</v>
      </c>
      <c r="V115" s="276">
        <v>39746177</v>
      </c>
      <c r="W115" s="276">
        <v>42348974</v>
      </c>
      <c r="X115" s="276">
        <v>41294134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6506955</v>
      </c>
      <c r="C118" s="273">
        <v>6902280</v>
      </c>
      <c r="D118" s="273">
        <v>6151950</v>
      </c>
      <c r="E118" s="273">
        <v>7347120</v>
      </c>
      <c r="F118" s="273">
        <v>6894195</v>
      </c>
      <c r="G118" s="273">
        <v>6900000</v>
      </c>
      <c r="H118" s="273">
        <v>7096800</v>
      </c>
      <c r="I118" s="273">
        <v>6348465</v>
      </c>
      <c r="J118" s="273">
        <v>6672930</v>
      </c>
      <c r="K118" s="273">
        <v>8063550</v>
      </c>
      <c r="L118" s="273">
        <v>8304660</v>
      </c>
      <c r="M118" s="273">
        <v>6361650</v>
      </c>
      <c r="N118" s="273">
        <v>5696600</v>
      </c>
      <c r="O118" s="273">
        <v>4752440</v>
      </c>
      <c r="P118" s="273">
        <v>4799020</v>
      </c>
      <c r="Q118" s="273">
        <v>3545100</v>
      </c>
      <c r="R118" s="273">
        <v>2413875</v>
      </c>
      <c r="S118" s="273">
        <v>2775650</v>
      </c>
      <c r="T118" s="273">
        <v>2414720</v>
      </c>
      <c r="U118" s="273">
        <v>3191265</v>
      </c>
      <c r="V118" s="273">
        <v>3063330</v>
      </c>
      <c r="W118" s="273">
        <v>3650400</v>
      </c>
      <c r="X118" s="273">
        <v>3207560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3954598</v>
      </c>
      <c r="C120" s="273">
        <v>5017084</v>
      </c>
      <c r="D120" s="273">
        <v>6443621</v>
      </c>
      <c r="E120" s="273">
        <v>5329660</v>
      </c>
      <c r="F120" s="273">
        <v>4734390</v>
      </c>
      <c r="G120" s="273">
        <v>5835623</v>
      </c>
      <c r="H120" s="273">
        <v>5028513</v>
      </c>
      <c r="I120" s="273">
        <v>4990519</v>
      </c>
      <c r="J120" s="273">
        <v>5923275</v>
      </c>
      <c r="K120" s="273">
        <v>6405471</v>
      </c>
      <c r="L120" s="273">
        <v>7467761</v>
      </c>
      <c r="M120" s="273">
        <v>7027047</v>
      </c>
      <c r="N120" s="273">
        <v>6113891</v>
      </c>
      <c r="O120" s="273">
        <v>5848451</v>
      </c>
      <c r="P120" s="273">
        <v>5717316</v>
      </c>
      <c r="Q120" s="273">
        <v>5391459</v>
      </c>
      <c r="R120" s="273">
        <v>5445388</v>
      </c>
      <c r="S120" s="273">
        <v>5693236</v>
      </c>
      <c r="T120" s="273">
        <v>5787630</v>
      </c>
      <c r="U120" s="273">
        <v>7138161</v>
      </c>
      <c r="V120" s="273">
        <v>5557291</v>
      </c>
      <c r="W120" s="273">
        <v>6373592</v>
      </c>
      <c r="X120" s="273">
        <v>7896781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2551319</v>
      </c>
      <c r="C123" s="275">
        <v>4874647</v>
      </c>
      <c r="D123" s="275">
        <v>2654973</v>
      </c>
      <c r="E123" s="275">
        <v>2716053</v>
      </c>
      <c r="F123" s="275">
        <v>3084385</v>
      </c>
      <c r="G123" s="275">
        <v>5906735</v>
      </c>
      <c r="H123" s="275">
        <v>2977424</v>
      </c>
      <c r="I123" s="275">
        <v>2796430</v>
      </c>
      <c r="J123" s="275">
        <v>3277262</v>
      </c>
      <c r="K123" s="275">
        <v>6477993</v>
      </c>
      <c r="L123" s="275">
        <v>3787140</v>
      </c>
      <c r="M123" s="275">
        <v>4046764</v>
      </c>
      <c r="N123" s="275">
        <v>4577868</v>
      </c>
      <c r="O123" s="275">
        <v>8105469</v>
      </c>
      <c r="P123" s="275">
        <v>2648717</v>
      </c>
      <c r="Q123" s="275">
        <v>3328197</v>
      </c>
      <c r="R123" s="275">
        <v>2337874</v>
      </c>
      <c r="S123" s="275">
        <v>7251493</v>
      </c>
      <c r="T123" s="275">
        <v>2221144</v>
      </c>
      <c r="U123" s="275">
        <v>2838554</v>
      </c>
      <c r="V123" s="275">
        <v>1878215</v>
      </c>
      <c r="W123" s="275">
        <v>6063735</v>
      </c>
      <c r="X123" s="275">
        <v>2478183</v>
      </c>
    </row>
    <row r="124" spans="1:24" ht="14.25" thickBot="1" x14ac:dyDescent="0.3">
      <c r="A124" s="224" t="s">
        <v>268</v>
      </c>
      <c r="B124" s="273">
        <v>13012872</v>
      </c>
      <c r="C124" s="273">
        <v>16794011</v>
      </c>
      <c r="D124" s="273">
        <v>15250544</v>
      </c>
      <c r="E124" s="273">
        <v>15392833</v>
      </c>
      <c r="F124" s="273">
        <v>14712970</v>
      </c>
      <c r="G124" s="273">
        <v>18642358</v>
      </c>
      <c r="H124" s="273">
        <v>15102737</v>
      </c>
      <c r="I124" s="273">
        <v>14135414</v>
      </c>
      <c r="J124" s="273">
        <v>15873467</v>
      </c>
      <c r="K124" s="273">
        <v>20947014</v>
      </c>
      <c r="L124" s="273">
        <v>19559561</v>
      </c>
      <c r="M124" s="273">
        <v>17435461</v>
      </c>
      <c r="N124" s="273">
        <v>16388359</v>
      </c>
      <c r="O124" s="273">
        <v>18706360</v>
      </c>
      <c r="P124" s="273">
        <v>13165053</v>
      </c>
      <c r="Q124" s="273">
        <v>12264756</v>
      </c>
      <c r="R124" s="273">
        <v>10197137</v>
      </c>
      <c r="S124" s="273">
        <v>15720379</v>
      </c>
      <c r="T124" s="273">
        <v>10423494</v>
      </c>
      <c r="U124" s="273">
        <v>13167980</v>
      </c>
      <c r="V124" s="273">
        <v>10498836</v>
      </c>
      <c r="W124" s="273">
        <v>16087727</v>
      </c>
      <c r="X124" s="273">
        <v>13582524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255910</v>
      </c>
      <c r="G125" s="275">
        <v>258187</v>
      </c>
      <c r="H125" s="275">
        <v>261492</v>
      </c>
      <c r="I125" s="275">
        <v>242228</v>
      </c>
      <c r="J125" s="275">
        <v>245668</v>
      </c>
      <c r="K125" s="275">
        <v>249127</v>
      </c>
      <c r="L125" s="275">
        <v>252626</v>
      </c>
      <c r="M125" s="275">
        <v>268618</v>
      </c>
      <c r="N125" s="275">
        <v>271930</v>
      </c>
      <c r="O125" s="275">
        <v>275260</v>
      </c>
      <c r="P125" s="275">
        <v>278580</v>
      </c>
      <c r="Q125" s="275">
        <v>310025</v>
      </c>
      <c r="R125" s="275">
        <v>340060</v>
      </c>
      <c r="S125" s="275">
        <v>382783</v>
      </c>
      <c r="T125" s="275">
        <v>390650</v>
      </c>
      <c r="U125" s="275">
        <v>413532</v>
      </c>
      <c r="V125" s="275">
        <v>403617</v>
      </c>
      <c r="W125" s="275">
        <v>431588</v>
      </c>
      <c r="X125" s="275">
        <v>453913</v>
      </c>
    </row>
    <row r="126" spans="1:24" ht="14.25" thickBot="1" x14ac:dyDescent="0.3">
      <c r="A126" s="224" t="s">
        <v>33</v>
      </c>
      <c r="B126" s="273">
        <v>60599</v>
      </c>
      <c r="C126" s="273">
        <v>60599</v>
      </c>
      <c r="D126" s="273">
        <v>60599</v>
      </c>
      <c r="E126" s="273">
        <v>101571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13073471</v>
      </c>
      <c r="C127" s="275">
        <v>16854610</v>
      </c>
      <c r="D127" s="275">
        <v>15311143</v>
      </c>
      <c r="E127" s="275">
        <v>15494404</v>
      </c>
      <c r="F127" s="275">
        <v>14968880</v>
      </c>
      <c r="G127" s="275">
        <v>18900545</v>
      </c>
      <c r="H127" s="275">
        <v>15364229</v>
      </c>
      <c r="I127" s="275">
        <v>14377642</v>
      </c>
      <c r="J127" s="275">
        <v>16119135</v>
      </c>
      <c r="K127" s="275">
        <v>21196141</v>
      </c>
      <c r="L127" s="275">
        <v>19812187</v>
      </c>
      <c r="M127" s="275">
        <v>17704079</v>
      </c>
      <c r="N127" s="275">
        <v>16660289</v>
      </c>
      <c r="O127" s="275">
        <v>18981620</v>
      </c>
      <c r="P127" s="275">
        <v>13443633</v>
      </c>
      <c r="Q127" s="275">
        <v>12574781</v>
      </c>
      <c r="R127" s="275">
        <v>10537197</v>
      </c>
      <c r="S127" s="275">
        <v>16103162</v>
      </c>
      <c r="T127" s="275">
        <v>10814144</v>
      </c>
      <c r="U127" s="275">
        <v>13581512</v>
      </c>
      <c r="V127" s="275">
        <v>10902453</v>
      </c>
      <c r="W127" s="275">
        <v>16519315</v>
      </c>
      <c r="X127" s="275">
        <v>14036437</v>
      </c>
    </row>
    <row r="128" spans="1:24" ht="14.25" thickBot="1" x14ac:dyDescent="0.3">
      <c r="A128" s="224" t="s">
        <v>34</v>
      </c>
      <c r="B128" s="273">
        <v>23050848</v>
      </c>
      <c r="C128" s="273">
        <v>21336191</v>
      </c>
      <c r="D128" s="273">
        <v>22640487</v>
      </c>
      <c r="E128" s="273">
        <v>24016005</v>
      </c>
      <c r="F128" s="273">
        <v>24271356</v>
      </c>
      <c r="G128" s="273">
        <v>22135530</v>
      </c>
      <c r="H128" s="273">
        <v>23402911</v>
      </c>
      <c r="I128" s="273">
        <v>24618704</v>
      </c>
      <c r="J128" s="273">
        <v>25937722</v>
      </c>
      <c r="K128" s="273">
        <v>24068697</v>
      </c>
      <c r="L128" s="273">
        <v>26160767</v>
      </c>
      <c r="M128" s="273">
        <v>28227251</v>
      </c>
      <c r="N128" s="273">
        <v>30006875</v>
      </c>
      <c r="O128" s="273">
        <v>25387830</v>
      </c>
      <c r="P128" s="273">
        <v>27033154</v>
      </c>
      <c r="Q128" s="273">
        <v>28517824</v>
      </c>
      <c r="R128" s="273">
        <v>29736674</v>
      </c>
      <c r="S128" s="273">
        <v>25508687</v>
      </c>
      <c r="T128" s="273">
        <v>26711351</v>
      </c>
      <c r="U128" s="273">
        <v>27963093</v>
      </c>
      <c r="V128" s="273">
        <v>28843724</v>
      </c>
      <c r="W128" s="273">
        <v>25829659</v>
      </c>
      <c r="X128" s="273">
        <v>27257697</v>
      </c>
    </row>
    <row r="129" spans="1:24" ht="14.25" thickBot="1" x14ac:dyDescent="0.3">
      <c r="A129" s="225" t="s">
        <v>35</v>
      </c>
      <c r="B129" s="276">
        <v>36124319</v>
      </c>
      <c r="C129" s="276">
        <v>38190801</v>
      </c>
      <c r="D129" s="276">
        <v>37951630</v>
      </c>
      <c r="E129" s="276">
        <v>39510409</v>
      </c>
      <c r="F129" s="276">
        <v>39240236</v>
      </c>
      <c r="G129" s="276">
        <v>41036075</v>
      </c>
      <c r="H129" s="276">
        <v>38767140</v>
      </c>
      <c r="I129" s="276">
        <v>38996346</v>
      </c>
      <c r="J129" s="276">
        <v>42056857</v>
      </c>
      <c r="K129" s="276">
        <v>45264838</v>
      </c>
      <c r="L129" s="276">
        <v>45972954</v>
      </c>
      <c r="M129" s="276">
        <v>45931330</v>
      </c>
      <c r="N129" s="276">
        <v>46667164</v>
      </c>
      <c r="O129" s="276">
        <v>44369450</v>
      </c>
      <c r="P129" s="276">
        <v>40476787</v>
      </c>
      <c r="Q129" s="276">
        <v>41092605</v>
      </c>
      <c r="R129" s="276">
        <v>40273871</v>
      </c>
      <c r="S129" s="276">
        <v>41611849</v>
      </c>
      <c r="T129" s="276">
        <v>37525495</v>
      </c>
      <c r="U129" s="276">
        <v>41544605</v>
      </c>
      <c r="V129" s="276">
        <v>39746177</v>
      </c>
      <c r="W129" s="276">
        <v>42348974</v>
      </c>
      <c r="X129" s="276">
        <v>41294134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8.77</v>
      </c>
      <c r="C132" s="68">
        <v>8.0299999999999994</v>
      </c>
      <c r="D132" s="68">
        <v>9.4499999999999993</v>
      </c>
      <c r="E132" s="68">
        <v>15</v>
      </c>
      <c r="F132" s="68">
        <v>11.58</v>
      </c>
    </row>
    <row r="133" spans="1:24" ht="14.25" thickBot="1" x14ac:dyDescent="0.3">
      <c r="A133" s="225" t="s">
        <v>37</v>
      </c>
      <c r="B133" s="274">
        <v>-0.64</v>
      </c>
      <c r="C133" s="274">
        <v>-0.59</v>
      </c>
      <c r="D133" s="274">
        <v>-0.56999999999999995</v>
      </c>
      <c r="E133" s="274">
        <v>-1.78</v>
      </c>
      <c r="F133" s="274">
        <v>-1.1000000000000001</v>
      </c>
    </row>
    <row r="134" spans="1:24" ht="14.25" thickBot="1" x14ac:dyDescent="0.3">
      <c r="A134" s="224" t="s">
        <v>38</v>
      </c>
      <c r="B134" s="68">
        <v>-5.23</v>
      </c>
      <c r="C134" s="68">
        <v>-7.17</v>
      </c>
      <c r="D134" s="68">
        <v>-6.06</v>
      </c>
      <c r="E134" s="68">
        <v>-14.68</v>
      </c>
      <c r="F134" s="68">
        <v>-9.61</v>
      </c>
    </row>
    <row r="135" spans="1:24" ht="14.25" thickBot="1" x14ac:dyDescent="0.3">
      <c r="A135" s="225" t="s">
        <v>270</v>
      </c>
      <c r="B135" s="274">
        <v>8.1300000000000008</v>
      </c>
      <c r="C135" s="274">
        <v>7.44</v>
      </c>
      <c r="D135" s="274">
        <v>8.8800000000000008</v>
      </c>
      <c r="E135" s="274">
        <v>13.23</v>
      </c>
      <c r="F135" s="274">
        <v>10.48</v>
      </c>
    </row>
    <row r="136" spans="1:24" ht="14.25" thickBot="1" x14ac:dyDescent="0.3">
      <c r="A136" s="229" t="s">
        <v>39</v>
      </c>
      <c r="B136" s="72">
        <v>2.91</v>
      </c>
      <c r="C136" s="72">
        <v>0.28000000000000003</v>
      </c>
      <c r="D136" s="72">
        <v>2.82</v>
      </c>
      <c r="E136" s="72">
        <v>-1.45</v>
      </c>
      <c r="F136" s="72">
        <v>0.88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5.6</v>
      </c>
      <c r="C140" s="68">
        <v>6</v>
      </c>
      <c r="D140" s="68">
        <v>10</v>
      </c>
      <c r="E140" s="68">
        <v>9</v>
      </c>
      <c r="F140" s="68">
        <v>7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0.76086956521739124</v>
      </c>
      <c r="C142" s="234">
        <f>IF(C140&lt;&gt;"無",IF(ISNA(HLOOKUP(C139,$B$64:$F$69,6,FALSE)),"",C140/HLOOKUP(C139,$B$64:$F$69,6,FALSE)),"")</f>
        <v>0.76726342710997453</v>
      </c>
      <c r="D142" s="234">
        <f>IF(D140&lt;&gt;"無",IF(ISNA(HLOOKUP(D139,$B$64:$F$69,6,FALSE)),"",D140/HLOOKUP(D139,$B$64:$F$69,6,FALSE)),"")</f>
        <v>0.84459459459459463</v>
      </c>
      <c r="E142" s="234">
        <f>IF(E140&lt;&gt;"無",IF(ISNA(HLOOKUP(E139,$B$64:$F$69,6,FALSE)),"",E140/HLOOKUP(E139,$B$64:$F$69,6,FALSE)),"")</f>
        <v>0.85632730732635587</v>
      </c>
      <c r="F142" s="234">
        <f>IF(F140&lt;&gt;"無",IF(ISNA(HLOOKUP(F139,$B$64:$F$69,6,FALSE)),"",F140/HLOOKUP(F139,$B$64:$F$69,6,FALSE)),"")</f>
        <v>0.85054678007290396</v>
      </c>
    </row>
    <row r="143" spans="1:24" x14ac:dyDescent="0.25">
      <c r="A143" s="233" t="s">
        <v>216</v>
      </c>
      <c r="B143" s="234">
        <f>IF(OR(B140=0,B140="無"),"",B135/B140)</f>
        <v>1.4517857142857145</v>
      </c>
      <c r="C143" s="234">
        <f>IF(OR(C140=0,C140="無"),"",C135/C140)</f>
        <v>1.24</v>
      </c>
      <c r="D143" s="234">
        <f>IF(OR(D140=0,D140="無"),"",D135/D140)</f>
        <v>0.88800000000000012</v>
      </c>
      <c r="E143" s="234">
        <f>IF(OR(E140=0,E140="無"),"",E135/E140)</f>
        <v>1.47</v>
      </c>
      <c r="F143" s="234">
        <f>IF(OR(F140=0,F140="無"),"",F135/F140)</f>
        <v>1.4971428571428571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26.62</v>
      </c>
      <c r="C146" s="68">
        <v>27.52</v>
      </c>
      <c r="D146" s="68">
        <v>28.67</v>
      </c>
      <c r="E146" s="68">
        <v>28.89</v>
      </c>
      <c r="F146" s="68">
        <v>27.9</v>
      </c>
      <c r="G146" s="68">
        <v>27.71</v>
      </c>
      <c r="H146" s="68">
        <v>27.97</v>
      </c>
      <c r="I146" s="68">
        <v>27.36</v>
      </c>
      <c r="J146" s="68">
        <v>28.04</v>
      </c>
      <c r="K146" s="68">
        <v>28.86</v>
      </c>
      <c r="L146" s="68">
        <v>28.37</v>
      </c>
      <c r="M146" s="68">
        <v>28.51</v>
      </c>
      <c r="N146" s="68">
        <v>29.12</v>
      </c>
      <c r="O146" s="68">
        <v>28.05</v>
      </c>
      <c r="P146" s="68">
        <v>28.05</v>
      </c>
      <c r="Q146" s="68">
        <v>28.45</v>
      </c>
      <c r="R146" s="68">
        <v>29.41</v>
      </c>
      <c r="S146" s="68">
        <v>28.19</v>
      </c>
      <c r="T146" s="68">
        <v>27.71</v>
      </c>
      <c r="U146" s="68">
        <v>28.2</v>
      </c>
      <c r="V146" s="68">
        <v>28.49</v>
      </c>
      <c r="W146" s="68">
        <v>28.28</v>
      </c>
      <c r="X146" s="68">
        <v>29.01</v>
      </c>
    </row>
    <row r="147" spans="1:24" s="93" customFormat="1" ht="14.25" thickBot="1" x14ac:dyDescent="0.3">
      <c r="A147" s="225" t="s">
        <v>19</v>
      </c>
      <c r="B147" s="274">
        <v>11.69</v>
      </c>
      <c r="C147" s="274">
        <v>13.5</v>
      </c>
      <c r="D147" s="274">
        <v>13.92</v>
      </c>
      <c r="E147" s="274">
        <v>13.92</v>
      </c>
      <c r="F147" s="274">
        <v>12.86</v>
      </c>
      <c r="G147" s="274">
        <v>13.68</v>
      </c>
      <c r="H147" s="274">
        <v>13.22</v>
      </c>
      <c r="I147" s="274">
        <v>12.62</v>
      </c>
      <c r="J147" s="274">
        <v>13.11</v>
      </c>
      <c r="K147" s="274">
        <v>14.94</v>
      </c>
      <c r="L147" s="274">
        <v>15.06</v>
      </c>
      <c r="M147" s="274">
        <v>14.97</v>
      </c>
      <c r="N147" s="274">
        <v>15.1</v>
      </c>
      <c r="O147" s="274">
        <v>13.33</v>
      </c>
      <c r="P147" s="274">
        <v>12.9</v>
      </c>
      <c r="Q147" s="274">
        <v>13.28</v>
      </c>
      <c r="R147" s="274">
        <v>12.94</v>
      </c>
      <c r="S147" s="274">
        <v>12.51</v>
      </c>
      <c r="T147" s="274">
        <v>12.16</v>
      </c>
      <c r="U147" s="274">
        <v>11.87</v>
      </c>
      <c r="V147" s="274">
        <v>11.05</v>
      </c>
      <c r="W147" s="274">
        <v>11.72</v>
      </c>
      <c r="X147" s="274">
        <v>12.88</v>
      </c>
    </row>
    <row r="148" spans="1:24" s="93" customFormat="1" ht="14.25" thickBot="1" x14ac:dyDescent="0.3">
      <c r="A148" s="224" t="s">
        <v>41</v>
      </c>
      <c r="B148" s="68">
        <v>12.19</v>
      </c>
      <c r="C148" s="68">
        <v>13.61</v>
      </c>
      <c r="D148" s="68">
        <v>14.4</v>
      </c>
      <c r="E148" s="68">
        <v>14.61</v>
      </c>
      <c r="F148" s="68">
        <v>13.41</v>
      </c>
      <c r="G148" s="68">
        <v>14.12</v>
      </c>
      <c r="H148" s="68">
        <v>13.83</v>
      </c>
      <c r="I148" s="68">
        <v>13.44</v>
      </c>
      <c r="J148" s="68">
        <v>13.64</v>
      </c>
      <c r="K148" s="68">
        <v>15.33</v>
      </c>
      <c r="L148" s="68">
        <v>15.77</v>
      </c>
      <c r="M148" s="68">
        <v>16</v>
      </c>
      <c r="N148" s="68">
        <v>15.24</v>
      </c>
      <c r="O148" s="68">
        <v>13.73</v>
      </c>
      <c r="P148" s="68">
        <v>14.94</v>
      </c>
      <c r="Q148" s="68">
        <v>13.82</v>
      </c>
      <c r="R148" s="68">
        <v>12.71</v>
      </c>
      <c r="S148" s="68">
        <v>13.22</v>
      </c>
      <c r="T148" s="68">
        <v>11.83</v>
      </c>
      <c r="U148" s="68">
        <v>12.98</v>
      </c>
      <c r="V148" s="68">
        <v>10.09</v>
      </c>
      <c r="W148" s="68">
        <v>12.37</v>
      </c>
      <c r="X148" s="68">
        <v>14.76</v>
      </c>
    </row>
    <row r="149" spans="1:24" s="93" customFormat="1" ht="14.25" thickBot="1" x14ac:dyDescent="0.3">
      <c r="A149" s="225" t="s">
        <v>13</v>
      </c>
      <c r="B149" s="73">
        <v>10.39</v>
      </c>
      <c r="C149" s="73">
        <v>12.05</v>
      </c>
      <c r="D149" s="73">
        <v>12.64</v>
      </c>
      <c r="E149" s="73">
        <v>12.42</v>
      </c>
      <c r="F149" s="73">
        <v>11.37</v>
      </c>
      <c r="G149" s="73">
        <v>11.47</v>
      </c>
      <c r="H149" s="73">
        <v>11.72</v>
      </c>
      <c r="I149" s="73">
        <v>11.22</v>
      </c>
      <c r="J149" s="73">
        <v>11.96</v>
      </c>
      <c r="K149" s="73">
        <v>13.51</v>
      </c>
      <c r="L149" s="73">
        <v>13.66</v>
      </c>
      <c r="M149" s="73">
        <v>13.82</v>
      </c>
      <c r="N149" s="73">
        <v>13.39</v>
      </c>
      <c r="O149" s="73">
        <v>11.92</v>
      </c>
      <c r="P149" s="73">
        <v>12.98</v>
      </c>
      <c r="Q149" s="73">
        <v>12</v>
      </c>
      <c r="R149" s="73">
        <v>11.13</v>
      </c>
      <c r="S149" s="73">
        <v>11.36</v>
      </c>
      <c r="T149" s="73">
        <v>10.210000000000001</v>
      </c>
      <c r="U149" s="73">
        <v>11.19</v>
      </c>
      <c r="V149" s="73">
        <v>8.51</v>
      </c>
      <c r="W149" s="73">
        <v>10.38</v>
      </c>
      <c r="X149" s="73">
        <v>12.54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28.05</v>
      </c>
      <c r="C152" s="68">
        <v>27.73</v>
      </c>
      <c r="D152" s="68">
        <v>28.46</v>
      </c>
      <c r="E152" s="68">
        <v>28.42</v>
      </c>
      <c r="F152" s="68">
        <v>28.36</v>
      </c>
    </row>
    <row r="153" spans="1:24" s="93" customFormat="1" ht="14.25" thickBot="1" x14ac:dyDescent="0.3">
      <c r="A153" s="225" t="s">
        <v>19</v>
      </c>
      <c r="B153" s="274">
        <v>13.37</v>
      </c>
      <c r="C153" s="274">
        <v>13.1</v>
      </c>
      <c r="D153" s="274">
        <v>14.62</v>
      </c>
      <c r="E153" s="274">
        <v>13.65</v>
      </c>
      <c r="F153" s="274">
        <v>12.36</v>
      </c>
    </row>
    <row r="154" spans="1:24" s="93" customFormat="1" ht="14.25" thickBot="1" x14ac:dyDescent="0.3">
      <c r="A154" s="224" t="s">
        <v>41</v>
      </c>
      <c r="B154" s="68">
        <v>13.83</v>
      </c>
      <c r="C154" s="68">
        <v>13.71</v>
      </c>
      <c r="D154" s="68">
        <v>15.31</v>
      </c>
      <c r="E154" s="68">
        <v>14.44</v>
      </c>
      <c r="F154" s="68">
        <v>12.67</v>
      </c>
    </row>
    <row r="155" spans="1:24" s="93" customFormat="1" ht="14.25" thickBot="1" x14ac:dyDescent="0.3">
      <c r="A155" s="225" t="s">
        <v>13</v>
      </c>
      <c r="B155" s="73">
        <v>11.98</v>
      </c>
      <c r="C155" s="73">
        <v>11.45</v>
      </c>
      <c r="D155" s="73">
        <v>13.33</v>
      </c>
      <c r="E155" s="73">
        <v>12.58</v>
      </c>
      <c r="F155" s="73">
        <v>10.96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2.1800000000000002</v>
      </c>
      <c r="C158" s="68">
        <v>2.8</v>
      </c>
      <c r="D158" s="68">
        <v>3.43</v>
      </c>
      <c r="E158" s="68">
        <v>3.46</v>
      </c>
      <c r="F158" s="68">
        <v>2.72</v>
      </c>
      <c r="G158" s="68">
        <v>3.14</v>
      </c>
      <c r="H158" s="68">
        <v>3.13</v>
      </c>
      <c r="I158" s="68">
        <v>3.09</v>
      </c>
      <c r="J158" s="68">
        <v>3.15</v>
      </c>
      <c r="K158" s="68">
        <v>4.07</v>
      </c>
      <c r="L158" s="68">
        <v>4.5999999999999996</v>
      </c>
      <c r="M158" s="68">
        <v>4.57</v>
      </c>
      <c r="N158" s="68">
        <v>3.69</v>
      </c>
      <c r="O158" s="68">
        <v>3.28</v>
      </c>
      <c r="P158" s="68">
        <v>4.0199999999999996</v>
      </c>
      <c r="Q158" s="68">
        <v>3.73</v>
      </c>
      <c r="R158" s="68">
        <v>3.01</v>
      </c>
      <c r="S158" s="68">
        <v>3.18</v>
      </c>
      <c r="T158" s="68">
        <v>3.11</v>
      </c>
      <c r="U158" s="68">
        <v>3.19</v>
      </c>
      <c r="V158" s="68">
        <v>2.31</v>
      </c>
      <c r="W158" s="68">
        <v>3</v>
      </c>
      <c r="X158" s="68">
        <v>3.74</v>
      </c>
    </row>
    <row r="159" spans="1:24" s="93" customFormat="1" ht="14.25" thickBot="1" x14ac:dyDescent="0.3">
      <c r="A159" s="225" t="s">
        <v>45</v>
      </c>
      <c r="B159" s="73">
        <v>3.45</v>
      </c>
      <c r="C159" s="73">
        <v>4.6500000000000004</v>
      </c>
      <c r="D159" s="73">
        <v>5.89</v>
      </c>
      <c r="E159" s="73">
        <v>5.7</v>
      </c>
      <c r="F159" s="73">
        <v>4.4000000000000004</v>
      </c>
      <c r="G159" s="73">
        <v>5.4</v>
      </c>
      <c r="H159" s="73">
        <v>5.44</v>
      </c>
      <c r="I159" s="73">
        <v>4.96</v>
      </c>
      <c r="J159" s="73">
        <v>5.01</v>
      </c>
      <c r="K159" s="73">
        <v>7.07</v>
      </c>
      <c r="L159" s="73">
        <v>8.31</v>
      </c>
      <c r="M159" s="73">
        <v>7.68</v>
      </c>
      <c r="N159" s="73">
        <v>5.84</v>
      </c>
      <c r="O159" s="73">
        <v>5.36</v>
      </c>
      <c r="P159" s="73">
        <v>6.48</v>
      </c>
      <c r="Q159" s="73">
        <v>5.46</v>
      </c>
      <c r="R159" s="73">
        <v>4.1900000000000004</v>
      </c>
      <c r="S159" s="73">
        <v>4.71</v>
      </c>
      <c r="T159" s="73">
        <v>4.7</v>
      </c>
      <c r="U159" s="73">
        <v>4.59</v>
      </c>
      <c r="V159" s="73">
        <v>3.27</v>
      </c>
      <c r="W159" s="73">
        <v>4.4800000000000004</v>
      </c>
      <c r="X159" s="73">
        <v>5.86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11.98</v>
      </c>
      <c r="C162" s="68">
        <v>11.45</v>
      </c>
      <c r="D162" s="68">
        <v>13.33</v>
      </c>
      <c r="E162" s="68">
        <v>12.58</v>
      </c>
      <c r="F162" s="68">
        <v>10.96</v>
      </c>
    </row>
    <row r="163" spans="1:72" s="93" customFormat="1" ht="14.25" thickBot="1" x14ac:dyDescent="0.3">
      <c r="A163" s="225" t="s">
        <v>18</v>
      </c>
      <c r="B163" s="274">
        <v>0.94</v>
      </c>
      <c r="C163" s="274">
        <v>1.06</v>
      </c>
      <c r="D163" s="274">
        <v>1.18</v>
      </c>
      <c r="E163" s="274">
        <v>1.24</v>
      </c>
      <c r="F163" s="274">
        <v>1.1000000000000001</v>
      </c>
    </row>
    <row r="164" spans="1:72" s="93" customFormat="1" ht="14.25" thickBot="1" x14ac:dyDescent="0.3">
      <c r="A164" s="224" t="s">
        <v>15</v>
      </c>
      <c r="B164" s="68">
        <v>1.65</v>
      </c>
      <c r="C164" s="68">
        <v>1.58</v>
      </c>
      <c r="D164" s="68">
        <v>1.63</v>
      </c>
      <c r="E164" s="68">
        <v>1.44</v>
      </c>
      <c r="F164" s="68">
        <v>1.49</v>
      </c>
    </row>
    <row r="165" spans="1:72" s="93" customFormat="1" ht="14.25" thickBot="1" x14ac:dyDescent="0.3">
      <c r="A165" s="225" t="s">
        <v>45</v>
      </c>
      <c r="B165" s="73">
        <v>19.190000000000001</v>
      </c>
      <c r="C165" s="73">
        <v>19.510000000000002</v>
      </c>
      <c r="D165" s="73">
        <v>27.28</v>
      </c>
      <c r="E165" s="73">
        <v>22.55</v>
      </c>
      <c r="F165" s="73">
        <v>17.72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118.42</v>
      </c>
      <c r="C168" s="68">
        <v>100</v>
      </c>
      <c r="D168" s="68">
        <v>90.91</v>
      </c>
      <c r="E168" s="68">
        <v>91.84</v>
      </c>
      <c r="F168" s="68">
        <v>101.12</v>
      </c>
      <c r="G168" s="68">
        <v>87.38</v>
      </c>
      <c r="H168" s="68">
        <v>92.78</v>
      </c>
      <c r="I168" s="68">
        <v>90.91</v>
      </c>
      <c r="J168" s="68">
        <v>92.78</v>
      </c>
      <c r="K168" s="68">
        <v>80.36</v>
      </c>
      <c r="L168" s="68">
        <v>79.650000000000006</v>
      </c>
      <c r="M168" s="68">
        <v>85.71</v>
      </c>
      <c r="N168" s="68">
        <v>92.78</v>
      </c>
      <c r="O168" s="68">
        <v>83.33</v>
      </c>
      <c r="P168" s="68">
        <v>78.95</v>
      </c>
      <c r="Q168" s="68">
        <v>81.08</v>
      </c>
      <c r="R168" s="68">
        <v>83.33</v>
      </c>
      <c r="S168" s="68">
        <v>75</v>
      </c>
      <c r="T168" s="68">
        <v>73.77</v>
      </c>
      <c r="U168" s="68">
        <v>83.33</v>
      </c>
      <c r="V168" s="68">
        <v>82.57</v>
      </c>
      <c r="W168" s="68">
        <v>75</v>
      </c>
      <c r="X168" s="68">
        <v>78.95</v>
      </c>
    </row>
    <row r="169" spans="1:72" s="93" customFormat="1" ht="14.25" thickBot="1" x14ac:dyDescent="0.3">
      <c r="A169" s="225" t="s">
        <v>17</v>
      </c>
      <c r="B169" s="274">
        <v>47.62</v>
      </c>
      <c r="C169" s="274">
        <v>47.87</v>
      </c>
      <c r="D169" s="274">
        <v>44.78</v>
      </c>
      <c r="E169" s="274">
        <v>44.55</v>
      </c>
      <c r="F169" s="274">
        <v>54.22</v>
      </c>
      <c r="G169" s="274">
        <v>50.28</v>
      </c>
      <c r="H169" s="274">
        <v>58.06</v>
      </c>
      <c r="I169" s="274">
        <v>55.9</v>
      </c>
      <c r="J169" s="274">
        <v>58.06</v>
      </c>
      <c r="K169" s="274">
        <v>57.32</v>
      </c>
      <c r="L169" s="274">
        <v>53.89</v>
      </c>
      <c r="M169" s="274">
        <v>53.57</v>
      </c>
      <c r="N169" s="274">
        <v>65.69</v>
      </c>
      <c r="O169" s="274">
        <v>66.67</v>
      </c>
      <c r="P169" s="274">
        <v>56.6</v>
      </c>
      <c r="Q169" s="274">
        <v>48.65</v>
      </c>
      <c r="R169" s="274">
        <v>54.55</v>
      </c>
      <c r="S169" s="274">
        <v>56.25</v>
      </c>
      <c r="T169" s="274">
        <v>50.56</v>
      </c>
      <c r="U169" s="274">
        <v>52.02</v>
      </c>
      <c r="V169" s="274">
        <v>54.88</v>
      </c>
      <c r="W169" s="274">
        <v>55.9</v>
      </c>
      <c r="X169" s="274">
        <v>59.21</v>
      </c>
    </row>
    <row r="170" spans="1:72" s="93" customFormat="1" ht="14.25" thickBot="1" x14ac:dyDescent="0.3">
      <c r="A170" s="224" t="s">
        <v>42</v>
      </c>
      <c r="B170" s="72">
        <v>166.04</v>
      </c>
      <c r="C170" s="72">
        <v>147.87</v>
      </c>
      <c r="D170" s="72">
        <v>135.69</v>
      </c>
      <c r="E170" s="72">
        <v>136.38999999999999</v>
      </c>
      <c r="F170" s="72">
        <v>155.34</v>
      </c>
      <c r="G170" s="72">
        <v>137.66</v>
      </c>
      <c r="H170" s="72">
        <v>150.85</v>
      </c>
      <c r="I170" s="72">
        <v>146.81</v>
      </c>
      <c r="J170" s="72">
        <v>150.85</v>
      </c>
      <c r="K170" s="72">
        <v>137.68</v>
      </c>
      <c r="L170" s="72">
        <v>133.54</v>
      </c>
      <c r="M170" s="72">
        <v>139.29</v>
      </c>
      <c r="N170" s="72">
        <v>158.47999999999999</v>
      </c>
      <c r="O170" s="72">
        <v>150</v>
      </c>
      <c r="P170" s="72">
        <v>135.55000000000001</v>
      </c>
      <c r="Q170" s="72">
        <v>129.72999999999999</v>
      </c>
      <c r="R170" s="72">
        <v>137.88</v>
      </c>
      <c r="S170" s="72">
        <v>131.25</v>
      </c>
      <c r="T170" s="72">
        <v>124.33</v>
      </c>
      <c r="U170" s="72">
        <v>135.36000000000001</v>
      </c>
      <c r="V170" s="72">
        <v>137.44999999999999</v>
      </c>
      <c r="W170" s="72">
        <v>130.9</v>
      </c>
      <c r="X170" s="72">
        <v>138.16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119.43</v>
      </c>
      <c r="C173" s="72">
        <v>102.85</v>
      </c>
      <c r="D173" s="72">
        <v>79.739999999999995</v>
      </c>
      <c r="E173" s="72">
        <v>142.76</v>
      </c>
      <c r="F173" s="72">
        <v>140.86000000000001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12.95</v>
      </c>
      <c r="C176" s="72">
        <v>14.14</v>
      </c>
      <c r="D176" s="72">
        <v>14.42</v>
      </c>
      <c r="E176" s="72">
        <v>14.39</v>
      </c>
      <c r="F176" s="72">
        <v>14.91</v>
      </c>
      <c r="G176" s="72">
        <v>14.94</v>
      </c>
      <c r="H176" s="72">
        <v>14.62</v>
      </c>
      <c r="I176" s="72">
        <v>15.65</v>
      </c>
      <c r="J176" s="72">
        <v>17.34</v>
      </c>
      <c r="K176" s="72">
        <v>17.989999999999998</v>
      </c>
      <c r="L176" s="72">
        <v>17.27</v>
      </c>
      <c r="M176" s="72">
        <v>18.16</v>
      </c>
      <c r="N176" s="72">
        <v>17.72</v>
      </c>
      <c r="O176" s="72">
        <v>18.66</v>
      </c>
      <c r="P176" s="72">
        <v>19.809999999999999</v>
      </c>
      <c r="Q176" s="72">
        <v>18.66</v>
      </c>
      <c r="R176" s="72">
        <v>18.989999999999998</v>
      </c>
      <c r="S176" s="72">
        <v>17.93</v>
      </c>
      <c r="T176" s="72">
        <v>17.03</v>
      </c>
      <c r="U176" s="72">
        <v>14.53</v>
      </c>
      <c r="V176" s="72">
        <v>15.39</v>
      </c>
      <c r="W176" s="72">
        <v>14.18</v>
      </c>
      <c r="X176" s="72">
        <v>13.99</v>
      </c>
      <c r="Y176" s="72">
        <v>14.94</v>
      </c>
      <c r="Z176" s="72">
        <v>15.59</v>
      </c>
      <c r="AA176" s="72">
        <v>16.39</v>
      </c>
      <c r="AB176" s="72">
        <v>17.88</v>
      </c>
      <c r="AC176" s="72">
        <v>18.25</v>
      </c>
      <c r="AD176" s="72">
        <v>18.13</v>
      </c>
      <c r="AE176" s="72">
        <v>17.95</v>
      </c>
      <c r="AF176" s="72">
        <v>18.55</v>
      </c>
      <c r="AG176" s="72">
        <v>17.149999999999999</v>
      </c>
      <c r="AH176" s="72">
        <v>16.88</v>
      </c>
      <c r="AI176" s="72">
        <v>16.89</v>
      </c>
      <c r="AJ176" s="72">
        <v>16.16</v>
      </c>
      <c r="AK176" s="72">
        <v>16.54</v>
      </c>
      <c r="AL176" s="72">
        <v>17.600000000000001</v>
      </c>
      <c r="AM176" s="72">
        <v>16.54</v>
      </c>
      <c r="AN176" s="72">
        <v>14.26</v>
      </c>
      <c r="AO176" s="72">
        <v>13.29</v>
      </c>
      <c r="AP176" s="72">
        <v>12.61</v>
      </c>
      <c r="AQ176" s="72">
        <v>12.25</v>
      </c>
      <c r="AR176" s="72">
        <v>10.45</v>
      </c>
      <c r="AS176" s="72">
        <v>9.08</v>
      </c>
      <c r="AT176" s="72">
        <v>9.36</v>
      </c>
      <c r="AU176" s="72">
        <v>9.44</v>
      </c>
      <c r="AV176" s="72">
        <v>10.47</v>
      </c>
      <c r="AW176" s="72">
        <v>11.51</v>
      </c>
      <c r="AX176" s="72">
        <v>10.66</v>
      </c>
      <c r="AY176" s="72">
        <v>11.79</v>
      </c>
      <c r="AZ176" s="72">
        <v>12.45</v>
      </c>
      <c r="BA176" s="72">
        <v>11</v>
      </c>
      <c r="BB176" s="72">
        <v>11.02</v>
      </c>
      <c r="BC176" s="72">
        <v>11.44</v>
      </c>
      <c r="BD176" s="72">
        <v>11.82</v>
      </c>
      <c r="BE176" s="72">
        <v>11.6</v>
      </c>
      <c r="BF176" s="72">
        <v>11.7</v>
      </c>
      <c r="BG176" s="72">
        <v>12.41</v>
      </c>
      <c r="BH176" s="72">
        <v>12.54</v>
      </c>
      <c r="BI176" s="72">
        <v>12.27</v>
      </c>
      <c r="BJ176" s="72">
        <v>12.67</v>
      </c>
      <c r="BK176" s="72">
        <v>13.43</v>
      </c>
      <c r="BL176" s="72">
        <v>14.13</v>
      </c>
      <c r="BM176" s="72">
        <v>13.94</v>
      </c>
      <c r="BN176" s="72">
        <v>15.42</v>
      </c>
      <c r="BO176" s="72">
        <v>15.8</v>
      </c>
      <c r="BP176" s="72">
        <v>15.51</v>
      </c>
      <c r="BQ176" s="72">
        <v>14.68</v>
      </c>
      <c r="BR176" s="72">
        <v>15.1</v>
      </c>
      <c r="BS176" s="72">
        <v>14.99</v>
      </c>
      <c r="BT176" s="72">
        <v>14.18</v>
      </c>
    </row>
  </sheetData>
  <phoneticPr fontId="3" type="noConversion"/>
  <conditionalFormatting sqref="E4">
    <cfRule type="cellIs" dxfId="4799" priority="103" operator="greaterThan">
      <formula>0.2</formula>
    </cfRule>
    <cfRule type="cellIs" dxfId="479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479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796" priority="97" operator="greaterThan">
      <formula>$B$19</formula>
    </cfRule>
  </conditionalFormatting>
  <conditionalFormatting sqref="D33:D34">
    <cfRule type="cellIs" dxfId="479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4794" priority="91" operator="lessThan">
      <formula>$H$62</formula>
    </cfRule>
    <cfRule type="cellIs" dxfId="4793" priority="92" operator="greaterThan">
      <formula>$H$62</formula>
    </cfRule>
  </conditionalFormatting>
  <conditionalFormatting sqref="J62">
    <cfRule type="cellIs" dxfId="4792" priority="89" operator="lessThan">
      <formula>$K$62</formula>
    </cfRule>
    <cfRule type="cellIs" dxfId="4791" priority="90" operator="greaterThan">
      <formula>$K$62</formula>
    </cfRule>
  </conditionalFormatting>
  <conditionalFormatting sqref="M62">
    <cfRule type="cellIs" dxfId="4790" priority="87" operator="lessThan">
      <formula>$N$62</formula>
    </cfRule>
    <cfRule type="cellIs" dxfId="4789" priority="88" operator="greaterThan">
      <formula>$N$62</formula>
    </cfRule>
  </conditionalFormatting>
  <conditionalFormatting sqref="B44:E44">
    <cfRule type="cellIs" dxfId="4788" priority="85" operator="greaterThan">
      <formula>0</formula>
    </cfRule>
    <cfRule type="cellIs" dxfId="4787" priority="86" operator="lessThan">
      <formula>0</formula>
    </cfRule>
  </conditionalFormatting>
  <conditionalFormatting sqref="F72">
    <cfRule type="cellIs" dxfId="4786" priority="84" operator="lessThan">
      <formula>$E$72*90%</formula>
    </cfRule>
  </conditionalFormatting>
  <conditionalFormatting sqref="F73">
    <cfRule type="cellIs" dxfId="4785" priority="83" operator="lessThan">
      <formula>$E$73*90%</formula>
    </cfRule>
  </conditionalFormatting>
  <conditionalFormatting sqref="F74">
    <cfRule type="cellIs" dxfId="4784" priority="82" operator="lessThan">
      <formula>$E$74*90%</formula>
    </cfRule>
  </conditionalFormatting>
  <conditionalFormatting sqref="F75">
    <cfRule type="cellIs" dxfId="4783" priority="81" operator="lessThan">
      <formula>$E$75*90%</formula>
    </cfRule>
  </conditionalFormatting>
  <conditionalFormatting sqref="H44:K44">
    <cfRule type="cellIs" dxfId="4782" priority="79" operator="greaterThan">
      <formula>0</formula>
    </cfRule>
    <cfRule type="cellIs" dxfId="4781" priority="80" operator="lessThan">
      <formula>0</formula>
    </cfRule>
  </conditionalFormatting>
  <conditionalFormatting sqref="H51:K51">
    <cfRule type="cellIs" dxfId="4780" priority="77" operator="greaterThan">
      <formula>0</formula>
    </cfRule>
    <cfRule type="cellIs" dxfId="4779" priority="78" operator="lessThan">
      <formula>0</formula>
    </cfRule>
  </conditionalFormatting>
  <conditionalFormatting sqref="B51:E51">
    <cfRule type="cellIs" dxfId="4778" priority="75" operator="greaterThan">
      <formula>0</formula>
    </cfRule>
    <cfRule type="cellIs" dxfId="477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77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77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774" priority="58" operator="lessThan">
      <formula>0</formula>
    </cfRule>
  </conditionalFormatting>
  <conditionalFormatting sqref="A25 E25 C25">
    <cfRule type="cellIs" dxfId="4773" priority="59" operator="lessThan">
      <formula>0</formula>
    </cfRule>
  </conditionalFormatting>
  <conditionalFormatting sqref="F25">
    <cfRule type="cellIs" dxfId="4772" priority="57" operator="lessThan">
      <formula>0</formula>
    </cfRule>
  </conditionalFormatting>
  <conditionalFormatting sqref="E1">
    <cfRule type="containsText" dxfId="4771" priority="56" operator="containsText" text="本季業外損益/平均=-">
      <formula>NOT(ISERROR(SEARCH("本季業外損益/平均=-",E1)))</formula>
    </cfRule>
  </conditionalFormatting>
  <conditionalFormatting sqref="M65">
    <cfRule type="cellIs" dxfId="4770" priority="55" operator="lessThan">
      <formula>$L$65*90%</formula>
    </cfRule>
  </conditionalFormatting>
  <conditionalFormatting sqref="M66">
    <cfRule type="cellIs" dxfId="4769" priority="54" operator="lessThan">
      <formula>$L$66*90%</formula>
    </cfRule>
  </conditionalFormatting>
  <conditionalFormatting sqref="M67">
    <cfRule type="cellIs" dxfId="4768" priority="53" operator="lessThan">
      <formula>$L$67*90%</formula>
    </cfRule>
  </conditionalFormatting>
  <conditionalFormatting sqref="M68">
    <cfRule type="cellIs" dxfId="4767" priority="52" operator="lessThan">
      <formula>$L$68*90%</formula>
    </cfRule>
  </conditionalFormatting>
  <conditionalFormatting sqref="B60">
    <cfRule type="cellIs" dxfId="4766" priority="51" operator="lessThan">
      <formula>0</formula>
    </cfRule>
  </conditionalFormatting>
  <conditionalFormatting sqref="B59:F59">
    <cfRule type="cellIs" dxfId="4765" priority="50" operator="lessThanOrEqual">
      <formula>0</formula>
    </cfRule>
  </conditionalFormatting>
  <conditionalFormatting sqref="D62">
    <cfRule type="cellIs" dxfId="4764" priority="48" operator="lessThan">
      <formula>$E$62</formula>
    </cfRule>
    <cfRule type="cellIs" dxfId="4763" priority="49" operator="greaterThan">
      <formula>$E$62</formula>
    </cfRule>
  </conditionalFormatting>
  <conditionalFormatting sqref="F69">
    <cfRule type="cellIs" dxfId="4762" priority="46" operator="lessThan">
      <formula>0</formula>
    </cfRule>
  </conditionalFormatting>
  <conditionalFormatting sqref="B65:E67 B69:E69 B68:D68">
    <cfRule type="cellIs" dxfId="4761" priority="47" operator="lessThan">
      <formula>0</formula>
    </cfRule>
  </conditionalFormatting>
  <conditionalFormatting sqref="E68">
    <cfRule type="cellIs" dxfId="4760" priority="45" operator="lessThan">
      <formula>0</formula>
    </cfRule>
  </conditionalFormatting>
  <conditionalFormatting sqref="F65:F68">
    <cfRule type="cellIs" dxfId="4759" priority="44" operator="lessThan">
      <formula>0</formula>
    </cfRule>
  </conditionalFormatting>
  <conditionalFormatting sqref="F65:F68">
    <cfRule type="cellIs" dxfId="4758" priority="43" operator="lessThan">
      <formula>$E$65*0.9</formula>
    </cfRule>
  </conditionalFormatting>
  <conditionalFormatting sqref="F66">
    <cfRule type="cellIs" dxfId="4757" priority="42" operator="lessThan">
      <formula>$E$66*0.9</formula>
    </cfRule>
  </conditionalFormatting>
  <conditionalFormatting sqref="F67:F68">
    <cfRule type="cellIs" dxfId="4756" priority="41" operator="lessThan">
      <formula>$E$67*0.9</formula>
    </cfRule>
  </conditionalFormatting>
  <conditionalFormatting sqref="F68">
    <cfRule type="cellIs" dxfId="4755" priority="40" operator="lessThan">
      <formula>$E$68*0.9</formula>
    </cfRule>
  </conditionalFormatting>
  <conditionalFormatting sqref="B13:F13">
    <cfRule type="cellIs" dxfId="4754" priority="29" operator="greaterThan">
      <formula>$I$16</formula>
    </cfRule>
    <cfRule type="cellIs" dxfId="4753" priority="30" operator="lessThanOrEqual">
      <formula>$I$16</formula>
    </cfRule>
  </conditionalFormatting>
  <conditionalFormatting sqref="B10:F10">
    <cfRule type="cellIs" dxfId="4752" priority="31" operator="greaterThan">
      <formula>15</formula>
    </cfRule>
    <cfRule type="cellIs" dxfId="4751" priority="38" operator="lessThan">
      <formula>$I$9</formula>
    </cfRule>
    <cfRule type="cellIs" dxfId="4750" priority="39" operator="greaterThan">
      <formula>$I$9</formula>
    </cfRule>
  </conditionalFormatting>
  <conditionalFormatting sqref="B16:F16">
    <cfRule type="cellIs" dxfId="4749" priority="36" operator="greaterThan">
      <formula>$I$16</formula>
    </cfRule>
    <cfRule type="cellIs" dxfId="4748" priority="37" operator="lessThanOrEqual">
      <formula>$I$16</formula>
    </cfRule>
  </conditionalFormatting>
  <conditionalFormatting sqref="B15:F15">
    <cfRule type="cellIs" dxfId="4747" priority="34" operator="lessThanOrEqual">
      <formula>$I$16</formula>
    </cfRule>
    <cfRule type="cellIs" dxfId="4746" priority="35" operator="greaterThan">
      <formula>$I$16</formula>
    </cfRule>
  </conditionalFormatting>
  <conditionalFormatting sqref="B14:F14">
    <cfRule type="cellIs" dxfId="4745" priority="32" operator="greaterThan">
      <formula>$I$16</formula>
    </cfRule>
    <cfRule type="cellIs" dxfId="4744" priority="33" operator="lessThanOrEqual">
      <formula>$I$16</formula>
    </cfRule>
  </conditionalFormatting>
  <conditionalFormatting sqref="K6">
    <cfRule type="containsText" dxfId="4743" priority="27" operator="containsText" text="衰退">
      <formula>NOT(ISERROR(SEARCH("衰退",K6)))</formula>
    </cfRule>
    <cfRule type="containsText" dxfId="4742" priority="28" operator="containsText" text="成長">
      <formula>NOT(ISERROR(SEARCH("成長",K6)))</formula>
    </cfRule>
  </conditionalFormatting>
  <conditionalFormatting sqref="I4:K4">
    <cfRule type="cellIs" dxfId="4741" priority="25" operator="lessThan">
      <formula>0</formula>
    </cfRule>
    <cfRule type="cellIs" dxfId="474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739" priority="22" operator="lessThanOrEqual">
      <formula>$I$16</formula>
    </cfRule>
    <cfRule type="cellIs" dxfId="4738" priority="23" operator="greaterThan">
      <formula>$I$16</formula>
    </cfRule>
  </conditionalFormatting>
  <conditionalFormatting sqref="I6">
    <cfRule type="containsText" dxfId="4737" priority="20" operator="containsText" text="衰退">
      <formula>NOT(ISERROR(SEARCH("衰退",I6)))</formula>
    </cfRule>
    <cfRule type="containsText" dxfId="4736" priority="21" operator="containsText" text="成長">
      <formula>NOT(ISERROR(SEARCH("成長",I6)))</formula>
    </cfRule>
  </conditionalFormatting>
  <conditionalFormatting sqref="M9">
    <cfRule type="cellIs" dxfId="4735" priority="19" operator="lessThan">
      <formula>$I$9</formula>
    </cfRule>
  </conditionalFormatting>
  <conditionalFormatting sqref="M10">
    <cfRule type="cellIs" dxfId="4734" priority="18" operator="greaterThan">
      <formula>$I$9</formula>
    </cfRule>
  </conditionalFormatting>
  <conditionalFormatting sqref="M11">
    <cfRule type="cellIs" dxfId="473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732" priority="14" operator="lessThan">
      <formula>0</formula>
    </cfRule>
    <cfRule type="cellIs" dxfId="4731" priority="15" operator="greaterThan">
      <formula>0.5</formula>
    </cfRule>
  </conditionalFormatting>
  <conditionalFormatting sqref="N14">
    <cfRule type="cellIs" dxfId="473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729" priority="10" operator="lessThan">
      <formula>0.1</formula>
    </cfRule>
  </conditionalFormatting>
  <conditionalFormatting sqref="I14">
    <cfRule type="cellIs" dxfId="472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72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726" priority="1" operator="lessThan">
      <formula>$N$5*0.9</formula>
    </cfRule>
    <cfRule type="cellIs" dxfId="4725" priority="2" operator="greaterThan">
      <formula>$N$5*1.1</formula>
    </cfRule>
  </conditionalFormatting>
  <hyperlinks>
    <hyperlink ref="L1" location="儀表板!A1" display="(回首頁)" xr:uid="{00000000-0004-0000-2800-000000000000}"/>
  </hyperlink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25.83 ~ 50.45</v>
      </c>
      <c r="L1" s="83" t="s">
        <v>176</v>
      </c>
      <c r="M1" s="84" t="str">
        <f ca="1">VLOOKUP(_xlfn.NUMBERVALUE(N1),儀表板!A:B,2,FALSE)</f>
        <v>璟德電子</v>
      </c>
      <c r="N1" s="85" t="str">
        <f ca="1">MID(CELL("filename",L1),FIND("]",CELL("filename",L1))+1,255)</f>
        <v>3152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0.17000017491529471</v>
      </c>
    </row>
    <row r="3" spans="1:15" s="93" customFormat="1" x14ac:dyDescent="0.25">
      <c r="A3" s="81" t="s">
        <v>179</v>
      </c>
      <c r="B3" s="94">
        <f>SUM(F19:F22,F24:F27,J19)</f>
        <v>91.657857491341872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236.40521577410954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264.03699424121322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285.528377493405</v>
      </c>
      <c r="L3" s="100"/>
      <c r="M3" s="79" t="s">
        <v>385</v>
      </c>
      <c r="N3" s="92">
        <f>(F69-E69)/E69</f>
        <v>9.2063736327317083E-2</v>
      </c>
    </row>
    <row r="4" spans="1:15" s="93" customFormat="1" x14ac:dyDescent="0.25">
      <c r="A4" s="81" t="s">
        <v>182</v>
      </c>
      <c r="B4" s="96">
        <f>SUM(G36:G40)*2</f>
        <v>80</v>
      </c>
      <c r="C4" s="101"/>
      <c r="D4" s="102">
        <f>F4*(1+F141/10)</f>
        <v>6.9</v>
      </c>
      <c r="E4" s="82">
        <f>(D4-F4)/F4</f>
        <v>0</v>
      </c>
      <c r="F4" s="103">
        <v>6.9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12.766225077666334</v>
      </c>
    </row>
    <row r="5" spans="1:15" s="93" customFormat="1" x14ac:dyDescent="0.25">
      <c r="A5" s="81" t="s">
        <v>184</v>
      </c>
      <c r="B5" s="107">
        <f>SUM(F30:F34)*2</f>
        <v>99.47697368421052</v>
      </c>
      <c r="C5" s="87"/>
      <c r="D5" s="87"/>
      <c r="E5" s="87"/>
      <c r="F5" s="86"/>
      <c r="G5" s="88"/>
      <c r="M5" s="79" t="s">
        <v>375</v>
      </c>
      <c r="N5" s="152">
        <f>D62</f>
        <v>12.809999999999999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13.1327723539435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33.46</v>
      </c>
      <c r="N9" s="129"/>
    </row>
    <row r="10" spans="1:15" s="93" customFormat="1" x14ac:dyDescent="0.25">
      <c r="A10" s="123" t="s">
        <v>194</v>
      </c>
      <c r="B10" s="126">
        <f>PERCENTILE(176:176,B9)</f>
        <v>17.53</v>
      </c>
      <c r="C10" s="126">
        <f>PERCENTILE(176:176,C9)</f>
        <v>18.48</v>
      </c>
      <c r="D10" s="126">
        <f>PERCENTILE(176:176,D9)</f>
        <v>20.64</v>
      </c>
      <c r="E10" s="126">
        <f>PERCENTILE(176:176,E9)</f>
        <v>22.32</v>
      </c>
      <c r="F10" s="126">
        <f>PERCENTILE(176:176,F9)</f>
        <v>25.06</v>
      </c>
      <c r="G10" s="95"/>
      <c r="H10" s="135"/>
      <c r="I10" s="135"/>
      <c r="J10" s="135"/>
      <c r="K10" s="135"/>
      <c r="L10" s="136" t="s">
        <v>374</v>
      </c>
      <c r="M10" s="130">
        <f>MIN(176:176)</f>
        <v>13.07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45.49</v>
      </c>
      <c r="L11" s="272" t="s">
        <v>193</v>
      </c>
      <c r="M11" s="128">
        <f>STDEV(176:176)</f>
        <v>4.6316842545887313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116.59663865546219</v>
      </c>
      <c r="C13" s="141">
        <f>$B$34/5.88%</f>
        <v>141.58163265306121</v>
      </c>
      <c r="D13" s="141">
        <f>$B$34/5%</f>
        <v>166.49999999999997</v>
      </c>
      <c r="E13" s="141">
        <f>$B$34/4.35%</f>
        <v>191.37931034482759</v>
      </c>
      <c r="F13" s="141">
        <f>$B$34/3.85%</f>
        <v>216.23376623376623</v>
      </c>
      <c r="G13" s="138" t="str">
        <f>"$"&amp;ROUND(B34,2)&amp;"/"&amp;IF(STDEV(C140:F140)/AVERAGE(C140:F140)&lt;15%,"高",IF(STDEV(C140:F140)/AVERAGE(C140:F140)&lt;30%,"中","低"))</f>
        <v>$8.33/中</v>
      </c>
      <c r="H13" s="142" t="s">
        <v>199</v>
      </c>
      <c r="I13" s="143">
        <f>MAX(0,1-J15)</f>
        <v>0.10179640718562855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159.87360000000001</v>
      </c>
      <c r="C14" s="141">
        <f>$B$33*C10</f>
        <v>168.5376</v>
      </c>
      <c r="D14" s="141">
        <f>$B$33*D10</f>
        <v>188.23679999999999</v>
      </c>
      <c r="E14" s="141">
        <f>$B$33*E10</f>
        <v>203.55839999999998</v>
      </c>
      <c r="F14" s="141">
        <f>$B$33*F10</f>
        <v>228.54719999999998</v>
      </c>
      <c r="G14" s="138" t="str">
        <f>"$"&amp;ROUND(B33,2)&amp;"/"&amp;IF(STDEV(B69:E69)/AVERAGE(B69:E69)&lt;15%,"高",IF(STDEV(B69:E69)/AVERAGE(B69:E69)&lt;30%,"中","低"))</f>
        <v>$9.12/中</v>
      </c>
      <c r="H14" s="142" t="s">
        <v>203</v>
      </c>
      <c r="I14" s="145">
        <f>G62/100*I13</f>
        <v>2.8676047904191562E-2</v>
      </c>
      <c r="J14" s="76" t="s">
        <v>204</v>
      </c>
      <c r="K14" s="146"/>
      <c r="L14" s="147">
        <f>(HLOOKUP($C$1,$105:$106,2,FALSE)-HLOOKUP($C$1,$117:$127,9,FALSE))/(HLOOKUP($C$1,$117:$128,12,FALSE)/K11)</f>
        <v>30.892218871655128</v>
      </c>
      <c r="M14" s="148">
        <f>E135/E69</f>
        <v>0.47134302822925583</v>
      </c>
      <c r="N14" s="149">
        <f>F173/100</f>
        <v>1.1813</v>
      </c>
    </row>
    <row r="15" spans="1:15" s="93" customFormat="1" x14ac:dyDescent="0.25">
      <c r="A15" s="140" t="s">
        <v>375</v>
      </c>
      <c r="B15" s="141">
        <f>$D$62*B10</f>
        <v>224.55929999999998</v>
      </c>
      <c r="C15" s="141">
        <f>$D$62*C10</f>
        <v>236.72879999999998</v>
      </c>
      <c r="D15" s="141">
        <f>$D$62*D10</f>
        <v>264.39839999999998</v>
      </c>
      <c r="E15" s="141">
        <f>$D$62*E10</f>
        <v>285.91919999999999</v>
      </c>
      <c r="F15" s="141">
        <f>$D$62*F10</f>
        <v>321.01859999999994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0.89820359281437145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223.79192561149085</v>
      </c>
      <c r="C16" s="141">
        <f>$F$69*C10</f>
        <v>235.91983943527387</v>
      </c>
      <c r="D16" s="141">
        <f>$F$69*D10</f>
        <v>263.49488560303314</v>
      </c>
      <c r="E16" s="141">
        <f>$F$69*E10</f>
        <v>284.94214373351258</v>
      </c>
      <c r="F16" s="141">
        <f>$F$69*F10</f>
        <v>319.92160044631834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102</v>
      </c>
      <c r="J17" s="92">
        <f ca="1">IF(I17&lt;=0,"",IF(I17&lt;=MIN($B$13:$F$16),(I17-MIN($B$13:$F$16))/MIN($B$13:$F$16),IF(I17&gt;=MAX($B$13:$F$16),I17/MAX($B$13:$F$16),PERCENTRANK($B$13:$F$16,I17))))</f>
        <v>-0.1251891891891892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10.2925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1.2363363363363364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0.12814916937518128</v>
      </c>
      <c r="J20" s="171">
        <f>HLOOKUP($C$1,$117:$127,11,FALSE)/HLOOKUP($C$1,$105:$115,11,FALSE)</f>
        <v>0.14164977860302155</v>
      </c>
      <c r="K20" s="163"/>
    </row>
    <row r="21" spans="1:14" s="93" customFormat="1" x14ac:dyDescent="0.25">
      <c r="A21" s="151" t="s">
        <v>201</v>
      </c>
      <c r="B21" s="161">
        <f>AVERAGE(C173:F173)/100</f>
        <v>1.3501999999999998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5.2039405204460962</v>
      </c>
      <c r="J21" s="78"/>
      <c r="K21" s="164" t="s">
        <v>356</v>
      </c>
      <c r="L21" s="165">
        <f>HLOOKUP($C$1,$105:$115,7,FALSE)/HLOOKUP($C$1,$105:$115,11,FALSE)</f>
        <v>0.72711868994007234</v>
      </c>
      <c r="M21" s="123" t="s">
        <v>268</v>
      </c>
      <c r="N21" s="165">
        <f>HLOOKUP($C$1,$117:$127,8,FALSE)/HLOOKUP($C$1,$117:$127,11,FALSE)</f>
        <v>0.98640913108761685</v>
      </c>
    </row>
    <row r="22" spans="1:14" s="93" customFormat="1" x14ac:dyDescent="0.25">
      <c r="A22" s="140" t="s">
        <v>222</v>
      </c>
      <c r="B22" s="161">
        <f>(-1)*SUM(C133:F133)/SUM(C132:F132)</f>
        <v>0.14103901523054455</v>
      </c>
      <c r="C22" s="157"/>
      <c r="D22" s="166"/>
      <c r="E22" s="140"/>
      <c r="F22" s="159">
        <f>IF(B22&lt;=0,10,IF(B22&gt;=100%,0,(1-B22)*10))</f>
        <v>8.5896098476945539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4.9567286245353159</v>
      </c>
      <c r="J22" s="78"/>
      <c r="K22" s="142" t="s">
        <v>357</v>
      </c>
      <c r="L22" s="165">
        <f>HLOOKUP($C$1,$105:$115,4,FALSE)/HLOOKUP($C$1,$105:$115,11,FALSE)</f>
        <v>0.10198148723765409</v>
      </c>
      <c r="M22" s="123" t="s">
        <v>353</v>
      </c>
      <c r="N22" s="165">
        <f>HLOOKUP($C$1,$117:$127,4,FALSE)/HLOOKUP($C$1,$117:$127,11,FALSE)</f>
        <v>9.530977994449398E-2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1.165025621327952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3.4541591931346573E-2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72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1.9858339832948277E-3</v>
      </c>
      <c r="M24" s="123" t="s">
        <v>355</v>
      </c>
      <c r="N24" s="165">
        <f>HLOOKUP($C$1,$117:$127,9,FALSE)/HLOOKUP($C$1,$117:$127,11,FALSE)</f>
        <v>1.3590868912383092E-2</v>
      </c>
    </row>
    <row r="25" spans="1:14" s="93" customFormat="1" x14ac:dyDescent="0.25">
      <c r="A25" s="151" t="s">
        <v>366</v>
      </c>
      <c r="B25" s="255">
        <f>AVERAGE(94:94)</f>
        <v>4829.652173913043</v>
      </c>
      <c r="C25" s="254">
        <f>STDEV(94:94)/AVERAGE(94:94)</f>
        <v>2.9317523563526846</v>
      </c>
      <c r="D25" s="76" t="str">
        <f>IF(C25&lt;=1,"高",IF(C25&lt;=2,"中","低"))</f>
        <v>低</v>
      </c>
      <c r="E25" s="149"/>
      <c r="F25" s="160">
        <f>MAX(0,10-ABS(C25))</f>
        <v>7.0682476436473154</v>
      </c>
      <c r="G25" s="88" t="s">
        <v>213</v>
      </c>
      <c r="H25" s="123" t="s">
        <v>232</v>
      </c>
      <c r="I25" s="170">
        <f>IF(HLOOKUP(C1,167:170,3,FALSE)="無",0,HLOOKUP(C1,167:170,3,FALSE))</f>
        <v>59.6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70.956086956521744</v>
      </c>
      <c r="C26" s="172">
        <f>IF(COUNTIF(168:168,"&gt;0")=0,0,STDEV(168:168))</f>
        <v>8.0430143259004527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51.427391304347836</v>
      </c>
      <c r="C27" s="172">
        <f>IF(COUNTIF(169:169,"&gt;0")=0,0,STDEV(169:169))</f>
        <v>5.6199192952724104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0.56964999999999999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0.39777499999999999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21.6175</v>
      </c>
      <c r="C32" s="157" t="s">
        <v>217</v>
      </c>
      <c r="D32" s="174">
        <f>COUNTIF(159:159,"&gt;3")/COUNT(159:159)</f>
        <v>0.95652173913043481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9.1199999999999992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8.3249999999999993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9.7384868421052637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1562175.5</v>
      </c>
      <c r="C36" s="178">
        <f>STDEV(C97:F97)</f>
        <v>321187.83427614439</v>
      </c>
      <c r="D36" s="76" t="str">
        <f>IF(C36/B36&lt;15%,"高",IF(C36/B36&lt;30%,"中","低"))</f>
        <v>中</v>
      </c>
      <c r="E36" s="107">
        <f>IF(F97&gt;E97,1,0)+IF(E97&gt;D97,1,0)+IF(D97&gt;C97,1,0)</f>
        <v>2</v>
      </c>
      <c r="F36" s="179"/>
      <c r="G36" s="160">
        <f>IF(D36="高",6,IF(D36="中",4,2))+E36+1</f>
        <v>7</v>
      </c>
    </row>
    <row r="37" spans="1:14" x14ac:dyDescent="0.25">
      <c r="A37" s="164" t="s">
        <v>248</v>
      </c>
      <c r="B37" s="180">
        <f>AVERAGE(C152:F152)</f>
        <v>56.964999999999996</v>
      </c>
      <c r="C37" s="180">
        <f>STDEV(C152:F152)</f>
        <v>5.5772304955058125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44.582500000000003</v>
      </c>
      <c r="C38" s="180">
        <f>STDEV(C153:F153)</f>
        <v>6.6366978485789936</v>
      </c>
      <c r="D38" s="76" t="str">
        <f>IF(C38/B38&lt;15%,"高",IF(C38/B38&lt;30%,"中","低"))</f>
        <v>高</v>
      </c>
      <c r="E38" s="107">
        <f>IF(F153&gt;E153,1,0)+IF(E153&gt;D153,1,0)+IF(D153&gt;C153,1,0)</f>
        <v>3</v>
      </c>
      <c r="F38" s="179"/>
      <c r="G38" s="160">
        <f>IF(D38="高",6,IF(D38="中",4,2))+E38+1</f>
        <v>10</v>
      </c>
    </row>
    <row r="39" spans="1:14" x14ac:dyDescent="0.25">
      <c r="A39" s="142" t="s">
        <v>46</v>
      </c>
      <c r="B39" s="181">
        <f>AVERAGE(C165:F165)</f>
        <v>21.6175</v>
      </c>
      <c r="C39" s="181">
        <f>STDEV(C165:F165)</f>
        <v>4.7914185443004937</v>
      </c>
      <c r="D39" s="76" t="str">
        <f>IF(C39/B39&lt;15%,"高",IF(C39/B39&lt;30%,"中","低"))</f>
        <v>中</v>
      </c>
      <c r="E39" s="107">
        <f>IF(F165&gt;E165,1,0)+IF(E165&gt;D165,1,0)+IF(D165&gt;C165,1,0)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9.1199999999999992</v>
      </c>
      <c r="C40" s="183">
        <f>STDEV(B69:E69)</f>
        <v>2.6165498912371858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7.8688524590164011E-2</v>
      </c>
      <c r="C44" s="186">
        <f>(C46-C49)/C49</f>
        <v>0.20143884892086333</v>
      </c>
      <c r="D44" s="186">
        <f>(D46-D49)/D49</f>
        <v>0.12903225806451607</v>
      </c>
      <c r="E44" s="186">
        <f>(E46-E49)/E49</f>
        <v>0.11551155115511555</v>
      </c>
      <c r="G44" s="86" t="s">
        <v>175</v>
      </c>
      <c r="H44" s="186">
        <f>(H47-H50)/H50</f>
        <v>2.1317091739626929E-2</v>
      </c>
      <c r="I44" s="186">
        <f>(I47-I50)/I50</f>
        <v>6.5431850211395151E-2</v>
      </c>
      <c r="J44" s="186">
        <f>(J47-J50)/J50</f>
        <v>6.4035440998791771E-2</v>
      </c>
      <c r="K44" s="186">
        <f>(K47-K50)/K50</f>
        <v>5.896656534954399E-2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3.29</v>
      </c>
      <c r="C46" s="152">
        <f>HLOOKUP(C45,$81:$82,2,FALSE)</f>
        <v>3.34</v>
      </c>
      <c r="D46" s="152">
        <f>HLOOKUP(D45,$81:$82,2,FALSE)</f>
        <v>2.8</v>
      </c>
      <c r="E46" s="152">
        <f>HLOOKUP(E45,$81:$82,2,FALSE)</f>
        <v>3.38</v>
      </c>
      <c r="G46" s="86" t="s">
        <v>164</v>
      </c>
      <c r="H46" s="145">
        <f>HLOOKUP(H45,$145:$147,2,FALSE)/100</f>
        <v>0.64150000000000007</v>
      </c>
      <c r="I46" s="145">
        <f>HLOOKUP(I45,$145:$147,2,FALSE)/100</f>
        <v>0.63890000000000002</v>
      </c>
      <c r="J46" s="145">
        <f>HLOOKUP(J45,$145:$147,2,FALSE)/100</f>
        <v>0.62829999999999997</v>
      </c>
      <c r="K46" s="145">
        <f>HLOOKUP(K45,$145:$147,2,FALSE)/100</f>
        <v>0.63629999999999998</v>
      </c>
    </row>
    <row r="47" spans="1:14" x14ac:dyDescent="0.25">
      <c r="A47" s="188" t="s">
        <v>165</v>
      </c>
      <c r="B47" s="189">
        <f>HLOOKUP(B45,$157:$159,3,FALSE)</f>
        <v>7.49</v>
      </c>
      <c r="C47" s="189">
        <f>HLOOKUP(C45,$157:$159,3,FALSE)</f>
        <v>7.3</v>
      </c>
      <c r="D47" s="189">
        <f>HLOOKUP(D45,$157:$159,3,FALSE)</f>
        <v>5.84</v>
      </c>
      <c r="E47" s="189">
        <f>HLOOKUP(E45,$157:$159,3,FALSE)</f>
        <v>7.54</v>
      </c>
      <c r="G47" s="190" t="s">
        <v>166</v>
      </c>
      <c r="H47" s="145">
        <f>HLOOKUP(H45,$145:$147,3,FALSE)/100</f>
        <v>0.53659999999999997</v>
      </c>
      <c r="I47" s="145">
        <f>HLOOKUP(I45,$145:$147,3,FALSE)/100</f>
        <v>0.5292</v>
      </c>
      <c r="J47" s="145">
        <f>HLOOKUP(J45,$145:$147,3,FALSE)/100</f>
        <v>0.52839999999999998</v>
      </c>
      <c r="K47" s="145">
        <f>HLOOKUP(K45,$145:$147,3,FALSE)/100</f>
        <v>0.52259999999999995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3.05</v>
      </c>
      <c r="C49" s="152">
        <f>HLOOKUP(C48,$81:$82,2,FALSE)</f>
        <v>2.78</v>
      </c>
      <c r="D49" s="152">
        <f>HLOOKUP(D48,$81:$82,2,FALSE)</f>
        <v>2.48</v>
      </c>
      <c r="E49" s="152">
        <f>HLOOKUP(E48,$81:$82,2,FALSE)</f>
        <v>3.03</v>
      </c>
      <c r="G49" s="86" t="s">
        <v>164</v>
      </c>
      <c r="H49" s="145">
        <f>HLOOKUP(H48,$145:$147,2,FALSE)/100</f>
        <v>0.63</v>
      </c>
      <c r="I49" s="145">
        <f>HLOOKUP(I48,$145:$147,2,FALSE)/100</f>
        <v>0.60750000000000004</v>
      </c>
      <c r="J49" s="145">
        <f>HLOOKUP(J48,$145:$147,2,FALSE)/100</f>
        <v>0.60140000000000005</v>
      </c>
      <c r="K49" s="145">
        <f>HLOOKUP(K48,$145:$147,2,FALSE)/100</f>
        <v>0.61649999999999994</v>
      </c>
    </row>
    <row r="50" spans="1:15" x14ac:dyDescent="0.25">
      <c r="A50" s="188" t="s">
        <v>165</v>
      </c>
      <c r="B50" s="189">
        <f>HLOOKUP(B48,$157:$159,3,FALSE)</f>
        <v>7.31</v>
      </c>
      <c r="C50" s="189">
        <f>HLOOKUP(C48,$157:$159,3,FALSE)</f>
        <v>6.36</v>
      </c>
      <c r="D50" s="189">
        <f>HLOOKUP(D48,$157:$159,3,FALSE)</f>
        <v>5.38</v>
      </c>
      <c r="E50" s="189">
        <f>HLOOKUP(E48,$157:$159,3,FALSE)</f>
        <v>6.99</v>
      </c>
      <c r="G50" s="190" t="s">
        <v>166</v>
      </c>
      <c r="H50" s="145">
        <f>HLOOKUP(H48,$145:$147,3,FALSE)/100</f>
        <v>0.52539999999999998</v>
      </c>
      <c r="I50" s="145">
        <f>HLOOKUP(I48,$145:$147,3,FALSE)/100</f>
        <v>0.49670000000000003</v>
      </c>
      <c r="J50" s="145">
        <f>HLOOKUP(J48,$145:$147,3,FALSE)/100</f>
        <v>0.49659999999999999</v>
      </c>
      <c r="K50" s="145">
        <f>HLOOKUP(K48,$145:$147,3,FALSE)/100</f>
        <v>0.49349999999999999</v>
      </c>
    </row>
    <row r="51" spans="1:15" x14ac:dyDescent="0.25">
      <c r="A51" s="86" t="s">
        <v>351</v>
      </c>
      <c r="B51" s="186">
        <f>(B47-B50)/B50</f>
        <v>2.4623803009576006E-2</v>
      </c>
      <c r="C51" s="186">
        <f>(C47-C50)/C50</f>
        <v>0.14779874213836469</v>
      </c>
      <c r="D51" s="186">
        <f>(D47-D50)/D50</f>
        <v>8.5501858736059477E-2</v>
      </c>
      <c r="E51" s="186">
        <f>(E47-E50)/E50</f>
        <v>7.8683834048640891E-2</v>
      </c>
      <c r="G51" s="235" t="s">
        <v>174</v>
      </c>
      <c r="H51" s="186">
        <f>(H46-H49)/H49</f>
        <v>1.8253968253968359E-2</v>
      </c>
      <c r="I51" s="186">
        <f>(I46-I49)/I49</f>
        <v>5.1687242798353877E-2</v>
      </c>
      <c r="J51" s="186">
        <f>(J46-J49)/J49</f>
        <v>4.4728965746591159E-2</v>
      </c>
      <c r="K51" s="186">
        <f>(K46-K49)/K49</f>
        <v>3.2116788321167954E-2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13.1327723539435</v>
      </c>
      <c r="B53" s="193">
        <f>B46</f>
        <v>3.29</v>
      </c>
      <c r="C53" s="193">
        <f>E46/HLOOKUP(E45,$87:$94,5,FALSE)*HLOOKUP(E45,$87:$94,4,FALSE)*($B$25/HLOOKUP(E45,$87:$94,4,FALSE)+SUM($B$57:$D$57)/SUM($B58:$D$58)*$G$69/100/K46)</f>
        <v>3.336225077666334</v>
      </c>
      <c r="D53" s="193">
        <f>D46/HLOOKUP(D45,$87:$94,5,FALSE)*HLOOKUP(D45,$87:$94,4,FALSE)*($B$25/HLOOKUP(D45,$87:$94,4,FALSE)+SUM($B$57:$D$57)/SUM($B58:$D$58)*$G$69/100/J46)</f>
        <v>3.2429096244707223</v>
      </c>
      <c r="E53" s="193">
        <f>C46/HLOOKUP(C45,$87:$94,5,FALSE)*HLOOKUP(C45,$87:$94,4,FALSE)*($B$25/HLOOKUP(C45,$87:$94,4,FALSE)+SUM($B$57:$D$57)/SUM($B58:$D$58)*$G$69/100/I46)</f>
        <v>3.2636376518064432</v>
      </c>
    </row>
    <row r="54" spans="1:15" x14ac:dyDescent="0.25">
      <c r="A54" s="278">
        <f>SUM(B54:E54)</f>
        <v>12.57</v>
      </c>
      <c r="B54" s="277">
        <f t="shared" ref="B54:D54" si="0">HLOOKUP(B52-10,81:82,2,FALSE)</f>
        <v>3.05</v>
      </c>
      <c r="C54" s="277">
        <f t="shared" si="0"/>
        <v>3.38</v>
      </c>
      <c r="D54" s="277">
        <f t="shared" si="0"/>
        <v>2.8</v>
      </c>
      <c r="E54" s="277">
        <f>HLOOKUP(E52-10,81:82,2,FALSE)</f>
        <v>3.34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160133</v>
      </c>
      <c r="C57" s="196">
        <f>HLOOKUP(C56,78:79,2,FALSE)</f>
        <v>165012</v>
      </c>
      <c r="D57" s="196">
        <f>HLOOKUP(D56,78:79,2,FALSE)</f>
        <v>170079</v>
      </c>
      <c r="E57" s="196">
        <f>HLOOKUP(E56,78:79,2,FALSE)</f>
        <v>171008</v>
      </c>
      <c r="F57" s="196">
        <f>HLOOKUP(F56,78:79,2,FALSE)</f>
        <v>169058</v>
      </c>
      <c r="G57" s="196">
        <f t="shared" ref="G57:M57" si="2">HLOOKUP(G56,78:79,2,FALSE)</f>
        <v>168010</v>
      </c>
      <c r="H57" s="196">
        <f t="shared" si="2"/>
        <v>166077</v>
      </c>
      <c r="I57" s="196">
        <f t="shared" si="2"/>
        <v>165070</v>
      </c>
      <c r="J57" s="196">
        <f t="shared" si="2"/>
        <v>158021</v>
      </c>
      <c r="K57" s="196">
        <f t="shared" si="2"/>
        <v>166011</v>
      </c>
      <c r="L57" s="196">
        <f t="shared" si="2"/>
        <v>169367</v>
      </c>
      <c r="M57" s="196">
        <f t="shared" si="2"/>
        <v>173660</v>
      </c>
      <c r="N57" s="197"/>
    </row>
    <row r="58" spans="1:15" x14ac:dyDescent="0.25">
      <c r="A58" s="198" t="s">
        <v>253</v>
      </c>
      <c r="B58" s="196">
        <f>HLOOKUP(B56-100,78:79,2,FALSE)</f>
        <v>172853</v>
      </c>
      <c r="C58" s="196">
        <f>HLOOKUP(C56-100,78:79,2,FALSE)</f>
        <v>172278</v>
      </c>
      <c r="D58" s="196">
        <f>HLOOKUP(D56-100,78:79,2,FALSE)</f>
        <v>172139</v>
      </c>
      <c r="E58" s="196">
        <f>HLOOKUP(E56-100,78:79,2,FALSE)</f>
        <v>170195</v>
      </c>
      <c r="F58" s="196">
        <f>HLOOKUP(F56-100,78:79,2,FALSE)</f>
        <v>156213</v>
      </c>
      <c r="G58" s="196">
        <f t="shared" ref="G58:M58" si="3">HLOOKUP(G56-100,78:79,2,FALSE)</f>
        <v>150128</v>
      </c>
      <c r="H58" s="196">
        <f t="shared" si="3"/>
        <v>142007</v>
      </c>
      <c r="I58" s="196">
        <f t="shared" si="3"/>
        <v>140146</v>
      </c>
      <c r="J58" s="196">
        <f t="shared" si="3"/>
        <v>125046</v>
      </c>
      <c r="K58" s="196">
        <f t="shared" si="3"/>
        <v>165439</v>
      </c>
      <c r="L58" s="196">
        <f t="shared" si="3"/>
        <v>165398</v>
      </c>
      <c r="M58" s="196">
        <f t="shared" si="3"/>
        <v>171003</v>
      </c>
      <c r="N58" s="197"/>
    </row>
    <row r="59" spans="1:15" x14ac:dyDescent="0.25">
      <c r="A59" s="199" t="s">
        <v>254</v>
      </c>
      <c r="B59" s="165">
        <f>IF(B57&lt;&gt;"",(B57-B58)/B58,"")</f>
        <v>-7.3588540551798351E-2</v>
      </c>
      <c r="C59" s="165">
        <f>IF(C57&lt;&gt;"",(C57-C58)/C58,"")</f>
        <v>-4.2176017831644201E-2</v>
      </c>
      <c r="D59" s="165">
        <f>IF(D57&lt;&gt;"",(D57-D58)/D58,"")</f>
        <v>-1.1967073121140474E-2</v>
      </c>
      <c r="E59" s="165">
        <f>IF(E57&lt;&gt;"",(E57-E58)/E58,"")</f>
        <v>4.7768735861805573E-3</v>
      </c>
      <c r="F59" s="165">
        <f>IF(F57&lt;&gt;"",(F57-F58)/F58,"")</f>
        <v>8.2227471465242966E-2</v>
      </c>
      <c r="G59" s="165">
        <f t="shared" ref="G59:M59" si="4">IF(G57&lt;&gt;"",(G57-G58)/G58,"")</f>
        <v>0.11911169135670895</v>
      </c>
      <c r="H59" s="165">
        <f t="shared" si="4"/>
        <v>0.16949868668445922</v>
      </c>
      <c r="I59" s="165">
        <f t="shared" si="4"/>
        <v>0.17784310647467641</v>
      </c>
      <c r="J59" s="165">
        <f t="shared" si="4"/>
        <v>0.26370295731170929</v>
      </c>
      <c r="K59" s="165">
        <f t="shared" si="4"/>
        <v>3.4574677071307247E-3</v>
      </c>
      <c r="L59" s="165">
        <f t="shared" si="4"/>
        <v>2.3996662595678304E-2</v>
      </c>
      <c r="M59" s="165">
        <f t="shared" si="4"/>
        <v>1.5537739103992327E-2</v>
      </c>
    </row>
    <row r="60" spans="1:15" x14ac:dyDescent="0.25">
      <c r="A60" s="195" t="s">
        <v>255</v>
      </c>
      <c r="B60" s="196">
        <f>SUM(B57:M57)</f>
        <v>2001506</v>
      </c>
    </row>
    <row r="61" spans="1:15" x14ac:dyDescent="0.25">
      <c r="A61" s="198" t="s">
        <v>256</v>
      </c>
      <c r="B61" s="196">
        <f>SUM(B58:M58)</f>
        <v>1902845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1.0518492047434236</v>
      </c>
      <c r="D62" s="152">
        <f>SUM(B46:E46)</f>
        <v>12.809999999999999</v>
      </c>
      <c r="E62" s="152">
        <f>SUM(B49:E49)</f>
        <v>11.34</v>
      </c>
      <c r="G62" s="126">
        <f>SUM(B47:E47)</f>
        <v>28.169999999999998</v>
      </c>
      <c r="H62" s="126">
        <f>SUM(B50:E50)</f>
        <v>26.04</v>
      </c>
      <c r="J62" s="200">
        <f>AVERAGE(H46:K46)</f>
        <v>0.63624999999999998</v>
      </c>
      <c r="K62" s="200">
        <f>AVERAGE(H49:K49)</f>
        <v>0.61385000000000001</v>
      </c>
      <c r="M62" s="200">
        <f>AVERAGE(H47:K47)</f>
        <v>0.52919999999999989</v>
      </c>
      <c r="N62" s="200">
        <f>AVERAGE(H50:K50)</f>
        <v>0.50305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1.4</v>
      </c>
      <c r="C65" s="205">
        <f t="shared" si="5"/>
        <v>1.53</v>
      </c>
      <c r="D65" s="205">
        <f t="shared" si="5"/>
        <v>2.0099999999999998</v>
      </c>
      <c r="E65" s="205">
        <f t="shared" si="5"/>
        <v>2.48</v>
      </c>
      <c r="F65" s="206">
        <f>IF(ISNA(HLOOKUP(F$64*10+$A65,$81:$82,2,FALSE)),(HLOOKUP(E$64*10+$A65,$87:$94,4,FALSE)*$G65+$B$25)/HLOOKUP(E$64*10+$A65,$87:$94,5,FALSE)*$E65,HLOOKUP(F$64*10+$A65,$81:$82,2,FALSE))</f>
        <v>2.8</v>
      </c>
      <c r="G65" s="101">
        <f>MIN(130%,SUM($B$57:$D$57)/SUM($B$58:$D$58)*$G$69/HLOOKUP(E$64*10+$A65,$145:$146,2,FALSE))</f>
        <v>1.0703390414589686</v>
      </c>
      <c r="H65" s="204">
        <v>1</v>
      </c>
      <c r="I65" s="208">
        <f t="shared" ref="I65:M68" si="6">IF(ISNA(HLOOKUP(I$64*10+$H65,$145:$147,3,FALSE)),"",HLOOKUP(I$64*10+$H65,$145:$147,3,FALSE)/100)</f>
        <v>0.32140000000000002</v>
      </c>
      <c r="J65" s="208">
        <f t="shared" si="6"/>
        <v>0.37079999999999996</v>
      </c>
      <c r="K65" s="208">
        <f t="shared" si="6"/>
        <v>0.47350000000000003</v>
      </c>
      <c r="L65" s="208">
        <f t="shared" si="6"/>
        <v>0.49659999999999999</v>
      </c>
      <c r="M65" s="209">
        <f t="shared" si="6"/>
        <v>0.52839999999999998</v>
      </c>
      <c r="N65" s="256">
        <f t="shared" ref="N65:O68" si="7">HLOOKUP(E$64*10+$A65,$87:$94,8,FALSE)</f>
        <v>-7815</v>
      </c>
      <c r="O65" s="256">
        <f t="shared" si="7"/>
        <v>-25657</v>
      </c>
      <c r="P65" s="210"/>
    </row>
    <row r="66" spans="1:71" x14ac:dyDescent="0.25">
      <c r="A66" s="204">
        <v>2</v>
      </c>
      <c r="B66" s="205">
        <f t="shared" si="5"/>
        <v>1.89</v>
      </c>
      <c r="C66" s="205">
        <f t="shared" si="5"/>
        <v>1.59</v>
      </c>
      <c r="D66" s="205">
        <f t="shared" si="5"/>
        <v>2.5</v>
      </c>
      <c r="E66" s="205">
        <f t="shared" si="5"/>
        <v>2.78</v>
      </c>
      <c r="F66" s="206">
        <f>IF(ISNA(HLOOKUP(F$64*10+$A66,$81:$82,2,FALSE)),(HLOOKUP(E$64*10+$A66,$87:$94,4,FALSE)*$G66+$B$25)/HLOOKUP(E$64*10+$A66,$87:$94,5,FALSE)*$E66,HLOOKUP(F$64*10+$A66,$81:$82,2,FALSE))</f>
        <v>3.34</v>
      </c>
      <c r="G66" s="101">
        <f>MIN(130%,SUM($B$57:$D$57)/SUM($B$58:$D$58)*$G$69/HLOOKUP(E$64*10+$A66,$145:$146,2,FALSE))</f>
        <v>1.0595916041702449</v>
      </c>
      <c r="H66" s="204">
        <v>2</v>
      </c>
      <c r="I66" s="208">
        <f t="shared" si="6"/>
        <v>0.38179999999999997</v>
      </c>
      <c r="J66" s="208">
        <f t="shared" si="6"/>
        <v>0.41009999999999996</v>
      </c>
      <c r="K66" s="208">
        <f t="shared" si="6"/>
        <v>0.49399999999999999</v>
      </c>
      <c r="L66" s="208">
        <f t="shared" si="6"/>
        <v>0.49670000000000003</v>
      </c>
      <c r="M66" s="209">
        <f t="shared" si="6"/>
        <v>0.5292</v>
      </c>
      <c r="N66" s="256">
        <f t="shared" si="7"/>
        <v>8642</v>
      </c>
      <c r="O66" s="256">
        <f t="shared" si="7"/>
        <v>13220</v>
      </c>
      <c r="P66" s="210"/>
    </row>
    <row r="67" spans="1:71" x14ac:dyDescent="0.25">
      <c r="A67" s="204">
        <v>3</v>
      </c>
      <c r="B67" s="205">
        <f t="shared" si="5"/>
        <v>1.88</v>
      </c>
      <c r="C67" s="205">
        <f t="shared" si="5"/>
        <v>1.77</v>
      </c>
      <c r="D67" s="205">
        <f t="shared" si="5"/>
        <v>3.52</v>
      </c>
      <c r="E67" s="205">
        <f t="shared" si="5"/>
        <v>3.05</v>
      </c>
      <c r="F67" s="206">
        <f>IF(ISNA(HLOOKUP(F$64*10+$A67,$81:$82,2,FALSE)),(HLOOKUP(E$64*10+$A67,$87:$94,4,FALSE)*$G67+$B$25)/HLOOKUP(E$64*10+$A67,$87:$94,5,FALSE)*$E67,HLOOKUP(F$64*10+$A67,$81:$82,2,FALSE))</f>
        <v>3.29</v>
      </c>
      <c r="G67" s="101">
        <f>MIN(130%,SUM($B$57:$D$57)/SUM($B$58:$D$58)*$G$69/HLOOKUP(E$64*10+$A67,$145:$146,2,FALSE))</f>
        <v>1.0217490468784505</v>
      </c>
      <c r="H67" s="204">
        <v>3</v>
      </c>
      <c r="I67" s="208">
        <f t="shared" si="6"/>
        <v>0.39860000000000001</v>
      </c>
      <c r="J67" s="208">
        <f t="shared" si="6"/>
        <v>0.41789999999999999</v>
      </c>
      <c r="K67" s="208">
        <f t="shared" si="6"/>
        <v>0.501</v>
      </c>
      <c r="L67" s="208">
        <f t="shared" si="6"/>
        <v>0.52539999999999998</v>
      </c>
      <c r="M67" s="209">
        <f t="shared" si="6"/>
        <v>0.53659999999999997</v>
      </c>
      <c r="N67" s="256">
        <f t="shared" si="7"/>
        <v>-17045</v>
      </c>
      <c r="O67" s="256">
        <f t="shared" si="7"/>
        <v>3038</v>
      </c>
      <c r="P67" s="210"/>
    </row>
    <row r="68" spans="1:71" x14ac:dyDescent="0.25">
      <c r="A68" s="204">
        <v>4</v>
      </c>
      <c r="B68" s="205">
        <f>HLOOKUP(B$64*10+$A68,$81:$82,2,FALSE)</f>
        <v>1.71</v>
      </c>
      <c r="C68" s="205">
        <f>HLOOKUP(C$64*10+$A68,$81:$82,2,FALSE)</f>
        <v>1.96</v>
      </c>
      <c r="D68" s="205">
        <f>HLOOKUP(D$64*10+$A68,$81:$82,2,FALSE)</f>
        <v>3.03</v>
      </c>
      <c r="E68" s="206">
        <f>IF(ISNA(HLOOKUP(E$64*10+$A68,$81:$82,2,FALSE)),D68*(1-$N68)*#REF!*(1+$B$25)/(1+$E$4),HLOOKUP(E$64*10+$A68,$81:$82,2,FALSE))</f>
        <v>3.38</v>
      </c>
      <c r="F68" s="206">
        <f>IF(ISNA(HLOOKUP(F$64*10+$A68,$81:$82,2,FALSE)),(HLOOKUP(E$64*10+$A68,$87:$94,4,FALSE)*$G68+$B$25)/HLOOKUP(E$64*10+$A68,$87:$94,5,FALSE)*$E68,HLOOKUP(F$64*10+$A68,$81:$82,2,FALSE))</f>
        <v>3.336225077666334</v>
      </c>
      <c r="G68" s="101">
        <f>MIN(130%,SUM($B$57:$D$57)/SUM($B$58:$D$58)*$G$69/HLOOKUP(E$64*10+$A68,$145:$146,2,FALSE))</f>
        <v>1.0116327196816339</v>
      </c>
      <c r="H68" s="204">
        <v>4</v>
      </c>
      <c r="I68" s="208">
        <f t="shared" si="6"/>
        <v>0.38109999999999999</v>
      </c>
      <c r="J68" s="208">
        <f t="shared" si="6"/>
        <v>0.42560000000000003</v>
      </c>
      <c r="K68" s="208">
        <f t="shared" si="6"/>
        <v>0.49349999999999999</v>
      </c>
      <c r="L68" s="208">
        <f t="shared" si="6"/>
        <v>0.52259999999999995</v>
      </c>
      <c r="M68" s="209" t="str">
        <f t="shared" si="6"/>
        <v/>
      </c>
      <c r="N68" s="256">
        <f t="shared" si="7"/>
        <v>11608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6.88</v>
      </c>
      <c r="C69" s="213">
        <f>SUM(C65:C68)</f>
        <v>6.8500000000000005</v>
      </c>
      <c r="D69" s="213">
        <f>SUM(D65:D68)</f>
        <v>11.059999999999999</v>
      </c>
      <c r="E69" s="213">
        <f>SUM(E65:E68)</f>
        <v>11.689999999999998</v>
      </c>
      <c r="F69" s="213">
        <f>SUM(F65:F68)</f>
        <v>12.766225077666334</v>
      </c>
      <c r="G69" s="257">
        <f>_xlfn.FORECAST.ETS(23,B146:W146,{1,2,3,4,5,6,7,8,9,10,11,12,13,14,15,16,17,18,19,20,21,22})</f>
        <v>67.235772412414207</v>
      </c>
      <c r="H69" s="214" t="s">
        <v>19</v>
      </c>
      <c r="I69" s="215">
        <f>HLOOKUP(I64,151:155,3,FALSE)/100</f>
        <v>0.37280000000000002</v>
      </c>
      <c r="J69" s="215">
        <f>HLOOKUP(J64,151:155,3,FALSE)/100</f>
        <v>0.40740000000000004</v>
      </c>
      <c r="K69" s="215">
        <f>HLOOKUP(K64,151:155,3,FALSE)/100</f>
        <v>0.49170000000000003</v>
      </c>
      <c r="L69" s="215">
        <f>IF(ISNA(HLOOKUP(L64,151:155,3,FALSE)/100),AVERAGE(L65:L68),HLOOKUP(L64,151:155,3,FALSE)/100)</f>
        <v>0.51139999999999997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3.7</v>
      </c>
      <c r="C72" s="205">
        <f t="shared" si="8"/>
        <v>3.79</v>
      </c>
      <c r="D72" s="205">
        <f t="shared" si="8"/>
        <v>4.8499999999999996</v>
      </c>
      <c r="E72" s="205">
        <f t="shared" si="8"/>
        <v>5.38</v>
      </c>
      <c r="F72" s="205">
        <f t="shared" si="8"/>
        <v>5.84</v>
      </c>
    </row>
    <row r="73" spans="1:71" s="135" customFormat="1" x14ac:dyDescent="0.25">
      <c r="A73" s="204">
        <v>2</v>
      </c>
      <c r="B73" s="205">
        <f t="shared" si="8"/>
        <v>5.0599999999999996</v>
      </c>
      <c r="C73" s="205">
        <f t="shared" si="8"/>
        <v>4.07</v>
      </c>
      <c r="D73" s="205">
        <f t="shared" si="8"/>
        <v>6.19</v>
      </c>
      <c r="E73" s="205">
        <f t="shared" si="8"/>
        <v>6.36</v>
      </c>
      <c r="F73" s="205">
        <f t="shared" si="8"/>
        <v>7.3</v>
      </c>
    </row>
    <row r="74" spans="1:71" s="135" customFormat="1" x14ac:dyDescent="0.25">
      <c r="A74" s="204">
        <v>3</v>
      </c>
      <c r="B74" s="205">
        <f t="shared" si="8"/>
        <v>5.08</v>
      </c>
      <c r="C74" s="205">
        <f t="shared" si="8"/>
        <v>4.71</v>
      </c>
      <c r="D74" s="205">
        <f t="shared" si="8"/>
        <v>8.7899999999999991</v>
      </c>
      <c r="E74" s="205">
        <f t="shared" si="8"/>
        <v>7.31</v>
      </c>
      <c r="F74" s="205">
        <f t="shared" si="8"/>
        <v>7.49</v>
      </c>
    </row>
    <row r="75" spans="1:71" s="135" customFormat="1" x14ac:dyDescent="0.25">
      <c r="A75" s="204">
        <v>4</v>
      </c>
      <c r="B75" s="205">
        <f t="shared" si="8"/>
        <v>4.4000000000000004</v>
      </c>
      <c r="C75" s="205">
        <f t="shared" si="8"/>
        <v>4.96</v>
      </c>
      <c r="D75" s="205">
        <f t="shared" si="8"/>
        <v>6.99</v>
      </c>
      <c r="E75" s="205">
        <f t="shared" si="8"/>
        <v>7.54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18.240000000000002</v>
      </c>
      <c r="C76" s="213">
        <f>SUM(C72:C75)</f>
        <v>17.53</v>
      </c>
      <c r="D76" s="213">
        <f>SUM(D72:D75)</f>
        <v>26.82</v>
      </c>
      <c r="E76" s="213">
        <f>AVERAGE(E72:E75)*4</f>
        <v>26.59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76403</v>
      </c>
      <c r="C79" s="270">
        <v>78375</v>
      </c>
      <c r="D79" s="270">
        <v>89230</v>
      </c>
      <c r="E79" s="270">
        <v>105458</v>
      </c>
      <c r="F79" s="270">
        <v>110933</v>
      </c>
      <c r="G79" s="270">
        <v>100330</v>
      </c>
      <c r="H79" s="270">
        <v>92452</v>
      </c>
      <c r="I79" s="270">
        <v>92514</v>
      </c>
      <c r="J79" s="270">
        <v>90108</v>
      </c>
      <c r="K79" s="270">
        <v>92331</v>
      </c>
      <c r="L79" s="270">
        <v>92537</v>
      </c>
      <c r="M79" s="270">
        <v>93552</v>
      </c>
      <c r="N79" s="270">
        <v>95169</v>
      </c>
      <c r="O79" s="270">
        <v>88100</v>
      </c>
      <c r="P79" s="270">
        <v>104025</v>
      </c>
      <c r="Q79" s="270">
        <v>110136</v>
      </c>
      <c r="R79" s="270">
        <v>120027</v>
      </c>
      <c r="S79" s="270">
        <v>125043</v>
      </c>
      <c r="T79" s="270">
        <v>120374</v>
      </c>
      <c r="U79" s="270">
        <v>120489</v>
      </c>
      <c r="V79" s="270">
        <v>110005</v>
      </c>
      <c r="W79" s="270">
        <v>100027</v>
      </c>
      <c r="X79" s="270">
        <v>100053</v>
      </c>
      <c r="Y79" s="270">
        <v>97008</v>
      </c>
      <c r="Z79" s="270">
        <v>95027</v>
      </c>
      <c r="AA79" s="270">
        <v>95061</v>
      </c>
      <c r="AB79" s="270">
        <v>98524</v>
      </c>
      <c r="AC79" s="270">
        <v>105189</v>
      </c>
      <c r="AD79" s="270">
        <v>107170</v>
      </c>
      <c r="AE79" s="270">
        <v>107523</v>
      </c>
      <c r="AF79" s="270">
        <v>110269</v>
      </c>
      <c r="AG79" s="270">
        <v>112165</v>
      </c>
      <c r="AH79" s="270">
        <v>113123</v>
      </c>
      <c r="AI79" s="270">
        <v>114575</v>
      </c>
      <c r="AJ79" s="270">
        <v>114773</v>
      </c>
      <c r="AK79" s="270">
        <v>114150</v>
      </c>
      <c r="AL79" s="270">
        <v>122224</v>
      </c>
      <c r="AM79" s="270">
        <v>104070</v>
      </c>
      <c r="AN79" s="270">
        <v>125710</v>
      </c>
      <c r="AO79" s="270">
        <v>135638</v>
      </c>
      <c r="AP79" s="270">
        <v>138313</v>
      </c>
      <c r="AQ79" s="270">
        <v>146313</v>
      </c>
      <c r="AR79" s="270">
        <v>155488</v>
      </c>
      <c r="AS79" s="270">
        <v>159683</v>
      </c>
      <c r="AT79" s="270">
        <v>166436</v>
      </c>
      <c r="AU79" s="270">
        <v>170947</v>
      </c>
      <c r="AV79" s="270">
        <v>171003</v>
      </c>
      <c r="AW79" s="270">
        <v>165398</v>
      </c>
      <c r="AX79" s="270">
        <v>165439</v>
      </c>
      <c r="AY79" s="270">
        <v>125046</v>
      </c>
      <c r="AZ79" s="270">
        <v>140146</v>
      </c>
      <c r="BA79" s="270">
        <v>142007</v>
      </c>
      <c r="BB79" s="270">
        <v>150128</v>
      </c>
      <c r="BC79" s="270">
        <v>156213</v>
      </c>
      <c r="BD79" s="270">
        <v>170195</v>
      </c>
      <c r="BE79" s="270">
        <v>172139</v>
      </c>
      <c r="BF79" s="270">
        <v>172278</v>
      </c>
      <c r="BG79" s="270">
        <v>172853</v>
      </c>
      <c r="BH79" s="270">
        <v>173660</v>
      </c>
      <c r="BI79" s="270">
        <v>169367</v>
      </c>
      <c r="BJ79" s="270">
        <v>166011</v>
      </c>
      <c r="BK79" s="270">
        <v>158021</v>
      </c>
      <c r="BL79" s="270">
        <v>165070</v>
      </c>
      <c r="BM79" s="270">
        <v>166077</v>
      </c>
      <c r="BN79" s="270">
        <v>168010</v>
      </c>
      <c r="BO79" s="270">
        <v>169058</v>
      </c>
      <c r="BP79" s="270">
        <v>171008</v>
      </c>
      <c r="BQ79" s="270">
        <v>170079</v>
      </c>
      <c r="BR79" s="270">
        <v>165012</v>
      </c>
      <c r="BS79" s="270">
        <v>160133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0.91</v>
      </c>
      <c r="C82" s="72">
        <v>1.57</v>
      </c>
      <c r="D82" s="72">
        <v>1.1599999999999999</v>
      </c>
      <c r="E82" s="72">
        <v>1.1100000000000001</v>
      </c>
      <c r="F82" s="72">
        <v>1.4</v>
      </c>
      <c r="G82" s="72">
        <v>1.89</v>
      </c>
      <c r="H82" s="72">
        <v>1.88</v>
      </c>
      <c r="I82" s="72">
        <v>1.71</v>
      </c>
      <c r="J82" s="72">
        <v>1.53</v>
      </c>
      <c r="K82" s="72">
        <v>1.59</v>
      </c>
      <c r="L82" s="72">
        <v>1.77</v>
      </c>
      <c r="M82" s="72">
        <v>1.96</v>
      </c>
      <c r="N82" s="72">
        <v>2.0099999999999998</v>
      </c>
      <c r="O82" s="72">
        <v>2.5</v>
      </c>
      <c r="P82" s="72">
        <v>3.52</v>
      </c>
      <c r="Q82" s="72">
        <v>3.03</v>
      </c>
      <c r="R82" s="72">
        <v>2.48</v>
      </c>
      <c r="S82" s="72">
        <v>2.78</v>
      </c>
      <c r="T82" s="72">
        <v>3.05</v>
      </c>
      <c r="U82" s="72">
        <v>3.38</v>
      </c>
      <c r="V82" s="72">
        <v>2.8</v>
      </c>
      <c r="W82" s="72">
        <v>3.34</v>
      </c>
      <c r="X82" s="72">
        <v>3.29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37.770000000000003</v>
      </c>
      <c r="C85" s="72">
        <v>34.93</v>
      </c>
      <c r="D85" s="72">
        <v>36.090000000000003</v>
      </c>
      <c r="E85" s="72">
        <v>37.21</v>
      </c>
      <c r="F85" s="72">
        <v>38.56</v>
      </c>
      <c r="G85" s="72">
        <v>36.17</v>
      </c>
      <c r="H85" s="72">
        <v>38.06</v>
      </c>
      <c r="I85" s="72">
        <v>39.770000000000003</v>
      </c>
      <c r="J85" s="72">
        <v>41.3</v>
      </c>
      <c r="K85" s="72">
        <v>36.700000000000003</v>
      </c>
      <c r="L85" s="72">
        <v>38.47</v>
      </c>
      <c r="M85" s="72">
        <v>40.44</v>
      </c>
      <c r="N85" s="72">
        <v>42.45</v>
      </c>
      <c r="O85" s="72">
        <v>38.29</v>
      </c>
      <c r="P85" s="72">
        <v>41.81</v>
      </c>
      <c r="Q85" s="72">
        <v>44.83</v>
      </c>
      <c r="R85" s="72">
        <v>47.31</v>
      </c>
      <c r="S85" s="72">
        <v>40.14</v>
      </c>
      <c r="T85" s="72">
        <v>43.19</v>
      </c>
      <c r="U85" s="72">
        <v>46.56</v>
      </c>
      <c r="V85" s="72">
        <v>49.36</v>
      </c>
      <c r="W85" s="72">
        <v>42.21</v>
      </c>
      <c r="X85" s="72">
        <v>45.49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244008</v>
      </c>
      <c r="C88" s="273">
        <v>316721</v>
      </c>
      <c r="D88" s="273">
        <v>275074</v>
      </c>
      <c r="E88" s="273">
        <v>278420</v>
      </c>
      <c r="F88" s="273">
        <v>287295</v>
      </c>
      <c r="G88" s="273">
        <v>355206</v>
      </c>
      <c r="H88" s="273">
        <v>350868</v>
      </c>
      <c r="I88" s="273">
        <v>297088</v>
      </c>
      <c r="J88" s="273">
        <v>288612</v>
      </c>
      <c r="K88" s="273">
        <v>319882</v>
      </c>
      <c r="L88" s="273">
        <v>335557</v>
      </c>
      <c r="M88" s="273">
        <v>343499</v>
      </c>
      <c r="N88" s="273">
        <v>352004</v>
      </c>
      <c r="O88" s="273">
        <v>420263</v>
      </c>
      <c r="P88" s="273">
        <v>481607</v>
      </c>
      <c r="Q88" s="273">
        <v>507349</v>
      </c>
      <c r="R88" s="273">
        <v>430632</v>
      </c>
      <c r="S88" s="273">
        <v>448347</v>
      </c>
      <c r="T88" s="273">
        <v>514612</v>
      </c>
      <c r="U88" s="273">
        <v>515881</v>
      </c>
      <c r="V88" s="273">
        <v>489102</v>
      </c>
      <c r="W88" s="273">
        <v>503145</v>
      </c>
      <c r="X88" s="273">
        <v>506099</v>
      </c>
    </row>
    <row r="89" spans="1:25" ht="14.25" thickBot="1" x14ac:dyDescent="0.3">
      <c r="A89" s="250" t="s">
        <v>4</v>
      </c>
      <c r="B89" s="275">
        <v>100600</v>
      </c>
      <c r="C89" s="275">
        <v>145757</v>
      </c>
      <c r="D89" s="275">
        <v>121514</v>
      </c>
      <c r="E89" s="275">
        <v>118550</v>
      </c>
      <c r="F89" s="275">
        <v>132202</v>
      </c>
      <c r="G89" s="275">
        <v>182270</v>
      </c>
      <c r="H89" s="275">
        <v>184757</v>
      </c>
      <c r="I89" s="275">
        <v>156763</v>
      </c>
      <c r="J89" s="275">
        <v>148894</v>
      </c>
      <c r="K89" s="275">
        <v>175097</v>
      </c>
      <c r="L89" s="275">
        <v>181541</v>
      </c>
      <c r="M89" s="275">
        <v>185308</v>
      </c>
      <c r="N89" s="275">
        <v>208072</v>
      </c>
      <c r="O89" s="275">
        <v>258180</v>
      </c>
      <c r="P89" s="275">
        <v>301781</v>
      </c>
      <c r="Q89" s="275">
        <v>312799</v>
      </c>
      <c r="R89" s="275">
        <v>258998</v>
      </c>
      <c r="S89" s="275">
        <v>272385</v>
      </c>
      <c r="T89" s="275">
        <v>324221</v>
      </c>
      <c r="U89" s="275">
        <v>328239</v>
      </c>
      <c r="V89" s="275">
        <v>307297</v>
      </c>
      <c r="W89" s="275">
        <v>321452</v>
      </c>
      <c r="X89" s="275">
        <v>324671</v>
      </c>
    </row>
    <row r="90" spans="1:25" ht="14.25" thickBot="1" x14ac:dyDescent="0.3">
      <c r="A90" s="251" t="s">
        <v>5</v>
      </c>
      <c r="B90" s="273">
        <v>68497</v>
      </c>
      <c r="C90" s="273">
        <v>106427</v>
      </c>
      <c r="D90" s="273">
        <v>85937</v>
      </c>
      <c r="E90" s="273">
        <v>83241</v>
      </c>
      <c r="F90" s="273">
        <v>92340</v>
      </c>
      <c r="G90" s="273">
        <v>135618</v>
      </c>
      <c r="H90" s="273">
        <v>139857</v>
      </c>
      <c r="I90" s="273">
        <v>113219</v>
      </c>
      <c r="J90" s="273">
        <v>107012</v>
      </c>
      <c r="K90" s="273">
        <v>131189</v>
      </c>
      <c r="L90" s="273">
        <v>140222</v>
      </c>
      <c r="M90" s="273">
        <v>146183</v>
      </c>
      <c r="N90" s="273">
        <v>166673</v>
      </c>
      <c r="O90" s="273">
        <v>207624</v>
      </c>
      <c r="P90" s="273">
        <v>241301</v>
      </c>
      <c r="Q90" s="273">
        <v>250358</v>
      </c>
      <c r="R90" s="273">
        <v>213838</v>
      </c>
      <c r="S90" s="273">
        <v>222696</v>
      </c>
      <c r="T90" s="273">
        <v>270367</v>
      </c>
      <c r="U90" s="273">
        <v>269608</v>
      </c>
      <c r="V90" s="273">
        <v>258439</v>
      </c>
      <c r="W90" s="273">
        <v>266241</v>
      </c>
      <c r="X90" s="273">
        <v>271586</v>
      </c>
    </row>
    <row r="91" spans="1:25" ht="14.25" thickBot="1" x14ac:dyDescent="0.3">
      <c r="A91" s="250" t="s">
        <v>6</v>
      </c>
      <c r="B91" s="275">
        <v>65380</v>
      </c>
      <c r="C91" s="275">
        <v>115439</v>
      </c>
      <c r="D91" s="275">
        <v>86751</v>
      </c>
      <c r="E91" s="275">
        <v>84218</v>
      </c>
      <c r="F91" s="275">
        <v>105166</v>
      </c>
      <c r="G91" s="275">
        <v>141723</v>
      </c>
      <c r="H91" s="275">
        <v>141386</v>
      </c>
      <c r="I91" s="275">
        <v>121704</v>
      </c>
      <c r="J91" s="275">
        <v>123898</v>
      </c>
      <c r="K91" s="275">
        <v>129676</v>
      </c>
      <c r="L91" s="275">
        <v>145362</v>
      </c>
      <c r="M91" s="275">
        <v>160761</v>
      </c>
      <c r="N91" s="275">
        <v>167023</v>
      </c>
      <c r="O91" s="275">
        <v>207699</v>
      </c>
      <c r="P91" s="275">
        <v>292745</v>
      </c>
      <c r="Q91" s="275">
        <v>251858</v>
      </c>
      <c r="R91" s="275">
        <v>206023</v>
      </c>
      <c r="S91" s="275">
        <v>231338</v>
      </c>
      <c r="T91" s="275">
        <v>253322</v>
      </c>
      <c r="U91" s="275">
        <v>281216</v>
      </c>
      <c r="V91" s="275">
        <v>232782</v>
      </c>
      <c r="W91" s="275">
        <v>279461</v>
      </c>
      <c r="X91" s="275">
        <v>274624</v>
      </c>
    </row>
    <row r="92" spans="1:25" ht="14.25" thickBot="1" x14ac:dyDescent="0.3">
      <c r="A92" s="251" t="s">
        <v>7</v>
      </c>
      <c r="B92" s="273">
        <v>63021</v>
      </c>
      <c r="C92" s="273">
        <v>108115</v>
      </c>
      <c r="D92" s="273">
        <v>80402</v>
      </c>
      <c r="E92" s="273">
        <v>76892</v>
      </c>
      <c r="F92" s="273">
        <v>96753</v>
      </c>
      <c r="G92" s="273">
        <v>130385</v>
      </c>
      <c r="H92" s="273">
        <v>130075</v>
      </c>
      <c r="I92" s="273">
        <v>118057</v>
      </c>
      <c r="J92" s="273">
        <v>105933</v>
      </c>
      <c r="K92" s="273">
        <v>109553</v>
      </c>
      <c r="L92" s="273">
        <v>122104</v>
      </c>
      <c r="M92" s="273">
        <v>135040</v>
      </c>
      <c r="N92" s="273">
        <v>138629</v>
      </c>
      <c r="O92" s="273">
        <v>172390</v>
      </c>
      <c r="P92" s="273">
        <v>242979</v>
      </c>
      <c r="Q92" s="273">
        <v>209042</v>
      </c>
      <c r="R92" s="273">
        <v>170999</v>
      </c>
      <c r="S92" s="273">
        <v>192011</v>
      </c>
      <c r="T92" s="273">
        <v>210257</v>
      </c>
      <c r="U92" s="273">
        <v>233409</v>
      </c>
      <c r="V92" s="273">
        <v>193209</v>
      </c>
      <c r="W92" s="273">
        <v>230753</v>
      </c>
      <c r="X92" s="273">
        <v>226738</v>
      </c>
    </row>
    <row r="93" spans="1:25" ht="26.25" thickBot="1" x14ac:dyDescent="0.3">
      <c r="A93" s="252" t="s">
        <v>8</v>
      </c>
      <c r="B93" s="276">
        <v>63021</v>
      </c>
      <c r="C93" s="276">
        <v>108115</v>
      </c>
      <c r="D93" s="276">
        <v>80402</v>
      </c>
      <c r="E93" s="276">
        <v>76892</v>
      </c>
      <c r="F93" s="276">
        <v>96753</v>
      </c>
      <c r="G93" s="276">
        <v>130385</v>
      </c>
      <c r="H93" s="276">
        <v>130075</v>
      </c>
      <c r="I93" s="276">
        <v>118057</v>
      </c>
      <c r="J93" s="276">
        <v>105933</v>
      </c>
      <c r="K93" s="276">
        <v>109553</v>
      </c>
      <c r="L93" s="276">
        <v>122104</v>
      </c>
      <c r="M93" s="276">
        <v>135040</v>
      </c>
      <c r="N93" s="276">
        <v>138629</v>
      </c>
      <c r="O93" s="276">
        <v>172390</v>
      </c>
      <c r="P93" s="276">
        <v>242979</v>
      </c>
      <c r="Q93" s="276">
        <v>209042</v>
      </c>
      <c r="R93" s="276">
        <v>170999</v>
      </c>
      <c r="S93" s="276">
        <v>192011</v>
      </c>
      <c r="T93" s="276">
        <v>210257</v>
      </c>
      <c r="U93" s="276">
        <v>233409</v>
      </c>
      <c r="V93" s="276">
        <v>193209</v>
      </c>
      <c r="W93" s="276">
        <v>230753</v>
      </c>
      <c r="X93" s="276">
        <v>226738</v>
      </c>
    </row>
    <row r="94" spans="1:25" x14ac:dyDescent="0.25">
      <c r="A94" s="233" t="s">
        <v>365</v>
      </c>
      <c r="B94" s="253">
        <f>IF(B91="","",B91-B90)</f>
        <v>-3117</v>
      </c>
      <c r="C94" s="253">
        <f>IF(C91="","",C91-C90)</f>
        <v>9012</v>
      </c>
      <c r="D94" s="253">
        <f t="shared" ref="D94:Y94" si="9">IF(D91="","",D91-D90)</f>
        <v>814</v>
      </c>
      <c r="E94" s="253">
        <f t="shared" si="9"/>
        <v>977</v>
      </c>
      <c r="F94" s="253">
        <f t="shared" si="9"/>
        <v>12826</v>
      </c>
      <c r="G94" s="253">
        <f t="shared" si="9"/>
        <v>6105</v>
      </c>
      <c r="H94" s="253">
        <f t="shared" si="9"/>
        <v>1529</v>
      </c>
      <c r="I94" s="253">
        <f t="shared" si="9"/>
        <v>8485</v>
      </c>
      <c r="J94" s="253">
        <f t="shared" si="9"/>
        <v>16886</v>
      </c>
      <c r="K94" s="253">
        <f t="shared" si="9"/>
        <v>-1513</v>
      </c>
      <c r="L94" s="253">
        <f t="shared" si="9"/>
        <v>5140</v>
      </c>
      <c r="M94" s="253">
        <f t="shared" si="9"/>
        <v>14578</v>
      </c>
      <c r="N94" s="253">
        <f t="shared" si="9"/>
        <v>350</v>
      </c>
      <c r="O94" s="253">
        <f t="shared" si="9"/>
        <v>75</v>
      </c>
      <c r="P94" s="253">
        <f t="shared" si="9"/>
        <v>51444</v>
      </c>
      <c r="Q94" s="253">
        <f t="shared" si="9"/>
        <v>1500</v>
      </c>
      <c r="R94" s="253">
        <f t="shared" si="9"/>
        <v>-7815</v>
      </c>
      <c r="S94" s="253">
        <f t="shared" si="9"/>
        <v>8642</v>
      </c>
      <c r="T94" s="253">
        <f t="shared" si="9"/>
        <v>-17045</v>
      </c>
      <c r="U94" s="253">
        <f t="shared" si="9"/>
        <v>11608</v>
      </c>
      <c r="V94" s="253">
        <f t="shared" si="9"/>
        <v>-25657</v>
      </c>
      <c r="W94" s="253">
        <f t="shared" si="9"/>
        <v>13220</v>
      </c>
      <c r="X94" s="253">
        <f t="shared" si="9"/>
        <v>3038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1114223</v>
      </c>
      <c r="C97" s="273">
        <v>1290457</v>
      </c>
      <c r="D97" s="273">
        <v>1287550</v>
      </c>
      <c r="E97" s="273">
        <v>1761223</v>
      </c>
      <c r="F97" s="273">
        <v>1909472</v>
      </c>
    </row>
    <row r="98" spans="1:24" ht="14.25" thickBot="1" x14ac:dyDescent="0.3">
      <c r="A98" s="225" t="s">
        <v>4</v>
      </c>
      <c r="B98" s="275">
        <v>486421</v>
      </c>
      <c r="C98" s="275">
        <v>655992</v>
      </c>
      <c r="D98" s="275">
        <v>690840</v>
      </c>
      <c r="E98" s="275">
        <v>1080832</v>
      </c>
      <c r="F98" s="275">
        <v>1183843</v>
      </c>
    </row>
    <row r="99" spans="1:24" ht="14.25" thickBot="1" x14ac:dyDescent="0.3">
      <c r="A99" s="224" t="s">
        <v>5</v>
      </c>
      <c r="B99" s="273">
        <v>344102</v>
      </c>
      <c r="C99" s="273">
        <v>481034</v>
      </c>
      <c r="D99" s="273">
        <v>524606</v>
      </c>
      <c r="E99" s="273">
        <v>865956</v>
      </c>
      <c r="F99" s="273">
        <v>976509</v>
      </c>
    </row>
    <row r="100" spans="1:24" ht="14.25" thickBot="1" x14ac:dyDescent="0.3">
      <c r="A100" s="225" t="s">
        <v>6</v>
      </c>
      <c r="B100" s="275">
        <v>351788</v>
      </c>
      <c r="C100" s="275">
        <v>509979</v>
      </c>
      <c r="D100" s="275">
        <v>559697</v>
      </c>
      <c r="E100" s="275">
        <v>919325</v>
      </c>
      <c r="F100" s="275">
        <v>971899</v>
      </c>
    </row>
    <row r="101" spans="1:24" ht="14.25" thickBot="1" x14ac:dyDescent="0.3">
      <c r="A101" s="224" t="s">
        <v>7</v>
      </c>
      <c r="B101" s="273">
        <v>328430</v>
      </c>
      <c r="C101" s="273">
        <v>475270</v>
      </c>
      <c r="D101" s="273">
        <v>472630</v>
      </c>
      <c r="E101" s="273">
        <v>763040</v>
      </c>
      <c r="F101" s="273">
        <v>806676</v>
      </c>
    </row>
    <row r="102" spans="1:24" ht="14.25" thickBot="1" x14ac:dyDescent="0.3">
      <c r="A102" s="227" t="s">
        <v>8</v>
      </c>
      <c r="B102" s="276">
        <v>328430</v>
      </c>
      <c r="C102" s="276">
        <v>475270</v>
      </c>
      <c r="D102" s="276">
        <v>472630</v>
      </c>
      <c r="E102" s="276">
        <v>763040</v>
      </c>
      <c r="F102" s="276">
        <v>806676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1313225</v>
      </c>
      <c r="C106" s="273">
        <v>1422341</v>
      </c>
      <c r="D106" s="273">
        <v>1277921</v>
      </c>
      <c r="E106" s="273">
        <v>1384653</v>
      </c>
      <c r="F106" s="273">
        <v>1526748</v>
      </c>
      <c r="G106" s="273">
        <v>1656274</v>
      </c>
      <c r="H106" s="273">
        <v>1554350</v>
      </c>
      <c r="I106" s="273">
        <v>1706905</v>
      </c>
      <c r="J106" s="273">
        <v>1882137</v>
      </c>
      <c r="K106" s="273">
        <v>2017226</v>
      </c>
      <c r="L106" s="273">
        <v>1726108</v>
      </c>
      <c r="M106" s="273">
        <v>1866095</v>
      </c>
      <c r="N106" s="273">
        <v>2059391</v>
      </c>
      <c r="O106" s="273">
        <v>1864687</v>
      </c>
      <c r="P106" s="273">
        <v>1637182</v>
      </c>
      <c r="Q106" s="273">
        <v>1786244</v>
      </c>
      <c r="R106" s="273">
        <v>2097696</v>
      </c>
      <c r="S106" s="273">
        <v>2533792</v>
      </c>
      <c r="T106" s="273">
        <v>2115552</v>
      </c>
      <c r="U106" s="273">
        <v>2355759</v>
      </c>
      <c r="V106" s="273">
        <v>2564561</v>
      </c>
      <c r="W106" s="273">
        <v>2571916</v>
      </c>
      <c r="X106" s="273">
        <v>2139255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235652</v>
      </c>
      <c r="C108" s="273">
        <v>279958</v>
      </c>
      <c r="D108" s="273">
        <v>239424</v>
      </c>
      <c r="E108" s="273">
        <v>237870</v>
      </c>
      <c r="F108" s="273">
        <v>258053</v>
      </c>
      <c r="G108" s="273">
        <v>311337</v>
      </c>
      <c r="H108" s="273">
        <v>306368</v>
      </c>
      <c r="I108" s="273">
        <v>260259</v>
      </c>
      <c r="J108" s="273">
        <v>241565</v>
      </c>
      <c r="K108" s="273">
        <v>264633</v>
      </c>
      <c r="L108" s="273">
        <v>282364</v>
      </c>
      <c r="M108" s="273">
        <v>268196</v>
      </c>
      <c r="N108" s="273">
        <v>267448</v>
      </c>
      <c r="O108" s="273">
        <v>318105</v>
      </c>
      <c r="P108" s="273">
        <v>344297</v>
      </c>
      <c r="Q108" s="273">
        <v>343415</v>
      </c>
      <c r="R108" s="273">
        <v>290189</v>
      </c>
      <c r="S108" s="273">
        <v>329300</v>
      </c>
      <c r="T108" s="273">
        <v>353800</v>
      </c>
      <c r="U108" s="273">
        <v>350775</v>
      </c>
      <c r="V108" s="273">
        <v>322196</v>
      </c>
      <c r="W108" s="273">
        <v>435424</v>
      </c>
      <c r="X108" s="273">
        <v>373039</v>
      </c>
    </row>
    <row r="109" spans="1:24" ht="14.25" thickBot="1" x14ac:dyDescent="0.3">
      <c r="A109" s="225" t="s">
        <v>264</v>
      </c>
      <c r="B109" s="275">
        <v>102498</v>
      </c>
      <c r="C109" s="275">
        <v>108751</v>
      </c>
      <c r="D109" s="275">
        <v>96963</v>
      </c>
      <c r="E109" s="275">
        <v>87928</v>
      </c>
      <c r="F109" s="275">
        <v>79180</v>
      </c>
      <c r="G109" s="275">
        <v>85223</v>
      </c>
      <c r="H109" s="275">
        <v>75824</v>
      </c>
      <c r="I109" s="275">
        <v>77188</v>
      </c>
      <c r="J109" s="275">
        <v>77243</v>
      </c>
      <c r="K109" s="275">
        <v>81229</v>
      </c>
      <c r="L109" s="275">
        <v>78061</v>
      </c>
      <c r="M109" s="275">
        <v>81281</v>
      </c>
      <c r="N109" s="275">
        <v>94081</v>
      </c>
      <c r="O109" s="275">
        <v>100630</v>
      </c>
      <c r="P109" s="275">
        <v>126817</v>
      </c>
      <c r="Q109" s="275">
        <v>103751</v>
      </c>
      <c r="R109" s="275">
        <v>96425</v>
      </c>
      <c r="S109" s="275">
        <v>87646</v>
      </c>
      <c r="T109" s="275">
        <v>92128</v>
      </c>
      <c r="U109" s="275">
        <v>110445</v>
      </c>
      <c r="V109" s="275">
        <v>103610</v>
      </c>
      <c r="W109" s="275">
        <v>114525</v>
      </c>
      <c r="X109" s="275">
        <v>126350</v>
      </c>
    </row>
    <row r="110" spans="1:24" ht="14.25" thickBot="1" x14ac:dyDescent="0.3">
      <c r="A110" s="224" t="s">
        <v>23</v>
      </c>
      <c r="B110" s="273">
        <v>32208</v>
      </c>
      <c r="C110" s="273">
        <v>22360</v>
      </c>
      <c r="D110" s="273">
        <v>23142</v>
      </c>
      <c r="E110" s="273">
        <v>20431</v>
      </c>
      <c r="F110" s="273">
        <v>11684</v>
      </c>
      <c r="G110" s="273">
        <v>14447</v>
      </c>
      <c r="H110" s="273">
        <v>13042</v>
      </c>
      <c r="I110" s="273">
        <v>12411</v>
      </c>
      <c r="J110" s="273">
        <v>14176</v>
      </c>
      <c r="K110" s="273">
        <v>13581</v>
      </c>
      <c r="L110" s="273">
        <v>15108</v>
      </c>
      <c r="M110" s="273">
        <v>16820</v>
      </c>
      <c r="N110" s="273">
        <v>15868</v>
      </c>
      <c r="O110" s="273">
        <v>323632</v>
      </c>
      <c r="P110" s="273">
        <v>310952</v>
      </c>
      <c r="Q110" s="273">
        <v>361212</v>
      </c>
      <c r="R110" s="273">
        <v>363505</v>
      </c>
      <c r="S110" s="273">
        <v>73536</v>
      </c>
      <c r="T110" s="273">
        <v>17999</v>
      </c>
      <c r="U110" s="273">
        <v>18781</v>
      </c>
      <c r="V110" s="273">
        <v>22844</v>
      </c>
      <c r="W110" s="273">
        <v>18763</v>
      </c>
      <c r="X110" s="273">
        <v>21090</v>
      </c>
    </row>
    <row r="111" spans="1:24" ht="14.25" thickBot="1" x14ac:dyDescent="0.3">
      <c r="A111" s="225" t="s">
        <v>24</v>
      </c>
      <c r="B111" s="275">
        <v>1683583</v>
      </c>
      <c r="C111" s="275">
        <v>1833410</v>
      </c>
      <c r="D111" s="275">
        <v>1637450</v>
      </c>
      <c r="E111" s="275">
        <v>1730882</v>
      </c>
      <c r="F111" s="275">
        <v>1875665</v>
      </c>
      <c r="G111" s="275">
        <v>2067281</v>
      </c>
      <c r="H111" s="275">
        <v>1949584</v>
      </c>
      <c r="I111" s="275">
        <v>2056763</v>
      </c>
      <c r="J111" s="275">
        <v>2215121</v>
      </c>
      <c r="K111" s="275">
        <v>2376669</v>
      </c>
      <c r="L111" s="275">
        <v>2101641</v>
      </c>
      <c r="M111" s="275">
        <v>2232392</v>
      </c>
      <c r="N111" s="275">
        <v>2436788</v>
      </c>
      <c r="O111" s="275">
        <v>2607054</v>
      </c>
      <c r="P111" s="275">
        <v>2419248</v>
      </c>
      <c r="Q111" s="275">
        <v>2594622</v>
      </c>
      <c r="R111" s="275">
        <v>2847815</v>
      </c>
      <c r="S111" s="275">
        <v>3024274</v>
      </c>
      <c r="T111" s="275">
        <v>2579479</v>
      </c>
      <c r="U111" s="275">
        <v>2835760</v>
      </c>
      <c r="V111" s="275">
        <v>3013211</v>
      </c>
      <c r="W111" s="275">
        <v>3140628</v>
      </c>
      <c r="X111" s="275">
        <v>2659734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1090596</v>
      </c>
      <c r="C113" s="275">
        <v>1053935</v>
      </c>
      <c r="D113" s="275">
        <v>857996</v>
      </c>
      <c r="E113" s="275">
        <v>819442</v>
      </c>
      <c r="F113" s="275">
        <v>959279</v>
      </c>
      <c r="G113" s="275">
        <v>934910</v>
      </c>
      <c r="H113" s="275">
        <v>903189</v>
      </c>
      <c r="I113" s="275">
        <v>888275</v>
      </c>
      <c r="J113" s="275">
        <v>865591</v>
      </c>
      <c r="K113" s="275">
        <v>844076</v>
      </c>
      <c r="L113" s="275">
        <v>851862</v>
      </c>
      <c r="M113" s="275">
        <v>849835</v>
      </c>
      <c r="N113" s="275">
        <v>824852</v>
      </c>
      <c r="O113" s="275">
        <v>838264</v>
      </c>
      <c r="P113" s="275">
        <v>858658</v>
      </c>
      <c r="Q113" s="275">
        <v>895715</v>
      </c>
      <c r="R113" s="275">
        <v>878113</v>
      </c>
      <c r="S113" s="275">
        <v>842629</v>
      </c>
      <c r="T113" s="275">
        <v>809580</v>
      </c>
      <c r="U113" s="275">
        <v>792553</v>
      </c>
      <c r="V113" s="275">
        <v>895831</v>
      </c>
      <c r="W113" s="275">
        <v>997285</v>
      </c>
      <c r="X113" s="275">
        <v>990911</v>
      </c>
    </row>
    <row r="114" spans="1:24" ht="14.25" thickBot="1" x14ac:dyDescent="0.3">
      <c r="A114" s="224" t="s">
        <v>27</v>
      </c>
      <c r="B114" s="273">
        <v>9558</v>
      </c>
      <c r="C114" s="273">
        <v>9634</v>
      </c>
      <c r="D114" s="273">
        <v>174277</v>
      </c>
      <c r="E114" s="273">
        <v>172461</v>
      </c>
      <c r="F114" s="273">
        <v>13929</v>
      </c>
      <c r="G114" s="273">
        <v>15165</v>
      </c>
      <c r="H114" s="273">
        <v>14680</v>
      </c>
      <c r="I114" s="273">
        <v>8588</v>
      </c>
      <c r="J114" s="273">
        <v>8282</v>
      </c>
      <c r="K114" s="273">
        <v>8007</v>
      </c>
      <c r="L114" s="273">
        <v>7732</v>
      </c>
      <c r="M114" s="273">
        <v>7498</v>
      </c>
      <c r="N114" s="273">
        <v>7790</v>
      </c>
      <c r="O114" s="273">
        <v>7565</v>
      </c>
      <c r="P114" s="273">
        <v>7065</v>
      </c>
      <c r="Q114" s="273">
        <v>7198</v>
      </c>
      <c r="R114" s="273">
        <v>7023</v>
      </c>
      <c r="S114" s="273">
        <v>6669</v>
      </c>
      <c r="T114" s="273">
        <v>6549</v>
      </c>
      <c r="U114" s="273">
        <v>8689</v>
      </c>
      <c r="V114" s="273">
        <v>7615</v>
      </c>
      <c r="W114" s="273">
        <v>7423</v>
      </c>
      <c r="X114" s="273">
        <v>7264</v>
      </c>
    </row>
    <row r="115" spans="1:24" ht="14.25" thickBot="1" x14ac:dyDescent="0.3">
      <c r="A115" s="225" t="s">
        <v>265</v>
      </c>
      <c r="B115" s="276">
        <v>2783737</v>
      </c>
      <c r="C115" s="276">
        <v>2896979</v>
      </c>
      <c r="D115" s="276">
        <v>2669723</v>
      </c>
      <c r="E115" s="276">
        <v>2722785</v>
      </c>
      <c r="F115" s="276">
        <v>2848873</v>
      </c>
      <c r="G115" s="276">
        <v>3017356</v>
      </c>
      <c r="H115" s="276">
        <v>2867453</v>
      </c>
      <c r="I115" s="276">
        <v>2953626</v>
      </c>
      <c r="J115" s="276">
        <v>3088994</v>
      </c>
      <c r="K115" s="276">
        <v>3228752</v>
      </c>
      <c r="L115" s="276">
        <v>2961235</v>
      </c>
      <c r="M115" s="276">
        <v>3089725</v>
      </c>
      <c r="N115" s="276">
        <v>3269430</v>
      </c>
      <c r="O115" s="276">
        <v>3452883</v>
      </c>
      <c r="P115" s="276">
        <v>3284971</v>
      </c>
      <c r="Q115" s="276">
        <v>3497535</v>
      </c>
      <c r="R115" s="276">
        <v>3732951</v>
      </c>
      <c r="S115" s="276">
        <v>3873572</v>
      </c>
      <c r="T115" s="276">
        <v>3395608</v>
      </c>
      <c r="U115" s="276">
        <v>3637002</v>
      </c>
      <c r="V115" s="276">
        <v>3916657</v>
      </c>
      <c r="W115" s="276">
        <v>4145336</v>
      </c>
      <c r="X115" s="276">
        <v>3657909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51847</v>
      </c>
      <c r="C120" s="273">
        <v>52868</v>
      </c>
      <c r="D120" s="273">
        <v>43507</v>
      </c>
      <c r="E120" s="273">
        <v>41080</v>
      </c>
      <c r="F120" s="273">
        <v>35153</v>
      </c>
      <c r="G120" s="273">
        <v>50011</v>
      </c>
      <c r="H120" s="273">
        <v>42117</v>
      </c>
      <c r="I120" s="273">
        <v>34385</v>
      </c>
      <c r="J120" s="273">
        <v>31606</v>
      </c>
      <c r="K120" s="273">
        <v>34533</v>
      </c>
      <c r="L120" s="273">
        <v>39287</v>
      </c>
      <c r="M120" s="273">
        <v>42496</v>
      </c>
      <c r="N120" s="273">
        <v>44861</v>
      </c>
      <c r="O120" s="273">
        <v>43732</v>
      </c>
      <c r="P120" s="273">
        <v>47961</v>
      </c>
      <c r="Q120" s="273">
        <v>39975</v>
      </c>
      <c r="R120" s="273">
        <v>44137</v>
      </c>
      <c r="S120" s="273">
        <v>40779</v>
      </c>
      <c r="T120" s="273">
        <v>55324</v>
      </c>
      <c r="U120" s="273">
        <v>54723</v>
      </c>
      <c r="V120" s="273">
        <v>48346</v>
      </c>
      <c r="W120" s="273">
        <v>50022</v>
      </c>
      <c r="X120" s="273">
        <v>49384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124822</v>
      </c>
      <c r="C123" s="275">
        <v>433358</v>
      </c>
      <c r="D123" s="275">
        <v>135117</v>
      </c>
      <c r="E123" s="275">
        <v>113705</v>
      </c>
      <c r="F123" s="275">
        <v>149151</v>
      </c>
      <c r="G123" s="275">
        <v>467902</v>
      </c>
      <c r="H123" s="275">
        <v>195937</v>
      </c>
      <c r="I123" s="275">
        <v>171519</v>
      </c>
      <c r="J123" s="275">
        <v>203843</v>
      </c>
      <c r="K123" s="275">
        <v>658441</v>
      </c>
      <c r="L123" s="275">
        <v>264176</v>
      </c>
      <c r="M123" s="275">
        <v>254698</v>
      </c>
      <c r="N123" s="275">
        <v>292966</v>
      </c>
      <c r="O123" s="275">
        <v>764363</v>
      </c>
      <c r="P123" s="275">
        <v>348802</v>
      </c>
      <c r="Q123" s="275">
        <v>359215</v>
      </c>
      <c r="R123" s="275">
        <v>419010</v>
      </c>
      <c r="S123" s="275">
        <v>1057227</v>
      </c>
      <c r="T123" s="275">
        <v>353999</v>
      </c>
      <c r="U123" s="275">
        <v>362924</v>
      </c>
      <c r="V123" s="275">
        <v>455271</v>
      </c>
      <c r="W123" s="275">
        <v>1175717</v>
      </c>
      <c r="X123" s="275">
        <v>461716</v>
      </c>
    </row>
    <row r="124" spans="1:24" ht="14.25" thickBot="1" x14ac:dyDescent="0.3">
      <c r="A124" s="224" t="s">
        <v>268</v>
      </c>
      <c r="B124" s="273">
        <v>176669</v>
      </c>
      <c r="C124" s="273">
        <v>486226</v>
      </c>
      <c r="D124" s="273">
        <v>178624</v>
      </c>
      <c r="E124" s="273">
        <v>154785</v>
      </c>
      <c r="F124" s="273">
        <v>184304</v>
      </c>
      <c r="G124" s="273">
        <v>517913</v>
      </c>
      <c r="H124" s="273">
        <v>238054</v>
      </c>
      <c r="I124" s="273">
        <v>205904</v>
      </c>
      <c r="J124" s="273">
        <v>235449</v>
      </c>
      <c r="K124" s="273">
        <v>692974</v>
      </c>
      <c r="L124" s="273">
        <v>303463</v>
      </c>
      <c r="M124" s="273">
        <v>297194</v>
      </c>
      <c r="N124" s="273">
        <v>337827</v>
      </c>
      <c r="O124" s="273">
        <v>808095</v>
      </c>
      <c r="P124" s="273">
        <v>396763</v>
      </c>
      <c r="Q124" s="273">
        <v>399190</v>
      </c>
      <c r="R124" s="273">
        <v>463147</v>
      </c>
      <c r="S124" s="273">
        <v>1098006</v>
      </c>
      <c r="T124" s="273">
        <v>409323</v>
      </c>
      <c r="U124" s="273">
        <v>417647</v>
      </c>
      <c r="V124" s="273">
        <v>503617</v>
      </c>
      <c r="W124" s="273">
        <v>1225739</v>
      </c>
      <c r="X124" s="273">
        <v>511100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3119</v>
      </c>
      <c r="G125" s="275">
        <v>2997</v>
      </c>
      <c r="H125" s="275">
        <v>2878</v>
      </c>
      <c r="I125" s="275">
        <v>2999</v>
      </c>
      <c r="J125" s="275">
        <v>2889</v>
      </c>
      <c r="K125" s="275">
        <v>2779</v>
      </c>
      <c r="L125" s="275">
        <v>2669</v>
      </c>
      <c r="M125" s="275">
        <v>1181</v>
      </c>
      <c r="N125" s="275">
        <v>1624</v>
      </c>
      <c r="O125" s="275">
        <v>2067</v>
      </c>
      <c r="P125" s="275">
        <v>2508</v>
      </c>
      <c r="Q125" s="275">
        <v>4416</v>
      </c>
      <c r="R125" s="275">
        <v>4876</v>
      </c>
      <c r="S125" s="275">
        <v>5338</v>
      </c>
      <c r="T125" s="275">
        <v>5800</v>
      </c>
      <c r="U125" s="275">
        <v>5618</v>
      </c>
      <c r="V125" s="275">
        <v>6094</v>
      </c>
      <c r="W125" s="275">
        <v>6568</v>
      </c>
      <c r="X125" s="275">
        <v>7042</v>
      </c>
    </row>
    <row r="126" spans="1:24" ht="14.25" thickBot="1" x14ac:dyDescent="0.3">
      <c r="A126" s="224" t="s">
        <v>33</v>
      </c>
      <c r="B126" s="68">
        <v>329</v>
      </c>
      <c r="C126" s="68">
        <v>260</v>
      </c>
      <c r="D126" s="68">
        <v>204</v>
      </c>
      <c r="E126" s="68">
        <v>213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176998</v>
      </c>
      <c r="C127" s="275">
        <v>486486</v>
      </c>
      <c r="D127" s="275">
        <v>178828</v>
      </c>
      <c r="E127" s="275">
        <v>154998</v>
      </c>
      <c r="F127" s="275">
        <v>187423</v>
      </c>
      <c r="G127" s="275">
        <v>520910</v>
      </c>
      <c r="H127" s="275">
        <v>240932</v>
      </c>
      <c r="I127" s="275">
        <v>208903</v>
      </c>
      <c r="J127" s="275">
        <v>238338</v>
      </c>
      <c r="K127" s="275">
        <v>695753</v>
      </c>
      <c r="L127" s="275">
        <v>306132</v>
      </c>
      <c r="M127" s="275">
        <v>298375</v>
      </c>
      <c r="N127" s="275">
        <v>339451</v>
      </c>
      <c r="O127" s="275">
        <v>810162</v>
      </c>
      <c r="P127" s="275">
        <v>399271</v>
      </c>
      <c r="Q127" s="275">
        <v>403606</v>
      </c>
      <c r="R127" s="275">
        <v>468023</v>
      </c>
      <c r="S127" s="275">
        <v>1103344</v>
      </c>
      <c r="T127" s="275">
        <v>415123</v>
      </c>
      <c r="U127" s="275">
        <v>423265</v>
      </c>
      <c r="V127" s="275">
        <v>509711</v>
      </c>
      <c r="W127" s="275">
        <v>1232307</v>
      </c>
      <c r="X127" s="275">
        <v>518142</v>
      </c>
    </row>
    <row r="128" spans="1:24" ht="14.25" thickBot="1" x14ac:dyDescent="0.3">
      <c r="A128" s="224" t="s">
        <v>34</v>
      </c>
      <c r="B128" s="273">
        <v>2606739</v>
      </c>
      <c r="C128" s="273">
        <v>2410493</v>
      </c>
      <c r="D128" s="273">
        <v>2490895</v>
      </c>
      <c r="E128" s="273">
        <v>2567787</v>
      </c>
      <c r="F128" s="273">
        <v>2661450</v>
      </c>
      <c r="G128" s="273">
        <v>2496446</v>
      </c>
      <c r="H128" s="273">
        <v>2626521</v>
      </c>
      <c r="I128" s="273">
        <v>2744723</v>
      </c>
      <c r="J128" s="273">
        <v>2850656</v>
      </c>
      <c r="K128" s="273">
        <v>2532999</v>
      </c>
      <c r="L128" s="273">
        <v>2655103</v>
      </c>
      <c r="M128" s="273">
        <v>2791350</v>
      </c>
      <c r="N128" s="273">
        <v>2929979</v>
      </c>
      <c r="O128" s="273">
        <v>2642721</v>
      </c>
      <c r="P128" s="273">
        <v>2885700</v>
      </c>
      <c r="Q128" s="273">
        <v>3093929</v>
      </c>
      <c r="R128" s="273">
        <v>3264928</v>
      </c>
      <c r="S128" s="273">
        <v>2770228</v>
      </c>
      <c r="T128" s="273">
        <v>2980485</v>
      </c>
      <c r="U128" s="273">
        <v>3213737</v>
      </c>
      <c r="V128" s="273">
        <v>3406946</v>
      </c>
      <c r="W128" s="273">
        <v>2913029</v>
      </c>
      <c r="X128" s="273">
        <v>3139767</v>
      </c>
    </row>
    <row r="129" spans="1:24" ht="14.25" thickBot="1" x14ac:dyDescent="0.3">
      <c r="A129" s="225" t="s">
        <v>35</v>
      </c>
      <c r="B129" s="276">
        <v>2783737</v>
      </c>
      <c r="C129" s="276">
        <v>2896979</v>
      </c>
      <c r="D129" s="276">
        <v>2669723</v>
      </c>
      <c r="E129" s="276">
        <v>2722785</v>
      </c>
      <c r="F129" s="276">
        <v>2848873</v>
      </c>
      <c r="G129" s="276">
        <v>3017356</v>
      </c>
      <c r="H129" s="276">
        <v>2867453</v>
      </c>
      <c r="I129" s="276">
        <v>2953626</v>
      </c>
      <c r="J129" s="276">
        <v>3088994</v>
      </c>
      <c r="K129" s="276">
        <v>3228752</v>
      </c>
      <c r="L129" s="276">
        <v>2961235</v>
      </c>
      <c r="M129" s="276">
        <v>3089725</v>
      </c>
      <c r="N129" s="276">
        <v>3269430</v>
      </c>
      <c r="O129" s="276">
        <v>3452883</v>
      </c>
      <c r="P129" s="276">
        <v>3284971</v>
      </c>
      <c r="Q129" s="276">
        <v>3497535</v>
      </c>
      <c r="R129" s="276">
        <v>3732951</v>
      </c>
      <c r="S129" s="276">
        <v>3873572</v>
      </c>
      <c r="T129" s="276">
        <v>3395608</v>
      </c>
      <c r="U129" s="276">
        <v>3637002</v>
      </c>
      <c r="V129" s="276">
        <v>3916657</v>
      </c>
      <c r="W129" s="276">
        <v>4145336</v>
      </c>
      <c r="X129" s="276">
        <v>3657909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7.54</v>
      </c>
      <c r="C132" s="68">
        <v>10.34</v>
      </c>
      <c r="D132" s="68">
        <v>10.25</v>
      </c>
      <c r="E132" s="68">
        <v>13.53</v>
      </c>
      <c r="F132" s="68">
        <v>13.81</v>
      </c>
    </row>
    <row r="133" spans="1:24" ht="14.25" thickBot="1" x14ac:dyDescent="0.3">
      <c r="A133" s="225" t="s">
        <v>37</v>
      </c>
      <c r="B133" s="274">
        <v>-0.66</v>
      </c>
      <c r="C133" s="274">
        <v>-1.39</v>
      </c>
      <c r="D133" s="274">
        <v>-1.74</v>
      </c>
      <c r="E133" s="274">
        <v>-8.0299999999999994</v>
      </c>
      <c r="F133" s="274">
        <v>4.4000000000000004</v>
      </c>
    </row>
    <row r="134" spans="1:24" ht="14.25" thickBot="1" x14ac:dyDescent="0.3">
      <c r="A134" s="224" t="s">
        <v>38</v>
      </c>
      <c r="B134" s="68">
        <v>-4.3899999999999997</v>
      </c>
      <c r="C134" s="68">
        <v>-4.28</v>
      </c>
      <c r="D134" s="68">
        <v>-6.2</v>
      </c>
      <c r="E134" s="68">
        <v>-6.66</v>
      </c>
      <c r="F134" s="68">
        <v>-9.9499999999999993</v>
      </c>
    </row>
    <row r="135" spans="1:24" ht="14.25" thickBot="1" x14ac:dyDescent="0.3">
      <c r="A135" s="225" t="s">
        <v>270</v>
      </c>
      <c r="B135" s="274">
        <v>6.88</v>
      </c>
      <c r="C135" s="274">
        <v>8.9499999999999993</v>
      </c>
      <c r="D135" s="274">
        <v>8.51</v>
      </c>
      <c r="E135" s="274">
        <v>5.51</v>
      </c>
      <c r="F135" s="274">
        <v>18.2</v>
      </c>
    </row>
    <row r="136" spans="1:24" ht="14.25" thickBot="1" x14ac:dyDescent="0.3">
      <c r="A136" s="229" t="s">
        <v>39</v>
      </c>
      <c r="B136" s="72">
        <v>2.4900000000000002</v>
      </c>
      <c r="C136" s="72">
        <v>4.67</v>
      </c>
      <c r="D136" s="72">
        <v>2.31</v>
      </c>
      <c r="E136" s="72">
        <v>-1.1599999999999999</v>
      </c>
      <c r="F136" s="72">
        <v>8.25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4.28</v>
      </c>
      <c r="C140" s="68">
        <v>6.19</v>
      </c>
      <c r="D140" s="68">
        <v>6.66</v>
      </c>
      <c r="E140" s="68">
        <v>9.9499999999999993</v>
      </c>
      <c r="F140" s="68">
        <v>10.5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0.90105263157894744</v>
      </c>
      <c r="C142" s="234">
        <f>IF(C140&lt;&gt;"無",IF(ISNA(HLOOKUP(C139,$B$64:$F$69,6,FALSE)),"",C140/HLOOKUP(C139,$B$64:$F$69,6,FALSE)),"")</f>
        <v>0.89970930232558144</v>
      </c>
      <c r="D142" s="234">
        <f>IF(D140&lt;&gt;"無",IF(ISNA(HLOOKUP(D139,$B$64:$F$69,6,FALSE)),"",D140/HLOOKUP(D139,$B$64:$F$69,6,FALSE)),"")</f>
        <v>0.9722627737226277</v>
      </c>
      <c r="E142" s="234">
        <f>IF(E140&lt;&gt;"無",IF(ISNA(HLOOKUP(E139,$B$64:$F$69,6,FALSE)),"",E140/HLOOKUP(E139,$B$64:$F$69,6,FALSE)),"")</f>
        <v>0.89963833634719714</v>
      </c>
      <c r="F142" s="234">
        <f>IF(F140&lt;&gt;"無",IF(ISNA(HLOOKUP(F139,$B$64:$F$69,6,FALSE)),"",F140/HLOOKUP(F139,$B$64:$F$69,6,FALSE)),"")</f>
        <v>0.89820359281437145</v>
      </c>
    </row>
    <row r="143" spans="1:24" x14ac:dyDescent="0.25">
      <c r="A143" s="233" t="s">
        <v>216</v>
      </c>
      <c r="B143" s="234">
        <f>IF(OR(B140=0,B140="無"),"",B135/B140)</f>
        <v>1.6074766355140186</v>
      </c>
      <c r="C143" s="234">
        <f>IF(OR(C140=0,C140="無"),"",C135/C140)</f>
        <v>1.4458804523424877</v>
      </c>
      <c r="D143" s="234">
        <f>IF(OR(D140=0,D140="無"),"",D135/D140)</f>
        <v>1.2777777777777777</v>
      </c>
      <c r="E143" s="234">
        <f>IF(OR(E140=0,E140="無"),"",E135/E140)</f>
        <v>0.55376884422110551</v>
      </c>
      <c r="F143" s="234">
        <f>IF(OR(F140=0,F140="無"),"",F135/F140)</f>
        <v>1.7333333333333332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41.23</v>
      </c>
      <c r="C146" s="68">
        <v>46.02</v>
      </c>
      <c r="D146" s="68">
        <v>44.18</v>
      </c>
      <c r="E146" s="68">
        <v>42.58</v>
      </c>
      <c r="F146" s="68">
        <v>46.02</v>
      </c>
      <c r="G146" s="68">
        <v>51.31</v>
      </c>
      <c r="H146" s="68">
        <v>52.66</v>
      </c>
      <c r="I146" s="68">
        <v>52.77</v>
      </c>
      <c r="J146" s="68">
        <v>51.59</v>
      </c>
      <c r="K146" s="68">
        <v>54.74</v>
      </c>
      <c r="L146" s="68">
        <v>54.1</v>
      </c>
      <c r="M146" s="68">
        <v>53.95</v>
      </c>
      <c r="N146" s="68">
        <v>59.11</v>
      </c>
      <c r="O146" s="68">
        <v>61.43</v>
      </c>
      <c r="P146" s="68">
        <v>62.66</v>
      </c>
      <c r="Q146" s="68">
        <v>61.65</v>
      </c>
      <c r="R146" s="68">
        <v>60.14</v>
      </c>
      <c r="S146" s="68">
        <v>60.75</v>
      </c>
      <c r="T146" s="68">
        <v>63</v>
      </c>
      <c r="U146" s="68">
        <v>63.63</v>
      </c>
      <c r="V146" s="68">
        <v>62.83</v>
      </c>
      <c r="W146" s="68">
        <v>63.89</v>
      </c>
      <c r="X146" s="68">
        <v>64.150000000000006</v>
      </c>
    </row>
    <row r="147" spans="1:24" s="93" customFormat="1" ht="14.25" thickBot="1" x14ac:dyDescent="0.3">
      <c r="A147" s="225" t="s">
        <v>19</v>
      </c>
      <c r="B147" s="274">
        <v>28.07</v>
      </c>
      <c r="C147" s="274">
        <v>33.6</v>
      </c>
      <c r="D147" s="274">
        <v>31.24</v>
      </c>
      <c r="E147" s="274">
        <v>29.9</v>
      </c>
      <c r="F147" s="274">
        <v>32.14</v>
      </c>
      <c r="G147" s="274">
        <v>38.18</v>
      </c>
      <c r="H147" s="274">
        <v>39.86</v>
      </c>
      <c r="I147" s="274">
        <v>38.11</v>
      </c>
      <c r="J147" s="274">
        <v>37.08</v>
      </c>
      <c r="K147" s="274">
        <v>41.01</v>
      </c>
      <c r="L147" s="274">
        <v>41.79</v>
      </c>
      <c r="M147" s="274">
        <v>42.56</v>
      </c>
      <c r="N147" s="274">
        <v>47.35</v>
      </c>
      <c r="O147" s="274">
        <v>49.4</v>
      </c>
      <c r="P147" s="274">
        <v>50.1</v>
      </c>
      <c r="Q147" s="274">
        <v>49.35</v>
      </c>
      <c r="R147" s="274">
        <v>49.66</v>
      </c>
      <c r="S147" s="274">
        <v>49.67</v>
      </c>
      <c r="T147" s="274">
        <v>52.54</v>
      </c>
      <c r="U147" s="274">
        <v>52.26</v>
      </c>
      <c r="V147" s="274">
        <v>52.84</v>
      </c>
      <c r="W147" s="274">
        <v>52.92</v>
      </c>
      <c r="X147" s="274">
        <v>53.66</v>
      </c>
    </row>
    <row r="148" spans="1:24" s="93" customFormat="1" ht="14.25" thickBot="1" x14ac:dyDescent="0.3">
      <c r="A148" s="224" t="s">
        <v>41</v>
      </c>
      <c r="B148" s="68">
        <v>26.79</v>
      </c>
      <c r="C148" s="68">
        <v>36.450000000000003</v>
      </c>
      <c r="D148" s="68">
        <v>31.54</v>
      </c>
      <c r="E148" s="68">
        <v>30.25</v>
      </c>
      <c r="F148" s="68">
        <v>36.61</v>
      </c>
      <c r="G148" s="68">
        <v>39.9</v>
      </c>
      <c r="H148" s="68">
        <v>40.299999999999997</v>
      </c>
      <c r="I148" s="68">
        <v>40.97</v>
      </c>
      <c r="J148" s="68">
        <v>42.93</v>
      </c>
      <c r="K148" s="68">
        <v>40.54</v>
      </c>
      <c r="L148" s="68">
        <v>43.32</v>
      </c>
      <c r="M148" s="68">
        <v>46.8</v>
      </c>
      <c r="N148" s="68">
        <v>47.45</v>
      </c>
      <c r="O148" s="68">
        <v>49.42</v>
      </c>
      <c r="P148" s="68">
        <v>60.79</v>
      </c>
      <c r="Q148" s="68">
        <v>49.64</v>
      </c>
      <c r="R148" s="68">
        <v>47.84</v>
      </c>
      <c r="S148" s="68">
        <v>51.6</v>
      </c>
      <c r="T148" s="68">
        <v>49.23</v>
      </c>
      <c r="U148" s="68">
        <v>54.51</v>
      </c>
      <c r="V148" s="68">
        <v>47.59</v>
      </c>
      <c r="W148" s="68">
        <v>55.54</v>
      </c>
      <c r="X148" s="68">
        <v>54.26</v>
      </c>
    </row>
    <row r="149" spans="1:24" s="93" customFormat="1" ht="14.25" thickBot="1" x14ac:dyDescent="0.3">
      <c r="A149" s="225" t="s">
        <v>13</v>
      </c>
      <c r="B149" s="73">
        <v>25.83</v>
      </c>
      <c r="C149" s="73">
        <v>34.14</v>
      </c>
      <c r="D149" s="73">
        <v>29.23</v>
      </c>
      <c r="E149" s="73">
        <v>27.62</v>
      </c>
      <c r="F149" s="73">
        <v>33.68</v>
      </c>
      <c r="G149" s="73">
        <v>36.71</v>
      </c>
      <c r="H149" s="73">
        <v>37.07</v>
      </c>
      <c r="I149" s="73">
        <v>39.74</v>
      </c>
      <c r="J149" s="73">
        <v>36.700000000000003</v>
      </c>
      <c r="K149" s="73">
        <v>34.25</v>
      </c>
      <c r="L149" s="73">
        <v>36.39</v>
      </c>
      <c r="M149" s="73">
        <v>39.31</v>
      </c>
      <c r="N149" s="73">
        <v>39.380000000000003</v>
      </c>
      <c r="O149" s="73">
        <v>41.02</v>
      </c>
      <c r="P149" s="73">
        <v>50.45</v>
      </c>
      <c r="Q149" s="73">
        <v>41.2</v>
      </c>
      <c r="R149" s="73">
        <v>39.71</v>
      </c>
      <c r="S149" s="73">
        <v>42.83</v>
      </c>
      <c r="T149" s="73">
        <v>40.86</v>
      </c>
      <c r="U149" s="73">
        <v>45.24</v>
      </c>
      <c r="V149" s="73">
        <v>39.5</v>
      </c>
      <c r="W149" s="73">
        <v>45.86</v>
      </c>
      <c r="X149" s="73">
        <v>44.8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43.66</v>
      </c>
      <c r="C152" s="68">
        <v>50.83</v>
      </c>
      <c r="D152" s="68">
        <v>53.66</v>
      </c>
      <c r="E152" s="68">
        <v>61.37</v>
      </c>
      <c r="F152" s="68">
        <v>62</v>
      </c>
    </row>
    <row r="153" spans="1:24" s="93" customFormat="1" ht="14.25" thickBot="1" x14ac:dyDescent="0.3">
      <c r="A153" s="225" t="s">
        <v>19</v>
      </c>
      <c r="B153" s="274">
        <v>30.88</v>
      </c>
      <c r="C153" s="274">
        <v>37.28</v>
      </c>
      <c r="D153" s="274">
        <v>40.74</v>
      </c>
      <c r="E153" s="274">
        <v>49.17</v>
      </c>
      <c r="F153" s="274">
        <v>51.14</v>
      </c>
    </row>
    <row r="154" spans="1:24" s="93" customFormat="1" ht="14.25" thickBot="1" x14ac:dyDescent="0.3">
      <c r="A154" s="224" t="s">
        <v>41</v>
      </c>
      <c r="B154" s="68">
        <v>31.57</v>
      </c>
      <c r="C154" s="68">
        <v>39.520000000000003</v>
      </c>
      <c r="D154" s="68">
        <v>43.47</v>
      </c>
      <c r="E154" s="68">
        <v>52.2</v>
      </c>
      <c r="F154" s="68">
        <v>50.9</v>
      </c>
    </row>
    <row r="155" spans="1:24" s="93" customFormat="1" ht="14.25" thickBot="1" x14ac:dyDescent="0.3">
      <c r="A155" s="225" t="s">
        <v>13</v>
      </c>
      <c r="B155" s="73">
        <v>29.48</v>
      </c>
      <c r="C155" s="73">
        <v>36.83</v>
      </c>
      <c r="D155" s="73">
        <v>36.71</v>
      </c>
      <c r="E155" s="73">
        <v>43.32</v>
      </c>
      <c r="F155" s="73">
        <v>42.25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2.2999999999999998</v>
      </c>
      <c r="C158" s="68">
        <v>3.81</v>
      </c>
      <c r="D158" s="68">
        <v>2.89</v>
      </c>
      <c r="E158" s="68">
        <v>2.85</v>
      </c>
      <c r="F158" s="68">
        <v>3.47</v>
      </c>
      <c r="G158" s="68">
        <v>4.45</v>
      </c>
      <c r="H158" s="68">
        <v>4.42</v>
      </c>
      <c r="I158" s="68">
        <v>4.0599999999999996</v>
      </c>
      <c r="J158" s="68">
        <v>3.51</v>
      </c>
      <c r="K158" s="68">
        <v>3.47</v>
      </c>
      <c r="L158" s="68">
        <v>3.95</v>
      </c>
      <c r="M158" s="68">
        <v>4.46</v>
      </c>
      <c r="N158" s="68">
        <v>4.3600000000000003</v>
      </c>
      <c r="O158" s="68">
        <v>5.13</v>
      </c>
      <c r="P158" s="68">
        <v>7.21</v>
      </c>
      <c r="Q158" s="68">
        <v>6.16</v>
      </c>
      <c r="R158" s="68">
        <v>4.7300000000000004</v>
      </c>
      <c r="S158" s="68">
        <v>5.05</v>
      </c>
      <c r="T158" s="68">
        <v>5.78</v>
      </c>
      <c r="U158" s="68">
        <v>6.64</v>
      </c>
      <c r="V158" s="68">
        <v>5.12</v>
      </c>
      <c r="W158" s="68">
        <v>5.72</v>
      </c>
      <c r="X158" s="68">
        <v>5.81</v>
      </c>
    </row>
    <row r="159" spans="1:24" s="93" customFormat="1" ht="14.25" thickBot="1" x14ac:dyDescent="0.3">
      <c r="A159" s="225" t="s">
        <v>45</v>
      </c>
      <c r="B159" s="73">
        <v>2.4500000000000002</v>
      </c>
      <c r="C159" s="73">
        <v>4.3099999999999996</v>
      </c>
      <c r="D159" s="73">
        <v>3.28</v>
      </c>
      <c r="E159" s="73">
        <v>3.04</v>
      </c>
      <c r="F159" s="73">
        <v>3.7</v>
      </c>
      <c r="G159" s="73">
        <v>5.0599999999999996</v>
      </c>
      <c r="H159" s="73">
        <v>5.08</v>
      </c>
      <c r="I159" s="73">
        <v>4.4000000000000004</v>
      </c>
      <c r="J159" s="73">
        <v>3.79</v>
      </c>
      <c r="K159" s="73">
        <v>4.07</v>
      </c>
      <c r="L159" s="73">
        <v>4.71</v>
      </c>
      <c r="M159" s="73">
        <v>4.96</v>
      </c>
      <c r="N159" s="73">
        <v>4.8499999999999996</v>
      </c>
      <c r="O159" s="73">
        <v>6.19</v>
      </c>
      <c r="P159" s="73">
        <v>8.7899999999999991</v>
      </c>
      <c r="Q159" s="73">
        <v>6.99</v>
      </c>
      <c r="R159" s="73">
        <v>5.38</v>
      </c>
      <c r="S159" s="73">
        <v>6.36</v>
      </c>
      <c r="T159" s="73">
        <v>7.31</v>
      </c>
      <c r="U159" s="73">
        <v>7.54</v>
      </c>
      <c r="V159" s="73">
        <v>5.84</v>
      </c>
      <c r="W159" s="73">
        <v>7.3</v>
      </c>
      <c r="X159" s="73">
        <v>7.49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29.48</v>
      </c>
      <c r="C162" s="68">
        <v>36.83</v>
      </c>
      <c r="D162" s="68">
        <v>36.71</v>
      </c>
      <c r="E162" s="68">
        <v>43.32</v>
      </c>
      <c r="F162" s="68">
        <v>42.25</v>
      </c>
    </row>
    <row r="163" spans="1:72" s="93" customFormat="1" ht="14.25" thickBot="1" x14ac:dyDescent="0.3">
      <c r="A163" s="225" t="s">
        <v>18</v>
      </c>
      <c r="B163" s="274">
        <v>0.41</v>
      </c>
      <c r="C163" s="274">
        <v>0.44</v>
      </c>
      <c r="D163" s="274">
        <v>0.42</v>
      </c>
      <c r="E163" s="274">
        <v>0.5</v>
      </c>
      <c r="F163" s="274">
        <v>0.53</v>
      </c>
    </row>
    <row r="164" spans="1:72" s="93" customFormat="1" ht="14.25" thickBot="1" x14ac:dyDescent="0.3">
      <c r="A164" s="224" t="s">
        <v>15</v>
      </c>
      <c r="B164" s="68">
        <v>1.06</v>
      </c>
      <c r="C164" s="68">
        <v>1.08</v>
      </c>
      <c r="D164" s="68">
        <v>1.1100000000000001</v>
      </c>
      <c r="E164" s="68">
        <v>1.1299999999999999</v>
      </c>
      <c r="F164" s="68">
        <v>1.1299999999999999</v>
      </c>
    </row>
    <row r="165" spans="1:72" s="93" customFormat="1" ht="14.25" thickBot="1" x14ac:dyDescent="0.3">
      <c r="A165" s="225" t="s">
        <v>45</v>
      </c>
      <c r="B165" s="73">
        <v>12.85</v>
      </c>
      <c r="C165" s="73">
        <v>17.89</v>
      </c>
      <c r="D165" s="73">
        <v>17.07</v>
      </c>
      <c r="E165" s="73">
        <v>25.93</v>
      </c>
      <c r="F165" s="73">
        <v>25.58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82.57</v>
      </c>
      <c r="C168" s="68">
        <v>73.17</v>
      </c>
      <c r="D168" s="68">
        <v>84.91</v>
      </c>
      <c r="E168" s="68">
        <v>76.92</v>
      </c>
      <c r="F168" s="68">
        <v>77.59</v>
      </c>
      <c r="G168" s="68">
        <v>72</v>
      </c>
      <c r="H168" s="68">
        <v>78.95</v>
      </c>
      <c r="I168" s="68">
        <v>85.71</v>
      </c>
      <c r="J168" s="68">
        <v>78.260000000000005</v>
      </c>
      <c r="K168" s="68">
        <v>71.430000000000007</v>
      </c>
      <c r="L168" s="68">
        <v>73.17</v>
      </c>
      <c r="M168" s="68">
        <v>72</v>
      </c>
      <c r="N168" s="68">
        <v>68.7</v>
      </c>
      <c r="O168" s="68">
        <v>62.5</v>
      </c>
      <c r="P168" s="68">
        <v>62.07</v>
      </c>
      <c r="Q168" s="68">
        <v>60.81</v>
      </c>
      <c r="R168" s="68">
        <v>66.180000000000007</v>
      </c>
      <c r="S168" s="68">
        <v>62.07</v>
      </c>
      <c r="T168" s="68">
        <v>59.6</v>
      </c>
      <c r="U168" s="68">
        <v>61.64</v>
      </c>
      <c r="V168" s="68">
        <v>62.07</v>
      </c>
      <c r="W168" s="68">
        <v>67.67</v>
      </c>
      <c r="X168" s="68">
        <v>72</v>
      </c>
    </row>
    <row r="169" spans="1:72" s="93" customFormat="1" ht="14.25" thickBot="1" x14ac:dyDescent="0.3">
      <c r="A169" s="225" t="s">
        <v>17</v>
      </c>
      <c r="B169" s="274">
        <v>63.38</v>
      </c>
      <c r="C169" s="274">
        <v>55.56</v>
      </c>
      <c r="D169" s="274">
        <v>60.4</v>
      </c>
      <c r="E169" s="274">
        <v>52.02</v>
      </c>
      <c r="F169" s="274">
        <v>48.39</v>
      </c>
      <c r="G169" s="274">
        <v>42.86</v>
      </c>
      <c r="H169" s="274">
        <v>43.69</v>
      </c>
      <c r="I169" s="274">
        <v>49.18</v>
      </c>
      <c r="J169" s="274">
        <v>49.72</v>
      </c>
      <c r="K169" s="274">
        <v>49.18</v>
      </c>
      <c r="L169" s="274">
        <v>46.63</v>
      </c>
      <c r="M169" s="274">
        <v>45.23</v>
      </c>
      <c r="N169" s="274">
        <v>54.88</v>
      </c>
      <c r="O169" s="274">
        <v>54.22</v>
      </c>
      <c r="P169" s="274">
        <v>56.96</v>
      </c>
      <c r="Q169" s="274">
        <v>53.25</v>
      </c>
      <c r="R169" s="274">
        <v>52.63</v>
      </c>
      <c r="S169" s="274">
        <v>47.12</v>
      </c>
      <c r="T169" s="274">
        <v>42.45</v>
      </c>
      <c r="U169" s="274">
        <v>48.65</v>
      </c>
      <c r="V169" s="274">
        <v>52.94</v>
      </c>
      <c r="W169" s="274">
        <v>53.89</v>
      </c>
      <c r="X169" s="274">
        <v>59.6</v>
      </c>
    </row>
    <row r="170" spans="1:72" s="93" customFormat="1" ht="14.25" thickBot="1" x14ac:dyDescent="0.3">
      <c r="A170" s="224" t="s">
        <v>42</v>
      </c>
      <c r="B170" s="72">
        <v>145.94999999999999</v>
      </c>
      <c r="C170" s="72">
        <v>128.72999999999999</v>
      </c>
      <c r="D170" s="72">
        <v>145.31</v>
      </c>
      <c r="E170" s="72">
        <v>128.94999999999999</v>
      </c>
      <c r="F170" s="72">
        <v>125.97</v>
      </c>
      <c r="G170" s="72">
        <v>114.86</v>
      </c>
      <c r="H170" s="72">
        <v>122.64</v>
      </c>
      <c r="I170" s="72">
        <v>134.88999999999999</v>
      </c>
      <c r="J170" s="72">
        <v>127.98</v>
      </c>
      <c r="K170" s="72">
        <v>120.61</v>
      </c>
      <c r="L170" s="72">
        <v>119.8</v>
      </c>
      <c r="M170" s="72">
        <v>117.23</v>
      </c>
      <c r="N170" s="72">
        <v>123.58</v>
      </c>
      <c r="O170" s="72">
        <v>116.72</v>
      </c>
      <c r="P170" s="72">
        <v>119.03</v>
      </c>
      <c r="Q170" s="72">
        <v>114.07</v>
      </c>
      <c r="R170" s="72">
        <v>118.81</v>
      </c>
      <c r="S170" s="72">
        <v>109.19</v>
      </c>
      <c r="T170" s="72">
        <v>102.06</v>
      </c>
      <c r="U170" s="72">
        <v>110.29</v>
      </c>
      <c r="V170" s="72">
        <v>115.01</v>
      </c>
      <c r="W170" s="72">
        <v>121.56</v>
      </c>
      <c r="X170" s="72">
        <v>131.6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158.97999999999999</v>
      </c>
      <c r="C173" s="72">
        <v>150.19</v>
      </c>
      <c r="D173" s="72">
        <v>149.38999999999999</v>
      </c>
      <c r="E173" s="72">
        <v>122.37</v>
      </c>
      <c r="F173" s="72">
        <v>118.13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13.07</v>
      </c>
      <c r="C176" s="72">
        <v>17.510000000000002</v>
      </c>
      <c r="D176" s="72">
        <v>19.52</v>
      </c>
      <c r="E176" s="72">
        <v>16.579999999999998</v>
      </c>
      <c r="F176" s="72">
        <v>17.399999999999999</v>
      </c>
      <c r="G176" s="72">
        <v>17.61</v>
      </c>
      <c r="H176" s="72">
        <v>17.13</v>
      </c>
      <c r="I176" s="72">
        <v>18.12</v>
      </c>
      <c r="J176" s="72">
        <v>18.37</v>
      </c>
      <c r="K176" s="72">
        <v>16.97</v>
      </c>
      <c r="L176" s="72">
        <v>17.47</v>
      </c>
      <c r="M176" s="72">
        <v>17.579999999999998</v>
      </c>
      <c r="N176" s="72">
        <v>17.53</v>
      </c>
      <c r="O176" s="72">
        <v>17.82</v>
      </c>
      <c r="P176" s="72">
        <v>18.73</v>
      </c>
      <c r="Q176" s="72">
        <v>18.079999999999998</v>
      </c>
      <c r="R176" s="72">
        <v>17.39</v>
      </c>
      <c r="S176" s="72">
        <v>18.04</v>
      </c>
      <c r="T176" s="72">
        <v>18.649999999999999</v>
      </c>
      <c r="U176" s="72">
        <v>18.149999999999999</v>
      </c>
      <c r="V176" s="72">
        <v>23.29</v>
      </c>
      <c r="W176" s="72">
        <v>23.15</v>
      </c>
      <c r="X176" s="72">
        <v>22.46</v>
      </c>
      <c r="Y176" s="72">
        <v>25.06</v>
      </c>
      <c r="Z176" s="72">
        <v>24.08</v>
      </c>
      <c r="AA176" s="72">
        <v>22.93</v>
      </c>
      <c r="AB176" s="72">
        <v>22.09</v>
      </c>
      <c r="AC176" s="72">
        <v>21.79</v>
      </c>
      <c r="AD176" s="72">
        <v>21.06</v>
      </c>
      <c r="AE176" s="72">
        <v>21.26</v>
      </c>
      <c r="AF176" s="72">
        <v>21.06</v>
      </c>
      <c r="AG176" s="72">
        <v>19.989999999999998</v>
      </c>
      <c r="AH176" s="72">
        <v>19.07</v>
      </c>
      <c r="AI176" s="72">
        <v>17.87</v>
      </c>
      <c r="AJ176" s="72">
        <v>19.23</v>
      </c>
      <c r="AK176" s="72">
        <v>19.41</v>
      </c>
      <c r="AL176" s="72">
        <v>22.05</v>
      </c>
      <c r="AM176" s="72">
        <v>22.41</v>
      </c>
      <c r="AN176" s="72">
        <v>22.3</v>
      </c>
      <c r="AO176" s="72">
        <v>21.63</v>
      </c>
      <c r="AP176" s="72">
        <v>23.71</v>
      </c>
      <c r="AQ176" s="72">
        <v>33.08</v>
      </c>
      <c r="AR176" s="72">
        <v>31.35</v>
      </c>
      <c r="AS176" s="72">
        <v>23.13</v>
      </c>
      <c r="AT176" s="72">
        <v>25.87</v>
      </c>
      <c r="AU176" s="72">
        <v>25.74</v>
      </c>
      <c r="AV176" s="72">
        <v>21.24</v>
      </c>
      <c r="AW176" s="72">
        <v>22.34</v>
      </c>
      <c r="AX176" s="72">
        <v>18.59</v>
      </c>
      <c r="AY176" s="72">
        <v>19.16</v>
      </c>
      <c r="AZ176" s="72">
        <v>16.64</v>
      </c>
      <c r="BA176" s="72">
        <v>15.77</v>
      </c>
      <c r="BB176" s="72">
        <v>14.07</v>
      </c>
      <c r="BC176" s="72">
        <v>14.54</v>
      </c>
      <c r="BD176" s="72">
        <v>15.35</v>
      </c>
      <c r="BE176" s="72">
        <v>15.9</v>
      </c>
      <c r="BF176" s="72">
        <v>17.87</v>
      </c>
      <c r="BG176" s="72">
        <v>18.829999999999998</v>
      </c>
      <c r="BH176" s="72">
        <v>21.48</v>
      </c>
      <c r="BI176" s="72">
        <v>20.64</v>
      </c>
      <c r="BJ176" s="72">
        <v>23.16</v>
      </c>
      <c r="BK176" s="72">
        <v>25.26</v>
      </c>
      <c r="BL176" s="72">
        <v>26.96</v>
      </c>
      <c r="BM176" s="72">
        <v>27.08</v>
      </c>
      <c r="BN176" s="72">
        <v>26.07</v>
      </c>
      <c r="BO176" s="72">
        <v>29.06</v>
      </c>
      <c r="BP176" s="72">
        <v>30.43</v>
      </c>
      <c r="BQ176" s="72">
        <v>31.28</v>
      </c>
      <c r="BR176" s="72">
        <v>33.46</v>
      </c>
      <c r="BS176" s="72">
        <v>29.28</v>
      </c>
      <c r="BT176" s="72">
        <v>27.2</v>
      </c>
    </row>
  </sheetData>
  <phoneticPr fontId="3" type="noConversion"/>
  <conditionalFormatting sqref="E4">
    <cfRule type="cellIs" dxfId="4724" priority="101" operator="greaterThan">
      <formula>0.2</formula>
    </cfRule>
    <cfRule type="cellIs" dxfId="472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472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721" priority="95" operator="greaterThan">
      <formula>$B$19</formula>
    </cfRule>
  </conditionalFormatting>
  <conditionalFormatting sqref="D33:D34">
    <cfRule type="cellIs" dxfId="472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4719" priority="89" operator="lessThan">
      <formula>$H$62</formula>
    </cfRule>
    <cfRule type="cellIs" dxfId="4718" priority="90" operator="greaterThan">
      <formula>$H$62</formula>
    </cfRule>
  </conditionalFormatting>
  <conditionalFormatting sqref="J62">
    <cfRule type="cellIs" dxfId="4717" priority="87" operator="lessThan">
      <formula>$K$62</formula>
    </cfRule>
    <cfRule type="cellIs" dxfId="4716" priority="88" operator="greaterThan">
      <formula>$K$62</formula>
    </cfRule>
  </conditionalFormatting>
  <conditionalFormatting sqref="M62">
    <cfRule type="cellIs" dxfId="4715" priority="85" operator="lessThan">
      <formula>$N$62</formula>
    </cfRule>
    <cfRule type="cellIs" dxfId="4714" priority="86" operator="greaterThan">
      <formula>$N$62</formula>
    </cfRule>
  </conditionalFormatting>
  <conditionalFormatting sqref="B44:E44">
    <cfRule type="cellIs" dxfId="4713" priority="83" operator="greaterThan">
      <formula>0</formula>
    </cfRule>
    <cfRule type="cellIs" dxfId="4712" priority="84" operator="lessThan">
      <formula>0</formula>
    </cfRule>
  </conditionalFormatting>
  <conditionalFormatting sqref="F72">
    <cfRule type="cellIs" dxfId="4711" priority="82" operator="lessThan">
      <formula>$E$72*90%</formula>
    </cfRule>
  </conditionalFormatting>
  <conditionalFormatting sqref="F73">
    <cfRule type="cellIs" dxfId="4710" priority="81" operator="lessThan">
      <formula>$E$73*90%</formula>
    </cfRule>
  </conditionalFormatting>
  <conditionalFormatting sqref="F74">
    <cfRule type="cellIs" dxfId="4709" priority="80" operator="lessThan">
      <formula>$E$74*90%</formula>
    </cfRule>
  </conditionalFormatting>
  <conditionalFormatting sqref="F75">
    <cfRule type="cellIs" dxfId="4708" priority="79" operator="lessThan">
      <formula>$E$75*90%</formula>
    </cfRule>
  </conditionalFormatting>
  <conditionalFormatting sqref="H44:K44">
    <cfRule type="cellIs" dxfId="4707" priority="77" operator="greaterThan">
      <formula>0</formula>
    </cfRule>
    <cfRule type="cellIs" dxfId="4706" priority="78" operator="lessThan">
      <formula>0</formula>
    </cfRule>
  </conditionalFormatting>
  <conditionalFormatting sqref="H51:K51">
    <cfRule type="cellIs" dxfId="4705" priority="75" operator="greaterThan">
      <formula>0</formula>
    </cfRule>
    <cfRule type="cellIs" dxfId="4704" priority="76" operator="lessThan">
      <formula>0</formula>
    </cfRule>
  </conditionalFormatting>
  <conditionalFormatting sqref="B51:E51">
    <cfRule type="cellIs" dxfId="4703" priority="73" operator="greaterThan">
      <formula>0</formula>
    </cfRule>
    <cfRule type="cellIs" dxfId="470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70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70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699" priority="56" operator="lessThan">
      <formula>0</formula>
    </cfRule>
  </conditionalFormatting>
  <conditionalFormatting sqref="A25 E25 C25">
    <cfRule type="cellIs" dxfId="4698" priority="57" operator="lessThan">
      <formula>0</formula>
    </cfRule>
  </conditionalFormatting>
  <conditionalFormatting sqref="F25">
    <cfRule type="cellIs" dxfId="4697" priority="55" operator="lessThan">
      <formula>0</formula>
    </cfRule>
  </conditionalFormatting>
  <conditionalFormatting sqref="E1">
    <cfRule type="containsText" dxfId="4696" priority="54" operator="containsText" text="本季業外損益/平均=-">
      <formula>NOT(ISERROR(SEARCH("本季業外損益/平均=-",E1)))</formula>
    </cfRule>
  </conditionalFormatting>
  <conditionalFormatting sqref="M65">
    <cfRule type="cellIs" dxfId="4695" priority="53" operator="lessThan">
      <formula>$L$65*90%</formula>
    </cfRule>
  </conditionalFormatting>
  <conditionalFormatting sqref="M66">
    <cfRule type="cellIs" dxfId="4694" priority="52" operator="lessThan">
      <formula>$L$66*90%</formula>
    </cfRule>
  </conditionalFormatting>
  <conditionalFormatting sqref="M67">
    <cfRule type="cellIs" dxfId="4693" priority="51" operator="lessThan">
      <formula>$L$67*90%</formula>
    </cfRule>
  </conditionalFormatting>
  <conditionalFormatting sqref="M68">
    <cfRule type="cellIs" dxfId="4692" priority="50" operator="lessThan">
      <formula>$L$68*90%</formula>
    </cfRule>
  </conditionalFormatting>
  <conditionalFormatting sqref="B60">
    <cfRule type="cellIs" dxfId="4691" priority="49" operator="lessThan">
      <formula>0</formula>
    </cfRule>
  </conditionalFormatting>
  <conditionalFormatting sqref="B59:F59">
    <cfRule type="cellIs" dxfId="4690" priority="48" operator="lessThanOrEqual">
      <formula>0</formula>
    </cfRule>
  </conditionalFormatting>
  <conditionalFormatting sqref="D62">
    <cfRule type="cellIs" dxfId="4689" priority="46" operator="lessThan">
      <formula>$E$62</formula>
    </cfRule>
    <cfRule type="cellIs" dxfId="4688" priority="47" operator="greaterThan">
      <formula>$E$62</formula>
    </cfRule>
  </conditionalFormatting>
  <conditionalFormatting sqref="F69">
    <cfRule type="cellIs" dxfId="4687" priority="44" operator="lessThan">
      <formula>0</formula>
    </cfRule>
  </conditionalFormatting>
  <conditionalFormatting sqref="B65:E67 B69:E69 B68:D68">
    <cfRule type="cellIs" dxfId="4686" priority="45" operator="lessThan">
      <formula>0</formula>
    </cfRule>
  </conditionalFormatting>
  <conditionalFormatting sqref="E68">
    <cfRule type="cellIs" dxfId="4685" priority="43" operator="lessThan">
      <formula>0</formula>
    </cfRule>
  </conditionalFormatting>
  <conditionalFormatting sqref="F65:F68">
    <cfRule type="cellIs" dxfId="4684" priority="42" operator="lessThan">
      <formula>0</formula>
    </cfRule>
  </conditionalFormatting>
  <conditionalFormatting sqref="F65:F68">
    <cfRule type="cellIs" dxfId="4683" priority="41" operator="lessThan">
      <formula>$E$65*0.9</formula>
    </cfRule>
  </conditionalFormatting>
  <conditionalFormatting sqref="F66">
    <cfRule type="cellIs" dxfId="4682" priority="40" operator="lessThan">
      <formula>$E$66*0.9</formula>
    </cfRule>
  </conditionalFormatting>
  <conditionalFormatting sqref="F67:F68">
    <cfRule type="cellIs" dxfId="4681" priority="39" operator="lessThan">
      <formula>$E$67*0.9</formula>
    </cfRule>
  </conditionalFormatting>
  <conditionalFormatting sqref="F68">
    <cfRule type="cellIs" dxfId="4680" priority="38" operator="lessThan">
      <formula>$E$68*0.9</formula>
    </cfRule>
  </conditionalFormatting>
  <conditionalFormatting sqref="B13:F13">
    <cfRule type="cellIs" dxfId="4679" priority="27" operator="greaterThan">
      <formula>$I$16</formula>
    </cfRule>
    <cfRule type="cellIs" dxfId="4678" priority="28" operator="lessThanOrEqual">
      <formula>$I$16</formula>
    </cfRule>
  </conditionalFormatting>
  <conditionalFormatting sqref="B10:F10">
    <cfRule type="cellIs" dxfId="4677" priority="29" operator="greaterThan">
      <formula>15</formula>
    </cfRule>
    <cfRule type="cellIs" dxfId="4676" priority="36" operator="lessThan">
      <formula>$I$9</formula>
    </cfRule>
    <cfRule type="cellIs" dxfId="4675" priority="37" operator="greaterThan">
      <formula>$I$9</formula>
    </cfRule>
  </conditionalFormatting>
  <conditionalFormatting sqref="B16:F16">
    <cfRule type="cellIs" dxfId="4674" priority="34" operator="greaterThan">
      <formula>$I$16</formula>
    </cfRule>
    <cfRule type="cellIs" dxfId="4673" priority="35" operator="lessThanOrEqual">
      <formula>$I$16</formula>
    </cfRule>
  </conditionalFormatting>
  <conditionalFormatting sqref="B15:F15">
    <cfRule type="cellIs" dxfId="4672" priority="32" operator="lessThanOrEqual">
      <formula>$I$16</formula>
    </cfRule>
    <cfRule type="cellIs" dxfId="4671" priority="33" operator="greaterThan">
      <formula>$I$16</formula>
    </cfRule>
  </conditionalFormatting>
  <conditionalFormatting sqref="B14:F14">
    <cfRule type="cellIs" dxfId="4670" priority="30" operator="greaterThan">
      <formula>$I$16</formula>
    </cfRule>
    <cfRule type="cellIs" dxfId="4669" priority="31" operator="lessThanOrEqual">
      <formula>$I$16</formula>
    </cfRule>
  </conditionalFormatting>
  <conditionalFormatting sqref="K6">
    <cfRule type="containsText" dxfId="4668" priority="25" operator="containsText" text="衰退">
      <formula>NOT(ISERROR(SEARCH("衰退",K6)))</formula>
    </cfRule>
    <cfRule type="containsText" dxfId="4667" priority="26" operator="containsText" text="成長">
      <formula>NOT(ISERROR(SEARCH("成長",K6)))</formula>
    </cfRule>
  </conditionalFormatting>
  <conditionalFormatting sqref="I4:K4">
    <cfRule type="cellIs" dxfId="4666" priority="23" operator="lessThan">
      <formula>0</formula>
    </cfRule>
    <cfRule type="cellIs" dxfId="466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664" priority="20" operator="lessThanOrEqual">
      <formula>$I$16</formula>
    </cfRule>
    <cfRule type="cellIs" dxfId="4663" priority="21" operator="greaterThan">
      <formula>$I$16</formula>
    </cfRule>
  </conditionalFormatting>
  <conditionalFormatting sqref="I6">
    <cfRule type="containsText" dxfId="4662" priority="18" operator="containsText" text="衰退">
      <formula>NOT(ISERROR(SEARCH("衰退",I6)))</formula>
    </cfRule>
    <cfRule type="containsText" dxfId="4661" priority="19" operator="containsText" text="成長">
      <formula>NOT(ISERROR(SEARCH("成長",I6)))</formula>
    </cfRule>
  </conditionalFormatting>
  <conditionalFormatting sqref="M9">
    <cfRule type="cellIs" dxfId="4660" priority="17" operator="lessThan">
      <formula>$I$9</formula>
    </cfRule>
  </conditionalFormatting>
  <conditionalFormatting sqref="M10">
    <cfRule type="cellIs" dxfId="4659" priority="16" operator="greaterThan">
      <formula>$I$9</formula>
    </cfRule>
  </conditionalFormatting>
  <conditionalFormatting sqref="M11">
    <cfRule type="cellIs" dxfId="465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657" priority="12" operator="lessThan">
      <formula>0</formula>
    </cfRule>
    <cfRule type="cellIs" dxfId="4656" priority="13" operator="greaterThan">
      <formula>0.5</formula>
    </cfRule>
  </conditionalFormatting>
  <conditionalFormatting sqref="N14">
    <cfRule type="cellIs" dxfId="465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654" priority="8" operator="lessThan">
      <formula>0.1</formula>
    </cfRule>
  </conditionalFormatting>
  <conditionalFormatting sqref="I14">
    <cfRule type="cellIs" dxfId="465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65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651" priority="1" operator="lessThan">
      <formula>$N$5*0.9</formula>
    </cfRule>
    <cfRule type="cellIs" dxfId="4650" priority="2" operator="greaterThan">
      <formula>$N$5*1.1</formula>
    </cfRule>
  </conditionalFormatting>
  <hyperlinks>
    <hyperlink ref="L1" location="儀表板!A1" display="(回首頁)" xr:uid="{00000000-0004-0000-2900-000000000000}"/>
  </hyperlink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8.3 ~ 23.39</v>
      </c>
      <c r="L1" s="83" t="s">
        <v>176</v>
      </c>
      <c r="M1" s="84" t="str">
        <f ca="1">VLOOKUP(_xlfn.NUMBERVALUE(N1),儀表板!A:B,2,FALSE)</f>
        <v>欣銓科技</v>
      </c>
      <c r="N1" s="85" t="str">
        <f ca="1">MID(CELL("filename",L1),FIND("]",CELL("filename",L1))+1,255)</f>
        <v>3264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0.15003800017970528</v>
      </c>
    </row>
    <row r="3" spans="1:15" s="93" customFormat="1" x14ac:dyDescent="0.25">
      <c r="A3" s="81" t="s">
        <v>179</v>
      </c>
      <c r="B3" s="94">
        <f>SUM(F19:F22,F24:F27,J19)</f>
        <v>69.397505753670714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28.418043325528245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29.361434486402988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31.597142306010262</v>
      </c>
      <c r="L3" s="100"/>
      <c r="M3" s="79" t="s">
        <v>385</v>
      </c>
      <c r="N3" s="92">
        <f>(F69-E69)/E69</f>
        <v>0.35848523272464311</v>
      </c>
    </row>
    <row r="4" spans="1:15" s="93" customFormat="1" x14ac:dyDescent="0.25">
      <c r="A4" s="81" t="s">
        <v>182</v>
      </c>
      <c r="B4" s="96">
        <f>SUM(G36:G40)*2</f>
        <v>76</v>
      </c>
      <c r="C4" s="101"/>
      <c r="D4" s="102">
        <f>F4*(1+F141/10)</f>
        <v>48.6</v>
      </c>
      <c r="E4" s="82">
        <f>(D4-F4)/F4</f>
        <v>0</v>
      </c>
      <c r="F4" s="103">
        <v>48.6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2.6082916468313146</v>
      </c>
    </row>
    <row r="5" spans="1:15" s="93" customFormat="1" x14ac:dyDescent="0.25">
      <c r="A5" s="81" t="s">
        <v>184</v>
      </c>
      <c r="B5" s="107">
        <f>SUM(F30:F34)*2</f>
        <v>92.096124031007747</v>
      </c>
      <c r="C5" s="87"/>
      <c r="D5" s="87"/>
      <c r="E5" s="87"/>
      <c r="F5" s="86"/>
      <c r="G5" s="88"/>
      <c r="M5" s="79" t="s">
        <v>375</v>
      </c>
      <c r="N5" s="152">
        <f>D62</f>
        <v>2.4900000000000002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2.9560566369558079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15.98</v>
      </c>
      <c r="N9" s="129"/>
    </row>
    <row r="10" spans="1:15" s="93" customFormat="1" x14ac:dyDescent="0.25">
      <c r="A10" s="123" t="s">
        <v>194</v>
      </c>
      <c r="B10" s="126">
        <f>PERCENTILE(176:176,B9)</f>
        <v>10.24</v>
      </c>
      <c r="C10" s="126">
        <f>PERCENTILE(176:176,C9)</f>
        <v>10.995000000000001</v>
      </c>
      <c r="D10" s="126">
        <f>PERCENTILE(176:176,D9)</f>
        <v>11.36</v>
      </c>
      <c r="E10" s="126">
        <f>PERCENTILE(176:176,E9)</f>
        <v>12.225000000000001</v>
      </c>
      <c r="F10" s="126">
        <f>PERCENTILE(176:176,F9)</f>
        <v>13.03</v>
      </c>
      <c r="G10" s="95"/>
      <c r="H10" s="135"/>
      <c r="I10" s="135"/>
      <c r="J10" s="135"/>
      <c r="K10" s="135"/>
      <c r="L10" s="136" t="s">
        <v>374</v>
      </c>
      <c r="M10" s="130">
        <f>MIN(176:176)</f>
        <v>7.19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20.85</v>
      </c>
      <c r="L11" s="272" t="s">
        <v>193</v>
      </c>
      <c r="M11" s="128">
        <f>STDEV(176:176)</f>
        <v>1.8464211944635545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18.382352941176475</v>
      </c>
      <c r="C13" s="141">
        <f>$B$34/5.88%</f>
        <v>22.321428571428573</v>
      </c>
      <c r="D13" s="141">
        <f>$B$34/5%</f>
        <v>26.25</v>
      </c>
      <c r="E13" s="141">
        <f>$B$34/4.35%</f>
        <v>30.172413793103452</v>
      </c>
      <c r="F13" s="141">
        <f>$B$34/3.85%</f>
        <v>34.090909090909093</v>
      </c>
      <c r="G13" s="138" t="str">
        <f>"$"&amp;ROUND(B34,2)&amp;"/"&amp;IF(STDEV(C140:F140)/AVERAGE(C140:F140)&lt;15%,"高",IF(STDEV(C140:F140)/AVERAGE(C140:F140)&lt;30%,"中","低"))</f>
        <v>$1.31/中</v>
      </c>
      <c r="H13" s="142" t="s">
        <v>199</v>
      </c>
      <c r="I13" s="143">
        <f>MAX(0,1-J15)</f>
        <v>0.34895833333333326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22.015999999999998</v>
      </c>
      <c r="C14" s="141">
        <f>$B$33*C10</f>
        <v>23.639250000000001</v>
      </c>
      <c r="D14" s="141">
        <f>$B$33*D10</f>
        <v>24.423999999999999</v>
      </c>
      <c r="E14" s="141">
        <f>$B$33*E10</f>
        <v>26.283750000000001</v>
      </c>
      <c r="F14" s="141">
        <f>$B$33*F10</f>
        <v>28.014499999999998</v>
      </c>
      <c r="G14" s="138" t="str">
        <f>"$"&amp;ROUND(B33,2)&amp;"/"&amp;IF(STDEV(B69:E69)/AVERAGE(B69:E69)&lt;15%,"高",IF(STDEV(B69:E69)/AVERAGE(B69:E69)&lt;30%,"中","低"))</f>
        <v>$2.15/中</v>
      </c>
      <c r="H14" s="142" t="s">
        <v>203</v>
      </c>
      <c r="I14" s="145">
        <f>G62/100*I13</f>
        <v>3.9222916666666656E-2</v>
      </c>
      <c r="J14" s="76" t="s">
        <v>204</v>
      </c>
      <c r="K14" s="146"/>
      <c r="L14" s="147">
        <f>(HLOOKUP($C$1,$105:$106,2,FALSE)-HLOOKUP($C$1,$117:$127,9,FALSE))/(HLOOKUP($C$1,$117:$128,12,FALSE)/K11)</f>
        <v>-0.15768402850681851</v>
      </c>
      <c r="M14" s="148">
        <f>E135/E69</f>
        <v>2.0729166666666665</v>
      </c>
      <c r="N14" s="149">
        <f>F173/100</f>
        <v>2.9651000000000001</v>
      </c>
    </row>
    <row r="15" spans="1:15" s="93" customFormat="1" x14ac:dyDescent="0.25">
      <c r="A15" s="140" t="s">
        <v>375</v>
      </c>
      <c r="B15" s="141">
        <f>$D$62*B10</f>
        <v>25.497600000000002</v>
      </c>
      <c r="C15" s="141">
        <f>$D$62*C10</f>
        <v>27.377550000000006</v>
      </c>
      <c r="D15" s="141">
        <f>$D$62*D10</f>
        <v>28.2864</v>
      </c>
      <c r="E15" s="141">
        <f>$D$62*E10</f>
        <v>30.440250000000006</v>
      </c>
      <c r="F15" s="141">
        <f>$D$62*F10</f>
        <v>32.444700000000005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0.65104166666666674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26.708906463552662</v>
      </c>
      <c r="C16" s="141">
        <f>$F$69*C10</f>
        <v>28.678166656910307</v>
      </c>
      <c r="D16" s="141">
        <f>$F$69*D10</f>
        <v>29.630193108003734</v>
      </c>
      <c r="E16" s="141">
        <f>$F$69*E10</f>
        <v>31.886365382512825</v>
      </c>
      <c r="F16" s="141">
        <f>$F$69*F10</f>
        <v>33.986040158212028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14425</v>
      </c>
      <c r="J17" s="92">
        <f ca="1">IF(I17&lt;=0,"",IF(I17&lt;=MIN($B$13:$F$16),(I17-MIN($B$13:$F$16))/MIN($B$13:$F$16),IF(I17&gt;=MAX($B$13:$F$16),I17/MAX($B$13:$F$16),PERCENTRANK($B$13:$F$16,I17))))</f>
        <v>423.13333333333333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0.63</v>
      </c>
      <c r="C19" s="157" t="s">
        <v>211</v>
      </c>
      <c r="D19" s="158">
        <f>COUNTIF(C135:F135,"&gt;0")/COUNT(C135:F135)</f>
        <v>0.5</v>
      </c>
      <c r="E19" s="140" t="s">
        <v>212</v>
      </c>
      <c r="F19" s="159">
        <f>IF(B19&gt;0,2,0)+D19*8</f>
        <v>6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15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0.48</v>
      </c>
      <c r="C20" s="157" t="s">
        <v>217</v>
      </c>
      <c r="D20" s="236">
        <f>COUNTIF(C143:F143,"&gt;=80%")/COUNT(C143:F143)</f>
        <v>0.25</v>
      </c>
      <c r="E20" s="140" t="s">
        <v>218</v>
      </c>
      <c r="F20" s="159">
        <f>IF(B20&gt;=80%,2,0)+D20*8</f>
        <v>2</v>
      </c>
      <c r="G20" s="88" t="s">
        <v>213</v>
      </c>
      <c r="H20" s="123" t="s">
        <v>219</v>
      </c>
      <c r="I20" s="237">
        <f>HLOOKUP($C$1,$117:$127,11,FALSE)*(1-N22)/HLOOKUP($C$1,$105:$115,11,FALSE)</f>
        <v>0.38823454242855221</v>
      </c>
      <c r="J20" s="171">
        <f>HLOOKUP($C$1,$117:$127,11,FALSE)/HLOOKUP($C$1,$105:$115,11,FALSE)</f>
        <v>0.38840709258672629</v>
      </c>
      <c r="K20" s="163"/>
    </row>
    <row r="21" spans="1:14" s="93" customFormat="1" x14ac:dyDescent="0.25">
      <c r="A21" s="151" t="s">
        <v>201</v>
      </c>
      <c r="B21" s="161">
        <f>AVERAGE(C173:F173)/100</f>
        <v>2.9069750000000001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1.9691322373924882</v>
      </c>
      <c r="J21" s="78"/>
      <c r="K21" s="164" t="s">
        <v>356</v>
      </c>
      <c r="L21" s="165">
        <f>HLOOKUP($C$1,$105:$115,7,FALSE)/HLOOKUP($C$1,$105:$115,11,FALSE)</f>
        <v>0.36023340284729016</v>
      </c>
      <c r="M21" s="123" t="s">
        <v>268</v>
      </c>
      <c r="N21" s="165">
        <f>HLOOKUP($C$1,$117:$127,8,FALSE)/HLOOKUP($C$1,$117:$127,11,FALSE)</f>
        <v>0.47100112720590237</v>
      </c>
    </row>
    <row r="22" spans="1:14" s="93" customFormat="1" x14ac:dyDescent="0.25">
      <c r="A22" s="140" t="s">
        <v>222</v>
      </c>
      <c r="B22" s="161">
        <f>(-1)*SUM(C133:F133)/SUM(C132:F132)</f>
        <v>0.89811472121941438</v>
      </c>
      <c r="C22" s="157"/>
      <c r="D22" s="166"/>
      <c r="E22" s="140"/>
      <c r="F22" s="159">
        <f>IF(B22&lt;=0,10,IF(B22&gt;=100%,0,(1-B22)*10))</f>
        <v>1.0188527878058562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1.9691322373924882</v>
      </c>
      <c r="J22" s="78"/>
      <c r="K22" s="142" t="s">
        <v>357</v>
      </c>
      <c r="L22" s="165">
        <f>HLOOKUP($C$1,$105:$115,4,FALSE)/HLOOKUP($C$1,$105:$115,11,FALSE)</f>
        <v>0.1043330158035314</v>
      </c>
      <c r="M22" s="123" t="s">
        <v>353</v>
      </c>
      <c r="N22" s="165">
        <f>HLOOKUP($C$1,$117:$127,4,FALSE)/HLOOKUP($C$1,$117:$127,11,FALSE)</f>
        <v>4.4425079116076135E-4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1.6350745534795201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0.99588680043122391</v>
      </c>
      <c r="C24" s="169">
        <f>STDEV(C103:F103)</f>
        <v>8.2263991375522427E-3</v>
      </c>
      <c r="D24" s="76" t="str">
        <f>IF(C24/B24&lt;15%,"高",IF(C24/B24&lt;30%,"中","低"))</f>
        <v>高</v>
      </c>
      <c r="E24" s="149"/>
      <c r="F24" s="160">
        <f>MIN(100%,B24)*5</f>
        <v>4.9794340021561192</v>
      </c>
      <c r="G24" s="88" t="s">
        <v>229</v>
      </c>
      <c r="H24" s="123" t="s">
        <v>16</v>
      </c>
      <c r="I24" s="170">
        <f>HLOOKUP(C1,167:170,2,FALSE)</f>
        <v>69.77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5.5003301272138545E-2</v>
      </c>
      <c r="M24" s="123" t="s">
        <v>355</v>
      </c>
      <c r="N24" s="165">
        <f>HLOOKUP($C$1,$117:$127,9,FALSE)/HLOOKUP($C$1,$117:$127,11,FALSE)</f>
        <v>0.52899887279409763</v>
      </c>
    </row>
    <row r="25" spans="1:14" s="93" customFormat="1" x14ac:dyDescent="0.25">
      <c r="A25" s="151" t="s">
        <v>366</v>
      </c>
      <c r="B25" s="255">
        <f>AVERAGE(94:94)</f>
        <v>6338.130434782609</v>
      </c>
      <c r="C25" s="254">
        <f>STDEV(94:94)/AVERAGE(94:94)</f>
        <v>3.6007810362912549</v>
      </c>
      <c r="D25" s="76" t="str">
        <f>IF(C25&lt;=1,"高",IF(C25&lt;=2,"中","低"))</f>
        <v>低</v>
      </c>
      <c r="E25" s="149"/>
      <c r="F25" s="160">
        <f>MAX(0,10-ABS(C25))</f>
        <v>6.3992189637087451</v>
      </c>
      <c r="G25" s="88" t="s">
        <v>213</v>
      </c>
      <c r="H25" s="123" t="s">
        <v>232</v>
      </c>
      <c r="I25" s="170">
        <f>IF(HLOOKUP(C1,167:170,3,FALSE)="無",0,HLOOKUP(C1,167:170,3,FALSE))</f>
        <v>0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70.276086956521752</v>
      </c>
      <c r="C26" s="172">
        <f>IF(COUNTIF(168:168,"&gt;0")=0,0,STDEV(168:168))</f>
        <v>3.3845850277806102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0</v>
      </c>
      <c r="C27" s="172">
        <f>IF(COUNTIF(169:169,"&gt;0")=0,0,STDEV(169:169))</f>
        <v>0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0.28985</v>
      </c>
      <c r="C30" s="157" t="s">
        <v>217</v>
      </c>
      <c r="D30" s="174">
        <f>COUNTIF(146:146,"&gt;20")/COUNT(146:146)</f>
        <v>0.95652173913043481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0.17172499999999999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10.824999999999999</v>
      </c>
      <c r="C32" s="157" t="s">
        <v>217</v>
      </c>
      <c r="D32" s="174">
        <f>COUNTIF(159:159,"&gt;3")/COUNT(159:159)</f>
        <v>0.34782608695652173</v>
      </c>
      <c r="E32" s="140" t="s">
        <v>242</v>
      </c>
      <c r="F32" s="159">
        <f>MIN(B32/15*10,10)</f>
        <v>7.2166666666666659</v>
      </c>
      <c r="G32" s="135"/>
    </row>
    <row r="33" spans="1:14" x14ac:dyDescent="0.25">
      <c r="A33" s="155" t="s">
        <v>14</v>
      </c>
      <c r="B33" s="156">
        <f>AVERAGE(B69:E69)</f>
        <v>2.15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1.3125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8.8313953488372086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5755027.5</v>
      </c>
      <c r="C36" s="178">
        <f>STDEV(C97:F97)</f>
        <v>534994.45605632209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28.984999999999999</v>
      </c>
      <c r="C37" s="180">
        <f>STDEV(C152:F152)</f>
        <v>1.8677169664236239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19.522500000000001</v>
      </c>
      <c r="C38" s="180">
        <f>STDEV(C153:F153)</f>
        <v>1.9307748876206852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10.824999999999999</v>
      </c>
      <c r="C39" s="181">
        <f>STDEV(C165:F165)</f>
        <v>1.9396305490135697</v>
      </c>
      <c r="D39" s="76" t="str">
        <f>IF(C39/B39&lt;15%,"高",IF(C39/B39&lt;30%,"中","低"))</f>
        <v>中</v>
      </c>
      <c r="E39" s="107">
        <f>IF(F165&gt;E165,1,0)+IF(E165&gt;D165,1,0)+IF(D165&gt;C165,1,0)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2.15</v>
      </c>
      <c r="C40" s="183">
        <f>STDEV(B69:E69)</f>
        <v>0.36120169803956759</v>
      </c>
      <c r="D40" s="76" t="str">
        <f>IF(C40/B40&lt;15%,"高",IF(C40/B40&lt;30%,"中","低"))</f>
        <v>中</v>
      </c>
      <c r="E40" s="107">
        <f>IF(E69&gt;D69,1,0)+IF(D69&gt;C69,1,0)+IF(C69&gt;B69,1,0)</f>
        <v>1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0.42622950819672134</v>
      </c>
      <c r="C44" s="186">
        <f>(C46-C49)/C49</f>
        <v>0.10204081632653071</v>
      </c>
      <c r="D44" s="186">
        <f>(D46-D49)/D49</f>
        <v>1.1304347826086956</v>
      </c>
      <c r="E44" s="186">
        <f>(E46-E49)/E49</f>
        <v>0.63888888888888884</v>
      </c>
      <c r="G44" s="86" t="s">
        <v>175</v>
      </c>
      <c r="H44" s="186">
        <f>(H47-H50)/H50</f>
        <v>9.4677343382006493E-2</v>
      </c>
      <c r="I44" s="186">
        <f>(I47-I50)/I50</f>
        <v>-8.1419624217118874E-2</v>
      </c>
      <c r="J44" s="186">
        <f>(J47-J50)/J50</f>
        <v>0.66190476190476188</v>
      </c>
      <c r="K44" s="186">
        <f>(K47-K50)/K50</f>
        <v>0.21374622356495485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0.87</v>
      </c>
      <c r="C46" s="152">
        <f>HLOOKUP(C45,$81:$82,2,FALSE)</f>
        <v>0.54</v>
      </c>
      <c r="D46" s="152">
        <f>HLOOKUP(D45,$81:$82,2,FALSE)</f>
        <v>0.49</v>
      </c>
      <c r="E46" s="152">
        <f>HLOOKUP(E45,$81:$82,2,FALSE)</f>
        <v>0.59</v>
      </c>
      <c r="G46" s="86" t="s">
        <v>164</v>
      </c>
      <c r="H46" s="145">
        <f>HLOOKUP(H45,$145:$147,2,FALSE)/100</f>
        <v>0.33979999999999999</v>
      </c>
      <c r="I46" s="145">
        <f>HLOOKUP(I45,$145:$147,2,FALSE)/100</f>
        <v>0.2843</v>
      </c>
      <c r="J46" s="145">
        <f>HLOOKUP(J45,$145:$147,2,FALSE)/100</f>
        <v>0.2702</v>
      </c>
      <c r="K46" s="145">
        <f>HLOOKUP(K45,$145:$147,2,FALSE)/100</f>
        <v>0.26890000000000003</v>
      </c>
    </row>
    <row r="47" spans="1:14" x14ac:dyDescent="0.25">
      <c r="A47" s="188" t="s">
        <v>165</v>
      </c>
      <c r="B47" s="189">
        <f>HLOOKUP(B45,$157:$159,3,FALSE)</f>
        <v>4.07</v>
      </c>
      <c r="C47" s="189">
        <f>HLOOKUP(C45,$157:$159,3,FALSE)</f>
        <v>2.27</v>
      </c>
      <c r="D47" s="189">
        <f>HLOOKUP(D45,$157:$159,3,FALSE)</f>
        <v>2.16</v>
      </c>
      <c r="E47" s="189">
        <f>HLOOKUP(E45,$157:$159,3,FALSE)</f>
        <v>2.74</v>
      </c>
      <c r="G47" s="190" t="s">
        <v>166</v>
      </c>
      <c r="H47" s="145">
        <f>HLOOKUP(H45,$145:$147,3,FALSE)/100</f>
        <v>0.2324</v>
      </c>
      <c r="I47" s="145">
        <f>HLOOKUP(I45,$145:$147,3,FALSE)/100</f>
        <v>0.17600000000000002</v>
      </c>
      <c r="J47" s="145">
        <f>HLOOKUP(J45,$145:$147,3,FALSE)/100</f>
        <v>0.17449999999999999</v>
      </c>
      <c r="K47" s="145">
        <f>HLOOKUP(K45,$145:$147,3,FALSE)/100</f>
        <v>0.16070000000000001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0.61</v>
      </c>
      <c r="C49" s="152">
        <f>HLOOKUP(C48,$81:$82,2,FALSE)</f>
        <v>0.49</v>
      </c>
      <c r="D49" s="152">
        <f>HLOOKUP(D48,$81:$82,2,FALSE)</f>
        <v>0.23</v>
      </c>
      <c r="E49" s="152">
        <f>HLOOKUP(E48,$81:$82,2,FALSE)</f>
        <v>0.36</v>
      </c>
      <c r="G49" s="86" t="s">
        <v>164</v>
      </c>
      <c r="H49" s="145">
        <f>HLOOKUP(H48,$145:$147,2,FALSE)/100</f>
        <v>0.30640000000000001</v>
      </c>
      <c r="I49" s="145">
        <f>HLOOKUP(I48,$145:$147,2,FALSE)/100</f>
        <v>0.28460000000000002</v>
      </c>
      <c r="J49" s="145">
        <f>HLOOKUP(J48,$145:$147,2,FALSE)/100</f>
        <v>0.19920000000000002</v>
      </c>
      <c r="K49" s="145">
        <f>HLOOKUP(K48,$145:$147,2,FALSE)/100</f>
        <v>0.2303</v>
      </c>
    </row>
    <row r="50" spans="1:15" x14ac:dyDescent="0.25">
      <c r="A50" s="188" t="s">
        <v>165</v>
      </c>
      <c r="B50" s="189">
        <f>HLOOKUP(B48,$157:$159,3,FALSE)</f>
        <v>2.99</v>
      </c>
      <c r="C50" s="189">
        <f>HLOOKUP(C48,$157:$159,3,FALSE)</f>
        <v>2.39</v>
      </c>
      <c r="D50" s="189">
        <f>HLOOKUP(D48,$157:$159,3,FALSE)</f>
        <v>1.1100000000000001</v>
      </c>
      <c r="E50" s="189">
        <f>HLOOKUP(E48,$157:$159,3,FALSE)</f>
        <v>1.75</v>
      </c>
      <c r="G50" s="190" t="s">
        <v>166</v>
      </c>
      <c r="H50" s="145">
        <f>HLOOKUP(H48,$145:$147,3,FALSE)/100</f>
        <v>0.21230000000000002</v>
      </c>
      <c r="I50" s="145">
        <f>HLOOKUP(I48,$145:$147,3,FALSE)/100</f>
        <v>0.19159999999999999</v>
      </c>
      <c r="J50" s="145">
        <f>HLOOKUP(J48,$145:$147,3,FALSE)/100</f>
        <v>0.105</v>
      </c>
      <c r="K50" s="145">
        <f>HLOOKUP(K48,$145:$147,3,FALSE)/100</f>
        <v>0.13239999999999999</v>
      </c>
    </row>
    <row r="51" spans="1:15" x14ac:dyDescent="0.25">
      <c r="A51" s="86" t="s">
        <v>351</v>
      </c>
      <c r="B51" s="186">
        <f>(B47-B50)/B50</f>
        <v>0.3612040133779264</v>
      </c>
      <c r="C51" s="186">
        <f>(C47-C50)/C50</f>
        <v>-5.0209205020920543E-2</v>
      </c>
      <c r="D51" s="186">
        <f>(D47-D50)/D50</f>
        <v>0.94594594594594594</v>
      </c>
      <c r="E51" s="186">
        <f>(E47-E50)/E50</f>
        <v>0.56571428571428584</v>
      </c>
      <c r="G51" s="235" t="s">
        <v>174</v>
      </c>
      <c r="H51" s="186">
        <f>(H46-H49)/H49</f>
        <v>0.10900783289817227</v>
      </c>
      <c r="I51" s="186">
        <f>(I46-I49)/I49</f>
        <v>-1.0541110330288912E-3</v>
      </c>
      <c r="J51" s="186">
        <f>(J46-J49)/J49</f>
        <v>0.35642570281124486</v>
      </c>
      <c r="K51" s="186">
        <f>(K46-K49)/K49</f>
        <v>0.16760746851932273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2.9560566369558079</v>
      </c>
      <c r="B53" s="193">
        <f>B46</f>
        <v>0.87</v>
      </c>
      <c r="C53" s="193">
        <f>E46/HLOOKUP(E45,$87:$94,5,FALSE)*HLOOKUP(E45,$87:$94,4,FALSE)*($B$25/HLOOKUP(E45,$87:$94,4,FALSE)+SUM($B$57:$D$57)/SUM($B58:$D$58)*$G$69/100/K46)</f>
        <v>0.70829164683131485</v>
      </c>
      <c r="D53" s="193">
        <f>D46/HLOOKUP(D45,$87:$94,5,FALSE)*HLOOKUP(D45,$87:$94,4,FALSE)*($B$25/HLOOKUP(D45,$87:$94,4,FALSE)+SUM($B$57:$D$57)/SUM($B58:$D$58)*$G$69/100/J46)</f>
        <v>0.72448034318978161</v>
      </c>
      <c r="E53" s="193">
        <f>C46/HLOOKUP(C45,$87:$94,5,FALSE)*HLOOKUP(C45,$87:$94,4,FALSE)*($B$25/HLOOKUP(C45,$87:$94,4,FALSE)+SUM($B$57:$D$57)/SUM($B58:$D$58)*$G$69/100/I46)</f>
        <v>0.65328464693471122</v>
      </c>
    </row>
    <row r="54" spans="1:15" x14ac:dyDescent="0.25">
      <c r="A54" s="278">
        <f>SUM(B54:E54)</f>
        <v>2.23</v>
      </c>
      <c r="B54" s="277">
        <f t="shared" ref="B54:D54" si="0">HLOOKUP(B52-10,81:82,2,FALSE)</f>
        <v>0.61</v>
      </c>
      <c r="C54" s="277">
        <f t="shared" si="0"/>
        <v>0.59</v>
      </c>
      <c r="D54" s="277">
        <f t="shared" si="0"/>
        <v>0.49</v>
      </c>
      <c r="E54" s="277">
        <f>HLOOKUP(E52-10,81:82,2,FALSE)</f>
        <v>0.54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709062</v>
      </c>
      <c r="C57" s="196">
        <f>HLOOKUP(C56,78:79,2,FALSE)</f>
        <v>704655</v>
      </c>
      <c r="D57" s="196">
        <f>HLOOKUP(D56,78:79,2,FALSE)</f>
        <v>713455</v>
      </c>
      <c r="E57" s="196">
        <f>HLOOKUP(E56,78:79,2,FALSE)</f>
        <v>666539</v>
      </c>
      <c r="F57" s="196">
        <f>HLOOKUP(F56,78:79,2,FALSE)</f>
        <v>631720</v>
      </c>
      <c r="G57" s="196">
        <f t="shared" ref="G57:M57" si="2">HLOOKUP(G56,78:79,2,FALSE)</f>
        <v>649594</v>
      </c>
      <c r="H57" s="196">
        <f t="shared" si="2"/>
        <v>587195</v>
      </c>
      <c r="I57" s="196">
        <f t="shared" si="2"/>
        <v>633130</v>
      </c>
      <c r="J57" s="196">
        <f t="shared" si="2"/>
        <v>574978</v>
      </c>
      <c r="K57" s="196">
        <f t="shared" si="2"/>
        <v>593286</v>
      </c>
      <c r="L57" s="196">
        <f t="shared" si="2"/>
        <v>603952</v>
      </c>
      <c r="M57" s="196">
        <f t="shared" si="2"/>
        <v>633678</v>
      </c>
      <c r="N57" s="197"/>
    </row>
    <row r="58" spans="1:15" x14ac:dyDescent="0.25">
      <c r="A58" s="198" t="s">
        <v>253</v>
      </c>
      <c r="B58" s="196">
        <f>HLOOKUP(B56-100,78:79,2,FALSE)</f>
        <v>604291</v>
      </c>
      <c r="C58" s="196">
        <f>HLOOKUP(C56-100,78:79,2,FALSE)</f>
        <v>635106</v>
      </c>
      <c r="D58" s="196">
        <f>HLOOKUP(D56-100,78:79,2,FALSE)</f>
        <v>549638</v>
      </c>
      <c r="E58" s="196">
        <f>HLOOKUP(E56-100,78:79,2,FALSE)</f>
        <v>510386</v>
      </c>
      <c r="F58" s="196">
        <f>HLOOKUP(F56-100,78:79,2,FALSE)</f>
        <v>495920</v>
      </c>
      <c r="G58" s="196">
        <f t="shared" ref="G58:M58" si="3">HLOOKUP(G56-100,78:79,2,FALSE)</f>
        <v>489116</v>
      </c>
      <c r="H58" s="196">
        <f t="shared" si="3"/>
        <v>457777</v>
      </c>
      <c r="I58" s="196">
        <f t="shared" si="3"/>
        <v>452627</v>
      </c>
      <c r="J58" s="196">
        <f t="shared" si="3"/>
        <v>398519</v>
      </c>
      <c r="K58" s="196">
        <f t="shared" si="3"/>
        <v>429411</v>
      </c>
      <c r="L58" s="196">
        <f t="shared" si="3"/>
        <v>437012</v>
      </c>
      <c r="M58" s="196">
        <f t="shared" si="3"/>
        <v>433340</v>
      </c>
      <c r="N58" s="197"/>
    </row>
    <row r="59" spans="1:15" x14ac:dyDescent="0.25">
      <c r="A59" s="199" t="s">
        <v>254</v>
      </c>
      <c r="B59" s="165">
        <f>IF(B57&lt;&gt;"",(B57-B58)/B58,"")</f>
        <v>0.17337838888879695</v>
      </c>
      <c r="C59" s="165">
        <f>IF(C57&lt;&gt;"",(C57-C58)/C58,"")</f>
        <v>0.10950770422575129</v>
      </c>
      <c r="D59" s="165">
        <f>IF(D57&lt;&gt;"",(D57-D58)/D58,"")</f>
        <v>0.29804525887948069</v>
      </c>
      <c r="E59" s="165">
        <f>IF(E57&lt;&gt;"",(E57-E58)/E58,"")</f>
        <v>0.30595079018625121</v>
      </c>
      <c r="F59" s="165">
        <f>IF(F57&lt;&gt;"",(F57-F58)/F58,"")</f>
        <v>0.27383448943377964</v>
      </c>
      <c r="G59" s="165">
        <f t="shared" ref="G59:M59" si="4">IF(G57&lt;&gt;"",(G57-G58)/G58,"")</f>
        <v>0.32809803809321308</v>
      </c>
      <c r="H59" s="165">
        <f t="shared" si="4"/>
        <v>0.28270970363299158</v>
      </c>
      <c r="I59" s="165">
        <f t="shared" si="4"/>
        <v>0.39878973194263712</v>
      </c>
      <c r="J59" s="165">
        <f t="shared" si="4"/>
        <v>0.44278691856599056</v>
      </c>
      <c r="K59" s="165">
        <f t="shared" si="4"/>
        <v>0.38162739193919115</v>
      </c>
      <c r="L59" s="165">
        <f t="shared" si="4"/>
        <v>0.3820032401856242</v>
      </c>
      <c r="M59" s="165">
        <f t="shared" si="4"/>
        <v>0.46231134905616839</v>
      </c>
    </row>
    <row r="60" spans="1:15" x14ac:dyDescent="0.25">
      <c r="A60" s="195" t="s">
        <v>255</v>
      </c>
      <c r="B60" s="196">
        <f>SUM(B57:M57)</f>
        <v>7701244</v>
      </c>
    </row>
    <row r="61" spans="1:15" x14ac:dyDescent="0.25">
      <c r="A61" s="198" t="s">
        <v>256</v>
      </c>
      <c r="B61" s="196">
        <f>SUM(B58:M58)</f>
        <v>5893143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1.3068143773195391</v>
      </c>
      <c r="D62" s="152">
        <f>SUM(B46:E46)</f>
        <v>2.4900000000000002</v>
      </c>
      <c r="E62" s="152">
        <f>SUM(B49:E49)</f>
        <v>1.69</v>
      </c>
      <c r="G62" s="126">
        <f>SUM(B47:E47)</f>
        <v>11.24</v>
      </c>
      <c r="H62" s="126">
        <f>SUM(B50:E50)</f>
        <v>8.240000000000002</v>
      </c>
      <c r="J62" s="200">
        <f>AVERAGE(H46:K46)</f>
        <v>0.2908</v>
      </c>
      <c r="K62" s="200">
        <f>AVERAGE(H49:K49)</f>
        <v>0.25512499999999999</v>
      </c>
      <c r="M62" s="200">
        <f>AVERAGE(H47:K47)</f>
        <v>0.18590000000000001</v>
      </c>
      <c r="N62" s="200">
        <f>AVERAGE(H50:K50)</f>
        <v>0.160325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0.28999999999999998</v>
      </c>
      <c r="C65" s="205">
        <f t="shared" si="5"/>
        <v>0.38</v>
      </c>
      <c r="D65" s="205">
        <f t="shared" si="5"/>
        <v>0.67</v>
      </c>
      <c r="E65" s="205">
        <f t="shared" si="5"/>
        <v>0.23</v>
      </c>
      <c r="F65" s="206">
        <f>IF(ISNA(HLOOKUP(F$64*10+$A65,$81:$82,2,FALSE)),(HLOOKUP(E$64*10+$A65,$87:$94,4,FALSE)*$G65+$B$25)/HLOOKUP(E$64*10+$A65,$87:$94,5,FALSE)*$E65,HLOOKUP(F$64*10+$A65,$81:$82,2,FALSE))</f>
        <v>0.49</v>
      </c>
      <c r="G65" s="101">
        <f>MIN(130%,SUM($B$57:$D$57)/SUM($B$58:$D$58)*$G$69/HLOOKUP(E$64*10+$A65,$145:$146,2,FALSE))</f>
        <v>1.3</v>
      </c>
      <c r="H65" s="204">
        <v>1</v>
      </c>
      <c r="I65" s="208">
        <f t="shared" ref="I65:M68" si="6">IF(ISNA(HLOOKUP(I$64*10+$H65,$145:$147,3,FALSE)),"",HLOOKUP(I$64*10+$H65,$145:$147,3,FALSE)/100)</f>
        <v>0.13600000000000001</v>
      </c>
      <c r="J65" s="208">
        <f t="shared" si="6"/>
        <v>0.14510000000000001</v>
      </c>
      <c r="K65" s="208">
        <f t="shared" si="6"/>
        <v>0.23480000000000001</v>
      </c>
      <c r="L65" s="208">
        <f t="shared" si="6"/>
        <v>0.105</v>
      </c>
      <c r="M65" s="209">
        <f t="shared" si="6"/>
        <v>0.17449999999999999</v>
      </c>
      <c r="N65" s="256">
        <f t="shared" ref="N65:O68" si="7">HLOOKUP(E$64*10+$A65,$87:$94,8,FALSE)</f>
        <v>-11110</v>
      </c>
      <c r="O65" s="256">
        <f t="shared" si="7"/>
        <v>-46119</v>
      </c>
      <c r="P65" s="210"/>
    </row>
    <row r="66" spans="1:71" x14ac:dyDescent="0.25">
      <c r="A66" s="204">
        <v>2</v>
      </c>
      <c r="B66" s="205">
        <f t="shared" si="5"/>
        <v>0.43</v>
      </c>
      <c r="C66" s="205">
        <f t="shared" si="5"/>
        <v>0.68</v>
      </c>
      <c r="D66" s="205">
        <f t="shared" si="5"/>
        <v>0.46</v>
      </c>
      <c r="E66" s="205">
        <f t="shared" si="5"/>
        <v>0.49</v>
      </c>
      <c r="F66" s="206">
        <f>IF(ISNA(HLOOKUP(F$64*10+$A66,$81:$82,2,FALSE)),(HLOOKUP(E$64*10+$A66,$87:$94,4,FALSE)*$G66+$B$25)/HLOOKUP(E$64*10+$A66,$87:$94,5,FALSE)*$E66,HLOOKUP(F$64*10+$A66,$81:$82,2,FALSE))</f>
        <v>0.54</v>
      </c>
      <c r="G66" s="101">
        <f>MIN(130%,SUM($B$57:$D$57)/SUM($B$58:$D$58)*$G$69/HLOOKUP(E$64*10+$A66,$145:$146,2,FALSE))</f>
        <v>1.1786366448612398</v>
      </c>
      <c r="H66" s="204">
        <v>2</v>
      </c>
      <c r="I66" s="208">
        <f t="shared" si="6"/>
        <v>0.2029</v>
      </c>
      <c r="J66" s="208">
        <f t="shared" si="6"/>
        <v>0.22920000000000001</v>
      </c>
      <c r="K66" s="208">
        <f t="shared" si="6"/>
        <v>0.19120000000000001</v>
      </c>
      <c r="L66" s="208">
        <f t="shared" si="6"/>
        <v>0.19159999999999999</v>
      </c>
      <c r="M66" s="209">
        <f t="shared" si="6"/>
        <v>0.17600000000000002</v>
      </c>
      <c r="N66" s="256">
        <f t="shared" si="7"/>
        <v>11405</v>
      </c>
      <c r="O66" s="256">
        <f t="shared" si="7"/>
        <v>-2890</v>
      </c>
      <c r="P66" s="210"/>
    </row>
    <row r="67" spans="1:71" x14ac:dyDescent="0.25">
      <c r="A67" s="204">
        <v>3</v>
      </c>
      <c r="B67" s="205">
        <f t="shared" si="5"/>
        <v>0.6</v>
      </c>
      <c r="C67" s="205">
        <f t="shared" si="5"/>
        <v>0.81</v>
      </c>
      <c r="D67" s="205">
        <f t="shared" si="5"/>
        <v>0.66</v>
      </c>
      <c r="E67" s="205">
        <f t="shared" si="5"/>
        <v>0.61</v>
      </c>
      <c r="F67" s="206">
        <f>IF(ISNA(HLOOKUP(F$64*10+$A67,$81:$82,2,FALSE)),(HLOOKUP(E$64*10+$A67,$87:$94,4,FALSE)*$G67+$B$25)/HLOOKUP(E$64*10+$A67,$87:$94,5,FALSE)*$E67,HLOOKUP(F$64*10+$A67,$81:$82,2,FALSE))</f>
        <v>0.87</v>
      </c>
      <c r="G67" s="101">
        <f>MIN(130%,SUM($B$57:$D$57)/SUM($B$58:$D$58)*$G$69/HLOOKUP(E$64*10+$A67,$145:$146,2,FALSE))</f>
        <v>1.0947780324004859</v>
      </c>
      <c r="H67" s="204">
        <v>3</v>
      </c>
      <c r="I67" s="208">
        <f t="shared" si="6"/>
        <v>0.2266</v>
      </c>
      <c r="J67" s="208">
        <f t="shared" si="6"/>
        <v>0.2445</v>
      </c>
      <c r="K67" s="208">
        <f t="shared" si="6"/>
        <v>0.2079</v>
      </c>
      <c r="L67" s="208">
        <f t="shared" si="6"/>
        <v>0.21230000000000002</v>
      </c>
      <c r="M67" s="209">
        <f t="shared" si="6"/>
        <v>0.2324</v>
      </c>
      <c r="N67" s="256">
        <f t="shared" si="7"/>
        <v>-15322</v>
      </c>
      <c r="O67" s="256">
        <f t="shared" si="7"/>
        <v>-101</v>
      </c>
      <c r="P67" s="210"/>
    </row>
    <row r="68" spans="1:71" x14ac:dyDescent="0.25">
      <c r="A68" s="204">
        <v>4</v>
      </c>
      <c r="B68" s="205">
        <f>HLOOKUP(B$64*10+$A68,$81:$82,2,FALSE)</f>
        <v>0.55000000000000004</v>
      </c>
      <c r="C68" s="205">
        <f>HLOOKUP(C$64*10+$A68,$81:$82,2,FALSE)</f>
        <v>0.79</v>
      </c>
      <c r="D68" s="205">
        <f>HLOOKUP(D$64*10+$A68,$81:$82,2,FALSE)</f>
        <v>0.36</v>
      </c>
      <c r="E68" s="206">
        <f>IF(ISNA(HLOOKUP(E$64*10+$A68,$81:$82,2,FALSE)),D68*(1-$N68)*#REF!*(1+$B$25)/(1+$E$4),HLOOKUP(E$64*10+$A68,$81:$82,2,FALSE))</f>
        <v>0.59</v>
      </c>
      <c r="F68" s="206">
        <f>IF(ISNA(HLOOKUP(F$64*10+$A68,$81:$82,2,FALSE)),(HLOOKUP(E$64*10+$A68,$87:$94,4,FALSE)*$G68+$B$25)/HLOOKUP(E$64*10+$A68,$87:$94,5,FALSE)*$E68,HLOOKUP(F$64*10+$A68,$81:$82,2,FALSE))</f>
        <v>0.70829164683131474</v>
      </c>
      <c r="G68" s="101">
        <f>MIN(130%,SUM($B$57:$D$57)/SUM($B$58:$D$58)*$G$69/HLOOKUP(E$64*10+$A68,$145:$146,2,FALSE))</f>
        <v>1.2474525441707283</v>
      </c>
      <c r="H68" s="204">
        <v>4</v>
      </c>
      <c r="I68" s="208">
        <f t="shared" si="6"/>
        <v>0.2225</v>
      </c>
      <c r="J68" s="208">
        <f t="shared" si="6"/>
        <v>0.23469999999999999</v>
      </c>
      <c r="K68" s="208">
        <f t="shared" si="6"/>
        <v>0.13239999999999999</v>
      </c>
      <c r="L68" s="208">
        <f t="shared" si="6"/>
        <v>0.16070000000000001</v>
      </c>
      <c r="M68" s="209" t="str">
        <f t="shared" si="6"/>
        <v/>
      </c>
      <c r="N68" s="256">
        <f t="shared" si="7"/>
        <v>16857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1.8699999999999999</v>
      </c>
      <c r="C69" s="213">
        <f>SUM(C65:C68)</f>
        <v>2.66</v>
      </c>
      <c r="D69" s="213">
        <f>SUM(D65:D68)</f>
        <v>2.15</v>
      </c>
      <c r="E69" s="213">
        <f>SUM(E65:E68)</f>
        <v>1.92</v>
      </c>
      <c r="F69" s="213">
        <f>SUM(F65:F68)</f>
        <v>2.6082916468313146</v>
      </c>
      <c r="G69" s="257">
        <f>_xlfn.FORECAST.ETS(23,B146:W146,{1,2,3,4,5,6,7,8,9,10,11,12,13,14,15,16,17,18,19,20,21,22})</f>
        <v>28.211817424671477</v>
      </c>
      <c r="H69" s="214" t="s">
        <v>19</v>
      </c>
      <c r="I69" s="215">
        <f>HLOOKUP(I64,151:155,3,FALSE)/100</f>
        <v>0.19980000000000001</v>
      </c>
      <c r="J69" s="215">
        <f>HLOOKUP(J64,151:155,3,FALSE)/100</f>
        <v>0.21710000000000002</v>
      </c>
      <c r="K69" s="215">
        <f>HLOOKUP(K64,151:155,3,FALSE)/100</f>
        <v>0.19359999999999999</v>
      </c>
      <c r="L69" s="215">
        <f>IF(ISNA(HLOOKUP(L64,151:155,3,FALSE)/100),AVERAGE(L65:L68),HLOOKUP(L64,151:155,3,FALSE)/100)</f>
        <v>0.1704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1.57</v>
      </c>
      <c r="C72" s="205">
        <f t="shared" si="8"/>
        <v>1.99</v>
      </c>
      <c r="D72" s="205">
        <f t="shared" si="8"/>
        <v>3.26</v>
      </c>
      <c r="E72" s="205">
        <f t="shared" si="8"/>
        <v>1.1100000000000001</v>
      </c>
      <c r="F72" s="205">
        <f t="shared" si="8"/>
        <v>2.16</v>
      </c>
    </row>
    <row r="73" spans="1:71" s="135" customFormat="1" x14ac:dyDescent="0.25">
      <c r="A73" s="204">
        <v>2</v>
      </c>
      <c r="B73" s="205">
        <f t="shared" si="8"/>
        <v>2.39</v>
      </c>
      <c r="C73" s="205">
        <f t="shared" si="8"/>
        <v>3.57</v>
      </c>
      <c r="D73" s="205">
        <f t="shared" si="8"/>
        <v>2.27</v>
      </c>
      <c r="E73" s="205">
        <f t="shared" si="8"/>
        <v>2.39</v>
      </c>
      <c r="F73" s="205">
        <f t="shared" si="8"/>
        <v>2.27</v>
      </c>
    </row>
    <row r="74" spans="1:71" s="135" customFormat="1" x14ac:dyDescent="0.25">
      <c r="A74" s="204">
        <v>3</v>
      </c>
      <c r="B74" s="205">
        <f t="shared" si="8"/>
        <v>3.38</v>
      </c>
      <c r="C74" s="205">
        <f t="shared" si="8"/>
        <v>4.24</v>
      </c>
      <c r="D74" s="205">
        <f t="shared" si="8"/>
        <v>3.34</v>
      </c>
      <c r="E74" s="205">
        <f t="shared" si="8"/>
        <v>2.99</v>
      </c>
      <c r="F74" s="205">
        <f t="shared" si="8"/>
        <v>4.07</v>
      </c>
    </row>
    <row r="75" spans="1:71" s="135" customFormat="1" x14ac:dyDescent="0.25">
      <c r="A75" s="204">
        <v>4</v>
      </c>
      <c r="B75" s="205">
        <f t="shared" si="8"/>
        <v>2.96</v>
      </c>
      <c r="C75" s="205">
        <f t="shared" si="8"/>
        <v>3.96</v>
      </c>
      <c r="D75" s="205">
        <f t="shared" si="8"/>
        <v>1.75</v>
      </c>
      <c r="E75" s="205">
        <f t="shared" si="8"/>
        <v>2.74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10.3</v>
      </c>
      <c r="C76" s="213">
        <f>SUM(C72:C75)</f>
        <v>13.760000000000002</v>
      </c>
      <c r="D76" s="213">
        <f>SUM(D72:D75)</f>
        <v>10.62</v>
      </c>
      <c r="E76" s="213">
        <f>AVERAGE(E72:E75)*4</f>
        <v>9.23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408803</v>
      </c>
      <c r="C79" s="270">
        <v>412508</v>
      </c>
      <c r="D79" s="270">
        <v>410256</v>
      </c>
      <c r="E79" s="270">
        <v>409625</v>
      </c>
      <c r="F79" s="270">
        <v>447277</v>
      </c>
      <c r="G79" s="270">
        <v>466207</v>
      </c>
      <c r="H79" s="270">
        <v>458303</v>
      </c>
      <c r="I79" s="270">
        <v>466247</v>
      </c>
      <c r="J79" s="270">
        <v>456987</v>
      </c>
      <c r="K79" s="270">
        <v>433720</v>
      </c>
      <c r="L79" s="270">
        <v>415580</v>
      </c>
      <c r="M79" s="270">
        <v>373309</v>
      </c>
      <c r="N79" s="270">
        <v>373860</v>
      </c>
      <c r="O79" s="270">
        <v>355627</v>
      </c>
      <c r="P79" s="270">
        <v>377861</v>
      </c>
      <c r="Q79" s="270">
        <v>383373</v>
      </c>
      <c r="R79" s="270">
        <v>393891</v>
      </c>
      <c r="S79" s="270">
        <v>425339</v>
      </c>
      <c r="T79" s="270">
        <v>457662</v>
      </c>
      <c r="U79" s="270">
        <v>443793</v>
      </c>
      <c r="V79" s="270">
        <v>460213</v>
      </c>
      <c r="W79" s="270">
        <v>459441</v>
      </c>
      <c r="X79" s="270">
        <v>434828</v>
      </c>
      <c r="Y79" s="270">
        <v>435298</v>
      </c>
      <c r="Z79" s="270">
        <v>413010</v>
      </c>
      <c r="AA79" s="270">
        <v>394494</v>
      </c>
      <c r="AB79" s="270">
        <v>423525</v>
      </c>
      <c r="AC79" s="270">
        <v>454482</v>
      </c>
      <c r="AD79" s="270">
        <v>508269</v>
      </c>
      <c r="AE79" s="270">
        <v>512247</v>
      </c>
      <c r="AF79" s="270">
        <v>542109</v>
      </c>
      <c r="AG79" s="270">
        <v>510343</v>
      </c>
      <c r="AH79" s="270">
        <v>524236</v>
      </c>
      <c r="AI79" s="270">
        <v>525111</v>
      </c>
      <c r="AJ79" s="270">
        <v>512024</v>
      </c>
      <c r="AK79" s="270">
        <v>514148</v>
      </c>
      <c r="AL79" s="270">
        <v>501654</v>
      </c>
      <c r="AM79" s="270">
        <v>475284</v>
      </c>
      <c r="AN79" s="270">
        <v>539078</v>
      </c>
      <c r="AO79" s="270">
        <v>510531</v>
      </c>
      <c r="AP79" s="270">
        <v>501492</v>
      </c>
      <c r="AQ79" s="270">
        <v>478211</v>
      </c>
      <c r="AR79" s="270">
        <v>525206</v>
      </c>
      <c r="AS79" s="270">
        <v>554600</v>
      </c>
      <c r="AT79" s="270">
        <v>506305</v>
      </c>
      <c r="AU79" s="270">
        <v>461789</v>
      </c>
      <c r="AV79" s="270">
        <v>433340</v>
      </c>
      <c r="AW79" s="270">
        <v>437012</v>
      </c>
      <c r="AX79" s="270">
        <v>429411</v>
      </c>
      <c r="AY79" s="270">
        <v>398519</v>
      </c>
      <c r="AZ79" s="270">
        <v>452627</v>
      </c>
      <c r="BA79" s="270">
        <v>457777</v>
      </c>
      <c r="BB79" s="270">
        <v>489116</v>
      </c>
      <c r="BC79" s="270">
        <v>495920</v>
      </c>
      <c r="BD79" s="270">
        <v>510386</v>
      </c>
      <c r="BE79" s="270">
        <v>549638</v>
      </c>
      <c r="BF79" s="270">
        <v>635106</v>
      </c>
      <c r="BG79" s="270">
        <v>604291</v>
      </c>
      <c r="BH79" s="270">
        <v>633678</v>
      </c>
      <c r="BI79" s="270">
        <v>603952</v>
      </c>
      <c r="BJ79" s="270">
        <v>593286</v>
      </c>
      <c r="BK79" s="270">
        <v>574978</v>
      </c>
      <c r="BL79" s="270">
        <v>633130</v>
      </c>
      <c r="BM79" s="270">
        <v>587195</v>
      </c>
      <c r="BN79" s="270">
        <v>649594</v>
      </c>
      <c r="BO79" s="270">
        <v>631720</v>
      </c>
      <c r="BP79" s="270">
        <v>666539</v>
      </c>
      <c r="BQ79" s="270">
        <v>713455</v>
      </c>
      <c r="BR79" s="270">
        <v>704655</v>
      </c>
      <c r="BS79" s="270">
        <v>709062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0.35</v>
      </c>
      <c r="C82" s="72">
        <v>0.5</v>
      </c>
      <c r="D82" s="72">
        <v>0.55000000000000004</v>
      </c>
      <c r="E82" s="72">
        <v>0.44</v>
      </c>
      <c r="F82" s="72">
        <v>0.28999999999999998</v>
      </c>
      <c r="G82" s="72">
        <v>0.43</v>
      </c>
      <c r="H82" s="72">
        <v>0.6</v>
      </c>
      <c r="I82" s="72">
        <v>0.55000000000000004</v>
      </c>
      <c r="J82" s="72">
        <v>0.38</v>
      </c>
      <c r="K82" s="72">
        <v>0.68</v>
      </c>
      <c r="L82" s="72">
        <v>0.81</v>
      </c>
      <c r="M82" s="72">
        <v>0.79</v>
      </c>
      <c r="N82" s="72">
        <v>0.67</v>
      </c>
      <c r="O82" s="72">
        <v>0.46</v>
      </c>
      <c r="P82" s="72">
        <v>0.66</v>
      </c>
      <c r="Q82" s="72">
        <v>0.36</v>
      </c>
      <c r="R82" s="72">
        <v>0.23</v>
      </c>
      <c r="S82" s="72">
        <v>0.49</v>
      </c>
      <c r="T82" s="72">
        <v>0.61</v>
      </c>
      <c r="U82" s="72">
        <v>0.59</v>
      </c>
      <c r="V82" s="72">
        <v>0.49</v>
      </c>
      <c r="W82" s="72">
        <v>0.54</v>
      </c>
      <c r="X82" s="72">
        <v>0.87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18.079999999999998</v>
      </c>
      <c r="C85" s="72">
        <v>17.350000000000001</v>
      </c>
      <c r="D85" s="72">
        <v>17.82</v>
      </c>
      <c r="E85" s="72">
        <v>18.27</v>
      </c>
      <c r="F85" s="72">
        <v>18.52</v>
      </c>
      <c r="G85" s="72">
        <v>17.760000000000002</v>
      </c>
      <c r="H85" s="72">
        <v>18.25</v>
      </c>
      <c r="I85" s="72">
        <v>18.829999999999998</v>
      </c>
      <c r="J85" s="72">
        <v>19.29</v>
      </c>
      <c r="K85" s="72">
        <v>18.73</v>
      </c>
      <c r="L85" s="72">
        <v>19.32</v>
      </c>
      <c r="M85" s="72">
        <v>20.149999999999999</v>
      </c>
      <c r="N85" s="72">
        <v>20.72</v>
      </c>
      <c r="O85" s="72">
        <v>19.53</v>
      </c>
      <c r="P85" s="72">
        <v>20.079999999999998</v>
      </c>
      <c r="Q85" s="72">
        <v>20.46</v>
      </c>
      <c r="R85" s="72">
        <v>20.76</v>
      </c>
      <c r="S85" s="72">
        <v>19.920000000000002</v>
      </c>
      <c r="T85" s="72">
        <v>20.309999999999999</v>
      </c>
      <c r="U85" s="72">
        <v>20.78</v>
      </c>
      <c r="V85" s="72">
        <v>21.2</v>
      </c>
      <c r="W85" s="72">
        <v>20.49</v>
      </c>
      <c r="X85" s="72">
        <v>20.85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1231567</v>
      </c>
      <c r="C88" s="273">
        <v>1323109</v>
      </c>
      <c r="D88" s="273">
        <v>1381537</v>
      </c>
      <c r="E88" s="273">
        <v>1222609</v>
      </c>
      <c r="F88" s="273">
        <v>1107348</v>
      </c>
      <c r="G88" s="273">
        <v>1202603</v>
      </c>
      <c r="H88" s="273">
        <v>1361668</v>
      </c>
      <c r="I88" s="273">
        <v>1329568</v>
      </c>
      <c r="J88" s="273">
        <v>1231029</v>
      </c>
      <c r="K88" s="273">
        <v>1474998</v>
      </c>
      <c r="L88" s="273">
        <v>1576688</v>
      </c>
      <c r="M88" s="273">
        <v>1551284</v>
      </c>
      <c r="N88" s="273">
        <v>1516016</v>
      </c>
      <c r="O88" s="273">
        <v>1490234</v>
      </c>
      <c r="P88" s="273">
        <v>1586111</v>
      </c>
      <c r="Q88" s="273">
        <v>1332141</v>
      </c>
      <c r="R88" s="273">
        <v>1280557</v>
      </c>
      <c r="S88" s="273">
        <v>1442813</v>
      </c>
      <c r="T88" s="273">
        <v>1695130</v>
      </c>
      <c r="U88" s="273">
        <v>1841922</v>
      </c>
      <c r="V88" s="273">
        <v>1801394</v>
      </c>
      <c r="W88" s="273">
        <v>1868509</v>
      </c>
      <c r="X88" s="273">
        <v>2084649</v>
      </c>
    </row>
    <row r="89" spans="1:25" ht="14.25" thickBot="1" x14ac:dyDescent="0.3">
      <c r="A89" s="250" t="s">
        <v>4</v>
      </c>
      <c r="B89" s="275">
        <v>303366</v>
      </c>
      <c r="C89" s="275">
        <v>409947</v>
      </c>
      <c r="D89" s="275">
        <v>432885</v>
      </c>
      <c r="E89" s="275">
        <v>347068</v>
      </c>
      <c r="F89" s="275">
        <v>251217</v>
      </c>
      <c r="G89" s="275">
        <v>356092</v>
      </c>
      <c r="H89" s="275">
        <v>432912</v>
      </c>
      <c r="I89" s="275">
        <v>414211</v>
      </c>
      <c r="J89" s="275">
        <v>306539</v>
      </c>
      <c r="K89" s="275">
        <v>473719</v>
      </c>
      <c r="L89" s="275">
        <v>528753</v>
      </c>
      <c r="M89" s="275">
        <v>521713</v>
      </c>
      <c r="N89" s="275">
        <v>485832</v>
      </c>
      <c r="O89" s="275">
        <v>426183</v>
      </c>
      <c r="P89" s="275">
        <v>477904</v>
      </c>
      <c r="Q89" s="275">
        <v>306742</v>
      </c>
      <c r="R89" s="275">
        <v>255121</v>
      </c>
      <c r="S89" s="275">
        <v>410590</v>
      </c>
      <c r="T89" s="275">
        <v>519371</v>
      </c>
      <c r="U89" s="275">
        <v>495222</v>
      </c>
      <c r="V89" s="275">
        <v>486692</v>
      </c>
      <c r="W89" s="275">
        <v>531233</v>
      </c>
      <c r="X89" s="275">
        <v>708366</v>
      </c>
    </row>
    <row r="90" spans="1:25" ht="14.25" thickBot="1" x14ac:dyDescent="0.3">
      <c r="A90" s="251" t="s">
        <v>5</v>
      </c>
      <c r="B90" s="273">
        <v>195007</v>
      </c>
      <c r="C90" s="273">
        <v>295555</v>
      </c>
      <c r="D90" s="273">
        <v>302888</v>
      </c>
      <c r="E90" s="273">
        <v>240667</v>
      </c>
      <c r="F90" s="273">
        <v>150611</v>
      </c>
      <c r="G90" s="273">
        <v>243993</v>
      </c>
      <c r="H90" s="273">
        <v>308591</v>
      </c>
      <c r="I90" s="273">
        <v>295856</v>
      </c>
      <c r="J90" s="273">
        <v>178676</v>
      </c>
      <c r="K90" s="273">
        <v>338113</v>
      </c>
      <c r="L90" s="273">
        <v>385481</v>
      </c>
      <c r="M90" s="273">
        <v>364156</v>
      </c>
      <c r="N90" s="273">
        <v>355938</v>
      </c>
      <c r="O90" s="273">
        <v>285004</v>
      </c>
      <c r="P90" s="273">
        <v>329682</v>
      </c>
      <c r="Q90" s="273">
        <v>176414</v>
      </c>
      <c r="R90" s="273">
        <v>134419</v>
      </c>
      <c r="S90" s="273">
        <v>276398</v>
      </c>
      <c r="T90" s="273">
        <v>359791</v>
      </c>
      <c r="U90" s="273">
        <v>295978</v>
      </c>
      <c r="V90" s="273">
        <v>314351</v>
      </c>
      <c r="W90" s="273">
        <v>328844</v>
      </c>
      <c r="X90" s="273">
        <v>484465</v>
      </c>
    </row>
    <row r="91" spans="1:25" ht="14.25" thickBot="1" x14ac:dyDescent="0.3">
      <c r="A91" s="250" t="s">
        <v>6</v>
      </c>
      <c r="B91" s="275">
        <v>183629</v>
      </c>
      <c r="C91" s="275">
        <v>297734</v>
      </c>
      <c r="D91" s="275">
        <v>293686</v>
      </c>
      <c r="E91" s="275">
        <v>234544</v>
      </c>
      <c r="F91" s="275">
        <v>153283</v>
      </c>
      <c r="G91" s="275">
        <v>242087</v>
      </c>
      <c r="H91" s="275">
        <v>310487</v>
      </c>
      <c r="I91" s="275">
        <v>298574</v>
      </c>
      <c r="J91" s="275">
        <v>199918</v>
      </c>
      <c r="K91" s="275">
        <v>384509</v>
      </c>
      <c r="L91" s="275">
        <v>434520</v>
      </c>
      <c r="M91" s="275">
        <v>418163</v>
      </c>
      <c r="N91" s="275">
        <v>354602</v>
      </c>
      <c r="O91" s="275">
        <v>282816</v>
      </c>
      <c r="P91" s="275">
        <v>363395</v>
      </c>
      <c r="Q91" s="275">
        <v>187742</v>
      </c>
      <c r="R91" s="275">
        <v>123309</v>
      </c>
      <c r="S91" s="275">
        <v>287803</v>
      </c>
      <c r="T91" s="275">
        <v>344469</v>
      </c>
      <c r="U91" s="275">
        <v>312835</v>
      </c>
      <c r="V91" s="275">
        <v>268232</v>
      </c>
      <c r="W91" s="275">
        <v>325954</v>
      </c>
      <c r="X91" s="275">
        <v>484364</v>
      </c>
    </row>
    <row r="92" spans="1:25" ht="14.25" thickBot="1" x14ac:dyDescent="0.3">
      <c r="A92" s="251" t="s">
        <v>7</v>
      </c>
      <c r="B92" s="273">
        <v>155072</v>
      </c>
      <c r="C92" s="273">
        <v>221133</v>
      </c>
      <c r="D92" s="273">
        <v>244852</v>
      </c>
      <c r="E92" s="273">
        <v>193892</v>
      </c>
      <c r="F92" s="273">
        <v>128672</v>
      </c>
      <c r="G92" s="273">
        <v>193577</v>
      </c>
      <c r="H92" s="273">
        <v>272570</v>
      </c>
      <c r="I92" s="273">
        <v>247275</v>
      </c>
      <c r="J92" s="273">
        <v>171146</v>
      </c>
      <c r="K92" s="273">
        <v>307185</v>
      </c>
      <c r="L92" s="273">
        <v>368771</v>
      </c>
      <c r="M92" s="273">
        <v>359628</v>
      </c>
      <c r="N92" s="273">
        <v>306408</v>
      </c>
      <c r="O92" s="273">
        <v>210351</v>
      </c>
      <c r="P92" s="273">
        <v>305721</v>
      </c>
      <c r="Q92" s="273">
        <v>164468</v>
      </c>
      <c r="R92" s="273">
        <v>106311</v>
      </c>
      <c r="S92" s="273">
        <v>226094</v>
      </c>
      <c r="T92" s="273">
        <v>291711</v>
      </c>
      <c r="U92" s="273">
        <v>283997</v>
      </c>
      <c r="V92" s="273">
        <v>228441</v>
      </c>
      <c r="W92" s="273">
        <v>238628</v>
      </c>
      <c r="X92" s="273">
        <v>410418</v>
      </c>
    </row>
    <row r="93" spans="1:25" ht="26.25" thickBot="1" x14ac:dyDescent="0.3">
      <c r="A93" s="252" t="s">
        <v>8</v>
      </c>
      <c r="B93" s="276">
        <v>155072</v>
      </c>
      <c r="C93" s="276">
        <v>221133</v>
      </c>
      <c r="D93" s="276">
        <v>244852</v>
      </c>
      <c r="E93" s="276">
        <v>193892</v>
      </c>
      <c r="F93" s="276">
        <v>128672</v>
      </c>
      <c r="G93" s="276">
        <v>193577</v>
      </c>
      <c r="H93" s="276">
        <v>272570</v>
      </c>
      <c r="I93" s="276">
        <v>247275</v>
      </c>
      <c r="J93" s="276">
        <v>171146</v>
      </c>
      <c r="K93" s="276">
        <v>307185</v>
      </c>
      <c r="L93" s="276">
        <v>368771</v>
      </c>
      <c r="M93" s="276">
        <v>359628</v>
      </c>
      <c r="N93" s="276">
        <v>306408</v>
      </c>
      <c r="O93" s="276">
        <v>210351</v>
      </c>
      <c r="P93" s="276">
        <v>305721</v>
      </c>
      <c r="Q93" s="276">
        <v>164468</v>
      </c>
      <c r="R93" s="276">
        <v>106311</v>
      </c>
      <c r="S93" s="276">
        <v>226094</v>
      </c>
      <c r="T93" s="276">
        <v>285444</v>
      </c>
      <c r="U93" s="276">
        <v>275323</v>
      </c>
      <c r="V93" s="276">
        <v>227379</v>
      </c>
      <c r="W93" s="276">
        <v>251583</v>
      </c>
      <c r="X93" s="276">
        <v>407942</v>
      </c>
    </row>
    <row r="94" spans="1:25" x14ac:dyDescent="0.25">
      <c r="A94" s="233" t="s">
        <v>365</v>
      </c>
      <c r="B94" s="253">
        <f>IF(B91="","",B91-B90)</f>
        <v>-11378</v>
      </c>
      <c r="C94" s="253">
        <f>IF(C91="","",C91-C90)</f>
        <v>2179</v>
      </c>
      <c r="D94" s="253">
        <f t="shared" ref="D94:Y94" si="9">IF(D91="","",D91-D90)</f>
        <v>-9202</v>
      </c>
      <c r="E94" s="253">
        <f t="shared" si="9"/>
        <v>-6123</v>
      </c>
      <c r="F94" s="253">
        <f t="shared" si="9"/>
        <v>2672</v>
      </c>
      <c r="G94" s="253">
        <f t="shared" si="9"/>
        <v>-1906</v>
      </c>
      <c r="H94" s="253">
        <f t="shared" si="9"/>
        <v>1896</v>
      </c>
      <c r="I94" s="253">
        <f t="shared" si="9"/>
        <v>2718</v>
      </c>
      <c r="J94" s="253">
        <f t="shared" si="9"/>
        <v>21242</v>
      </c>
      <c r="K94" s="253">
        <f t="shared" si="9"/>
        <v>46396</v>
      </c>
      <c r="L94" s="253">
        <f t="shared" si="9"/>
        <v>49039</v>
      </c>
      <c r="M94" s="253">
        <f t="shared" si="9"/>
        <v>54007</v>
      </c>
      <c r="N94" s="253">
        <f t="shared" si="9"/>
        <v>-1336</v>
      </c>
      <c r="O94" s="253">
        <f t="shared" si="9"/>
        <v>-2188</v>
      </c>
      <c r="P94" s="253">
        <f t="shared" si="9"/>
        <v>33713</v>
      </c>
      <c r="Q94" s="253">
        <f t="shared" si="9"/>
        <v>11328</v>
      </c>
      <c r="R94" s="253">
        <f t="shared" si="9"/>
        <v>-11110</v>
      </c>
      <c r="S94" s="253">
        <f t="shared" si="9"/>
        <v>11405</v>
      </c>
      <c r="T94" s="253">
        <f t="shared" si="9"/>
        <v>-15322</v>
      </c>
      <c r="U94" s="253">
        <f t="shared" si="9"/>
        <v>16857</v>
      </c>
      <c r="V94" s="253">
        <f t="shared" si="9"/>
        <v>-46119</v>
      </c>
      <c r="W94" s="253">
        <f t="shared" si="9"/>
        <v>-2890</v>
      </c>
      <c r="X94" s="253">
        <f t="shared" si="9"/>
        <v>-101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5158822</v>
      </c>
      <c r="C97" s="273">
        <v>5001187</v>
      </c>
      <c r="D97" s="273">
        <v>5833999</v>
      </c>
      <c r="E97" s="273">
        <v>5924502</v>
      </c>
      <c r="F97" s="273">
        <v>6260422</v>
      </c>
    </row>
    <row r="98" spans="1:24" ht="14.25" thickBot="1" x14ac:dyDescent="0.3">
      <c r="A98" s="225" t="s">
        <v>4</v>
      </c>
      <c r="B98" s="275">
        <v>1493266</v>
      </c>
      <c r="C98" s="275">
        <v>1454432</v>
      </c>
      <c r="D98" s="275">
        <v>1830724</v>
      </c>
      <c r="E98" s="275">
        <v>1696661</v>
      </c>
      <c r="F98" s="275">
        <v>1680304</v>
      </c>
    </row>
    <row r="99" spans="1:24" ht="14.25" thickBot="1" x14ac:dyDescent="0.3">
      <c r="A99" s="224" t="s">
        <v>5</v>
      </c>
      <c r="B99" s="273">
        <v>1034117</v>
      </c>
      <c r="C99" s="273">
        <v>999051</v>
      </c>
      <c r="D99" s="273">
        <v>1266426</v>
      </c>
      <c r="E99" s="273">
        <v>1147038</v>
      </c>
      <c r="F99" s="273">
        <v>1066586</v>
      </c>
    </row>
    <row r="100" spans="1:24" ht="14.25" thickBot="1" x14ac:dyDescent="0.3">
      <c r="A100" s="225" t="s">
        <v>6</v>
      </c>
      <c r="B100" s="275">
        <v>1009593</v>
      </c>
      <c r="C100" s="275">
        <v>1004431</v>
      </c>
      <c r="D100" s="275">
        <v>1437110</v>
      </c>
      <c r="E100" s="275">
        <v>1188555</v>
      </c>
      <c r="F100" s="275">
        <v>1068416</v>
      </c>
    </row>
    <row r="101" spans="1:24" ht="14.25" thickBot="1" x14ac:dyDescent="0.3">
      <c r="A101" s="224" t="s">
        <v>7</v>
      </c>
      <c r="B101" s="273">
        <v>814949</v>
      </c>
      <c r="C101" s="273">
        <v>842094</v>
      </c>
      <c r="D101" s="273">
        <v>1206730</v>
      </c>
      <c r="E101" s="273">
        <v>986948</v>
      </c>
      <c r="F101" s="273">
        <v>908113</v>
      </c>
    </row>
    <row r="102" spans="1:24" ht="14.25" thickBot="1" x14ac:dyDescent="0.3">
      <c r="A102" s="227" t="s">
        <v>8</v>
      </c>
      <c r="B102" s="276">
        <v>814949</v>
      </c>
      <c r="C102" s="276">
        <v>842094</v>
      </c>
      <c r="D102" s="276">
        <v>1206730</v>
      </c>
      <c r="E102" s="276">
        <v>986948</v>
      </c>
      <c r="F102" s="276">
        <v>893172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0.98354720172489551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3685679</v>
      </c>
      <c r="C106" s="273">
        <v>3643104</v>
      </c>
      <c r="D106" s="273">
        <v>2765468</v>
      </c>
      <c r="E106" s="273">
        <v>3135997</v>
      </c>
      <c r="F106" s="273">
        <v>3260566</v>
      </c>
      <c r="G106" s="273">
        <v>3894813</v>
      </c>
      <c r="H106" s="273">
        <v>2484523</v>
      </c>
      <c r="I106" s="273">
        <v>2981407</v>
      </c>
      <c r="J106" s="273">
        <v>2743707</v>
      </c>
      <c r="K106" s="273">
        <v>1713486</v>
      </c>
      <c r="L106" s="273">
        <v>1993719</v>
      </c>
      <c r="M106" s="273">
        <v>1963249</v>
      </c>
      <c r="N106" s="273">
        <v>2367078</v>
      </c>
      <c r="O106" s="273">
        <v>2178260</v>
      </c>
      <c r="P106" s="273">
        <v>1894434</v>
      </c>
      <c r="Q106" s="273">
        <v>2348452</v>
      </c>
      <c r="R106" s="273">
        <v>2633362</v>
      </c>
      <c r="S106" s="273">
        <v>2690822</v>
      </c>
      <c r="T106" s="273">
        <v>2215739</v>
      </c>
      <c r="U106" s="273">
        <v>2971059</v>
      </c>
      <c r="V106" s="273">
        <v>3014741</v>
      </c>
      <c r="W106" s="273">
        <v>3417219</v>
      </c>
      <c r="X106" s="273">
        <v>3212531</v>
      </c>
    </row>
    <row r="107" spans="1:24" ht="14.25" thickBot="1" x14ac:dyDescent="0.3">
      <c r="A107" s="225" t="s">
        <v>22</v>
      </c>
      <c r="B107" s="274">
        <v>134</v>
      </c>
      <c r="C107" s="275">
        <v>2792</v>
      </c>
      <c r="D107" s="275">
        <v>2126</v>
      </c>
      <c r="E107" s="275">
        <v>36574</v>
      </c>
      <c r="F107" s="275">
        <v>38917</v>
      </c>
      <c r="G107" s="275">
        <v>37961</v>
      </c>
      <c r="H107" s="275">
        <v>37975</v>
      </c>
      <c r="I107" s="275">
        <v>41539</v>
      </c>
      <c r="J107" s="275">
        <v>44171</v>
      </c>
      <c r="K107" s="275">
        <v>763496</v>
      </c>
      <c r="L107" s="275">
        <v>769010</v>
      </c>
      <c r="M107" s="275">
        <v>800085</v>
      </c>
      <c r="N107" s="275">
        <v>824925</v>
      </c>
      <c r="O107" s="275">
        <v>751527</v>
      </c>
      <c r="P107" s="275">
        <v>692089</v>
      </c>
      <c r="Q107" s="275">
        <v>488433</v>
      </c>
      <c r="R107" s="275">
        <v>574682</v>
      </c>
      <c r="S107" s="275">
        <v>617076</v>
      </c>
      <c r="T107" s="275">
        <v>601174</v>
      </c>
      <c r="U107" s="275">
        <v>687093</v>
      </c>
      <c r="V107" s="275">
        <v>703821</v>
      </c>
      <c r="W107" s="275">
        <v>632698</v>
      </c>
      <c r="X107" s="275">
        <v>635875</v>
      </c>
    </row>
    <row r="108" spans="1:24" ht="14.25" thickBot="1" x14ac:dyDescent="0.3">
      <c r="A108" s="224" t="s">
        <v>263</v>
      </c>
      <c r="B108" s="273">
        <v>915281</v>
      </c>
      <c r="C108" s="273">
        <v>1029418</v>
      </c>
      <c r="D108" s="273">
        <v>1035383</v>
      </c>
      <c r="E108" s="273">
        <v>965655</v>
      </c>
      <c r="F108" s="273">
        <v>927305</v>
      </c>
      <c r="G108" s="273">
        <v>953136</v>
      </c>
      <c r="H108" s="273">
        <v>1079109</v>
      </c>
      <c r="I108" s="273">
        <v>1031353</v>
      </c>
      <c r="J108" s="273">
        <v>1026243</v>
      </c>
      <c r="K108" s="273">
        <v>1198871</v>
      </c>
      <c r="L108" s="273">
        <v>1298021</v>
      </c>
      <c r="M108" s="273">
        <v>1153761</v>
      </c>
      <c r="N108" s="273">
        <v>1134783</v>
      </c>
      <c r="O108" s="273">
        <v>1159538</v>
      </c>
      <c r="P108" s="273">
        <v>1215548</v>
      </c>
      <c r="Q108" s="273">
        <v>982639</v>
      </c>
      <c r="R108" s="273">
        <v>949305</v>
      </c>
      <c r="S108" s="273">
        <v>1092764</v>
      </c>
      <c r="T108" s="273">
        <v>1474421</v>
      </c>
      <c r="U108" s="273">
        <v>1551065</v>
      </c>
      <c r="V108" s="273">
        <v>1460473</v>
      </c>
      <c r="W108" s="273">
        <v>1563638</v>
      </c>
      <c r="X108" s="273">
        <v>1668843</v>
      </c>
    </row>
    <row r="109" spans="1:24" ht="14.25" thickBot="1" x14ac:dyDescent="0.3">
      <c r="A109" s="225" t="s">
        <v>264</v>
      </c>
      <c r="B109" s="274">
        <v>0</v>
      </c>
      <c r="C109" s="274">
        <v>0</v>
      </c>
      <c r="D109" s="274">
        <v>0</v>
      </c>
      <c r="E109" s="274">
        <v>0</v>
      </c>
      <c r="F109" s="274">
        <v>0</v>
      </c>
      <c r="G109" s="274">
        <v>0</v>
      </c>
      <c r="H109" s="274">
        <v>0</v>
      </c>
      <c r="I109" s="274">
        <v>0</v>
      </c>
      <c r="J109" s="274">
        <v>0</v>
      </c>
      <c r="K109" s="274">
        <v>0</v>
      </c>
      <c r="L109" s="274">
        <v>0</v>
      </c>
      <c r="M109" s="274">
        <v>0</v>
      </c>
      <c r="N109" s="274">
        <v>0</v>
      </c>
      <c r="O109" s="274">
        <v>0</v>
      </c>
      <c r="P109" s="274">
        <v>0</v>
      </c>
      <c r="Q109" s="274">
        <v>0</v>
      </c>
      <c r="R109" s="274">
        <v>0</v>
      </c>
      <c r="S109" s="274">
        <v>0</v>
      </c>
      <c r="T109" s="274">
        <v>0</v>
      </c>
      <c r="U109" s="274">
        <v>0</v>
      </c>
      <c r="V109" s="274">
        <v>0</v>
      </c>
      <c r="W109" s="274">
        <v>0</v>
      </c>
      <c r="X109" s="274">
        <v>0</v>
      </c>
    </row>
    <row r="110" spans="1:24" ht="14.25" thickBot="1" x14ac:dyDescent="0.3">
      <c r="A110" s="224" t="s">
        <v>23</v>
      </c>
      <c r="B110" s="273">
        <v>95937</v>
      </c>
      <c r="C110" s="273">
        <v>113113</v>
      </c>
      <c r="D110" s="273">
        <v>131251</v>
      </c>
      <c r="E110" s="273">
        <v>117291</v>
      </c>
      <c r="F110" s="273">
        <v>171578</v>
      </c>
      <c r="G110" s="273">
        <v>139668</v>
      </c>
      <c r="H110" s="273">
        <v>211243</v>
      </c>
      <c r="I110" s="273">
        <v>142231</v>
      </c>
      <c r="J110" s="273">
        <v>177609</v>
      </c>
      <c r="K110" s="273">
        <v>166835</v>
      </c>
      <c r="L110" s="273">
        <v>161511</v>
      </c>
      <c r="M110" s="273">
        <v>153288</v>
      </c>
      <c r="N110" s="273">
        <v>160637</v>
      </c>
      <c r="O110" s="273">
        <v>172783</v>
      </c>
      <c r="P110" s="273">
        <v>201303</v>
      </c>
      <c r="Q110" s="273">
        <v>155882</v>
      </c>
      <c r="R110" s="273">
        <v>172220</v>
      </c>
      <c r="S110" s="273">
        <v>139502</v>
      </c>
      <c r="T110" s="273">
        <v>201437</v>
      </c>
      <c r="U110" s="273">
        <v>202494</v>
      </c>
      <c r="V110" s="273">
        <v>227848</v>
      </c>
      <c r="W110" s="273">
        <v>257618</v>
      </c>
      <c r="X110" s="273">
        <v>244810</v>
      </c>
    </row>
    <row r="111" spans="1:24" ht="14.25" thickBot="1" x14ac:dyDescent="0.3">
      <c r="A111" s="225" t="s">
        <v>24</v>
      </c>
      <c r="B111" s="275">
        <v>4697031</v>
      </c>
      <c r="C111" s="275">
        <v>4788427</v>
      </c>
      <c r="D111" s="275">
        <v>3934228</v>
      </c>
      <c r="E111" s="275">
        <v>4255517</v>
      </c>
      <c r="F111" s="275">
        <v>4398366</v>
      </c>
      <c r="G111" s="275">
        <v>5025578</v>
      </c>
      <c r="H111" s="275">
        <v>3812850</v>
      </c>
      <c r="I111" s="275">
        <v>4196530</v>
      </c>
      <c r="J111" s="275">
        <v>3991730</v>
      </c>
      <c r="K111" s="275">
        <v>3842688</v>
      </c>
      <c r="L111" s="275">
        <v>4222261</v>
      </c>
      <c r="M111" s="275">
        <v>4070383</v>
      </c>
      <c r="N111" s="275">
        <v>4487423</v>
      </c>
      <c r="O111" s="275">
        <v>4262108</v>
      </c>
      <c r="P111" s="275">
        <v>4003374</v>
      </c>
      <c r="Q111" s="275">
        <v>3975406</v>
      </c>
      <c r="R111" s="275">
        <v>4329569</v>
      </c>
      <c r="S111" s="275">
        <v>4540164</v>
      </c>
      <c r="T111" s="275">
        <v>4492771</v>
      </c>
      <c r="U111" s="275">
        <v>5411711</v>
      </c>
      <c r="V111" s="275">
        <v>5406883</v>
      </c>
      <c r="W111" s="275">
        <v>5871173</v>
      </c>
      <c r="X111" s="275">
        <v>5762059</v>
      </c>
    </row>
    <row r="112" spans="1:24" ht="14.25" thickBot="1" x14ac:dyDescent="0.3">
      <c r="A112" s="224" t="s">
        <v>25</v>
      </c>
      <c r="B112" s="273">
        <v>89640</v>
      </c>
      <c r="C112" s="273">
        <v>89640</v>
      </c>
      <c r="D112" s="273">
        <v>89640</v>
      </c>
      <c r="E112" s="273">
        <v>89640</v>
      </c>
      <c r="F112" s="273">
        <v>89640</v>
      </c>
      <c r="G112" s="273">
        <v>89640</v>
      </c>
      <c r="H112" s="273">
        <v>89640</v>
      </c>
      <c r="I112" s="273">
        <v>89640</v>
      </c>
      <c r="J112" s="273">
        <v>89640</v>
      </c>
      <c r="K112" s="273">
        <v>89640</v>
      </c>
      <c r="L112" s="273">
        <v>89640</v>
      </c>
      <c r="M112" s="273">
        <v>89640</v>
      </c>
      <c r="N112" s="273">
        <v>89640</v>
      </c>
      <c r="O112" s="273">
        <v>89640</v>
      </c>
      <c r="P112" s="273">
        <v>95416</v>
      </c>
      <c r="Q112" s="273">
        <v>95878</v>
      </c>
      <c r="R112" s="273">
        <v>96640</v>
      </c>
      <c r="S112" s="273">
        <v>95940</v>
      </c>
      <c r="T112" s="273">
        <v>442285</v>
      </c>
      <c r="U112" s="273">
        <v>436810</v>
      </c>
      <c r="V112" s="273">
        <v>427159</v>
      </c>
      <c r="W112" s="273">
        <v>416411</v>
      </c>
      <c r="X112" s="273">
        <v>405284</v>
      </c>
    </row>
    <row r="113" spans="1:24" ht="14.25" thickBot="1" x14ac:dyDescent="0.3">
      <c r="A113" s="225" t="s">
        <v>26</v>
      </c>
      <c r="B113" s="275">
        <v>7228213</v>
      </c>
      <c r="C113" s="275">
        <v>7184237</v>
      </c>
      <c r="D113" s="275">
        <v>7562273</v>
      </c>
      <c r="E113" s="275">
        <v>7235881</v>
      </c>
      <c r="F113" s="275">
        <v>7341083</v>
      </c>
      <c r="G113" s="275">
        <v>7509250</v>
      </c>
      <c r="H113" s="275">
        <v>7753138</v>
      </c>
      <c r="I113" s="275">
        <v>8227033</v>
      </c>
      <c r="J113" s="275">
        <v>8398468</v>
      </c>
      <c r="K113" s="275">
        <v>9249604</v>
      </c>
      <c r="L113" s="275">
        <v>9561619</v>
      </c>
      <c r="M113" s="275">
        <v>9422848</v>
      </c>
      <c r="N113" s="275">
        <v>9103693</v>
      </c>
      <c r="O113" s="275">
        <v>9136087</v>
      </c>
      <c r="P113" s="275">
        <v>9188286</v>
      </c>
      <c r="Q113" s="275">
        <v>9050444</v>
      </c>
      <c r="R113" s="275">
        <v>8665460</v>
      </c>
      <c r="S113" s="275">
        <v>8242602</v>
      </c>
      <c r="T113" s="275">
        <v>9161004</v>
      </c>
      <c r="U113" s="275">
        <v>8869796</v>
      </c>
      <c r="V113" s="275">
        <v>8672358</v>
      </c>
      <c r="W113" s="275">
        <v>8857018</v>
      </c>
      <c r="X113" s="275">
        <v>8948209</v>
      </c>
    </row>
    <row r="114" spans="1:24" ht="14.25" thickBot="1" x14ac:dyDescent="0.3">
      <c r="A114" s="224" t="s">
        <v>27</v>
      </c>
      <c r="B114" s="273">
        <v>101974</v>
      </c>
      <c r="C114" s="273">
        <v>97390</v>
      </c>
      <c r="D114" s="273">
        <v>97048</v>
      </c>
      <c r="E114" s="273">
        <v>96694</v>
      </c>
      <c r="F114" s="273">
        <v>142690</v>
      </c>
      <c r="G114" s="273">
        <v>156182</v>
      </c>
      <c r="H114" s="273">
        <v>548795</v>
      </c>
      <c r="I114" s="273">
        <v>330993</v>
      </c>
      <c r="J114" s="273">
        <v>377470</v>
      </c>
      <c r="K114" s="273">
        <v>525193</v>
      </c>
      <c r="L114" s="273">
        <v>255264</v>
      </c>
      <c r="M114" s="273">
        <v>264693</v>
      </c>
      <c r="N114" s="273">
        <v>286520</v>
      </c>
      <c r="O114" s="273">
        <v>363009</v>
      </c>
      <c r="P114" s="273">
        <v>269615</v>
      </c>
      <c r="Q114" s="273">
        <v>244688</v>
      </c>
      <c r="R114" s="273">
        <v>238508</v>
      </c>
      <c r="S114" s="273">
        <v>267068</v>
      </c>
      <c r="T114" s="273">
        <v>955527</v>
      </c>
      <c r="U114" s="273">
        <v>848559</v>
      </c>
      <c r="V114" s="273">
        <v>853907</v>
      </c>
      <c r="W114" s="273">
        <v>889673</v>
      </c>
      <c r="X114" s="273">
        <v>879797</v>
      </c>
    </row>
    <row r="115" spans="1:24" ht="14.25" thickBot="1" x14ac:dyDescent="0.3">
      <c r="A115" s="225" t="s">
        <v>265</v>
      </c>
      <c r="B115" s="276">
        <v>12116858</v>
      </c>
      <c r="C115" s="276">
        <v>12159694</v>
      </c>
      <c r="D115" s="276">
        <v>11683189</v>
      </c>
      <c r="E115" s="276">
        <v>11677732</v>
      </c>
      <c r="F115" s="276">
        <v>11971779</v>
      </c>
      <c r="G115" s="276">
        <v>12780650</v>
      </c>
      <c r="H115" s="276">
        <v>12204423</v>
      </c>
      <c r="I115" s="276">
        <v>12844196</v>
      </c>
      <c r="J115" s="276">
        <v>12857308</v>
      </c>
      <c r="K115" s="276">
        <v>13707125</v>
      </c>
      <c r="L115" s="276">
        <v>14128784</v>
      </c>
      <c r="M115" s="276">
        <v>13847564</v>
      </c>
      <c r="N115" s="276">
        <v>13967276</v>
      </c>
      <c r="O115" s="276">
        <v>13850844</v>
      </c>
      <c r="P115" s="276">
        <v>13556691</v>
      </c>
      <c r="Q115" s="276">
        <v>13366416</v>
      </c>
      <c r="R115" s="276">
        <v>13330177</v>
      </c>
      <c r="S115" s="276">
        <v>13145774</v>
      </c>
      <c r="T115" s="276">
        <v>15051587</v>
      </c>
      <c r="U115" s="276">
        <v>15566876</v>
      </c>
      <c r="V115" s="276">
        <v>15360307</v>
      </c>
      <c r="W115" s="276">
        <v>16034275</v>
      </c>
      <c r="X115" s="276">
        <v>15995349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273">
        <v>161693</v>
      </c>
      <c r="D118" s="273">
        <v>357367</v>
      </c>
      <c r="E118" s="273">
        <v>179310</v>
      </c>
      <c r="F118" s="273">
        <v>226765</v>
      </c>
      <c r="G118" s="273">
        <v>342369</v>
      </c>
      <c r="H118" s="273">
        <v>565218</v>
      </c>
      <c r="I118" s="273">
        <v>728981</v>
      </c>
      <c r="J118" s="273">
        <v>549494</v>
      </c>
      <c r="K118" s="273">
        <v>465872</v>
      </c>
      <c r="L118" s="273">
        <v>347322</v>
      </c>
      <c r="M118" s="273">
        <v>13141</v>
      </c>
      <c r="N118" s="273">
        <v>44228</v>
      </c>
      <c r="O118" s="273">
        <v>188614</v>
      </c>
      <c r="P118" s="273">
        <v>157151</v>
      </c>
      <c r="Q118" s="273">
        <v>79427</v>
      </c>
      <c r="R118" s="273">
        <v>4216</v>
      </c>
      <c r="S118" s="273">
        <v>57682</v>
      </c>
      <c r="T118" s="273">
        <v>228537</v>
      </c>
      <c r="U118" s="273">
        <v>646006</v>
      </c>
      <c r="V118" s="273">
        <v>287829</v>
      </c>
      <c r="W118" s="273">
        <v>435707</v>
      </c>
      <c r="X118" s="273">
        <v>356487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68">
        <v>0</v>
      </c>
      <c r="C120" s="68">
        <v>475</v>
      </c>
      <c r="D120" s="68">
        <v>0</v>
      </c>
      <c r="E120" s="273">
        <v>2174</v>
      </c>
      <c r="F120" s="273">
        <v>4384</v>
      </c>
      <c r="G120" s="273">
        <v>3781</v>
      </c>
      <c r="H120" s="273">
        <v>2120</v>
      </c>
      <c r="I120" s="273">
        <v>1060</v>
      </c>
      <c r="J120" s="273">
        <v>4240</v>
      </c>
      <c r="K120" s="273">
        <v>3180</v>
      </c>
      <c r="L120" s="273">
        <v>2120</v>
      </c>
      <c r="M120" s="273">
        <v>1060</v>
      </c>
      <c r="N120" s="68">
        <v>0</v>
      </c>
      <c r="O120" s="273">
        <v>2431</v>
      </c>
      <c r="P120" s="273">
        <v>1621</v>
      </c>
      <c r="Q120" s="68">
        <v>810</v>
      </c>
      <c r="R120" s="273">
        <v>6148</v>
      </c>
      <c r="S120" s="273">
        <v>2431</v>
      </c>
      <c r="T120" s="273">
        <v>2544</v>
      </c>
      <c r="U120" s="273">
        <v>1194</v>
      </c>
      <c r="V120" s="273">
        <v>3241</v>
      </c>
      <c r="W120" s="273">
        <v>4049</v>
      </c>
      <c r="X120" s="273">
        <v>2760</v>
      </c>
    </row>
    <row r="121" spans="1:24" ht="14.25" thickBot="1" x14ac:dyDescent="0.3">
      <c r="A121" s="225" t="s">
        <v>267</v>
      </c>
      <c r="B121" s="275">
        <v>4746</v>
      </c>
      <c r="C121" s="274">
        <v>893</v>
      </c>
      <c r="D121" s="275">
        <v>1374</v>
      </c>
      <c r="E121" s="274">
        <v>988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1302903</v>
      </c>
      <c r="C122" s="273">
        <v>1184317</v>
      </c>
      <c r="D122" s="273">
        <v>1165395</v>
      </c>
      <c r="E122" s="273">
        <v>1094666</v>
      </c>
      <c r="F122" s="273">
        <v>1110183</v>
      </c>
      <c r="G122" s="273">
        <v>1306554</v>
      </c>
      <c r="H122" s="273">
        <v>1471539</v>
      </c>
      <c r="I122" s="273">
        <v>879784</v>
      </c>
      <c r="J122" s="273">
        <v>807326</v>
      </c>
      <c r="K122" s="273">
        <v>846625</v>
      </c>
      <c r="L122" s="273">
        <v>892892</v>
      </c>
      <c r="M122" s="273">
        <v>888906</v>
      </c>
      <c r="N122" s="273">
        <v>1134586</v>
      </c>
      <c r="O122" s="273">
        <v>775990</v>
      </c>
      <c r="P122" s="273">
        <v>1004872</v>
      </c>
      <c r="Q122" s="273">
        <v>925061</v>
      </c>
      <c r="R122" s="273">
        <v>956489</v>
      </c>
      <c r="S122" s="273">
        <v>851582</v>
      </c>
      <c r="T122" s="273">
        <v>942216</v>
      </c>
      <c r="U122" s="68">
        <v>0</v>
      </c>
      <c r="V122" s="273">
        <v>1625081</v>
      </c>
      <c r="W122" s="273">
        <v>1300149</v>
      </c>
      <c r="X122" s="273">
        <v>1585618</v>
      </c>
    </row>
    <row r="123" spans="1:24" ht="14.25" thickBot="1" x14ac:dyDescent="0.3">
      <c r="A123" s="225" t="s">
        <v>31</v>
      </c>
      <c r="B123" s="275">
        <v>587974</v>
      </c>
      <c r="C123" s="275">
        <v>1115745</v>
      </c>
      <c r="D123" s="275">
        <v>556780</v>
      </c>
      <c r="E123" s="275">
        <v>477179</v>
      </c>
      <c r="F123" s="275">
        <v>690102</v>
      </c>
      <c r="G123" s="275">
        <v>1182681</v>
      </c>
      <c r="H123" s="275">
        <v>582071</v>
      </c>
      <c r="I123" s="275">
        <v>629061</v>
      </c>
      <c r="J123" s="275">
        <v>712120</v>
      </c>
      <c r="K123" s="275">
        <v>1348951</v>
      </c>
      <c r="L123" s="275">
        <v>727604</v>
      </c>
      <c r="M123" s="275">
        <v>783943</v>
      </c>
      <c r="N123" s="275">
        <v>811783</v>
      </c>
      <c r="O123" s="275">
        <v>1594159</v>
      </c>
      <c r="P123" s="275">
        <v>702372</v>
      </c>
      <c r="Q123" s="275">
        <v>791049</v>
      </c>
      <c r="R123" s="275">
        <v>697886</v>
      </c>
      <c r="S123" s="275">
        <v>1368337</v>
      </c>
      <c r="T123" s="275">
        <v>803081</v>
      </c>
      <c r="U123" s="275">
        <v>1879334</v>
      </c>
      <c r="V123" s="275">
        <v>1068225</v>
      </c>
      <c r="W123" s="275">
        <v>1861314</v>
      </c>
      <c r="X123" s="275">
        <v>981327</v>
      </c>
    </row>
    <row r="124" spans="1:24" ht="14.25" thickBot="1" x14ac:dyDescent="0.3">
      <c r="A124" s="224" t="s">
        <v>268</v>
      </c>
      <c r="B124" s="273">
        <v>1895623</v>
      </c>
      <c r="C124" s="273">
        <v>2463123</v>
      </c>
      <c r="D124" s="273">
        <v>2080916</v>
      </c>
      <c r="E124" s="273">
        <v>1754317</v>
      </c>
      <c r="F124" s="273">
        <v>2031434</v>
      </c>
      <c r="G124" s="273">
        <v>2835385</v>
      </c>
      <c r="H124" s="273">
        <v>2620948</v>
      </c>
      <c r="I124" s="273">
        <v>2238886</v>
      </c>
      <c r="J124" s="273">
        <v>2073180</v>
      </c>
      <c r="K124" s="273">
        <v>2664628</v>
      </c>
      <c r="L124" s="273">
        <v>1969938</v>
      </c>
      <c r="M124" s="273">
        <v>1687050</v>
      </c>
      <c r="N124" s="273">
        <v>1990597</v>
      </c>
      <c r="O124" s="273">
        <v>2561194</v>
      </c>
      <c r="P124" s="273">
        <v>1866016</v>
      </c>
      <c r="Q124" s="273">
        <v>1796347</v>
      </c>
      <c r="R124" s="273">
        <v>1664739</v>
      </c>
      <c r="S124" s="273">
        <v>2280032</v>
      </c>
      <c r="T124" s="273">
        <v>1976378</v>
      </c>
      <c r="U124" s="273">
        <v>2526534</v>
      </c>
      <c r="V124" s="273">
        <v>2984376</v>
      </c>
      <c r="W124" s="273">
        <v>3601219</v>
      </c>
      <c r="X124" s="273">
        <v>2926192</v>
      </c>
    </row>
    <row r="125" spans="1:24" ht="14.25" thickBot="1" x14ac:dyDescent="0.3">
      <c r="A125" s="225" t="s">
        <v>32</v>
      </c>
      <c r="B125" s="275">
        <v>2231684</v>
      </c>
      <c r="C125" s="275">
        <v>2012233</v>
      </c>
      <c r="D125" s="275">
        <v>1623901</v>
      </c>
      <c r="E125" s="275">
        <v>1731282</v>
      </c>
      <c r="F125" s="275">
        <v>1676352</v>
      </c>
      <c r="G125" s="275">
        <v>2021049</v>
      </c>
      <c r="H125" s="275">
        <v>1359584</v>
      </c>
      <c r="I125" s="275">
        <v>2119928</v>
      </c>
      <c r="J125" s="275">
        <v>2087963</v>
      </c>
      <c r="K125" s="275">
        <v>2539767</v>
      </c>
      <c r="L125" s="275">
        <v>3264881</v>
      </c>
      <c r="M125" s="275">
        <v>2886134</v>
      </c>
      <c r="N125" s="275">
        <v>2439073</v>
      </c>
      <c r="O125" s="275">
        <v>2299641</v>
      </c>
      <c r="P125" s="275">
        <v>2356191</v>
      </c>
      <c r="Q125" s="275">
        <v>2061359</v>
      </c>
      <c r="R125" s="275">
        <v>2015141</v>
      </c>
      <c r="S125" s="275">
        <v>1607899</v>
      </c>
      <c r="T125" s="275">
        <v>2816880</v>
      </c>
      <c r="U125" s="275">
        <v>2554574</v>
      </c>
      <c r="V125" s="275">
        <v>1691390</v>
      </c>
      <c r="W125" s="275">
        <v>2050423</v>
      </c>
      <c r="X125" s="275">
        <v>3286515</v>
      </c>
    </row>
    <row r="126" spans="1:24" ht="14.25" thickBot="1" x14ac:dyDescent="0.3">
      <c r="A126" s="224" t="s">
        <v>33</v>
      </c>
      <c r="B126" s="273">
        <v>21475</v>
      </c>
      <c r="C126" s="273">
        <v>33700</v>
      </c>
      <c r="D126" s="273">
        <v>35523</v>
      </c>
      <c r="E126" s="273">
        <v>37550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4148782</v>
      </c>
      <c r="C127" s="275">
        <v>4509056</v>
      </c>
      <c r="D127" s="275">
        <v>3740340</v>
      </c>
      <c r="E127" s="275">
        <v>3523149</v>
      </c>
      <c r="F127" s="275">
        <v>3707786</v>
      </c>
      <c r="G127" s="275">
        <v>4856434</v>
      </c>
      <c r="H127" s="275">
        <v>3980532</v>
      </c>
      <c r="I127" s="275">
        <v>4358814</v>
      </c>
      <c r="J127" s="275">
        <v>4161143</v>
      </c>
      <c r="K127" s="275">
        <v>5204395</v>
      </c>
      <c r="L127" s="275">
        <v>5234819</v>
      </c>
      <c r="M127" s="275">
        <v>4573184</v>
      </c>
      <c r="N127" s="275">
        <v>4429670</v>
      </c>
      <c r="O127" s="275">
        <v>4860835</v>
      </c>
      <c r="P127" s="275">
        <v>4222207</v>
      </c>
      <c r="Q127" s="275">
        <v>3857706</v>
      </c>
      <c r="R127" s="275">
        <v>3679880</v>
      </c>
      <c r="S127" s="275">
        <v>3887931</v>
      </c>
      <c r="T127" s="275">
        <v>4793258</v>
      </c>
      <c r="U127" s="275">
        <v>5081108</v>
      </c>
      <c r="V127" s="275">
        <v>4675766</v>
      </c>
      <c r="W127" s="275">
        <v>5651642</v>
      </c>
      <c r="X127" s="275">
        <v>6212707</v>
      </c>
    </row>
    <row r="128" spans="1:24" ht="14.25" thickBot="1" x14ac:dyDescent="0.3">
      <c r="A128" s="224" t="s">
        <v>34</v>
      </c>
      <c r="B128" s="273">
        <v>7968076</v>
      </c>
      <c r="C128" s="273">
        <v>7650638</v>
      </c>
      <c r="D128" s="273">
        <v>7942849</v>
      </c>
      <c r="E128" s="273">
        <v>8154583</v>
      </c>
      <c r="F128" s="273">
        <v>8263993</v>
      </c>
      <c r="G128" s="273">
        <v>7924216</v>
      </c>
      <c r="H128" s="273">
        <v>8223891</v>
      </c>
      <c r="I128" s="273">
        <v>8485382</v>
      </c>
      <c r="J128" s="273">
        <v>8696165</v>
      </c>
      <c r="K128" s="273">
        <v>8502730</v>
      </c>
      <c r="L128" s="273">
        <v>8893965</v>
      </c>
      <c r="M128" s="273">
        <v>9274380</v>
      </c>
      <c r="N128" s="273">
        <v>9537606</v>
      </c>
      <c r="O128" s="273">
        <v>8990009</v>
      </c>
      <c r="P128" s="273">
        <v>9334484</v>
      </c>
      <c r="Q128" s="273">
        <v>9508710</v>
      </c>
      <c r="R128" s="273">
        <v>9650297</v>
      </c>
      <c r="S128" s="273">
        <v>9257843</v>
      </c>
      <c r="T128" s="273">
        <v>10258329</v>
      </c>
      <c r="U128" s="273">
        <v>10485768</v>
      </c>
      <c r="V128" s="273">
        <v>10684541</v>
      </c>
      <c r="W128" s="273">
        <v>10382633</v>
      </c>
      <c r="X128" s="273">
        <v>9782642</v>
      </c>
    </row>
    <row r="129" spans="1:24" ht="14.25" thickBot="1" x14ac:dyDescent="0.3">
      <c r="A129" s="225" t="s">
        <v>35</v>
      </c>
      <c r="B129" s="276">
        <v>12116858</v>
      </c>
      <c r="C129" s="276">
        <v>12159694</v>
      </c>
      <c r="D129" s="276">
        <v>11683189</v>
      </c>
      <c r="E129" s="276">
        <v>11677732</v>
      </c>
      <c r="F129" s="276">
        <v>11971779</v>
      </c>
      <c r="G129" s="276">
        <v>12780650</v>
      </c>
      <c r="H129" s="276">
        <v>12204423</v>
      </c>
      <c r="I129" s="276">
        <v>12844196</v>
      </c>
      <c r="J129" s="276">
        <v>12857308</v>
      </c>
      <c r="K129" s="276">
        <v>13707125</v>
      </c>
      <c r="L129" s="276">
        <v>14128784</v>
      </c>
      <c r="M129" s="276">
        <v>13847564</v>
      </c>
      <c r="N129" s="276">
        <v>13967276</v>
      </c>
      <c r="O129" s="276">
        <v>13850844</v>
      </c>
      <c r="P129" s="276">
        <v>13556691</v>
      </c>
      <c r="Q129" s="276">
        <v>13366416</v>
      </c>
      <c r="R129" s="276">
        <v>13330177</v>
      </c>
      <c r="S129" s="276">
        <v>13145774</v>
      </c>
      <c r="T129" s="276">
        <v>15051587</v>
      </c>
      <c r="U129" s="276">
        <v>15566876</v>
      </c>
      <c r="V129" s="276">
        <v>15360307</v>
      </c>
      <c r="W129" s="276">
        <v>16034275</v>
      </c>
      <c r="X129" s="276">
        <v>15995349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5.8</v>
      </c>
      <c r="C132" s="68">
        <v>5.45</v>
      </c>
      <c r="D132" s="68">
        <v>6.77</v>
      </c>
      <c r="E132" s="68">
        <v>6.92</v>
      </c>
      <c r="F132" s="68">
        <v>5.79</v>
      </c>
    </row>
    <row r="133" spans="1:24" ht="14.25" thickBot="1" x14ac:dyDescent="0.3">
      <c r="A133" s="225" t="s">
        <v>37</v>
      </c>
      <c r="B133" s="274">
        <v>-3.51</v>
      </c>
      <c r="C133" s="274">
        <v>-6.11</v>
      </c>
      <c r="D133" s="274">
        <v>-8.01</v>
      </c>
      <c r="E133" s="274">
        <v>-2.93</v>
      </c>
      <c r="F133" s="274">
        <v>-5.34</v>
      </c>
    </row>
    <row r="134" spans="1:24" ht="14.25" thickBot="1" x14ac:dyDescent="0.3">
      <c r="A134" s="224" t="s">
        <v>38</v>
      </c>
      <c r="B134" s="68">
        <v>-1.51</v>
      </c>
      <c r="C134" s="68">
        <v>0.32</v>
      </c>
      <c r="D134" s="68">
        <v>-1.03</v>
      </c>
      <c r="E134" s="68">
        <v>-3.18</v>
      </c>
      <c r="F134" s="68">
        <v>0.97</v>
      </c>
    </row>
    <row r="135" spans="1:24" ht="14.25" thickBot="1" x14ac:dyDescent="0.3">
      <c r="A135" s="225" t="s">
        <v>270</v>
      </c>
      <c r="B135" s="274">
        <v>2.2999999999999998</v>
      </c>
      <c r="C135" s="274">
        <v>-0.66</v>
      </c>
      <c r="D135" s="274">
        <v>-1.25</v>
      </c>
      <c r="E135" s="274">
        <v>3.98</v>
      </c>
      <c r="F135" s="274">
        <v>0.45</v>
      </c>
    </row>
    <row r="136" spans="1:24" ht="14.25" thickBot="1" x14ac:dyDescent="0.3">
      <c r="A136" s="229" t="s">
        <v>39</v>
      </c>
      <c r="B136" s="72">
        <v>0.79</v>
      </c>
      <c r="C136" s="72">
        <v>-0.34</v>
      </c>
      <c r="D136" s="72">
        <v>-2.2799999999999998</v>
      </c>
      <c r="E136" s="72">
        <v>0.8</v>
      </c>
      <c r="F136" s="72">
        <v>1.42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1.1000000000000001</v>
      </c>
      <c r="C140" s="68">
        <v>1.1000000000000001</v>
      </c>
      <c r="D140" s="68">
        <v>1.6</v>
      </c>
      <c r="E140" s="68">
        <v>1.3</v>
      </c>
      <c r="F140" s="68">
        <v>1.25</v>
      </c>
    </row>
    <row r="141" spans="1:24" ht="14.25" thickBot="1" x14ac:dyDescent="0.3">
      <c r="A141" s="227" t="s">
        <v>1</v>
      </c>
      <c r="B141" s="73">
        <v>0.1</v>
      </c>
      <c r="C141" s="73">
        <v>0.1</v>
      </c>
      <c r="D141" s="73">
        <v>0.1</v>
      </c>
      <c r="E141" s="73">
        <v>0.1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0.59782608695652184</v>
      </c>
      <c r="C142" s="234">
        <f>IF(C140&lt;&gt;"無",IF(ISNA(HLOOKUP(C139,$B$64:$F$69,6,FALSE)),"",C140/HLOOKUP(C139,$B$64:$F$69,6,FALSE)),"")</f>
        <v>0.58823529411764719</v>
      </c>
      <c r="D142" s="234">
        <f>IF(D140&lt;&gt;"無",IF(ISNA(HLOOKUP(D139,$B$64:$F$69,6,FALSE)),"",D140/HLOOKUP(D139,$B$64:$F$69,6,FALSE)),"")</f>
        <v>0.60150375939849621</v>
      </c>
      <c r="E142" s="234">
        <f>IF(E140&lt;&gt;"無",IF(ISNA(HLOOKUP(E139,$B$64:$F$69,6,FALSE)),"",E140/HLOOKUP(E139,$B$64:$F$69,6,FALSE)),"")</f>
        <v>0.60465116279069775</v>
      </c>
      <c r="F142" s="234">
        <f>IF(F140&lt;&gt;"無",IF(ISNA(HLOOKUP(F139,$B$64:$F$69,6,FALSE)),"",F140/HLOOKUP(F139,$B$64:$F$69,6,FALSE)),"")</f>
        <v>0.65104166666666674</v>
      </c>
    </row>
    <row r="143" spans="1:24" x14ac:dyDescent="0.25">
      <c r="A143" s="233" t="s">
        <v>216</v>
      </c>
      <c r="B143" s="234">
        <f>IF(OR(B140=0,B140="無"),"",B135/B140)</f>
        <v>2.0909090909090904</v>
      </c>
      <c r="C143" s="234">
        <f>IF(OR(C140=0,C140="無"),"",C135/C140)</f>
        <v>-0.6</v>
      </c>
      <c r="D143" s="234">
        <f>IF(OR(D140=0,D140="無"),"",D135/D140)</f>
        <v>-0.78125</v>
      </c>
      <c r="E143" s="234">
        <f>IF(OR(E140=0,E140="無"),"",E135/E140)</f>
        <v>3.0615384615384613</v>
      </c>
      <c r="F143" s="234">
        <f>IF(OR(F140=0,F140="無"),"",F135/F140)</f>
        <v>0.36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24.63</v>
      </c>
      <c r="C146" s="68">
        <v>30.98</v>
      </c>
      <c r="D146" s="68">
        <v>31.33</v>
      </c>
      <c r="E146" s="68">
        <v>28.39</v>
      </c>
      <c r="F146" s="68">
        <v>22.69</v>
      </c>
      <c r="G146" s="68">
        <v>29.61</v>
      </c>
      <c r="H146" s="68">
        <v>31.79</v>
      </c>
      <c r="I146" s="68">
        <v>31.15</v>
      </c>
      <c r="J146" s="68">
        <v>24.9</v>
      </c>
      <c r="K146" s="68">
        <v>32.119999999999997</v>
      </c>
      <c r="L146" s="68">
        <v>33.54</v>
      </c>
      <c r="M146" s="68">
        <v>33.630000000000003</v>
      </c>
      <c r="N146" s="68">
        <v>32.049999999999997</v>
      </c>
      <c r="O146" s="68">
        <v>28.6</v>
      </c>
      <c r="P146" s="68">
        <v>30.13</v>
      </c>
      <c r="Q146" s="68">
        <v>23.03</v>
      </c>
      <c r="R146" s="68">
        <v>19.920000000000002</v>
      </c>
      <c r="S146" s="68">
        <v>28.46</v>
      </c>
      <c r="T146" s="68">
        <v>30.64</v>
      </c>
      <c r="U146" s="68">
        <v>26.89</v>
      </c>
      <c r="V146" s="68">
        <v>27.02</v>
      </c>
      <c r="W146" s="68">
        <v>28.43</v>
      </c>
      <c r="X146" s="68">
        <v>33.979999999999997</v>
      </c>
    </row>
    <row r="147" spans="1:24" s="93" customFormat="1" ht="14.25" thickBot="1" x14ac:dyDescent="0.3">
      <c r="A147" s="225" t="s">
        <v>19</v>
      </c>
      <c r="B147" s="274">
        <v>15.83</v>
      </c>
      <c r="C147" s="274">
        <v>22.34</v>
      </c>
      <c r="D147" s="274">
        <v>21.92</v>
      </c>
      <c r="E147" s="274">
        <v>19.68</v>
      </c>
      <c r="F147" s="274">
        <v>13.6</v>
      </c>
      <c r="G147" s="274">
        <v>20.29</v>
      </c>
      <c r="H147" s="274">
        <v>22.66</v>
      </c>
      <c r="I147" s="274">
        <v>22.25</v>
      </c>
      <c r="J147" s="274">
        <v>14.51</v>
      </c>
      <c r="K147" s="274">
        <v>22.92</v>
      </c>
      <c r="L147" s="274">
        <v>24.45</v>
      </c>
      <c r="M147" s="274">
        <v>23.47</v>
      </c>
      <c r="N147" s="274">
        <v>23.48</v>
      </c>
      <c r="O147" s="274">
        <v>19.12</v>
      </c>
      <c r="P147" s="274">
        <v>20.79</v>
      </c>
      <c r="Q147" s="274">
        <v>13.24</v>
      </c>
      <c r="R147" s="274">
        <v>10.5</v>
      </c>
      <c r="S147" s="274">
        <v>19.16</v>
      </c>
      <c r="T147" s="274">
        <v>21.23</v>
      </c>
      <c r="U147" s="274">
        <v>16.07</v>
      </c>
      <c r="V147" s="274">
        <v>17.45</v>
      </c>
      <c r="W147" s="274">
        <v>17.600000000000001</v>
      </c>
      <c r="X147" s="274">
        <v>23.24</v>
      </c>
    </row>
    <row r="148" spans="1:24" s="93" customFormat="1" ht="14.25" thickBot="1" x14ac:dyDescent="0.3">
      <c r="A148" s="224" t="s">
        <v>41</v>
      </c>
      <c r="B148" s="68">
        <v>14.91</v>
      </c>
      <c r="C148" s="68">
        <v>22.5</v>
      </c>
      <c r="D148" s="68">
        <v>21.26</v>
      </c>
      <c r="E148" s="68">
        <v>19.18</v>
      </c>
      <c r="F148" s="68">
        <v>13.84</v>
      </c>
      <c r="G148" s="68">
        <v>20.13</v>
      </c>
      <c r="H148" s="68">
        <v>22.8</v>
      </c>
      <c r="I148" s="68">
        <v>22.46</v>
      </c>
      <c r="J148" s="68">
        <v>16.239999999999998</v>
      </c>
      <c r="K148" s="68">
        <v>26.07</v>
      </c>
      <c r="L148" s="68">
        <v>27.56</v>
      </c>
      <c r="M148" s="68">
        <v>26.96</v>
      </c>
      <c r="N148" s="68">
        <v>23.39</v>
      </c>
      <c r="O148" s="68">
        <v>18.98</v>
      </c>
      <c r="P148" s="68">
        <v>22.91</v>
      </c>
      <c r="Q148" s="68">
        <v>14.09</v>
      </c>
      <c r="R148" s="68">
        <v>9.6300000000000008</v>
      </c>
      <c r="S148" s="68">
        <v>19.95</v>
      </c>
      <c r="T148" s="68">
        <v>20.32</v>
      </c>
      <c r="U148" s="68">
        <v>16.98</v>
      </c>
      <c r="V148" s="68">
        <v>14.89</v>
      </c>
      <c r="W148" s="68">
        <v>17.440000000000001</v>
      </c>
      <c r="X148" s="68">
        <v>23.23</v>
      </c>
    </row>
    <row r="149" spans="1:24" s="93" customFormat="1" ht="14.25" thickBot="1" x14ac:dyDescent="0.3">
      <c r="A149" s="225" t="s">
        <v>13</v>
      </c>
      <c r="B149" s="73">
        <v>12.59</v>
      </c>
      <c r="C149" s="73">
        <v>16.71</v>
      </c>
      <c r="D149" s="73">
        <v>17.72</v>
      </c>
      <c r="E149" s="73">
        <v>15.86</v>
      </c>
      <c r="F149" s="73">
        <v>11.62</v>
      </c>
      <c r="G149" s="73">
        <v>16.100000000000001</v>
      </c>
      <c r="H149" s="73">
        <v>20.02</v>
      </c>
      <c r="I149" s="73">
        <v>18.600000000000001</v>
      </c>
      <c r="J149" s="73">
        <v>13.9</v>
      </c>
      <c r="K149" s="73">
        <v>20.83</v>
      </c>
      <c r="L149" s="73">
        <v>23.39</v>
      </c>
      <c r="M149" s="73">
        <v>23.18</v>
      </c>
      <c r="N149" s="73">
        <v>20.21</v>
      </c>
      <c r="O149" s="73">
        <v>14.12</v>
      </c>
      <c r="P149" s="73">
        <v>19.27</v>
      </c>
      <c r="Q149" s="73">
        <v>12.35</v>
      </c>
      <c r="R149" s="73">
        <v>8.3000000000000007</v>
      </c>
      <c r="S149" s="73">
        <v>15.67</v>
      </c>
      <c r="T149" s="73">
        <v>17.21</v>
      </c>
      <c r="U149" s="73">
        <v>15.42</v>
      </c>
      <c r="V149" s="73">
        <v>12.68</v>
      </c>
      <c r="W149" s="73">
        <v>12.77</v>
      </c>
      <c r="X149" s="73">
        <v>19.690000000000001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28.95</v>
      </c>
      <c r="C152" s="68">
        <v>29.08</v>
      </c>
      <c r="D152" s="68">
        <v>31.38</v>
      </c>
      <c r="E152" s="68">
        <v>28.64</v>
      </c>
      <c r="F152" s="68">
        <v>26.84</v>
      </c>
    </row>
    <row r="153" spans="1:24" s="93" customFormat="1" ht="14.25" thickBot="1" x14ac:dyDescent="0.3">
      <c r="A153" s="225" t="s">
        <v>19</v>
      </c>
      <c r="B153" s="274">
        <v>20.05</v>
      </c>
      <c r="C153" s="274">
        <v>19.98</v>
      </c>
      <c r="D153" s="274">
        <v>21.71</v>
      </c>
      <c r="E153" s="274">
        <v>19.36</v>
      </c>
      <c r="F153" s="274">
        <v>17.04</v>
      </c>
    </row>
    <row r="154" spans="1:24" s="93" customFormat="1" ht="14.25" thickBot="1" x14ac:dyDescent="0.3">
      <c r="A154" s="224" t="s">
        <v>41</v>
      </c>
      <c r="B154" s="68">
        <v>19.57</v>
      </c>
      <c r="C154" s="68">
        <v>20.079999999999998</v>
      </c>
      <c r="D154" s="68">
        <v>24.63</v>
      </c>
      <c r="E154" s="68">
        <v>20.059999999999999</v>
      </c>
      <c r="F154" s="68">
        <v>17.07</v>
      </c>
    </row>
    <row r="155" spans="1:24" s="93" customFormat="1" ht="14.25" thickBot="1" x14ac:dyDescent="0.3">
      <c r="A155" s="225" t="s">
        <v>13</v>
      </c>
      <c r="B155" s="73">
        <v>15.8</v>
      </c>
      <c r="C155" s="73">
        <v>16.84</v>
      </c>
      <c r="D155" s="73">
        <v>20.68</v>
      </c>
      <c r="E155" s="73">
        <v>16.66</v>
      </c>
      <c r="F155" s="73">
        <v>14.51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1.42</v>
      </c>
      <c r="C158" s="68">
        <v>1.92</v>
      </c>
      <c r="D158" s="68">
        <v>2.16</v>
      </c>
      <c r="E158" s="68">
        <v>1.76</v>
      </c>
      <c r="F158" s="68">
        <v>1.19</v>
      </c>
      <c r="G158" s="68">
        <v>1.66</v>
      </c>
      <c r="H158" s="68">
        <v>2.2799999999999998</v>
      </c>
      <c r="I158" s="68">
        <v>2.0699999999999998</v>
      </c>
      <c r="J158" s="68">
        <v>1.42</v>
      </c>
      <c r="K158" s="68">
        <v>2.39</v>
      </c>
      <c r="L158" s="68">
        <v>2.74</v>
      </c>
      <c r="M158" s="68">
        <v>2.67</v>
      </c>
      <c r="N158" s="68">
        <v>2.2999999999999998</v>
      </c>
      <c r="O158" s="68">
        <v>1.59</v>
      </c>
      <c r="P158" s="68">
        <v>2.3199999999999998</v>
      </c>
      <c r="Q158" s="68">
        <v>1.31</v>
      </c>
      <c r="R158" s="68">
        <v>0.87</v>
      </c>
      <c r="S158" s="68">
        <v>1.78</v>
      </c>
      <c r="T158" s="68">
        <v>2.15</v>
      </c>
      <c r="U158" s="68">
        <v>1.95</v>
      </c>
      <c r="V158" s="68">
        <v>1.55</v>
      </c>
      <c r="W158" s="68">
        <v>1.59</v>
      </c>
      <c r="X158" s="68">
        <v>2.65</v>
      </c>
    </row>
    <row r="159" spans="1:24" s="93" customFormat="1" ht="14.25" thickBot="1" x14ac:dyDescent="0.3">
      <c r="A159" s="225" t="s">
        <v>45</v>
      </c>
      <c r="B159" s="73">
        <v>1.97</v>
      </c>
      <c r="C159" s="73">
        <v>2.83</v>
      </c>
      <c r="D159" s="73">
        <v>3.14</v>
      </c>
      <c r="E159" s="73">
        <v>2.41</v>
      </c>
      <c r="F159" s="73">
        <v>1.57</v>
      </c>
      <c r="G159" s="73">
        <v>2.39</v>
      </c>
      <c r="H159" s="73">
        <v>3.38</v>
      </c>
      <c r="I159" s="73">
        <v>2.96</v>
      </c>
      <c r="J159" s="73">
        <v>1.99</v>
      </c>
      <c r="K159" s="73">
        <v>3.57</v>
      </c>
      <c r="L159" s="73">
        <v>4.24</v>
      </c>
      <c r="M159" s="73">
        <v>3.96</v>
      </c>
      <c r="N159" s="73">
        <v>3.26</v>
      </c>
      <c r="O159" s="73">
        <v>2.27</v>
      </c>
      <c r="P159" s="73">
        <v>3.34</v>
      </c>
      <c r="Q159" s="73">
        <v>1.75</v>
      </c>
      <c r="R159" s="73">
        <v>1.1100000000000001</v>
      </c>
      <c r="S159" s="73">
        <v>2.39</v>
      </c>
      <c r="T159" s="73">
        <v>2.99</v>
      </c>
      <c r="U159" s="73">
        <v>2.74</v>
      </c>
      <c r="V159" s="73">
        <v>2.16</v>
      </c>
      <c r="W159" s="73">
        <v>2.27</v>
      </c>
      <c r="X159" s="73">
        <v>4.07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15.8</v>
      </c>
      <c r="C162" s="68">
        <v>16.84</v>
      </c>
      <c r="D162" s="68">
        <v>20.68</v>
      </c>
      <c r="E162" s="68">
        <v>16.66</v>
      </c>
      <c r="F162" s="68">
        <v>14.51</v>
      </c>
    </row>
    <row r="163" spans="1:72" s="93" customFormat="1" ht="14.25" thickBot="1" x14ac:dyDescent="0.3">
      <c r="A163" s="225" t="s">
        <v>18</v>
      </c>
      <c r="B163" s="274">
        <v>0.44</v>
      </c>
      <c r="C163" s="274">
        <v>0.39</v>
      </c>
      <c r="D163" s="274">
        <v>0.42</v>
      </c>
      <c r="E163" s="274">
        <v>0.44</v>
      </c>
      <c r="F163" s="274">
        <v>0.4</v>
      </c>
    </row>
    <row r="164" spans="1:72" s="93" customFormat="1" ht="14.25" thickBot="1" x14ac:dyDescent="0.3">
      <c r="A164" s="224" t="s">
        <v>15</v>
      </c>
      <c r="B164" s="68">
        <v>1.43</v>
      </c>
      <c r="C164" s="68">
        <v>1.51</v>
      </c>
      <c r="D164" s="68">
        <v>1.49</v>
      </c>
      <c r="E164" s="68">
        <v>1.41</v>
      </c>
      <c r="F164" s="68">
        <v>1.48</v>
      </c>
    </row>
    <row r="165" spans="1:72" s="93" customFormat="1" ht="14.25" thickBot="1" x14ac:dyDescent="0.3">
      <c r="A165" s="225" t="s">
        <v>45</v>
      </c>
      <c r="B165" s="73">
        <v>10.23</v>
      </c>
      <c r="C165" s="73">
        <v>10.119999999999999</v>
      </c>
      <c r="D165" s="73">
        <v>13.59</v>
      </c>
      <c r="E165" s="73">
        <v>10.51</v>
      </c>
      <c r="F165" s="73">
        <v>9.08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68.7</v>
      </c>
      <c r="C168" s="68">
        <v>66.180000000000007</v>
      </c>
      <c r="D168" s="68">
        <v>67.16</v>
      </c>
      <c r="E168" s="68">
        <v>73.77</v>
      </c>
      <c r="F168" s="68">
        <v>76.92</v>
      </c>
      <c r="G168" s="68">
        <v>70.31</v>
      </c>
      <c r="H168" s="68">
        <v>67.16</v>
      </c>
      <c r="I168" s="68">
        <v>71.430000000000007</v>
      </c>
      <c r="J168" s="68">
        <v>75</v>
      </c>
      <c r="K168" s="68">
        <v>67.67</v>
      </c>
      <c r="L168" s="68">
        <v>71.430000000000007</v>
      </c>
      <c r="M168" s="68">
        <v>70.87</v>
      </c>
      <c r="N168" s="68">
        <v>68.180000000000007</v>
      </c>
      <c r="O168" s="68">
        <v>69.23</v>
      </c>
      <c r="P168" s="68">
        <v>67.16</v>
      </c>
      <c r="Q168" s="68">
        <v>74.38</v>
      </c>
      <c r="R168" s="68">
        <v>67.67</v>
      </c>
      <c r="S168" s="68">
        <v>63.83</v>
      </c>
      <c r="T168" s="68">
        <v>68.180000000000007</v>
      </c>
      <c r="U168" s="68">
        <v>73.77</v>
      </c>
      <c r="V168" s="68">
        <v>75</v>
      </c>
      <c r="W168" s="68">
        <v>72.58</v>
      </c>
      <c r="X168" s="68">
        <v>69.77</v>
      </c>
    </row>
    <row r="169" spans="1:72" s="93" customFormat="1" ht="14.25" thickBot="1" x14ac:dyDescent="0.3">
      <c r="A169" s="225" t="s">
        <v>17</v>
      </c>
      <c r="B169" s="274" t="s">
        <v>43</v>
      </c>
      <c r="C169" s="274" t="s">
        <v>43</v>
      </c>
      <c r="D169" s="274" t="s">
        <v>43</v>
      </c>
      <c r="E169" s="274" t="s">
        <v>43</v>
      </c>
      <c r="F169" s="274" t="s">
        <v>43</v>
      </c>
      <c r="G169" s="274" t="s">
        <v>43</v>
      </c>
      <c r="H169" s="274" t="s">
        <v>43</v>
      </c>
      <c r="I169" s="274" t="s">
        <v>43</v>
      </c>
      <c r="J169" s="274" t="s">
        <v>43</v>
      </c>
      <c r="K169" s="274" t="s">
        <v>43</v>
      </c>
      <c r="L169" s="274" t="s">
        <v>43</v>
      </c>
      <c r="M169" s="274" t="s">
        <v>43</v>
      </c>
      <c r="N169" s="274" t="s">
        <v>43</v>
      </c>
      <c r="O169" s="274" t="s">
        <v>43</v>
      </c>
      <c r="P169" s="274" t="s">
        <v>43</v>
      </c>
      <c r="Q169" s="274" t="s">
        <v>43</v>
      </c>
      <c r="R169" s="274" t="s">
        <v>43</v>
      </c>
      <c r="S169" s="274" t="s">
        <v>43</v>
      </c>
      <c r="T169" s="274" t="s">
        <v>43</v>
      </c>
      <c r="U169" s="274" t="s">
        <v>43</v>
      </c>
      <c r="V169" s="274" t="s">
        <v>43</v>
      </c>
      <c r="W169" s="274" t="s">
        <v>43</v>
      </c>
      <c r="X169" s="274" t="s">
        <v>43</v>
      </c>
    </row>
    <row r="170" spans="1:72" s="93" customFormat="1" ht="14.25" thickBot="1" x14ac:dyDescent="0.3">
      <c r="A170" s="224" t="s">
        <v>42</v>
      </c>
      <c r="B170" s="72">
        <v>68.7</v>
      </c>
      <c r="C170" s="72">
        <v>66.180000000000007</v>
      </c>
      <c r="D170" s="72">
        <v>67.16</v>
      </c>
      <c r="E170" s="72">
        <v>73.77</v>
      </c>
      <c r="F170" s="72">
        <v>76.92</v>
      </c>
      <c r="G170" s="72">
        <v>70.31</v>
      </c>
      <c r="H170" s="72">
        <v>67.16</v>
      </c>
      <c r="I170" s="72">
        <v>71.430000000000007</v>
      </c>
      <c r="J170" s="72">
        <v>75</v>
      </c>
      <c r="K170" s="72">
        <v>67.67</v>
      </c>
      <c r="L170" s="72">
        <v>71.430000000000007</v>
      </c>
      <c r="M170" s="72">
        <v>70.87</v>
      </c>
      <c r="N170" s="72">
        <v>68.180000000000007</v>
      </c>
      <c r="O170" s="72">
        <v>69.23</v>
      </c>
      <c r="P170" s="72">
        <v>67.16</v>
      </c>
      <c r="Q170" s="72">
        <v>74.38</v>
      </c>
      <c r="R170" s="72">
        <v>67.67</v>
      </c>
      <c r="S170" s="72">
        <v>63.83</v>
      </c>
      <c r="T170" s="72">
        <v>68.180000000000007</v>
      </c>
      <c r="U170" s="72">
        <v>73.77</v>
      </c>
      <c r="V170" s="72">
        <v>75</v>
      </c>
      <c r="W170" s="72">
        <v>72.58</v>
      </c>
      <c r="X170" s="72">
        <v>69.77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313.83999999999997</v>
      </c>
      <c r="C173" s="72">
        <v>290.89999999999998</v>
      </c>
      <c r="D173" s="72">
        <v>255.21</v>
      </c>
      <c r="E173" s="72">
        <v>320.17</v>
      </c>
      <c r="F173" s="72">
        <v>296.51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9.6300000000000008</v>
      </c>
      <c r="C176" s="72">
        <v>11.4</v>
      </c>
      <c r="D176" s="72">
        <v>11.04</v>
      </c>
      <c r="E176" s="72">
        <v>11.31</v>
      </c>
      <c r="F176" s="72">
        <v>11.92</v>
      </c>
      <c r="G176" s="72">
        <v>11.72</v>
      </c>
      <c r="H176" s="72">
        <v>12.44</v>
      </c>
      <c r="I176" s="72">
        <v>12.13</v>
      </c>
      <c r="J176" s="72">
        <v>11.99</v>
      </c>
      <c r="K176" s="72">
        <v>11.05</v>
      </c>
      <c r="L176" s="72">
        <v>9.8800000000000008</v>
      </c>
      <c r="M176" s="72">
        <v>10.24</v>
      </c>
      <c r="N176" s="72">
        <v>10.58</v>
      </c>
      <c r="O176" s="72">
        <v>10.59</v>
      </c>
      <c r="P176" s="72">
        <v>10.61</v>
      </c>
      <c r="Q176" s="72">
        <v>10.68</v>
      </c>
      <c r="R176" s="72">
        <v>11.36</v>
      </c>
      <c r="S176" s="72">
        <v>10.98</v>
      </c>
      <c r="T176" s="72">
        <v>10.77</v>
      </c>
      <c r="U176" s="72">
        <v>11.12</v>
      </c>
      <c r="V176" s="72">
        <v>10.91</v>
      </c>
      <c r="W176" s="72">
        <v>11.55</v>
      </c>
      <c r="X176" s="72">
        <v>11.56</v>
      </c>
      <c r="Y176" s="72">
        <v>12.43</v>
      </c>
      <c r="Z176" s="72">
        <v>13.6</v>
      </c>
      <c r="AA176" s="72">
        <v>15.14</v>
      </c>
      <c r="AB176" s="72">
        <v>13.8</v>
      </c>
      <c r="AC176" s="72">
        <v>14.32</v>
      </c>
      <c r="AD176" s="72">
        <v>13.03</v>
      </c>
      <c r="AE176" s="72">
        <v>13.71</v>
      </c>
      <c r="AF176" s="72">
        <v>13.95</v>
      </c>
      <c r="AG176" s="72">
        <v>12.03</v>
      </c>
      <c r="AH176" s="72">
        <v>12.43</v>
      </c>
      <c r="AI176" s="72">
        <v>11.31</v>
      </c>
      <c r="AJ176" s="72">
        <v>10.130000000000001</v>
      </c>
      <c r="AK176" s="72">
        <v>10.4</v>
      </c>
      <c r="AL176" s="72">
        <v>11.3</v>
      </c>
      <c r="AM176" s="72">
        <v>11.04</v>
      </c>
      <c r="AN176" s="72">
        <v>10.91</v>
      </c>
      <c r="AO176" s="72">
        <v>11.15</v>
      </c>
      <c r="AP176" s="72">
        <v>9.66</v>
      </c>
      <c r="AQ176" s="72">
        <v>9.16</v>
      </c>
      <c r="AR176" s="72">
        <v>8.2100000000000009</v>
      </c>
      <c r="AS176" s="72">
        <v>7.19</v>
      </c>
      <c r="AT176" s="72">
        <v>7.49</v>
      </c>
      <c r="AU176" s="72">
        <v>8.51</v>
      </c>
      <c r="AV176" s="72">
        <v>9.34</v>
      </c>
      <c r="AW176" s="72">
        <v>8.8000000000000007</v>
      </c>
      <c r="AX176" s="72">
        <v>8.27</v>
      </c>
      <c r="AY176" s="72">
        <v>8.5399999999999991</v>
      </c>
      <c r="AZ176" s="72">
        <v>10.37</v>
      </c>
      <c r="BA176" s="72">
        <v>9.7100000000000009</v>
      </c>
      <c r="BB176" s="72">
        <v>11.05</v>
      </c>
      <c r="BC176" s="72">
        <v>11.01</v>
      </c>
      <c r="BD176" s="72">
        <v>11.75</v>
      </c>
      <c r="BE176" s="72">
        <v>12.97</v>
      </c>
      <c r="BF176" s="72">
        <v>13.64</v>
      </c>
      <c r="BG176" s="72">
        <v>13.74</v>
      </c>
      <c r="BH176" s="72">
        <v>13.5</v>
      </c>
      <c r="BI176" s="72">
        <v>14.41</v>
      </c>
      <c r="BJ176" s="72">
        <v>14.29</v>
      </c>
      <c r="BK176" s="72">
        <v>15</v>
      </c>
      <c r="BL176" s="72">
        <v>13.26</v>
      </c>
      <c r="BM176" s="72">
        <v>12.92</v>
      </c>
      <c r="BN176" s="72">
        <v>11.66</v>
      </c>
      <c r="BO176" s="72">
        <v>12.38</v>
      </c>
      <c r="BP176" s="72">
        <v>12.57</v>
      </c>
      <c r="BQ176" s="72">
        <v>12.78</v>
      </c>
      <c r="BR176" s="72">
        <v>12.32</v>
      </c>
      <c r="BS176" s="72">
        <v>12.63</v>
      </c>
      <c r="BT176" s="72">
        <v>15.98</v>
      </c>
    </row>
  </sheetData>
  <phoneticPr fontId="3" type="noConversion"/>
  <conditionalFormatting sqref="E4">
    <cfRule type="cellIs" dxfId="4649" priority="101" operator="greaterThan">
      <formula>0.2</formula>
    </cfRule>
    <cfRule type="cellIs" dxfId="464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464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646" priority="95" operator="greaterThan">
      <formula>$B$19</formula>
    </cfRule>
  </conditionalFormatting>
  <conditionalFormatting sqref="D33:D34">
    <cfRule type="cellIs" dxfId="464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4644" priority="89" operator="lessThan">
      <formula>$H$62</formula>
    </cfRule>
    <cfRule type="cellIs" dxfId="4643" priority="90" operator="greaterThan">
      <formula>$H$62</formula>
    </cfRule>
  </conditionalFormatting>
  <conditionalFormatting sqref="J62">
    <cfRule type="cellIs" dxfId="4642" priority="87" operator="lessThan">
      <formula>$K$62</formula>
    </cfRule>
    <cfRule type="cellIs" dxfId="4641" priority="88" operator="greaterThan">
      <formula>$K$62</formula>
    </cfRule>
  </conditionalFormatting>
  <conditionalFormatting sqref="M62">
    <cfRule type="cellIs" dxfId="4640" priority="85" operator="lessThan">
      <formula>$N$62</formula>
    </cfRule>
    <cfRule type="cellIs" dxfId="4639" priority="86" operator="greaterThan">
      <formula>$N$62</formula>
    </cfRule>
  </conditionalFormatting>
  <conditionalFormatting sqref="B44:E44">
    <cfRule type="cellIs" dxfId="4638" priority="83" operator="greaterThan">
      <formula>0</formula>
    </cfRule>
    <cfRule type="cellIs" dxfId="4637" priority="84" operator="lessThan">
      <formula>0</formula>
    </cfRule>
  </conditionalFormatting>
  <conditionalFormatting sqref="F72">
    <cfRule type="cellIs" dxfId="4636" priority="82" operator="lessThan">
      <formula>$E$72*90%</formula>
    </cfRule>
  </conditionalFormatting>
  <conditionalFormatting sqref="F73">
    <cfRule type="cellIs" dxfId="4635" priority="81" operator="lessThan">
      <formula>$E$73*90%</formula>
    </cfRule>
  </conditionalFormatting>
  <conditionalFormatting sqref="F74">
    <cfRule type="cellIs" dxfId="4634" priority="80" operator="lessThan">
      <formula>$E$74*90%</formula>
    </cfRule>
  </conditionalFormatting>
  <conditionalFormatting sqref="F75">
    <cfRule type="cellIs" dxfId="4633" priority="79" operator="lessThan">
      <formula>$E$75*90%</formula>
    </cfRule>
  </conditionalFormatting>
  <conditionalFormatting sqref="H44:K44">
    <cfRule type="cellIs" dxfId="4632" priority="77" operator="greaterThan">
      <formula>0</formula>
    </cfRule>
    <cfRule type="cellIs" dxfId="4631" priority="78" operator="lessThan">
      <formula>0</formula>
    </cfRule>
  </conditionalFormatting>
  <conditionalFormatting sqref="H51:K51">
    <cfRule type="cellIs" dxfId="4630" priority="75" operator="greaterThan">
      <formula>0</formula>
    </cfRule>
    <cfRule type="cellIs" dxfId="4629" priority="76" operator="lessThan">
      <formula>0</formula>
    </cfRule>
  </conditionalFormatting>
  <conditionalFormatting sqref="B51:E51">
    <cfRule type="cellIs" dxfId="4628" priority="73" operator="greaterThan">
      <formula>0</formula>
    </cfRule>
    <cfRule type="cellIs" dxfId="462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62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62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624" priority="56" operator="lessThan">
      <formula>0</formula>
    </cfRule>
  </conditionalFormatting>
  <conditionalFormatting sqref="A25 E25 C25">
    <cfRule type="cellIs" dxfId="4623" priority="57" operator="lessThan">
      <formula>0</formula>
    </cfRule>
  </conditionalFormatting>
  <conditionalFormatting sqref="F25">
    <cfRule type="cellIs" dxfId="4622" priority="55" operator="lessThan">
      <formula>0</formula>
    </cfRule>
  </conditionalFormatting>
  <conditionalFormatting sqref="E1">
    <cfRule type="containsText" dxfId="4621" priority="54" operator="containsText" text="本季業外損益/平均=-">
      <formula>NOT(ISERROR(SEARCH("本季業外損益/平均=-",E1)))</formula>
    </cfRule>
  </conditionalFormatting>
  <conditionalFormatting sqref="M65">
    <cfRule type="cellIs" dxfId="4620" priority="53" operator="lessThan">
      <formula>$L$65*90%</formula>
    </cfRule>
  </conditionalFormatting>
  <conditionalFormatting sqref="M66">
    <cfRule type="cellIs" dxfId="4619" priority="52" operator="lessThan">
      <formula>$L$66*90%</formula>
    </cfRule>
  </conditionalFormatting>
  <conditionalFormatting sqref="M67">
    <cfRule type="cellIs" dxfId="4618" priority="51" operator="lessThan">
      <formula>$L$67*90%</formula>
    </cfRule>
  </conditionalFormatting>
  <conditionalFormatting sqref="M68">
    <cfRule type="cellIs" dxfId="4617" priority="50" operator="lessThan">
      <formula>$L$68*90%</formula>
    </cfRule>
  </conditionalFormatting>
  <conditionalFormatting sqref="B60">
    <cfRule type="cellIs" dxfId="4616" priority="49" operator="lessThan">
      <formula>0</formula>
    </cfRule>
  </conditionalFormatting>
  <conditionalFormatting sqref="B59:F59">
    <cfRule type="cellIs" dxfId="4615" priority="48" operator="lessThanOrEqual">
      <formula>0</formula>
    </cfRule>
  </conditionalFormatting>
  <conditionalFormatting sqref="D62">
    <cfRule type="cellIs" dxfId="4614" priority="46" operator="lessThan">
      <formula>$E$62</formula>
    </cfRule>
    <cfRule type="cellIs" dxfId="4613" priority="47" operator="greaterThan">
      <formula>$E$62</formula>
    </cfRule>
  </conditionalFormatting>
  <conditionalFormatting sqref="F69">
    <cfRule type="cellIs" dxfId="4612" priority="44" operator="lessThan">
      <formula>0</formula>
    </cfRule>
  </conditionalFormatting>
  <conditionalFormatting sqref="B65:E67 B69:E69 B68:D68">
    <cfRule type="cellIs" dxfId="4611" priority="45" operator="lessThan">
      <formula>0</formula>
    </cfRule>
  </conditionalFormatting>
  <conditionalFormatting sqref="E68">
    <cfRule type="cellIs" dxfId="4610" priority="43" operator="lessThan">
      <formula>0</formula>
    </cfRule>
  </conditionalFormatting>
  <conditionalFormatting sqref="F65:F68">
    <cfRule type="cellIs" dxfId="4609" priority="42" operator="lessThan">
      <formula>0</formula>
    </cfRule>
  </conditionalFormatting>
  <conditionalFormatting sqref="F65:F68">
    <cfRule type="cellIs" dxfId="4608" priority="41" operator="lessThan">
      <formula>$E$65*0.9</formula>
    </cfRule>
  </conditionalFormatting>
  <conditionalFormatting sqref="F66">
    <cfRule type="cellIs" dxfId="4607" priority="40" operator="lessThan">
      <formula>$E$66*0.9</formula>
    </cfRule>
  </conditionalFormatting>
  <conditionalFormatting sqref="F67:F68">
    <cfRule type="cellIs" dxfId="4606" priority="39" operator="lessThan">
      <formula>$E$67*0.9</formula>
    </cfRule>
  </conditionalFormatting>
  <conditionalFormatting sqref="F68">
    <cfRule type="cellIs" dxfId="4605" priority="38" operator="lessThan">
      <formula>$E$68*0.9</formula>
    </cfRule>
  </conditionalFormatting>
  <conditionalFormatting sqref="B13:F13">
    <cfRule type="cellIs" dxfId="4604" priority="27" operator="greaterThan">
      <formula>$I$16</formula>
    </cfRule>
    <cfRule type="cellIs" dxfId="4603" priority="28" operator="lessThanOrEqual">
      <formula>$I$16</formula>
    </cfRule>
  </conditionalFormatting>
  <conditionalFormatting sqref="B10:F10">
    <cfRule type="cellIs" dxfId="4602" priority="29" operator="greaterThan">
      <formula>15</formula>
    </cfRule>
    <cfRule type="cellIs" dxfId="4601" priority="36" operator="lessThan">
      <formula>$I$9</formula>
    </cfRule>
    <cfRule type="cellIs" dxfId="4600" priority="37" operator="greaterThan">
      <formula>$I$9</formula>
    </cfRule>
  </conditionalFormatting>
  <conditionalFormatting sqref="B16:F16">
    <cfRule type="cellIs" dxfId="4599" priority="34" operator="greaterThan">
      <formula>$I$16</formula>
    </cfRule>
    <cfRule type="cellIs" dxfId="4598" priority="35" operator="lessThanOrEqual">
      <formula>$I$16</formula>
    </cfRule>
  </conditionalFormatting>
  <conditionalFormatting sqref="B15:F15">
    <cfRule type="cellIs" dxfId="4597" priority="32" operator="lessThanOrEqual">
      <formula>$I$16</formula>
    </cfRule>
    <cfRule type="cellIs" dxfId="4596" priority="33" operator="greaterThan">
      <formula>$I$16</formula>
    </cfRule>
  </conditionalFormatting>
  <conditionalFormatting sqref="B14:F14">
    <cfRule type="cellIs" dxfId="4595" priority="30" operator="greaterThan">
      <formula>$I$16</formula>
    </cfRule>
    <cfRule type="cellIs" dxfId="4594" priority="31" operator="lessThanOrEqual">
      <formula>$I$16</formula>
    </cfRule>
  </conditionalFormatting>
  <conditionalFormatting sqref="K6">
    <cfRule type="containsText" dxfId="4593" priority="25" operator="containsText" text="衰退">
      <formula>NOT(ISERROR(SEARCH("衰退",K6)))</formula>
    </cfRule>
    <cfRule type="containsText" dxfId="4592" priority="26" operator="containsText" text="成長">
      <formula>NOT(ISERROR(SEARCH("成長",K6)))</formula>
    </cfRule>
  </conditionalFormatting>
  <conditionalFormatting sqref="I4:K4">
    <cfRule type="cellIs" dxfId="4591" priority="23" operator="lessThan">
      <formula>0</formula>
    </cfRule>
    <cfRule type="cellIs" dxfId="459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589" priority="20" operator="lessThanOrEqual">
      <formula>$I$16</formula>
    </cfRule>
    <cfRule type="cellIs" dxfId="4588" priority="21" operator="greaterThan">
      <formula>$I$16</formula>
    </cfRule>
  </conditionalFormatting>
  <conditionalFormatting sqref="I6">
    <cfRule type="containsText" dxfId="4587" priority="18" operator="containsText" text="衰退">
      <formula>NOT(ISERROR(SEARCH("衰退",I6)))</formula>
    </cfRule>
    <cfRule type="containsText" dxfId="4586" priority="19" operator="containsText" text="成長">
      <formula>NOT(ISERROR(SEARCH("成長",I6)))</formula>
    </cfRule>
  </conditionalFormatting>
  <conditionalFormatting sqref="M9">
    <cfRule type="cellIs" dxfId="4585" priority="17" operator="lessThan">
      <formula>$I$9</formula>
    </cfRule>
  </conditionalFormatting>
  <conditionalFormatting sqref="M10">
    <cfRule type="cellIs" dxfId="4584" priority="16" operator="greaterThan">
      <formula>$I$9</formula>
    </cfRule>
  </conditionalFormatting>
  <conditionalFormatting sqref="M11">
    <cfRule type="cellIs" dxfId="458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582" priority="12" operator="lessThan">
      <formula>0</formula>
    </cfRule>
    <cfRule type="cellIs" dxfId="4581" priority="13" operator="greaterThan">
      <formula>0.5</formula>
    </cfRule>
  </conditionalFormatting>
  <conditionalFormatting sqref="N14">
    <cfRule type="cellIs" dxfId="458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579" priority="8" operator="lessThan">
      <formula>0.1</formula>
    </cfRule>
  </conditionalFormatting>
  <conditionalFormatting sqref="I14">
    <cfRule type="cellIs" dxfId="457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57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576" priority="1" operator="lessThan">
      <formula>$N$5*0.9</formula>
    </cfRule>
    <cfRule type="cellIs" dxfId="4575" priority="2" operator="greaterThan">
      <formula>$N$5*1.1</formula>
    </cfRule>
  </conditionalFormatting>
  <hyperlinks>
    <hyperlink ref="L1" location="儀表板!A1" display="(回首頁)" xr:uid="{00000000-0004-0000-2A00-000000000000}"/>
  </hyperlink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8.62 ~ 18.37</v>
      </c>
      <c r="L1" s="83" t="s">
        <v>176</v>
      </c>
      <c r="M1" s="84" t="str">
        <f ca="1">VLOOKUP(_xlfn.NUMBERVALUE(N1),儀表板!A:B,2,FALSE)</f>
        <v>融程電訊</v>
      </c>
      <c r="N1" s="85" t="str">
        <f ca="1">MID(CELL("filename",L1),FIND("]",CELL("filename",L1))+1,255)</f>
        <v>3416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0.1452707715133531</v>
      </c>
    </row>
    <row r="3" spans="1:15" s="93" customFormat="1" x14ac:dyDescent="0.25">
      <c r="A3" s="81" t="s">
        <v>179</v>
      </c>
      <c r="B3" s="94">
        <f>SUM(F19:F22,F24:F27,J19)</f>
        <v>84.973890304995066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29.150328058650821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31.513868171514403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32.750349804632847</v>
      </c>
      <c r="L3" s="100"/>
      <c r="M3" s="79" t="s">
        <v>385</v>
      </c>
      <c r="N3" s="92">
        <f>(F69-E69)/E69</f>
        <v>-0.28523490651188166</v>
      </c>
    </row>
    <row r="4" spans="1:15" s="93" customFormat="1" x14ac:dyDescent="0.25">
      <c r="A4" s="81" t="s">
        <v>182</v>
      </c>
      <c r="B4" s="96">
        <f>SUM(G36:G40)*2</f>
        <v>74</v>
      </c>
      <c r="C4" s="101"/>
      <c r="D4" s="102">
        <f>F4*(1+F141/10)</f>
        <v>6.02</v>
      </c>
      <c r="E4" s="82">
        <f>(D4-F4)/F4</f>
        <v>0</v>
      </c>
      <c r="F4" s="103">
        <v>6.02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2.1871811860736421</v>
      </c>
    </row>
    <row r="5" spans="1:15" s="93" customFormat="1" x14ac:dyDescent="0.25">
      <c r="A5" s="81" t="s">
        <v>184</v>
      </c>
      <c r="B5" s="107">
        <f>SUM(F30:F34)*2</f>
        <v>98.462437137330753</v>
      </c>
      <c r="C5" s="87"/>
      <c r="D5" s="87"/>
      <c r="E5" s="87"/>
      <c r="F5" s="86"/>
      <c r="G5" s="88"/>
      <c r="M5" s="79" t="s">
        <v>386</v>
      </c>
      <c r="N5" s="152">
        <f>D62</f>
        <v>2.2000000000000002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2.5969487711203461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25.72</v>
      </c>
      <c r="N9" s="129"/>
    </row>
    <row r="10" spans="1:15" s="93" customFormat="1" x14ac:dyDescent="0.25">
      <c r="A10" s="123" t="s">
        <v>194</v>
      </c>
      <c r="B10" s="126">
        <f>PERCENTILE(176:176,B9)</f>
        <v>12.76</v>
      </c>
      <c r="C10" s="126">
        <f>PERCENTILE(176:176,C9)</f>
        <v>13.32</v>
      </c>
      <c r="D10" s="126">
        <f>PERCENTILE(176:176,D9)</f>
        <v>14.4</v>
      </c>
      <c r="E10" s="126">
        <f>PERCENTILE(176:176,E9)</f>
        <v>14.965</v>
      </c>
      <c r="F10" s="126">
        <f>PERCENTILE(176:176,F9)</f>
        <v>15.82</v>
      </c>
      <c r="G10" s="95"/>
      <c r="H10" s="135"/>
      <c r="I10" s="135"/>
      <c r="J10" s="135"/>
      <c r="K10" s="135"/>
      <c r="L10" s="136" t="s">
        <v>374</v>
      </c>
      <c r="M10" s="130">
        <f>MIN(176:176)</f>
        <v>10.43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25.37</v>
      </c>
      <c r="L11" s="272" t="s">
        <v>193</v>
      </c>
      <c r="M11" s="128">
        <f>STDEV(176:176)</f>
        <v>3.1942683263691487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47.268907563025216</v>
      </c>
      <c r="C13" s="141">
        <f>$B$34/5.88%</f>
        <v>57.397959183673471</v>
      </c>
      <c r="D13" s="141">
        <f>$B$34/5%</f>
        <v>67.5</v>
      </c>
      <c r="E13" s="141">
        <f>$B$34/4.35%</f>
        <v>77.58620689655173</v>
      </c>
      <c r="F13" s="141">
        <f>$B$34/3.85%</f>
        <v>87.662337662337663</v>
      </c>
      <c r="G13" s="138" t="str">
        <f>"$"&amp;ROUND(B34,2)&amp;"/"&amp;IF(STDEV(C140:F140)/AVERAGE(C140:F140)&lt;15%,"高",IF(STDEV(C140:F140)/AVERAGE(C140:F140)&lt;30%,"中","低"))</f>
        <v>$3.38/高</v>
      </c>
      <c r="H13" s="142" t="s">
        <v>199</v>
      </c>
      <c r="I13" s="143">
        <f>MAX(0,1-J15)</f>
        <v>1.9607843137254943E-2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49.476900000000001</v>
      </c>
      <c r="C14" s="141">
        <f>$B$33*C10</f>
        <v>51.648299999999999</v>
      </c>
      <c r="D14" s="141">
        <f>$B$33*D10</f>
        <v>55.835999999999999</v>
      </c>
      <c r="E14" s="141">
        <f>$B$33*E10</f>
        <v>58.026787499999998</v>
      </c>
      <c r="F14" s="141">
        <f>$B$33*F10</f>
        <v>61.34205</v>
      </c>
      <c r="G14" s="138" t="str">
        <f>"$"&amp;ROUND(B33,2)&amp;"/"&amp;IF(STDEV(B69:E69)/AVERAGE(B69:E69)&lt;15%,"高",IF(STDEV(B69:E69)/AVERAGE(B69:E69)&lt;30%,"中","低"))</f>
        <v>$3.88/中</v>
      </c>
      <c r="H14" s="142" t="s">
        <v>203</v>
      </c>
      <c r="I14" s="145">
        <f>G62/100*I13</f>
        <v>1.6490196078431409E-3</v>
      </c>
      <c r="J14" s="76" t="s">
        <v>204</v>
      </c>
      <c r="K14" s="146"/>
      <c r="L14" s="147">
        <f>(HLOOKUP($C$1,$105:$106,2,FALSE)-HLOOKUP($C$1,$117:$127,9,FALSE))/(HLOOKUP($C$1,$117:$128,12,FALSE)/K11)</f>
        <v>7.1627328390675631</v>
      </c>
      <c r="M14" s="148">
        <f>E135/E69</f>
        <v>1.2026143790849673</v>
      </c>
      <c r="N14" s="149">
        <f>F173/100</f>
        <v>2.5308000000000002</v>
      </c>
    </row>
    <row r="15" spans="1:15" s="93" customFormat="1" x14ac:dyDescent="0.25">
      <c r="A15" s="140" t="s">
        <v>375</v>
      </c>
      <c r="B15" s="141">
        <f>$D$62*B10</f>
        <v>28.072000000000003</v>
      </c>
      <c r="C15" s="141">
        <f>$D$62*C10</f>
        <v>29.304000000000002</v>
      </c>
      <c r="D15" s="141">
        <f>$D$62*D10</f>
        <v>31.680000000000003</v>
      </c>
      <c r="E15" s="141">
        <f>$D$62*E10</f>
        <v>32.923000000000002</v>
      </c>
      <c r="F15" s="141">
        <f>$D$62*F10</f>
        <v>34.804000000000002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0.98039215686274506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27.908431934299674</v>
      </c>
      <c r="C16" s="141">
        <f>$F$69*C10</f>
        <v>29.133253398500912</v>
      </c>
      <c r="D16" s="141">
        <f>$F$69*D10</f>
        <v>31.495409079460448</v>
      </c>
      <c r="E16" s="141">
        <f>$F$69*E10</f>
        <v>32.731166449592052</v>
      </c>
      <c r="F16" s="141">
        <f>$F$69*F10</f>
        <v>34.601206363685016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120</v>
      </c>
      <c r="J17" s="92">
        <f ca="1">IF(I17&lt;=0,"",IF(I17&lt;=MIN($B$13:$F$16),(I17-MIN($B$13:$F$16))/MIN($B$13:$F$16),IF(I17&gt;=MAX($B$13:$F$16),I17/MAX($B$13:$F$16),PERCENTRANK($B$13:$F$16,I17))))</f>
        <v>1.3688888888888888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4.0975000000000001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20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1.2140740740740741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8.8639967093589345E-2</v>
      </c>
      <c r="J20" s="171">
        <f>HLOOKUP($C$1,$117:$127,11,FALSE)/HLOOKUP($C$1,$105:$115,11,FALSE)</f>
        <v>0.14676437992820723</v>
      </c>
      <c r="K20" s="163"/>
    </row>
    <row r="21" spans="1:14" s="93" customFormat="1" x14ac:dyDescent="0.25">
      <c r="A21" s="151" t="s">
        <v>201</v>
      </c>
      <c r="B21" s="161">
        <f>AVERAGE(C173:F173)/100</f>
        <v>1.3273250000000001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4.666652554441117</v>
      </c>
      <c r="J21" s="78"/>
      <c r="K21" s="164" t="s">
        <v>356</v>
      </c>
      <c r="L21" s="165">
        <f>HLOOKUP($C$1,$105:$115,7,FALSE)/HLOOKUP($C$1,$105:$115,11,FALSE)</f>
        <v>0.67763230327549562</v>
      </c>
      <c r="M21" s="123" t="s">
        <v>268</v>
      </c>
      <c r="N21" s="165">
        <f>HLOOKUP($C$1,$117:$127,8,FALSE)/HLOOKUP($C$1,$117:$127,11,FALSE)</f>
        <v>0.9893910314994212</v>
      </c>
    </row>
    <row r="22" spans="1:14" s="93" customFormat="1" x14ac:dyDescent="0.25">
      <c r="A22" s="140" t="s">
        <v>222</v>
      </c>
      <c r="B22" s="161">
        <f>(-1)*SUM(C133:F133)/SUM(C132:F132)</f>
        <v>0.13925380977404098</v>
      </c>
      <c r="C22" s="157"/>
      <c r="D22" s="166"/>
      <c r="E22" s="140"/>
      <c r="F22" s="159">
        <f>IF(B22&lt;=0,10,IF(B22&gt;=100%,0,(1-B22)*10))</f>
        <v>8.6074619022595904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3.6607870003309957</v>
      </c>
      <c r="J22" s="78"/>
      <c r="K22" s="142" t="s">
        <v>357</v>
      </c>
      <c r="L22" s="165">
        <f>HLOOKUP($C$1,$105:$115,4,FALSE)/HLOOKUP($C$1,$105:$115,11,FALSE)</f>
        <v>7.188944161375542E-2</v>
      </c>
      <c r="M22" s="123" t="s">
        <v>353</v>
      </c>
      <c r="N22" s="165">
        <f>HLOOKUP($C$1,$117:$127,4,FALSE)/HLOOKUP($C$1,$117:$127,11,FALSE)</f>
        <v>0.39603896301712055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1.172009204111589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0.14605908287910974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1.0000551538454612</v>
      </c>
      <c r="C24" s="169">
        <f>STDEV(C103:F103)</f>
        <v>1.1030769092235104E-4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34.880000000000003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2.813475756391964E-2</v>
      </c>
      <c r="M24" s="123" t="s">
        <v>355</v>
      </c>
      <c r="N24" s="165">
        <f>HLOOKUP($C$1,$117:$127,9,FALSE)/HLOOKUP($C$1,$117:$127,11,FALSE)</f>
        <v>1.0608968500578809E-2</v>
      </c>
    </row>
    <row r="25" spans="1:14" s="93" customFormat="1" x14ac:dyDescent="0.25">
      <c r="A25" s="151" t="s">
        <v>366</v>
      </c>
      <c r="B25" s="255">
        <f>AVERAGE(94:94)</f>
        <v>916.04347826086962</v>
      </c>
      <c r="C25" s="254">
        <f>STDEV(94:94)/AVERAGE(94:94)</f>
        <v>8.1335715972645204</v>
      </c>
      <c r="D25" s="76" t="str">
        <f>IF(C25&lt;=1,"高",IF(C25&lt;=2,"中","低"))</f>
        <v>低</v>
      </c>
      <c r="E25" s="149"/>
      <c r="F25" s="160">
        <f>MAX(0,10-ABS(C25))</f>
        <v>1.8664284027354796</v>
      </c>
      <c r="G25" s="88" t="s">
        <v>213</v>
      </c>
      <c r="H25" s="123" t="s">
        <v>232</v>
      </c>
      <c r="I25" s="170">
        <f>IF(HLOOKUP(C1,167:170,3,FALSE)="無",0,HLOOKUP(C1,167:170,3,FALSE))</f>
        <v>107.14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40.787826086956514</v>
      </c>
      <c r="C26" s="172">
        <f>IF(COUNTIF(168:168,"&gt;0")=0,0,STDEV(168:168))</f>
        <v>5.3082533992074987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81.968695652173906</v>
      </c>
      <c r="C27" s="172">
        <f>IF(COUNTIF(169:169,"&gt;0")=0,0,STDEV(169:169))</f>
        <v>12.440989913970855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0.36904999999999999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0.14480000000000001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14.43</v>
      </c>
      <c r="C32" s="157" t="s">
        <v>217</v>
      </c>
      <c r="D32" s="174">
        <f>COUNTIF(159:159,"&gt;3")/COUNT(159:159)</f>
        <v>0.65217391304347827</v>
      </c>
      <c r="E32" s="140" t="s">
        <v>242</v>
      </c>
      <c r="F32" s="159">
        <f>MIN(B32/15*10,10)</f>
        <v>9.6199999999999992</v>
      </c>
      <c r="G32" s="135"/>
    </row>
    <row r="33" spans="1:14" x14ac:dyDescent="0.25">
      <c r="A33" s="155" t="s">
        <v>14</v>
      </c>
      <c r="B33" s="156">
        <f>AVERAGE(B69:E69)</f>
        <v>3.8774999999999999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3.375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9.611218568665377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1468253</v>
      </c>
      <c r="C36" s="178">
        <f>STDEV(C97:F97)</f>
        <v>81795.377893048862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36.905000000000001</v>
      </c>
      <c r="C37" s="180">
        <f>STDEV(C152:F152)</f>
        <v>1.6601305169574263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15.9725</v>
      </c>
      <c r="C38" s="180">
        <f>STDEV(C153:F153)</f>
        <v>0.42350718215082733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14.43</v>
      </c>
      <c r="C39" s="181">
        <f>STDEV(C165:F165)</f>
        <v>3.0167090236436951</v>
      </c>
      <c r="D39" s="76" t="str">
        <f>IF(C39/B39&lt;15%,"高",IF(C39/B39&lt;30%,"中","低"))</f>
        <v>中</v>
      </c>
      <c r="E39" s="107">
        <f>IF(F165&gt;E165,1,0)+IF(E165&gt;D165,1,0)+IF(D165&gt;C165,1,0)</f>
        <v>0</v>
      </c>
      <c r="F39" s="182"/>
      <c r="G39" s="160">
        <f>IF(D39="高",6,IF(D39="中",4,2))+E39+1</f>
        <v>5</v>
      </c>
    </row>
    <row r="40" spans="1:14" x14ac:dyDescent="0.25">
      <c r="A40" s="164" t="s">
        <v>14</v>
      </c>
      <c r="B40" s="183">
        <f>AVERAGE(B69:E69)</f>
        <v>3.8774999999999999</v>
      </c>
      <c r="C40" s="183">
        <f>STDEV(B69:E69)</f>
        <v>0.72545962442210765</v>
      </c>
      <c r="D40" s="76" t="str">
        <f>IF(C40/B40&lt;15%,"高",IF(C40/B40&lt;30%,"中","低"))</f>
        <v>中</v>
      </c>
      <c r="E40" s="107">
        <f>IF(E69&gt;D69,1,0)+IF(D69&gt;C69,1,0)+IF(C69&gt;B69,1,0)</f>
        <v>0</v>
      </c>
      <c r="G40" s="160">
        <f>IF(D40="高",6,IF(D40="中",4,2))+E40+1</f>
        <v>5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-0.1875</v>
      </c>
      <c r="C44" s="186">
        <f>(C46-C49)/C49</f>
        <v>-0.46739130434782611</v>
      </c>
      <c r="D44" s="186">
        <f>(D46-D49)/D49</f>
        <v>-0.38271604938271608</v>
      </c>
      <c r="E44" s="186">
        <f>(E46-E49)/E49</f>
        <v>-0.30303030303030309</v>
      </c>
      <c r="G44" s="86" t="s">
        <v>175</v>
      </c>
      <c r="H44" s="186">
        <f>(H47-H50)/H50</f>
        <v>-0.29255663430420714</v>
      </c>
      <c r="I44" s="186">
        <f>(I47-I50)/I50</f>
        <v>-0.45269526952695271</v>
      </c>
      <c r="J44" s="186">
        <f>(J47-J50)/J50</f>
        <v>-0.2137362637362637</v>
      </c>
      <c r="K44" s="186">
        <f>(K47-K50)/K50</f>
        <v>-0.25277596342259967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0.52</v>
      </c>
      <c r="C46" s="152">
        <f>HLOOKUP(C45,$81:$82,2,FALSE)</f>
        <v>0.49</v>
      </c>
      <c r="D46" s="152">
        <f>HLOOKUP(D45,$81:$82,2,FALSE)</f>
        <v>0.5</v>
      </c>
      <c r="E46" s="152">
        <f>HLOOKUP(E45,$81:$82,2,FALSE)</f>
        <v>0.69</v>
      </c>
      <c r="G46" s="86" t="s">
        <v>164</v>
      </c>
      <c r="H46" s="145">
        <f>HLOOKUP(H45,$145:$147,2,FALSE)/100</f>
        <v>0.33659999999999995</v>
      </c>
      <c r="I46" s="145">
        <f>HLOOKUP(I45,$145:$147,2,FALSE)/100</f>
        <v>0.34060000000000001</v>
      </c>
      <c r="J46" s="145">
        <f>HLOOKUP(J45,$145:$147,2,FALSE)/100</f>
        <v>0.34979999999999994</v>
      </c>
      <c r="K46" s="145">
        <f>HLOOKUP(K45,$145:$147,2,FALSE)/100</f>
        <v>0.3553</v>
      </c>
    </row>
    <row r="47" spans="1:14" x14ac:dyDescent="0.25">
      <c r="A47" s="188" t="s">
        <v>165</v>
      </c>
      <c r="B47" s="189">
        <f>HLOOKUP(B45,$157:$159,3,FALSE)</f>
        <v>2.09</v>
      </c>
      <c r="C47" s="189">
        <f>HLOOKUP(C45,$157:$159,3,FALSE)</f>
        <v>1.86</v>
      </c>
      <c r="D47" s="189">
        <f>HLOOKUP(D45,$157:$159,3,FALSE)</f>
        <v>1.85</v>
      </c>
      <c r="E47" s="189">
        <f>HLOOKUP(E45,$157:$159,3,FALSE)</f>
        <v>2.61</v>
      </c>
      <c r="G47" s="190" t="s">
        <v>166</v>
      </c>
      <c r="H47" s="145">
        <f>HLOOKUP(H45,$145:$147,3,FALSE)/100</f>
        <v>0.10929999999999999</v>
      </c>
      <c r="I47" s="145">
        <f>HLOOKUP(I45,$145:$147,3,FALSE)/100</f>
        <v>9.9499999999999991E-2</v>
      </c>
      <c r="J47" s="145">
        <f>HLOOKUP(J45,$145:$147,3,FALSE)/100</f>
        <v>0.1431</v>
      </c>
      <c r="K47" s="145">
        <f>HLOOKUP(K45,$145:$147,3,FALSE)/100</f>
        <v>0.1144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0.64</v>
      </c>
      <c r="C49" s="152">
        <f>HLOOKUP(C48,$81:$82,2,FALSE)</f>
        <v>0.92</v>
      </c>
      <c r="D49" s="152">
        <f>HLOOKUP(D48,$81:$82,2,FALSE)</f>
        <v>0.81</v>
      </c>
      <c r="E49" s="152">
        <f>HLOOKUP(E48,$81:$82,2,FALSE)</f>
        <v>0.99</v>
      </c>
      <c r="G49" s="86" t="s">
        <v>164</v>
      </c>
      <c r="H49" s="145">
        <f>HLOOKUP(H48,$145:$147,2,FALSE)/100</f>
        <v>0.38569999999999999</v>
      </c>
      <c r="I49" s="145">
        <f>HLOOKUP(I48,$145:$147,2,FALSE)/100</f>
        <v>0.40600000000000003</v>
      </c>
      <c r="J49" s="145">
        <f>HLOOKUP(J48,$145:$147,2,FALSE)/100</f>
        <v>0.39</v>
      </c>
      <c r="K49" s="145">
        <f>HLOOKUP(K48,$145:$147,2,FALSE)/100</f>
        <v>0.4078</v>
      </c>
    </row>
    <row r="50" spans="1:15" x14ac:dyDescent="0.25">
      <c r="A50" s="188" t="s">
        <v>165</v>
      </c>
      <c r="B50" s="189">
        <f>HLOOKUP(B48,$157:$159,3,FALSE)</f>
        <v>2.4500000000000002</v>
      </c>
      <c r="C50" s="189">
        <f>HLOOKUP(C48,$157:$159,3,FALSE)</f>
        <v>3.42</v>
      </c>
      <c r="D50" s="189">
        <f>HLOOKUP(D48,$157:$159,3,FALSE)</f>
        <v>2.92</v>
      </c>
      <c r="E50" s="189">
        <f>HLOOKUP(E48,$157:$159,3,FALSE)</f>
        <v>3.68</v>
      </c>
      <c r="G50" s="190" t="s">
        <v>166</v>
      </c>
      <c r="H50" s="145">
        <f>HLOOKUP(H48,$145:$147,3,FALSE)/100</f>
        <v>0.1545</v>
      </c>
      <c r="I50" s="145">
        <f>HLOOKUP(I48,$145:$147,3,FALSE)/100</f>
        <v>0.18179999999999999</v>
      </c>
      <c r="J50" s="145">
        <f>HLOOKUP(J48,$145:$147,3,FALSE)/100</f>
        <v>0.182</v>
      </c>
      <c r="K50" s="145">
        <f>HLOOKUP(K48,$145:$147,3,FALSE)/100</f>
        <v>0.15310000000000001</v>
      </c>
    </row>
    <row r="51" spans="1:15" x14ac:dyDescent="0.25">
      <c r="A51" s="86" t="s">
        <v>351</v>
      </c>
      <c r="B51" s="186">
        <f>(B47-B50)/B50</f>
        <v>-0.14693877551020421</v>
      </c>
      <c r="C51" s="186">
        <f>(C47-C50)/C50</f>
        <v>-0.45614035087719296</v>
      </c>
      <c r="D51" s="186">
        <f>(D47-D50)/D50</f>
        <v>-0.36643835616438353</v>
      </c>
      <c r="E51" s="186">
        <f>(E47-E50)/E50</f>
        <v>-0.29076086956521746</v>
      </c>
      <c r="G51" s="235" t="s">
        <v>174</v>
      </c>
      <c r="H51" s="186">
        <f>(H46-H49)/H49</f>
        <v>-0.12730101114856116</v>
      </c>
      <c r="I51" s="186">
        <f>(I46-I49)/I49</f>
        <v>-0.16108374384236457</v>
      </c>
      <c r="J51" s="186">
        <f>(J46-J49)/J49</f>
        <v>-0.10307692307692325</v>
      </c>
      <c r="K51" s="186">
        <f>(K46-K49)/K49</f>
        <v>-0.1287395782246199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2.5969487711203461</v>
      </c>
      <c r="B53" s="193">
        <f>B46</f>
        <v>0.52</v>
      </c>
      <c r="C53" s="193">
        <f>E46/HLOOKUP(E45,$87:$94,5,FALSE)*HLOOKUP(E45,$87:$94,4,FALSE)*($B$25/HLOOKUP(E45,$87:$94,4,FALSE)+SUM($B$57:$D$57)/SUM($B58:$D$58)*$G$69/100/K46)</f>
        <v>0.67718118607364219</v>
      </c>
      <c r="D53" s="193">
        <f>D46/HLOOKUP(D45,$87:$94,5,FALSE)*HLOOKUP(D45,$87:$94,4,FALSE)*($B$25/HLOOKUP(D45,$87:$94,4,FALSE)+SUM($B$57:$D$57)/SUM($B58:$D$58)*$G$69/100/J46)</f>
        <v>0.82380088148816466</v>
      </c>
      <c r="E53" s="193">
        <f>C46/HLOOKUP(C45,$87:$94,5,FALSE)*HLOOKUP(C45,$87:$94,4,FALSE)*($B$25/HLOOKUP(C45,$87:$94,4,FALSE)+SUM($B$57:$D$57)/SUM($B58:$D$58)*$G$69/100/I46)</f>
        <v>0.57596670355853929</v>
      </c>
    </row>
    <row r="54" spans="1:15" x14ac:dyDescent="0.25">
      <c r="A54" s="278">
        <f>SUM(B54:E54)</f>
        <v>2.3200000000000003</v>
      </c>
      <c r="B54" s="277">
        <f t="shared" ref="B54:D54" si="0">HLOOKUP(B52-10,81:82,2,FALSE)</f>
        <v>0.64</v>
      </c>
      <c r="C54" s="277">
        <f t="shared" si="0"/>
        <v>0.69</v>
      </c>
      <c r="D54" s="277">
        <f t="shared" si="0"/>
        <v>0.5</v>
      </c>
      <c r="E54" s="277">
        <f>HLOOKUP(E52-10,81:82,2,FALSE)</f>
        <v>0.49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108594</v>
      </c>
      <c r="C57" s="196">
        <f>HLOOKUP(C56,78:79,2,FALSE)</f>
        <v>121107</v>
      </c>
      <c r="D57" s="196">
        <f>HLOOKUP(D56,78:79,2,FALSE)</f>
        <v>110303</v>
      </c>
      <c r="E57" s="196">
        <f>HLOOKUP(E56,78:79,2,FALSE)</f>
        <v>112983</v>
      </c>
      <c r="F57" s="196">
        <f>HLOOKUP(F56,78:79,2,FALSE)</f>
        <v>106987</v>
      </c>
      <c r="G57" s="196">
        <f t="shared" ref="G57:M57" si="2">HLOOKUP(G56,78:79,2,FALSE)</f>
        <v>115011</v>
      </c>
      <c r="H57" s="196">
        <f t="shared" si="2"/>
        <v>110497</v>
      </c>
      <c r="I57" s="196">
        <f t="shared" si="2"/>
        <v>145411</v>
      </c>
      <c r="J57" s="196">
        <f t="shared" si="2"/>
        <v>95512</v>
      </c>
      <c r="K57" s="196">
        <f t="shared" si="2"/>
        <v>108885</v>
      </c>
      <c r="L57" s="196">
        <f t="shared" si="2"/>
        <v>121632</v>
      </c>
      <c r="M57" s="196">
        <f t="shared" si="2"/>
        <v>115013</v>
      </c>
      <c r="N57" s="197"/>
    </row>
    <row r="58" spans="1:15" x14ac:dyDescent="0.25">
      <c r="A58" s="198" t="s">
        <v>253</v>
      </c>
      <c r="B58" s="196">
        <f>HLOOKUP(B56-100,78:79,2,FALSE)</f>
        <v>124446</v>
      </c>
      <c r="C58" s="196">
        <f>HLOOKUP(C56-100,78:79,2,FALSE)</f>
        <v>91764</v>
      </c>
      <c r="D58" s="196">
        <f>HLOOKUP(D56-100,78:79,2,FALSE)</f>
        <v>101727</v>
      </c>
      <c r="E58" s="196">
        <f>HLOOKUP(E56-100,78:79,2,FALSE)</f>
        <v>117617</v>
      </c>
      <c r="F58" s="196">
        <f>HLOOKUP(F56-100,78:79,2,FALSE)</f>
        <v>110155</v>
      </c>
      <c r="G58" s="196">
        <f t="shared" ref="G58:M58" si="3">HLOOKUP(G56-100,78:79,2,FALSE)</f>
        <v>113478</v>
      </c>
      <c r="H58" s="196">
        <f t="shared" si="3"/>
        <v>110351</v>
      </c>
      <c r="I58" s="196">
        <f t="shared" si="3"/>
        <v>110191</v>
      </c>
      <c r="J58" s="196">
        <f t="shared" si="3"/>
        <v>95460</v>
      </c>
      <c r="K58" s="196">
        <f t="shared" si="3"/>
        <v>134821</v>
      </c>
      <c r="L58" s="196">
        <f t="shared" si="3"/>
        <v>147132</v>
      </c>
      <c r="M58" s="196">
        <f t="shared" si="3"/>
        <v>153487</v>
      </c>
      <c r="N58" s="197"/>
    </row>
    <row r="59" spans="1:15" x14ac:dyDescent="0.25">
      <c r="A59" s="199" t="s">
        <v>254</v>
      </c>
      <c r="B59" s="165">
        <f>IF(B57&lt;&gt;"",(B57-B58)/B58,"")</f>
        <v>-0.12738055060026035</v>
      </c>
      <c r="C59" s="165">
        <f>IF(C57&lt;&gt;"",(C57-C58)/C58,"")</f>
        <v>0.31976592127631753</v>
      </c>
      <c r="D59" s="165">
        <f>IF(D57&lt;&gt;"",(D57-D58)/D58,"")</f>
        <v>8.4304068732981408E-2</v>
      </c>
      <c r="E59" s="165">
        <f>IF(E57&lt;&gt;"",(E57-E58)/E58,"")</f>
        <v>-3.9399066461480906E-2</v>
      </c>
      <c r="F59" s="165">
        <f>IF(F57&lt;&gt;"",(F57-F58)/F58,"")</f>
        <v>-2.8759475284825926E-2</v>
      </c>
      <c r="G59" s="165">
        <f t="shared" ref="G59:M59" si="4">IF(G57&lt;&gt;"",(G57-G58)/G58,"")</f>
        <v>1.3509226457991857E-2</v>
      </c>
      <c r="H59" s="165">
        <f t="shared" si="4"/>
        <v>1.3230509918351443E-3</v>
      </c>
      <c r="I59" s="165">
        <f t="shared" si="4"/>
        <v>0.31962682977738655</v>
      </c>
      <c r="J59" s="165">
        <f t="shared" si="4"/>
        <v>5.4473077728891682E-4</v>
      </c>
      <c r="K59" s="165">
        <f t="shared" si="4"/>
        <v>-0.19237359165115228</v>
      </c>
      <c r="L59" s="165">
        <f t="shared" si="4"/>
        <v>-0.17331375907348504</v>
      </c>
      <c r="M59" s="165">
        <f t="shared" si="4"/>
        <v>-0.25066618019767145</v>
      </c>
    </row>
    <row r="60" spans="1:15" x14ac:dyDescent="0.25">
      <c r="A60" s="195" t="s">
        <v>255</v>
      </c>
      <c r="B60" s="196">
        <f>SUM(B57:M57)</f>
        <v>1371935</v>
      </c>
    </row>
    <row r="61" spans="1:15" x14ac:dyDescent="0.25">
      <c r="A61" s="198" t="s">
        <v>256</v>
      </c>
      <c r="B61" s="196">
        <f>SUM(B58:M58)</f>
        <v>1410629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0.972569683453268</v>
      </c>
      <c r="D62" s="152">
        <f>SUM(B46:E46)</f>
        <v>2.2000000000000002</v>
      </c>
      <c r="E62" s="152">
        <f>SUM(B49:E49)</f>
        <v>3.3600000000000003</v>
      </c>
      <c r="G62" s="126">
        <f>SUM(B47:E47)</f>
        <v>8.41</v>
      </c>
      <c r="H62" s="126">
        <f>SUM(B50:E50)</f>
        <v>12.469999999999999</v>
      </c>
      <c r="J62" s="200">
        <f>AVERAGE(H46:K46)</f>
        <v>0.34557499999999997</v>
      </c>
      <c r="K62" s="200">
        <f>AVERAGE(H49:K49)</f>
        <v>0.39737500000000003</v>
      </c>
      <c r="M62" s="200">
        <f>AVERAGE(H47:K47)</f>
        <v>0.116575</v>
      </c>
      <c r="N62" s="200">
        <f>AVERAGE(H50:K50)</f>
        <v>0.16785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1.18</v>
      </c>
      <c r="C65" s="205">
        <f t="shared" si="5"/>
        <v>0.9</v>
      </c>
      <c r="D65" s="205">
        <f t="shared" si="5"/>
        <v>0.86</v>
      </c>
      <c r="E65" s="205">
        <f t="shared" si="5"/>
        <v>0.81</v>
      </c>
      <c r="F65" s="206">
        <f>IF(ISNA(HLOOKUP(F$64*10+$A65,$81:$82,2,FALSE)),(HLOOKUP(E$64*10+$A65,$87:$94,4,FALSE)*$G65+$B$25)/HLOOKUP(E$64*10+$A65,$87:$94,5,FALSE)*$E65,HLOOKUP(F$64*10+$A65,$81:$82,2,FALSE))</f>
        <v>0.5</v>
      </c>
      <c r="G65" s="101">
        <f>MIN(130%,SUM($B$57:$D$57)/SUM($B$58:$D$58)*$G$69/HLOOKUP(E$64*10+$A65,$145:$146,2,FALSE))</f>
        <v>1.0500831294169517</v>
      </c>
      <c r="H65" s="204">
        <v>1</v>
      </c>
      <c r="I65" s="208">
        <f t="shared" ref="I65:M68" si="6">IF(ISNA(HLOOKUP(I$64*10+$H65,$145:$147,3,FALSE)),"",HLOOKUP(I$64*10+$H65,$145:$147,3,FALSE)/100)</f>
        <v>0.14480000000000001</v>
      </c>
      <c r="J65" s="208">
        <f t="shared" si="6"/>
        <v>0.1348</v>
      </c>
      <c r="K65" s="208">
        <f t="shared" si="6"/>
        <v>0.16440000000000002</v>
      </c>
      <c r="L65" s="208">
        <f t="shared" si="6"/>
        <v>0.182</v>
      </c>
      <c r="M65" s="209">
        <f t="shared" si="6"/>
        <v>0.1431</v>
      </c>
      <c r="N65" s="256">
        <f t="shared" ref="N65:O68" si="7">HLOOKUP(E$64*10+$A65,$87:$94,8,FALSE)</f>
        <v>-4904</v>
      </c>
      <c r="O65" s="256">
        <f t="shared" si="7"/>
        <v>-13968</v>
      </c>
      <c r="P65" s="210"/>
    </row>
    <row r="66" spans="1:71" x14ac:dyDescent="0.25">
      <c r="A66" s="204">
        <v>2</v>
      </c>
      <c r="B66" s="205">
        <f t="shared" si="5"/>
        <v>1.1100000000000001</v>
      </c>
      <c r="C66" s="205">
        <f t="shared" si="5"/>
        <v>0.91</v>
      </c>
      <c r="D66" s="205">
        <f t="shared" si="5"/>
        <v>0.76</v>
      </c>
      <c r="E66" s="205">
        <f t="shared" si="5"/>
        <v>0.92</v>
      </c>
      <c r="F66" s="206">
        <f>IF(ISNA(HLOOKUP(F$64*10+$A66,$81:$82,2,FALSE)),(HLOOKUP(E$64*10+$A66,$87:$94,4,FALSE)*$G66+$B$25)/HLOOKUP(E$64*10+$A66,$87:$94,5,FALSE)*$E66,HLOOKUP(F$64*10+$A66,$81:$82,2,FALSE))</f>
        <v>0.49</v>
      </c>
      <c r="G66" s="101">
        <f>MIN(130%,SUM($B$57:$D$57)/SUM($B$58:$D$58)*$G$69/HLOOKUP(E$64*10+$A66,$145:$146,2,FALSE))</f>
        <v>1.0087005430359879</v>
      </c>
      <c r="H66" s="204">
        <v>2</v>
      </c>
      <c r="I66" s="208">
        <f t="shared" si="6"/>
        <v>0.1648</v>
      </c>
      <c r="J66" s="208">
        <f t="shared" si="6"/>
        <v>0.1535</v>
      </c>
      <c r="K66" s="208">
        <f t="shared" si="6"/>
        <v>0.16449999999999998</v>
      </c>
      <c r="L66" s="208">
        <f t="shared" si="6"/>
        <v>0.18179999999999999</v>
      </c>
      <c r="M66" s="209">
        <f t="shared" si="6"/>
        <v>9.9499999999999991E-2</v>
      </c>
      <c r="N66" s="256">
        <f t="shared" si="7"/>
        <v>4147</v>
      </c>
      <c r="O66" s="256">
        <f t="shared" si="7"/>
        <v>1538</v>
      </c>
      <c r="P66" s="210"/>
    </row>
    <row r="67" spans="1:71" x14ac:dyDescent="0.25">
      <c r="A67" s="204">
        <v>3</v>
      </c>
      <c r="B67" s="205">
        <f t="shared" si="5"/>
        <v>1.22</v>
      </c>
      <c r="C67" s="205">
        <f t="shared" si="5"/>
        <v>1.33</v>
      </c>
      <c r="D67" s="205">
        <f t="shared" si="5"/>
        <v>0.91</v>
      </c>
      <c r="E67" s="205">
        <f t="shared" si="5"/>
        <v>0.64</v>
      </c>
      <c r="F67" s="206">
        <f>IF(ISNA(HLOOKUP(F$64*10+$A67,$81:$82,2,FALSE)),(HLOOKUP(E$64*10+$A67,$87:$94,4,FALSE)*$G67+$B$25)/HLOOKUP(E$64*10+$A67,$87:$94,5,FALSE)*$E67,HLOOKUP(F$64*10+$A67,$81:$82,2,FALSE))</f>
        <v>0.52</v>
      </c>
      <c r="G67" s="101">
        <f>MIN(130%,SUM($B$57:$D$57)/SUM($B$58:$D$58)*$G$69/HLOOKUP(E$64*10+$A67,$145:$146,2,FALSE))</f>
        <v>1.06179004530104</v>
      </c>
      <c r="H67" s="204">
        <v>3</v>
      </c>
      <c r="I67" s="208">
        <f t="shared" si="6"/>
        <v>0.17620000000000002</v>
      </c>
      <c r="J67" s="208">
        <f t="shared" si="6"/>
        <v>0.19170000000000001</v>
      </c>
      <c r="K67" s="208">
        <f t="shared" si="6"/>
        <v>0.18770000000000001</v>
      </c>
      <c r="L67" s="208">
        <f t="shared" si="6"/>
        <v>0.1545</v>
      </c>
      <c r="M67" s="209">
        <f t="shared" si="6"/>
        <v>0.10929999999999999</v>
      </c>
      <c r="N67" s="256">
        <f t="shared" si="7"/>
        <v>-3759</v>
      </c>
      <c r="O67" s="256">
        <f t="shared" si="7"/>
        <v>-1072</v>
      </c>
      <c r="P67" s="210"/>
    </row>
    <row r="68" spans="1:71" x14ac:dyDescent="0.25">
      <c r="A68" s="204">
        <v>4</v>
      </c>
      <c r="B68" s="205">
        <f>HLOOKUP(B$64*10+$A68,$81:$82,2,FALSE)</f>
        <v>1.17</v>
      </c>
      <c r="C68" s="205">
        <f>HLOOKUP(C$64*10+$A68,$81:$82,2,FALSE)</f>
        <v>1.1100000000000001</v>
      </c>
      <c r="D68" s="205">
        <f>HLOOKUP(D$64*10+$A68,$81:$82,2,FALSE)</f>
        <v>0.99</v>
      </c>
      <c r="E68" s="206">
        <f>IF(ISNA(HLOOKUP(E$64*10+$A68,$81:$82,2,FALSE)),D68*(1-$N68)*#REF!*(1+$B$25)/(1+$E$4),HLOOKUP(E$64*10+$A68,$81:$82,2,FALSE))</f>
        <v>0.69</v>
      </c>
      <c r="F68" s="206">
        <f>IF(ISNA(HLOOKUP(F$64*10+$A68,$81:$82,2,FALSE)),(HLOOKUP(E$64*10+$A68,$87:$94,4,FALSE)*$G68+$B$25)/HLOOKUP(E$64*10+$A68,$87:$94,5,FALSE)*$E68,HLOOKUP(F$64*10+$A68,$81:$82,2,FALSE))</f>
        <v>0.67718118607364219</v>
      </c>
      <c r="G68" s="101">
        <f>MIN(130%,SUM($B$57:$D$57)/SUM($B$58:$D$58)*$G$69/HLOOKUP(E$64*10+$A68,$145:$146,2,FALSE))</f>
        <v>1.152638391423054</v>
      </c>
      <c r="H68" s="204">
        <v>4</v>
      </c>
      <c r="I68" s="208">
        <f t="shared" si="6"/>
        <v>0.14610000000000001</v>
      </c>
      <c r="J68" s="208">
        <f t="shared" si="6"/>
        <v>0.14319999999999999</v>
      </c>
      <c r="K68" s="208">
        <f t="shared" si="6"/>
        <v>0.15310000000000001</v>
      </c>
      <c r="L68" s="208">
        <f t="shared" si="6"/>
        <v>0.1144</v>
      </c>
      <c r="M68" s="209" t="str">
        <f t="shared" si="6"/>
        <v/>
      </c>
      <c r="N68" s="256">
        <f t="shared" si="7"/>
        <v>8139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4.68</v>
      </c>
      <c r="C69" s="213">
        <f>SUM(C65:C68)</f>
        <v>4.25</v>
      </c>
      <c r="D69" s="213">
        <f>SUM(D65:D68)</f>
        <v>3.5200000000000005</v>
      </c>
      <c r="E69" s="213">
        <f>SUM(E65:E68)</f>
        <v>3.06</v>
      </c>
      <c r="F69" s="213">
        <f>SUM(F65:F68)</f>
        <v>2.1871811860736421</v>
      </c>
      <c r="G69" s="257">
        <f>_xlfn.FORECAST.ETS(23,B146:W146,{1,2,3,4,5,6,7,8,9,10,11,12,13,14,15,16,17,18,19,20,21,22})</f>
        <v>38.295287457735959</v>
      </c>
      <c r="H69" s="214" t="s">
        <v>19</v>
      </c>
      <c r="I69" s="215">
        <f>HLOOKUP(I64,151:155,3,FALSE)/100</f>
        <v>0.1585</v>
      </c>
      <c r="J69" s="215">
        <f>HLOOKUP(J64,151:155,3,FALSE)/100</f>
        <v>0.15689999999999998</v>
      </c>
      <c r="K69" s="215">
        <f>HLOOKUP(K64,151:155,3,FALSE)/100</f>
        <v>0.16600000000000001</v>
      </c>
      <c r="L69" s="215">
        <f>IF(ISNA(HLOOKUP(L64,151:155,3,FALSE)/100),AVERAGE(L65:L68),HLOOKUP(L64,151:155,3,FALSE)/100)</f>
        <v>0.1575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4.68</v>
      </c>
      <c r="C72" s="205">
        <f t="shared" si="8"/>
        <v>3.34</v>
      </c>
      <c r="D72" s="205">
        <f t="shared" si="8"/>
        <v>3.05</v>
      </c>
      <c r="E72" s="205">
        <f t="shared" si="8"/>
        <v>2.92</v>
      </c>
      <c r="F72" s="205">
        <f t="shared" si="8"/>
        <v>1.85</v>
      </c>
    </row>
    <row r="73" spans="1:71" s="135" customFormat="1" x14ac:dyDescent="0.25">
      <c r="A73" s="204">
        <v>2</v>
      </c>
      <c r="B73" s="205">
        <f t="shared" si="8"/>
        <v>4.67</v>
      </c>
      <c r="C73" s="205">
        <f t="shared" si="8"/>
        <v>3.78</v>
      </c>
      <c r="D73" s="205">
        <f t="shared" si="8"/>
        <v>2.82</v>
      </c>
      <c r="E73" s="205">
        <f t="shared" si="8"/>
        <v>3.42</v>
      </c>
      <c r="F73" s="205">
        <f t="shared" si="8"/>
        <v>1.86</v>
      </c>
    </row>
    <row r="74" spans="1:71" s="135" customFormat="1" x14ac:dyDescent="0.25">
      <c r="A74" s="204">
        <v>3</v>
      </c>
      <c r="B74" s="205">
        <f t="shared" si="8"/>
        <v>5.0199999999999996</v>
      </c>
      <c r="C74" s="205">
        <f t="shared" si="8"/>
        <v>5.15</v>
      </c>
      <c r="D74" s="205">
        <f t="shared" si="8"/>
        <v>3.54</v>
      </c>
      <c r="E74" s="205">
        <f t="shared" si="8"/>
        <v>2.4500000000000002</v>
      </c>
      <c r="F74" s="205">
        <f t="shared" si="8"/>
        <v>2.09</v>
      </c>
    </row>
    <row r="75" spans="1:71" s="135" customFormat="1" x14ac:dyDescent="0.25">
      <c r="A75" s="204">
        <v>4</v>
      </c>
      <c r="B75" s="205">
        <f t="shared" si="8"/>
        <v>4.34</v>
      </c>
      <c r="C75" s="205">
        <f t="shared" si="8"/>
        <v>3.85</v>
      </c>
      <c r="D75" s="205">
        <f t="shared" si="8"/>
        <v>3.68</v>
      </c>
      <c r="E75" s="205">
        <f t="shared" si="8"/>
        <v>2.61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18.71</v>
      </c>
      <c r="C76" s="213">
        <f>SUM(C72:C75)</f>
        <v>16.12</v>
      </c>
      <c r="D76" s="213">
        <f>SUM(D72:D75)</f>
        <v>13.09</v>
      </c>
      <c r="E76" s="213">
        <f>AVERAGE(E72:E75)*4</f>
        <v>11.399999999999999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91843</v>
      </c>
      <c r="C79" s="270">
        <v>94969</v>
      </c>
      <c r="D79" s="270">
        <v>103138</v>
      </c>
      <c r="E79" s="270">
        <v>123671</v>
      </c>
      <c r="F79" s="270">
        <v>100584</v>
      </c>
      <c r="G79" s="270">
        <v>122977</v>
      </c>
      <c r="H79" s="270">
        <v>105162</v>
      </c>
      <c r="I79" s="270">
        <v>104427</v>
      </c>
      <c r="J79" s="270">
        <v>104719</v>
      </c>
      <c r="K79" s="270">
        <v>91477</v>
      </c>
      <c r="L79" s="270">
        <v>113395</v>
      </c>
      <c r="M79" s="270">
        <v>104606</v>
      </c>
      <c r="N79" s="270">
        <v>119540</v>
      </c>
      <c r="O79" s="270">
        <v>86150</v>
      </c>
      <c r="P79" s="270">
        <v>135873</v>
      </c>
      <c r="Q79" s="270">
        <v>125854</v>
      </c>
      <c r="R79" s="270">
        <v>115740</v>
      </c>
      <c r="S79" s="270">
        <v>101048</v>
      </c>
      <c r="T79" s="270">
        <v>159405</v>
      </c>
      <c r="U79" s="270">
        <v>145997</v>
      </c>
      <c r="V79" s="270">
        <v>110023</v>
      </c>
      <c r="W79" s="270">
        <v>119963</v>
      </c>
      <c r="X79" s="270">
        <v>137940</v>
      </c>
      <c r="Y79" s="270">
        <v>125242</v>
      </c>
      <c r="Z79" s="270">
        <v>108248</v>
      </c>
      <c r="AA79" s="270">
        <v>92975</v>
      </c>
      <c r="AB79" s="270">
        <v>126283</v>
      </c>
      <c r="AC79" s="270">
        <v>122005</v>
      </c>
      <c r="AD79" s="270">
        <v>127119</v>
      </c>
      <c r="AE79" s="270">
        <v>121356</v>
      </c>
      <c r="AF79" s="270">
        <v>146901</v>
      </c>
      <c r="AG79" s="270">
        <v>134691</v>
      </c>
      <c r="AH79" s="270">
        <v>123333</v>
      </c>
      <c r="AI79" s="270">
        <v>139643</v>
      </c>
      <c r="AJ79" s="270">
        <v>132218</v>
      </c>
      <c r="AK79" s="270">
        <v>141164</v>
      </c>
      <c r="AL79" s="270">
        <v>147943</v>
      </c>
      <c r="AM79" s="270">
        <v>96267</v>
      </c>
      <c r="AN79" s="270">
        <v>145724</v>
      </c>
      <c r="AO79" s="270">
        <v>142223</v>
      </c>
      <c r="AP79" s="270">
        <v>131963</v>
      </c>
      <c r="AQ79" s="270">
        <v>101135</v>
      </c>
      <c r="AR79" s="270">
        <v>100493</v>
      </c>
      <c r="AS79" s="270">
        <v>109567</v>
      </c>
      <c r="AT79" s="270">
        <v>109931</v>
      </c>
      <c r="AU79" s="270">
        <v>149387</v>
      </c>
      <c r="AV79" s="270">
        <v>153487</v>
      </c>
      <c r="AW79" s="270">
        <v>147132</v>
      </c>
      <c r="AX79" s="270">
        <v>134821</v>
      </c>
      <c r="AY79" s="270">
        <v>95460</v>
      </c>
      <c r="AZ79" s="270">
        <v>110191</v>
      </c>
      <c r="BA79" s="270">
        <v>110351</v>
      </c>
      <c r="BB79" s="270">
        <v>113478</v>
      </c>
      <c r="BC79" s="270">
        <v>110155</v>
      </c>
      <c r="BD79" s="270">
        <v>117617</v>
      </c>
      <c r="BE79" s="270">
        <v>101727</v>
      </c>
      <c r="BF79" s="270">
        <v>91764</v>
      </c>
      <c r="BG79" s="270">
        <v>124446</v>
      </c>
      <c r="BH79" s="270">
        <v>115013</v>
      </c>
      <c r="BI79" s="270">
        <v>121632</v>
      </c>
      <c r="BJ79" s="270">
        <v>108885</v>
      </c>
      <c r="BK79" s="270">
        <v>95512</v>
      </c>
      <c r="BL79" s="270">
        <v>145411</v>
      </c>
      <c r="BM79" s="270">
        <v>110497</v>
      </c>
      <c r="BN79" s="270">
        <v>115011</v>
      </c>
      <c r="BO79" s="270">
        <v>106987</v>
      </c>
      <c r="BP79" s="270">
        <v>112983</v>
      </c>
      <c r="BQ79" s="270">
        <v>110303</v>
      </c>
      <c r="BR79" s="270">
        <v>121107</v>
      </c>
      <c r="BS79" s="270">
        <v>108594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0.83</v>
      </c>
      <c r="C82" s="72">
        <v>0.96</v>
      </c>
      <c r="D82" s="72">
        <v>0.88</v>
      </c>
      <c r="E82" s="72">
        <v>0.69</v>
      </c>
      <c r="F82" s="72">
        <v>1.18</v>
      </c>
      <c r="G82" s="72">
        <v>1.1100000000000001</v>
      </c>
      <c r="H82" s="72">
        <v>1.22</v>
      </c>
      <c r="I82" s="72">
        <v>1.17</v>
      </c>
      <c r="J82" s="72">
        <v>0.9</v>
      </c>
      <c r="K82" s="72">
        <v>0.91</v>
      </c>
      <c r="L82" s="72">
        <v>1.33</v>
      </c>
      <c r="M82" s="72">
        <v>1.1100000000000001</v>
      </c>
      <c r="N82" s="72">
        <v>0.86</v>
      </c>
      <c r="O82" s="72">
        <v>0.76</v>
      </c>
      <c r="P82" s="72">
        <v>0.91</v>
      </c>
      <c r="Q82" s="72">
        <v>0.99</v>
      </c>
      <c r="R82" s="72">
        <v>0.81</v>
      </c>
      <c r="S82" s="72">
        <v>0.92</v>
      </c>
      <c r="T82" s="72">
        <v>0.64</v>
      </c>
      <c r="U82" s="72">
        <v>0.69</v>
      </c>
      <c r="V82" s="72">
        <v>0.5</v>
      </c>
      <c r="W82" s="72">
        <v>0.49</v>
      </c>
      <c r="X82" s="72">
        <v>0.52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25.43</v>
      </c>
      <c r="C85" s="72">
        <v>23.39</v>
      </c>
      <c r="D85" s="72">
        <v>23.81</v>
      </c>
      <c r="E85" s="72">
        <v>24.49</v>
      </c>
      <c r="F85" s="72">
        <v>25.49</v>
      </c>
      <c r="G85" s="72">
        <v>24.13</v>
      </c>
      <c r="H85" s="72">
        <v>25.33</v>
      </c>
      <c r="I85" s="72">
        <v>26.58</v>
      </c>
      <c r="J85" s="72">
        <v>27.59</v>
      </c>
      <c r="K85" s="72">
        <v>25.55</v>
      </c>
      <c r="L85" s="72">
        <v>26.66</v>
      </c>
      <c r="M85" s="72">
        <v>27.73</v>
      </c>
      <c r="N85" s="72">
        <v>28.6</v>
      </c>
      <c r="O85" s="72">
        <v>25.4</v>
      </c>
      <c r="P85" s="72">
        <v>26.32</v>
      </c>
      <c r="Q85" s="72">
        <v>27.31</v>
      </c>
      <c r="R85" s="72">
        <v>28.17</v>
      </c>
      <c r="S85" s="72">
        <v>25.67</v>
      </c>
      <c r="T85" s="72">
        <v>26.34</v>
      </c>
      <c r="U85" s="72">
        <v>26.94</v>
      </c>
      <c r="V85" s="72">
        <v>27.39</v>
      </c>
      <c r="W85" s="72">
        <v>24.87</v>
      </c>
      <c r="X85" s="72">
        <v>25.37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289950</v>
      </c>
      <c r="C88" s="273">
        <v>347232</v>
      </c>
      <c r="D88" s="273">
        <v>314308</v>
      </c>
      <c r="E88" s="273">
        <v>309646</v>
      </c>
      <c r="F88" s="273">
        <v>348833</v>
      </c>
      <c r="G88" s="273">
        <v>342605</v>
      </c>
      <c r="H88" s="273">
        <v>415427</v>
      </c>
      <c r="I88" s="273">
        <v>386284</v>
      </c>
      <c r="J88" s="273">
        <v>327506</v>
      </c>
      <c r="K88" s="273">
        <v>370480</v>
      </c>
      <c r="L88" s="273">
        <v>404923</v>
      </c>
      <c r="M88" s="273">
        <v>413045</v>
      </c>
      <c r="N88" s="273">
        <v>381247</v>
      </c>
      <c r="O88" s="273">
        <v>365977</v>
      </c>
      <c r="P88" s="273">
        <v>319991</v>
      </c>
      <c r="Q88" s="273">
        <v>450007</v>
      </c>
      <c r="R88" s="273">
        <v>340383</v>
      </c>
      <c r="S88" s="273">
        <v>334090</v>
      </c>
      <c r="T88" s="273">
        <v>311096</v>
      </c>
      <c r="U88" s="273">
        <v>361118</v>
      </c>
      <c r="V88" s="273">
        <v>350804</v>
      </c>
      <c r="W88" s="273">
        <v>332782</v>
      </c>
      <c r="X88" s="273">
        <v>344393</v>
      </c>
    </row>
    <row r="89" spans="1:25" ht="14.25" thickBot="1" x14ac:dyDescent="0.3">
      <c r="A89" s="250" t="s">
        <v>4</v>
      </c>
      <c r="B89" s="275">
        <v>104380</v>
      </c>
      <c r="C89" s="275">
        <v>120914</v>
      </c>
      <c r="D89" s="275">
        <v>124982</v>
      </c>
      <c r="E89" s="275">
        <v>95434</v>
      </c>
      <c r="F89" s="275">
        <v>118656</v>
      </c>
      <c r="G89" s="275">
        <v>130019</v>
      </c>
      <c r="H89" s="275">
        <v>144949</v>
      </c>
      <c r="I89" s="275">
        <v>131470</v>
      </c>
      <c r="J89" s="275">
        <v>114247</v>
      </c>
      <c r="K89" s="275">
        <v>132648</v>
      </c>
      <c r="L89" s="275">
        <v>153159</v>
      </c>
      <c r="M89" s="275">
        <v>142587</v>
      </c>
      <c r="N89" s="275">
        <v>136247</v>
      </c>
      <c r="O89" s="275">
        <v>132838</v>
      </c>
      <c r="P89" s="275">
        <v>128170</v>
      </c>
      <c r="Q89" s="275">
        <v>183529</v>
      </c>
      <c r="R89" s="275">
        <v>132760</v>
      </c>
      <c r="S89" s="275">
        <v>135630</v>
      </c>
      <c r="T89" s="275">
        <v>119983</v>
      </c>
      <c r="U89" s="275">
        <v>128298</v>
      </c>
      <c r="V89" s="275">
        <v>122724</v>
      </c>
      <c r="W89" s="275">
        <v>113351</v>
      </c>
      <c r="X89" s="275">
        <v>115939</v>
      </c>
    </row>
    <row r="90" spans="1:25" ht="14.25" thickBot="1" x14ac:dyDescent="0.3">
      <c r="A90" s="251" t="s">
        <v>5</v>
      </c>
      <c r="B90" s="273">
        <v>43063</v>
      </c>
      <c r="C90" s="273">
        <v>57019</v>
      </c>
      <c r="D90" s="273">
        <v>59609</v>
      </c>
      <c r="E90" s="273">
        <v>43787</v>
      </c>
      <c r="F90" s="273">
        <v>50517</v>
      </c>
      <c r="G90" s="273">
        <v>56466</v>
      </c>
      <c r="H90" s="273">
        <v>73190</v>
      </c>
      <c r="I90" s="273">
        <v>56449</v>
      </c>
      <c r="J90" s="273">
        <v>44138</v>
      </c>
      <c r="K90" s="273">
        <v>56881</v>
      </c>
      <c r="L90" s="273">
        <v>77643</v>
      </c>
      <c r="M90" s="273">
        <v>59148</v>
      </c>
      <c r="N90" s="273">
        <v>62668</v>
      </c>
      <c r="O90" s="273">
        <v>60202</v>
      </c>
      <c r="P90" s="273">
        <v>60058</v>
      </c>
      <c r="Q90" s="273">
        <v>68884</v>
      </c>
      <c r="R90" s="273">
        <v>61965</v>
      </c>
      <c r="S90" s="273">
        <v>60734</v>
      </c>
      <c r="T90" s="273">
        <v>48055</v>
      </c>
      <c r="U90" s="273">
        <v>41303</v>
      </c>
      <c r="V90" s="273">
        <v>50184</v>
      </c>
      <c r="W90" s="273">
        <v>33099</v>
      </c>
      <c r="X90" s="273">
        <v>37635</v>
      </c>
    </row>
    <row r="91" spans="1:25" ht="14.25" thickBot="1" x14ac:dyDescent="0.3">
      <c r="A91" s="250" t="s">
        <v>6</v>
      </c>
      <c r="B91" s="275">
        <v>41026</v>
      </c>
      <c r="C91" s="275">
        <v>52111</v>
      </c>
      <c r="D91" s="275">
        <v>45504</v>
      </c>
      <c r="E91" s="275">
        <v>45495</v>
      </c>
      <c r="F91" s="275">
        <v>61322</v>
      </c>
      <c r="G91" s="275">
        <v>61032</v>
      </c>
      <c r="H91" s="275">
        <v>68784</v>
      </c>
      <c r="I91" s="275">
        <v>62907</v>
      </c>
      <c r="J91" s="275">
        <v>52330</v>
      </c>
      <c r="K91" s="275">
        <v>58048</v>
      </c>
      <c r="L91" s="275">
        <v>87279</v>
      </c>
      <c r="M91" s="275">
        <v>72196</v>
      </c>
      <c r="N91" s="275">
        <v>60830</v>
      </c>
      <c r="O91" s="275">
        <v>52094</v>
      </c>
      <c r="P91" s="275">
        <v>69495</v>
      </c>
      <c r="Q91" s="275">
        <v>70217</v>
      </c>
      <c r="R91" s="275">
        <v>57061</v>
      </c>
      <c r="S91" s="275">
        <v>64881</v>
      </c>
      <c r="T91" s="275">
        <v>44296</v>
      </c>
      <c r="U91" s="275">
        <v>49442</v>
      </c>
      <c r="V91" s="275">
        <v>36216</v>
      </c>
      <c r="W91" s="275">
        <v>34637</v>
      </c>
      <c r="X91" s="275">
        <v>36563</v>
      </c>
    </row>
    <row r="92" spans="1:25" ht="14.25" thickBot="1" x14ac:dyDescent="0.3">
      <c r="A92" s="251" t="s">
        <v>7</v>
      </c>
      <c r="B92" s="273">
        <v>36838</v>
      </c>
      <c r="C92" s="273">
        <v>43645</v>
      </c>
      <c r="D92" s="273">
        <v>40114</v>
      </c>
      <c r="E92" s="273">
        <v>31193</v>
      </c>
      <c r="F92" s="273">
        <v>53487</v>
      </c>
      <c r="G92" s="273">
        <v>52805</v>
      </c>
      <c r="H92" s="273">
        <v>59364</v>
      </c>
      <c r="I92" s="273">
        <v>56450</v>
      </c>
      <c r="J92" s="273">
        <v>45386</v>
      </c>
      <c r="K92" s="273">
        <v>50441</v>
      </c>
      <c r="L92" s="273">
        <v>74373</v>
      </c>
      <c r="M92" s="273">
        <v>62938</v>
      </c>
      <c r="N92" s="273">
        <v>51649</v>
      </c>
      <c r="O92" s="273">
        <v>45872</v>
      </c>
      <c r="P92" s="273">
        <v>55017</v>
      </c>
      <c r="Q92" s="273">
        <v>59342</v>
      </c>
      <c r="R92" s="273">
        <v>48744</v>
      </c>
      <c r="S92" s="273">
        <v>55416</v>
      </c>
      <c r="T92" s="273">
        <v>38408</v>
      </c>
      <c r="U92" s="273">
        <v>41780</v>
      </c>
      <c r="V92" s="273">
        <v>30230</v>
      </c>
      <c r="W92" s="273">
        <v>29217</v>
      </c>
      <c r="X92" s="273">
        <v>31567</v>
      </c>
    </row>
    <row r="93" spans="1:25" ht="26.25" thickBot="1" x14ac:dyDescent="0.3">
      <c r="A93" s="252" t="s">
        <v>8</v>
      </c>
      <c r="B93" s="276">
        <v>36885</v>
      </c>
      <c r="C93" s="276">
        <v>43499</v>
      </c>
      <c r="D93" s="276">
        <v>39968</v>
      </c>
      <c r="E93" s="276">
        <v>31327</v>
      </c>
      <c r="F93" s="276">
        <v>53467</v>
      </c>
      <c r="G93" s="276">
        <v>52874</v>
      </c>
      <c r="H93" s="276">
        <v>59364</v>
      </c>
      <c r="I93" s="276">
        <v>56450</v>
      </c>
      <c r="J93" s="276">
        <v>45386</v>
      </c>
      <c r="K93" s="276">
        <v>50441</v>
      </c>
      <c r="L93" s="276">
        <v>74373</v>
      </c>
      <c r="M93" s="276">
        <v>62938</v>
      </c>
      <c r="N93" s="276">
        <v>51649</v>
      </c>
      <c r="O93" s="276">
        <v>45872</v>
      </c>
      <c r="P93" s="276">
        <v>55017</v>
      </c>
      <c r="Q93" s="276">
        <v>59342</v>
      </c>
      <c r="R93" s="276">
        <v>48744</v>
      </c>
      <c r="S93" s="276">
        <v>55416</v>
      </c>
      <c r="T93" s="276">
        <v>38408</v>
      </c>
      <c r="U93" s="276">
        <v>41780</v>
      </c>
      <c r="V93" s="276">
        <v>30230</v>
      </c>
      <c r="W93" s="276">
        <v>29217</v>
      </c>
      <c r="X93" s="276">
        <v>31567</v>
      </c>
    </row>
    <row r="94" spans="1:25" x14ac:dyDescent="0.25">
      <c r="A94" s="233" t="s">
        <v>365</v>
      </c>
      <c r="B94" s="253">
        <f>IF(B91="","",B91-B90)</f>
        <v>-2037</v>
      </c>
      <c r="C94" s="253">
        <f>IF(C91="","",C91-C90)</f>
        <v>-4908</v>
      </c>
      <c r="D94" s="253">
        <f t="shared" ref="D94:Y94" si="9">IF(D91="","",D91-D90)</f>
        <v>-14105</v>
      </c>
      <c r="E94" s="253">
        <f t="shared" si="9"/>
        <v>1708</v>
      </c>
      <c r="F94" s="253">
        <f t="shared" si="9"/>
        <v>10805</v>
      </c>
      <c r="G94" s="253">
        <f t="shared" si="9"/>
        <v>4566</v>
      </c>
      <c r="H94" s="253">
        <f t="shared" si="9"/>
        <v>-4406</v>
      </c>
      <c r="I94" s="253">
        <f t="shared" si="9"/>
        <v>6458</v>
      </c>
      <c r="J94" s="253">
        <f t="shared" si="9"/>
        <v>8192</v>
      </c>
      <c r="K94" s="253">
        <f t="shared" si="9"/>
        <v>1167</v>
      </c>
      <c r="L94" s="253">
        <f t="shared" si="9"/>
        <v>9636</v>
      </c>
      <c r="M94" s="253">
        <f t="shared" si="9"/>
        <v>13048</v>
      </c>
      <c r="N94" s="253">
        <f t="shared" si="9"/>
        <v>-1838</v>
      </c>
      <c r="O94" s="253">
        <f t="shared" si="9"/>
        <v>-8108</v>
      </c>
      <c r="P94" s="253">
        <f t="shared" si="9"/>
        <v>9437</v>
      </c>
      <c r="Q94" s="253">
        <f t="shared" si="9"/>
        <v>1333</v>
      </c>
      <c r="R94" s="253">
        <f t="shared" si="9"/>
        <v>-4904</v>
      </c>
      <c r="S94" s="253">
        <f t="shared" si="9"/>
        <v>4147</v>
      </c>
      <c r="T94" s="253">
        <f t="shared" si="9"/>
        <v>-3759</v>
      </c>
      <c r="U94" s="253">
        <f t="shared" si="9"/>
        <v>8139</v>
      </c>
      <c r="V94" s="253">
        <f t="shared" si="9"/>
        <v>-13968</v>
      </c>
      <c r="W94" s="253">
        <f t="shared" si="9"/>
        <v>1538</v>
      </c>
      <c r="X94" s="253">
        <f t="shared" si="9"/>
        <v>-1072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1261136</v>
      </c>
      <c r="C97" s="273">
        <v>1493149</v>
      </c>
      <c r="D97" s="273">
        <v>1515954</v>
      </c>
      <c r="E97" s="273">
        <v>1517222</v>
      </c>
      <c r="F97" s="273">
        <v>1346687</v>
      </c>
    </row>
    <row r="98" spans="1:24" ht="14.25" thickBot="1" x14ac:dyDescent="0.3">
      <c r="A98" s="225" t="s">
        <v>4</v>
      </c>
      <c r="B98" s="275">
        <v>445710</v>
      </c>
      <c r="C98" s="275">
        <v>525094</v>
      </c>
      <c r="D98" s="275">
        <v>542641</v>
      </c>
      <c r="E98" s="275">
        <v>580784</v>
      </c>
      <c r="F98" s="275">
        <v>516671</v>
      </c>
    </row>
    <row r="99" spans="1:24" ht="14.25" thickBot="1" x14ac:dyDescent="0.3">
      <c r="A99" s="224" t="s">
        <v>5</v>
      </c>
      <c r="B99" s="273">
        <v>203478</v>
      </c>
      <c r="C99" s="273">
        <v>236622</v>
      </c>
      <c r="D99" s="273">
        <v>237810</v>
      </c>
      <c r="E99" s="273">
        <v>251812</v>
      </c>
      <c r="F99" s="273">
        <v>212057</v>
      </c>
    </row>
    <row r="100" spans="1:24" ht="14.25" thickBot="1" x14ac:dyDescent="0.3">
      <c r="A100" s="225" t="s">
        <v>6</v>
      </c>
      <c r="B100" s="275">
        <v>184136</v>
      </c>
      <c r="C100" s="275">
        <v>254045</v>
      </c>
      <c r="D100" s="275">
        <v>269853</v>
      </c>
      <c r="E100" s="275">
        <v>252636</v>
      </c>
      <c r="F100" s="275">
        <v>215680</v>
      </c>
    </row>
    <row r="101" spans="1:24" ht="14.25" thickBot="1" x14ac:dyDescent="0.3">
      <c r="A101" s="224" t="s">
        <v>7</v>
      </c>
      <c r="B101" s="273">
        <v>151790</v>
      </c>
      <c r="C101" s="273">
        <v>222106</v>
      </c>
      <c r="D101" s="273">
        <v>233138</v>
      </c>
      <c r="E101" s="273">
        <v>211880</v>
      </c>
      <c r="F101" s="273">
        <v>184348</v>
      </c>
    </row>
    <row r="102" spans="1:24" ht="14.25" thickBot="1" x14ac:dyDescent="0.3">
      <c r="A102" s="227" t="s">
        <v>8</v>
      </c>
      <c r="B102" s="276">
        <v>151679</v>
      </c>
      <c r="C102" s="276">
        <v>222155</v>
      </c>
      <c r="D102" s="276">
        <v>233138</v>
      </c>
      <c r="E102" s="276">
        <v>211880</v>
      </c>
      <c r="F102" s="276">
        <v>184348</v>
      </c>
    </row>
    <row r="103" spans="1:24" x14ac:dyDescent="0.25">
      <c r="A103" s="233" t="s">
        <v>262</v>
      </c>
      <c r="B103" s="234">
        <f>IF(OR(B102="",B102="無"),"",B102/B101)</f>
        <v>0.99926872653007448</v>
      </c>
      <c r="C103" s="234">
        <f>IF(OR(C102="",C102="無"),"",C102/C101)</f>
        <v>1.0002206153818447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641182</v>
      </c>
      <c r="C106" s="273">
        <v>614676</v>
      </c>
      <c r="D106" s="273">
        <v>359068</v>
      </c>
      <c r="E106" s="273">
        <v>439716</v>
      </c>
      <c r="F106" s="273">
        <v>279977</v>
      </c>
      <c r="G106" s="273">
        <v>321607</v>
      </c>
      <c r="H106" s="273">
        <v>232584</v>
      </c>
      <c r="I106" s="273">
        <v>309011</v>
      </c>
      <c r="J106" s="273">
        <v>276858</v>
      </c>
      <c r="K106" s="273">
        <v>309371</v>
      </c>
      <c r="L106" s="273">
        <v>361488</v>
      </c>
      <c r="M106" s="273">
        <v>433036</v>
      </c>
      <c r="N106" s="273">
        <v>514323</v>
      </c>
      <c r="O106" s="273">
        <v>530191</v>
      </c>
      <c r="P106" s="273">
        <v>405066</v>
      </c>
      <c r="Q106" s="273">
        <v>410425</v>
      </c>
      <c r="R106" s="273">
        <v>560802</v>
      </c>
      <c r="S106" s="273">
        <v>499523</v>
      </c>
      <c r="T106" s="273">
        <v>476134</v>
      </c>
      <c r="U106" s="273">
        <v>617012</v>
      </c>
      <c r="V106" s="273">
        <v>538824</v>
      </c>
      <c r="W106" s="273">
        <v>590745</v>
      </c>
      <c r="X106" s="273">
        <v>433823</v>
      </c>
    </row>
    <row r="107" spans="1:24" ht="14.25" thickBot="1" x14ac:dyDescent="0.3">
      <c r="A107" s="225" t="s">
        <v>22</v>
      </c>
      <c r="B107" s="275">
        <v>22480</v>
      </c>
      <c r="C107" s="275">
        <v>24008</v>
      </c>
      <c r="D107" s="275">
        <v>17579</v>
      </c>
      <c r="E107" s="275">
        <v>14081</v>
      </c>
      <c r="F107" s="275">
        <v>9405</v>
      </c>
      <c r="G107" s="275">
        <v>18643</v>
      </c>
      <c r="H107" s="275">
        <v>18619</v>
      </c>
      <c r="I107" s="275">
        <v>20301</v>
      </c>
      <c r="J107" s="275">
        <v>25821</v>
      </c>
      <c r="K107" s="275">
        <v>23191</v>
      </c>
      <c r="L107" s="275">
        <v>20945</v>
      </c>
      <c r="M107" s="275">
        <v>10967</v>
      </c>
      <c r="N107" s="275">
        <v>27247</v>
      </c>
      <c r="O107" s="275">
        <v>23661</v>
      </c>
      <c r="P107" s="275">
        <v>20748</v>
      </c>
      <c r="Q107" s="275">
        <v>22596</v>
      </c>
      <c r="R107" s="275">
        <v>30615</v>
      </c>
      <c r="S107" s="275">
        <v>40040</v>
      </c>
      <c r="T107" s="275">
        <v>53178</v>
      </c>
      <c r="U107" s="275">
        <v>49130</v>
      </c>
      <c r="V107" s="275">
        <v>29918</v>
      </c>
      <c r="W107" s="275">
        <v>37639</v>
      </c>
      <c r="X107" s="275">
        <v>64943</v>
      </c>
    </row>
    <row r="108" spans="1:24" ht="14.25" thickBot="1" x14ac:dyDescent="0.3">
      <c r="A108" s="224" t="s">
        <v>263</v>
      </c>
      <c r="B108" s="273">
        <v>114191</v>
      </c>
      <c r="C108" s="273">
        <v>163784</v>
      </c>
      <c r="D108" s="273">
        <v>145554</v>
      </c>
      <c r="E108" s="273">
        <v>155235</v>
      </c>
      <c r="F108" s="273">
        <v>167593</v>
      </c>
      <c r="G108" s="273">
        <v>161397</v>
      </c>
      <c r="H108" s="273">
        <v>200431</v>
      </c>
      <c r="I108" s="273">
        <v>174018</v>
      </c>
      <c r="J108" s="273">
        <v>172582</v>
      </c>
      <c r="K108" s="273">
        <v>183020</v>
      </c>
      <c r="L108" s="273">
        <v>220014</v>
      </c>
      <c r="M108" s="273">
        <v>209020</v>
      </c>
      <c r="N108" s="273">
        <v>180198</v>
      </c>
      <c r="O108" s="273">
        <v>183837</v>
      </c>
      <c r="P108" s="273">
        <v>165609</v>
      </c>
      <c r="Q108" s="273">
        <v>133109</v>
      </c>
      <c r="R108" s="273">
        <v>124773</v>
      </c>
      <c r="S108" s="273">
        <v>163539</v>
      </c>
      <c r="T108" s="273">
        <v>136514</v>
      </c>
      <c r="U108" s="273">
        <v>119946</v>
      </c>
      <c r="V108" s="273">
        <v>156065</v>
      </c>
      <c r="W108" s="273">
        <v>138539</v>
      </c>
      <c r="X108" s="273">
        <v>128633</v>
      </c>
    </row>
    <row r="109" spans="1:24" ht="14.25" thickBot="1" x14ac:dyDescent="0.3">
      <c r="A109" s="225" t="s">
        <v>264</v>
      </c>
      <c r="B109" s="275">
        <v>180619</v>
      </c>
      <c r="C109" s="275">
        <v>180322</v>
      </c>
      <c r="D109" s="275">
        <v>188967</v>
      </c>
      <c r="E109" s="275">
        <v>154484</v>
      </c>
      <c r="F109" s="275">
        <v>189550</v>
      </c>
      <c r="G109" s="275">
        <v>196640</v>
      </c>
      <c r="H109" s="275">
        <v>196051</v>
      </c>
      <c r="I109" s="275">
        <v>179540</v>
      </c>
      <c r="J109" s="275">
        <v>207794</v>
      </c>
      <c r="K109" s="275">
        <v>225932</v>
      </c>
      <c r="L109" s="275">
        <v>229550</v>
      </c>
      <c r="M109" s="275">
        <v>207267</v>
      </c>
      <c r="N109" s="275">
        <v>198228</v>
      </c>
      <c r="O109" s="275">
        <v>202263</v>
      </c>
      <c r="P109" s="275">
        <v>206589</v>
      </c>
      <c r="Q109" s="275">
        <v>181024</v>
      </c>
      <c r="R109" s="275">
        <v>184542</v>
      </c>
      <c r="S109" s="275">
        <v>188090</v>
      </c>
      <c r="T109" s="275">
        <v>223299</v>
      </c>
      <c r="U109" s="275">
        <v>236159</v>
      </c>
      <c r="V109" s="275">
        <v>250415</v>
      </c>
      <c r="W109" s="275">
        <v>279555</v>
      </c>
      <c r="X109" s="275">
        <v>261346</v>
      </c>
    </row>
    <row r="110" spans="1:24" ht="14.25" thickBot="1" x14ac:dyDescent="0.3">
      <c r="A110" s="224" t="s">
        <v>23</v>
      </c>
      <c r="B110" s="273">
        <v>46302</v>
      </c>
      <c r="C110" s="273">
        <v>31951</v>
      </c>
      <c r="D110" s="273">
        <v>30123</v>
      </c>
      <c r="E110" s="273">
        <v>32200</v>
      </c>
      <c r="F110" s="273">
        <v>266503</v>
      </c>
      <c r="G110" s="273">
        <v>282853</v>
      </c>
      <c r="H110" s="273">
        <v>256294</v>
      </c>
      <c r="I110" s="273">
        <v>296237</v>
      </c>
      <c r="J110" s="273">
        <v>343044</v>
      </c>
      <c r="K110" s="273">
        <v>350598</v>
      </c>
      <c r="L110" s="273">
        <v>400273</v>
      </c>
      <c r="M110" s="273">
        <v>484052</v>
      </c>
      <c r="N110" s="273">
        <v>461207</v>
      </c>
      <c r="O110" s="273">
        <v>484849</v>
      </c>
      <c r="P110" s="273">
        <v>435489</v>
      </c>
      <c r="Q110" s="273">
        <v>570442</v>
      </c>
      <c r="R110" s="273">
        <v>436945</v>
      </c>
      <c r="S110" s="273">
        <v>525431</v>
      </c>
      <c r="T110" s="273">
        <v>355827</v>
      </c>
      <c r="U110" s="273">
        <v>308770</v>
      </c>
      <c r="V110" s="273">
        <v>337400</v>
      </c>
      <c r="W110" s="273">
        <v>318278</v>
      </c>
      <c r="X110" s="273">
        <v>323754</v>
      </c>
    </row>
    <row r="111" spans="1:24" ht="14.25" thickBot="1" x14ac:dyDescent="0.3">
      <c r="A111" s="225" t="s">
        <v>24</v>
      </c>
      <c r="B111" s="275">
        <v>1004774</v>
      </c>
      <c r="C111" s="275">
        <v>1014741</v>
      </c>
      <c r="D111" s="275">
        <v>741291</v>
      </c>
      <c r="E111" s="275">
        <v>795716</v>
      </c>
      <c r="F111" s="275">
        <v>913028</v>
      </c>
      <c r="G111" s="275">
        <v>981140</v>
      </c>
      <c r="H111" s="275">
        <v>903979</v>
      </c>
      <c r="I111" s="275">
        <v>979107</v>
      </c>
      <c r="J111" s="275">
        <v>1026099</v>
      </c>
      <c r="K111" s="275">
        <v>1092112</v>
      </c>
      <c r="L111" s="275">
        <v>1232270</v>
      </c>
      <c r="M111" s="275">
        <v>1344342</v>
      </c>
      <c r="N111" s="275">
        <v>1381203</v>
      </c>
      <c r="O111" s="275">
        <v>1424801</v>
      </c>
      <c r="P111" s="275">
        <v>1233501</v>
      </c>
      <c r="Q111" s="275">
        <v>1317596</v>
      </c>
      <c r="R111" s="275">
        <v>1337677</v>
      </c>
      <c r="S111" s="275">
        <v>1416623</v>
      </c>
      <c r="T111" s="275">
        <v>1244952</v>
      </c>
      <c r="U111" s="275">
        <v>1331017</v>
      </c>
      <c r="V111" s="275">
        <v>1312622</v>
      </c>
      <c r="W111" s="275">
        <v>1364756</v>
      </c>
      <c r="X111" s="275">
        <v>1212499</v>
      </c>
    </row>
    <row r="112" spans="1:24" ht="14.25" thickBot="1" x14ac:dyDescent="0.3">
      <c r="A112" s="224" t="s">
        <v>25</v>
      </c>
      <c r="B112" s="273">
        <v>111951</v>
      </c>
      <c r="C112" s="273">
        <v>103061</v>
      </c>
      <c r="D112" s="273">
        <v>93562</v>
      </c>
      <c r="E112" s="273">
        <v>93902</v>
      </c>
      <c r="F112" s="273">
        <v>82980</v>
      </c>
      <c r="G112" s="273">
        <v>82729</v>
      </c>
      <c r="H112" s="273">
        <v>75548</v>
      </c>
      <c r="I112" s="273">
        <v>77743</v>
      </c>
      <c r="J112" s="273">
        <v>77726</v>
      </c>
      <c r="K112" s="273">
        <v>76576</v>
      </c>
      <c r="L112" s="273">
        <v>75066</v>
      </c>
      <c r="M112" s="273">
        <v>70530</v>
      </c>
      <c r="N112" s="273">
        <v>70290</v>
      </c>
      <c r="O112" s="273">
        <v>62372</v>
      </c>
      <c r="P112" s="273">
        <v>50689</v>
      </c>
      <c r="Q112" s="273">
        <v>53622</v>
      </c>
      <c r="R112" s="273">
        <v>53622</v>
      </c>
      <c r="S112" s="273">
        <v>53622</v>
      </c>
      <c r="T112" s="273">
        <v>53622</v>
      </c>
      <c r="U112" s="273">
        <v>42207</v>
      </c>
      <c r="V112" s="273">
        <v>41107</v>
      </c>
      <c r="W112" s="273">
        <v>36133</v>
      </c>
      <c r="X112" s="273">
        <v>29756</v>
      </c>
    </row>
    <row r="113" spans="1:24" ht="14.25" thickBot="1" x14ac:dyDescent="0.3">
      <c r="A113" s="225" t="s">
        <v>26</v>
      </c>
      <c r="B113" s="275">
        <v>438305</v>
      </c>
      <c r="C113" s="275">
        <v>525812</v>
      </c>
      <c r="D113" s="275">
        <v>454193</v>
      </c>
      <c r="E113" s="275">
        <v>448330</v>
      </c>
      <c r="F113" s="275">
        <v>462343</v>
      </c>
      <c r="G113" s="275">
        <v>461094</v>
      </c>
      <c r="H113" s="275">
        <v>461076</v>
      </c>
      <c r="I113" s="275">
        <v>459109</v>
      </c>
      <c r="J113" s="275">
        <v>455127</v>
      </c>
      <c r="K113" s="275">
        <v>456167</v>
      </c>
      <c r="L113" s="275">
        <v>453452</v>
      </c>
      <c r="M113" s="275">
        <v>452787</v>
      </c>
      <c r="N113" s="275">
        <v>451623</v>
      </c>
      <c r="O113" s="275">
        <v>496290</v>
      </c>
      <c r="P113" s="275">
        <v>493012</v>
      </c>
      <c r="Q113" s="275">
        <v>495891</v>
      </c>
      <c r="R113" s="275">
        <v>493344</v>
      </c>
      <c r="S113" s="275">
        <v>488961</v>
      </c>
      <c r="T113" s="275">
        <v>489643</v>
      </c>
      <c r="U113" s="275">
        <v>511153</v>
      </c>
      <c r="V113" s="275">
        <v>505890</v>
      </c>
      <c r="W113" s="275">
        <v>500241</v>
      </c>
      <c r="X113" s="275">
        <v>496720</v>
      </c>
    </row>
    <row r="114" spans="1:24" ht="14.25" thickBot="1" x14ac:dyDescent="0.3">
      <c r="A114" s="224" t="s">
        <v>27</v>
      </c>
      <c r="B114" s="273">
        <v>38788</v>
      </c>
      <c r="C114" s="273">
        <v>34228</v>
      </c>
      <c r="D114" s="273">
        <v>103175</v>
      </c>
      <c r="E114" s="273">
        <v>103171</v>
      </c>
      <c r="F114" s="273">
        <v>84978</v>
      </c>
      <c r="G114" s="273">
        <v>84716</v>
      </c>
      <c r="H114" s="273">
        <v>82691</v>
      </c>
      <c r="I114" s="273">
        <v>79001</v>
      </c>
      <c r="J114" s="273">
        <v>80550</v>
      </c>
      <c r="K114" s="273">
        <v>81244</v>
      </c>
      <c r="L114" s="273">
        <v>83447</v>
      </c>
      <c r="M114" s="273">
        <v>84764</v>
      </c>
      <c r="N114" s="273">
        <v>86432</v>
      </c>
      <c r="O114" s="273">
        <v>41120</v>
      </c>
      <c r="P114" s="273">
        <v>48070</v>
      </c>
      <c r="Q114" s="273">
        <v>40447</v>
      </c>
      <c r="R114" s="273">
        <v>42532</v>
      </c>
      <c r="S114" s="273">
        <v>45226</v>
      </c>
      <c r="T114" s="273">
        <v>45300</v>
      </c>
      <c r="U114" s="273">
        <v>44304</v>
      </c>
      <c r="V114" s="273">
        <v>46837</v>
      </c>
      <c r="W114" s="273">
        <v>48717</v>
      </c>
      <c r="X114" s="273">
        <v>50342</v>
      </c>
    </row>
    <row r="115" spans="1:24" ht="14.25" thickBot="1" x14ac:dyDescent="0.3">
      <c r="A115" s="225" t="s">
        <v>265</v>
      </c>
      <c r="B115" s="276">
        <v>1593818</v>
      </c>
      <c r="C115" s="276">
        <v>1677842</v>
      </c>
      <c r="D115" s="276">
        <v>1392221</v>
      </c>
      <c r="E115" s="276">
        <v>1441119</v>
      </c>
      <c r="F115" s="276">
        <v>1543329</v>
      </c>
      <c r="G115" s="276">
        <v>1609679</v>
      </c>
      <c r="H115" s="276">
        <v>1523294</v>
      </c>
      <c r="I115" s="276">
        <v>1594960</v>
      </c>
      <c r="J115" s="276">
        <v>1639502</v>
      </c>
      <c r="K115" s="276">
        <v>1706099</v>
      </c>
      <c r="L115" s="276">
        <v>1844235</v>
      </c>
      <c r="M115" s="276">
        <v>1952423</v>
      </c>
      <c r="N115" s="276">
        <v>1989548</v>
      </c>
      <c r="O115" s="276">
        <v>2024583</v>
      </c>
      <c r="P115" s="276">
        <v>1825272</v>
      </c>
      <c r="Q115" s="276">
        <v>1907556</v>
      </c>
      <c r="R115" s="276">
        <v>1927175</v>
      </c>
      <c r="S115" s="276">
        <v>2004432</v>
      </c>
      <c r="T115" s="276">
        <v>1833517</v>
      </c>
      <c r="U115" s="276">
        <v>1928681</v>
      </c>
      <c r="V115" s="276">
        <v>1906456</v>
      </c>
      <c r="W115" s="276">
        <v>1949847</v>
      </c>
      <c r="X115" s="276">
        <v>1789317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123029</v>
      </c>
      <c r="C120" s="273">
        <v>119269</v>
      </c>
      <c r="D120" s="273">
        <v>98961</v>
      </c>
      <c r="E120" s="273">
        <v>96799</v>
      </c>
      <c r="F120" s="273">
        <v>148841</v>
      </c>
      <c r="G120" s="273">
        <v>148482</v>
      </c>
      <c r="H120" s="273">
        <v>121495</v>
      </c>
      <c r="I120" s="273">
        <v>104558</v>
      </c>
      <c r="J120" s="273">
        <v>114467</v>
      </c>
      <c r="K120" s="273">
        <v>119922</v>
      </c>
      <c r="L120" s="273">
        <v>107991</v>
      </c>
      <c r="M120" s="273">
        <v>103692</v>
      </c>
      <c r="N120" s="273">
        <v>103246</v>
      </c>
      <c r="O120" s="273">
        <v>104926</v>
      </c>
      <c r="P120" s="273">
        <v>106570</v>
      </c>
      <c r="Q120" s="273">
        <v>114707</v>
      </c>
      <c r="R120" s="273">
        <v>96116</v>
      </c>
      <c r="S120" s="273">
        <v>106919</v>
      </c>
      <c r="T120" s="273">
        <v>106558</v>
      </c>
      <c r="U120" s="273">
        <v>147931</v>
      </c>
      <c r="V120" s="273">
        <v>133074</v>
      </c>
      <c r="W120" s="273">
        <v>125919</v>
      </c>
      <c r="X120" s="273">
        <v>104003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239355</v>
      </c>
      <c r="C122" s="273">
        <v>240807</v>
      </c>
      <c r="D122" s="273">
        <v>109055</v>
      </c>
      <c r="E122" s="273">
        <v>109716</v>
      </c>
      <c r="F122" s="273">
        <v>110382</v>
      </c>
      <c r="G122" s="273">
        <v>111052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91776</v>
      </c>
      <c r="C123" s="275">
        <v>268947</v>
      </c>
      <c r="D123" s="275">
        <v>94774</v>
      </c>
      <c r="E123" s="275">
        <v>114761</v>
      </c>
      <c r="F123" s="275">
        <v>118397</v>
      </c>
      <c r="G123" s="275">
        <v>252545</v>
      </c>
      <c r="H123" s="275">
        <v>134336</v>
      </c>
      <c r="I123" s="275">
        <v>155907</v>
      </c>
      <c r="J123" s="275">
        <v>139991</v>
      </c>
      <c r="K123" s="275">
        <v>303965</v>
      </c>
      <c r="L123" s="275">
        <v>130583</v>
      </c>
      <c r="M123" s="275">
        <v>177984</v>
      </c>
      <c r="N123" s="275">
        <v>164047</v>
      </c>
      <c r="O123" s="275">
        <v>390535</v>
      </c>
      <c r="P123" s="275">
        <v>133807</v>
      </c>
      <c r="Q123" s="275">
        <v>148333</v>
      </c>
      <c r="R123" s="275">
        <v>135461</v>
      </c>
      <c r="S123" s="275">
        <v>351356</v>
      </c>
      <c r="T123" s="275">
        <v>140722</v>
      </c>
      <c r="U123" s="275">
        <v>157203</v>
      </c>
      <c r="V123" s="275">
        <v>121940</v>
      </c>
      <c r="W123" s="275">
        <v>324583</v>
      </c>
      <c r="X123" s="275">
        <v>155819</v>
      </c>
    </row>
    <row r="124" spans="1:24" ht="14.25" thickBot="1" x14ac:dyDescent="0.3">
      <c r="A124" s="224" t="s">
        <v>268</v>
      </c>
      <c r="B124" s="273">
        <v>454160</v>
      </c>
      <c r="C124" s="273">
        <v>629023</v>
      </c>
      <c r="D124" s="273">
        <v>302790</v>
      </c>
      <c r="E124" s="273">
        <v>321276</v>
      </c>
      <c r="F124" s="273">
        <v>377620</v>
      </c>
      <c r="G124" s="273">
        <v>512079</v>
      </c>
      <c r="H124" s="273">
        <v>255831</v>
      </c>
      <c r="I124" s="273">
        <v>260465</v>
      </c>
      <c r="J124" s="273">
        <v>254458</v>
      </c>
      <c r="K124" s="273">
        <v>423887</v>
      </c>
      <c r="L124" s="273">
        <v>238574</v>
      </c>
      <c r="M124" s="273">
        <v>281676</v>
      </c>
      <c r="N124" s="273">
        <v>267293</v>
      </c>
      <c r="O124" s="273">
        <v>495461</v>
      </c>
      <c r="P124" s="273">
        <v>240377</v>
      </c>
      <c r="Q124" s="273">
        <v>263040</v>
      </c>
      <c r="R124" s="273">
        <v>231577</v>
      </c>
      <c r="S124" s="273">
        <v>458275</v>
      </c>
      <c r="T124" s="273">
        <v>247280</v>
      </c>
      <c r="U124" s="273">
        <v>305134</v>
      </c>
      <c r="V124" s="273">
        <v>255014</v>
      </c>
      <c r="W124" s="273">
        <v>450502</v>
      </c>
      <c r="X124" s="273">
        <v>259822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4">
        <v>958</v>
      </c>
      <c r="G125" s="274">
        <v>919</v>
      </c>
      <c r="H125" s="274">
        <v>570</v>
      </c>
      <c r="I125" s="274">
        <v>925</v>
      </c>
      <c r="J125" s="274">
        <v>894</v>
      </c>
      <c r="K125" s="274">
        <v>553</v>
      </c>
      <c r="L125" s="275">
        <v>1213</v>
      </c>
      <c r="M125" s="275">
        <v>1818</v>
      </c>
      <c r="N125" s="274">
        <v>838</v>
      </c>
      <c r="O125" s="274">
        <v>776</v>
      </c>
      <c r="P125" s="275">
        <v>1011</v>
      </c>
      <c r="Q125" s="274">
        <v>736</v>
      </c>
      <c r="R125" s="274">
        <v>577</v>
      </c>
      <c r="S125" s="275">
        <v>1239</v>
      </c>
      <c r="T125" s="275">
        <v>1251</v>
      </c>
      <c r="U125" s="275">
        <v>2228</v>
      </c>
      <c r="V125" s="275">
        <v>2857</v>
      </c>
      <c r="W125" s="275">
        <v>2822</v>
      </c>
      <c r="X125" s="275">
        <v>2786</v>
      </c>
    </row>
    <row r="126" spans="1:24" ht="14.25" thickBot="1" x14ac:dyDescent="0.3">
      <c r="A126" s="224" t="s">
        <v>33</v>
      </c>
      <c r="B126" s="68">
        <v>0</v>
      </c>
      <c r="C126" s="68">
        <v>30</v>
      </c>
      <c r="D126" s="68">
        <v>372</v>
      </c>
      <c r="E126" s="68">
        <v>359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454160</v>
      </c>
      <c r="C127" s="275">
        <v>629053</v>
      </c>
      <c r="D127" s="275">
        <v>303162</v>
      </c>
      <c r="E127" s="275">
        <v>321635</v>
      </c>
      <c r="F127" s="275">
        <v>378578</v>
      </c>
      <c r="G127" s="275">
        <v>512998</v>
      </c>
      <c r="H127" s="275">
        <v>256401</v>
      </c>
      <c r="I127" s="275">
        <v>261390</v>
      </c>
      <c r="J127" s="275">
        <v>255352</v>
      </c>
      <c r="K127" s="275">
        <v>424440</v>
      </c>
      <c r="L127" s="275">
        <v>239787</v>
      </c>
      <c r="M127" s="275">
        <v>283494</v>
      </c>
      <c r="N127" s="275">
        <v>268131</v>
      </c>
      <c r="O127" s="275">
        <v>496237</v>
      </c>
      <c r="P127" s="275">
        <v>241388</v>
      </c>
      <c r="Q127" s="275">
        <v>263776</v>
      </c>
      <c r="R127" s="275">
        <v>232154</v>
      </c>
      <c r="S127" s="275">
        <v>459514</v>
      </c>
      <c r="T127" s="275">
        <v>248531</v>
      </c>
      <c r="U127" s="275">
        <v>307362</v>
      </c>
      <c r="V127" s="275">
        <v>257871</v>
      </c>
      <c r="W127" s="275">
        <v>453324</v>
      </c>
      <c r="X127" s="275">
        <v>262608</v>
      </c>
    </row>
    <row r="128" spans="1:24" ht="14.25" thickBot="1" x14ac:dyDescent="0.3">
      <c r="A128" s="224" t="s">
        <v>34</v>
      </c>
      <c r="B128" s="273">
        <v>1139658</v>
      </c>
      <c r="C128" s="273">
        <v>1048789</v>
      </c>
      <c r="D128" s="273">
        <v>1089059</v>
      </c>
      <c r="E128" s="273">
        <v>1119484</v>
      </c>
      <c r="F128" s="273">
        <v>1164751</v>
      </c>
      <c r="G128" s="273">
        <v>1096681</v>
      </c>
      <c r="H128" s="273">
        <v>1266893</v>
      </c>
      <c r="I128" s="273">
        <v>1333570</v>
      </c>
      <c r="J128" s="273">
        <v>1384150</v>
      </c>
      <c r="K128" s="273">
        <v>1281659</v>
      </c>
      <c r="L128" s="273">
        <v>1604448</v>
      </c>
      <c r="M128" s="273">
        <v>1668929</v>
      </c>
      <c r="N128" s="273">
        <v>1721417</v>
      </c>
      <c r="O128" s="273">
        <v>1528346</v>
      </c>
      <c r="P128" s="273">
        <v>1583884</v>
      </c>
      <c r="Q128" s="273">
        <v>1643780</v>
      </c>
      <c r="R128" s="273">
        <v>1695021</v>
      </c>
      <c r="S128" s="273">
        <v>1544918</v>
      </c>
      <c r="T128" s="273">
        <v>1584986</v>
      </c>
      <c r="U128" s="273">
        <v>1621319</v>
      </c>
      <c r="V128" s="273">
        <v>1648585</v>
      </c>
      <c r="W128" s="273">
        <v>1496523</v>
      </c>
      <c r="X128" s="273">
        <v>1526709</v>
      </c>
    </row>
    <row r="129" spans="1:24" ht="14.25" thickBot="1" x14ac:dyDescent="0.3">
      <c r="A129" s="225" t="s">
        <v>35</v>
      </c>
      <c r="B129" s="276">
        <v>1593818</v>
      </c>
      <c r="C129" s="276">
        <v>1677842</v>
      </c>
      <c r="D129" s="276">
        <v>1392221</v>
      </c>
      <c r="E129" s="276">
        <v>1441119</v>
      </c>
      <c r="F129" s="276">
        <v>1543329</v>
      </c>
      <c r="G129" s="276">
        <v>1609679</v>
      </c>
      <c r="H129" s="276">
        <v>1523294</v>
      </c>
      <c r="I129" s="276">
        <v>1594960</v>
      </c>
      <c r="J129" s="276">
        <v>1639502</v>
      </c>
      <c r="K129" s="276">
        <v>1706099</v>
      </c>
      <c r="L129" s="276">
        <v>1844235</v>
      </c>
      <c r="M129" s="276">
        <v>1952423</v>
      </c>
      <c r="N129" s="276">
        <v>1989548</v>
      </c>
      <c r="O129" s="276">
        <v>2024583</v>
      </c>
      <c r="P129" s="276">
        <v>1825272</v>
      </c>
      <c r="Q129" s="276">
        <v>1907556</v>
      </c>
      <c r="R129" s="276">
        <v>1927175</v>
      </c>
      <c r="S129" s="276">
        <v>2004432</v>
      </c>
      <c r="T129" s="276">
        <v>1833517</v>
      </c>
      <c r="U129" s="276">
        <v>1928681</v>
      </c>
      <c r="V129" s="276">
        <v>1906456</v>
      </c>
      <c r="W129" s="276">
        <v>1949847</v>
      </c>
      <c r="X129" s="276">
        <v>1789317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4.04</v>
      </c>
      <c r="C132" s="68">
        <v>5.71</v>
      </c>
      <c r="D132" s="68">
        <v>1.02</v>
      </c>
      <c r="E132" s="68">
        <v>4.5599999999999996</v>
      </c>
      <c r="F132" s="68">
        <v>7.74</v>
      </c>
    </row>
    <row r="133" spans="1:24" ht="14.25" thickBot="1" x14ac:dyDescent="0.3">
      <c r="A133" s="225" t="s">
        <v>37</v>
      </c>
      <c r="B133" s="274">
        <v>-3.64</v>
      </c>
      <c r="C133" s="274">
        <v>-0.33</v>
      </c>
      <c r="D133" s="274">
        <v>-0.59</v>
      </c>
      <c r="E133" s="274">
        <v>-0.88</v>
      </c>
      <c r="F133" s="274">
        <v>-0.85</v>
      </c>
    </row>
    <row r="134" spans="1:24" ht="14.25" thickBot="1" x14ac:dyDescent="0.3">
      <c r="A134" s="224" t="s">
        <v>38</v>
      </c>
      <c r="B134" s="68">
        <v>-6</v>
      </c>
      <c r="C134" s="68">
        <v>-2.3199999999999998</v>
      </c>
      <c r="D134" s="68">
        <v>1.76</v>
      </c>
      <c r="E134" s="68">
        <v>-4.0199999999999996</v>
      </c>
      <c r="F134" s="68">
        <v>-3.5</v>
      </c>
    </row>
    <row r="135" spans="1:24" ht="14.25" thickBot="1" x14ac:dyDescent="0.3">
      <c r="A135" s="225" t="s">
        <v>270</v>
      </c>
      <c r="B135" s="274">
        <v>0.4</v>
      </c>
      <c r="C135" s="274">
        <v>5.38</v>
      </c>
      <c r="D135" s="274">
        <v>0.43</v>
      </c>
      <c r="E135" s="274">
        <v>3.68</v>
      </c>
      <c r="F135" s="274">
        <v>6.9</v>
      </c>
    </row>
    <row r="136" spans="1:24" ht="14.25" thickBot="1" x14ac:dyDescent="0.3">
      <c r="A136" s="229" t="s">
        <v>39</v>
      </c>
      <c r="B136" s="72">
        <v>-5.59</v>
      </c>
      <c r="C136" s="72">
        <v>3.06</v>
      </c>
      <c r="D136" s="72">
        <v>2.19</v>
      </c>
      <c r="E136" s="72">
        <v>-0.34</v>
      </c>
      <c r="F136" s="72">
        <v>3.4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借錢配息?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2.5</v>
      </c>
      <c r="C140" s="68">
        <v>3</v>
      </c>
      <c r="D140" s="68">
        <v>4</v>
      </c>
      <c r="E140" s="68">
        <v>3.5</v>
      </c>
      <c r="F140" s="68">
        <v>3</v>
      </c>
    </row>
    <row r="141" spans="1:24" ht="14.25" thickBot="1" x14ac:dyDescent="0.3">
      <c r="A141" s="227" t="s">
        <v>1</v>
      </c>
      <c r="B141" s="73">
        <v>0.5</v>
      </c>
      <c r="C141" s="73">
        <v>1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0.74404761904761907</v>
      </c>
      <c r="C142" s="234">
        <f>IF(C140&lt;&gt;"無",IF(ISNA(HLOOKUP(C139,$B$64:$F$69,6,FALSE)),"",C140/HLOOKUP(C139,$B$64:$F$69,6,FALSE)),"")</f>
        <v>0.64102564102564108</v>
      </c>
      <c r="D142" s="234">
        <f>IF(D140&lt;&gt;"無",IF(ISNA(HLOOKUP(D139,$B$64:$F$69,6,FALSE)),"",D140/HLOOKUP(D139,$B$64:$F$69,6,FALSE)),"")</f>
        <v>0.94117647058823528</v>
      </c>
      <c r="E142" s="234">
        <f>IF(E140&lt;&gt;"無",IF(ISNA(HLOOKUP(E139,$B$64:$F$69,6,FALSE)),"",E140/HLOOKUP(E139,$B$64:$F$69,6,FALSE)),"")</f>
        <v>0.99431818181818166</v>
      </c>
      <c r="F142" s="234">
        <f>IF(F140&lt;&gt;"無",IF(ISNA(HLOOKUP(F139,$B$64:$F$69,6,FALSE)),"",F140/HLOOKUP(F139,$B$64:$F$69,6,FALSE)),"")</f>
        <v>0.98039215686274506</v>
      </c>
    </row>
    <row r="143" spans="1:24" x14ac:dyDescent="0.25">
      <c r="A143" s="233" t="s">
        <v>216</v>
      </c>
      <c r="B143" s="234">
        <f>IF(OR(B140=0,B140="無"),"",B135/B140)</f>
        <v>0.16</v>
      </c>
      <c r="C143" s="234">
        <f>IF(OR(C140=0,C140="無"),"",C135/C140)</f>
        <v>1.7933333333333332</v>
      </c>
      <c r="D143" s="234">
        <f>IF(OR(D140=0,D140="無"),"",D135/D140)</f>
        <v>0.1075</v>
      </c>
      <c r="E143" s="234">
        <f>IF(OR(E140=0,E140="無"),"",E135/E140)</f>
        <v>1.0514285714285714</v>
      </c>
      <c r="F143" s="234">
        <f>IF(OR(F140=0,F140="無"),"",F135/F140)</f>
        <v>2.3000000000000003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36</v>
      </c>
      <c r="C146" s="68">
        <v>34.82</v>
      </c>
      <c r="D146" s="68">
        <v>39.76</v>
      </c>
      <c r="E146" s="68">
        <v>30.82</v>
      </c>
      <c r="F146" s="68">
        <v>34.020000000000003</v>
      </c>
      <c r="G146" s="68">
        <v>37.950000000000003</v>
      </c>
      <c r="H146" s="68">
        <v>34.89</v>
      </c>
      <c r="I146" s="68">
        <v>34.03</v>
      </c>
      <c r="J146" s="68">
        <v>34.880000000000003</v>
      </c>
      <c r="K146" s="68">
        <v>35.799999999999997</v>
      </c>
      <c r="L146" s="68">
        <v>37.82</v>
      </c>
      <c r="M146" s="68">
        <v>34.520000000000003</v>
      </c>
      <c r="N146" s="68">
        <v>35.74</v>
      </c>
      <c r="O146" s="68">
        <v>36.299999999999997</v>
      </c>
      <c r="P146" s="68">
        <v>40.049999999999997</v>
      </c>
      <c r="Q146" s="68">
        <v>40.78</v>
      </c>
      <c r="R146" s="68">
        <v>39</v>
      </c>
      <c r="S146" s="68">
        <v>40.6</v>
      </c>
      <c r="T146" s="68">
        <v>38.57</v>
      </c>
      <c r="U146" s="68">
        <v>35.53</v>
      </c>
      <c r="V146" s="68">
        <v>34.979999999999997</v>
      </c>
      <c r="W146" s="68">
        <v>34.06</v>
      </c>
      <c r="X146" s="68">
        <v>33.659999999999997</v>
      </c>
    </row>
    <row r="147" spans="1:24" s="93" customFormat="1" ht="14.25" thickBot="1" x14ac:dyDescent="0.3">
      <c r="A147" s="225" t="s">
        <v>19</v>
      </c>
      <c r="B147" s="274">
        <v>14.85</v>
      </c>
      <c r="C147" s="274">
        <v>16.420000000000002</v>
      </c>
      <c r="D147" s="274">
        <v>18.97</v>
      </c>
      <c r="E147" s="274">
        <v>14.14</v>
      </c>
      <c r="F147" s="274">
        <v>14.48</v>
      </c>
      <c r="G147" s="274">
        <v>16.48</v>
      </c>
      <c r="H147" s="274">
        <v>17.62</v>
      </c>
      <c r="I147" s="274">
        <v>14.61</v>
      </c>
      <c r="J147" s="274">
        <v>13.48</v>
      </c>
      <c r="K147" s="274">
        <v>15.35</v>
      </c>
      <c r="L147" s="274">
        <v>19.170000000000002</v>
      </c>
      <c r="M147" s="274">
        <v>14.32</v>
      </c>
      <c r="N147" s="274">
        <v>16.440000000000001</v>
      </c>
      <c r="O147" s="274">
        <v>16.45</v>
      </c>
      <c r="P147" s="274">
        <v>18.77</v>
      </c>
      <c r="Q147" s="274">
        <v>15.31</v>
      </c>
      <c r="R147" s="274">
        <v>18.2</v>
      </c>
      <c r="S147" s="274">
        <v>18.18</v>
      </c>
      <c r="T147" s="274">
        <v>15.45</v>
      </c>
      <c r="U147" s="274">
        <v>11.44</v>
      </c>
      <c r="V147" s="274">
        <v>14.31</v>
      </c>
      <c r="W147" s="274">
        <v>9.9499999999999993</v>
      </c>
      <c r="X147" s="274">
        <v>10.93</v>
      </c>
    </row>
    <row r="148" spans="1:24" s="93" customFormat="1" ht="14.25" thickBot="1" x14ac:dyDescent="0.3">
      <c r="A148" s="224" t="s">
        <v>41</v>
      </c>
      <c r="B148" s="68">
        <v>14.15</v>
      </c>
      <c r="C148" s="68">
        <v>15.01</v>
      </c>
      <c r="D148" s="68">
        <v>14.48</v>
      </c>
      <c r="E148" s="68">
        <v>14.69</v>
      </c>
      <c r="F148" s="68">
        <v>17.579999999999998</v>
      </c>
      <c r="G148" s="68">
        <v>17.809999999999999</v>
      </c>
      <c r="H148" s="68">
        <v>16.559999999999999</v>
      </c>
      <c r="I148" s="68">
        <v>16.29</v>
      </c>
      <c r="J148" s="68">
        <v>15.98</v>
      </c>
      <c r="K148" s="68">
        <v>15.67</v>
      </c>
      <c r="L148" s="68">
        <v>21.55</v>
      </c>
      <c r="M148" s="68">
        <v>17.48</v>
      </c>
      <c r="N148" s="68">
        <v>15.96</v>
      </c>
      <c r="O148" s="68">
        <v>14.23</v>
      </c>
      <c r="P148" s="68">
        <v>21.72</v>
      </c>
      <c r="Q148" s="68">
        <v>15.6</v>
      </c>
      <c r="R148" s="68">
        <v>16.760000000000002</v>
      </c>
      <c r="S148" s="68">
        <v>19.420000000000002</v>
      </c>
      <c r="T148" s="68">
        <v>14.24</v>
      </c>
      <c r="U148" s="68">
        <v>13.69</v>
      </c>
      <c r="V148" s="68">
        <v>10.32</v>
      </c>
      <c r="W148" s="68">
        <v>10.41</v>
      </c>
      <c r="X148" s="68">
        <v>10.62</v>
      </c>
    </row>
    <row r="149" spans="1:24" s="93" customFormat="1" ht="14.25" thickBot="1" x14ac:dyDescent="0.3">
      <c r="A149" s="225" t="s">
        <v>13</v>
      </c>
      <c r="B149" s="73">
        <v>12.7</v>
      </c>
      <c r="C149" s="73">
        <v>12.57</v>
      </c>
      <c r="D149" s="73">
        <v>12.76</v>
      </c>
      <c r="E149" s="73">
        <v>10.07</v>
      </c>
      <c r="F149" s="73">
        <v>15.33</v>
      </c>
      <c r="G149" s="73">
        <v>15.41</v>
      </c>
      <c r="H149" s="73">
        <v>14.29</v>
      </c>
      <c r="I149" s="73">
        <v>14.61</v>
      </c>
      <c r="J149" s="73">
        <v>13.86</v>
      </c>
      <c r="K149" s="73">
        <v>13.61</v>
      </c>
      <c r="L149" s="73">
        <v>18.37</v>
      </c>
      <c r="M149" s="73">
        <v>15.24</v>
      </c>
      <c r="N149" s="73">
        <v>13.55</v>
      </c>
      <c r="O149" s="73">
        <v>12.53</v>
      </c>
      <c r="P149" s="73">
        <v>17.190000000000001</v>
      </c>
      <c r="Q149" s="73">
        <v>13.19</v>
      </c>
      <c r="R149" s="73">
        <v>14.32</v>
      </c>
      <c r="S149" s="73">
        <v>16.59</v>
      </c>
      <c r="T149" s="73">
        <v>12.35</v>
      </c>
      <c r="U149" s="73">
        <v>11.57</v>
      </c>
      <c r="V149" s="73">
        <v>8.6199999999999992</v>
      </c>
      <c r="W149" s="73">
        <v>8.7799999999999994</v>
      </c>
      <c r="X149" s="73">
        <v>9.17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35.340000000000003</v>
      </c>
      <c r="C152" s="68">
        <v>35.17</v>
      </c>
      <c r="D152" s="68">
        <v>35.799999999999997</v>
      </c>
      <c r="E152" s="68">
        <v>38.28</v>
      </c>
      <c r="F152" s="68">
        <v>38.369999999999997</v>
      </c>
    </row>
    <row r="153" spans="1:24" s="93" customFormat="1" ht="14.25" thickBot="1" x14ac:dyDescent="0.3">
      <c r="A153" s="225" t="s">
        <v>19</v>
      </c>
      <c r="B153" s="274">
        <v>16.13</v>
      </c>
      <c r="C153" s="274">
        <v>15.85</v>
      </c>
      <c r="D153" s="274">
        <v>15.69</v>
      </c>
      <c r="E153" s="274">
        <v>16.600000000000001</v>
      </c>
      <c r="F153" s="274">
        <v>15.75</v>
      </c>
    </row>
    <row r="154" spans="1:24" s="93" customFormat="1" ht="14.25" thickBot="1" x14ac:dyDescent="0.3">
      <c r="A154" s="224" t="s">
        <v>41</v>
      </c>
      <c r="B154" s="68">
        <v>14.6</v>
      </c>
      <c r="C154" s="68">
        <v>17.010000000000002</v>
      </c>
      <c r="D154" s="68">
        <v>17.8</v>
      </c>
      <c r="E154" s="68">
        <v>16.649999999999999</v>
      </c>
      <c r="F154" s="68">
        <v>16.02</v>
      </c>
    </row>
    <row r="155" spans="1:24" s="93" customFormat="1" ht="14.25" thickBot="1" x14ac:dyDescent="0.3">
      <c r="A155" s="225" t="s">
        <v>13</v>
      </c>
      <c r="B155" s="73">
        <v>12.04</v>
      </c>
      <c r="C155" s="73">
        <v>14.88</v>
      </c>
      <c r="D155" s="73">
        <v>15.38</v>
      </c>
      <c r="E155" s="73">
        <v>13.97</v>
      </c>
      <c r="F155" s="73">
        <v>13.69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2.4300000000000002</v>
      </c>
      <c r="C158" s="68">
        <v>2.74</v>
      </c>
      <c r="D158" s="68">
        <v>2.68</v>
      </c>
      <c r="E158" s="68">
        <v>2.23</v>
      </c>
      <c r="F158" s="68">
        <v>3.62</v>
      </c>
      <c r="G158" s="68">
        <v>3.39</v>
      </c>
      <c r="H158" s="68">
        <v>3.81</v>
      </c>
      <c r="I158" s="68">
        <v>3.62</v>
      </c>
      <c r="J158" s="68">
        <v>2.81</v>
      </c>
      <c r="K158" s="68">
        <v>3.02</v>
      </c>
      <c r="L158" s="68">
        <v>4.1900000000000004</v>
      </c>
      <c r="M158" s="68">
        <v>3.32</v>
      </c>
      <c r="N158" s="68">
        <v>2.62</v>
      </c>
      <c r="O158" s="68">
        <v>2.29</v>
      </c>
      <c r="P158" s="68">
        <v>2.86</v>
      </c>
      <c r="Q158" s="68">
        <v>3.18</v>
      </c>
      <c r="R158" s="68">
        <v>2.54</v>
      </c>
      <c r="S158" s="68">
        <v>2.82</v>
      </c>
      <c r="T158" s="68">
        <v>2</v>
      </c>
      <c r="U158" s="68">
        <v>2.2200000000000002</v>
      </c>
      <c r="V158" s="68">
        <v>1.58</v>
      </c>
      <c r="W158" s="68">
        <v>1.52</v>
      </c>
      <c r="X158" s="68">
        <v>1.69</v>
      </c>
    </row>
    <row r="159" spans="1:24" s="93" customFormat="1" ht="14.25" thickBot="1" x14ac:dyDescent="0.3">
      <c r="A159" s="225" t="s">
        <v>45</v>
      </c>
      <c r="B159" s="73">
        <v>3.29</v>
      </c>
      <c r="C159" s="73">
        <v>3.99</v>
      </c>
      <c r="D159" s="73">
        <v>3.75</v>
      </c>
      <c r="E159" s="73">
        <v>2.82</v>
      </c>
      <c r="F159" s="73">
        <v>4.68</v>
      </c>
      <c r="G159" s="73">
        <v>4.67</v>
      </c>
      <c r="H159" s="73">
        <v>5.0199999999999996</v>
      </c>
      <c r="I159" s="73">
        <v>4.34</v>
      </c>
      <c r="J159" s="73">
        <v>3.34</v>
      </c>
      <c r="K159" s="73">
        <v>3.78</v>
      </c>
      <c r="L159" s="73">
        <v>5.15</v>
      </c>
      <c r="M159" s="73">
        <v>3.85</v>
      </c>
      <c r="N159" s="73">
        <v>3.05</v>
      </c>
      <c r="O159" s="73">
        <v>2.82</v>
      </c>
      <c r="P159" s="73">
        <v>3.54</v>
      </c>
      <c r="Q159" s="73">
        <v>3.68</v>
      </c>
      <c r="R159" s="73">
        <v>2.92</v>
      </c>
      <c r="S159" s="73">
        <v>3.42</v>
      </c>
      <c r="T159" s="73">
        <v>2.4500000000000002</v>
      </c>
      <c r="U159" s="73">
        <v>2.61</v>
      </c>
      <c r="V159" s="73">
        <v>1.85</v>
      </c>
      <c r="W159" s="73">
        <v>1.86</v>
      </c>
      <c r="X159" s="73">
        <v>2.09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12.04</v>
      </c>
      <c r="C162" s="68">
        <v>14.88</v>
      </c>
      <c r="D162" s="68">
        <v>15.38</v>
      </c>
      <c r="E162" s="68">
        <v>13.97</v>
      </c>
      <c r="F162" s="68">
        <v>13.69</v>
      </c>
    </row>
    <row r="163" spans="1:72" s="93" customFormat="1" ht="14.25" thickBot="1" x14ac:dyDescent="0.3">
      <c r="A163" s="225" t="s">
        <v>18</v>
      </c>
      <c r="B163" s="274">
        <v>0.88</v>
      </c>
      <c r="C163" s="274">
        <v>0.94</v>
      </c>
      <c r="D163" s="274">
        <v>0.78</v>
      </c>
      <c r="E163" s="274">
        <v>0.8</v>
      </c>
      <c r="F163" s="274">
        <v>0.7</v>
      </c>
    </row>
    <row r="164" spans="1:72" s="93" customFormat="1" ht="14.25" thickBot="1" x14ac:dyDescent="0.3">
      <c r="A164" s="224" t="s">
        <v>15</v>
      </c>
      <c r="B164" s="68">
        <v>1.29</v>
      </c>
      <c r="C164" s="68">
        <v>1.2</v>
      </c>
      <c r="D164" s="68">
        <v>1.17</v>
      </c>
      <c r="E164" s="68">
        <v>1.1599999999999999</v>
      </c>
      <c r="F164" s="68">
        <v>1.19</v>
      </c>
    </row>
    <row r="165" spans="1:72" s="93" customFormat="1" ht="14.25" thickBot="1" x14ac:dyDescent="0.3">
      <c r="A165" s="225" t="s">
        <v>45</v>
      </c>
      <c r="B165" s="73">
        <v>13.67</v>
      </c>
      <c r="C165" s="73">
        <v>18.11</v>
      </c>
      <c r="D165" s="73">
        <v>15.53</v>
      </c>
      <c r="E165" s="73">
        <v>12.79</v>
      </c>
      <c r="F165" s="73">
        <v>11.29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35.86</v>
      </c>
      <c r="C168" s="68">
        <v>36</v>
      </c>
      <c r="D168" s="68">
        <v>44.33</v>
      </c>
      <c r="E168" s="68">
        <v>43.69</v>
      </c>
      <c r="F168" s="68">
        <v>41.67</v>
      </c>
      <c r="G168" s="68">
        <v>43.27</v>
      </c>
      <c r="H168" s="68">
        <v>39.130000000000003</v>
      </c>
      <c r="I168" s="68">
        <v>43.69</v>
      </c>
      <c r="J168" s="68">
        <v>47.62</v>
      </c>
      <c r="K168" s="68">
        <v>43.27</v>
      </c>
      <c r="L168" s="68">
        <v>44.78</v>
      </c>
      <c r="M168" s="68">
        <v>46.63</v>
      </c>
      <c r="N168" s="68">
        <v>45.92</v>
      </c>
      <c r="O168" s="68">
        <v>44.78</v>
      </c>
      <c r="P168" s="68">
        <v>49.18</v>
      </c>
      <c r="Q168" s="68">
        <v>29.9</v>
      </c>
      <c r="R168" s="68">
        <v>34.090000000000003</v>
      </c>
      <c r="S168" s="68">
        <v>38.79</v>
      </c>
      <c r="T168" s="68">
        <v>43.48</v>
      </c>
      <c r="U168" s="68">
        <v>31.91</v>
      </c>
      <c r="V168" s="68">
        <v>35.43</v>
      </c>
      <c r="W168" s="68">
        <v>39.82</v>
      </c>
      <c r="X168" s="68">
        <v>34.880000000000003</v>
      </c>
    </row>
    <row r="169" spans="1:72" s="93" customFormat="1" ht="14.25" thickBot="1" x14ac:dyDescent="0.3">
      <c r="A169" s="225" t="s">
        <v>17</v>
      </c>
      <c r="B169" s="274">
        <v>82.57</v>
      </c>
      <c r="C169" s="274">
        <v>72</v>
      </c>
      <c r="D169" s="274">
        <v>87.38</v>
      </c>
      <c r="E169" s="274">
        <v>72</v>
      </c>
      <c r="F169" s="274">
        <v>67.16</v>
      </c>
      <c r="G169" s="274">
        <v>81.819999999999993</v>
      </c>
      <c r="H169" s="274">
        <v>65.22</v>
      </c>
      <c r="I169" s="274">
        <v>66.180000000000007</v>
      </c>
      <c r="J169" s="274">
        <v>81.819999999999993</v>
      </c>
      <c r="K169" s="274">
        <v>81.819999999999993</v>
      </c>
      <c r="L169" s="274">
        <v>81.08</v>
      </c>
      <c r="M169" s="274">
        <v>72.58</v>
      </c>
      <c r="N169" s="274">
        <v>74.38</v>
      </c>
      <c r="O169" s="274">
        <v>77.59</v>
      </c>
      <c r="P169" s="274">
        <v>95.74</v>
      </c>
      <c r="Q169" s="274">
        <v>65.69</v>
      </c>
      <c r="R169" s="274">
        <v>78.95</v>
      </c>
      <c r="S169" s="274">
        <v>84.11</v>
      </c>
      <c r="T169" s="274">
        <v>96.77</v>
      </c>
      <c r="U169" s="274">
        <v>89.11</v>
      </c>
      <c r="V169" s="274">
        <v>95.74</v>
      </c>
      <c r="W169" s="274">
        <v>108.43</v>
      </c>
      <c r="X169" s="274">
        <v>107.14</v>
      </c>
    </row>
    <row r="170" spans="1:72" s="93" customFormat="1" ht="14.25" thickBot="1" x14ac:dyDescent="0.3">
      <c r="A170" s="224" t="s">
        <v>42</v>
      </c>
      <c r="B170" s="72">
        <v>118.43</v>
      </c>
      <c r="C170" s="72">
        <v>108</v>
      </c>
      <c r="D170" s="72">
        <v>131.71</v>
      </c>
      <c r="E170" s="72">
        <v>115.69</v>
      </c>
      <c r="F170" s="72">
        <v>108.83</v>
      </c>
      <c r="G170" s="72">
        <v>125.09</v>
      </c>
      <c r="H170" s="72">
        <v>104.35</v>
      </c>
      <c r="I170" s="72">
        <v>109.87</v>
      </c>
      <c r="J170" s="72">
        <v>129.44</v>
      </c>
      <c r="K170" s="72">
        <v>125.09</v>
      </c>
      <c r="L170" s="72">
        <v>125.86</v>
      </c>
      <c r="M170" s="72">
        <v>119.21</v>
      </c>
      <c r="N170" s="72">
        <v>120.3</v>
      </c>
      <c r="O170" s="72">
        <v>122.36</v>
      </c>
      <c r="P170" s="72">
        <v>144.93</v>
      </c>
      <c r="Q170" s="72">
        <v>95.59</v>
      </c>
      <c r="R170" s="72">
        <v>113.04</v>
      </c>
      <c r="S170" s="72">
        <v>122.91</v>
      </c>
      <c r="T170" s="72">
        <v>140.25</v>
      </c>
      <c r="U170" s="72">
        <v>121.02</v>
      </c>
      <c r="V170" s="72">
        <v>131.18</v>
      </c>
      <c r="W170" s="72">
        <v>148.26</v>
      </c>
      <c r="X170" s="72">
        <v>142.03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120.92</v>
      </c>
      <c r="C173" s="72">
        <v>123.96</v>
      </c>
      <c r="D173" s="72">
        <v>24.85</v>
      </c>
      <c r="E173" s="72">
        <v>129.04</v>
      </c>
      <c r="F173" s="72">
        <v>253.08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10.43</v>
      </c>
      <c r="C176" s="72">
        <v>11.71</v>
      </c>
      <c r="D176" s="72">
        <v>11.93</v>
      </c>
      <c r="E176" s="72">
        <v>12.26</v>
      </c>
      <c r="F176" s="72">
        <v>12.98</v>
      </c>
      <c r="G176" s="72">
        <v>12.98</v>
      </c>
      <c r="H176" s="72">
        <v>12.8</v>
      </c>
      <c r="I176" s="72">
        <v>11.28</v>
      </c>
      <c r="J176" s="72">
        <v>11.91</v>
      </c>
      <c r="K176" s="72">
        <v>11.54</v>
      </c>
      <c r="L176" s="72">
        <v>11.58</v>
      </c>
      <c r="M176" s="72">
        <v>11.5</v>
      </c>
      <c r="N176" s="72">
        <v>11.64</v>
      </c>
      <c r="O176" s="72">
        <v>12.05</v>
      </c>
      <c r="P176" s="72">
        <v>12.76</v>
      </c>
      <c r="Q176" s="72">
        <v>13.69</v>
      </c>
      <c r="R176" s="72">
        <v>12.72</v>
      </c>
      <c r="S176" s="72">
        <v>12.62</v>
      </c>
      <c r="T176" s="72">
        <v>13.06</v>
      </c>
      <c r="U176" s="72">
        <v>15.01</v>
      </c>
      <c r="V176" s="72">
        <v>14.33</v>
      </c>
      <c r="W176" s="72">
        <v>14.03</v>
      </c>
      <c r="X176" s="72">
        <v>13.05</v>
      </c>
      <c r="Y176" s="72">
        <v>14.6</v>
      </c>
      <c r="Z176" s="72">
        <v>16.170000000000002</v>
      </c>
      <c r="AA176" s="72">
        <v>15.82</v>
      </c>
      <c r="AB176" s="72">
        <v>15.34</v>
      </c>
      <c r="AC176" s="72">
        <v>14.57</v>
      </c>
      <c r="AD176" s="72">
        <v>14.81</v>
      </c>
      <c r="AE176" s="72">
        <v>15.76</v>
      </c>
      <c r="AF176" s="72">
        <v>15.82</v>
      </c>
      <c r="AG176" s="72">
        <v>14.9</v>
      </c>
      <c r="AH176" s="72">
        <v>14.13</v>
      </c>
      <c r="AI176" s="72">
        <v>13.69</v>
      </c>
      <c r="AJ176" s="72">
        <v>13.16</v>
      </c>
      <c r="AK176" s="72">
        <v>14.4</v>
      </c>
      <c r="AL176" s="72">
        <v>15.29</v>
      </c>
      <c r="AM176" s="72">
        <v>15.02</v>
      </c>
      <c r="AN176" s="72">
        <v>15.1</v>
      </c>
      <c r="AO176" s="72">
        <v>15.09</v>
      </c>
      <c r="AP176" s="72">
        <v>14.73</v>
      </c>
      <c r="AQ176" s="72">
        <v>13.93</v>
      </c>
      <c r="AR176" s="72">
        <v>13.43</v>
      </c>
      <c r="AS176" s="72">
        <v>12.57</v>
      </c>
      <c r="AT176" s="72">
        <v>13.03</v>
      </c>
      <c r="AU176" s="72">
        <v>13.63</v>
      </c>
      <c r="AV176" s="72">
        <v>15.47</v>
      </c>
      <c r="AW176" s="72">
        <v>15.83</v>
      </c>
      <c r="AX176" s="72">
        <v>14.92</v>
      </c>
      <c r="AY176" s="72">
        <v>14.67</v>
      </c>
      <c r="AZ176" s="72">
        <v>15.27</v>
      </c>
      <c r="BA176" s="72">
        <v>14.75</v>
      </c>
      <c r="BB176" s="72">
        <v>14.42</v>
      </c>
      <c r="BC176" s="72">
        <v>14.17</v>
      </c>
      <c r="BD176" s="72">
        <v>14.03</v>
      </c>
      <c r="BE176" s="72">
        <v>13.07</v>
      </c>
      <c r="BF176" s="72">
        <v>13.21</v>
      </c>
      <c r="BG176" s="72">
        <v>13.03</v>
      </c>
      <c r="BH176" s="72">
        <v>14.68</v>
      </c>
      <c r="BI176" s="72">
        <v>15.42</v>
      </c>
      <c r="BJ176" s="72">
        <v>16.329999999999998</v>
      </c>
      <c r="BK176" s="72">
        <v>16.13</v>
      </c>
      <c r="BL176" s="72">
        <v>18.739999999999998</v>
      </c>
      <c r="BM176" s="72">
        <v>18.43</v>
      </c>
      <c r="BN176" s="72">
        <v>22</v>
      </c>
      <c r="BO176" s="72">
        <v>21.82</v>
      </c>
      <c r="BP176" s="72">
        <v>20.74</v>
      </c>
      <c r="BQ176" s="72">
        <v>23.97</v>
      </c>
      <c r="BR176" s="72">
        <v>24.24</v>
      </c>
      <c r="BS176" s="72">
        <v>25.72</v>
      </c>
      <c r="BT176" s="72">
        <v>23.36</v>
      </c>
    </row>
  </sheetData>
  <phoneticPr fontId="3" type="noConversion"/>
  <conditionalFormatting sqref="E4">
    <cfRule type="cellIs" dxfId="4574" priority="103" operator="greaterThan">
      <formula>0.2</formula>
    </cfRule>
    <cfRule type="cellIs" dxfId="457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457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571" priority="97" operator="greaterThan">
      <formula>$B$19</formula>
    </cfRule>
  </conditionalFormatting>
  <conditionalFormatting sqref="D33:D34">
    <cfRule type="cellIs" dxfId="457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4569" priority="91" operator="lessThan">
      <formula>$H$62</formula>
    </cfRule>
    <cfRule type="cellIs" dxfId="4568" priority="92" operator="greaterThan">
      <formula>$H$62</formula>
    </cfRule>
  </conditionalFormatting>
  <conditionalFormatting sqref="J62">
    <cfRule type="cellIs" dxfId="4567" priority="89" operator="lessThan">
      <formula>$K$62</formula>
    </cfRule>
    <cfRule type="cellIs" dxfId="4566" priority="90" operator="greaterThan">
      <formula>$K$62</formula>
    </cfRule>
  </conditionalFormatting>
  <conditionalFormatting sqref="M62">
    <cfRule type="cellIs" dxfId="4565" priority="87" operator="lessThan">
      <formula>$N$62</formula>
    </cfRule>
    <cfRule type="cellIs" dxfId="4564" priority="88" operator="greaterThan">
      <formula>$N$62</formula>
    </cfRule>
  </conditionalFormatting>
  <conditionalFormatting sqref="B44:E44">
    <cfRule type="cellIs" dxfId="4563" priority="85" operator="greaterThan">
      <formula>0</formula>
    </cfRule>
    <cfRule type="cellIs" dxfId="4562" priority="86" operator="lessThan">
      <formula>0</formula>
    </cfRule>
  </conditionalFormatting>
  <conditionalFormatting sqref="F72">
    <cfRule type="cellIs" dxfId="4561" priority="84" operator="lessThan">
      <formula>$E$72*90%</formula>
    </cfRule>
  </conditionalFormatting>
  <conditionalFormatting sqref="F73">
    <cfRule type="cellIs" dxfId="4560" priority="83" operator="lessThan">
      <formula>$E$73*90%</formula>
    </cfRule>
  </conditionalFormatting>
  <conditionalFormatting sqref="F74">
    <cfRule type="cellIs" dxfId="4559" priority="82" operator="lessThan">
      <formula>$E$74*90%</formula>
    </cfRule>
  </conditionalFormatting>
  <conditionalFormatting sqref="F75">
    <cfRule type="cellIs" dxfId="4558" priority="81" operator="lessThan">
      <formula>$E$75*90%</formula>
    </cfRule>
  </conditionalFormatting>
  <conditionalFormatting sqref="H44:K44">
    <cfRule type="cellIs" dxfId="4557" priority="79" operator="greaterThan">
      <formula>0</formula>
    </cfRule>
    <cfRule type="cellIs" dxfId="4556" priority="80" operator="lessThan">
      <formula>0</formula>
    </cfRule>
  </conditionalFormatting>
  <conditionalFormatting sqref="H51:K51">
    <cfRule type="cellIs" dxfId="4555" priority="77" operator="greaterThan">
      <formula>0</formula>
    </cfRule>
    <cfRule type="cellIs" dxfId="4554" priority="78" operator="lessThan">
      <formula>0</formula>
    </cfRule>
  </conditionalFormatting>
  <conditionalFormatting sqref="B51:E51">
    <cfRule type="cellIs" dxfId="4553" priority="75" operator="greaterThan">
      <formula>0</formula>
    </cfRule>
    <cfRule type="cellIs" dxfId="455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55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55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549" priority="58" operator="lessThan">
      <formula>0</formula>
    </cfRule>
  </conditionalFormatting>
  <conditionalFormatting sqref="A25 E25 C25">
    <cfRule type="cellIs" dxfId="4548" priority="59" operator="lessThan">
      <formula>0</formula>
    </cfRule>
  </conditionalFormatting>
  <conditionalFormatting sqref="F25">
    <cfRule type="cellIs" dxfId="4547" priority="57" operator="lessThan">
      <formula>0</formula>
    </cfRule>
  </conditionalFormatting>
  <conditionalFormatting sqref="E1">
    <cfRule type="containsText" dxfId="4546" priority="56" operator="containsText" text="本季業外損益/平均=-">
      <formula>NOT(ISERROR(SEARCH("本季業外損益/平均=-",E1)))</formula>
    </cfRule>
  </conditionalFormatting>
  <conditionalFormatting sqref="M65">
    <cfRule type="cellIs" dxfId="4545" priority="55" operator="lessThan">
      <formula>$L$65*90%</formula>
    </cfRule>
  </conditionalFormatting>
  <conditionalFormatting sqref="M66">
    <cfRule type="cellIs" dxfId="4544" priority="54" operator="lessThan">
      <formula>$L$66*90%</formula>
    </cfRule>
  </conditionalFormatting>
  <conditionalFormatting sqref="M67">
    <cfRule type="cellIs" dxfId="4543" priority="53" operator="lessThan">
      <formula>$L$67*90%</formula>
    </cfRule>
  </conditionalFormatting>
  <conditionalFormatting sqref="M68">
    <cfRule type="cellIs" dxfId="4542" priority="52" operator="lessThan">
      <formula>$L$68*90%</formula>
    </cfRule>
  </conditionalFormatting>
  <conditionalFormatting sqref="B60">
    <cfRule type="cellIs" dxfId="4541" priority="51" operator="lessThan">
      <formula>0</formula>
    </cfRule>
  </conditionalFormatting>
  <conditionalFormatting sqref="B59:F59">
    <cfRule type="cellIs" dxfId="4540" priority="50" operator="lessThanOrEqual">
      <formula>0</formula>
    </cfRule>
  </conditionalFormatting>
  <conditionalFormatting sqref="D62">
    <cfRule type="cellIs" dxfId="4539" priority="48" operator="lessThan">
      <formula>$E$62</formula>
    </cfRule>
    <cfRule type="cellIs" dxfId="4538" priority="49" operator="greaterThan">
      <formula>$E$62</formula>
    </cfRule>
  </conditionalFormatting>
  <conditionalFormatting sqref="F69">
    <cfRule type="cellIs" dxfId="4537" priority="46" operator="lessThan">
      <formula>0</formula>
    </cfRule>
  </conditionalFormatting>
  <conditionalFormatting sqref="B65:E67 B69:E69 B68:D68">
    <cfRule type="cellIs" dxfId="4536" priority="47" operator="lessThan">
      <formula>0</formula>
    </cfRule>
  </conditionalFormatting>
  <conditionalFormatting sqref="E68">
    <cfRule type="cellIs" dxfId="4535" priority="45" operator="lessThan">
      <formula>0</formula>
    </cfRule>
  </conditionalFormatting>
  <conditionalFormatting sqref="F65:F68">
    <cfRule type="cellIs" dxfId="4534" priority="44" operator="lessThan">
      <formula>0</formula>
    </cfRule>
  </conditionalFormatting>
  <conditionalFormatting sqref="F65:F68">
    <cfRule type="cellIs" dxfId="4533" priority="43" operator="lessThan">
      <formula>$E$65*0.9</formula>
    </cfRule>
  </conditionalFormatting>
  <conditionalFormatting sqref="F66">
    <cfRule type="cellIs" dxfId="4532" priority="42" operator="lessThan">
      <formula>$E$66*0.9</formula>
    </cfRule>
  </conditionalFormatting>
  <conditionalFormatting sqref="F67:F68">
    <cfRule type="cellIs" dxfId="4531" priority="41" operator="lessThan">
      <formula>$E$67*0.9</formula>
    </cfRule>
  </conditionalFormatting>
  <conditionalFormatting sqref="F68">
    <cfRule type="cellIs" dxfId="4530" priority="40" operator="lessThan">
      <formula>$E$68*0.9</formula>
    </cfRule>
  </conditionalFormatting>
  <conditionalFormatting sqref="B13:F13">
    <cfRule type="cellIs" dxfId="4529" priority="29" operator="greaterThan">
      <formula>$I$16</formula>
    </cfRule>
    <cfRule type="cellIs" dxfId="4528" priority="30" operator="lessThanOrEqual">
      <formula>$I$16</formula>
    </cfRule>
  </conditionalFormatting>
  <conditionalFormatting sqref="B10:F10">
    <cfRule type="cellIs" dxfId="4527" priority="31" operator="greaterThan">
      <formula>15</formula>
    </cfRule>
    <cfRule type="cellIs" dxfId="4526" priority="38" operator="lessThan">
      <formula>$I$9</formula>
    </cfRule>
    <cfRule type="cellIs" dxfId="4525" priority="39" operator="greaterThan">
      <formula>$I$9</formula>
    </cfRule>
  </conditionalFormatting>
  <conditionalFormatting sqref="B16:F16">
    <cfRule type="cellIs" dxfId="4524" priority="36" operator="greaterThan">
      <formula>$I$16</formula>
    </cfRule>
    <cfRule type="cellIs" dxfId="4523" priority="37" operator="lessThanOrEqual">
      <formula>$I$16</formula>
    </cfRule>
  </conditionalFormatting>
  <conditionalFormatting sqref="B15:F15">
    <cfRule type="cellIs" dxfId="4522" priority="34" operator="lessThanOrEqual">
      <formula>$I$16</formula>
    </cfRule>
    <cfRule type="cellIs" dxfId="4521" priority="35" operator="greaterThan">
      <formula>$I$16</formula>
    </cfRule>
  </conditionalFormatting>
  <conditionalFormatting sqref="B14:F14">
    <cfRule type="cellIs" dxfId="4520" priority="32" operator="greaterThan">
      <formula>$I$16</formula>
    </cfRule>
    <cfRule type="cellIs" dxfId="4519" priority="33" operator="lessThanOrEqual">
      <formula>$I$16</formula>
    </cfRule>
  </conditionalFormatting>
  <conditionalFormatting sqref="K6">
    <cfRule type="containsText" dxfId="4518" priority="27" operator="containsText" text="衰退">
      <formula>NOT(ISERROR(SEARCH("衰退",K6)))</formula>
    </cfRule>
    <cfRule type="containsText" dxfId="4517" priority="28" operator="containsText" text="成長">
      <formula>NOT(ISERROR(SEARCH("成長",K6)))</formula>
    </cfRule>
  </conditionalFormatting>
  <conditionalFormatting sqref="I4:K4">
    <cfRule type="cellIs" dxfId="4516" priority="25" operator="lessThan">
      <formula>0</formula>
    </cfRule>
    <cfRule type="cellIs" dxfId="451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514" priority="22" operator="lessThanOrEqual">
      <formula>$I$16</formula>
    </cfRule>
    <cfRule type="cellIs" dxfId="4513" priority="23" operator="greaterThan">
      <formula>$I$16</formula>
    </cfRule>
  </conditionalFormatting>
  <conditionalFormatting sqref="I6">
    <cfRule type="containsText" dxfId="4512" priority="20" operator="containsText" text="衰退">
      <formula>NOT(ISERROR(SEARCH("衰退",I6)))</formula>
    </cfRule>
    <cfRule type="containsText" dxfId="4511" priority="21" operator="containsText" text="成長">
      <formula>NOT(ISERROR(SEARCH("成長",I6)))</formula>
    </cfRule>
  </conditionalFormatting>
  <conditionalFormatting sqref="M9">
    <cfRule type="cellIs" dxfId="4510" priority="19" operator="lessThan">
      <formula>$I$9</formula>
    </cfRule>
  </conditionalFormatting>
  <conditionalFormatting sqref="M10">
    <cfRule type="cellIs" dxfId="4509" priority="18" operator="greaterThan">
      <formula>$I$9</formula>
    </cfRule>
  </conditionalFormatting>
  <conditionalFormatting sqref="M11">
    <cfRule type="cellIs" dxfId="450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507" priority="14" operator="lessThan">
      <formula>0</formula>
    </cfRule>
    <cfRule type="cellIs" dxfId="4506" priority="15" operator="greaterThan">
      <formula>0.5</formula>
    </cfRule>
  </conditionalFormatting>
  <conditionalFormatting sqref="N14">
    <cfRule type="cellIs" dxfId="450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504" priority="10" operator="lessThan">
      <formula>0.1</formula>
    </cfRule>
  </conditionalFormatting>
  <conditionalFormatting sqref="I14">
    <cfRule type="cellIs" dxfId="450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50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501" priority="1" operator="lessThan">
      <formula>$N$5*0.9</formula>
    </cfRule>
    <cfRule type="cellIs" dxfId="4500" priority="2" operator="greaterThan">
      <formula>$N$5*1.1</formula>
    </cfRule>
  </conditionalFormatting>
  <hyperlinks>
    <hyperlink ref="L1" location="儀表板!A1" display="(回首頁)" xr:uid="{00000000-0004-0000-2B00-000000000000}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1.46 ~ 8.58</v>
      </c>
      <c r="L1" s="83" t="s">
        <v>176</v>
      </c>
      <c r="M1" s="84" t="str">
        <f ca="1">VLOOKUP(_xlfn.NUMBERVALUE(N1),儀表板!A:B,2,FALSE)</f>
        <v>創意電子</v>
      </c>
      <c r="N1" s="85" t="str">
        <f ca="1">MID(CELL("filename",L1),FIND("]",CELL("filename",L1))+1,255)</f>
        <v>3443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0.13086225822324843</v>
      </c>
    </row>
    <row r="3" spans="1:15" s="93" customFormat="1" x14ac:dyDescent="0.25">
      <c r="A3" s="81" t="s">
        <v>179</v>
      </c>
      <c r="B3" s="94">
        <f>SUM(F19:F22,F24:F27,J19)</f>
        <v>91.743279628470859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112.09219059954566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124.52464289322434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132.42938117250495</v>
      </c>
      <c r="L3" s="100"/>
      <c r="M3" s="79" t="s">
        <v>385</v>
      </c>
      <c r="N3" s="92">
        <f>(F69-E69)/E69</f>
        <v>0.23205562984704867</v>
      </c>
    </row>
    <row r="4" spans="1:15" s="93" customFormat="1" x14ac:dyDescent="0.25">
      <c r="A4" s="81" t="s">
        <v>182</v>
      </c>
      <c r="B4" s="96">
        <f>SUM(G36:G40)*2</f>
        <v>84</v>
      </c>
      <c r="C4" s="101"/>
      <c r="D4" s="102">
        <f>F4*(1+F141/10)</f>
        <v>13.4</v>
      </c>
      <c r="E4" s="82">
        <f>(D4-F4)/F4</f>
        <v>0</v>
      </c>
      <c r="F4" s="103">
        <v>13.4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5.0637486386713704</v>
      </c>
    </row>
    <row r="5" spans="1:15" s="93" customFormat="1" x14ac:dyDescent="0.25">
      <c r="A5" s="81" t="s">
        <v>184</v>
      </c>
      <c r="B5" s="107">
        <f>SUM(F30:F34)*2</f>
        <v>88.227267573696153</v>
      </c>
      <c r="C5" s="87"/>
      <c r="D5" s="87"/>
      <c r="E5" s="87"/>
      <c r="F5" s="86"/>
      <c r="G5" s="88"/>
      <c r="M5" s="79" t="s">
        <v>375</v>
      </c>
      <c r="N5" s="152">
        <f>D62</f>
        <v>4.7600000000000007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連2季成長</v>
      </c>
      <c r="L6" s="112"/>
      <c r="M6" s="79" t="s">
        <v>190</v>
      </c>
      <c r="N6" s="152">
        <f>A53</f>
        <v>6.4074295201100746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60.14</v>
      </c>
      <c r="N9" s="129"/>
    </row>
    <row r="10" spans="1:15" s="93" customFormat="1" x14ac:dyDescent="0.25">
      <c r="A10" s="123" t="s">
        <v>194</v>
      </c>
      <c r="B10" s="126">
        <f>PERCENTILE(176:176,B9)</f>
        <v>21.24</v>
      </c>
      <c r="C10" s="126">
        <f>PERCENTILE(176:176,C9)</f>
        <v>22.405000000000001</v>
      </c>
      <c r="D10" s="126">
        <f>PERCENTILE(176:176,D9)</f>
        <v>24.89</v>
      </c>
      <c r="E10" s="126">
        <f>PERCENTILE(176:176,E9)</f>
        <v>26.47</v>
      </c>
      <c r="F10" s="126">
        <f>PERCENTILE(176:176,F9)</f>
        <v>30.18</v>
      </c>
      <c r="G10" s="95"/>
      <c r="H10" s="135"/>
      <c r="I10" s="135"/>
      <c r="J10" s="135"/>
      <c r="K10" s="135"/>
      <c r="L10" s="136" t="s">
        <v>374</v>
      </c>
      <c r="M10" s="130">
        <f>MIN(176:176)</f>
        <v>17.739999999999998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27.45</v>
      </c>
      <c r="L11" s="272" t="s">
        <v>193</v>
      </c>
      <c r="M11" s="128">
        <f>STDEV(176:176)</f>
        <v>8.5134167375551453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43.767507002801125</v>
      </c>
      <c r="C13" s="141">
        <f>$B$34/5.88%</f>
        <v>53.146258503401363</v>
      </c>
      <c r="D13" s="141">
        <f>$B$34/5%</f>
        <v>62.5</v>
      </c>
      <c r="E13" s="141">
        <f>$B$34/4.35%</f>
        <v>71.839080459770116</v>
      </c>
      <c r="F13" s="141">
        <f>$B$34/3.85%</f>
        <v>81.168831168831176</v>
      </c>
      <c r="G13" s="138" t="str">
        <f>"$"&amp;ROUND(B34,2)&amp;"/"&amp;IF(STDEV(C140:F140)/AVERAGE(C140:F140)&lt;15%,"高",IF(STDEV(C140:F140)/AVERAGE(C140:F140)&lt;30%,"中","低"))</f>
        <v>$3.13/高</v>
      </c>
      <c r="H13" s="142" t="s">
        <v>199</v>
      </c>
      <c r="I13" s="143">
        <f>MAX(0,1-J15)</f>
        <v>0.14841849148418496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70.251300000000001</v>
      </c>
      <c r="C14" s="141">
        <f>$B$33*C10</f>
        <v>74.104537500000006</v>
      </c>
      <c r="D14" s="141">
        <f>$B$33*D10</f>
        <v>82.323675000000009</v>
      </c>
      <c r="E14" s="141">
        <f>$B$33*E10</f>
        <v>87.549525000000003</v>
      </c>
      <c r="F14" s="141">
        <f>$B$33*F10</f>
        <v>99.820350000000005</v>
      </c>
      <c r="G14" s="138" t="str">
        <f>"$"&amp;ROUND(B33,2)&amp;"/"&amp;IF(STDEV(B69:E69)/AVERAGE(B69:E69)&lt;15%,"高",IF(STDEV(B69:E69)/AVERAGE(B69:E69)&lt;30%,"中","低"))</f>
        <v>$3.31/中</v>
      </c>
      <c r="H14" s="142" t="s">
        <v>203</v>
      </c>
      <c r="I14" s="145">
        <f>G62/100*I13</f>
        <v>2.6002919708029208E-2</v>
      </c>
      <c r="J14" s="76" t="s">
        <v>204</v>
      </c>
      <c r="K14" s="146"/>
      <c r="L14" s="147">
        <f>(HLOOKUP($C$1,$105:$106,2,FALSE)-HLOOKUP($C$1,$117:$127,9,FALSE))/(HLOOKUP($C$1,$117:$128,12,FALSE)/K11)</f>
        <v>32.942045807581081</v>
      </c>
      <c r="M14" s="148">
        <f>E135/E69</f>
        <v>1.2919708029197079</v>
      </c>
      <c r="N14" s="149">
        <f>F173/100</f>
        <v>2.5550999999999999</v>
      </c>
    </row>
    <row r="15" spans="1:15" s="93" customFormat="1" x14ac:dyDescent="0.25">
      <c r="A15" s="140" t="s">
        <v>375</v>
      </c>
      <c r="B15" s="141">
        <f>$D$62*B10</f>
        <v>101.1024</v>
      </c>
      <c r="C15" s="141">
        <f>$D$62*C10</f>
        <v>106.64780000000002</v>
      </c>
      <c r="D15" s="141">
        <f>$D$62*D10</f>
        <v>118.47640000000003</v>
      </c>
      <c r="E15" s="141">
        <f>$D$62*E10</f>
        <v>125.99720000000001</v>
      </c>
      <c r="F15" s="141">
        <f>$D$62*F10</f>
        <v>143.65680000000003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0.85158150851581504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107.5540210853799</v>
      </c>
      <c r="C16" s="141">
        <f>$F$69*C10</f>
        <v>113.45328824943206</v>
      </c>
      <c r="D16" s="141">
        <f>$F$69*D10</f>
        <v>126.03670361653042</v>
      </c>
      <c r="E16" s="141">
        <f>$F$69*E10</f>
        <v>134.03742646563117</v>
      </c>
      <c r="F16" s="141">
        <f>$F$69*F10</f>
        <v>152.82393391510195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10155</v>
      </c>
      <c r="J17" s="92">
        <f ca="1">IF(I17&lt;=0,"",IF(I17&lt;=MIN($B$13:$F$16),(I17-MIN($B$13:$F$16))/MIN($B$13:$F$16),IF(I17&gt;=MAX($B$13:$F$16),I17/MAX($B$13:$F$16),PERCENTRANK($B$13:$F$16,I17))))</f>
        <v>66.449015804300601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5.915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1.8928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0.33116506180651983</v>
      </c>
      <c r="J20" s="171">
        <f>HLOOKUP($C$1,$117:$127,11,FALSE)/HLOOKUP($C$1,$105:$115,11,FALSE)</f>
        <v>0.51627012243761328</v>
      </c>
      <c r="K20" s="163"/>
    </row>
    <row r="21" spans="1:14" s="93" customFormat="1" x14ac:dyDescent="0.25">
      <c r="A21" s="151" t="s">
        <v>201</v>
      </c>
      <c r="B21" s="161">
        <f>AVERAGE(C173:F173)/100</f>
        <v>2.1279250000000003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1.8129793533266965</v>
      </c>
      <c r="J21" s="78"/>
      <c r="K21" s="164" t="s">
        <v>356</v>
      </c>
      <c r="L21" s="165">
        <f>HLOOKUP($C$1,$105:$115,7,FALSE)/HLOOKUP($C$1,$105:$115,11,FALSE)</f>
        <v>0.91945805220286592</v>
      </c>
      <c r="M21" s="123" t="s">
        <v>268</v>
      </c>
      <c r="N21" s="165">
        <f>HLOOKUP($C$1,$117:$127,8,FALSE)/HLOOKUP($C$1,$117:$127,11,FALSE)</f>
        <v>0.98234054614882715</v>
      </c>
    </row>
    <row r="22" spans="1:14" s="93" customFormat="1" x14ac:dyDescent="0.25">
      <c r="A22" s="140" t="s">
        <v>222</v>
      </c>
      <c r="B22" s="161">
        <f>(-1)*SUM(C133:F133)/SUM(C132:F132)</f>
        <v>0.2023608768971332</v>
      </c>
      <c r="C22" s="157"/>
      <c r="D22" s="166"/>
      <c r="E22" s="140"/>
      <c r="F22" s="159">
        <f>IF(B22&lt;=0,10,IF(B22&gt;=100%,0,(1-B22)*10))</f>
        <v>7.9763912310286678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1.4715307159449145</v>
      </c>
      <c r="J22" s="78"/>
      <c r="K22" s="142" t="s">
        <v>357</v>
      </c>
      <c r="L22" s="165">
        <f>HLOOKUP($C$1,$105:$115,4,FALSE)/HLOOKUP($C$1,$105:$115,11,FALSE)</f>
        <v>9.3548552930539014E-2</v>
      </c>
      <c r="M22" s="123" t="s">
        <v>353</v>
      </c>
      <c r="N22" s="165">
        <f>HLOOKUP($C$1,$117:$127,4,FALSE)/HLOOKUP($C$1,$117:$127,11,FALSE)</f>
        <v>0.35854304284955363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2.0672694542648546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0.17316672607346731</v>
      </c>
      <c r="M23" s="123" t="s">
        <v>354</v>
      </c>
      <c r="N23" s="165">
        <f>IF(HLOOKUP($C$1,$117:$127,5,FALSE)="無",0,HLOOKUP($C$1,$117:$127,5,FALSE))/HLOOKUP($C$1,$117:$127,11,FALSE)</f>
        <v>0.49124896666906059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20.98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3.2263875059806719E-2</v>
      </c>
      <c r="M24" s="123" t="s">
        <v>355</v>
      </c>
      <c r="N24" s="165">
        <f>HLOOKUP($C$1,$117:$127,9,FALSE)/HLOOKUP($C$1,$117:$127,11,FALSE)</f>
        <v>1.7659453851172839E-2</v>
      </c>
    </row>
    <row r="25" spans="1:14" s="93" customFormat="1" x14ac:dyDescent="0.25">
      <c r="A25" s="151" t="s">
        <v>366</v>
      </c>
      <c r="B25" s="255">
        <f>AVERAGE(94:94)</f>
        <v>6815.086956521739</v>
      </c>
      <c r="C25" s="254">
        <f>STDEV(94:94)/AVERAGE(94:94)</f>
        <v>1.233111602557817</v>
      </c>
      <c r="D25" s="76" t="str">
        <f>IF(C25&lt;=1,"高",IF(C25&lt;=2,"中","低"))</f>
        <v>中</v>
      </c>
      <c r="E25" s="149"/>
      <c r="F25" s="160">
        <f>MAX(0,10-ABS(C25))</f>
        <v>8.7668883974421838</v>
      </c>
      <c r="G25" s="88" t="s">
        <v>213</v>
      </c>
      <c r="H25" s="123" t="s">
        <v>232</v>
      </c>
      <c r="I25" s="170">
        <f>IF(HLOOKUP(C1,167:170,3,FALSE)="無",0,HLOOKUP(C1,167:170,3,FALSE))</f>
        <v>43.48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37.034782608695643</v>
      </c>
      <c r="C26" s="172">
        <f>IF(COUNTIF(168:168,"&gt;0")=0,0,STDEV(168:168))</f>
        <v>12.846055591845115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48.652608695652184</v>
      </c>
      <c r="C27" s="172">
        <f>IF(COUNTIF(169:169,"&gt;0")=0,0,STDEV(169:169))</f>
        <v>9.0958528099304576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0.26755000000000001</v>
      </c>
      <c r="C30" s="157" t="s">
        <v>217</v>
      </c>
      <c r="D30" s="174">
        <f>COUNTIF(146:146,"&gt;20")/COUNT(146:146)</f>
        <v>0.95652173913043481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5.8224999999999999E-2</v>
      </c>
      <c r="C31" s="157" t="s">
        <v>217</v>
      </c>
      <c r="D31" s="174">
        <f>COUNTIF(149:149,"&gt;8")/COUNT(149:149)</f>
        <v>0.17391304347826086</v>
      </c>
      <c r="E31" s="140" t="s">
        <v>241</v>
      </c>
      <c r="F31" s="159">
        <f>MIN(B31/10%*10,10)</f>
        <v>5.8224999999999998</v>
      </c>
      <c r="G31" s="175"/>
    </row>
    <row r="32" spans="1:14" x14ac:dyDescent="0.25">
      <c r="A32" s="155" t="s">
        <v>47</v>
      </c>
      <c r="B32" s="177">
        <f>AVERAGE(C165:F165)</f>
        <v>12.684999999999999</v>
      </c>
      <c r="C32" s="157" t="s">
        <v>217</v>
      </c>
      <c r="D32" s="174">
        <f>COUNTIF(159:159,"&gt;3")/COUNT(159:159)</f>
        <v>0.65217391304347827</v>
      </c>
      <c r="E32" s="140" t="s">
        <v>242</v>
      </c>
      <c r="F32" s="159">
        <f>MIN(B32/15*10,10)</f>
        <v>8.4566666666666652</v>
      </c>
      <c r="G32" s="135"/>
    </row>
    <row r="33" spans="1:14" x14ac:dyDescent="0.25">
      <c r="A33" s="155" t="s">
        <v>14</v>
      </c>
      <c r="B33" s="156">
        <f>AVERAGE(B69:E69)</f>
        <v>3.3075000000000001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3.125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9.8344671201814062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7545393.75</v>
      </c>
      <c r="C36" s="178">
        <f>STDEV(C97:F97)</f>
        <v>1331301.2001485301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26.754999999999999</v>
      </c>
      <c r="C37" s="180">
        <f>STDEV(C152:F152)</f>
        <v>1.1851441543823549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6.4775</v>
      </c>
      <c r="C38" s="180">
        <f>STDEV(C153:F153)</f>
        <v>0.92848891574787118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12.684999999999999</v>
      </c>
      <c r="C39" s="181">
        <f>STDEV(C165:F165)</f>
        <v>3.0460739759018818</v>
      </c>
      <c r="D39" s="76" t="str">
        <f>IF(C39/B39&lt;15%,"高",IF(C39/B39&lt;30%,"中","低"))</f>
        <v>中</v>
      </c>
      <c r="E39" s="107">
        <f>IF(F165&gt;E165,1,0)+IF(E165&gt;D165,1,0)+IF(D165&gt;C165,1,0)</f>
        <v>3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3.3075000000000001</v>
      </c>
      <c r="C40" s="183">
        <f>STDEV(B69:E69)</f>
        <v>0.83671480605201898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0.2277227722772277</v>
      </c>
      <c r="C44" s="186">
        <f>(C46-C49)/C49</f>
        <v>0.72000000000000008</v>
      </c>
      <c r="D44" s="186">
        <f>(D46-D49)/D49</f>
        <v>-0.10084033613445369</v>
      </c>
      <c r="E44" s="186">
        <f>(E46-E49)/E49</f>
        <v>-8.6614173228346539E-2</v>
      </c>
      <c r="G44" s="86" t="s">
        <v>175</v>
      </c>
      <c r="H44" s="186">
        <f>(H47-H50)/H50</f>
        <v>-0.22038980509745115</v>
      </c>
      <c r="I44" s="186">
        <f>(I47-I50)/I50</f>
        <v>0.26306306306306299</v>
      </c>
      <c r="J44" s="186">
        <f>(J47-J50)/J50</f>
        <v>-0.34396355353075164</v>
      </c>
      <c r="K44" s="186">
        <f>(K47-K50)/K50</f>
        <v>-0.36785329018338714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1.24</v>
      </c>
      <c r="C46" s="152">
        <f>HLOOKUP(C45,$81:$82,2,FALSE)</f>
        <v>1.29</v>
      </c>
      <c r="D46" s="152">
        <f>HLOOKUP(D45,$81:$82,2,FALSE)</f>
        <v>1.07</v>
      </c>
      <c r="E46" s="152">
        <f>HLOOKUP(E45,$81:$82,2,FALSE)</f>
        <v>1.1599999999999999</v>
      </c>
      <c r="G46" s="86" t="s">
        <v>164</v>
      </c>
      <c r="H46" s="145">
        <f>HLOOKUP(H45,$145:$147,2,FALSE)/100</f>
        <v>0.22</v>
      </c>
      <c r="I46" s="145">
        <f>HLOOKUP(I45,$145:$147,2,FALSE)/100</f>
        <v>0.2671</v>
      </c>
      <c r="J46" s="145">
        <f>HLOOKUP(J45,$145:$147,2,FALSE)/100</f>
        <v>0.24379999999999999</v>
      </c>
      <c r="K46" s="145">
        <f>HLOOKUP(K45,$145:$147,2,FALSE)/100</f>
        <v>0.21870000000000001</v>
      </c>
    </row>
    <row r="47" spans="1:14" x14ac:dyDescent="0.25">
      <c r="A47" s="188" t="s">
        <v>165</v>
      </c>
      <c r="B47" s="189">
        <f>HLOOKUP(B45,$157:$159,3,FALSE)</f>
        <v>4.62</v>
      </c>
      <c r="C47" s="189">
        <f>HLOOKUP(C45,$157:$159,3,FALSE)</f>
        <v>4.75</v>
      </c>
      <c r="D47" s="189">
        <f>HLOOKUP(D45,$157:$159,3,FALSE)</f>
        <v>3.82</v>
      </c>
      <c r="E47" s="189">
        <f>HLOOKUP(E45,$157:$159,3,FALSE)</f>
        <v>4.33</v>
      </c>
      <c r="G47" s="190" t="s">
        <v>166</v>
      </c>
      <c r="H47" s="145">
        <f>HLOOKUP(H45,$145:$147,3,FALSE)/100</f>
        <v>5.2000000000000005E-2</v>
      </c>
      <c r="I47" s="145">
        <f>HLOOKUP(I45,$145:$147,3,FALSE)/100</f>
        <v>7.0099999999999996E-2</v>
      </c>
      <c r="J47" s="145">
        <f>HLOOKUP(J45,$145:$147,3,FALSE)/100</f>
        <v>5.7599999999999998E-2</v>
      </c>
      <c r="K47" s="145">
        <f>HLOOKUP(K45,$145:$147,3,FALSE)/100</f>
        <v>5.8600000000000006E-2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1.01</v>
      </c>
      <c r="C49" s="152">
        <f>HLOOKUP(C48,$81:$82,2,FALSE)</f>
        <v>0.75</v>
      </c>
      <c r="D49" s="152">
        <f>HLOOKUP(D48,$81:$82,2,FALSE)</f>
        <v>1.19</v>
      </c>
      <c r="E49" s="152">
        <f>HLOOKUP(E48,$81:$82,2,FALSE)</f>
        <v>1.27</v>
      </c>
      <c r="G49" s="86" t="s">
        <v>164</v>
      </c>
      <c r="H49" s="145">
        <f>HLOOKUP(H48,$145:$147,2,FALSE)/100</f>
        <v>0.24809999999999999</v>
      </c>
      <c r="I49" s="145">
        <f>HLOOKUP(I48,$145:$147,2,FALSE)/100</f>
        <v>0.28789999999999999</v>
      </c>
      <c r="J49" s="145">
        <f>HLOOKUP(J48,$145:$147,2,FALSE)/100</f>
        <v>0.28839999999999999</v>
      </c>
      <c r="K49" s="145">
        <f>HLOOKUP(K48,$145:$147,2,FALSE)/100</f>
        <v>0.31269999999999998</v>
      </c>
    </row>
    <row r="50" spans="1:15" x14ac:dyDescent="0.25">
      <c r="A50" s="188" t="s">
        <v>165</v>
      </c>
      <c r="B50" s="189">
        <f>HLOOKUP(B48,$157:$159,3,FALSE)</f>
        <v>3.91</v>
      </c>
      <c r="C50" s="189">
        <f>HLOOKUP(C48,$157:$159,3,FALSE)</f>
        <v>2.85</v>
      </c>
      <c r="D50" s="189">
        <f>HLOOKUP(D48,$157:$159,3,FALSE)</f>
        <v>4.43</v>
      </c>
      <c r="E50" s="189">
        <f>HLOOKUP(E48,$157:$159,3,FALSE)</f>
        <v>4.96</v>
      </c>
      <c r="G50" s="190" t="s">
        <v>166</v>
      </c>
      <c r="H50" s="145">
        <f>HLOOKUP(H48,$145:$147,3,FALSE)/100</f>
        <v>6.6699999999999995E-2</v>
      </c>
      <c r="I50" s="145">
        <f>HLOOKUP(I48,$145:$147,3,FALSE)/100</f>
        <v>5.5500000000000001E-2</v>
      </c>
      <c r="J50" s="145">
        <f>HLOOKUP(J48,$145:$147,3,FALSE)/100</f>
        <v>8.7799999999999989E-2</v>
      </c>
      <c r="K50" s="145">
        <f>HLOOKUP(K48,$145:$147,3,FALSE)/100</f>
        <v>9.2699999999999991E-2</v>
      </c>
    </row>
    <row r="51" spans="1:15" x14ac:dyDescent="0.25">
      <c r="A51" s="86" t="s">
        <v>351</v>
      </c>
      <c r="B51" s="186">
        <f>(B47-B50)/B50</f>
        <v>0.1815856777493606</v>
      </c>
      <c r="C51" s="186">
        <f>(C47-C50)/C50</f>
        <v>0.66666666666666663</v>
      </c>
      <c r="D51" s="186">
        <f>(D47-D50)/D50</f>
        <v>-0.13769751693002255</v>
      </c>
      <c r="E51" s="186">
        <f>(E47-E50)/E50</f>
        <v>-0.12701612903225803</v>
      </c>
      <c r="G51" s="235" t="s">
        <v>174</v>
      </c>
      <c r="H51" s="186">
        <f>(H46-H49)/H49</f>
        <v>-0.11326078194276497</v>
      </c>
      <c r="I51" s="186">
        <f>(I46-I49)/I49</f>
        <v>-7.2247308093087825E-2</v>
      </c>
      <c r="J51" s="186">
        <f>(J46-J49)/J49</f>
        <v>-0.15464632454923719</v>
      </c>
      <c r="K51" s="186">
        <f>(K46-K49)/K49</f>
        <v>-0.30060761112887746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6.4074295201100746</v>
      </c>
      <c r="B53" s="193">
        <f>B46</f>
        <v>1.24</v>
      </c>
      <c r="C53" s="193">
        <f>E46/HLOOKUP(E45,$87:$94,5,FALSE)*HLOOKUP(E45,$87:$94,4,FALSE)*($B$25/HLOOKUP(E45,$87:$94,4,FALSE)+SUM($B$57:$D$57)/SUM($B58:$D$58)*$G$69/100/K46)</f>
        <v>1.9600270006656979</v>
      </c>
      <c r="D53" s="193">
        <f>D46/HLOOKUP(D45,$87:$94,5,FALSE)*HLOOKUP(D45,$87:$94,4,FALSE)*($B$25/HLOOKUP(D45,$87:$94,4,FALSE)+SUM($B$57:$D$57)/SUM($B58:$D$58)*$G$69/100/J46)</f>
        <v>1.4286135089440901</v>
      </c>
      <c r="E53" s="193">
        <f>C46/HLOOKUP(C45,$87:$94,5,FALSE)*HLOOKUP(C45,$87:$94,4,FALSE)*($B$25/HLOOKUP(C45,$87:$94,4,FALSE)+SUM($B$57:$D$57)/SUM($B58:$D$58)*$G$69/100/I46)</f>
        <v>1.778789010500287</v>
      </c>
    </row>
    <row r="54" spans="1:15" x14ac:dyDescent="0.25">
      <c r="A54" s="278">
        <f>SUM(B54:E54)</f>
        <v>4.53</v>
      </c>
      <c r="B54" s="277">
        <f t="shared" ref="B54:D54" si="0">HLOOKUP(B52-10,81:82,2,FALSE)</f>
        <v>1.01</v>
      </c>
      <c r="C54" s="277">
        <f t="shared" si="0"/>
        <v>1.1599999999999999</v>
      </c>
      <c r="D54" s="277">
        <f t="shared" si="0"/>
        <v>1.07</v>
      </c>
      <c r="E54" s="277">
        <f>HLOOKUP(E52-10,81:82,2,FALSE)</f>
        <v>1.29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1165587</v>
      </c>
      <c r="C57" s="196">
        <f>HLOOKUP(C56,78:79,2,FALSE)</f>
        <v>1166224</v>
      </c>
      <c r="D57" s="196">
        <f>HLOOKUP(D56,78:79,2,FALSE)</f>
        <v>1135856</v>
      </c>
      <c r="E57" s="196">
        <f>HLOOKUP(E56,78:79,2,FALSE)</f>
        <v>1111906</v>
      </c>
      <c r="F57" s="196">
        <f>HLOOKUP(F56,78:79,2,FALSE)</f>
        <v>1005920</v>
      </c>
      <c r="G57" s="196">
        <f t="shared" ref="G57:M57" si="2">HLOOKUP(G56,78:79,2,FALSE)</f>
        <v>985359</v>
      </c>
      <c r="H57" s="196">
        <f t="shared" si="2"/>
        <v>707641</v>
      </c>
      <c r="I57" s="196">
        <f t="shared" si="2"/>
        <v>787194</v>
      </c>
      <c r="J57" s="196">
        <f t="shared" si="2"/>
        <v>942798</v>
      </c>
      <c r="K57" s="196">
        <f t="shared" si="2"/>
        <v>678722</v>
      </c>
      <c r="L57" s="196">
        <f t="shared" si="2"/>
        <v>1145240</v>
      </c>
      <c r="M57" s="196">
        <f t="shared" si="2"/>
        <v>957635</v>
      </c>
      <c r="N57" s="197"/>
    </row>
    <row r="58" spans="1:15" x14ac:dyDescent="0.25">
      <c r="A58" s="198" t="s">
        <v>253</v>
      </c>
      <c r="B58" s="196">
        <f>HLOOKUP(B56-100,78:79,2,FALSE)</f>
        <v>661027</v>
      </c>
      <c r="C58" s="196">
        <f>HLOOKUP(C56-100,78:79,2,FALSE)</f>
        <v>889693</v>
      </c>
      <c r="D58" s="196">
        <f>HLOOKUP(D56-100,78:79,2,FALSE)</f>
        <v>920650</v>
      </c>
      <c r="E58" s="196">
        <f>HLOOKUP(E56-100,78:79,2,FALSE)</f>
        <v>578149</v>
      </c>
      <c r="F58" s="196">
        <f>HLOOKUP(F56-100,78:79,2,FALSE)</f>
        <v>709789</v>
      </c>
      <c r="G58" s="196">
        <f t="shared" ref="G58:M58" si="3">HLOOKUP(G56-100,78:79,2,FALSE)</f>
        <v>696418</v>
      </c>
      <c r="H58" s="196">
        <f t="shared" si="3"/>
        <v>511703</v>
      </c>
      <c r="I58" s="196">
        <f t="shared" si="3"/>
        <v>926130</v>
      </c>
      <c r="J58" s="196">
        <f t="shared" si="3"/>
        <v>813877</v>
      </c>
      <c r="K58" s="196">
        <f t="shared" si="3"/>
        <v>480110</v>
      </c>
      <c r="L58" s="196">
        <f t="shared" si="3"/>
        <v>823864</v>
      </c>
      <c r="M58" s="196">
        <f t="shared" si="3"/>
        <v>514322</v>
      </c>
      <c r="N58" s="197"/>
    </row>
    <row r="59" spans="1:15" x14ac:dyDescent="0.25">
      <c r="A59" s="199" t="s">
        <v>254</v>
      </c>
      <c r="B59" s="165">
        <f>IF(B57&lt;&gt;"",(B57-B58)/B58,"")</f>
        <v>0.76329711191827265</v>
      </c>
      <c r="C59" s="165">
        <f>IF(C57&lt;&gt;"",(C57-C58)/C58,"")</f>
        <v>0.31081620289245843</v>
      </c>
      <c r="D59" s="165">
        <f>IF(D57&lt;&gt;"",(D57-D58)/D58,"")</f>
        <v>0.23375441264324118</v>
      </c>
      <c r="E59" s="165">
        <f>IF(E57&lt;&gt;"",(E57-E58)/E58,"")</f>
        <v>0.92321702536889283</v>
      </c>
      <c r="F59" s="165">
        <f>IF(F57&lt;&gt;"",(F57-F58)/F58,"")</f>
        <v>0.41720990322476115</v>
      </c>
      <c r="G59" s="165">
        <f t="shared" ref="G59:M59" si="4">IF(G57&lt;&gt;"",(G57-G58)/G58,"")</f>
        <v>0.4148959389332269</v>
      </c>
      <c r="H59" s="165">
        <f t="shared" si="4"/>
        <v>0.38291352601020512</v>
      </c>
      <c r="I59" s="165">
        <f t="shared" si="4"/>
        <v>-0.15001781607333745</v>
      </c>
      <c r="J59" s="165">
        <f t="shared" si="4"/>
        <v>0.15840354255004135</v>
      </c>
      <c r="K59" s="165">
        <f t="shared" si="4"/>
        <v>0.41368019828789238</v>
      </c>
      <c r="L59" s="165">
        <f t="shared" si="4"/>
        <v>0.3900838002388744</v>
      </c>
      <c r="M59" s="165">
        <f t="shared" si="4"/>
        <v>0.86193668557829528</v>
      </c>
    </row>
    <row r="60" spans="1:15" x14ac:dyDescent="0.25">
      <c r="A60" s="195" t="s">
        <v>255</v>
      </c>
      <c r="B60" s="196">
        <f>SUM(B57:M57)</f>
        <v>11790082</v>
      </c>
    </row>
    <row r="61" spans="1:15" x14ac:dyDescent="0.25">
      <c r="A61" s="198" t="s">
        <v>256</v>
      </c>
      <c r="B61" s="196">
        <f>SUM(B58:M58)</f>
        <v>8525732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1.3828820798026491</v>
      </c>
      <c r="D62" s="152">
        <f>SUM(B46:E46)</f>
        <v>4.7600000000000007</v>
      </c>
      <c r="E62" s="152">
        <f>SUM(B49:E49)</f>
        <v>4.2200000000000006</v>
      </c>
      <c r="G62" s="126">
        <f>SUM(B47:E47)</f>
        <v>17.520000000000003</v>
      </c>
      <c r="H62" s="126">
        <f>SUM(B50:E50)</f>
        <v>16.149999999999999</v>
      </c>
      <c r="J62" s="200">
        <f>AVERAGE(H46:K46)</f>
        <v>0.2374</v>
      </c>
      <c r="K62" s="200">
        <f>AVERAGE(H49:K49)</f>
        <v>0.284275</v>
      </c>
      <c r="M62" s="200">
        <f>AVERAGE(H47:K47)</f>
        <v>5.9575000000000003E-2</v>
      </c>
      <c r="N62" s="200">
        <f>AVERAGE(H50:K50)</f>
        <v>7.5674999999999992E-2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0.68</v>
      </c>
      <c r="C65" s="205">
        <f t="shared" si="5"/>
        <v>1.03</v>
      </c>
      <c r="D65" s="205">
        <f t="shared" si="5"/>
        <v>0.83</v>
      </c>
      <c r="E65" s="205">
        <f t="shared" si="5"/>
        <v>1.19</v>
      </c>
      <c r="F65" s="206">
        <f>IF(ISNA(HLOOKUP(F$64*10+$A65,$81:$82,2,FALSE)),(HLOOKUP(E$64*10+$A65,$87:$94,4,FALSE)*$G65+$B$25)/HLOOKUP(E$64*10+$A65,$87:$94,5,FALSE)*$E65,HLOOKUP(F$64*10+$A65,$81:$82,2,FALSE))</f>
        <v>1.07</v>
      </c>
      <c r="G65" s="101">
        <f>MIN(130%,SUM($B$57:$D$57)/SUM($B$58:$D$58)*$G$69/HLOOKUP(E$64*10+$A65,$145:$146,2,FALSE))</f>
        <v>1.3</v>
      </c>
      <c r="H65" s="204">
        <v>1</v>
      </c>
      <c r="I65" s="208">
        <f t="shared" ref="I65:M68" si="6">IF(ISNA(HLOOKUP(I$64*10+$H65,$145:$147,3,FALSE)),"",HLOOKUP(I$64*10+$H65,$145:$147,3,FALSE)/100)</f>
        <v>7.8899999999999998E-2</v>
      </c>
      <c r="J65" s="208">
        <f t="shared" si="6"/>
        <v>9.5899999999999999E-2</v>
      </c>
      <c r="K65" s="208">
        <f t="shared" si="6"/>
        <v>7.8399999999999997E-2</v>
      </c>
      <c r="L65" s="208">
        <f t="shared" si="6"/>
        <v>8.7799999999999989E-2</v>
      </c>
      <c r="M65" s="209">
        <f t="shared" si="6"/>
        <v>5.7599999999999998E-2</v>
      </c>
      <c r="N65" s="256">
        <f t="shared" ref="N65:O68" si="7">HLOOKUP(E$64*10+$A65,$87:$94,8,FALSE)</f>
        <v>-4197</v>
      </c>
      <c r="O65" s="256">
        <f t="shared" si="7"/>
        <v>29960</v>
      </c>
      <c r="P65" s="210"/>
    </row>
    <row r="66" spans="1:71" x14ac:dyDescent="0.25">
      <c r="A66" s="204">
        <v>2</v>
      </c>
      <c r="B66" s="205">
        <f t="shared" si="5"/>
        <v>0.14000000000000001</v>
      </c>
      <c r="C66" s="205">
        <f t="shared" si="5"/>
        <v>0.86</v>
      </c>
      <c r="D66" s="205">
        <f t="shared" si="5"/>
        <v>0.66</v>
      </c>
      <c r="E66" s="205">
        <f t="shared" si="5"/>
        <v>0.75</v>
      </c>
      <c r="F66" s="206">
        <f>IF(ISNA(HLOOKUP(F$64*10+$A66,$81:$82,2,FALSE)),(HLOOKUP(E$64*10+$A66,$87:$94,4,FALSE)*$G66+$B$25)/HLOOKUP(E$64*10+$A66,$87:$94,5,FALSE)*$E66,HLOOKUP(F$64*10+$A66,$81:$82,2,FALSE))</f>
        <v>1.29</v>
      </c>
      <c r="G66" s="101">
        <f>MIN(130%,SUM($B$57:$D$57)/SUM($B$58:$D$58)*$G$69/HLOOKUP(E$64*10+$A66,$145:$146,2,FALSE))</f>
        <v>1.3</v>
      </c>
      <c r="H66" s="204">
        <v>2</v>
      </c>
      <c r="I66" s="208">
        <f t="shared" si="6"/>
        <v>1.55E-2</v>
      </c>
      <c r="J66" s="208">
        <f t="shared" si="6"/>
        <v>7.6299999999999993E-2</v>
      </c>
      <c r="K66" s="208">
        <f t="shared" si="6"/>
        <v>5.0199999999999995E-2</v>
      </c>
      <c r="L66" s="208">
        <f t="shared" si="6"/>
        <v>5.5500000000000001E-2</v>
      </c>
      <c r="M66" s="209">
        <f t="shared" si="6"/>
        <v>7.0099999999999996E-2</v>
      </c>
      <c r="N66" s="256">
        <f t="shared" si="7"/>
        <v>6465</v>
      </c>
      <c r="O66" s="256">
        <f t="shared" si="7"/>
        <v>12915</v>
      </c>
      <c r="P66" s="210"/>
    </row>
    <row r="67" spans="1:71" x14ac:dyDescent="0.25">
      <c r="A67" s="204">
        <v>3</v>
      </c>
      <c r="B67" s="205">
        <f t="shared" si="5"/>
        <v>0.27</v>
      </c>
      <c r="C67" s="205">
        <f t="shared" si="5"/>
        <v>0.7</v>
      </c>
      <c r="D67" s="205">
        <f t="shared" si="5"/>
        <v>0.92</v>
      </c>
      <c r="E67" s="205">
        <f t="shared" si="5"/>
        <v>1.01</v>
      </c>
      <c r="F67" s="206">
        <f>IF(ISNA(HLOOKUP(F$64*10+$A67,$81:$82,2,FALSE)),(HLOOKUP(E$64*10+$A67,$87:$94,4,FALSE)*$G67+$B$25)/HLOOKUP(E$64*10+$A67,$87:$94,5,FALSE)*$E67,HLOOKUP(F$64*10+$A67,$81:$82,2,FALSE))</f>
        <v>1.24</v>
      </c>
      <c r="G67" s="101">
        <f>MIN(130%,SUM($B$57:$D$57)/SUM($B$58:$D$58)*$G$69/HLOOKUP(E$64*10+$A67,$145:$146,2,FALSE))</f>
        <v>1.3</v>
      </c>
      <c r="H67" s="204">
        <v>3</v>
      </c>
      <c r="I67" s="208">
        <f t="shared" si="6"/>
        <v>2.0799999999999999E-2</v>
      </c>
      <c r="J67" s="208">
        <f t="shared" si="6"/>
        <v>4.8399999999999999E-2</v>
      </c>
      <c r="K67" s="208">
        <f t="shared" si="6"/>
        <v>6.9000000000000006E-2</v>
      </c>
      <c r="L67" s="208">
        <f t="shared" si="6"/>
        <v>6.6699999999999995E-2</v>
      </c>
      <c r="M67" s="209">
        <f t="shared" si="6"/>
        <v>5.2000000000000005E-2</v>
      </c>
      <c r="N67" s="256">
        <f t="shared" si="7"/>
        <v>-1166</v>
      </c>
      <c r="O67" s="256">
        <f t="shared" si="7"/>
        <v>16281</v>
      </c>
      <c r="P67" s="210"/>
    </row>
    <row r="68" spans="1:71" x14ac:dyDescent="0.25">
      <c r="A68" s="204">
        <v>4</v>
      </c>
      <c r="B68" s="205">
        <f>HLOOKUP(B$64*10+$A68,$81:$82,2,FALSE)</f>
        <v>1.07</v>
      </c>
      <c r="C68" s="205">
        <f>HLOOKUP(C$64*10+$A68,$81:$82,2,FALSE)</f>
        <v>0.69</v>
      </c>
      <c r="D68" s="205">
        <f>HLOOKUP(D$64*10+$A68,$81:$82,2,FALSE)</f>
        <v>1.27</v>
      </c>
      <c r="E68" s="206">
        <f>IF(ISNA(HLOOKUP(E$64*10+$A68,$81:$82,2,FALSE)),D68*(1-$N68)*#REF!*(1+$B$25)/(1+$E$4),HLOOKUP(E$64*10+$A68,$81:$82,2,FALSE))</f>
        <v>1.1599999999999999</v>
      </c>
      <c r="F68" s="206">
        <f>IF(ISNA(HLOOKUP(F$64*10+$A68,$81:$82,2,FALSE)),(HLOOKUP(E$64*10+$A68,$87:$94,4,FALSE)*$G68+$B$25)/HLOOKUP(E$64*10+$A68,$87:$94,5,FALSE)*$E68,HLOOKUP(F$64*10+$A68,$81:$82,2,FALSE))</f>
        <v>1.4637486386713694</v>
      </c>
      <c r="G68" s="101">
        <f>MIN(130%,SUM($B$57:$D$57)/SUM($B$58:$D$58)*$G$69/HLOOKUP(E$64*10+$A68,$145:$146,2,FALSE))</f>
        <v>1.3</v>
      </c>
      <c r="H68" s="204">
        <v>4</v>
      </c>
      <c r="I68" s="208">
        <f t="shared" si="6"/>
        <v>9.3399999999999997E-2</v>
      </c>
      <c r="J68" s="208">
        <f t="shared" si="6"/>
        <v>5.4900000000000004E-2</v>
      </c>
      <c r="K68" s="208">
        <f t="shared" si="6"/>
        <v>9.2699999999999991E-2</v>
      </c>
      <c r="L68" s="208">
        <f t="shared" si="6"/>
        <v>5.8600000000000006E-2</v>
      </c>
      <c r="M68" s="209" t="str">
        <f t="shared" si="6"/>
        <v/>
      </c>
      <c r="N68" s="256">
        <f t="shared" si="7"/>
        <v>10300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2.16</v>
      </c>
      <c r="C69" s="213">
        <f>SUM(C65:C68)</f>
        <v>3.28</v>
      </c>
      <c r="D69" s="213">
        <f>SUM(D65:D68)</f>
        <v>3.68</v>
      </c>
      <c r="E69" s="213">
        <f>SUM(E65:E68)</f>
        <v>4.1100000000000003</v>
      </c>
      <c r="F69" s="213">
        <f>SUM(F65:F68)</f>
        <v>5.0637486386713704</v>
      </c>
      <c r="G69" s="257">
        <f>_xlfn.FORECAST.ETS(23,B146:W146,{1,2,3,4,5,6,7,8,9,10,11,12,13,14,15,16,17,18,19,20,21,22})</f>
        <v>27.354629882661651</v>
      </c>
      <c r="H69" s="214" t="s">
        <v>19</v>
      </c>
      <c r="I69" s="215">
        <f>HLOOKUP(I64,151:155,3,FALSE)/100</f>
        <v>5.1299999999999998E-2</v>
      </c>
      <c r="J69" s="215">
        <f>HLOOKUP(J64,151:155,3,FALSE)/100</f>
        <v>6.83E-2</v>
      </c>
      <c r="K69" s="215">
        <f>HLOOKUP(K64,151:155,3,FALSE)/100</f>
        <v>7.2499999999999995E-2</v>
      </c>
      <c r="L69" s="215">
        <f>IF(ISNA(HLOOKUP(L64,151:155,3,FALSE)/100),AVERAGE(L65:L68),HLOOKUP(L64,151:155,3,FALSE)/100)</f>
        <v>6.7000000000000004E-2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2.5499999999999998</v>
      </c>
      <c r="C72" s="205">
        <f t="shared" si="8"/>
        <v>4</v>
      </c>
      <c r="D72" s="205">
        <f t="shared" si="8"/>
        <v>3.19</v>
      </c>
      <c r="E72" s="205">
        <f t="shared" si="8"/>
        <v>4.43</v>
      </c>
      <c r="F72" s="205">
        <f t="shared" si="8"/>
        <v>3.82</v>
      </c>
    </row>
    <row r="73" spans="1:71" s="135" customFormat="1" x14ac:dyDescent="0.25">
      <c r="A73" s="204">
        <v>2</v>
      </c>
      <c r="B73" s="205">
        <f t="shared" si="8"/>
        <v>0.55000000000000004</v>
      </c>
      <c r="C73" s="205">
        <f t="shared" si="8"/>
        <v>3.39</v>
      </c>
      <c r="D73" s="205">
        <f t="shared" si="8"/>
        <v>2.63</v>
      </c>
      <c r="E73" s="205">
        <f t="shared" si="8"/>
        <v>2.85</v>
      </c>
      <c r="F73" s="205">
        <f t="shared" si="8"/>
        <v>4.75</v>
      </c>
    </row>
    <row r="74" spans="1:71" s="135" customFormat="1" x14ac:dyDescent="0.25">
      <c r="A74" s="204">
        <v>3</v>
      </c>
      <c r="B74" s="205">
        <f t="shared" si="8"/>
        <v>1.1399999999999999</v>
      </c>
      <c r="C74" s="205">
        <f t="shared" si="8"/>
        <v>2.84</v>
      </c>
      <c r="D74" s="205">
        <f t="shared" si="8"/>
        <v>3.74</v>
      </c>
      <c r="E74" s="205">
        <f t="shared" si="8"/>
        <v>3.91</v>
      </c>
      <c r="F74" s="205">
        <f t="shared" si="8"/>
        <v>4.62</v>
      </c>
    </row>
    <row r="75" spans="1:71" s="135" customFormat="1" x14ac:dyDescent="0.25">
      <c r="A75" s="204">
        <v>4</v>
      </c>
      <c r="B75" s="205">
        <f t="shared" si="8"/>
        <v>4.3099999999999996</v>
      </c>
      <c r="C75" s="205">
        <f t="shared" si="8"/>
        <v>2.72</v>
      </c>
      <c r="D75" s="205">
        <f t="shared" si="8"/>
        <v>4.96</v>
      </c>
      <c r="E75" s="205">
        <f t="shared" si="8"/>
        <v>4.33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8.5499999999999989</v>
      </c>
      <c r="C76" s="213">
        <f>SUM(C72:C75)</f>
        <v>12.950000000000001</v>
      </c>
      <c r="D76" s="213">
        <f>SUM(D72:D75)</f>
        <v>14.52</v>
      </c>
      <c r="E76" s="213">
        <f>AVERAGE(E72:E75)*4</f>
        <v>15.52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454760</v>
      </c>
      <c r="C79" s="270">
        <v>566500</v>
      </c>
      <c r="D79" s="270">
        <v>691947</v>
      </c>
      <c r="E79" s="270">
        <v>727960</v>
      </c>
      <c r="F79" s="270">
        <v>777904</v>
      </c>
      <c r="G79" s="270">
        <v>645201</v>
      </c>
      <c r="H79" s="270">
        <v>903366</v>
      </c>
      <c r="I79" s="270">
        <v>1120815</v>
      </c>
      <c r="J79" s="270">
        <v>894031</v>
      </c>
      <c r="K79" s="270">
        <v>788945</v>
      </c>
      <c r="L79" s="270">
        <v>815269</v>
      </c>
      <c r="M79" s="270">
        <v>627062</v>
      </c>
      <c r="N79" s="270">
        <v>402642</v>
      </c>
      <c r="O79" s="270">
        <v>312309</v>
      </c>
      <c r="P79" s="270">
        <v>491958</v>
      </c>
      <c r="Q79" s="270">
        <v>423998</v>
      </c>
      <c r="R79" s="270">
        <v>439997</v>
      </c>
      <c r="S79" s="270">
        <v>426595</v>
      </c>
      <c r="T79" s="270">
        <v>597114</v>
      </c>
      <c r="U79" s="270">
        <v>701314</v>
      </c>
      <c r="V79" s="270">
        <v>654849</v>
      </c>
      <c r="W79" s="270">
        <v>566933</v>
      </c>
      <c r="X79" s="270">
        <v>589623</v>
      </c>
      <c r="Y79" s="270">
        <v>569409</v>
      </c>
      <c r="Z79" s="270">
        <v>507046</v>
      </c>
      <c r="AA79" s="270">
        <v>455119</v>
      </c>
      <c r="AB79" s="270">
        <v>711109</v>
      </c>
      <c r="AC79" s="270">
        <v>603072</v>
      </c>
      <c r="AD79" s="270">
        <v>575307</v>
      </c>
      <c r="AE79" s="270">
        <v>557645</v>
      </c>
      <c r="AF79" s="270">
        <v>522070</v>
      </c>
      <c r="AG79" s="270">
        <v>725437</v>
      </c>
      <c r="AH79" s="270">
        <v>677482</v>
      </c>
      <c r="AI79" s="270">
        <v>521746</v>
      </c>
      <c r="AJ79" s="270">
        <v>581302</v>
      </c>
      <c r="AK79" s="270">
        <v>514946</v>
      </c>
      <c r="AL79" s="270">
        <v>652293</v>
      </c>
      <c r="AM79" s="270">
        <v>569493</v>
      </c>
      <c r="AN79" s="270">
        <v>510691</v>
      </c>
      <c r="AO79" s="270">
        <v>587520</v>
      </c>
      <c r="AP79" s="270">
        <v>550006</v>
      </c>
      <c r="AQ79" s="270">
        <v>810400</v>
      </c>
      <c r="AR79" s="270">
        <v>722004</v>
      </c>
      <c r="AS79" s="270">
        <v>676941</v>
      </c>
      <c r="AT79" s="270">
        <v>690880</v>
      </c>
      <c r="AU79" s="270">
        <v>653718</v>
      </c>
      <c r="AV79" s="270">
        <v>514322</v>
      </c>
      <c r="AW79" s="270">
        <v>823864</v>
      </c>
      <c r="AX79" s="270">
        <v>480110</v>
      </c>
      <c r="AY79" s="270">
        <v>813877</v>
      </c>
      <c r="AZ79" s="270">
        <v>926130</v>
      </c>
      <c r="BA79" s="270">
        <v>511703</v>
      </c>
      <c r="BB79" s="270">
        <v>696418</v>
      </c>
      <c r="BC79" s="270">
        <v>709789</v>
      </c>
      <c r="BD79" s="270">
        <v>578149</v>
      </c>
      <c r="BE79" s="270">
        <v>920650</v>
      </c>
      <c r="BF79" s="270">
        <v>889693</v>
      </c>
      <c r="BG79" s="270">
        <v>661027</v>
      </c>
      <c r="BH79" s="270">
        <v>957635</v>
      </c>
      <c r="BI79" s="270">
        <v>1145240</v>
      </c>
      <c r="BJ79" s="270">
        <v>678722</v>
      </c>
      <c r="BK79" s="270">
        <v>942798</v>
      </c>
      <c r="BL79" s="270">
        <v>787194</v>
      </c>
      <c r="BM79" s="270">
        <v>707641</v>
      </c>
      <c r="BN79" s="270">
        <v>985359</v>
      </c>
      <c r="BO79" s="270">
        <v>1005920</v>
      </c>
      <c r="BP79" s="270">
        <v>1111906</v>
      </c>
      <c r="BQ79" s="270">
        <v>1135856</v>
      </c>
      <c r="BR79" s="270">
        <v>1166224</v>
      </c>
      <c r="BS79" s="270">
        <v>1165587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0.74</v>
      </c>
      <c r="C82" s="72">
        <v>1.35</v>
      </c>
      <c r="D82" s="72">
        <v>1.48</v>
      </c>
      <c r="E82" s="72">
        <v>0.99</v>
      </c>
      <c r="F82" s="72">
        <v>0.68</v>
      </c>
      <c r="G82" s="72">
        <v>0.14000000000000001</v>
      </c>
      <c r="H82" s="72">
        <v>0.27</v>
      </c>
      <c r="I82" s="72">
        <v>1.07</v>
      </c>
      <c r="J82" s="72">
        <v>1.03</v>
      </c>
      <c r="K82" s="72">
        <v>0.86</v>
      </c>
      <c r="L82" s="72">
        <v>0.7</v>
      </c>
      <c r="M82" s="72">
        <v>0.69</v>
      </c>
      <c r="N82" s="72">
        <v>0.83</v>
      </c>
      <c r="O82" s="72">
        <v>0.66</v>
      </c>
      <c r="P82" s="72">
        <v>0.92</v>
      </c>
      <c r="Q82" s="72">
        <v>1.27</v>
      </c>
      <c r="R82" s="72">
        <v>1.19</v>
      </c>
      <c r="S82" s="72">
        <v>0.75</v>
      </c>
      <c r="T82" s="72">
        <v>1.01</v>
      </c>
      <c r="U82" s="72">
        <v>1.1599999999999999</v>
      </c>
      <c r="V82" s="72">
        <v>1.07</v>
      </c>
      <c r="W82" s="72">
        <v>1.29</v>
      </c>
      <c r="X82" s="72">
        <v>1.24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25.5</v>
      </c>
      <c r="C85" s="72">
        <v>23.87</v>
      </c>
      <c r="D85" s="72">
        <v>25.33</v>
      </c>
      <c r="E85" s="72">
        <v>26.28</v>
      </c>
      <c r="F85" s="72">
        <v>26.8</v>
      </c>
      <c r="G85" s="72">
        <v>23.94</v>
      </c>
      <c r="H85" s="72">
        <v>24.2</v>
      </c>
      <c r="I85" s="72">
        <v>25.28</v>
      </c>
      <c r="J85" s="72">
        <v>26.33</v>
      </c>
      <c r="K85" s="72">
        <v>24.17</v>
      </c>
      <c r="L85" s="72">
        <v>24.88</v>
      </c>
      <c r="M85" s="72">
        <v>25.62</v>
      </c>
      <c r="N85" s="72">
        <v>26.44</v>
      </c>
      <c r="O85" s="72">
        <v>24.08</v>
      </c>
      <c r="P85" s="72">
        <v>25.07</v>
      </c>
      <c r="Q85" s="72">
        <v>26.32</v>
      </c>
      <c r="R85" s="72">
        <v>27.51</v>
      </c>
      <c r="S85" s="72">
        <v>25.28</v>
      </c>
      <c r="T85" s="72">
        <v>26.25</v>
      </c>
      <c r="U85" s="72">
        <v>27.4</v>
      </c>
      <c r="V85" s="72">
        <v>28.41</v>
      </c>
      <c r="W85" s="72">
        <v>26.21</v>
      </c>
      <c r="X85" s="72">
        <v>27.45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1713207</v>
      </c>
      <c r="C88" s="273">
        <v>2151065</v>
      </c>
      <c r="D88" s="273">
        <v>2918212</v>
      </c>
      <c r="E88" s="273">
        <v>2231276</v>
      </c>
      <c r="F88" s="273">
        <v>1206909</v>
      </c>
      <c r="G88" s="273">
        <v>1290590</v>
      </c>
      <c r="H88" s="273">
        <v>1953276</v>
      </c>
      <c r="I88" s="273">
        <v>1725966</v>
      </c>
      <c r="J88" s="273">
        <v>1673274</v>
      </c>
      <c r="K88" s="273">
        <v>1736024</v>
      </c>
      <c r="L88" s="273">
        <v>1924989</v>
      </c>
      <c r="M88" s="273">
        <v>1617994</v>
      </c>
      <c r="N88" s="273">
        <v>1732477</v>
      </c>
      <c r="O88" s="273">
        <v>1947926</v>
      </c>
      <c r="P88" s="273">
        <v>2089825</v>
      </c>
      <c r="Q88" s="273">
        <v>1991904</v>
      </c>
      <c r="R88" s="273">
        <v>2220117</v>
      </c>
      <c r="S88" s="273">
        <v>1917910</v>
      </c>
      <c r="T88" s="273">
        <v>2388492</v>
      </c>
      <c r="U88" s="273">
        <v>2763902</v>
      </c>
      <c r="V88" s="273">
        <v>2408714</v>
      </c>
      <c r="W88" s="273">
        <v>2698920</v>
      </c>
      <c r="X88" s="273">
        <v>3413986</v>
      </c>
    </row>
    <row r="89" spans="1:25" ht="14.25" thickBot="1" x14ac:dyDescent="0.3">
      <c r="A89" s="250" t="s">
        <v>4</v>
      </c>
      <c r="B89" s="275">
        <v>439625</v>
      </c>
      <c r="C89" s="275">
        <v>555124</v>
      </c>
      <c r="D89" s="275">
        <v>595829</v>
      </c>
      <c r="E89" s="275">
        <v>480723</v>
      </c>
      <c r="F89" s="275">
        <v>407719</v>
      </c>
      <c r="G89" s="275">
        <v>314669</v>
      </c>
      <c r="H89" s="275">
        <v>356420</v>
      </c>
      <c r="I89" s="275">
        <v>521527</v>
      </c>
      <c r="J89" s="275">
        <v>472452</v>
      </c>
      <c r="K89" s="275">
        <v>483063</v>
      </c>
      <c r="L89" s="275">
        <v>460931</v>
      </c>
      <c r="M89" s="275">
        <v>468880</v>
      </c>
      <c r="N89" s="275">
        <v>520294</v>
      </c>
      <c r="O89" s="275">
        <v>505972</v>
      </c>
      <c r="P89" s="275">
        <v>544870</v>
      </c>
      <c r="Q89" s="275">
        <v>622839</v>
      </c>
      <c r="R89" s="275">
        <v>640262</v>
      </c>
      <c r="S89" s="275">
        <v>552168</v>
      </c>
      <c r="T89" s="275">
        <v>592567</v>
      </c>
      <c r="U89" s="275">
        <v>604510</v>
      </c>
      <c r="V89" s="275">
        <v>587173</v>
      </c>
      <c r="W89" s="275">
        <v>720751</v>
      </c>
      <c r="X89" s="275">
        <v>751044</v>
      </c>
    </row>
    <row r="90" spans="1:25" ht="14.25" thickBot="1" x14ac:dyDescent="0.3">
      <c r="A90" s="251" t="s">
        <v>5</v>
      </c>
      <c r="B90" s="273">
        <v>119511</v>
      </c>
      <c r="C90" s="273">
        <v>206125</v>
      </c>
      <c r="D90" s="273">
        <v>227793</v>
      </c>
      <c r="E90" s="273">
        <v>155307</v>
      </c>
      <c r="F90" s="273">
        <v>95282</v>
      </c>
      <c r="G90" s="273">
        <v>20038</v>
      </c>
      <c r="H90" s="273">
        <v>40540</v>
      </c>
      <c r="I90" s="273">
        <v>161188</v>
      </c>
      <c r="J90" s="273">
        <v>160531</v>
      </c>
      <c r="K90" s="273">
        <v>132482</v>
      </c>
      <c r="L90" s="273">
        <v>93125</v>
      </c>
      <c r="M90" s="273">
        <v>88852</v>
      </c>
      <c r="N90" s="273">
        <v>135797</v>
      </c>
      <c r="O90" s="273">
        <v>97842</v>
      </c>
      <c r="P90" s="273">
        <v>144133</v>
      </c>
      <c r="Q90" s="273">
        <v>184681</v>
      </c>
      <c r="R90" s="273">
        <v>194858</v>
      </c>
      <c r="S90" s="273">
        <v>106446</v>
      </c>
      <c r="T90" s="273">
        <v>159296</v>
      </c>
      <c r="U90" s="273">
        <v>162054</v>
      </c>
      <c r="V90" s="273">
        <v>138749</v>
      </c>
      <c r="W90" s="273">
        <v>189239</v>
      </c>
      <c r="X90" s="273">
        <v>177590</v>
      </c>
    </row>
    <row r="91" spans="1:25" ht="14.25" thickBot="1" x14ac:dyDescent="0.3">
      <c r="A91" s="250" t="s">
        <v>6</v>
      </c>
      <c r="B91" s="275">
        <v>114387</v>
      </c>
      <c r="C91" s="275">
        <v>209212</v>
      </c>
      <c r="D91" s="275">
        <v>228309</v>
      </c>
      <c r="E91" s="275">
        <v>153237</v>
      </c>
      <c r="F91" s="275">
        <v>108539</v>
      </c>
      <c r="G91" s="275">
        <v>23781</v>
      </c>
      <c r="H91" s="275">
        <v>43915</v>
      </c>
      <c r="I91" s="275">
        <v>172147</v>
      </c>
      <c r="J91" s="275">
        <v>167301</v>
      </c>
      <c r="K91" s="275">
        <v>138022</v>
      </c>
      <c r="L91" s="275">
        <v>112352</v>
      </c>
      <c r="M91" s="275">
        <v>95940</v>
      </c>
      <c r="N91" s="275">
        <v>131595</v>
      </c>
      <c r="O91" s="275">
        <v>108237</v>
      </c>
      <c r="P91" s="275">
        <v>145996</v>
      </c>
      <c r="Q91" s="275">
        <v>196446</v>
      </c>
      <c r="R91" s="275">
        <v>190661</v>
      </c>
      <c r="S91" s="275">
        <v>112911</v>
      </c>
      <c r="T91" s="275">
        <v>158130</v>
      </c>
      <c r="U91" s="275">
        <v>172354</v>
      </c>
      <c r="V91" s="275">
        <v>168709</v>
      </c>
      <c r="W91" s="275">
        <v>202154</v>
      </c>
      <c r="X91" s="275">
        <v>193871</v>
      </c>
    </row>
    <row r="92" spans="1:25" ht="14.25" thickBot="1" x14ac:dyDescent="0.3">
      <c r="A92" s="251" t="s">
        <v>7</v>
      </c>
      <c r="B92" s="273">
        <v>99537</v>
      </c>
      <c r="C92" s="273">
        <v>181354</v>
      </c>
      <c r="D92" s="273">
        <v>198521</v>
      </c>
      <c r="E92" s="273">
        <v>132957</v>
      </c>
      <c r="F92" s="273">
        <v>90749</v>
      </c>
      <c r="G92" s="273">
        <v>18846</v>
      </c>
      <c r="H92" s="273">
        <v>36679</v>
      </c>
      <c r="I92" s="273">
        <v>142930</v>
      </c>
      <c r="J92" s="273">
        <v>138434</v>
      </c>
      <c r="K92" s="273">
        <v>114712</v>
      </c>
      <c r="L92" s="273">
        <v>93338</v>
      </c>
      <c r="M92" s="273">
        <v>91977</v>
      </c>
      <c r="N92" s="273">
        <v>111140</v>
      </c>
      <c r="O92" s="273">
        <v>89079</v>
      </c>
      <c r="P92" s="273">
        <v>123175</v>
      </c>
      <c r="Q92" s="273">
        <v>170846</v>
      </c>
      <c r="R92" s="273">
        <v>159654</v>
      </c>
      <c r="S92" s="273">
        <v>100968</v>
      </c>
      <c r="T92" s="273">
        <v>134937</v>
      </c>
      <c r="U92" s="273">
        <v>155523</v>
      </c>
      <c r="V92" s="273">
        <v>142986</v>
      </c>
      <c r="W92" s="273">
        <v>173925</v>
      </c>
      <c r="X92" s="273">
        <v>166020</v>
      </c>
    </row>
    <row r="93" spans="1:25" ht="26.25" thickBot="1" x14ac:dyDescent="0.3">
      <c r="A93" s="252" t="s">
        <v>8</v>
      </c>
      <c r="B93" s="276">
        <v>99537</v>
      </c>
      <c r="C93" s="276">
        <v>181354</v>
      </c>
      <c r="D93" s="276">
        <v>198521</v>
      </c>
      <c r="E93" s="276">
        <v>132957</v>
      </c>
      <c r="F93" s="276">
        <v>90749</v>
      </c>
      <c r="G93" s="276">
        <v>18846</v>
      </c>
      <c r="H93" s="276">
        <v>36679</v>
      </c>
      <c r="I93" s="276">
        <v>142930</v>
      </c>
      <c r="J93" s="276">
        <v>138434</v>
      </c>
      <c r="K93" s="276">
        <v>114712</v>
      </c>
      <c r="L93" s="276">
        <v>93338</v>
      </c>
      <c r="M93" s="276">
        <v>91977</v>
      </c>
      <c r="N93" s="276">
        <v>111140</v>
      </c>
      <c r="O93" s="276">
        <v>89079</v>
      </c>
      <c r="P93" s="276">
        <v>123175</v>
      </c>
      <c r="Q93" s="276">
        <v>170846</v>
      </c>
      <c r="R93" s="276">
        <v>159654</v>
      </c>
      <c r="S93" s="276">
        <v>100968</v>
      </c>
      <c r="T93" s="276">
        <v>134937</v>
      </c>
      <c r="U93" s="276">
        <v>155523</v>
      </c>
      <c r="V93" s="276">
        <v>142986</v>
      </c>
      <c r="W93" s="276">
        <v>173925</v>
      </c>
      <c r="X93" s="276">
        <v>166020</v>
      </c>
    </row>
    <row r="94" spans="1:25" x14ac:dyDescent="0.25">
      <c r="A94" s="233" t="s">
        <v>365</v>
      </c>
      <c r="B94" s="253">
        <f>IF(B91="","",B91-B90)</f>
        <v>-5124</v>
      </c>
      <c r="C94" s="253">
        <f>IF(C91="","",C91-C90)</f>
        <v>3087</v>
      </c>
      <c r="D94" s="253">
        <f t="shared" ref="D94:Y94" si="9">IF(D91="","",D91-D90)</f>
        <v>516</v>
      </c>
      <c r="E94" s="253">
        <f t="shared" si="9"/>
        <v>-2070</v>
      </c>
      <c r="F94" s="253">
        <f t="shared" si="9"/>
        <v>13257</v>
      </c>
      <c r="G94" s="253">
        <f t="shared" si="9"/>
        <v>3743</v>
      </c>
      <c r="H94" s="253">
        <f t="shared" si="9"/>
        <v>3375</v>
      </c>
      <c r="I94" s="253">
        <f t="shared" si="9"/>
        <v>10959</v>
      </c>
      <c r="J94" s="253">
        <f t="shared" si="9"/>
        <v>6770</v>
      </c>
      <c r="K94" s="253">
        <f t="shared" si="9"/>
        <v>5540</v>
      </c>
      <c r="L94" s="253">
        <f t="shared" si="9"/>
        <v>19227</v>
      </c>
      <c r="M94" s="253">
        <f t="shared" si="9"/>
        <v>7088</v>
      </c>
      <c r="N94" s="253">
        <f t="shared" si="9"/>
        <v>-4202</v>
      </c>
      <c r="O94" s="253">
        <f t="shared" si="9"/>
        <v>10395</v>
      </c>
      <c r="P94" s="253">
        <f t="shared" si="9"/>
        <v>1863</v>
      </c>
      <c r="Q94" s="253">
        <f t="shared" si="9"/>
        <v>11765</v>
      </c>
      <c r="R94" s="253">
        <f t="shared" si="9"/>
        <v>-4197</v>
      </c>
      <c r="S94" s="253">
        <f t="shared" si="9"/>
        <v>6465</v>
      </c>
      <c r="T94" s="253">
        <f t="shared" si="9"/>
        <v>-1166</v>
      </c>
      <c r="U94" s="253">
        <f t="shared" si="9"/>
        <v>10300</v>
      </c>
      <c r="V94" s="253">
        <f t="shared" si="9"/>
        <v>29960</v>
      </c>
      <c r="W94" s="253">
        <f t="shared" si="9"/>
        <v>12915</v>
      </c>
      <c r="X94" s="253">
        <f t="shared" si="9"/>
        <v>16281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9013760</v>
      </c>
      <c r="C97" s="273">
        <v>6176741</v>
      </c>
      <c r="D97" s="273">
        <v>6952281</v>
      </c>
      <c r="E97" s="273">
        <v>7762132</v>
      </c>
      <c r="F97" s="273">
        <v>9290421</v>
      </c>
    </row>
    <row r="98" spans="1:24" ht="14.25" thickBot="1" x14ac:dyDescent="0.3">
      <c r="A98" s="225" t="s">
        <v>4</v>
      </c>
      <c r="B98" s="275">
        <v>2071301</v>
      </c>
      <c r="C98" s="275">
        <v>1600335</v>
      </c>
      <c r="D98" s="275">
        <v>1885326</v>
      </c>
      <c r="E98" s="275">
        <v>2193975</v>
      </c>
      <c r="F98" s="275">
        <v>2389507</v>
      </c>
    </row>
    <row r="99" spans="1:24" ht="14.25" thickBot="1" x14ac:dyDescent="0.3">
      <c r="A99" s="224" t="s">
        <v>5</v>
      </c>
      <c r="B99" s="273">
        <v>708736</v>
      </c>
      <c r="C99" s="273">
        <v>317048</v>
      </c>
      <c r="D99" s="273">
        <v>474972</v>
      </c>
      <c r="E99" s="273">
        <v>562453</v>
      </c>
      <c r="F99" s="273">
        <v>622654</v>
      </c>
    </row>
    <row r="100" spans="1:24" ht="14.25" thickBot="1" x14ac:dyDescent="0.3">
      <c r="A100" s="225" t="s">
        <v>6</v>
      </c>
      <c r="B100" s="275">
        <v>705145</v>
      </c>
      <c r="C100" s="275">
        <v>348382</v>
      </c>
      <c r="D100" s="275">
        <v>513597</v>
      </c>
      <c r="E100" s="275">
        <v>582274</v>
      </c>
      <c r="F100" s="275">
        <v>634056</v>
      </c>
    </row>
    <row r="101" spans="1:24" ht="14.25" thickBot="1" x14ac:dyDescent="0.3">
      <c r="A101" s="224" t="s">
        <v>7</v>
      </c>
      <c r="B101" s="273">
        <v>612369</v>
      </c>
      <c r="C101" s="273">
        <v>289204</v>
      </c>
      <c r="D101" s="273">
        <v>438443</v>
      </c>
      <c r="E101" s="273">
        <v>494240</v>
      </c>
      <c r="F101" s="273">
        <v>551082</v>
      </c>
    </row>
    <row r="102" spans="1:24" ht="14.25" thickBot="1" x14ac:dyDescent="0.3">
      <c r="A102" s="227" t="s">
        <v>8</v>
      </c>
      <c r="B102" s="276">
        <v>612369</v>
      </c>
      <c r="C102" s="276">
        <v>289204</v>
      </c>
      <c r="D102" s="276">
        <v>438443</v>
      </c>
      <c r="E102" s="276">
        <v>494240</v>
      </c>
      <c r="F102" s="276">
        <v>551082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2260999</v>
      </c>
      <c r="C106" s="273">
        <v>1725415</v>
      </c>
      <c r="D106" s="273">
        <v>1867966</v>
      </c>
      <c r="E106" s="273">
        <v>2384588</v>
      </c>
      <c r="F106" s="273">
        <v>2762184</v>
      </c>
      <c r="G106" s="273">
        <v>2892771</v>
      </c>
      <c r="H106" s="273">
        <v>2015978</v>
      </c>
      <c r="I106" s="273">
        <v>2136080</v>
      </c>
      <c r="J106" s="273">
        <v>2557176</v>
      </c>
      <c r="K106" s="273">
        <v>2795010</v>
      </c>
      <c r="L106" s="273">
        <v>2908279</v>
      </c>
      <c r="M106" s="273">
        <v>2852856</v>
      </c>
      <c r="N106" s="273">
        <v>3207987</v>
      </c>
      <c r="O106" s="273">
        <v>3001389</v>
      </c>
      <c r="P106" s="273">
        <v>2846389</v>
      </c>
      <c r="Q106" s="273">
        <v>3153324</v>
      </c>
      <c r="R106" s="273">
        <v>3379121</v>
      </c>
      <c r="S106" s="273">
        <v>3288624</v>
      </c>
      <c r="T106" s="273">
        <v>3083170</v>
      </c>
      <c r="U106" s="273">
        <v>3950540</v>
      </c>
      <c r="V106" s="273">
        <v>3576432</v>
      </c>
      <c r="W106" s="273">
        <v>2984494</v>
      </c>
      <c r="X106" s="273">
        <v>4484571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985243</v>
      </c>
      <c r="C108" s="273">
        <v>1225109</v>
      </c>
      <c r="D108" s="273">
        <v>1529492</v>
      </c>
      <c r="E108" s="273">
        <v>1064321</v>
      </c>
      <c r="F108" s="273">
        <v>686469</v>
      </c>
      <c r="G108" s="273">
        <v>719446</v>
      </c>
      <c r="H108" s="273">
        <v>1168466</v>
      </c>
      <c r="I108" s="273">
        <v>787583</v>
      </c>
      <c r="J108" s="273">
        <v>956481</v>
      </c>
      <c r="K108" s="273">
        <v>640362</v>
      </c>
      <c r="L108" s="273">
        <v>495677</v>
      </c>
      <c r="M108" s="273">
        <v>532557</v>
      </c>
      <c r="N108" s="273">
        <v>580929</v>
      </c>
      <c r="O108" s="273">
        <v>718966</v>
      </c>
      <c r="P108" s="273">
        <v>593670</v>
      </c>
      <c r="Q108" s="273">
        <v>635712</v>
      </c>
      <c r="R108" s="273">
        <v>582321</v>
      </c>
      <c r="S108" s="273">
        <v>793021</v>
      </c>
      <c r="T108" s="273">
        <v>698816</v>
      </c>
      <c r="U108" s="273">
        <v>784757</v>
      </c>
      <c r="V108" s="273">
        <v>636301</v>
      </c>
      <c r="W108" s="273">
        <v>879109</v>
      </c>
      <c r="X108" s="273">
        <v>711507</v>
      </c>
    </row>
    <row r="109" spans="1:24" ht="14.25" thickBot="1" x14ac:dyDescent="0.3">
      <c r="A109" s="225" t="s">
        <v>264</v>
      </c>
      <c r="B109" s="275">
        <v>922814</v>
      </c>
      <c r="C109" s="275">
        <v>1275753</v>
      </c>
      <c r="D109" s="275">
        <v>1184034</v>
      </c>
      <c r="E109" s="275">
        <v>556573</v>
      </c>
      <c r="F109" s="275">
        <v>520377</v>
      </c>
      <c r="G109" s="275">
        <v>539358</v>
      </c>
      <c r="H109" s="275">
        <v>742607</v>
      </c>
      <c r="I109" s="275">
        <v>689411</v>
      </c>
      <c r="J109" s="275">
        <v>623900</v>
      </c>
      <c r="K109" s="275">
        <v>654314</v>
      </c>
      <c r="L109" s="275">
        <v>634608</v>
      </c>
      <c r="M109" s="275">
        <v>709046</v>
      </c>
      <c r="N109" s="275">
        <v>842299</v>
      </c>
      <c r="O109" s="275">
        <v>962418</v>
      </c>
      <c r="P109" s="275">
        <v>844863</v>
      </c>
      <c r="Q109" s="275">
        <v>736196</v>
      </c>
      <c r="R109" s="275">
        <v>945390</v>
      </c>
      <c r="S109" s="275">
        <v>880603</v>
      </c>
      <c r="T109" s="275">
        <v>679921</v>
      </c>
      <c r="U109" s="275">
        <v>727500</v>
      </c>
      <c r="V109" s="275">
        <v>659803</v>
      </c>
      <c r="W109" s="275">
        <v>1249971</v>
      </c>
      <c r="X109" s="275">
        <v>1317063</v>
      </c>
    </row>
    <row r="110" spans="1:24" ht="14.25" thickBot="1" x14ac:dyDescent="0.3">
      <c r="A110" s="224" t="s">
        <v>23</v>
      </c>
      <c r="B110" s="273">
        <v>333000</v>
      </c>
      <c r="C110" s="273">
        <v>318516</v>
      </c>
      <c r="D110" s="273">
        <v>353094</v>
      </c>
      <c r="E110" s="273">
        <v>317841</v>
      </c>
      <c r="F110" s="273">
        <v>225298</v>
      </c>
      <c r="G110" s="273">
        <v>226317</v>
      </c>
      <c r="H110" s="273">
        <v>293603</v>
      </c>
      <c r="I110" s="273">
        <v>237560</v>
      </c>
      <c r="J110" s="273">
        <v>230573</v>
      </c>
      <c r="K110" s="273">
        <v>245696</v>
      </c>
      <c r="L110" s="273">
        <v>292938</v>
      </c>
      <c r="M110" s="273">
        <v>176423</v>
      </c>
      <c r="N110" s="273">
        <v>197244</v>
      </c>
      <c r="O110" s="273">
        <v>207910</v>
      </c>
      <c r="P110" s="273">
        <v>252393</v>
      </c>
      <c r="Q110" s="273">
        <v>274819</v>
      </c>
      <c r="R110" s="273">
        <v>224452</v>
      </c>
      <c r="S110" s="273">
        <v>215705</v>
      </c>
      <c r="T110" s="273">
        <v>507597</v>
      </c>
      <c r="U110" s="273">
        <v>334504</v>
      </c>
      <c r="V110" s="273">
        <v>571573</v>
      </c>
      <c r="W110" s="273">
        <v>1056589</v>
      </c>
      <c r="X110" s="273">
        <v>480028</v>
      </c>
    </row>
    <row r="111" spans="1:24" ht="14.25" thickBot="1" x14ac:dyDescent="0.3">
      <c r="A111" s="225" t="s">
        <v>24</v>
      </c>
      <c r="B111" s="275">
        <v>4502056</v>
      </c>
      <c r="C111" s="275">
        <v>4544793</v>
      </c>
      <c r="D111" s="275">
        <v>4934586</v>
      </c>
      <c r="E111" s="275">
        <v>4323323</v>
      </c>
      <c r="F111" s="275">
        <v>4194328</v>
      </c>
      <c r="G111" s="275">
        <v>4377892</v>
      </c>
      <c r="H111" s="275">
        <v>4220654</v>
      </c>
      <c r="I111" s="275">
        <v>3850634</v>
      </c>
      <c r="J111" s="275">
        <v>4368130</v>
      </c>
      <c r="K111" s="275">
        <v>4335382</v>
      </c>
      <c r="L111" s="275">
        <v>4331502</v>
      </c>
      <c r="M111" s="275">
        <v>4270882</v>
      </c>
      <c r="N111" s="275">
        <v>4828459</v>
      </c>
      <c r="O111" s="275">
        <v>4890683</v>
      </c>
      <c r="P111" s="275">
        <v>4537315</v>
      </c>
      <c r="Q111" s="275">
        <v>4800051</v>
      </c>
      <c r="R111" s="275">
        <v>5131284</v>
      </c>
      <c r="S111" s="275">
        <v>5177953</v>
      </c>
      <c r="T111" s="275">
        <v>4969504</v>
      </c>
      <c r="U111" s="275">
        <v>5797301</v>
      </c>
      <c r="V111" s="275">
        <v>5444109</v>
      </c>
      <c r="W111" s="275">
        <v>6170163</v>
      </c>
      <c r="X111" s="275">
        <v>6993169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273">
        <v>6298</v>
      </c>
      <c r="Q112" s="273">
        <v>15746</v>
      </c>
      <c r="R112" s="273">
        <v>15746</v>
      </c>
      <c r="S112" s="273">
        <v>15746</v>
      </c>
      <c r="T112" s="273">
        <v>15746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361153</v>
      </c>
      <c r="C113" s="275">
        <v>366948</v>
      </c>
      <c r="D113" s="275">
        <v>374447</v>
      </c>
      <c r="E113" s="275">
        <v>368832</v>
      </c>
      <c r="F113" s="275">
        <v>353646</v>
      </c>
      <c r="G113" s="275">
        <v>347680</v>
      </c>
      <c r="H113" s="275">
        <v>340309</v>
      </c>
      <c r="I113" s="275">
        <v>332064</v>
      </c>
      <c r="J113" s="275">
        <v>339058</v>
      </c>
      <c r="K113" s="275">
        <v>327106</v>
      </c>
      <c r="L113" s="275">
        <v>313401</v>
      </c>
      <c r="M113" s="275">
        <v>338318</v>
      </c>
      <c r="N113" s="275">
        <v>334676</v>
      </c>
      <c r="O113" s="275">
        <v>345081</v>
      </c>
      <c r="P113" s="275">
        <v>359031</v>
      </c>
      <c r="Q113" s="275">
        <v>357343</v>
      </c>
      <c r="R113" s="275">
        <v>369338</v>
      </c>
      <c r="S113" s="275">
        <v>351695</v>
      </c>
      <c r="T113" s="275">
        <v>338903</v>
      </c>
      <c r="U113" s="275">
        <v>385302</v>
      </c>
      <c r="V113" s="275">
        <v>379315</v>
      </c>
      <c r="W113" s="275">
        <v>365383</v>
      </c>
      <c r="X113" s="275">
        <v>367191</v>
      </c>
    </row>
    <row r="114" spans="1:24" ht="14.25" thickBot="1" x14ac:dyDescent="0.3">
      <c r="A114" s="224" t="s">
        <v>27</v>
      </c>
      <c r="B114" s="273">
        <v>293090</v>
      </c>
      <c r="C114" s="273">
        <v>304631</v>
      </c>
      <c r="D114" s="273">
        <v>262161</v>
      </c>
      <c r="E114" s="273">
        <v>204137</v>
      </c>
      <c r="F114" s="273">
        <v>222344</v>
      </c>
      <c r="G114" s="273">
        <v>367265</v>
      </c>
      <c r="H114" s="273">
        <v>393817</v>
      </c>
      <c r="I114" s="273">
        <v>350079</v>
      </c>
      <c r="J114" s="273">
        <v>292571</v>
      </c>
      <c r="K114" s="273">
        <v>264931</v>
      </c>
      <c r="L114" s="273">
        <v>235929</v>
      </c>
      <c r="M114" s="273">
        <v>322250</v>
      </c>
      <c r="N114" s="273">
        <v>283028</v>
      </c>
      <c r="O114" s="273">
        <v>295708</v>
      </c>
      <c r="P114" s="273">
        <v>264720</v>
      </c>
      <c r="Q114" s="273">
        <v>228668</v>
      </c>
      <c r="R114" s="273">
        <v>189274</v>
      </c>
      <c r="S114" s="273">
        <v>375659</v>
      </c>
      <c r="T114" s="273">
        <v>370593</v>
      </c>
      <c r="U114" s="273">
        <v>331946</v>
      </c>
      <c r="V114" s="273">
        <v>291730</v>
      </c>
      <c r="W114" s="273">
        <v>267116</v>
      </c>
      <c r="X114" s="273">
        <v>245391</v>
      </c>
    </row>
    <row r="115" spans="1:24" ht="14.25" thickBot="1" x14ac:dyDescent="0.3">
      <c r="A115" s="225" t="s">
        <v>265</v>
      </c>
      <c r="B115" s="276">
        <v>5156299</v>
      </c>
      <c r="C115" s="276">
        <v>5216372</v>
      </c>
      <c r="D115" s="276">
        <v>5571194</v>
      </c>
      <c r="E115" s="276">
        <v>4896292</v>
      </c>
      <c r="F115" s="276">
        <v>4770318</v>
      </c>
      <c r="G115" s="276">
        <v>5092837</v>
      </c>
      <c r="H115" s="276">
        <v>4954780</v>
      </c>
      <c r="I115" s="276">
        <v>4532777</v>
      </c>
      <c r="J115" s="276">
        <v>4999759</v>
      </c>
      <c r="K115" s="276">
        <v>4927419</v>
      </c>
      <c r="L115" s="276">
        <v>4880832</v>
      </c>
      <c r="M115" s="276">
        <v>4931450</v>
      </c>
      <c r="N115" s="276">
        <v>5446163</v>
      </c>
      <c r="O115" s="276">
        <v>5531472</v>
      </c>
      <c r="P115" s="276">
        <v>5167364</v>
      </c>
      <c r="Q115" s="276">
        <v>5401808</v>
      </c>
      <c r="R115" s="276">
        <v>5705642</v>
      </c>
      <c r="S115" s="276">
        <v>5921053</v>
      </c>
      <c r="T115" s="276">
        <v>5694746</v>
      </c>
      <c r="U115" s="276">
        <v>6514549</v>
      </c>
      <c r="V115" s="276">
        <v>6115154</v>
      </c>
      <c r="W115" s="276">
        <v>6802662</v>
      </c>
      <c r="X115" s="276">
        <v>7605751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1047684</v>
      </c>
      <c r="C120" s="273">
        <v>1325773</v>
      </c>
      <c r="D120" s="273">
        <v>1450574</v>
      </c>
      <c r="E120" s="273">
        <v>714248</v>
      </c>
      <c r="F120" s="273">
        <v>637392</v>
      </c>
      <c r="G120" s="273">
        <v>795961</v>
      </c>
      <c r="H120" s="273">
        <v>1068721</v>
      </c>
      <c r="I120" s="273">
        <v>349831</v>
      </c>
      <c r="J120" s="273">
        <v>737260</v>
      </c>
      <c r="K120" s="273">
        <v>444668</v>
      </c>
      <c r="L120" s="273">
        <v>722755</v>
      </c>
      <c r="M120" s="273">
        <v>467909</v>
      </c>
      <c r="N120" s="273">
        <v>890923</v>
      </c>
      <c r="O120" s="273">
        <v>962267</v>
      </c>
      <c r="P120" s="273">
        <v>844320</v>
      </c>
      <c r="Q120" s="273">
        <v>555644</v>
      </c>
      <c r="R120" s="273">
        <v>645259</v>
      </c>
      <c r="S120" s="273">
        <v>520369</v>
      </c>
      <c r="T120" s="273">
        <v>470115</v>
      </c>
      <c r="U120" s="273">
        <v>1373440</v>
      </c>
      <c r="V120" s="273">
        <v>565597</v>
      </c>
      <c r="W120" s="273">
        <v>845846</v>
      </c>
      <c r="X120" s="273">
        <v>1407863</v>
      </c>
    </row>
    <row r="121" spans="1:24" ht="14.25" thickBot="1" x14ac:dyDescent="0.3">
      <c r="A121" s="225" t="s">
        <v>267</v>
      </c>
      <c r="B121" s="275">
        <v>285649</v>
      </c>
      <c r="C121" s="275">
        <v>224712</v>
      </c>
      <c r="D121" s="275">
        <v>291124</v>
      </c>
      <c r="E121" s="275">
        <v>217481</v>
      </c>
      <c r="F121" s="275">
        <v>132914</v>
      </c>
      <c r="G121" s="275">
        <v>177707</v>
      </c>
      <c r="H121" s="275">
        <v>225094</v>
      </c>
      <c r="I121" s="275">
        <v>309684</v>
      </c>
      <c r="J121" s="275">
        <v>321430</v>
      </c>
      <c r="K121" s="275">
        <v>453864</v>
      </c>
      <c r="L121" s="275">
        <v>516021</v>
      </c>
      <c r="M121" s="275">
        <v>493588</v>
      </c>
      <c r="N121" s="275">
        <v>472001</v>
      </c>
      <c r="O121" s="275">
        <v>412563</v>
      </c>
      <c r="P121" s="275">
        <v>577894</v>
      </c>
      <c r="Q121" s="275">
        <v>909939</v>
      </c>
      <c r="R121" s="275">
        <v>933059</v>
      </c>
      <c r="S121" s="275">
        <v>993988</v>
      </c>
      <c r="T121" s="275">
        <v>1158142</v>
      </c>
      <c r="U121" s="275">
        <v>852003</v>
      </c>
      <c r="V121" s="275">
        <v>1184883</v>
      </c>
      <c r="W121" s="275">
        <v>1774107</v>
      </c>
      <c r="X121" s="275">
        <v>1928949</v>
      </c>
    </row>
    <row r="122" spans="1:24" ht="14.25" thickBot="1" x14ac:dyDescent="0.3">
      <c r="A122" s="224" t="s">
        <v>30</v>
      </c>
      <c r="B122" s="273">
        <v>63504</v>
      </c>
      <c r="C122" s="273">
        <v>70196</v>
      </c>
      <c r="D122" s="273">
        <v>39724</v>
      </c>
      <c r="E122" s="273">
        <v>45681</v>
      </c>
      <c r="F122" s="273">
        <v>45603</v>
      </c>
      <c r="G122" s="273">
        <v>104488</v>
      </c>
      <c r="H122" s="68">
        <v>0</v>
      </c>
      <c r="I122" s="273">
        <v>85668</v>
      </c>
      <c r="J122" s="68">
        <v>0</v>
      </c>
      <c r="K122" s="273">
        <v>73389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306325</v>
      </c>
      <c r="C123" s="275">
        <v>320335</v>
      </c>
      <c r="D123" s="275">
        <v>344566</v>
      </c>
      <c r="E123" s="275">
        <v>371480</v>
      </c>
      <c r="F123" s="275">
        <v>302394</v>
      </c>
      <c r="G123" s="275">
        <v>659366</v>
      </c>
      <c r="H123" s="275">
        <v>295880</v>
      </c>
      <c r="I123" s="275">
        <v>279081</v>
      </c>
      <c r="J123" s="275">
        <v>316264</v>
      </c>
      <c r="K123" s="275">
        <v>632998</v>
      </c>
      <c r="L123" s="275">
        <v>253132</v>
      </c>
      <c r="M123" s="275">
        <v>446949</v>
      </c>
      <c r="N123" s="275">
        <v>451534</v>
      </c>
      <c r="O123" s="275">
        <v>838350</v>
      </c>
      <c r="P123" s="275">
        <v>291238</v>
      </c>
      <c r="Q123" s="275">
        <v>350350</v>
      </c>
      <c r="R123" s="275">
        <v>384267</v>
      </c>
      <c r="S123" s="275">
        <v>875933</v>
      </c>
      <c r="T123" s="275">
        <v>396921</v>
      </c>
      <c r="U123" s="275">
        <v>502255</v>
      </c>
      <c r="V123" s="275">
        <v>446957</v>
      </c>
      <c r="W123" s="275">
        <v>603923</v>
      </c>
      <c r="X123" s="275">
        <v>520468</v>
      </c>
    </row>
    <row r="124" spans="1:24" ht="14.25" thickBot="1" x14ac:dyDescent="0.3">
      <c r="A124" s="224" t="s">
        <v>268</v>
      </c>
      <c r="B124" s="273">
        <v>1703162</v>
      </c>
      <c r="C124" s="273">
        <v>1941016</v>
      </c>
      <c r="D124" s="273">
        <v>2125988</v>
      </c>
      <c r="E124" s="273">
        <v>1348890</v>
      </c>
      <c r="F124" s="273">
        <v>1118303</v>
      </c>
      <c r="G124" s="273">
        <v>1737522</v>
      </c>
      <c r="H124" s="273">
        <v>1589695</v>
      </c>
      <c r="I124" s="273">
        <v>1024264</v>
      </c>
      <c r="J124" s="273">
        <v>1374954</v>
      </c>
      <c r="K124" s="273">
        <v>1604919</v>
      </c>
      <c r="L124" s="273">
        <v>1491908</v>
      </c>
      <c r="M124" s="273">
        <v>1408446</v>
      </c>
      <c r="N124" s="273">
        <v>1814458</v>
      </c>
      <c r="O124" s="273">
        <v>2213180</v>
      </c>
      <c r="P124" s="273">
        <v>1713452</v>
      </c>
      <c r="Q124" s="273">
        <v>1815933</v>
      </c>
      <c r="R124" s="273">
        <v>1962585</v>
      </c>
      <c r="S124" s="273">
        <v>2390290</v>
      </c>
      <c r="T124" s="273">
        <v>2025178</v>
      </c>
      <c r="U124" s="273">
        <v>2727698</v>
      </c>
      <c r="V124" s="273">
        <v>2197437</v>
      </c>
      <c r="W124" s="273">
        <v>3223876</v>
      </c>
      <c r="X124" s="273">
        <v>3857280</v>
      </c>
    </row>
    <row r="125" spans="1:24" ht="14.25" thickBot="1" x14ac:dyDescent="0.3">
      <c r="A125" s="225" t="s">
        <v>32</v>
      </c>
      <c r="B125" s="275">
        <v>29146</v>
      </c>
      <c r="C125" s="275">
        <v>45675</v>
      </c>
      <c r="D125" s="275">
        <v>44905</v>
      </c>
      <c r="E125" s="275">
        <v>16981</v>
      </c>
      <c r="F125" s="275">
        <v>60324</v>
      </c>
      <c r="G125" s="275">
        <v>146406</v>
      </c>
      <c r="H125" s="275">
        <v>121355</v>
      </c>
      <c r="I125" s="275">
        <v>121288</v>
      </c>
      <c r="J125" s="275">
        <v>95692</v>
      </c>
      <c r="K125" s="275">
        <v>83438</v>
      </c>
      <c r="L125" s="275">
        <v>55365</v>
      </c>
      <c r="M125" s="275">
        <v>89395</v>
      </c>
      <c r="N125" s="275">
        <v>89073</v>
      </c>
      <c r="O125" s="275">
        <v>90836</v>
      </c>
      <c r="P125" s="275">
        <v>94301</v>
      </c>
      <c r="Q125" s="275">
        <v>58297</v>
      </c>
      <c r="R125" s="275">
        <v>56979</v>
      </c>
      <c r="S125" s="275">
        <v>143607</v>
      </c>
      <c r="T125" s="275">
        <v>151916</v>
      </c>
      <c r="U125" s="275">
        <v>114353</v>
      </c>
      <c r="V125" s="275">
        <v>110856</v>
      </c>
      <c r="W125" s="275">
        <v>65693</v>
      </c>
      <c r="X125" s="275">
        <v>69342</v>
      </c>
    </row>
    <row r="126" spans="1:24" ht="14.25" thickBot="1" x14ac:dyDescent="0.3">
      <c r="A126" s="224" t="s">
        <v>33</v>
      </c>
      <c r="B126" s="273">
        <v>6238</v>
      </c>
      <c r="C126" s="273">
        <v>31049</v>
      </c>
      <c r="D126" s="273">
        <v>6135</v>
      </c>
      <c r="E126" s="273">
        <v>8462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1738546</v>
      </c>
      <c r="C127" s="275">
        <v>2017740</v>
      </c>
      <c r="D127" s="275">
        <v>2177028</v>
      </c>
      <c r="E127" s="275">
        <v>1374333</v>
      </c>
      <c r="F127" s="275">
        <v>1178627</v>
      </c>
      <c r="G127" s="275">
        <v>1883928</v>
      </c>
      <c r="H127" s="275">
        <v>1711050</v>
      </c>
      <c r="I127" s="275">
        <v>1145552</v>
      </c>
      <c r="J127" s="275">
        <v>1470646</v>
      </c>
      <c r="K127" s="275">
        <v>1688357</v>
      </c>
      <c r="L127" s="275">
        <v>1547273</v>
      </c>
      <c r="M127" s="275">
        <v>1497841</v>
      </c>
      <c r="N127" s="275">
        <v>1903531</v>
      </c>
      <c r="O127" s="275">
        <v>2304016</v>
      </c>
      <c r="P127" s="275">
        <v>1807753</v>
      </c>
      <c r="Q127" s="275">
        <v>1874230</v>
      </c>
      <c r="R127" s="275">
        <v>2019564</v>
      </c>
      <c r="S127" s="275">
        <v>2533897</v>
      </c>
      <c r="T127" s="275">
        <v>2177094</v>
      </c>
      <c r="U127" s="275">
        <v>2842051</v>
      </c>
      <c r="V127" s="275">
        <v>2308293</v>
      </c>
      <c r="W127" s="275">
        <v>3289569</v>
      </c>
      <c r="X127" s="275">
        <v>3926622</v>
      </c>
    </row>
    <row r="128" spans="1:24" ht="14.25" thickBot="1" x14ac:dyDescent="0.3">
      <c r="A128" s="224" t="s">
        <v>34</v>
      </c>
      <c r="B128" s="273">
        <v>3417753</v>
      </c>
      <c r="C128" s="273">
        <v>3198632</v>
      </c>
      <c r="D128" s="273">
        <v>3394166</v>
      </c>
      <c r="E128" s="273">
        <v>3521959</v>
      </c>
      <c r="F128" s="273">
        <v>3591691</v>
      </c>
      <c r="G128" s="273">
        <v>3208909</v>
      </c>
      <c r="H128" s="273">
        <v>3243730</v>
      </c>
      <c r="I128" s="273">
        <v>3387225</v>
      </c>
      <c r="J128" s="273">
        <v>3529113</v>
      </c>
      <c r="K128" s="273">
        <v>3239062</v>
      </c>
      <c r="L128" s="273">
        <v>3333559</v>
      </c>
      <c r="M128" s="273">
        <v>3433609</v>
      </c>
      <c r="N128" s="273">
        <v>3542632</v>
      </c>
      <c r="O128" s="273">
        <v>3227456</v>
      </c>
      <c r="P128" s="273">
        <v>3359611</v>
      </c>
      <c r="Q128" s="273">
        <v>3527578</v>
      </c>
      <c r="R128" s="273">
        <v>3686078</v>
      </c>
      <c r="S128" s="273">
        <v>3387156</v>
      </c>
      <c r="T128" s="273">
        <v>3517652</v>
      </c>
      <c r="U128" s="273">
        <v>3672498</v>
      </c>
      <c r="V128" s="273">
        <v>3806861</v>
      </c>
      <c r="W128" s="273">
        <v>3513093</v>
      </c>
      <c r="X128" s="273">
        <v>3679129</v>
      </c>
    </row>
    <row r="129" spans="1:24" ht="14.25" thickBot="1" x14ac:dyDescent="0.3">
      <c r="A129" s="225" t="s">
        <v>35</v>
      </c>
      <c r="B129" s="276">
        <v>5156299</v>
      </c>
      <c r="C129" s="276">
        <v>5216372</v>
      </c>
      <c r="D129" s="276">
        <v>5571194</v>
      </c>
      <c r="E129" s="276">
        <v>4896292</v>
      </c>
      <c r="F129" s="276">
        <v>4770318</v>
      </c>
      <c r="G129" s="276">
        <v>5092837</v>
      </c>
      <c r="H129" s="276">
        <v>4954780</v>
      </c>
      <c r="I129" s="276">
        <v>4532777</v>
      </c>
      <c r="J129" s="276">
        <v>4999759</v>
      </c>
      <c r="K129" s="276">
        <v>4927419</v>
      </c>
      <c r="L129" s="276">
        <v>4880832</v>
      </c>
      <c r="M129" s="276">
        <v>4931450</v>
      </c>
      <c r="N129" s="276">
        <v>5446163</v>
      </c>
      <c r="O129" s="276">
        <v>5531472</v>
      </c>
      <c r="P129" s="276">
        <v>5167364</v>
      </c>
      <c r="Q129" s="276">
        <v>5401808</v>
      </c>
      <c r="R129" s="276">
        <v>5705642</v>
      </c>
      <c r="S129" s="276">
        <v>5921053</v>
      </c>
      <c r="T129" s="276">
        <v>5694746</v>
      </c>
      <c r="U129" s="276">
        <v>6514549</v>
      </c>
      <c r="V129" s="276">
        <v>6115154</v>
      </c>
      <c r="W129" s="276">
        <v>6802662</v>
      </c>
      <c r="X129" s="276">
        <v>7605751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9.57</v>
      </c>
      <c r="C132" s="68">
        <v>2.25</v>
      </c>
      <c r="D132" s="68">
        <v>9.9600000000000009</v>
      </c>
      <c r="E132" s="68">
        <v>6.94</v>
      </c>
      <c r="F132" s="68">
        <v>10.5</v>
      </c>
    </row>
    <row r="133" spans="1:24" ht="14.25" thickBot="1" x14ac:dyDescent="0.3">
      <c r="A133" s="225" t="s">
        <v>37</v>
      </c>
      <c r="B133" s="274">
        <v>-1.47</v>
      </c>
      <c r="C133" s="274">
        <v>-1.22</v>
      </c>
      <c r="D133" s="274">
        <v>-1.62</v>
      </c>
      <c r="E133" s="274">
        <v>-1.63</v>
      </c>
      <c r="F133" s="274">
        <v>-1.53</v>
      </c>
    </row>
    <row r="134" spans="1:24" ht="14.25" thickBot="1" x14ac:dyDescent="0.3">
      <c r="A134" s="224" t="s">
        <v>38</v>
      </c>
      <c r="B134" s="68">
        <v>-2.99</v>
      </c>
      <c r="C134" s="68">
        <v>-2.9</v>
      </c>
      <c r="D134" s="68">
        <v>-3.02</v>
      </c>
      <c r="E134" s="68">
        <v>-3.1</v>
      </c>
      <c r="F134" s="68">
        <v>-3</v>
      </c>
    </row>
    <row r="135" spans="1:24" ht="14.25" thickBot="1" x14ac:dyDescent="0.3">
      <c r="A135" s="225" t="s">
        <v>270</v>
      </c>
      <c r="B135" s="274">
        <v>8.1</v>
      </c>
      <c r="C135" s="274">
        <v>1.03</v>
      </c>
      <c r="D135" s="274">
        <v>8.34</v>
      </c>
      <c r="E135" s="274">
        <v>5.31</v>
      </c>
      <c r="F135" s="274">
        <v>8.98</v>
      </c>
    </row>
    <row r="136" spans="1:24" ht="14.25" thickBot="1" x14ac:dyDescent="0.3">
      <c r="A136" s="229" t="s">
        <v>39</v>
      </c>
      <c r="B136" s="72">
        <v>5.0999999999999996</v>
      </c>
      <c r="C136" s="72">
        <v>-1.87</v>
      </c>
      <c r="D136" s="72">
        <v>5.33</v>
      </c>
      <c r="E136" s="72">
        <v>2.21</v>
      </c>
      <c r="F136" s="72">
        <v>5.98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</v>
      </c>
      <c r="C140" s="68">
        <v>3</v>
      </c>
      <c r="D140" s="68">
        <v>3</v>
      </c>
      <c r="E140" s="68">
        <v>3</v>
      </c>
      <c r="F140" s="68">
        <v>3.5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0.65789473684210531</v>
      </c>
      <c r="C142" s="234">
        <f>IF(C140&lt;&gt;"無",IF(ISNA(HLOOKUP(C139,$B$64:$F$69,6,FALSE)),"",C140/HLOOKUP(C139,$B$64:$F$69,6,FALSE)),"")</f>
        <v>1.3888888888888888</v>
      </c>
      <c r="D142" s="234">
        <f>IF(D140&lt;&gt;"無",IF(ISNA(HLOOKUP(D139,$B$64:$F$69,6,FALSE)),"",D140/HLOOKUP(D139,$B$64:$F$69,6,FALSE)),"")</f>
        <v>0.91463414634146345</v>
      </c>
      <c r="E142" s="234">
        <f>IF(E140&lt;&gt;"無",IF(ISNA(HLOOKUP(E139,$B$64:$F$69,6,FALSE)),"",E140/HLOOKUP(E139,$B$64:$F$69,6,FALSE)),"")</f>
        <v>0.81521739130434778</v>
      </c>
      <c r="F142" s="234">
        <f>IF(F140&lt;&gt;"無",IF(ISNA(HLOOKUP(F139,$B$64:$F$69,6,FALSE)),"",F140/HLOOKUP(F139,$B$64:$F$69,6,FALSE)),"")</f>
        <v>0.85158150851581504</v>
      </c>
    </row>
    <row r="143" spans="1:24" x14ac:dyDescent="0.25">
      <c r="A143" s="233" t="s">
        <v>216</v>
      </c>
      <c r="B143" s="234">
        <f>IF(OR(B140=0,B140="無"),"",B135/B140)</f>
        <v>2.6999999999999997</v>
      </c>
      <c r="C143" s="234">
        <f>IF(OR(C140=0,C140="無"),"",C135/C140)</f>
        <v>0.34333333333333332</v>
      </c>
      <c r="D143" s="234">
        <f>IF(OR(D140=0,D140="無"),"",D135/D140)</f>
        <v>2.78</v>
      </c>
      <c r="E143" s="234">
        <f>IF(OR(E140=0,E140="無"),"",E135/E140)</f>
        <v>1.7699999999999998</v>
      </c>
      <c r="F143" s="234">
        <f>IF(OR(F140=0,F140="無"),"",F135/F140)</f>
        <v>2.5657142857142858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25.66</v>
      </c>
      <c r="C146" s="68">
        <v>25.81</v>
      </c>
      <c r="D146" s="68">
        <v>20.420000000000002</v>
      </c>
      <c r="E146" s="68">
        <v>21.54</v>
      </c>
      <c r="F146" s="68">
        <v>33.78</v>
      </c>
      <c r="G146" s="68">
        <v>24.38</v>
      </c>
      <c r="H146" s="68">
        <v>18.25</v>
      </c>
      <c r="I146" s="68">
        <v>30.22</v>
      </c>
      <c r="J146" s="68">
        <v>28.24</v>
      </c>
      <c r="K146" s="68">
        <v>27.83</v>
      </c>
      <c r="L146" s="68">
        <v>23.94</v>
      </c>
      <c r="M146" s="68">
        <v>28.98</v>
      </c>
      <c r="N146" s="68">
        <v>30.03</v>
      </c>
      <c r="O146" s="68">
        <v>25.97</v>
      </c>
      <c r="P146" s="68">
        <v>26.07</v>
      </c>
      <c r="Q146" s="68">
        <v>31.27</v>
      </c>
      <c r="R146" s="68">
        <v>28.84</v>
      </c>
      <c r="S146" s="68">
        <v>28.79</v>
      </c>
      <c r="T146" s="68">
        <v>24.81</v>
      </c>
      <c r="U146" s="68">
        <v>21.87</v>
      </c>
      <c r="V146" s="68">
        <v>24.38</v>
      </c>
      <c r="W146" s="68">
        <v>26.71</v>
      </c>
      <c r="X146" s="68">
        <v>22</v>
      </c>
    </row>
    <row r="147" spans="1:24" s="93" customFormat="1" ht="14.25" thickBot="1" x14ac:dyDescent="0.3">
      <c r="A147" s="225" t="s">
        <v>19</v>
      </c>
      <c r="B147" s="274">
        <v>6.98</v>
      </c>
      <c r="C147" s="274">
        <v>9.58</v>
      </c>
      <c r="D147" s="274">
        <v>7.81</v>
      </c>
      <c r="E147" s="274">
        <v>6.96</v>
      </c>
      <c r="F147" s="274">
        <v>7.89</v>
      </c>
      <c r="G147" s="274">
        <v>1.55</v>
      </c>
      <c r="H147" s="274">
        <v>2.08</v>
      </c>
      <c r="I147" s="274">
        <v>9.34</v>
      </c>
      <c r="J147" s="274">
        <v>9.59</v>
      </c>
      <c r="K147" s="274">
        <v>7.63</v>
      </c>
      <c r="L147" s="274">
        <v>4.84</v>
      </c>
      <c r="M147" s="274">
        <v>5.49</v>
      </c>
      <c r="N147" s="274">
        <v>7.84</v>
      </c>
      <c r="O147" s="274">
        <v>5.0199999999999996</v>
      </c>
      <c r="P147" s="274">
        <v>6.9</v>
      </c>
      <c r="Q147" s="274">
        <v>9.27</v>
      </c>
      <c r="R147" s="274">
        <v>8.7799999999999994</v>
      </c>
      <c r="S147" s="274">
        <v>5.55</v>
      </c>
      <c r="T147" s="274">
        <v>6.67</v>
      </c>
      <c r="U147" s="274">
        <v>5.86</v>
      </c>
      <c r="V147" s="274">
        <v>5.76</v>
      </c>
      <c r="W147" s="274">
        <v>7.01</v>
      </c>
      <c r="X147" s="274">
        <v>5.2</v>
      </c>
    </row>
    <row r="148" spans="1:24" s="93" customFormat="1" ht="14.25" thickBot="1" x14ac:dyDescent="0.3">
      <c r="A148" s="224" t="s">
        <v>41</v>
      </c>
      <c r="B148" s="68">
        <v>6.68</v>
      </c>
      <c r="C148" s="68">
        <v>9.73</v>
      </c>
      <c r="D148" s="68">
        <v>7.82</v>
      </c>
      <c r="E148" s="68">
        <v>6.87</v>
      </c>
      <c r="F148" s="68">
        <v>8.99</v>
      </c>
      <c r="G148" s="68">
        <v>1.84</v>
      </c>
      <c r="H148" s="68">
        <v>2.25</v>
      </c>
      <c r="I148" s="68">
        <v>9.9700000000000006</v>
      </c>
      <c r="J148" s="68">
        <v>10</v>
      </c>
      <c r="K148" s="68">
        <v>7.95</v>
      </c>
      <c r="L148" s="68">
        <v>5.84</v>
      </c>
      <c r="M148" s="68">
        <v>5.93</v>
      </c>
      <c r="N148" s="68">
        <v>7.6</v>
      </c>
      <c r="O148" s="68">
        <v>5.56</v>
      </c>
      <c r="P148" s="68">
        <v>6.99</v>
      </c>
      <c r="Q148" s="68">
        <v>9.86</v>
      </c>
      <c r="R148" s="68">
        <v>8.59</v>
      </c>
      <c r="S148" s="68">
        <v>5.89</v>
      </c>
      <c r="T148" s="68">
        <v>6.62</v>
      </c>
      <c r="U148" s="68">
        <v>6.24</v>
      </c>
      <c r="V148" s="68">
        <v>7</v>
      </c>
      <c r="W148" s="68">
        <v>7.49</v>
      </c>
      <c r="X148" s="68">
        <v>5.68</v>
      </c>
    </row>
    <row r="149" spans="1:24" s="93" customFormat="1" ht="14.25" thickBot="1" x14ac:dyDescent="0.3">
      <c r="A149" s="225" t="s">
        <v>13</v>
      </c>
      <c r="B149" s="73">
        <v>5.81</v>
      </c>
      <c r="C149" s="73">
        <v>8.43</v>
      </c>
      <c r="D149" s="73">
        <v>6.8</v>
      </c>
      <c r="E149" s="73">
        <v>5.96</v>
      </c>
      <c r="F149" s="73">
        <v>7.52</v>
      </c>
      <c r="G149" s="73">
        <v>1.46</v>
      </c>
      <c r="H149" s="73">
        <v>1.88</v>
      </c>
      <c r="I149" s="73">
        <v>8.2799999999999994</v>
      </c>
      <c r="J149" s="73">
        <v>8.27</v>
      </c>
      <c r="K149" s="73">
        <v>6.61</v>
      </c>
      <c r="L149" s="73">
        <v>4.8499999999999996</v>
      </c>
      <c r="M149" s="73">
        <v>5.68</v>
      </c>
      <c r="N149" s="73">
        <v>6.42</v>
      </c>
      <c r="O149" s="73">
        <v>4.57</v>
      </c>
      <c r="P149" s="73">
        <v>5.89</v>
      </c>
      <c r="Q149" s="73">
        <v>8.58</v>
      </c>
      <c r="R149" s="73">
        <v>7.19</v>
      </c>
      <c r="S149" s="73">
        <v>5.26</v>
      </c>
      <c r="T149" s="73">
        <v>5.65</v>
      </c>
      <c r="U149" s="73">
        <v>5.63</v>
      </c>
      <c r="V149" s="73">
        <v>5.94</v>
      </c>
      <c r="W149" s="73">
        <v>6.44</v>
      </c>
      <c r="X149" s="73">
        <v>4.8600000000000003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22.98</v>
      </c>
      <c r="C152" s="68">
        <v>25.91</v>
      </c>
      <c r="D152" s="68">
        <v>27.12</v>
      </c>
      <c r="E152" s="68">
        <v>28.27</v>
      </c>
      <c r="F152" s="68">
        <v>25.72</v>
      </c>
    </row>
    <row r="153" spans="1:24" s="93" customFormat="1" ht="14.25" thickBot="1" x14ac:dyDescent="0.3">
      <c r="A153" s="225" t="s">
        <v>19</v>
      </c>
      <c r="B153" s="274">
        <v>7.86</v>
      </c>
      <c r="C153" s="274">
        <v>5.13</v>
      </c>
      <c r="D153" s="274">
        <v>6.83</v>
      </c>
      <c r="E153" s="274">
        <v>7.25</v>
      </c>
      <c r="F153" s="274">
        <v>6.7</v>
      </c>
    </row>
    <row r="154" spans="1:24" s="93" customFormat="1" ht="14.25" thickBot="1" x14ac:dyDescent="0.3">
      <c r="A154" s="224" t="s">
        <v>41</v>
      </c>
      <c r="B154" s="68">
        <v>7.82</v>
      </c>
      <c r="C154" s="68">
        <v>5.64</v>
      </c>
      <c r="D154" s="68">
        <v>7.39</v>
      </c>
      <c r="E154" s="68">
        <v>7.5</v>
      </c>
      <c r="F154" s="68">
        <v>6.82</v>
      </c>
    </row>
    <row r="155" spans="1:24" s="93" customFormat="1" ht="14.25" thickBot="1" x14ac:dyDescent="0.3">
      <c r="A155" s="225" t="s">
        <v>13</v>
      </c>
      <c r="B155" s="73">
        <v>6.79</v>
      </c>
      <c r="C155" s="73">
        <v>4.68</v>
      </c>
      <c r="D155" s="73">
        <v>6.31</v>
      </c>
      <c r="E155" s="73">
        <v>6.37</v>
      </c>
      <c r="F155" s="73">
        <v>5.93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1.98</v>
      </c>
      <c r="C158" s="68">
        <v>3.5</v>
      </c>
      <c r="D158" s="68">
        <v>3.68</v>
      </c>
      <c r="E158" s="68">
        <v>2.54</v>
      </c>
      <c r="F158" s="68">
        <v>1.88</v>
      </c>
      <c r="G158" s="68">
        <v>0.38</v>
      </c>
      <c r="H158" s="68">
        <v>0.73</v>
      </c>
      <c r="I158" s="68">
        <v>3.02</v>
      </c>
      <c r="J158" s="68">
        <v>2.9</v>
      </c>
      <c r="K158" s="68">
        <v>2.31</v>
      </c>
      <c r="L158" s="68">
        <v>1.9</v>
      </c>
      <c r="M158" s="68">
        <v>1.87</v>
      </c>
      <c r="N158" s="68">
        <v>2.14</v>
      </c>
      <c r="O158" s="68">
        <v>1.62</v>
      </c>
      <c r="P158" s="68">
        <v>2.2999999999999998</v>
      </c>
      <c r="Q158" s="68">
        <v>3.23</v>
      </c>
      <c r="R158" s="68">
        <v>2.87</v>
      </c>
      <c r="S158" s="68">
        <v>1.74</v>
      </c>
      <c r="T158" s="68">
        <v>2.3199999999999998</v>
      </c>
      <c r="U158" s="68">
        <v>2.5499999999999998</v>
      </c>
      <c r="V158" s="68">
        <v>2.27</v>
      </c>
      <c r="W158" s="68">
        <v>2.69</v>
      </c>
      <c r="X158" s="68">
        <v>2.2999999999999998</v>
      </c>
    </row>
    <row r="159" spans="1:24" s="93" customFormat="1" ht="14.25" thickBot="1" x14ac:dyDescent="0.3">
      <c r="A159" s="225" t="s">
        <v>45</v>
      </c>
      <c r="B159" s="73">
        <v>2.95</v>
      </c>
      <c r="C159" s="73">
        <v>5.48</v>
      </c>
      <c r="D159" s="73">
        <v>6.02</v>
      </c>
      <c r="E159" s="73">
        <v>3.84</v>
      </c>
      <c r="F159" s="73">
        <v>2.5499999999999998</v>
      </c>
      <c r="G159" s="73">
        <v>0.55000000000000004</v>
      </c>
      <c r="H159" s="73">
        <v>1.1399999999999999</v>
      </c>
      <c r="I159" s="73">
        <v>4.3099999999999996</v>
      </c>
      <c r="J159" s="73">
        <v>4</v>
      </c>
      <c r="K159" s="73">
        <v>3.39</v>
      </c>
      <c r="L159" s="73">
        <v>2.84</v>
      </c>
      <c r="M159" s="73">
        <v>2.72</v>
      </c>
      <c r="N159" s="73">
        <v>3.19</v>
      </c>
      <c r="O159" s="73">
        <v>2.63</v>
      </c>
      <c r="P159" s="73">
        <v>3.74</v>
      </c>
      <c r="Q159" s="73">
        <v>4.96</v>
      </c>
      <c r="R159" s="73">
        <v>4.43</v>
      </c>
      <c r="S159" s="73">
        <v>2.85</v>
      </c>
      <c r="T159" s="73">
        <v>3.91</v>
      </c>
      <c r="U159" s="73">
        <v>4.33</v>
      </c>
      <c r="V159" s="73">
        <v>3.82</v>
      </c>
      <c r="W159" s="73">
        <v>4.75</v>
      </c>
      <c r="X159" s="73">
        <v>4.62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6.79</v>
      </c>
      <c r="C162" s="68">
        <v>4.68</v>
      </c>
      <c r="D162" s="68">
        <v>6.31</v>
      </c>
      <c r="E162" s="68">
        <v>6.37</v>
      </c>
      <c r="F162" s="68">
        <v>5.93</v>
      </c>
    </row>
    <row r="163" spans="1:72" s="93" customFormat="1" ht="14.25" thickBot="1" x14ac:dyDescent="0.3">
      <c r="A163" s="225" t="s">
        <v>18</v>
      </c>
      <c r="B163" s="274">
        <v>1.84</v>
      </c>
      <c r="C163" s="274">
        <v>1.36</v>
      </c>
      <c r="D163" s="274">
        <v>1.41</v>
      </c>
      <c r="E163" s="274">
        <v>1.44</v>
      </c>
      <c r="F163" s="274">
        <v>1.43</v>
      </c>
    </row>
    <row r="164" spans="1:72" s="93" customFormat="1" ht="14.25" thickBot="1" x14ac:dyDescent="0.3">
      <c r="A164" s="224" t="s">
        <v>15</v>
      </c>
      <c r="B164" s="68">
        <v>1.39</v>
      </c>
      <c r="C164" s="68">
        <v>1.34</v>
      </c>
      <c r="D164" s="68">
        <v>1.44</v>
      </c>
      <c r="E164" s="68">
        <v>1.53</v>
      </c>
      <c r="F164" s="68">
        <v>1.77</v>
      </c>
    </row>
    <row r="165" spans="1:72" s="93" customFormat="1" ht="14.25" thickBot="1" x14ac:dyDescent="0.3">
      <c r="A165" s="225" t="s">
        <v>45</v>
      </c>
      <c r="B165" s="73">
        <v>17.899999999999999</v>
      </c>
      <c r="C165" s="73">
        <v>8.3699999999999992</v>
      </c>
      <c r="D165" s="73">
        <v>12.86</v>
      </c>
      <c r="E165" s="73">
        <v>14.2</v>
      </c>
      <c r="F165" s="73">
        <v>15.31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61.64</v>
      </c>
      <c r="C168" s="68">
        <v>46.15</v>
      </c>
      <c r="D168" s="68">
        <v>42.45</v>
      </c>
      <c r="E168" s="68">
        <v>52.33</v>
      </c>
      <c r="F168" s="68">
        <v>65.22</v>
      </c>
      <c r="G168" s="68">
        <v>48.91</v>
      </c>
      <c r="H168" s="68">
        <v>43.48</v>
      </c>
      <c r="I168" s="68">
        <v>51.14</v>
      </c>
      <c r="J168" s="68">
        <v>46.88</v>
      </c>
      <c r="K168" s="68">
        <v>41.47</v>
      </c>
      <c r="L168" s="68">
        <v>26.55</v>
      </c>
      <c r="M168" s="68">
        <v>28.57</v>
      </c>
      <c r="N168" s="68">
        <v>28.94</v>
      </c>
      <c r="O168" s="68">
        <v>30</v>
      </c>
      <c r="P168" s="68">
        <v>28.3</v>
      </c>
      <c r="Q168" s="68">
        <v>27.78</v>
      </c>
      <c r="R168" s="68">
        <v>24.66</v>
      </c>
      <c r="S168" s="68">
        <v>32.26</v>
      </c>
      <c r="T168" s="68">
        <v>28.13</v>
      </c>
      <c r="U168" s="68">
        <v>24.13</v>
      </c>
      <c r="V168" s="68">
        <v>26.55</v>
      </c>
      <c r="W168" s="68">
        <v>25.28</v>
      </c>
      <c r="X168" s="68">
        <v>20.98</v>
      </c>
    </row>
    <row r="169" spans="1:72" s="93" customFormat="1" ht="14.25" thickBot="1" x14ac:dyDescent="0.3">
      <c r="A169" s="225" t="s">
        <v>17</v>
      </c>
      <c r="B169" s="274">
        <v>61.64</v>
      </c>
      <c r="C169" s="274">
        <v>62.07</v>
      </c>
      <c r="D169" s="274">
        <v>47.62</v>
      </c>
      <c r="E169" s="274">
        <v>44.78</v>
      </c>
      <c r="F169" s="274">
        <v>60.81</v>
      </c>
      <c r="G169" s="274">
        <v>48.91</v>
      </c>
      <c r="H169" s="274">
        <v>36.14</v>
      </c>
      <c r="I169" s="274">
        <v>53.57</v>
      </c>
      <c r="J169" s="274">
        <v>49.18</v>
      </c>
      <c r="K169" s="274">
        <v>45.92</v>
      </c>
      <c r="L169" s="274">
        <v>39.65</v>
      </c>
      <c r="M169" s="274">
        <v>52.63</v>
      </c>
      <c r="N169" s="274">
        <v>57.69</v>
      </c>
      <c r="O169" s="274">
        <v>56.25</v>
      </c>
      <c r="P169" s="274">
        <v>52.63</v>
      </c>
      <c r="Q169" s="274">
        <v>52.02</v>
      </c>
      <c r="R169" s="274">
        <v>47.87</v>
      </c>
      <c r="S169" s="274">
        <v>60</v>
      </c>
      <c r="T169" s="274">
        <v>39.130000000000003</v>
      </c>
      <c r="U169" s="274">
        <v>29.32</v>
      </c>
      <c r="V169" s="274">
        <v>34.22</v>
      </c>
      <c r="W169" s="274">
        <v>43.48</v>
      </c>
      <c r="X169" s="274">
        <v>43.48</v>
      </c>
    </row>
    <row r="170" spans="1:72" s="93" customFormat="1" ht="14.25" thickBot="1" x14ac:dyDescent="0.3">
      <c r="A170" s="224" t="s">
        <v>42</v>
      </c>
      <c r="B170" s="72">
        <v>123.29</v>
      </c>
      <c r="C170" s="72">
        <v>108.22</v>
      </c>
      <c r="D170" s="72">
        <v>90.07</v>
      </c>
      <c r="E170" s="72">
        <v>97.1</v>
      </c>
      <c r="F170" s="72">
        <v>126.03</v>
      </c>
      <c r="G170" s="72">
        <v>97.83</v>
      </c>
      <c r="H170" s="72">
        <v>79.62</v>
      </c>
      <c r="I170" s="72">
        <v>104.71</v>
      </c>
      <c r="J170" s="72">
        <v>96.06</v>
      </c>
      <c r="K170" s="72">
        <v>87.39</v>
      </c>
      <c r="L170" s="72">
        <v>66.2</v>
      </c>
      <c r="M170" s="72">
        <v>81.2</v>
      </c>
      <c r="N170" s="72">
        <v>86.63</v>
      </c>
      <c r="O170" s="72">
        <v>86.25</v>
      </c>
      <c r="P170" s="72">
        <v>80.930000000000007</v>
      </c>
      <c r="Q170" s="72">
        <v>79.8</v>
      </c>
      <c r="R170" s="72">
        <v>72.53</v>
      </c>
      <c r="S170" s="72">
        <v>92.26</v>
      </c>
      <c r="T170" s="72">
        <v>67.260000000000005</v>
      </c>
      <c r="U170" s="72">
        <v>53.44</v>
      </c>
      <c r="V170" s="72">
        <v>60.77</v>
      </c>
      <c r="W170" s="72">
        <v>68.760000000000005</v>
      </c>
      <c r="X170" s="72">
        <v>64.459999999999994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209.96</v>
      </c>
      <c r="C173" s="72">
        <v>103.74</v>
      </c>
      <c r="D173" s="72">
        <v>302.93</v>
      </c>
      <c r="E173" s="72">
        <v>188.99</v>
      </c>
      <c r="F173" s="72">
        <v>255.51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24</v>
      </c>
      <c r="C176" s="72">
        <v>28.19</v>
      </c>
      <c r="D176" s="72">
        <v>28.03</v>
      </c>
      <c r="E176" s="72">
        <v>24.48</v>
      </c>
      <c r="F176" s="72">
        <v>29.63</v>
      </c>
      <c r="G176" s="72">
        <v>29.68</v>
      </c>
      <c r="H176" s="72">
        <v>27.4</v>
      </c>
      <c r="I176" s="72">
        <v>26.24</v>
      </c>
      <c r="J176" s="72">
        <v>28.97</v>
      </c>
      <c r="K176" s="72">
        <v>25.98</v>
      </c>
      <c r="L176" s="72">
        <v>20.96</v>
      </c>
      <c r="M176" s="72">
        <v>22.23</v>
      </c>
      <c r="N176" s="72">
        <v>21.88</v>
      </c>
      <c r="O176" s="72">
        <v>21.3</v>
      </c>
      <c r="P176" s="72">
        <v>20.92</v>
      </c>
      <c r="Q176" s="72">
        <v>19.77</v>
      </c>
      <c r="R176" s="72">
        <v>21.47</v>
      </c>
      <c r="S176" s="72">
        <v>21.32</v>
      </c>
      <c r="T176" s="72">
        <v>21.68</v>
      </c>
      <c r="U176" s="72">
        <v>27.53</v>
      </c>
      <c r="V176" s="72">
        <v>27.25</v>
      </c>
      <c r="W176" s="72">
        <v>24.21</v>
      </c>
      <c r="X176" s="72">
        <v>33.619999999999997</v>
      </c>
      <c r="Y176" s="72">
        <v>36.04</v>
      </c>
      <c r="Z176" s="72">
        <v>37.85</v>
      </c>
      <c r="AA176" s="72">
        <v>37.96</v>
      </c>
      <c r="AB176" s="72">
        <v>39.49</v>
      </c>
      <c r="AC176" s="72">
        <v>40.43</v>
      </c>
      <c r="AD176" s="72">
        <v>36.15</v>
      </c>
      <c r="AE176" s="72">
        <v>38.24</v>
      </c>
      <c r="AF176" s="72">
        <v>35.96</v>
      </c>
      <c r="AG176" s="72">
        <v>25.42</v>
      </c>
      <c r="AH176" s="72">
        <v>26.1</v>
      </c>
      <c r="AI176" s="72">
        <v>27.84</v>
      </c>
      <c r="AJ176" s="72">
        <v>24.08</v>
      </c>
      <c r="AK176" s="72">
        <v>25.32</v>
      </c>
      <c r="AL176" s="72">
        <v>24.39</v>
      </c>
      <c r="AM176" s="72">
        <v>23.85</v>
      </c>
      <c r="AN176" s="72">
        <v>26.19</v>
      </c>
      <c r="AO176" s="72">
        <v>24.92</v>
      </c>
      <c r="AP176" s="72">
        <v>26.7</v>
      </c>
      <c r="AQ176" s="72">
        <v>25.81</v>
      </c>
      <c r="AR176" s="72">
        <v>24.89</v>
      </c>
      <c r="AS176" s="72">
        <v>22.51</v>
      </c>
      <c r="AT176" s="72">
        <v>20.75</v>
      </c>
      <c r="AU176" s="72">
        <v>22.3</v>
      </c>
      <c r="AV176" s="72">
        <v>21.82</v>
      </c>
      <c r="AW176" s="72">
        <v>21.87</v>
      </c>
      <c r="AX176" s="72">
        <v>20.02</v>
      </c>
      <c r="AY176" s="72">
        <v>24.35</v>
      </c>
      <c r="AZ176" s="72">
        <v>23.48</v>
      </c>
      <c r="BA176" s="72">
        <v>21.76</v>
      </c>
      <c r="BB176" s="72">
        <v>17.739999999999998</v>
      </c>
      <c r="BC176" s="72">
        <v>18.02</v>
      </c>
      <c r="BD176" s="72">
        <v>18.510000000000002</v>
      </c>
      <c r="BE176" s="72">
        <v>18.670000000000002</v>
      </c>
      <c r="BF176" s="72">
        <v>18.52</v>
      </c>
      <c r="BG176" s="72">
        <v>18.86</v>
      </c>
      <c r="BH176" s="72">
        <v>18.11</v>
      </c>
      <c r="BI176" s="72">
        <v>18.34</v>
      </c>
      <c r="BJ176" s="72">
        <v>18.82</v>
      </c>
      <c r="BK176" s="72">
        <v>21.24</v>
      </c>
      <c r="BL176" s="72">
        <v>25.85</v>
      </c>
      <c r="BM176" s="72">
        <v>24.32</v>
      </c>
      <c r="BN176" s="72">
        <v>25.45</v>
      </c>
      <c r="BO176" s="72">
        <v>30.18</v>
      </c>
      <c r="BP176" s="72">
        <v>37.979999999999997</v>
      </c>
      <c r="BQ176" s="72">
        <v>40.619999999999997</v>
      </c>
      <c r="BR176" s="72">
        <v>44.36</v>
      </c>
      <c r="BS176" s="72">
        <v>60.14</v>
      </c>
      <c r="BT176" s="72">
        <v>59.24</v>
      </c>
    </row>
  </sheetData>
  <phoneticPr fontId="3" type="noConversion"/>
  <conditionalFormatting sqref="E4">
    <cfRule type="cellIs" dxfId="4499" priority="101" operator="greaterThan">
      <formula>0.2</formula>
    </cfRule>
    <cfRule type="cellIs" dxfId="449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449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496" priority="95" operator="greaterThan">
      <formula>$B$19</formula>
    </cfRule>
  </conditionalFormatting>
  <conditionalFormatting sqref="D33:D34">
    <cfRule type="cellIs" dxfId="449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4494" priority="89" operator="lessThan">
      <formula>$H$62</formula>
    </cfRule>
    <cfRule type="cellIs" dxfId="4493" priority="90" operator="greaterThan">
      <formula>$H$62</formula>
    </cfRule>
  </conditionalFormatting>
  <conditionalFormatting sqref="J62">
    <cfRule type="cellIs" dxfId="4492" priority="87" operator="lessThan">
      <formula>$K$62</formula>
    </cfRule>
    <cfRule type="cellIs" dxfId="4491" priority="88" operator="greaterThan">
      <formula>$K$62</formula>
    </cfRule>
  </conditionalFormatting>
  <conditionalFormatting sqref="M62">
    <cfRule type="cellIs" dxfId="4490" priority="85" operator="lessThan">
      <formula>$N$62</formula>
    </cfRule>
    <cfRule type="cellIs" dxfId="4489" priority="86" operator="greaterThan">
      <formula>$N$62</formula>
    </cfRule>
  </conditionalFormatting>
  <conditionalFormatting sqref="B44:E44">
    <cfRule type="cellIs" dxfId="4488" priority="83" operator="greaterThan">
      <formula>0</formula>
    </cfRule>
    <cfRule type="cellIs" dxfId="4487" priority="84" operator="lessThan">
      <formula>0</formula>
    </cfRule>
  </conditionalFormatting>
  <conditionalFormatting sqref="F72">
    <cfRule type="cellIs" dxfId="4486" priority="82" operator="lessThan">
      <formula>$E$72*90%</formula>
    </cfRule>
  </conditionalFormatting>
  <conditionalFormatting sqref="F73">
    <cfRule type="cellIs" dxfId="4485" priority="81" operator="lessThan">
      <formula>$E$73*90%</formula>
    </cfRule>
  </conditionalFormatting>
  <conditionalFormatting sqref="F74">
    <cfRule type="cellIs" dxfId="4484" priority="80" operator="lessThan">
      <formula>$E$74*90%</formula>
    </cfRule>
  </conditionalFormatting>
  <conditionalFormatting sqref="F75">
    <cfRule type="cellIs" dxfId="4483" priority="79" operator="lessThan">
      <formula>$E$75*90%</formula>
    </cfRule>
  </conditionalFormatting>
  <conditionalFormatting sqref="H44:K44">
    <cfRule type="cellIs" dxfId="4482" priority="77" operator="greaterThan">
      <formula>0</formula>
    </cfRule>
    <cfRule type="cellIs" dxfId="4481" priority="78" operator="lessThan">
      <formula>0</formula>
    </cfRule>
  </conditionalFormatting>
  <conditionalFormatting sqref="H51:K51">
    <cfRule type="cellIs" dxfId="4480" priority="75" operator="greaterThan">
      <formula>0</formula>
    </cfRule>
    <cfRule type="cellIs" dxfId="4479" priority="76" operator="lessThan">
      <formula>0</formula>
    </cfRule>
  </conditionalFormatting>
  <conditionalFormatting sqref="B51:E51">
    <cfRule type="cellIs" dxfId="4478" priority="73" operator="greaterThan">
      <formula>0</formula>
    </cfRule>
    <cfRule type="cellIs" dxfId="447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47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47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474" priority="56" operator="lessThan">
      <formula>0</formula>
    </cfRule>
  </conditionalFormatting>
  <conditionalFormatting sqref="A25 E25 C25">
    <cfRule type="cellIs" dxfId="4473" priority="57" operator="lessThan">
      <formula>0</formula>
    </cfRule>
  </conditionalFormatting>
  <conditionalFormatting sqref="F25">
    <cfRule type="cellIs" dxfId="4472" priority="55" operator="lessThan">
      <formula>0</formula>
    </cfRule>
  </conditionalFormatting>
  <conditionalFormatting sqref="E1">
    <cfRule type="containsText" dxfId="4471" priority="54" operator="containsText" text="本季業外損益/平均=-">
      <formula>NOT(ISERROR(SEARCH("本季業外損益/平均=-",E1)))</formula>
    </cfRule>
  </conditionalFormatting>
  <conditionalFormatting sqref="M65">
    <cfRule type="cellIs" dxfId="4470" priority="53" operator="lessThan">
      <formula>$L$65*90%</formula>
    </cfRule>
  </conditionalFormatting>
  <conditionalFormatting sqref="M66">
    <cfRule type="cellIs" dxfId="4469" priority="52" operator="lessThan">
      <formula>$L$66*90%</formula>
    </cfRule>
  </conditionalFormatting>
  <conditionalFormatting sqref="M67">
    <cfRule type="cellIs" dxfId="4468" priority="51" operator="lessThan">
      <formula>$L$67*90%</formula>
    </cfRule>
  </conditionalFormatting>
  <conditionalFormatting sqref="M68">
    <cfRule type="cellIs" dxfId="4467" priority="50" operator="lessThan">
      <formula>$L$68*90%</formula>
    </cfRule>
  </conditionalFormatting>
  <conditionalFormatting sqref="B60">
    <cfRule type="cellIs" dxfId="4466" priority="49" operator="lessThan">
      <formula>0</formula>
    </cfRule>
  </conditionalFormatting>
  <conditionalFormatting sqref="B59:F59">
    <cfRule type="cellIs" dxfId="4465" priority="48" operator="lessThanOrEqual">
      <formula>0</formula>
    </cfRule>
  </conditionalFormatting>
  <conditionalFormatting sqref="D62">
    <cfRule type="cellIs" dxfId="4464" priority="46" operator="lessThan">
      <formula>$E$62</formula>
    </cfRule>
    <cfRule type="cellIs" dxfId="4463" priority="47" operator="greaterThan">
      <formula>$E$62</formula>
    </cfRule>
  </conditionalFormatting>
  <conditionalFormatting sqref="F69">
    <cfRule type="cellIs" dxfId="4462" priority="44" operator="lessThan">
      <formula>0</formula>
    </cfRule>
  </conditionalFormatting>
  <conditionalFormatting sqref="B65:E67 B69:E69 B68:D68">
    <cfRule type="cellIs" dxfId="4461" priority="45" operator="lessThan">
      <formula>0</formula>
    </cfRule>
  </conditionalFormatting>
  <conditionalFormatting sqref="E68">
    <cfRule type="cellIs" dxfId="4460" priority="43" operator="lessThan">
      <formula>0</formula>
    </cfRule>
  </conditionalFormatting>
  <conditionalFormatting sqref="F65:F68">
    <cfRule type="cellIs" dxfId="4459" priority="42" operator="lessThan">
      <formula>0</formula>
    </cfRule>
  </conditionalFormatting>
  <conditionalFormatting sqref="F65:F68">
    <cfRule type="cellIs" dxfId="4458" priority="41" operator="lessThan">
      <formula>$E$65*0.9</formula>
    </cfRule>
  </conditionalFormatting>
  <conditionalFormatting sqref="F66">
    <cfRule type="cellIs" dxfId="4457" priority="40" operator="lessThan">
      <formula>$E$66*0.9</formula>
    </cfRule>
  </conditionalFormatting>
  <conditionalFormatting sqref="F67:F68">
    <cfRule type="cellIs" dxfId="4456" priority="39" operator="lessThan">
      <formula>$E$67*0.9</formula>
    </cfRule>
  </conditionalFormatting>
  <conditionalFormatting sqref="F68">
    <cfRule type="cellIs" dxfId="4455" priority="38" operator="lessThan">
      <formula>$E$68*0.9</formula>
    </cfRule>
  </conditionalFormatting>
  <conditionalFormatting sqref="B13:F13">
    <cfRule type="cellIs" dxfId="4454" priority="27" operator="greaterThan">
      <formula>$I$16</formula>
    </cfRule>
    <cfRule type="cellIs" dxfId="4453" priority="28" operator="lessThanOrEqual">
      <formula>$I$16</formula>
    </cfRule>
  </conditionalFormatting>
  <conditionalFormatting sqref="B10:F10">
    <cfRule type="cellIs" dxfId="4452" priority="29" operator="greaterThan">
      <formula>15</formula>
    </cfRule>
    <cfRule type="cellIs" dxfId="4451" priority="36" operator="lessThan">
      <formula>$I$9</formula>
    </cfRule>
    <cfRule type="cellIs" dxfId="4450" priority="37" operator="greaterThan">
      <formula>$I$9</formula>
    </cfRule>
  </conditionalFormatting>
  <conditionalFormatting sqref="B16:F16">
    <cfRule type="cellIs" dxfId="4449" priority="34" operator="greaterThan">
      <formula>$I$16</formula>
    </cfRule>
    <cfRule type="cellIs" dxfId="4448" priority="35" operator="lessThanOrEqual">
      <formula>$I$16</formula>
    </cfRule>
  </conditionalFormatting>
  <conditionalFormatting sqref="B15:F15">
    <cfRule type="cellIs" dxfId="4447" priority="32" operator="lessThanOrEqual">
      <formula>$I$16</formula>
    </cfRule>
    <cfRule type="cellIs" dxfId="4446" priority="33" operator="greaterThan">
      <formula>$I$16</formula>
    </cfRule>
  </conditionalFormatting>
  <conditionalFormatting sqref="B14:F14">
    <cfRule type="cellIs" dxfId="4445" priority="30" operator="greaterThan">
      <formula>$I$16</formula>
    </cfRule>
    <cfRule type="cellIs" dxfId="4444" priority="31" operator="lessThanOrEqual">
      <formula>$I$16</formula>
    </cfRule>
  </conditionalFormatting>
  <conditionalFormatting sqref="K6">
    <cfRule type="containsText" dxfId="4443" priority="25" operator="containsText" text="衰退">
      <formula>NOT(ISERROR(SEARCH("衰退",K6)))</formula>
    </cfRule>
    <cfRule type="containsText" dxfId="4442" priority="26" operator="containsText" text="成長">
      <formula>NOT(ISERROR(SEARCH("成長",K6)))</formula>
    </cfRule>
  </conditionalFormatting>
  <conditionalFormatting sqref="I4:K4">
    <cfRule type="cellIs" dxfId="4441" priority="23" operator="lessThan">
      <formula>0</formula>
    </cfRule>
    <cfRule type="cellIs" dxfId="444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439" priority="20" operator="lessThanOrEqual">
      <formula>$I$16</formula>
    </cfRule>
    <cfRule type="cellIs" dxfId="4438" priority="21" operator="greaterThan">
      <formula>$I$16</formula>
    </cfRule>
  </conditionalFormatting>
  <conditionalFormatting sqref="I6">
    <cfRule type="containsText" dxfId="4437" priority="18" operator="containsText" text="衰退">
      <formula>NOT(ISERROR(SEARCH("衰退",I6)))</formula>
    </cfRule>
    <cfRule type="containsText" dxfId="4436" priority="19" operator="containsText" text="成長">
      <formula>NOT(ISERROR(SEARCH("成長",I6)))</formula>
    </cfRule>
  </conditionalFormatting>
  <conditionalFormatting sqref="M9">
    <cfRule type="cellIs" dxfId="4435" priority="17" operator="lessThan">
      <formula>$I$9</formula>
    </cfRule>
  </conditionalFormatting>
  <conditionalFormatting sqref="M10">
    <cfRule type="cellIs" dxfId="4434" priority="16" operator="greaterThan">
      <formula>$I$9</formula>
    </cfRule>
  </conditionalFormatting>
  <conditionalFormatting sqref="M11">
    <cfRule type="cellIs" dxfId="443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432" priority="12" operator="lessThan">
      <formula>0</formula>
    </cfRule>
    <cfRule type="cellIs" dxfId="4431" priority="13" operator="greaterThan">
      <formula>0.5</formula>
    </cfRule>
  </conditionalFormatting>
  <conditionalFormatting sqref="N14">
    <cfRule type="cellIs" dxfId="443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429" priority="8" operator="lessThan">
      <formula>0.1</formula>
    </cfRule>
  </conditionalFormatting>
  <conditionalFormatting sqref="I14">
    <cfRule type="cellIs" dxfId="442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42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426" priority="1" operator="lessThan">
      <formula>$N$5*0.9</formula>
    </cfRule>
    <cfRule type="cellIs" dxfId="4425" priority="2" operator="greaterThan">
      <formula>$N$5*1.1</formula>
    </cfRule>
  </conditionalFormatting>
  <hyperlinks>
    <hyperlink ref="L1" location="儀表板!A1" display="(回首頁)" xr:uid="{00000000-0004-0000-2C00-000000000000}"/>
  </hyperlink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4.69 ~ 21.99</v>
      </c>
      <c r="L1" s="83" t="s">
        <v>176</v>
      </c>
      <c r="M1" s="84" t="str">
        <f ca="1">VLOOKUP(_xlfn.NUMBERVALUE(N1),儀表板!A:B,2,FALSE)</f>
        <v>聯鈞</v>
      </c>
      <c r="N1" s="85" t="str">
        <f ca="1">MID(CELL("filename",L1),FIND("]",CELL("filename",L1))+1,255)</f>
        <v>3450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0.22487223433606957</v>
      </c>
    </row>
    <row r="3" spans="1:15" s="93" customFormat="1" x14ac:dyDescent="0.25">
      <c r="A3" s="81" t="s">
        <v>179</v>
      </c>
      <c r="B3" s="94">
        <f>SUM(F19:F22,F24:F27,J19)</f>
        <v>86.306769749497363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78.62037002508616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86.711769533340572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93.720068320017631</v>
      </c>
      <c r="L3" s="100"/>
      <c r="M3" s="79" t="s">
        <v>385</v>
      </c>
      <c r="N3" s="92">
        <f>(F69-E69)/E69</f>
        <v>-0.44344604146700473</v>
      </c>
    </row>
    <row r="4" spans="1:15" s="93" customFormat="1" x14ac:dyDescent="0.25">
      <c r="A4" s="81" t="s">
        <v>182</v>
      </c>
      <c r="B4" s="96">
        <f>SUM(G36:G40)*2</f>
        <v>72</v>
      </c>
      <c r="C4" s="101"/>
      <c r="D4" s="102">
        <f>F4*(1+F141/10)</f>
        <v>13.2</v>
      </c>
      <c r="E4" s="82">
        <f>(D4-F4)/F4</f>
        <v>0.19999999999999993</v>
      </c>
      <c r="F4" s="103">
        <v>11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6.3057563501788376</v>
      </c>
    </row>
    <row r="5" spans="1:15" s="93" customFormat="1" x14ac:dyDescent="0.25">
      <c r="A5" s="81" t="s">
        <v>184</v>
      </c>
      <c r="B5" s="107">
        <f>SUM(F30:F34)*2</f>
        <v>97.291770573566083</v>
      </c>
      <c r="C5" s="87"/>
      <c r="D5" s="87"/>
      <c r="E5" s="87"/>
      <c r="F5" s="86"/>
      <c r="G5" s="88"/>
      <c r="M5" s="79" t="s">
        <v>386</v>
      </c>
      <c r="N5" s="152">
        <f>D62</f>
        <v>6.96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6.8798871618791662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26.05</v>
      </c>
      <c r="N9" s="129"/>
    </row>
    <row r="10" spans="1:15" s="93" customFormat="1" x14ac:dyDescent="0.25">
      <c r="A10" s="123" t="s">
        <v>194</v>
      </c>
      <c r="B10" s="126">
        <f>PERCENTILE(176:176,B9)</f>
        <v>11.07</v>
      </c>
      <c r="C10" s="126">
        <f>PERCENTILE(176:176,C9)</f>
        <v>12.34</v>
      </c>
      <c r="D10" s="126">
        <f>PERCENTILE(176:176,D9)</f>
        <v>13.61</v>
      </c>
      <c r="E10" s="126">
        <f>PERCENTILE(176:176,E9)</f>
        <v>14.71</v>
      </c>
      <c r="F10" s="126">
        <f>PERCENTILE(176:176,F9)</f>
        <v>16.829999999999998</v>
      </c>
      <c r="G10" s="95"/>
      <c r="H10" s="135"/>
      <c r="I10" s="135"/>
      <c r="J10" s="135"/>
      <c r="K10" s="135"/>
      <c r="L10" s="136" t="s">
        <v>374</v>
      </c>
      <c r="M10" s="130">
        <f>MIN(176:176)</f>
        <v>7.73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27.36</v>
      </c>
      <c r="L11" s="272" t="s">
        <v>193</v>
      </c>
      <c r="M11" s="128">
        <f>STDEV(176:176)</f>
        <v>4.183624948084784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77.030812324929983</v>
      </c>
      <c r="C13" s="141">
        <f>$B$34/5.88%</f>
        <v>93.5374149659864</v>
      </c>
      <c r="D13" s="141">
        <f>$B$34/5%</f>
        <v>110</v>
      </c>
      <c r="E13" s="141">
        <f>$B$34/4.35%</f>
        <v>126.43678160919541</v>
      </c>
      <c r="F13" s="141">
        <f>$B$34/3.85%</f>
        <v>142.85714285714286</v>
      </c>
      <c r="G13" s="138" t="str">
        <f>"$"&amp;ROUND(B34,2)&amp;"/"&amp;IF(STDEV(C140:F140)/AVERAGE(C140:F140)&lt;15%,"高",IF(STDEV(C140:F140)/AVERAGE(C140:F140)&lt;30%,"中","低"))</f>
        <v>$5.5/中</v>
      </c>
      <c r="H13" s="142" t="s">
        <v>199</v>
      </c>
      <c r="I13" s="143">
        <f>MAX(0,1-J15)</f>
        <v>0.42630185348631955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110.97675000000002</v>
      </c>
      <c r="C14" s="141">
        <f>$B$33*C10</f>
        <v>123.70850000000003</v>
      </c>
      <c r="D14" s="141">
        <f>$B$33*D10</f>
        <v>136.44025000000002</v>
      </c>
      <c r="E14" s="141">
        <f>$B$33*E10</f>
        <v>147.46775000000005</v>
      </c>
      <c r="F14" s="141">
        <f>$B$33*F10</f>
        <v>168.72075000000001</v>
      </c>
      <c r="G14" s="138" t="str">
        <f>"$"&amp;ROUND(B33,2)&amp;"/"&amp;IF(STDEV(B69:E69)/AVERAGE(B69:E69)&lt;15%,"高",IF(STDEV(B69:E69)/AVERAGE(B69:E69)&lt;30%,"中","低"))</f>
        <v>$10.03/中</v>
      </c>
      <c r="H14" s="142" t="s">
        <v>203</v>
      </c>
      <c r="I14" s="145">
        <f>G62/100*I13</f>
        <v>9.6941041482789078E-2</v>
      </c>
      <c r="J14" s="76" t="s">
        <v>204</v>
      </c>
      <c r="K14" s="146"/>
      <c r="L14" s="147">
        <f>(HLOOKUP($C$1,$105:$106,2,FALSE)-HLOOKUP($C$1,$117:$127,9,FALSE))/(HLOOKUP($C$1,$117:$128,12,FALSE)/K11)</f>
        <v>9.9144932688454777</v>
      </c>
      <c r="M14" s="148">
        <f>E135/E69</f>
        <v>0.9841129744042364</v>
      </c>
      <c r="N14" s="149">
        <f>F173/100</f>
        <v>1.2863999999999998</v>
      </c>
    </row>
    <row r="15" spans="1:15" s="93" customFormat="1" x14ac:dyDescent="0.25">
      <c r="A15" s="140" t="s">
        <v>375</v>
      </c>
      <c r="B15" s="141">
        <f>$D$62*B10</f>
        <v>77.047200000000004</v>
      </c>
      <c r="C15" s="141">
        <f>$D$62*C10</f>
        <v>85.886399999999995</v>
      </c>
      <c r="D15" s="141">
        <f>$D$62*D10</f>
        <v>94.7256</v>
      </c>
      <c r="E15" s="141">
        <f>$D$62*E10</f>
        <v>102.38160000000001</v>
      </c>
      <c r="F15" s="141">
        <f>$D$62*F10</f>
        <v>117.13679999999999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0.57369814651368045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69.804722796479737</v>
      </c>
      <c r="C16" s="141">
        <f>$F$69*C10</f>
        <v>77.813033361206848</v>
      </c>
      <c r="D16" s="141">
        <f>$F$69*D10</f>
        <v>85.821343925933974</v>
      </c>
      <c r="E16" s="141">
        <f>$F$69*E10</f>
        <v>92.757675911130704</v>
      </c>
      <c r="F16" s="141">
        <f>$F$69*F10</f>
        <v>106.12587937350983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1707</v>
      </c>
      <c r="J17" s="92">
        <f ca="1">IF(I17&lt;=0,"",IF(I17&lt;=MIN($B$13:$F$16),(I17-MIN($B$13:$F$16))/MIN($B$13:$F$16),IF(I17&gt;=MAX($B$13:$F$16),I17/MAX($B$13:$F$16),PERCENTRANK($B$13:$F$16,I17))))</f>
        <v>10.117309222487453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13.074999999999999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2.377272727272727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0.16527426156249017</v>
      </c>
      <c r="J20" s="171">
        <f>HLOOKUP($C$1,$117:$127,11,FALSE)/HLOOKUP($C$1,$105:$115,11,FALSE)</f>
        <v>0.2821380077798239</v>
      </c>
      <c r="K20" s="163"/>
    </row>
    <row r="21" spans="1:14" s="93" customFormat="1" x14ac:dyDescent="0.25">
      <c r="A21" s="151" t="s">
        <v>201</v>
      </c>
      <c r="B21" s="161">
        <f>AVERAGE(C173:F173)/100</f>
        <v>1.7312000000000001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2.4864548589868263</v>
      </c>
      <c r="J21" s="78"/>
      <c r="K21" s="164" t="s">
        <v>356</v>
      </c>
      <c r="L21" s="165">
        <f>HLOOKUP($C$1,$105:$115,7,FALSE)/HLOOKUP($C$1,$105:$115,11,FALSE)</f>
        <v>0.61266244476279375</v>
      </c>
      <c r="M21" s="123" t="s">
        <v>268</v>
      </c>
      <c r="N21" s="165">
        <f>HLOOKUP($C$1,$117:$127,8,FALSE)/HLOOKUP($C$1,$117:$127,11,FALSE)</f>
        <v>0.87333141986620444</v>
      </c>
    </row>
    <row r="22" spans="1:14" s="93" customFormat="1" x14ac:dyDescent="0.25">
      <c r="A22" s="140" t="s">
        <v>222</v>
      </c>
      <c r="B22" s="161">
        <f>(-1)*SUM(C133:F133)/SUM(C132:F132)</f>
        <v>0.34242614707730984</v>
      </c>
      <c r="C22" s="157"/>
      <c r="D22" s="166"/>
      <c r="E22" s="140"/>
      <c r="F22" s="159">
        <f>IF(B22&lt;=0,10,IF(B22&gt;=100%,0,(1-B22)*10))</f>
        <v>6.5757385292269017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2.2487355415219343</v>
      </c>
      <c r="J22" s="78"/>
      <c r="K22" s="142" t="s">
        <v>357</v>
      </c>
      <c r="L22" s="165">
        <f>HLOOKUP($C$1,$105:$115,4,FALSE)/HLOOKUP($C$1,$105:$115,11,FALSE)</f>
        <v>0.19664936847935188</v>
      </c>
      <c r="M22" s="123" t="s">
        <v>353</v>
      </c>
      <c r="N22" s="165">
        <f>HLOOKUP($C$1,$117:$127,4,FALSE)/HLOOKUP($C$1,$117:$127,11,FALSE)</f>
        <v>0.41420773874795469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1.3930254155220536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5.857403671697025E-2</v>
      </c>
      <c r="M23" s="123" t="s">
        <v>354</v>
      </c>
      <c r="N23" s="165">
        <f>IF(HLOOKUP($C$1,$117:$127,5,FALSE)="無",0,HLOOKUP($C$1,$117:$127,5,FALSE))/HLOOKUP($C$1,$117:$127,11,FALSE)</f>
        <v>5.6090099770138631E-2</v>
      </c>
    </row>
    <row r="24" spans="1:14" s="93" customFormat="1" x14ac:dyDescent="0.25">
      <c r="A24" s="164" t="s">
        <v>228</v>
      </c>
      <c r="B24" s="127">
        <f>AVERAGE(C103:F103)</f>
        <v>0.80746382072190359</v>
      </c>
      <c r="C24" s="169">
        <f>STDEV(C103:F103)</f>
        <v>2.8450768941230605E-2</v>
      </c>
      <c r="D24" s="76" t="str">
        <f>IF(C24/B24&lt;15%,"高",IF(C24/B24&lt;30%,"中","低"))</f>
        <v>高</v>
      </c>
      <c r="E24" s="149"/>
      <c r="F24" s="160">
        <f>MIN(100%,B24)*5</f>
        <v>4.0373191036095175</v>
      </c>
      <c r="G24" s="88" t="s">
        <v>229</v>
      </c>
      <c r="H24" s="123" t="s">
        <v>16</v>
      </c>
      <c r="I24" s="170">
        <f>HLOOKUP(C1,167:170,2,FALSE)</f>
        <v>72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7.7175321228155153E-2</v>
      </c>
      <c r="M24" s="123" t="s">
        <v>355</v>
      </c>
      <c r="N24" s="165">
        <f>HLOOKUP($C$1,$117:$127,9,FALSE)/HLOOKUP($C$1,$117:$127,11,FALSE)</f>
        <v>0.12666858013379551</v>
      </c>
    </row>
    <row r="25" spans="1:14" s="93" customFormat="1" x14ac:dyDescent="0.25">
      <c r="A25" s="151" t="s">
        <v>366</v>
      </c>
      <c r="B25" s="255">
        <f>AVERAGE(94:94)</f>
        <v>8105.739130434783</v>
      </c>
      <c r="C25" s="254">
        <f>STDEV(94:94)/AVERAGE(94:94)</f>
        <v>5.306287883339067</v>
      </c>
      <c r="D25" s="76" t="str">
        <f>IF(C25&lt;=1,"高",IF(C25&lt;=2,"中","低"))</f>
        <v>低</v>
      </c>
      <c r="E25" s="149"/>
      <c r="F25" s="160">
        <f>MAX(0,10-ABS(C25))</f>
        <v>4.693712116660933</v>
      </c>
      <c r="G25" s="88" t="s">
        <v>213</v>
      </c>
      <c r="H25" s="123" t="s">
        <v>232</v>
      </c>
      <c r="I25" s="170">
        <f>IF(HLOOKUP(C1,167:170,3,FALSE)="無",0,HLOOKUP(C1,167:170,3,FALSE))</f>
        <v>27.86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64.146956521739142</v>
      </c>
      <c r="C26" s="172">
        <f>IF(COUNTIF(168:168,"&gt;0")=0,0,STDEV(168:168))</f>
        <v>7.1345805984797472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28.210869565217394</v>
      </c>
      <c r="C27" s="172">
        <f>IF(COUNTIF(169:169,"&gt;0")=0,0,STDEV(169:169))</f>
        <v>3.8487623902702688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0.25874999999999998</v>
      </c>
      <c r="C30" s="157" t="s">
        <v>217</v>
      </c>
      <c r="D30" s="174">
        <f>COUNTIF(146:146,"&gt;20")/COUNT(146:146)</f>
        <v>0.78260869565217395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0.1552</v>
      </c>
      <c r="C31" s="157" t="s">
        <v>217</v>
      </c>
      <c r="D31" s="174">
        <f>COUNTIF(149:149,"&gt;8")/COUNT(149:149)</f>
        <v>0.82608695652173914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31.765000000000001</v>
      </c>
      <c r="C32" s="157" t="s">
        <v>217</v>
      </c>
      <c r="D32" s="174">
        <f>COUNTIF(159:159,"&gt;3")/COUNT(159:159)</f>
        <v>0.91304347826086951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10.025000000000002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5.5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8.6458852867830416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6924013.25</v>
      </c>
      <c r="C36" s="178">
        <f>STDEV(C97:F97)</f>
        <v>1089462.5869967188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25.875</v>
      </c>
      <c r="C37" s="180">
        <f>STDEV(C152:F152)</f>
        <v>5.6176003180480221</v>
      </c>
      <c r="D37" s="76" t="str">
        <f>IF(C37/B37&lt;15%,"高",IF(C37/B37&lt;30%,"中","低"))</f>
        <v>中</v>
      </c>
      <c r="E37" s="107">
        <f>IF(F152&gt;E152,1,0)+IF(E152&gt;D152,1,0)+IF(D152&gt;C152,1,0)</f>
        <v>2</v>
      </c>
      <c r="F37" s="179"/>
      <c r="G37" s="160">
        <f>IF(D37="高",6,IF(D37="中",4,2))+E37+1</f>
        <v>7</v>
      </c>
    </row>
    <row r="38" spans="1:14" x14ac:dyDescent="0.25">
      <c r="A38" s="164" t="s">
        <v>249</v>
      </c>
      <c r="B38" s="180">
        <f>AVERAGE(C153:F153)</f>
        <v>18.504999999999999</v>
      </c>
      <c r="C38" s="180">
        <f>STDEV(C153:F153)</f>
        <v>5.223986345056181</v>
      </c>
      <c r="D38" s="76" t="str">
        <f>IF(C38/B38&lt;15%,"高",IF(C38/B38&lt;30%,"中","低"))</f>
        <v>中</v>
      </c>
      <c r="E38" s="107">
        <f>IF(F153&gt;E153,1,0)+IF(E153&gt;D153,1,0)+IF(D153&gt;C153,1,0)</f>
        <v>2</v>
      </c>
      <c r="F38" s="179"/>
      <c r="G38" s="160">
        <f>IF(D38="高",6,IF(D38="中",4,2))+E38+1</f>
        <v>7</v>
      </c>
    </row>
    <row r="39" spans="1:14" x14ac:dyDescent="0.25">
      <c r="A39" s="142" t="s">
        <v>46</v>
      </c>
      <c r="B39" s="181">
        <f>AVERAGE(C165:F165)</f>
        <v>31.765000000000001</v>
      </c>
      <c r="C39" s="181">
        <f>STDEV(C165:F165)</f>
        <v>5.3016506863428789</v>
      </c>
      <c r="D39" s="76" t="str">
        <f>IF(C39/B39&lt;15%,"高",IF(C39/B39&lt;30%,"中","低"))</f>
        <v>中</v>
      </c>
      <c r="E39" s="107">
        <f>IF(F165&gt;E165,1,0)+IF(E165&gt;D165,1,0)+IF(D165&gt;C165,1,0)</f>
        <v>2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10.025000000000002</v>
      </c>
      <c r="C40" s="183">
        <f>STDEV(B69:E69)</f>
        <v>2.8928705467061553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-0.3035714285714286</v>
      </c>
      <c r="C44" s="186">
        <f>(C46-C49)/C49</f>
        <v>-0.48051948051948051</v>
      </c>
      <c r="D44" s="186">
        <f>(D46-D49)/D49</f>
        <v>-0.66767371601208458</v>
      </c>
      <c r="E44" s="186">
        <f>(E46-E49)/E49</f>
        <v>-0.30946291560102301</v>
      </c>
      <c r="G44" s="86" t="s">
        <v>175</v>
      </c>
      <c r="H44" s="186">
        <f>(H47-H50)/H50</f>
        <v>0.1076517150395777</v>
      </c>
      <c r="I44" s="186">
        <f>(I47-I50)/I50</f>
        <v>-0.15423945462292282</v>
      </c>
      <c r="J44" s="186">
        <f>(J47-J50)/J50</f>
        <v>-0.22511485451761101</v>
      </c>
      <c r="K44" s="186">
        <f>(K47-K50)/K50</f>
        <v>-0.18972951783614259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1.56</v>
      </c>
      <c r="C46" s="152">
        <f>HLOOKUP(C45,$81:$82,2,FALSE)</f>
        <v>1.6</v>
      </c>
      <c r="D46" s="152">
        <f>HLOOKUP(D45,$81:$82,2,FALSE)</f>
        <v>1.1000000000000001</v>
      </c>
      <c r="E46" s="152">
        <f>HLOOKUP(E45,$81:$82,2,FALSE)</f>
        <v>2.7</v>
      </c>
      <c r="G46" s="86" t="s">
        <v>164</v>
      </c>
      <c r="H46" s="145">
        <f>HLOOKUP(H45,$145:$147,2,FALSE)/100</f>
        <v>0.2802</v>
      </c>
      <c r="I46" s="145">
        <f>HLOOKUP(I45,$145:$147,2,FALSE)/100</f>
        <v>0.26669999999999999</v>
      </c>
      <c r="J46" s="145">
        <f>HLOOKUP(J45,$145:$147,2,FALSE)/100</f>
        <v>0.26669999999999999</v>
      </c>
      <c r="K46" s="145">
        <f>HLOOKUP(K45,$145:$147,2,FALSE)/100</f>
        <v>0.28300000000000003</v>
      </c>
    </row>
    <row r="47" spans="1:14" x14ac:dyDescent="0.25">
      <c r="A47" s="188" t="s">
        <v>165</v>
      </c>
      <c r="B47" s="189">
        <f>HLOOKUP(B45,$157:$159,3,FALSE)</f>
        <v>5.9</v>
      </c>
      <c r="C47" s="189">
        <f>HLOOKUP(C45,$157:$159,3,FALSE)</f>
        <v>5.7</v>
      </c>
      <c r="D47" s="189">
        <f>HLOOKUP(D45,$157:$159,3,FALSE)</f>
        <v>3.4</v>
      </c>
      <c r="E47" s="189">
        <f>HLOOKUP(E45,$157:$159,3,FALSE)</f>
        <v>7.74</v>
      </c>
      <c r="G47" s="190" t="s">
        <v>166</v>
      </c>
      <c r="H47" s="145">
        <f>HLOOKUP(H45,$145:$147,3,FALSE)/100</f>
        <v>0.20989999999999998</v>
      </c>
      <c r="I47" s="145">
        <f>HLOOKUP(I45,$145:$147,3,FALSE)/100</f>
        <v>0.19850000000000001</v>
      </c>
      <c r="J47" s="145">
        <f>HLOOKUP(J45,$145:$147,3,FALSE)/100</f>
        <v>0.2024</v>
      </c>
      <c r="K47" s="145">
        <f>HLOOKUP(K45,$145:$147,3,FALSE)/100</f>
        <v>0.20670000000000002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2.2400000000000002</v>
      </c>
      <c r="C49" s="152">
        <f>HLOOKUP(C48,$81:$82,2,FALSE)</f>
        <v>3.08</v>
      </c>
      <c r="D49" s="152">
        <f>HLOOKUP(D48,$81:$82,2,FALSE)</f>
        <v>3.31</v>
      </c>
      <c r="E49" s="152">
        <f>HLOOKUP(E48,$81:$82,2,FALSE)</f>
        <v>3.91</v>
      </c>
      <c r="G49" s="86" t="s">
        <v>164</v>
      </c>
      <c r="H49" s="145">
        <f>HLOOKUP(H48,$145:$147,2,FALSE)/100</f>
        <v>0.2838</v>
      </c>
      <c r="I49" s="145">
        <f>HLOOKUP(I48,$145:$147,2,FALSE)/100</f>
        <v>0.29420000000000002</v>
      </c>
      <c r="J49" s="145">
        <f>HLOOKUP(J48,$145:$147,2,FALSE)/100</f>
        <v>0.3332</v>
      </c>
      <c r="K49" s="145">
        <f>HLOOKUP(K48,$145:$147,2,FALSE)/100</f>
        <v>0.34429999999999999</v>
      </c>
    </row>
    <row r="50" spans="1:15" x14ac:dyDescent="0.25">
      <c r="A50" s="188" t="s">
        <v>165</v>
      </c>
      <c r="B50" s="189">
        <f>HLOOKUP(B48,$157:$159,3,FALSE)</f>
        <v>6.37</v>
      </c>
      <c r="C50" s="189">
        <f>HLOOKUP(C48,$157:$159,3,FALSE)</f>
        <v>8.9</v>
      </c>
      <c r="D50" s="189">
        <f>HLOOKUP(D48,$157:$159,3,FALSE)</f>
        <v>8.32</v>
      </c>
      <c r="E50" s="189">
        <f>HLOOKUP(E48,$157:$159,3,FALSE)</f>
        <v>10.94</v>
      </c>
      <c r="G50" s="190" t="s">
        <v>166</v>
      </c>
      <c r="H50" s="145">
        <f>HLOOKUP(H48,$145:$147,3,FALSE)/100</f>
        <v>0.1895</v>
      </c>
      <c r="I50" s="145">
        <f>HLOOKUP(I48,$145:$147,3,FALSE)/100</f>
        <v>0.23469999999999999</v>
      </c>
      <c r="J50" s="145">
        <f>HLOOKUP(J48,$145:$147,3,FALSE)/100</f>
        <v>0.26119999999999999</v>
      </c>
      <c r="K50" s="145">
        <f>HLOOKUP(K48,$145:$147,3,FALSE)/100</f>
        <v>0.25509999999999999</v>
      </c>
    </row>
    <row r="51" spans="1:15" x14ac:dyDescent="0.25">
      <c r="A51" s="86" t="s">
        <v>351</v>
      </c>
      <c r="B51" s="186">
        <f>(B47-B50)/B50</f>
        <v>-7.3783359497645168E-2</v>
      </c>
      <c r="C51" s="186">
        <f>(C47-C50)/C50</f>
        <v>-0.3595505617977528</v>
      </c>
      <c r="D51" s="186">
        <f>(D47-D50)/D50</f>
        <v>-0.59134615384615385</v>
      </c>
      <c r="E51" s="186">
        <f>(E47-E50)/E50</f>
        <v>-0.2925045703839122</v>
      </c>
      <c r="G51" s="235" t="s">
        <v>174</v>
      </c>
      <c r="H51" s="186">
        <f>(H46-H49)/H49</f>
        <v>-1.2684989429175448E-2</v>
      </c>
      <c r="I51" s="186">
        <f>(I46-I49)/I49</f>
        <v>-9.3473827328348136E-2</v>
      </c>
      <c r="J51" s="186">
        <f>(J46-J49)/J49</f>
        <v>-0.19957983193277312</v>
      </c>
      <c r="K51" s="186">
        <f>(K46-K49)/K49</f>
        <v>-0.17804240487946549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6.8798871618791662</v>
      </c>
      <c r="B53" s="193">
        <f>B46</f>
        <v>1.56</v>
      </c>
      <c r="C53" s="193">
        <f>E46/HLOOKUP(E45,$87:$94,5,FALSE)*HLOOKUP(E45,$87:$94,4,FALSE)*($B$25/HLOOKUP(E45,$87:$94,4,FALSE)+SUM($B$57:$D$57)/SUM($B58:$D$58)*$G$69/100/K46)</f>
        <v>2.0457563501788374</v>
      </c>
      <c r="D53" s="193">
        <f>D46/HLOOKUP(D45,$87:$94,5,FALSE)*HLOOKUP(D45,$87:$94,4,FALSE)*($B$25/HLOOKUP(D45,$87:$94,4,FALSE)+SUM($B$57:$D$57)/SUM($B58:$D$58)*$G$69/100/J46)</f>
        <v>1.6720132986820766</v>
      </c>
      <c r="E53" s="193">
        <f>C46/HLOOKUP(C45,$87:$94,5,FALSE)*HLOOKUP(C45,$87:$94,4,FALSE)*($B$25/HLOOKUP(C45,$87:$94,4,FALSE)+SUM($B$57:$D$57)/SUM($B58:$D$58)*$G$69/100/I46)</f>
        <v>1.6021175130182512</v>
      </c>
    </row>
    <row r="54" spans="1:15" x14ac:dyDescent="0.25">
      <c r="A54" s="278">
        <f>SUM(B54:E54)</f>
        <v>7.6400000000000006</v>
      </c>
      <c r="B54" s="277">
        <f t="shared" ref="B54:D54" si="0">HLOOKUP(B52-10,81:82,2,FALSE)</f>
        <v>2.2400000000000002</v>
      </c>
      <c r="C54" s="277">
        <f t="shared" si="0"/>
        <v>2.7</v>
      </c>
      <c r="D54" s="277">
        <f t="shared" si="0"/>
        <v>1.1000000000000001</v>
      </c>
      <c r="E54" s="277">
        <f>HLOOKUP(E52-10,81:82,2,FALSE)</f>
        <v>1.6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579951</v>
      </c>
      <c r="C57" s="196">
        <f>HLOOKUP(C56,78:79,2,FALSE)</f>
        <v>555986</v>
      </c>
      <c r="D57" s="196">
        <f>HLOOKUP(D56,78:79,2,FALSE)</f>
        <v>608833</v>
      </c>
      <c r="E57" s="196">
        <f>HLOOKUP(E56,78:79,2,FALSE)</f>
        <v>635205</v>
      </c>
      <c r="F57" s="196">
        <f>HLOOKUP(F56,78:79,2,FALSE)</f>
        <v>622591</v>
      </c>
      <c r="G57" s="196">
        <f t="shared" ref="G57:M57" si="2">HLOOKUP(G56,78:79,2,FALSE)</f>
        <v>613636</v>
      </c>
      <c r="H57" s="196">
        <f t="shared" si="2"/>
        <v>649343</v>
      </c>
      <c r="I57" s="196">
        <f t="shared" si="2"/>
        <v>638741</v>
      </c>
      <c r="J57" s="196">
        <f t="shared" si="2"/>
        <v>602658</v>
      </c>
      <c r="K57" s="196">
        <f t="shared" si="2"/>
        <v>572632</v>
      </c>
      <c r="L57" s="196">
        <f t="shared" si="2"/>
        <v>634942</v>
      </c>
      <c r="M57" s="196">
        <f t="shared" si="2"/>
        <v>667711</v>
      </c>
      <c r="N57" s="197"/>
    </row>
    <row r="58" spans="1:15" x14ac:dyDescent="0.25">
      <c r="A58" s="198" t="s">
        <v>253</v>
      </c>
      <c r="B58" s="196">
        <f>HLOOKUP(B56-100,78:79,2,FALSE)</f>
        <v>673516</v>
      </c>
      <c r="C58" s="196">
        <f>HLOOKUP(C56-100,78:79,2,FALSE)</f>
        <v>671875</v>
      </c>
      <c r="D58" s="196">
        <f>HLOOKUP(D56-100,78:79,2,FALSE)</f>
        <v>678067</v>
      </c>
      <c r="E58" s="196">
        <f>HLOOKUP(E56-100,78:79,2,FALSE)</f>
        <v>686661</v>
      </c>
      <c r="F58" s="196">
        <f>HLOOKUP(F56-100,78:79,2,FALSE)</f>
        <v>706778</v>
      </c>
      <c r="G58" s="196">
        <f t="shared" ref="G58:M58" si="3">HLOOKUP(G56-100,78:79,2,FALSE)</f>
        <v>713865</v>
      </c>
      <c r="H58" s="196">
        <f t="shared" si="3"/>
        <v>726949</v>
      </c>
      <c r="I58" s="196">
        <f t="shared" si="3"/>
        <v>725863</v>
      </c>
      <c r="J58" s="196">
        <f t="shared" si="3"/>
        <v>625746</v>
      </c>
      <c r="K58" s="196">
        <f t="shared" si="3"/>
        <v>694881</v>
      </c>
      <c r="L58" s="196">
        <f t="shared" si="3"/>
        <v>681799</v>
      </c>
      <c r="M58" s="196">
        <f t="shared" si="3"/>
        <v>677594</v>
      </c>
      <c r="N58" s="197"/>
    </row>
    <row r="59" spans="1:15" x14ac:dyDescent="0.25">
      <c r="A59" s="199" t="s">
        <v>254</v>
      </c>
      <c r="B59" s="165">
        <f>IF(B57&lt;&gt;"",(B57-B58)/B58,"")</f>
        <v>-0.13892023352080723</v>
      </c>
      <c r="C59" s="165">
        <f>IF(C57&lt;&gt;"",(C57-C58)/C58,"")</f>
        <v>-0.17248595348837209</v>
      </c>
      <c r="D59" s="165">
        <f>IF(D57&lt;&gt;"",(D57-D58)/D58,"")</f>
        <v>-0.10210495423018669</v>
      </c>
      <c r="E59" s="165">
        <f>IF(E57&lt;&gt;"",(E57-E58)/E58,"")</f>
        <v>-7.4936540738442983E-2</v>
      </c>
      <c r="F59" s="165">
        <f>IF(F57&lt;&gt;"",(F57-F58)/F58,"")</f>
        <v>-0.11911378113070865</v>
      </c>
      <c r="G59" s="165">
        <f t="shared" ref="G59:M59" si="4">IF(G57&lt;&gt;"",(G57-G58)/G58,"")</f>
        <v>-0.14040329754225239</v>
      </c>
      <c r="H59" s="165">
        <f t="shared" si="4"/>
        <v>-0.10675576966197078</v>
      </c>
      <c r="I59" s="165">
        <f t="shared" si="4"/>
        <v>-0.12002540424294943</v>
      </c>
      <c r="J59" s="165">
        <f t="shared" si="4"/>
        <v>-3.6896760027231496E-2</v>
      </c>
      <c r="K59" s="165">
        <f t="shared" si="4"/>
        <v>-0.17592796464430599</v>
      </c>
      <c r="L59" s="165">
        <f t="shared" si="4"/>
        <v>-6.8725533478341858E-2</v>
      </c>
      <c r="M59" s="165">
        <f t="shared" si="4"/>
        <v>-1.4585430213372609E-2</v>
      </c>
    </row>
    <row r="60" spans="1:15" x14ac:dyDescent="0.25">
      <c r="A60" s="195" t="s">
        <v>255</v>
      </c>
      <c r="B60" s="196">
        <f>SUM(B57:M57)</f>
        <v>7382229</v>
      </c>
    </row>
    <row r="61" spans="1:15" x14ac:dyDescent="0.25">
      <c r="A61" s="198" t="s">
        <v>256</v>
      </c>
      <c r="B61" s="196">
        <f>SUM(B58:M58)</f>
        <v>8263594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0.89334362264167377</v>
      </c>
      <c r="D62" s="152">
        <f>SUM(B46:E46)</f>
        <v>6.96</v>
      </c>
      <c r="E62" s="152">
        <f>SUM(B49:E49)</f>
        <v>12.540000000000001</v>
      </c>
      <c r="G62" s="126">
        <f>SUM(B47:E47)</f>
        <v>22.740000000000002</v>
      </c>
      <c r="H62" s="126">
        <f>SUM(B50:E50)</f>
        <v>34.53</v>
      </c>
      <c r="J62" s="200">
        <f>AVERAGE(H46:K46)</f>
        <v>0.27415</v>
      </c>
      <c r="K62" s="200">
        <f>AVERAGE(H49:K49)</f>
        <v>0.31387500000000002</v>
      </c>
      <c r="M62" s="200">
        <f>AVERAGE(H47:K47)</f>
        <v>0.204375</v>
      </c>
      <c r="N62" s="200">
        <f>AVERAGE(H50:K50)</f>
        <v>0.235125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0.63</v>
      </c>
      <c r="C65" s="205">
        <f t="shared" si="5"/>
        <v>2.06</v>
      </c>
      <c r="D65" s="205">
        <f t="shared" si="5"/>
        <v>2.46</v>
      </c>
      <c r="E65" s="205">
        <f t="shared" si="5"/>
        <v>3.31</v>
      </c>
      <c r="F65" s="206">
        <f>IF(ISNA(HLOOKUP(F$64*10+$A65,$81:$82,2,FALSE)),(HLOOKUP(E$64*10+$A65,$87:$94,4,FALSE)*$G65+$B$25)/HLOOKUP(E$64*10+$A65,$87:$94,5,FALSE)*$E65,HLOOKUP(F$64*10+$A65,$81:$82,2,FALSE))</f>
        <v>1.1000000000000001</v>
      </c>
      <c r="G65" s="101">
        <f>MIN(130%,SUM($B$57:$D$57)/SUM($B$58:$D$58)*$G$69/HLOOKUP(E$64*10+$A65,$145:$146,2,FALSE))</f>
        <v>0.80102965775655888</v>
      </c>
      <c r="H65" s="204">
        <v>1</v>
      </c>
      <c r="I65" s="208">
        <f t="shared" ref="I65:M68" si="6">IF(ISNA(HLOOKUP(I$64*10+$H65,$145:$147,3,FALSE)),"",HLOOKUP(I$64*10+$H65,$145:$147,3,FALSE)/100)</f>
        <v>8.3299999999999999E-2</v>
      </c>
      <c r="J65" s="208">
        <f t="shared" si="6"/>
        <v>0.14949999999999999</v>
      </c>
      <c r="K65" s="208">
        <f t="shared" si="6"/>
        <v>0.19949999999999998</v>
      </c>
      <c r="L65" s="208">
        <f t="shared" si="6"/>
        <v>0.26119999999999999</v>
      </c>
      <c r="M65" s="209">
        <f t="shared" si="6"/>
        <v>0.2024</v>
      </c>
      <c r="N65" s="256">
        <f t="shared" ref="N65:O68" si="7">HLOOKUP(E$64*10+$A65,$87:$94,8,FALSE)</f>
        <v>-39735</v>
      </c>
      <c r="O65" s="256">
        <f t="shared" si="7"/>
        <v>-120106</v>
      </c>
      <c r="P65" s="210"/>
    </row>
    <row r="66" spans="1:71" x14ac:dyDescent="0.25">
      <c r="A66" s="204">
        <v>2</v>
      </c>
      <c r="B66" s="205">
        <f t="shared" si="5"/>
        <v>1.57</v>
      </c>
      <c r="C66" s="205">
        <f t="shared" si="5"/>
        <v>2.57</v>
      </c>
      <c r="D66" s="205">
        <f t="shared" si="5"/>
        <v>2.93</v>
      </c>
      <c r="E66" s="205">
        <f t="shared" si="5"/>
        <v>3.08</v>
      </c>
      <c r="F66" s="206">
        <f>IF(ISNA(HLOOKUP(F$64*10+$A66,$81:$82,2,FALSE)),(HLOOKUP(E$64*10+$A66,$87:$94,4,FALSE)*$G66+$B$25)/HLOOKUP(E$64*10+$A66,$87:$94,5,FALSE)*$E66,HLOOKUP(F$64*10+$A66,$81:$82,2,FALSE))</f>
        <v>1.6</v>
      </c>
      <c r="G66" s="101">
        <f>MIN(130%,SUM($B$57:$D$57)/SUM($B$58:$D$58)*$G$69/HLOOKUP(E$64*10+$A66,$145:$146,2,FALSE))</f>
        <v>0.90721645807099049</v>
      </c>
      <c r="H66" s="204">
        <v>2</v>
      </c>
      <c r="I66" s="208">
        <f t="shared" si="6"/>
        <v>0.1152</v>
      </c>
      <c r="J66" s="208">
        <f t="shared" si="6"/>
        <v>0.1704</v>
      </c>
      <c r="K66" s="208">
        <f t="shared" si="6"/>
        <v>0.23180000000000001</v>
      </c>
      <c r="L66" s="208">
        <f t="shared" si="6"/>
        <v>0.23469999999999999</v>
      </c>
      <c r="M66" s="209">
        <f t="shared" si="6"/>
        <v>0.19850000000000001</v>
      </c>
      <c r="N66" s="256">
        <f t="shared" si="7"/>
        <v>15738</v>
      </c>
      <c r="O66" s="256">
        <f t="shared" si="7"/>
        <v>7885</v>
      </c>
      <c r="P66" s="210"/>
    </row>
    <row r="67" spans="1:71" x14ac:dyDescent="0.25">
      <c r="A67" s="204">
        <v>3</v>
      </c>
      <c r="B67" s="205">
        <f t="shared" si="5"/>
        <v>2.1</v>
      </c>
      <c r="C67" s="205">
        <f t="shared" si="5"/>
        <v>2.76</v>
      </c>
      <c r="D67" s="205">
        <f t="shared" si="5"/>
        <v>3.57</v>
      </c>
      <c r="E67" s="205">
        <f t="shared" si="5"/>
        <v>2.2400000000000002</v>
      </c>
      <c r="F67" s="206">
        <f>IF(ISNA(HLOOKUP(F$64*10+$A67,$81:$82,2,FALSE)),(HLOOKUP(E$64*10+$A67,$87:$94,4,FALSE)*$G67+$B$25)/HLOOKUP(E$64*10+$A67,$87:$94,5,FALSE)*$E67,HLOOKUP(F$64*10+$A67,$81:$82,2,FALSE))</f>
        <v>1.56</v>
      </c>
      <c r="G67" s="101">
        <f>MIN(130%,SUM($B$57:$D$57)/SUM($B$58:$D$58)*$G$69/HLOOKUP(E$64*10+$A67,$145:$146,2,FALSE))</f>
        <v>0.94046188148162591</v>
      </c>
      <c r="H67" s="204">
        <v>3</v>
      </c>
      <c r="I67" s="208">
        <f t="shared" si="6"/>
        <v>0.15909999999999999</v>
      </c>
      <c r="J67" s="208">
        <f t="shared" si="6"/>
        <v>0.1605</v>
      </c>
      <c r="K67" s="208">
        <f t="shared" si="6"/>
        <v>0.23769999999999999</v>
      </c>
      <c r="L67" s="208">
        <f t="shared" si="6"/>
        <v>0.1895</v>
      </c>
      <c r="M67" s="209">
        <f t="shared" si="6"/>
        <v>0.20989999999999998</v>
      </c>
      <c r="N67" s="256">
        <f t="shared" si="7"/>
        <v>9130</v>
      </c>
      <c r="O67" s="256">
        <f t="shared" si="7"/>
        <v>-445</v>
      </c>
      <c r="P67" s="210"/>
    </row>
    <row r="68" spans="1:71" x14ac:dyDescent="0.25">
      <c r="A68" s="204">
        <v>4</v>
      </c>
      <c r="B68" s="205">
        <f>HLOOKUP(B$64*10+$A68,$81:$82,2,FALSE)</f>
        <v>1.82</v>
      </c>
      <c r="C68" s="205">
        <f>HLOOKUP(C$64*10+$A68,$81:$82,2,FALSE)</f>
        <v>2.39</v>
      </c>
      <c r="D68" s="205">
        <f>HLOOKUP(D$64*10+$A68,$81:$82,2,FALSE)</f>
        <v>3.91</v>
      </c>
      <c r="E68" s="206">
        <f>IF(ISNA(HLOOKUP(E$64*10+$A68,$81:$82,2,FALSE)),D68*(1-$N68)*#REF!*(1+$B$25)/(1+$E$4),HLOOKUP(E$64*10+$A68,$81:$82,2,FALSE))</f>
        <v>2.7</v>
      </c>
      <c r="F68" s="206">
        <f>IF(ISNA(HLOOKUP(F$64*10+$A68,$81:$82,2,FALSE)),(HLOOKUP(E$64*10+$A68,$87:$94,4,FALSE)*$G68+$B$25)/HLOOKUP(E$64*10+$A68,$87:$94,5,FALSE)*$E68,HLOOKUP(F$64*10+$A68,$81:$82,2,FALSE))</f>
        <v>2.0457563501788378</v>
      </c>
      <c r="G68" s="101">
        <f>MIN(130%,SUM($B$57:$D$57)/SUM($B$58:$D$58)*$G$69/HLOOKUP(E$64*10+$A68,$145:$146,2,FALSE))</f>
        <v>0.94312043096991305</v>
      </c>
      <c r="H68" s="204">
        <v>4</v>
      </c>
      <c r="I68" s="208">
        <f t="shared" si="6"/>
        <v>0.11990000000000001</v>
      </c>
      <c r="J68" s="208">
        <f t="shared" si="6"/>
        <v>0.16239999999999999</v>
      </c>
      <c r="K68" s="208">
        <f t="shared" si="6"/>
        <v>0.25509999999999999</v>
      </c>
      <c r="L68" s="208">
        <f t="shared" si="6"/>
        <v>0.20670000000000002</v>
      </c>
      <c r="M68" s="209" t="str">
        <f t="shared" si="6"/>
        <v/>
      </c>
      <c r="N68" s="256">
        <f t="shared" si="7"/>
        <v>110678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6.120000000000001</v>
      </c>
      <c r="C69" s="213">
        <f>SUM(C65:C68)</f>
        <v>9.7799999999999994</v>
      </c>
      <c r="D69" s="213">
        <f>SUM(D65:D68)</f>
        <v>12.870000000000001</v>
      </c>
      <c r="E69" s="213">
        <f>SUM(E65:E68)</f>
        <v>11.330000000000002</v>
      </c>
      <c r="F69" s="213">
        <f>SUM(F65:F68)</f>
        <v>6.3057563501788376</v>
      </c>
      <c r="G69" s="257">
        <f>_xlfn.FORECAST.ETS(23,B146:W146,{1,2,3,4,5,6,7,8,9,10,11,12,13,14,15,16,17,18,19,20,21,22})</f>
        <v>30.953488220550202</v>
      </c>
      <c r="H69" s="214" t="s">
        <v>19</v>
      </c>
      <c r="I69" s="215">
        <f>HLOOKUP(I64,151:155,3,FALSE)/100</f>
        <v>0.1229</v>
      </c>
      <c r="J69" s="215">
        <f>HLOOKUP(J64,151:155,3,FALSE)/100</f>
        <v>0.16109999999999999</v>
      </c>
      <c r="K69" s="215">
        <f>HLOOKUP(K64,151:155,3,FALSE)/100</f>
        <v>0.23280000000000001</v>
      </c>
      <c r="L69" s="215">
        <f>IF(ISNA(HLOOKUP(L64,151:155,3,FALSE)/100),AVERAGE(L65:L68),HLOOKUP(L64,151:155,3,FALSE)/100)</f>
        <v>0.22339999999999999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3.04</v>
      </c>
      <c r="C72" s="205">
        <f t="shared" si="8"/>
        <v>7.73</v>
      </c>
      <c r="D72" s="205">
        <f t="shared" si="8"/>
        <v>7.06</v>
      </c>
      <c r="E72" s="205">
        <f t="shared" si="8"/>
        <v>8.32</v>
      </c>
      <c r="F72" s="205">
        <f t="shared" si="8"/>
        <v>3.4</v>
      </c>
    </row>
    <row r="73" spans="1:71" s="135" customFormat="1" x14ac:dyDescent="0.25">
      <c r="A73" s="204">
        <v>2</v>
      </c>
      <c r="B73" s="205">
        <f t="shared" si="8"/>
        <v>6.6</v>
      </c>
      <c r="C73" s="205">
        <f t="shared" si="8"/>
        <v>10.02</v>
      </c>
      <c r="D73" s="205">
        <f t="shared" si="8"/>
        <v>9.34</v>
      </c>
      <c r="E73" s="205">
        <f t="shared" si="8"/>
        <v>8.9</v>
      </c>
      <c r="F73" s="205">
        <f t="shared" si="8"/>
        <v>5.7</v>
      </c>
    </row>
    <row r="74" spans="1:71" s="135" customFormat="1" x14ac:dyDescent="0.25">
      <c r="A74" s="204">
        <v>3</v>
      </c>
      <c r="B74" s="205">
        <f t="shared" si="8"/>
        <v>8.91</v>
      </c>
      <c r="C74" s="205">
        <f t="shared" si="8"/>
        <v>10.09</v>
      </c>
      <c r="D74" s="205">
        <f t="shared" si="8"/>
        <v>10.83</v>
      </c>
      <c r="E74" s="205">
        <f t="shared" si="8"/>
        <v>6.37</v>
      </c>
      <c r="F74" s="205">
        <f t="shared" si="8"/>
        <v>5.9</v>
      </c>
    </row>
    <row r="75" spans="1:71" s="135" customFormat="1" x14ac:dyDescent="0.25">
      <c r="A75" s="204">
        <v>4</v>
      </c>
      <c r="B75" s="205">
        <f t="shared" si="8"/>
        <v>6.89</v>
      </c>
      <c r="C75" s="205">
        <f t="shared" si="8"/>
        <v>6.92</v>
      </c>
      <c r="D75" s="205">
        <f t="shared" si="8"/>
        <v>10.94</v>
      </c>
      <c r="E75" s="205">
        <f t="shared" si="8"/>
        <v>7.74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25.44</v>
      </c>
      <c r="C76" s="213">
        <f>SUM(C72:C75)</f>
        <v>34.76</v>
      </c>
      <c r="D76" s="213">
        <f>SUM(D72:D75)</f>
        <v>38.169999999999995</v>
      </c>
      <c r="E76" s="213">
        <f>AVERAGE(E72:E75)*4</f>
        <v>31.33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148065</v>
      </c>
      <c r="C79" s="270">
        <v>164541</v>
      </c>
      <c r="D79" s="270">
        <v>196223</v>
      </c>
      <c r="E79" s="270">
        <v>180827</v>
      </c>
      <c r="F79" s="270">
        <v>164000</v>
      </c>
      <c r="G79" s="270">
        <v>174858</v>
      </c>
      <c r="H79" s="270">
        <v>194309</v>
      </c>
      <c r="I79" s="270">
        <v>209032</v>
      </c>
      <c r="J79" s="270">
        <v>210124</v>
      </c>
      <c r="K79" s="270">
        <v>216781</v>
      </c>
      <c r="L79" s="270">
        <v>221211</v>
      </c>
      <c r="M79" s="270">
        <v>173142</v>
      </c>
      <c r="N79" s="270">
        <v>350144</v>
      </c>
      <c r="O79" s="270">
        <v>312573</v>
      </c>
      <c r="P79" s="270">
        <v>415055</v>
      </c>
      <c r="Q79" s="270">
        <v>438340</v>
      </c>
      <c r="R79" s="270">
        <v>454911</v>
      </c>
      <c r="S79" s="270">
        <v>458699</v>
      </c>
      <c r="T79" s="270">
        <v>515391</v>
      </c>
      <c r="U79" s="270">
        <v>533155</v>
      </c>
      <c r="V79" s="270">
        <v>539190</v>
      </c>
      <c r="W79" s="270">
        <v>479763</v>
      </c>
      <c r="X79" s="270">
        <v>527319</v>
      </c>
      <c r="Y79" s="270">
        <v>535354</v>
      </c>
      <c r="Z79" s="270">
        <v>506539</v>
      </c>
      <c r="AA79" s="270">
        <v>499332</v>
      </c>
      <c r="AB79" s="270">
        <v>565574</v>
      </c>
      <c r="AC79" s="270">
        <v>589769</v>
      </c>
      <c r="AD79" s="270">
        <v>630279</v>
      </c>
      <c r="AE79" s="270">
        <v>627065</v>
      </c>
      <c r="AF79" s="270">
        <v>623270</v>
      </c>
      <c r="AG79" s="270">
        <v>591770</v>
      </c>
      <c r="AH79" s="270">
        <v>585060</v>
      </c>
      <c r="AI79" s="270">
        <v>524510</v>
      </c>
      <c r="AJ79" s="270">
        <v>545831</v>
      </c>
      <c r="AK79" s="270">
        <v>516143</v>
      </c>
      <c r="AL79" s="270">
        <v>502188</v>
      </c>
      <c r="AM79" s="270">
        <v>489580</v>
      </c>
      <c r="AN79" s="270">
        <v>576250</v>
      </c>
      <c r="AO79" s="270">
        <v>572658</v>
      </c>
      <c r="AP79" s="270">
        <v>569995</v>
      </c>
      <c r="AQ79" s="270">
        <v>586569</v>
      </c>
      <c r="AR79" s="270">
        <v>582415</v>
      </c>
      <c r="AS79" s="270">
        <v>598637</v>
      </c>
      <c r="AT79" s="270">
        <v>621781</v>
      </c>
      <c r="AU79" s="270">
        <v>664727</v>
      </c>
      <c r="AV79" s="270">
        <v>677594</v>
      </c>
      <c r="AW79" s="270">
        <v>681799</v>
      </c>
      <c r="AX79" s="270">
        <v>694881</v>
      </c>
      <c r="AY79" s="270">
        <v>625746</v>
      </c>
      <c r="AZ79" s="270">
        <v>725863</v>
      </c>
      <c r="BA79" s="270">
        <v>726949</v>
      </c>
      <c r="BB79" s="270">
        <v>713865</v>
      </c>
      <c r="BC79" s="270">
        <v>706778</v>
      </c>
      <c r="BD79" s="270">
        <v>686661</v>
      </c>
      <c r="BE79" s="270">
        <v>678067</v>
      </c>
      <c r="BF79" s="270">
        <v>671875</v>
      </c>
      <c r="BG79" s="270">
        <v>673516</v>
      </c>
      <c r="BH79" s="270">
        <v>667711</v>
      </c>
      <c r="BI79" s="270">
        <v>634942</v>
      </c>
      <c r="BJ79" s="270">
        <v>572632</v>
      </c>
      <c r="BK79" s="270">
        <v>602658</v>
      </c>
      <c r="BL79" s="270">
        <v>638741</v>
      </c>
      <c r="BM79" s="270">
        <v>649343</v>
      </c>
      <c r="BN79" s="270">
        <v>613636</v>
      </c>
      <c r="BO79" s="270">
        <v>622591</v>
      </c>
      <c r="BP79" s="270">
        <v>635205</v>
      </c>
      <c r="BQ79" s="270">
        <v>608833</v>
      </c>
      <c r="BR79" s="270">
        <v>555986</v>
      </c>
      <c r="BS79" s="270">
        <v>579951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0.33</v>
      </c>
      <c r="C82" s="72">
        <v>0.48</v>
      </c>
      <c r="D82" s="72">
        <v>1.01</v>
      </c>
      <c r="E82" s="72">
        <v>1.2</v>
      </c>
      <c r="F82" s="72">
        <v>0.63</v>
      </c>
      <c r="G82" s="72">
        <v>1.57</v>
      </c>
      <c r="H82" s="72">
        <v>2.1</v>
      </c>
      <c r="I82" s="72">
        <v>1.82</v>
      </c>
      <c r="J82" s="72">
        <v>2.06</v>
      </c>
      <c r="K82" s="72">
        <v>2.57</v>
      </c>
      <c r="L82" s="72">
        <v>2.76</v>
      </c>
      <c r="M82" s="72">
        <v>2.39</v>
      </c>
      <c r="N82" s="72">
        <v>2.46</v>
      </c>
      <c r="O82" s="72">
        <v>2.93</v>
      </c>
      <c r="P82" s="72">
        <v>3.57</v>
      </c>
      <c r="Q82" s="72">
        <v>3.91</v>
      </c>
      <c r="R82" s="72">
        <v>3.31</v>
      </c>
      <c r="S82" s="72">
        <v>3.08</v>
      </c>
      <c r="T82" s="72">
        <v>2.2400000000000002</v>
      </c>
      <c r="U82" s="72">
        <v>2.7</v>
      </c>
      <c r="V82" s="72">
        <v>1.1000000000000001</v>
      </c>
      <c r="W82" s="72">
        <v>1.6</v>
      </c>
      <c r="X82" s="72">
        <v>1.56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21.96</v>
      </c>
      <c r="C85" s="72">
        <v>19.41</v>
      </c>
      <c r="D85" s="72">
        <v>20.309999999999999</v>
      </c>
      <c r="E85" s="72">
        <v>21.46</v>
      </c>
      <c r="F85" s="72">
        <v>22.21</v>
      </c>
      <c r="G85" s="72">
        <v>21.94</v>
      </c>
      <c r="H85" s="72">
        <v>24.17</v>
      </c>
      <c r="I85" s="72">
        <v>26.21</v>
      </c>
      <c r="J85" s="72">
        <v>28.33</v>
      </c>
      <c r="K85" s="72">
        <v>26.25</v>
      </c>
      <c r="L85" s="72">
        <v>28.91</v>
      </c>
      <c r="M85" s="72">
        <v>31.59</v>
      </c>
      <c r="N85" s="72">
        <v>33.950000000000003</v>
      </c>
      <c r="O85" s="72">
        <v>32.79</v>
      </c>
      <c r="P85" s="72">
        <v>31.1</v>
      </c>
      <c r="Q85" s="72">
        <v>34.65</v>
      </c>
      <c r="R85" s="72">
        <v>37.85</v>
      </c>
      <c r="S85" s="72">
        <v>36.1</v>
      </c>
      <c r="T85" s="72">
        <v>32.11</v>
      </c>
      <c r="U85" s="72">
        <v>34.65</v>
      </c>
      <c r="V85" s="72">
        <v>35.29</v>
      </c>
      <c r="W85" s="72">
        <v>30.88</v>
      </c>
      <c r="X85" s="72">
        <v>27.36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513746</v>
      </c>
      <c r="C88" s="273">
        <v>675736</v>
      </c>
      <c r="D88" s="273">
        <v>1322337</v>
      </c>
      <c r="E88" s="273">
        <v>1199024</v>
      </c>
      <c r="F88" s="273">
        <v>1077742</v>
      </c>
      <c r="G88" s="273">
        <v>1351950</v>
      </c>
      <c r="H88" s="273">
        <v>1587736</v>
      </c>
      <c r="I88" s="273">
        <v>1542437</v>
      </c>
      <c r="J88" s="273">
        <v>1571444</v>
      </c>
      <c r="K88" s="273">
        <v>1847114</v>
      </c>
      <c r="L88" s="273">
        <v>1800098</v>
      </c>
      <c r="M88" s="273">
        <v>1586484</v>
      </c>
      <c r="N88" s="273">
        <v>1568018</v>
      </c>
      <c r="O88" s="273">
        <v>1729222</v>
      </c>
      <c r="P88" s="273">
        <v>1802834</v>
      </c>
      <c r="Q88" s="273">
        <v>2024119</v>
      </c>
      <c r="R88" s="273">
        <v>2046490</v>
      </c>
      <c r="S88" s="273">
        <v>2147592</v>
      </c>
      <c r="T88" s="273">
        <v>2036603</v>
      </c>
      <c r="U88" s="273">
        <v>1976170</v>
      </c>
      <c r="V88" s="273">
        <v>1814031</v>
      </c>
      <c r="W88" s="273">
        <v>1885570</v>
      </c>
      <c r="X88" s="273">
        <v>1800024</v>
      </c>
    </row>
    <row r="89" spans="1:25" ht="14.25" thickBot="1" x14ac:dyDescent="0.3">
      <c r="A89" s="250" t="s">
        <v>4</v>
      </c>
      <c r="B89" s="275">
        <v>72025</v>
      </c>
      <c r="C89" s="275">
        <v>113026</v>
      </c>
      <c r="D89" s="275">
        <v>282216</v>
      </c>
      <c r="E89" s="275">
        <v>248867</v>
      </c>
      <c r="F89" s="275">
        <v>186192</v>
      </c>
      <c r="G89" s="275">
        <v>253157</v>
      </c>
      <c r="H89" s="275">
        <v>330120</v>
      </c>
      <c r="I89" s="275">
        <v>300567</v>
      </c>
      <c r="J89" s="275">
        <v>336329</v>
      </c>
      <c r="K89" s="275">
        <v>426530</v>
      </c>
      <c r="L89" s="275">
        <v>446595</v>
      </c>
      <c r="M89" s="275">
        <v>371650</v>
      </c>
      <c r="N89" s="275">
        <v>429164</v>
      </c>
      <c r="O89" s="275">
        <v>514990</v>
      </c>
      <c r="P89" s="275">
        <v>578107</v>
      </c>
      <c r="Q89" s="275">
        <v>696843</v>
      </c>
      <c r="R89" s="275">
        <v>681938</v>
      </c>
      <c r="S89" s="275">
        <v>631894</v>
      </c>
      <c r="T89" s="275">
        <v>578041</v>
      </c>
      <c r="U89" s="275">
        <v>559318</v>
      </c>
      <c r="V89" s="275">
        <v>483718</v>
      </c>
      <c r="W89" s="275">
        <v>502805</v>
      </c>
      <c r="X89" s="275">
        <v>504449</v>
      </c>
    </row>
    <row r="90" spans="1:25" ht="14.25" thickBot="1" x14ac:dyDescent="0.3">
      <c r="A90" s="251" t="s">
        <v>5</v>
      </c>
      <c r="B90" s="273">
        <v>35186</v>
      </c>
      <c r="C90" s="273">
        <v>53599</v>
      </c>
      <c r="D90" s="273">
        <v>148087</v>
      </c>
      <c r="E90" s="273">
        <v>159378</v>
      </c>
      <c r="F90" s="273">
        <v>89766</v>
      </c>
      <c r="G90" s="273">
        <v>155794</v>
      </c>
      <c r="H90" s="273">
        <v>252596</v>
      </c>
      <c r="I90" s="273">
        <v>185006</v>
      </c>
      <c r="J90" s="273">
        <v>234863</v>
      </c>
      <c r="K90" s="273">
        <v>314673</v>
      </c>
      <c r="L90" s="273">
        <v>288926</v>
      </c>
      <c r="M90" s="273">
        <v>257684</v>
      </c>
      <c r="N90" s="273">
        <v>312869</v>
      </c>
      <c r="O90" s="273">
        <v>400872</v>
      </c>
      <c r="P90" s="273">
        <v>428622</v>
      </c>
      <c r="Q90" s="273">
        <v>516311</v>
      </c>
      <c r="R90" s="273">
        <v>534565</v>
      </c>
      <c r="S90" s="273">
        <v>504042</v>
      </c>
      <c r="T90" s="273">
        <v>385981</v>
      </c>
      <c r="U90" s="273">
        <v>408523</v>
      </c>
      <c r="V90" s="273">
        <v>367199</v>
      </c>
      <c r="W90" s="273">
        <v>374217</v>
      </c>
      <c r="X90" s="273">
        <v>377903</v>
      </c>
    </row>
    <row r="91" spans="1:25" ht="14.25" thickBot="1" x14ac:dyDescent="0.3">
      <c r="A91" s="250" t="s">
        <v>6</v>
      </c>
      <c r="B91" s="275">
        <v>33494</v>
      </c>
      <c r="C91" s="275">
        <v>54151</v>
      </c>
      <c r="D91" s="275">
        <v>129136</v>
      </c>
      <c r="E91" s="275">
        <v>156414</v>
      </c>
      <c r="F91" s="275">
        <v>88877</v>
      </c>
      <c r="G91" s="275">
        <v>160486</v>
      </c>
      <c r="H91" s="275">
        <v>226958</v>
      </c>
      <c r="I91" s="275">
        <v>202271</v>
      </c>
      <c r="J91" s="275">
        <v>258191</v>
      </c>
      <c r="K91" s="275">
        <v>314828</v>
      </c>
      <c r="L91" s="275">
        <v>341991</v>
      </c>
      <c r="M91" s="275">
        <v>277241</v>
      </c>
      <c r="N91" s="275">
        <v>319090</v>
      </c>
      <c r="O91" s="275">
        <v>403417</v>
      </c>
      <c r="P91" s="275">
        <v>507185</v>
      </c>
      <c r="Q91" s="275">
        <v>563789</v>
      </c>
      <c r="R91" s="275">
        <v>494830</v>
      </c>
      <c r="S91" s="275">
        <v>519780</v>
      </c>
      <c r="T91" s="275">
        <v>395111</v>
      </c>
      <c r="U91" s="275">
        <v>519201</v>
      </c>
      <c r="V91" s="275">
        <v>247093</v>
      </c>
      <c r="W91" s="275">
        <v>382102</v>
      </c>
      <c r="X91" s="275">
        <v>377458</v>
      </c>
    </row>
    <row r="92" spans="1:25" ht="14.25" thickBot="1" x14ac:dyDescent="0.3">
      <c r="A92" s="251" t="s">
        <v>7</v>
      </c>
      <c r="B92" s="273">
        <v>24106</v>
      </c>
      <c r="C92" s="273">
        <v>41963</v>
      </c>
      <c r="D92" s="273">
        <v>99139</v>
      </c>
      <c r="E92" s="273">
        <v>123659</v>
      </c>
      <c r="F92" s="273">
        <v>61359</v>
      </c>
      <c r="G92" s="273">
        <v>136205</v>
      </c>
      <c r="H92" s="273">
        <v>194631</v>
      </c>
      <c r="I92" s="273">
        <v>165665</v>
      </c>
      <c r="J92" s="273">
        <v>202409</v>
      </c>
      <c r="K92" s="273">
        <v>267967</v>
      </c>
      <c r="L92" s="273">
        <v>282139</v>
      </c>
      <c r="M92" s="273">
        <v>214279</v>
      </c>
      <c r="N92" s="273">
        <v>235557</v>
      </c>
      <c r="O92" s="273">
        <v>321689</v>
      </c>
      <c r="P92" s="273">
        <v>396506</v>
      </c>
      <c r="Q92" s="273">
        <v>443982</v>
      </c>
      <c r="R92" s="273">
        <v>367221</v>
      </c>
      <c r="S92" s="273">
        <v>415312</v>
      </c>
      <c r="T92" s="273">
        <v>310575</v>
      </c>
      <c r="U92" s="273">
        <v>402053</v>
      </c>
      <c r="V92" s="273">
        <v>184232</v>
      </c>
      <c r="W92" s="273">
        <v>294327</v>
      </c>
      <c r="X92" s="273">
        <v>296626</v>
      </c>
    </row>
    <row r="93" spans="1:25" ht="26.25" thickBot="1" x14ac:dyDescent="0.3">
      <c r="A93" s="252" t="s">
        <v>8</v>
      </c>
      <c r="B93" s="276">
        <v>25456</v>
      </c>
      <c r="C93" s="276">
        <v>36676</v>
      </c>
      <c r="D93" s="276">
        <v>77351</v>
      </c>
      <c r="E93" s="276">
        <v>91679</v>
      </c>
      <c r="F93" s="276">
        <v>47998</v>
      </c>
      <c r="G93" s="276">
        <v>120456</v>
      </c>
      <c r="H93" s="276">
        <v>160920</v>
      </c>
      <c r="I93" s="276">
        <v>139138</v>
      </c>
      <c r="J93" s="276">
        <v>157613</v>
      </c>
      <c r="K93" s="276">
        <v>196850</v>
      </c>
      <c r="L93" s="276">
        <v>211652</v>
      </c>
      <c r="M93" s="276">
        <v>183033</v>
      </c>
      <c r="N93" s="276">
        <v>188770</v>
      </c>
      <c r="O93" s="276">
        <v>269803</v>
      </c>
      <c r="P93" s="276">
        <v>328121</v>
      </c>
      <c r="Q93" s="276">
        <v>359710</v>
      </c>
      <c r="R93" s="276">
        <v>303994</v>
      </c>
      <c r="S93" s="276">
        <v>339998</v>
      </c>
      <c r="T93" s="276">
        <v>246968</v>
      </c>
      <c r="U93" s="276">
        <v>297620</v>
      </c>
      <c r="V93" s="276">
        <v>121388</v>
      </c>
      <c r="W93" s="276">
        <v>212546</v>
      </c>
      <c r="X93" s="276">
        <v>206402</v>
      </c>
    </row>
    <row r="94" spans="1:25" x14ac:dyDescent="0.25">
      <c r="A94" s="233" t="s">
        <v>365</v>
      </c>
      <c r="B94" s="253">
        <f>IF(B91="","",B91-B90)</f>
        <v>-1692</v>
      </c>
      <c r="C94" s="253">
        <f>IF(C91="","",C91-C90)</f>
        <v>552</v>
      </c>
      <c r="D94" s="253">
        <f t="shared" ref="D94:Y94" si="9">IF(D91="","",D91-D90)</f>
        <v>-18951</v>
      </c>
      <c r="E94" s="253">
        <f t="shared" si="9"/>
        <v>-2964</v>
      </c>
      <c r="F94" s="253">
        <f t="shared" si="9"/>
        <v>-889</v>
      </c>
      <c r="G94" s="253">
        <f t="shared" si="9"/>
        <v>4692</v>
      </c>
      <c r="H94" s="253">
        <f t="shared" si="9"/>
        <v>-25638</v>
      </c>
      <c r="I94" s="253">
        <f t="shared" si="9"/>
        <v>17265</v>
      </c>
      <c r="J94" s="253">
        <f t="shared" si="9"/>
        <v>23328</v>
      </c>
      <c r="K94" s="253">
        <f t="shared" si="9"/>
        <v>155</v>
      </c>
      <c r="L94" s="253">
        <f t="shared" si="9"/>
        <v>53065</v>
      </c>
      <c r="M94" s="253">
        <f t="shared" si="9"/>
        <v>19557</v>
      </c>
      <c r="N94" s="253">
        <f t="shared" si="9"/>
        <v>6221</v>
      </c>
      <c r="O94" s="253">
        <f t="shared" si="9"/>
        <v>2545</v>
      </c>
      <c r="P94" s="253">
        <f t="shared" si="9"/>
        <v>78563</v>
      </c>
      <c r="Q94" s="253">
        <f t="shared" si="9"/>
        <v>47478</v>
      </c>
      <c r="R94" s="253">
        <f t="shared" si="9"/>
        <v>-39735</v>
      </c>
      <c r="S94" s="253">
        <f t="shared" si="9"/>
        <v>15738</v>
      </c>
      <c r="T94" s="253">
        <f t="shared" si="9"/>
        <v>9130</v>
      </c>
      <c r="U94" s="253">
        <f t="shared" si="9"/>
        <v>110678</v>
      </c>
      <c r="V94" s="253">
        <f t="shared" si="9"/>
        <v>-120106</v>
      </c>
      <c r="W94" s="253">
        <f t="shared" si="9"/>
        <v>7885</v>
      </c>
      <c r="X94" s="253">
        <f t="shared" si="9"/>
        <v>-445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3710843</v>
      </c>
      <c r="C97" s="273">
        <v>5559865</v>
      </c>
      <c r="D97" s="273">
        <v>6805140</v>
      </c>
      <c r="E97" s="273">
        <v>7124193</v>
      </c>
      <c r="F97" s="273">
        <v>8206855</v>
      </c>
    </row>
    <row r="98" spans="1:24" ht="14.25" thickBot="1" x14ac:dyDescent="0.3">
      <c r="A98" s="225" t="s">
        <v>4</v>
      </c>
      <c r="B98" s="275">
        <v>716134</v>
      </c>
      <c r="C98" s="275">
        <v>1070036</v>
      </c>
      <c r="D98" s="275">
        <v>1581104</v>
      </c>
      <c r="E98" s="275">
        <v>2219104</v>
      </c>
      <c r="F98" s="275">
        <v>2451191</v>
      </c>
    </row>
    <row r="99" spans="1:24" ht="14.25" thickBot="1" x14ac:dyDescent="0.3">
      <c r="A99" s="224" t="s">
        <v>5</v>
      </c>
      <c r="B99" s="273">
        <v>396250</v>
      </c>
      <c r="C99" s="273">
        <v>683162</v>
      </c>
      <c r="D99" s="273">
        <v>1096146</v>
      </c>
      <c r="E99" s="273">
        <v>1658674</v>
      </c>
      <c r="F99" s="273">
        <v>1833111</v>
      </c>
    </row>
    <row r="100" spans="1:24" ht="14.25" thickBot="1" x14ac:dyDescent="0.3">
      <c r="A100" s="225" t="s">
        <v>6</v>
      </c>
      <c r="B100" s="275">
        <v>373195</v>
      </c>
      <c r="C100" s="275">
        <v>678592</v>
      </c>
      <c r="D100" s="275">
        <v>1192251</v>
      </c>
      <c r="E100" s="275">
        <v>1793481</v>
      </c>
      <c r="F100" s="275">
        <v>1928922</v>
      </c>
    </row>
    <row r="101" spans="1:24" ht="14.25" thickBot="1" x14ac:dyDescent="0.3">
      <c r="A101" s="224" t="s">
        <v>7</v>
      </c>
      <c r="B101" s="273">
        <v>288867</v>
      </c>
      <c r="C101" s="273">
        <v>557860</v>
      </c>
      <c r="D101" s="273">
        <v>966794</v>
      </c>
      <c r="E101" s="273">
        <v>1397734</v>
      </c>
      <c r="F101" s="273">
        <v>1495161</v>
      </c>
    </row>
    <row r="102" spans="1:24" ht="14.25" thickBot="1" x14ac:dyDescent="0.3">
      <c r="A102" s="227" t="s">
        <v>8</v>
      </c>
      <c r="B102" s="276">
        <v>231162</v>
      </c>
      <c r="C102" s="276">
        <v>468512</v>
      </c>
      <c r="D102" s="276">
        <v>749148</v>
      </c>
      <c r="E102" s="276">
        <v>1146404</v>
      </c>
      <c r="F102" s="276">
        <v>1188580</v>
      </c>
    </row>
    <row r="103" spans="1:24" x14ac:dyDescent="0.25">
      <c r="A103" s="233" t="s">
        <v>262</v>
      </c>
      <c r="B103" s="234">
        <f>IF(OR(B102="",B102="無"),"",B102/B101)</f>
        <v>0.80023678717195112</v>
      </c>
      <c r="C103" s="234">
        <f>IF(OR(C102="",C102="無"),"",C102/C101)</f>
        <v>0.83983795217438062</v>
      </c>
      <c r="D103" s="234">
        <f>IF(OR(D102="",D102="無"),"",D102/D101)</f>
        <v>0.77487861943702585</v>
      </c>
      <c r="E103" s="234">
        <f>IF(OR(E102="",E102="無"),"",E102/E101)</f>
        <v>0.82018753210553652</v>
      </c>
      <c r="F103" s="234">
        <f>IF(OR(F102="",F102="無"),"",F102/F101)</f>
        <v>0.79495117917067126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293604</v>
      </c>
      <c r="C106" s="273">
        <v>726437</v>
      </c>
      <c r="D106" s="273">
        <v>566646</v>
      </c>
      <c r="E106" s="273">
        <v>849813</v>
      </c>
      <c r="F106" s="273">
        <v>594004</v>
      </c>
      <c r="G106" s="273">
        <v>857549</v>
      </c>
      <c r="H106" s="273">
        <v>999754</v>
      </c>
      <c r="I106" s="273">
        <v>1087880</v>
      </c>
      <c r="J106" s="273">
        <v>993790</v>
      </c>
      <c r="K106" s="273">
        <v>1407767</v>
      </c>
      <c r="L106" s="273">
        <v>1293553</v>
      </c>
      <c r="M106" s="273">
        <v>1180601</v>
      </c>
      <c r="N106" s="273">
        <v>1391379</v>
      </c>
      <c r="O106" s="273">
        <v>1737612</v>
      </c>
      <c r="P106" s="273">
        <v>1584709</v>
      </c>
      <c r="Q106" s="273">
        <v>1785240</v>
      </c>
      <c r="R106" s="273">
        <v>2080618</v>
      </c>
      <c r="S106" s="273">
        <v>3111543</v>
      </c>
      <c r="T106" s="273">
        <v>2183640</v>
      </c>
      <c r="U106" s="273">
        <v>2886222</v>
      </c>
      <c r="V106" s="273">
        <v>2920003</v>
      </c>
      <c r="W106" s="273">
        <v>3056535</v>
      </c>
      <c r="X106" s="273">
        <v>2137393</v>
      </c>
    </row>
    <row r="107" spans="1:24" ht="14.25" thickBot="1" x14ac:dyDescent="0.3">
      <c r="A107" s="225" t="s">
        <v>22</v>
      </c>
      <c r="B107" s="275">
        <v>65271</v>
      </c>
      <c r="C107" s="275">
        <v>114709</v>
      </c>
      <c r="D107" s="275">
        <v>17589</v>
      </c>
      <c r="E107" s="275">
        <v>16740</v>
      </c>
      <c r="F107" s="275">
        <v>22877</v>
      </c>
      <c r="G107" s="275">
        <v>67152</v>
      </c>
      <c r="H107" s="275">
        <v>12428</v>
      </c>
      <c r="I107" s="275">
        <v>250058</v>
      </c>
      <c r="J107" s="275">
        <v>100149</v>
      </c>
      <c r="K107" s="275">
        <v>30085</v>
      </c>
      <c r="L107" s="274">
        <v>0</v>
      </c>
      <c r="M107" s="274">
        <v>0</v>
      </c>
      <c r="N107" s="274">
        <v>0</v>
      </c>
      <c r="O107" s="274">
        <v>0</v>
      </c>
      <c r="P107" s="275">
        <v>98610</v>
      </c>
      <c r="Q107" s="275">
        <v>196950</v>
      </c>
      <c r="R107" s="275">
        <v>289665</v>
      </c>
      <c r="S107" s="275">
        <v>290474</v>
      </c>
      <c r="T107" s="275">
        <v>282240</v>
      </c>
      <c r="U107" s="275">
        <v>193501</v>
      </c>
      <c r="V107" s="275">
        <v>93345</v>
      </c>
      <c r="W107" s="275">
        <v>93616</v>
      </c>
      <c r="X107" s="275">
        <v>93150</v>
      </c>
    </row>
    <row r="108" spans="1:24" ht="14.25" thickBot="1" x14ac:dyDescent="0.3">
      <c r="A108" s="224" t="s">
        <v>263</v>
      </c>
      <c r="B108" s="273">
        <v>426395</v>
      </c>
      <c r="C108" s="273">
        <v>881089</v>
      </c>
      <c r="D108" s="273">
        <v>971617</v>
      </c>
      <c r="E108" s="273">
        <v>827516</v>
      </c>
      <c r="F108" s="273">
        <v>901998</v>
      </c>
      <c r="G108" s="273">
        <v>852230</v>
      </c>
      <c r="H108" s="273">
        <v>1033152</v>
      </c>
      <c r="I108" s="273">
        <v>977756</v>
      </c>
      <c r="J108" s="273">
        <v>1098006</v>
      </c>
      <c r="K108" s="273">
        <v>1219166</v>
      </c>
      <c r="L108" s="273">
        <v>1154172</v>
      </c>
      <c r="M108" s="273">
        <v>1051082</v>
      </c>
      <c r="N108" s="273">
        <v>1116101</v>
      </c>
      <c r="O108" s="273">
        <v>1230683</v>
      </c>
      <c r="P108" s="273">
        <v>1248061</v>
      </c>
      <c r="Q108" s="273">
        <v>1471875</v>
      </c>
      <c r="R108" s="273">
        <v>1388148</v>
      </c>
      <c r="S108" s="273">
        <v>1385121</v>
      </c>
      <c r="T108" s="273">
        <v>1463811</v>
      </c>
      <c r="U108" s="273">
        <v>1501987</v>
      </c>
      <c r="V108" s="273">
        <v>1375690</v>
      </c>
      <c r="W108" s="273">
        <v>1451327</v>
      </c>
      <c r="X108" s="273">
        <v>1420609</v>
      </c>
    </row>
    <row r="109" spans="1:24" ht="14.25" thickBot="1" x14ac:dyDescent="0.3">
      <c r="A109" s="225" t="s">
        <v>264</v>
      </c>
      <c r="B109" s="275">
        <v>95577</v>
      </c>
      <c r="C109" s="275">
        <v>240389</v>
      </c>
      <c r="D109" s="275">
        <v>287942</v>
      </c>
      <c r="E109" s="275">
        <v>320731</v>
      </c>
      <c r="F109" s="275">
        <v>366360</v>
      </c>
      <c r="G109" s="275">
        <v>325413</v>
      </c>
      <c r="H109" s="275">
        <v>325373</v>
      </c>
      <c r="I109" s="275">
        <v>351873</v>
      </c>
      <c r="J109" s="275">
        <v>388128</v>
      </c>
      <c r="K109" s="275">
        <v>430838</v>
      </c>
      <c r="L109" s="275">
        <v>408275</v>
      </c>
      <c r="M109" s="275">
        <v>444584</v>
      </c>
      <c r="N109" s="275">
        <v>392801</v>
      </c>
      <c r="O109" s="275">
        <v>443880</v>
      </c>
      <c r="P109" s="275">
        <v>411386</v>
      </c>
      <c r="Q109" s="275">
        <v>531546</v>
      </c>
      <c r="R109" s="275">
        <v>537930</v>
      </c>
      <c r="S109" s="275">
        <v>416649</v>
      </c>
      <c r="T109" s="275">
        <v>381054</v>
      </c>
      <c r="U109" s="275">
        <v>464519</v>
      </c>
      <c r="V109" s="275">
        <v>434122</v>
      </c>
      <c r="W109" s="275">
        <v>378733</v>
      </c>
      <c r="X109" s="275">
        <v>423143</v>
      </c>
    </row>
    <row r="110" spans="1:24" ht="14.25" thickBot="1" x14ac:dyDescent="0.3">
      <c r="A110" s="224" t="s">
        <v>23</v>
      </c>
      <c r="B110" s="273">
        <v>37165</v>
      </c>
      <c r="C110" s="273">
        <v>165346</v>
      </c>
      <c r="D110" s="273">
        <v>85221</v>
      </c>
      <c r="E110" s="273">
        <v>80753</v>
      </c>
      <c r="F110" s="273">
        <v>141954</v>
      </c>
      <c r="G110" s="273">
        <v>95219</v>
      </c>
      <c r="H110" s="273">
        <v>160643</v>
      </c>
      <c r="I110" s="273">
        <v>152225</v>
      </c>
      <c r="J110" s="273">
        <v>165838</v>
      </c>
      <c r="K110" s="273">
        <v>115722</v>
      </c>
      <c r="L110" s="273">
        <v>145859</v>
      </c>
      <c r="M110" s="273">
        <v>122797</v>
      </c>
      <c r="N110" s="273">
        <v>97108</v>
      </c>
      <c r="O110" s="273">
        <v>113194</v>
      </c>
      <c r="P110" s="273">
        <v>284718</v>
      </c>
      <c r="Q110" s="273">
        <v>296504</v>
      </c>
      <c r="R110" s="273">
        <v>407434</v>
      </c>
      <c r="S110" s="273">
        <v>381968</v>
      </c>
      <c r="T110" s="273">
        <v>524372</v>
      </c>
      <c r="U110" s="273">
        <v>409641</v>
      </c>
      <c r="V110" s="273">
        <v>297611</v>
      </c>
      <c r="W110" s="273">
        <v>326157</v>
      </c>
      <c r="X110" s="273">
        <v>351622</v>
      </c>
    </row>
    <row r="111" spans="1:24" ht="14.25" thickBot="1" x14ac:dyDescent="0.3">
      <c r="A111" s="225" t="s">
        <v>24</v>
      </c>
      <c r="B111" s="275">
        <v>918012</v>
      </c>
      <c r="C111" s="275">
        <v>2127970</v>
      </c>
      <c r="D111" s="275">
        <v>1929015</v>
      </c>
      <c r="E111" s="275">
        <v>2095553</v>
      </c>
      <c r="F111" s="275">
        <v>2027193</v>
      </c>
      <c r="G111" s="275">
        <v>2197563</v>
      </c>
      <c r="H111" s="275">
        <v>2531350</v>
      </c>
      <c r="I111" s="275">
        <v>2819792</v>
      </c>
      <c r="J111" s="275">
        <v>2745911</v>
      </c>
      <c r="K111" s="275">
        <v>3203578</v>
      </c>
      <c r="L111" s="275">
        <v>3001859</v>
      </c>
      <c r="M111" s="275">
        <v>2799064</v>
      </c>
      <c r="N111" s="275">
        <v>2997389</v>
      </c>
      <c r="O111" s="275">
        <v>3525369</v>
      </c>
      <c r="P111" s="275">
        <v>3627484</v>
      </c>
      <c r="Q111" s="275">
        <v>4282115</v>
      </c>
      <c r="R111" s="275">
        <v>4703795</v>
      </c>
      <c r="S111" s="275">
        <v>5585755</v>
      </c>
      <c r="T111" s="275">
        <v>4835117</v>
      </c>
      <c r="U111" s="275">
        <v>5455870</v>
      </c>
      <c r="V111" s="275">
        <v>5120771</v>
      </c>
      <c r="W111" s="275">
        <v>5306368</v>
      </c>
      <c r="X111" s="275">
        <v>4425917</v>
      </c>
    </row>
    <row r="112" spans="1:24" ht="14.25" thickBot="1" x14ac:dyDescent="0.3">
      <c r="A112" s="224" t="s">
        <v>25</v>
      </c>
      <c r="B112" s="68">
        <v>0</v>
      </c>
      <c r="C112" s="273">
        <v>16824</v>
      </c>
      <c r="D112" s="273">
        <v>15655</v>
      </c>
      <c r="E112" s="273">
        <v>12906</v>
      </c>
      <c r="F112" s="273">
        <v>15463</v>
      </c>
      <c r="G112" s="273">
        <v>23407</v>
      </c>
      <c r="H112" s="273">
        <v>27832</v>
      </c>
      <c r="I112" s="273">
        <v>31107</v>
      </c>
      <c r="J112" s="273">
        <v>33807</v>
      </c>
      <c r="K112" s="273">
        <v>37071</v>
      </c>
      <c r="L112" s="273">
        <v>43468</v>
      </c>
      <c r="M112" s="273">
        <v>47778</v>
      </c>
      <c r="N112" s="273">
        <v>48616</v>
      </c>
      <c r="O112" s="273">
        <v>46010</v>
      </c>
      <c r="P112" s="273">
        <v>49283</v>
      </c>
      <c r="Q112" s="273">
        <v>46698</v>
      </c>
      <c r="R112" s="273">
        <v>47469</v>
      </c>
      <c r="S112" s="273">
        <v>44995</v>
      </c>
      <c r="T112" s="273">
        <v>48499</v>
      </c>
      <c r="U112" s="273">
        <v>52424</v>
      </c>
      <c r="V112" s="273">
        <v>52881</v>
      </c>
      <c r="W112" s="273">
        <v>55186</v>
      </c>
      <c r="X112" s="273">
        <v>58869</v>
      </c>
    </row>
    <row r="113" spans="1:24" ht="14.25" thickBot="1" x14ac:dyDescent="0.3">
      <c r="A113" s="225" t="s">
        <v>26</v>
      </c>
      <c r="B113" s="275">
        <v>1264144</v>
      </c>
      <c r="C113" s="275">
        <v>2210901</v>
      </c>
      <c r="D113" s="275">
        <v>2191573</v>
      </c>
      <c r="E113" s="275">
        <v>2110601</v>
      </c>
      <c r="F113" s="275">
        <v>2065118</v>
      </c>
      <c r="G113" s="275">
        <v>2133735</v>
      </c>
      <c r="H113" s="275">
        <v>2027523</v>
      </c>
      <c r="I113" s="275">
        <v>1940805</v>
      </c>
      <c r="J113" s="275">
        <v>1826864</v>
      </c>
      <c r="K113" s="275">
        <v>1757491</v>
      </c>
      <c r="L113" s="275">
        <v>1798165</v>
      </c>
      <c r="M113" s="275">
        <v>2004416</v>
      </c>
      <c r="N113" s="275">
        <v>2028663</v>
      </c>
      <c r="O113" s="275">
        <v>1968505</v>
      </c>
      <c r="P113" s="275">
        <v>1901947</v>
      </c>
      <c r="Q113" s="275">
        <v>2249665</v>
      </c>
      <c r="R113" s="275">
        <v>2219718</v>
      </c>
      <c r="S113" s="275">
        <v>2093964</v>
      </c>
      <c r="T113" s="275">
        <v>2107213</v>
      </c>
      <c r="U113" s="275">
        <v>2116500</v>
      </c>
      <c r="V113" s="275">
        <v>2044243</v>
      </c>
      <c r="W113" s="275">
        <v>2141481</v>
      </c>
      <c r="X113" s="275">
        <v>2181765</v>
      </c>
    </row>
    <row r="114" spans="1:24" ht="14.25" thickBot="1" x14ac:dyDescent="0.3">
      <c r="A114" s="224" t="s">
        <v>27</v>
      </c>
      <c r="B114" s="273">
        <v>47791</v>
      </c>
      <c r="C114" s="273">
        <v>171729</v>
      </c>
      <c r="D114" s="273">
        <v>152179</v>
      </c>
      <c r="E114" s="273">
        <v>151182</v>
      </c>
      <c r="F114" s="273">
        <v>246595</v>
      </c>
      <c r="G114" s="273">
        <v>206905</v>
      </c>
      <c r="H114" s="273">
        <v>201956</v>
      </c>
      <c r="I114" s="273">
        <v>177656</v>
      </c>
      <c r="J114" s="273">
        <v>223984</v>
      </c>
      <c r="K114" s="273">
        <v>344491</v>
      </c>
      <c r="L114" s="273">
        <v>424282</v>
      </c>
      <c r="M114" s="273">
        <v>327286</v>
      </c>
      <c r="N114" s="273">
        <v>263368</v>
      </c>
      <c r="O114" s="273">
        <v>295854</v>
      </c>
      <c r="P114" s="273">
        <v>415345</v>
      </c>
      <c r="Q114" s="273">
        <v>205870</v>
      </c>
      <c r="R114" s="273">
        <v>207020</v>
      </c>
      <c r="S114" s="273">
        <v>253955</v>
      </c>
      <c r="T114" s="273">
        <v>362721</v>
      </c>
      <c r="U114" s="273">
        <v>418971</v>
      </c>
      <c r="V114" s="273">
        <v>603902</v>
      </c>
      <c r="W114" s="273">
        <v>538905</v>
      </c>
      <c r="X114" s="273">
        <v>557520</v>
      </c>
    </row>
    <row r="115" spans="1:24" ht="14.25" thickBot="1" x14ac:dyDescent="0.3">
      <c r="A115" s="225" t="s">
        <v>265</v>
      </c>
      <c r="B115" s="276">
        <v>2229947</v>
      </c>
      <c r="C115" s="276">
        <v>4527424</v>
      </c>
      <c r="D115" s="276">
        <v>4288422</v>
      </c>
      <c r="E115" s="276">
        <v>4370242</v>
      </c>
      <c r="F115" s="276">
        <v>4354369</v>
      </c>
      <c r="G115" s="276">
        <v>4561610</v>
      </c>
      <c r="H115" s="276">
        <v>4788661</v>
      </c>
      <c r="I115" s="276">
        <v>4969360</v>
      </c>
      <c r="J115" s="276">
        <v>4830566</v>
      </c>
      <c r="K115" s="276">
        <v>5342631</v>
      </c>
      <c r="L115" s="276">
        <v>5267774</v>
      </c>
      <c r="M115" s="276">
        <v>5178544</v>
      </c>
      <c r="N115" s="276">
        <v>5338036</v>
      </c>
      <c r="O115" s="276">
        <v>5835738</v>
      </c>
      <c r="P115" s="276">
        <v>5994059</v>
      </c>
      <c r="Q115" s="276">
        <v>6784348</v>
      </c>
      <c r="R115" s="276">
        <v>7178002</v>
      </c>
      <c r="S115" s="276">
        <v>7978669</v>
      </c>
      <c r="T115" s="276">
        <v>7353550</v>
      </c>
      <c r="U115" s="276">
        <v>8043765</v>
      </c>
      <c r="V115" s="276">
        <v>7821797</v>
      </c>
      <c r="W115" s="276">
        <v>8041940</v>
      </c>
      <c r="X115" s="276">
        <v>7224071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273">
        <v>111978</v>
      </c>
      <c r="D118" s="273">
        <v>117763</v>
      </c>
      <c r="E118" s="273">
        <v>9082</v>
      </c>
      <c r="F118" s="273">
        <v>21315</v>
      </c>
      <c r="G118" s="273">
        <v>19461</v>
      </c>
      <c r="H118" s="273">
        <v>7000</v>
      </c>
      <c r="I118" s="273">
        <v>8590</v>
      </c>
      <c r="J118" s="273">
        <v>28814</v>
      </c>
      <c r="K118" s="273">
        <v>42049</v>
      </c>
      <c r="L118" s="273">
        <v>24315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269677</v>
      </c>
      <c r="C120" s="273">
        <v>665890</v>
      </c>
      <c r="D120" s="273">
        <v>691714</v>
      </c>
      <c r="E120" s="273">
        <v>632918</v>
      </c>
      <c r="F120" s="273">
        <v>527192</v>
      </c>
      <c r="G120" s="273">
        <v>633775</v>
      </c>
      <c r="H120" s="273">
        <v>725559</v>
      </c>
      <c r="I120" s="273">
        <v>810595</v>
      </c>
      <c r="J120" s="273">
        <v>808116</v>
      </c>
      <c r="K120" s="273">
        <v>969900</v>
      </c>
      <c r="L120" s="273">
        <v>815140</v>
      </c>
      <c r="M120" s="273">
        <v>825065</v>
      </c>
      <c r="N120" s="273">
        <v>777253</v>
      </c>
      <c r="O120" s="273">
        <v>951721</v>
      </c>
      <c r="P120" s="273">
        <v>806195</v>
      </c>
      <c r="Q120" s="273">
        <v>1027346</v>
      </c>
      <c r="R120" s="273">
        <v>1052076</v>
      </c>
      <c r="S120" s="273">
        <v>986451</v>
      </c>
      <c r="T120" s="273">
        <v>914367</v>
      </c>
      <c r="U120" s="273">
        <v>1069099</v>
      </c>
      <c r="V120" s="273">
        <v>771889</v>
      </c>
      <c r="W120" s="273">
        <v>845636</v>
      </c>
      <c r="X120" s="273">
        <v>844232</v>
      </c>
    </row>
    <row r="121" spans="1:24" ht="14.25" thickBot="1" x14ac:dyDescent="0.3">
      <c r="A121" s="225" t="s">
        <v>267</v>
      </c>
      <c r="B121" s="275">
        <v>2501</v>
      </c>
      <c r="C121" s="275">
        <v>10514</v>
      </c>
      <c r="D121" s="275">
        <v>8232</v>
      </c>
      <c r="E121" s="275">
        <v>9355</v>
      </c>
      <c r="F121" s="274">
        <v>0</v>
      </c>
      <c r="G121" s="274">
        <v>0</v>
      </c>
      <c r="H121" s="275">
        <v>72198</v>
      </c>
      <c r="I121" s="275">
        <v>59244</v>
      </c>
      <c r="J121" s="274">
        <v>0</v>
      </c>
      <c r="K121" s="274">
        <v>0</v>
      </c>
      <c r="L121" s="275">
        <v>72055</v>
      </c>
      <c r="M121" s="275">
        <v>71471</v>
      </c>
      <c r="N121" s="274">
        <v>0</v>
      </c>
      <c r="O121" s="274">
        <v>0</v>
      </c>
      <c r="P121" s="275">
        <v>139509</v>
      </c>
      <c r="Q121" s="275">
        <v>123105</v>
      </c>
      <c r="R121" s="274">
        <v>0</v>
      </c>
      <c r="S121" s="274">
        <v>0</v>
      </c>
      <c r="T121" s="275">
        <v>103006</v>
      </c>
      <c r="U121" s="275">
        <v>107427</v>
      </c>
      <c r="V121" s="274">
        <v>0</v>
      </c>
      <c r="W121" s="274">
        <v>0</v>
      </c>
      <c r="X121" s="275">
        <v>114322</v>
      </c>
    </row>
    <row r="122" spans="1:24" ht="14.25" thickBot="1" x14ac:dyDescent="0.3">
      <c r="A122" s="224" t="s">
        <v>30</v>
      </c>
      <c r="B122" s="273">
        <v>20480</v>
      </c>
      <c r="C122" s="273">
        <v>242367</v>
      </c>
      <c r="D122" s="273">
        <v>469336</v>
      </c>
      <c r="E122" s="273">
        <v>249136</v>
      </c>
      <c r="F122" s="273">
        <v>175189</v>
      </c>
      <c r="G122" s="273">
        <v>281245</v>
      </c>
      <c r="H122" s="273">
        <v>305433</v>
      </c>
      <c r="I122" s="273">
        <v>223666</v>
      </c>
      <c r="J122" s="273">
        <v>30470</v>
      </c>
      <c r="K122" s="273">
        <v>185163</v>
      </c>
      <c r="L122" s="273">
        <v>188604</v>
      </c>
      <c r="M122" s="273">
        <v>20548</v>
      </c>
      <c r="N122" s="273">
        <v>20379</v>
      </c>
      <c r="O122" s="273">
        <v>20168</v>
      </c>
      <c r="P122" s="273">
        <v>21133</v>
      </c>
      <c r="Q122" s="273">
        <v>21111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174538</v>
      </c>
      <c r="C123" s="275">
        <v>601918</v>
      </c>
      <c r="D123" s="275">
        <v>337566</v>
      </c>
      <c r="E123" s="275">
        <v>311729</v>
      </c>
      <c r="F123" s="275">
        <v>393764</v>
      </c>
      <c r="G123" s="275">
        <v>608776</v>
      </c>
      <c r="H123" s="275">
        <v>437824</v>
      </c>
      <c r="I123" s="275">
        <v>488718</v>
      </c>
      <c r="J123" s="275">
        <v>620377</v>
      </c>
      <c r="K123" s="275">
        <v>1027621</v>
      </c>
      <c r="L123" s="275">
        <v>632489</v>
      </c>
      <c r="M123" s="275">
        <v>753200</v>
      </c>
      <c r="N123" s="275">
        <v>822494</v>
      </c>
      <c r="O123" s="275">
        <v>1157899</v>
      </c>
      <c r="P123" s="275">
        <v>885640</v>
      </c>
      <c r="Q123" s="275">
        <v>1037616</v>
      </c>
      <c r="R123" s="275">
        <v>1225856</v>
      </c>
      <c r="S123" s="275">
        <v>1965545</v>
      </c>
      <c r="T123" s="275">
        <v>1062806</v>
      </c>
      <c r="U123" s="275">
        <v>1206926</v>
      </c>
      <c r="V123" s="275">
        <v>1329165</v>
      </c>
      <c r="W123" s="275">
        <v>2082375</v>
      </c>
      <c r="X123" s="275">
        <v>821457</v>
      </c>
    </row>
    <row r="124" spans="1:24" ht="14.25" thickBot="1" x14ac:dyDescent="0.3">
      <c r="A124" s="224" t="s">
        <v>268</v>
      </c>
      <c r="B124" s="273">
        <v>467196</v>
      </c>
      <c r="C124" s="273">
        <v>1632667</v>
      </c>
      <c r="D124" s="273">
        <v>1624611</v>
      </c>
      <c r="E124" s="273">
        <v>1212220</v>
      </c>
      <c r="F124" s="273">
        <v>1117460</v>
      </c>
      <c r="G124" s="273">
        <v>1543257</v>
      </c>
      <c r="H124" s="273">
        <v>1548014</v>
      </c>
      <c r="I124" s="273">
        <v>1590813</v>
      </c>
      <c r="J124" s="273">
        <v>1487777</v>
      </c>
      <c r="K124" s="273">
        <v>2224733</v>
      </c>
      <c r="L124" s="273">
        <v>1732603</v>
      </c>
      <c r="M124" s="273">
        <v>1670284</v>
      </c>
      <c r="N124" s="273">
        <v>1620126</v>
      </c>
      <c r="O124" s="273">
        <v>2129788</v>
      </c>
      <c r="P124" s="273">
        <v>1852477</v>
      </c>
      <c r="Q124" s="273">
        <v>2209178</v>
      </c>
      <c r="R124" s="273">
        <v>2277932</v>
      </c>
      <c r="S124" s="273">
        <v>2951996</v>
      </c>
      <c r="T124" s="273">
        <v>2080179</v>
      </c>
      <c r="U124" s="273">
        <v>2383452</v>
      </c>
      <c r="V124" s="273">
        <v>2101054</v>
      </c>
      <c r="W124" s="273">
        <v>2928011</v>
      </c>
      <c r="X124" s="273">
        <v>1780011</v>
      </c>
    </row>
    <row r="125" spans="1:24" ht="14.25" thickBot="1" x14ac:dyDescent="0.3">
      <c r="A125" s="225" t="s">
        <v>32</v>
      </c>
      <c r="B125" s="275">
        <v>56320</v>
      </c>
      <c r="C125" s="275">
        <v>1128889</v>
      </c>
      <c r="D125" s="275">
        <v>813888</v>
      </c>
      <c r="E125" s="275">
        <v>1170078</v>
      </c>
      <c r="F125" s="275">
        <v>1177138</v>
      </c>
      <c r="G125" s="275">
        <v>949298</v>
      </c>
      <c r="H125" s="275">
        <v>941194</v>
      </c>
      <c r="I125" s="275">
        <v>865829</v>
      </c>
      <c r="J125" s="275">
        <v>618994</v>
      </c>
      <c r="K125" s="275">
        <v>491444</v>
      </c>
      <c r="L125" s="275">
        <v>571758</v>
      </c>
      <c r="M125" s="275">
        <v>282311</v>
      </c>
      <c r="N125" s="275">
        <v>272682</v>
      </c>
      <c r="O125" s="275">
        <v>261897</v>
      </c>
      <c r="P125" s="275">
        <v>261804</v>
      </c>
      <c r="Q125" s="275">
        <v>335375</v>
      </c>
      <c r="R125" s="275">
        <v>315242</v>
      </c>
      <c r="S125" s="275">
        <v>277529</v>
      </c>
      <c r="T125" s="275">
        <v>265641</v>
      </c>
      <c r="U125" s="275">
        <v>281838</v>
      </c>
      <c r="V125" s="275">
        <v>270902</v>
      </c>
      <c r="W125" s="275">
        <v>244926</v>
      </c>
      <c r="X125" s="275">
        <v>258174</v>
      </c>
    </row>
    <row r="126" spans="1:24" ht="14.25" thickBot="1" x14ac:dyDescent="0.3">
      <c r="A126" s="224" t="s">
        <v>33</v>
      </c>
      <c r="B126" s="68">
        <v>0</v>
      </c>
      <c r="C126" s="68">
        <v>658</v>
      </c>
      <c r="D126" s="68">
        <v>644</v>
      </c>
      <c r="E126" s="273">
        <v>9345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523516</v>
      </c>
      <c r="C127" s="275">
        <v>2762214</v>
      </c>
      <c r="D127" s="275">
        <v>2439143</v>
      </c>
      <c r="E127" s="275">
        <v>2391643</v>
      </c>
      <c r="F127" s="275">
        <v>2294598</v>
      </c>
      <c r="G127" s="275">
        <v>2492555</v>
      </c>
      <c r="H127" s="275">
        <v>2489208</v>
      </c>
      <c r="I127" s="275">
        <v>2456642</v>
      </c>
      <c r="J127" s="275">
        <v>2106771</v>
      </c>
      <c r="K127" s="275">
        <v>2716177</v>
      </c>
      <c r="L127" s="275">
        <v>2304361</v>
      </c>
      <c r="M127" s="275">
        <v>1952595</v>
      </c>
      <c r="N127" s="275">
        <v>1892808</v>
      </c>
      <c r="O127" s="275">
        <v>2391685</v>
      </c>
      <c r="P127" s="275">
        <v>2114281</v>
      </c>
      <c r="Q127" s="275">
        <v>2544553</v>
      </c>
      <c r="R127" s="275">
        <v>2593174</v>
      </c>
      <c r="S127" s="275">
        <v>3229525</v>
      </c>
      <c r="T127" s="275">
        <v>2345820</v>
      </c>
      <c r="U127" s="275">
        <v>2665290</v>
      </c>
      <c r="V127" s="275">
        <v>2371956</v>
      </c>
      <c r="W127" s="275">
        <v>3172937</v>
      </c>
      <c r="X127" s="275">
        <v>2038185</v>
      </c>
    </row>
    <row r="128" spans="1:24" ht="14.25" thickBot="1" x14ac:dyDescent="0.3">
      <c r="A128" s="224" t="s">
        <v>34</v>
      </c>
      <c r="B128" s="273">
        <v>1706431</v>
      </c>
      <c r="C128" s="273">
        <v>1765210</v>
      </c>
      <c r="D128" s="273">
        <v>1849279</v>
      </c>
      <c r="E128" s="273">
        <v>1978599</v>
      </c>
      <c r="F128" s="273">
        <v>2059771</v>
      </c>
      <c r="G128" s="273">
        <v>2069055</v>
      </c>
      <c r="H128" s="273">
        <v>2299453</v>
      </c>
      <c r="I128" s="273">
        <v>2512718</v>
      </c>
      <c r="J128" s="273">
        <v>2723795</v>
      </c>
      <c r="K128" s="273">
        <v>2626454</v>
      </c>
      <c r="L128" s="273">
        <v>2963413</v>
      </c>
      <c r="M128" s="273">
        <v>3225949</v>
      </c>
      <c r="N128" s="273">
        <v>3445228</v>
      </c>
      <c r="O128" s="273">
        <v>3444053</v>
      </c>
      <c r="P128" s="273">
        <v>3879778</v>
      </c>
      <c r="Q128" s="273">
        <v>4239795</v>
      </c>
      <c r="R128" s="273">
        <v>4584828</v>
      </c>
      <c r="S128" s="273">
        <v>4749144</v>
      </c>
      <c r="T128" s="273">
        <v>5007730</v>
      </c>
      <c r="U128" s="273">
        <v>5378475</v>
      </c>
      <c r="V128" s="273">
        <v>5449841</v>
      </c>
      <c r="W128" s="273">
        <v>4869003</v>
      </c>
      <c r="X128" s="273">
        <v>5185886</v>
      </c>
    </row>
    <row r="129" spans="1:24" ht="14.25" thickBot="1" x14ac:dyDescent="0.3">
      <c r="A129" s="225" t="s">
        <v>35</v>
      </c>
      <c r="B129" s="276">
        <v>2229947</v>
      </c>
      <c r="C129" s="276">
        <v>4527424</v>
      </c>
      <c r="D129" s="276">
        <v>4288422</v>
      </c>
      <c r="E129" s="276">
        <v>4370242</v>
      </c>
      <c r="F129" s="276">
        <v>4354369</v>
      </c>
      <c r="G129" s="276">
        <v>4561610</v>
      </c>
      <c r="H129" s="276">
        <v>4788661</v>
      </c>
      <c r="I129" s="276">
        <v>4969360</v>
      </c>
      <c r="J129" s="276">
        <v>4830566</v>
      </c>
      <c r="K129" s="276">
        <v>5342631</v>
      </c>
      <c r="L129" s="276">
        <v>5267774</v>
      </c>
      <c r="M129" s="276">
        <v>5178544</v>
      </c>
      <c r="N129" s="276">
        <v>5338036</v>
      </c>
      <c r="O129" s="276">
        <v>5835738</v>
      </c>
      <c r="P129" s="276">
        <v>5994059</v>
      </c>
      <c r="Q129" s="276">
        <v>6784348</v>
      </c>
      <c r="R129" s="276">
        <v>7178002</v>
      </c>
      <c r="S129" s="276">
        <v>7978669</v>
      </c>
      <c r="T129" s="276">
        <v>7353550</v>
      </c>
      <c r="U129" s="276">
        <v>8043765</v>
      </c>
      <c r="V129" s="276">
        <v>7821797</v>
      </c>
      <c r="W129" s="276">
        <v>8041940</v>
      </c>
      <c r="X129" s="276">
        <v>7224071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11</v>
      </c>
      <c r="C132" s="68">
        <v>17.05</v>
      </c>
      <c r="D132" s="68">
        <v>25.04</v>
      </c>
      <c r="E132" s="68">
        <v>20.03</v>
      </c>
      <c r="F132" s="68">
        <v>17.43</v>
      </c>
    </row>
    <row r="133" spans="1:24" ht="14.25" thickBot="1" x14ac:dyDescent="0.3">
      <c r="A133" s="225" t="s">
        <v>37</v>
      </c>
      <c r="B133" s="274">
        <v>-2.02</v>
      </c>
      <c r="C133" s="274">
        <v>-4.97</v>
      </c>
      <c r="D133" s="274">
        <v>-9.14</v>
      </c>
      <c r="E133" s="274">
        <v>-8.8800000000000008</v>
      </c>
      <c r="F133" s="274">
        <v>-4.25</v>
      </c>
    </row>
    <row r="134" spans="1:24" ht="14.25" thickBot="1" x14ac:dyDescent="0.3">
      <c r="A134" s="224" t="s">
        <v>38</v>
      </c>
      <c r="B134" s="68">
        <v>-0.51</v>
      </c>
      <c r="C134" s="68">
        <v>-9.25</v>
      </c>
      <c r="D134" s="68">
        <v>-14.97</v>
      </c>
      <c r="E134" s="68">
        <v>-4.5</v>
      </c>
      <c r="F134" s="68">
        <v>-2.12</v>
      </c>
    </row>
    <row r="135" spans="1:24" ht="14.25" thickBot="1" x14ac:dyDescent="0.3">
      <c r="A135" s="225" t="s">
        <v>270</v>
      </c>
      <c r="B135" s="274">
        <v>8.9700000000000006</v>
      </c>
      <c r="C135" s="274">
        <v>12.07</v>
      </c>
      <c r="D135" s="274">
        <v>15.9</v>
      </c>
      <c r="E135" s="274">
        <v>11.15</v>
      </c>
      <c r="F135" s="274">
        <v>13.18</v>
      </c>
    </row>
    <row r="136" spans="1:24" ht="14.25" thickBot="1" x14ac:dyDescent="0.3">
      <c r="A136" s="229" t="s">
        <v>39</v>
      </c>
      <c r="B136" s="72">
        <v>8.4600000000000009</v>
      </c>
      <c r="C136" s="72">
        <v>2.82</v>
      </c>
      <c r="D136" s="72">
        <v>0.94</v>
      </c>
      <c r="E136" s="72">
        <v>6.66</v>
      </c>
      <c r="F136" s="72">
        <v>11.06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</v>
      </c>
      <c r="C140" s="68">
        <v>4.5</v>
      </c>
      <c r="D140" s="68">
        <v>4.5</v>
      </c>
      <c r="E140" s="68">
        <v>6.5</v>
      </c>
      <c r="F140" s="68">
        <v>6.5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2</v>
      </c>
      <c r="E141" s="73">
        <v>2</v>
      </c>
      <c r="F141" s="73">
        <v>2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0.66225165562913912</v>
      </c>
      <c r="C142" s="234">
        <f>IF(C140&lt;&gt;"無",IF(ISNA(HLOOKUP(C139,$B$64:$F$69,6,FALSE)),"",C140/HLOOKUP(C139,$B$64:$F$69,6,FALSE)),"")</f>
        <v>0.73529411764705865</v>
      </c>
      <c r="D142" s="234">
        <f>IF(D140&lt;&gt;"無",IF(ISNA(HLOOKUP(D139,$B$64:$F$69,6,FALSE)),"",D140/HLOOKUP(D139,$B$64:$F$69,6,FALSE)),"")</f>
        <v>0.46012269938650308</v>
      </c>
      <c r="E142" s="234">
        <f>IF(E140&lt;&gt;"無",IF(ISNA(HLOOKUP(E139,$B$64:$F$69,6,FALSE)),"",E140/HLOOKUP(E139,$B$64:$F$69,6,FALSE)),"")</f>
        <v>0.50505050505050497</v>
      </c>
      <c r="F142" s="234">
        <f>IF(F140&lt;&gt;"無",IF(ISNA(HLOOKUP(F139,$B$64:$F$69,6,FALSE)),"",F140/HLOOKUP(F139,$B$64:$F$69,6,FALSE)),"")</f>
        <v>0.57369814651368045</v>
      </c>
    </row>
    <row r="143" spans="1:24" x14ac:dyDescent="0.25">
      <c r="A143" s="233" t="s">
        <v>216</v>
      </c>
      <c r="B143" s="234">
        <f>IF(OR(B140=0,B140="無"),"",B135/B140)</f>
        <v>4.4850000000000003</v>
      </c>
      <c r="C143" s="234">
        <f>IF(OR(C140=0,C140="無"),"",C135/C140)</f>
        <v>2.6822222222222223</v>
      </c>
      <c r="D143" s="234">
        <f>IF(OR(D140=0,D140="無"),"",D135/D140)</f>
        <v>3.5333333333333332</v>
      </c>
      <c r="E143" s="234">
        <f>IF(OR(E140=0,E140="無"),"",E135/E140)</f>
        <v>1.7153846153846155</v>
      </c>
      <c r="F143" s="234">
        <f>IF(OR(F140=0,F140="無"),"",F135/F140)</f>
        <v>2.0276923076923077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14.02</v>
      </c>
      <c r="C146" s="68">
        <v>16.73</v>
      </c>
      <c r="D146" s="68">
        <v>21.34</v>
      </c>
      <c r="E146" s="68">
        <v>20.76</v>
      </c>
      <c r="F146" s="68">
        <v>17.28</v>
      </c>
      <c r="G146" s="68">
        <v>18.73</v>
      </c>
      <c r="H146" s="68">
        <v>20.79</v>
      </c>
      <c r="I146" s="68">
        <v>19.489999999999998</v>
      </c>
      <c r="J146" s="68">
        <v>21.4</v>
      </c>
      <c r="K146" s="68">
        <v>23.09</v>
      </c>
      <c r="L146" s="68">
        <v>24.81</v>
      </c>
      <c r="M146" s="68">
        <v>23.43</v>
      </c>
      <c r="N146" s="68">
        <v>27.37</v>
      </c>
      <c r="O146" s="68">
        <v>29.78</v>
      </c>
      <c r="P146" s="68">
        <v>32.07</v>
      </c>
      <c r="Q146" s="68">
        <v>34.43</v>
      </c>
      <c r="R146" s="68">
        <v>33.32</v>
      </c>
      <c r="S146" s="68">
        <v>29.42</v>
      </c>
      <c r="T146" s="68">
        <v>28.38</v>
      </c>
      <c r="U146" s="68">
        <v>28.3</v>
      </c>
      <c r="V146" s="68">
        <v>26.67</v>
      </c>
      <c r="W146" s="68">
        <v>26.67</v>
      </c>
      <c r="X146" s="68">
        <v>28.02</v>
      </c>
    </row>
    <row r="147" spans="1:24" s="93" customFormat="1" ht="14.25" thickBot="1" x14ac:dyDescent="0.3">
      <c r="A147" s="225" t="s">
        <v>19</v>
      </c>
      <c r="B147" s="274">
        <v>6.85</v>
      </c>
      <c r="C147" s="274">
        <v>7.93</v>
      </c>
      <c r="D147" s="274">
        <v>11.2</v>
      </c>
      <c r="E147" s="274">
        <v>13.29</v>
      </c>
      <c r="F147" s="274">
        <v>8.33</v>
      </c>
      <c r="G147" s="274">
        <v>11.52</v>
      </c>
      <c r="H147" s="274">
        <v>15.91</v>
      </c>
      <c r="I147" s="274">
        <v>11.99</v>
      </c>
      <c r="J147" s="274">
        <v>14.95</v>
      </c>
      <c r="K147" s="274">
        <v>17.04</v>
      </c>
      <c r="L147" s="274">
        <v>16.05</v>
      </c>
      <c r="M147" s="274">
        <v>16.239999999999998</v>
      </c>
      <c r="N147" s="274">
        <v>19.95</v>
      </c>
      <c r="O147" s="274">
        <v>23.18</v>
      </c>
      <c r="P147" s="274">
        <v>23.77</v>
      </c>
      <c r="Q147" s="274">
        <v>25.51</v>
      </c>
      <c r="R147" s="274">
        <v>26.12</v>
      </c>
      <c r="S147" s="274">
        <v>23.47</v>
      </c>
      <c r="T147" s="274">
        <v>18.95</v>
      </c>
      <c r="U147" s="274">
        <v>20.67</v>
      </c>
      <c r="V147" s="274">
        <v>20.239999999999998</v>
      </c>
      <c r="W147" s="274">
        <v>19.850000000000001</v>
      </c>
      <c r="X147" s="274">
        <v>20.99</v>
      </c>
    </row>
    <row r="148" spans="1:24" s="93" customFormat="1" ht="14.25" thickBot="1" x14ac:dyDescent="0.3">
      <c r="A148" s="224" t="s">
        <v>41</v>
      </c>
      <c r="B148" s="68">
        <v>6.52</v>
      </c>
      <c r="C148" s="68">
        <v>8.01</v>
      </c>
      <c r="D148" s="68">
        <v>9.77</v>
      </c>
      <c r="E148" s="68">
        <v>13.05</v>
      </c>
      <c r="F148" s="68">
        <v>8.25</v>
      </c>
      <c r="G148" s="68">
        <v>11.87</v>
      </c>
      <c r="H148" s="68">
        <v>14.29</v>
      </c>
      <c r="I148" s="68">
        <v>13.11</v>
      </c>
      <c r="J148" s="68">
        <v>16.43</v>
      </c>
      <c r="K148" s="68">
        <v>17.04</v>
      </c>
      <c r="L148" s="68">
        <v>19</v>
      </c>
      <c r="M148" s="68">
        <v>17.48</v>
      </c>
      <c r="N148" s="68">
        <v>20.350000000000001</v>
      </c>
      <c r="O148" s="68">
        <v>23.33</v>
      </c>
      <c r="P148" s="68">
        <v>28.13</v>
      </c>
      <c r="Q148" s="68">
        <v>27.85</v>
      </c>
      <c r="R148" s="68">
        <v>24.18</v>
      </c>
      <c r="S148" s="68">
        <v>24.2</v>
      </c>
      <c r="T148" s="68">
        <v>19.399999999999999</v>
      </c>
      <c r="U148" s="68">
        <v>26.27</v>
      </c>
      <c r="V148" s="68">
        <v>13.62</v>
      </c>
      <c r="W148" s="68">
        <v>20.260000000000002</v>
      </c>
      <c r="X148" s="68">
        <v>20.97</v>
      </c>
    </row>
    <row r="149" spans="1:24" s="93" customFormat="1" ht="14.25" thickBot="1" x14ac:dyDescent="0.3">
      <c r="A149" s="225" t="s">
        <v>13</v>
      </c>
      <c r="B149" s="73">
        <v>4.6900000000000004</v>
      </c>
      <c r="C149" s="73">
        <v>6.21</v>
      </c>
      <c r="D149" s="73">
        <v>7.5</v>
      </c>
      <c r="E149" s="73">
        <v>10.31</v>
      </c>
      <c r="F149" s="73">
        <v>5.69</v>
      </c>
      <c r="G149" s="73">
        <v>10.07</v>
      </c>
      <c r="H149" s="73">
        <v>12.26</v>
      </c>
      <c r="I149" s="73">
        <v>10.74</v>
      </c>
      <c r="J149" s="73">
        <v>12.88</v>
      </c>
      <c r="K149" s="73">
        <v>14.51</v>
      </c>
      <c r="L149" s="73">
        <v>15.67</v>
      </c>
      <c r="M149" s="73">
        <v>13.51</v>
      </c>
      <c r="N149" s="73">
        <v>15.02</v>
      </c>
      <c r="O149" s="73">
        <v>18.600000000000001</v>
      </c>
      <c r="P149" s="73">
        <v>21.99</v>
      </c>
      <c r="Q149" s="73">
        <v>21.93</v>
      </c>
      <c r="R149" s="73">
        <v>17.940000000000001</v>
      </c>
      <c r="S149" s="73">
        <v>19.34</v>
      </c>
      <c r="T149" s="73">
        <v>15.25</v>
      </c>
      <c r="U149" s="73">
        <v>20.350000000000001</v>
      </c>
      <c r="V149" s="73">
        <v>10.16</v>
      </c>
      <c r="W149" s="73">
        <v>15.61</v>
      </c>
      <c r="X149" s="73">
        <v>16.48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19.3</v>
      </c>
      <c r="C152" s="68">
        <v>19.25</v>
      </c>
      <c r="D152" s="68">
        <v>23.23</v>
      </c>
      <c r="E152" s="68">
        <v>31.15</v>
      </c>
      <c r="F152" s="68">
        <v>29.87</v>
      </c>
    </row>
    <row r="153" spans="1:24" s="93" customFormat="1" ht="14.25" thickBot="1" x14ac:dyDescent="0.3">
      <c r="A153" s="225" t="s">
        <v>19</v>
      </c>
      <c r="B153" s="274">
        <v>10.68</v>
      </c>
      <c r="C153" s="274">
        <v>12.29</v>
      </c>
      <c r="D153" s="274">
        <v>16.11</v>
      </c>
      <c r="E153" s="274">
        <v>23.28</v>
      </c>
      <c r="F153" s="274">
        <v>22.34</v>
      </c>
    </row>
    <row r="154" spans="1:24" s="93" customFormat="1" ht="14.25" thickBot="1" x14ac:dyDescent="0.3">
      <c r="A154" s="224" t="s">
        <v>41</v>
      </c>
      <c r="B154" s="68">
        <v>10.06</v>
      </c>
      <c r="C154" s="68">
        <v>12.21</v>
      </c>
      <c r="D154" s="68">
        <v>17.52</v>
      </c>
      <c r="E154" s="68">
        <v>25.17</v>
      </c>
      <c r="F154" s="68">
        <v>23.5</v>
      </c>
    </row>
    <row r="155" spans="1:24" s="93" customFormat="1" ht="14.25" thickBot="1" x14ac:dyDescent="0.3">
      <c r="A155" s="225" t="s">
        <v>13</v>
      </c>
      <c r="B155" s="73">
        <v>7.78</v>
      </c>
      <c r="C155" s="73">
        <v>10.029999999999999</v>
      </c>
      <c r="D155" s="73">
        <v>14.21</v>
      </c>
      <c r="E155" s="73">
        <v>19.62</v>
      </c>
      <c r="F155" s="73">
        <v>18.22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1.0900000000000001</v>
      </c>
      <c r="C158" s="68">
        <v>1.3</v>
      </c>
      <c r="D158" s="68">
        <v>2.5099999999999998</v>
      </c>
      <c r="E158" s="68">
        <v>3.1</v>
      </c>
      <c r="F158" s="68">
        <v>1.56</v>
      </c>
      <c r="G158" s="68">
        <v>3.2</v>
      </c>
      <c r="H158" s="68">
        <v>4.2699999999999996</v>
      </c>
      <c r="I158" s="68">
        <v>3.48</v>
      </c>
      <c r="J158" s="68">
        <v>4.1900000000000004</v>
      </c>
      <c r="K158" s="68">
        <v>5.31</v>
      </c>
      <c r="L158" s="68">
        <v>5.36</v>
      </c>
      <c r="M158" s="68">
        <v>4.1399999999999997</v>
      </c>
      <c r="N158" s="68">
        <v>4.4800000000000004</v>
      </c>
      <c r="O158" s="68">
        <v>5.76</v>
      </c>
      <c r="P158" s="68">
        <v>6.71</v>
      </c>
      <c r="Q158" s="68">
        <v>6.95</v>
      </c>
      <c r="R158" s="68">
        <v>5.26</v>
      </c>
      <c r="S158" s="68">
        <v>5.48</v>
      </c>
      <c r="T158" s="68">
        <v>4.05</v>
      </c>
      <c r="U158" s="68">
        <v>5.22</v>
      </c>
      <c r="V158" s="68">
        <v>2.3199999999999998</v>
      </c>
      <c r="W158" s="68">
        <v>3.71</v>
      </c>
      <c r="X158" s="68">
        <v>3.89</v>
      </c>
    </row>
    <row r="159" spans="1:24" s="93" customFormat="1" ht="14.25" thickBot="1" x14ac:dyDescent="0.3">
      <c r="A159" s="225" t="s">
        <v>45</v>
      </c>
      <c r="B159" s="73">
        <v>1.43</v>
      </c>
      <c r="C159" s="73">
        <v>2.42</v>
      </c>
      <c r="D159" s="73">
        <v>5.49</v>
      </c>
      <c r="E159" s="73">
        <v>6.46</v>
      </c>
      <c r="F159" s="73">
        <v>3.04</v>
      </c>
      <c r="G159" s="73">
        <v>6.6</v>
      </c>
      <c r="H159" s="73">
        <v>8.91</v>
      </c>
      <c r="I159" s="73">
        <v>6.89</v>
      </c>
      <c r="J159" s="73">
        <v>7.73</v>
      </c>
      <c r="K159" s="73">
        <v>10.02</v>
      </c>
      <c r="L159" s="73">
        <v>10.09</v>
      </c>
      <c r="M159" s="73">
        <v>6.92</v>
      </c>
      <c r="N159" s="73">
        <v>7.06</v>
      </c>
      <c r="O159" s="73">
        <v>9.34</v>
      </c>
      <c r="P159" s="73">
        <v>10.83</v>
      </c>
      <c r="Q159" s="73">
        <v>10.94</v>
      </c>
      <c r="R159" s="73">
        <v>8.32</v>
      </c>
      <c r="S159" s="73">
        <v>8.9</v>
      </c>
      <c r="T159" s="73">
        <v>6.37</v>
      </c>
      <c r="U159" s="73">
        <v>7.74</v>
      </c>
      <c r="V159" s="73">
        <v>3.4</v>
      </c>
      <c r="W159" s="73">
        <v>5.7</v>
      </c>
      <c r="X159" s="73">
        <v>5.9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7.78</v>
      </c>
      <c r="C162" s="68">
        <v>10.029999999999999</v>
      </c>
      <c r="D162" s="68">
        <v>14.21</v>
      </c>
      <c r="E162" s="68">
        <v>19.62</v>
      </c>
      <c r="F162" s="68">
        <v>18.22</v>
      </c>
    </row>
    <row r="163" spans="1:72" s="93" customFormat="1" ht="14.25" thickBot="1" x14ac:dyDescent="0.3">
      <c r="A163" s="225" t="s">
        <v>18</v>
      </c>
      <c r="B163" s="274">
        <v>0.85</v>
      </c>
      <c r="C163" s="274">
        <v>1.1200000000000001</v>
      </c>
      <c r="D163" s="274">
        <v>1.31</v>
      </c>
      <c r="E163" s="274">
        <v>1.05</v>
      </c>
      <c r="F163" s="274">
        <v>1.02</v>
      </c>
    </row>
    <row r="164" spans="1:72" s="93" customFormat="1" ht="14.25" thickBot="1" x14ac:dyDescent="0.3">
      <c r="A164" s="224" t="s">
        <v>15</v>
      </c>
      <c r="B164" s="68">
        <v>2.21</v>
      </c>
      <c r="C164" s="68">
        <v>1.98</v>
      </c>
      <c r="D164" s="68">
        <v>1.61</v>
      </c>
      <c r="E164" s="68">
        <v>1.6</v>
      </c>
      <c r="F164" s="68">
        <v>1.5</v>
      </c>
    </row>
    <row r="165" spans="1:72" s="93" customFormat="1" ht="14.25" thickBot="1" x14ac:dyDescent="0.3">
      <c r="A165" s="225" t="s">
        <v>45</v>
      </c>
      <c r="B165" s="73">
        <v>15.84</v>
      </c>
      <c r="C165" s="73">
        <v>24.84</v>
      </c>
      <c r="D165" s="73">
        <v>33.69</v>
      </c>
      <c r="E165" s="73">
        <v>37.44</v>
      </c>
      <c r="F165" s="73">
        <v>31.09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68.180000000000007</v>
      </c>
      <c r="C168" s="68">
        <v>87.38</v>
      </c>
      <c r="D168" s="68">
        <v>62.94</v>
      </c>
      <c r="E168" s="68">
        <v>67.67</v>
      </c>
      <c r="F168" s="68">
        <v>72</v>
      </c>
      <c r="G168" s="68">
        <v>58.44</v>
      </c>
      <c r="H168" s="68">
        <v>53.57</v>
      </c>
      <c r="I168" s="68">
        <v>58.82</v>
      </c>
      <c r="J168" s="68">
        <v>59.6</v>
      </c>
      <c r="K168" s="68">
        <v>56.6</v>
      </c>
      <c r="L168" s="68">
        <v>59.21</v>
      </c>
      <c r="M168" s="68">
        <v>62.5</v>
      </c>
      <c r="N168" s="68">
        <v>62.07</v>
      </c>
      <c r="O168" s="68">
        <v>61.22</v>
      </c>
      <c r="P168" s="68">
        <v>62.07</v>
      </c>
      <c r="Q168" s="68">
        <v>60.4</v>
      </c>
      <c r="R168" s="68">
        <v>62.94</v>
      </c>
      <c r="S168" s="68">
        <v>58.06</v>
      </c>
      <c r="T168" s="68">
        <v>62.94</v>
      </c>
      <c r="U168" s="68">
        <v>67.67</v>
      </c>
      <c r="V168" s="68">
        <v>71.430000000000007</v>
      </c>
      <c r="W168" s="68">
        <v>67.67</v>
      </c>
      <c r="X168" s="68">
        <v>72</v>
      </c>
    </row>
    <row r="169" spans="1:72" s="93" customFormat="1" ht="14.25" thickBot="1" x14ac:dyDescent="0.3">
      <c r="A169" s="225" t="s">
        <v>17</v>
      </c>
      <c r="B169" s="274">
        <v>19.91</v>
      </c>
      <c r="C169" s="274">
        <v>26.87</v>
      </c>
      <c r="D169" s="274">
        <v>22.84</v>
      </c>
      <c r="E169" s="274">
        <v>28.85</v>
      </c>
      <c r="F169" s="274">
        <v>34.619999999999997</v>
      </c>
      <c r="G169" s="274">
        <v>28.3</v>
      </c>
      <c r="H169" s="274">
        <v>23.32</v>
      </c>
      <c r="I169" s="274">
        <v>24.52</v>
      </c>
      <c r="J169" s="274">
        <v>26.95</v>
      </c>
      <c r="K169" s="274">
        <v>25.94</v>
      </c>
      <c r="L169" s="274">
        <v>27.86</v>
      </c>
      <c r="M169" s="274">
        <v>31.58</v>
      </c>
      <c r="N169" s="274">
        <v>33.090000000000003</v>
      </c>
      <c r="O169" s="274">
        <v>31.03</v>
      </c>
      <c r="P169" s="274">
        <v>31.47</v>
      </c>
      <c r="Q169" s="274">
        <v>31.91</v>
      </c>
      <c r="R169" s="274">
        <v>35.29</v>
      </c>
      <c r="S169" s="274">
        <v>28.3</v>
      </c>
      <c r="T169" s="274">
        <v>24.59</v>
      </c>
      <c r="U169" s="274">
        <v>26.87</v>
      </c>
      <c r="V169" s="274">
        <v>30.41</v>
      </c>
      <c r="W169" s="274">
        <v>26.47</v>
      </c>
      <c r="X169" s="274">
        <v>27.86</v>
      </c>
    </row>
    <row r="170" spans="1:72" s="93" customFormat="1" ht="14.25" thickBot="1" x14ac:dyDescent="0.3">
      <c r="A170" s="224" t="s">
        <v>42</v>
      </c>
      <c r="B170" s="72">
        <v>88.09</v>
      </c>
      <c r="C170" s="72">
        <v>114.24</v>
      </c>
      <c r="D170" s="72">
        <v>85.78</v>
      </c>
      <c r="E170" s="72">
        <v>96.52</v>
      </c>
      <c r="F170" s="72">
        <v>106.62</v>
      </c>
      <c r="G170" s="72">
        <v>86.74</v>
      </c>
      <c r="H170" s="72">
        <v>76.89</v>
      </c>
      <c r="I170" s="72">
        <v>83.35</v>
      </c>
      <c r="J170" s="72">
        <v>86.55</v>
      </c>
      <c r="K170" s="72">
        <v>82.54</v>
      </c>
      <c r="L170" s="72">
        <v>87.07</v>
      </c>
      <c r="M170" s="72">
        <v>94.08</v>
      </c>
      <c r="N170" s="72">
        <v>95.16</v>
      </c>
      <c r="O170" s="72">
        <v>92.26</v>
      </c>
      <c r="P170" s="72">
        <v>93.54</v>
      </c>
      <c r="Q170" s="72">
        <v>92.32</v>
      </c>
      <c r="R170" s="72">
        <v>98.23</v>
      </c>
      <c r="S170" s="72">
        <v>86.37</v>
      </c>
      <c r="T170" s="72">
        <v>87.53</v>
      </c>
      <c r="U170" s="72">
        <v>94.53</v>
      </c>
      <c r="V170" s="72">
        <v>101.83</v>
      </c>
      <c r="W170" s="72">
        <v>94.14</v>
      </c>
      <c r="X170" s="72">
        <v>99.86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290.8</v>
      </c>
      <c r="C173" s="72">
        <v>233.6</v>
      </c>
      <c r="D173" s="72">
        <v>198.38</v>
      </c>
      <c r="E173" s="72">
        <v>131.86000000000001</v>
      </c>
      <c r="F173" s="72">
        <v>128.63999999999999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8.08</v>
      </c>
      <c r="C176" s="72">
        <v>10.31</v>
      </c>
      <c r="D176" s="72">
        <v>10.71</v>
      </c>
      <c r="E176" s="72">
        <v>11.43</v>
      </c>
      <c r="F176" s="72">
        <v>13.63</v>
      </c>
      <c r="G176" s="72">
        <v>13.3</v>
      </c>
      <c r="H176" s="72">
        <v>12.23</v>
      </c>
      <c r="I176" s="72">
        <v>7.96</v>
      </c>
      <c r="J176" s="72">
        <v>8.5500000000000007</v>
      </c>
      <c r="K176" s="72">
        <v>7.73</v>
      </c>
      <c r="L176" s="72">
        <v>19.579999999999998</v>
      </c>
      <c r="M176" s="72">
        <v>22.59</v>
      </c>
      <c r="N176" s="72">
        <v>23.76</v>
      </c>
      <c r="O176" s="72">
        <v>26.05</v>
      </c>
      <c r="P176" s="72">
        <v>25.92</v>
      </c>
      <c r="Q176" s="72">
        <v>23.36</v>
      </c>
      <c r="R176" s="72">
        <v>21.63</v>
      </c>
      <c r="S176" s="72">
        <v>20.57</v>
      </c>
      <c r="T176" s="72">
        <v>19.88</v>
      </c>
      <c r="U176" s="72">
        <v>15.78</v>
      </c>
      <c r="V176" s="72">
        <v>14.76</v>
      </c>
      <c r="W176" s="72">
        <v>15.74</v>
      </c>
      <c r="X176" s="72">
        <v>12.59</v>
      </c>
      <c r="Y176" s="72">
        <v>13.93</v>
      </c>
      <c r="Z176" s="72">
        <v>13.84</v>
      </c>
      <c r="AA176" s="72">
        <v>13.88</v>
      </c>
      <c r="AB176" s="72">
        <v>16.579999999999998</v>
      </c>
      <c r="AC176" s="72">
        <v>19.920000000000002</v>
      </c>
      <c r="AD176" s="72">
        <v>15.76</v>
      </c>
      <c r="AE176" s="72">
        <v>17.97</v>
      </c>
      <c r="AF176" s="72">
        <v>17.670000000000002</v>
      </c>
      <c r="AG176" s="72">
        <v>14.3</v>
      </c>
      <c r="AH176" s="72">
        <v>12.27</v>
      </c>
      <c r="AI176" s="72">
        <v>11.08</v>
      </c>
      <c r="AJ176" s="72">
        <v>10.25</v>
      </c>
      <c r="AK176" s="72">
        <v>11.35</v>
      </c>
      <c r="AL176" s="72">
        <v>11.25</v>
      </c>
      <c r="AM176" s="72">
        <v>11.27</v>
      </c>
      <c r="AN176" s="72">
        <v>12.48</v>
      </c>
      <c r="AO176" s="72">
        <v>13.72</v>
      </c>
      <c r="AP176" s="72">
        <v>14.98</v>
      </c>
      <c r="AQ176" s="72">
        <v>16.829999999999998</v>
      </c>
      <c r="AR176" s="72">
        <v>14.32</v>
      </c>
      <c r="AS176" s="72">
        <v>12.06</v>
      </c>
      <c r="AT176" s="72">
        <v>13.61</v>
      </c>
      <c r="AU176" s="72">
        <v>14.92</v>
      </c>
      <c r="AV176" s="72">
        <v>13.44</v>
      </c>
      <c r="AW176" s="72">
        <v>12.71</v>
      </c>
      <c r="AX176" s="72">
        <v>11.48</v>
      </c>
      <c r="AY176" s="72">
        <v>12.64</v>
      </c>
      <c r="AZ176" s="72">
        <v>12.41</v>
      </c>
      <c r="BA176" s="72">
        <v>13.44</v>
      </c>
      <c r="BB176" s="72">
        <v>10.59</v>
      </c>
      <c r="BC176" s="72">
        <v>10.75</v>
      </c>
      <c r="BD176" s="72">
        <v>9.7899999999999991</v>
      </c>
      <c r="BE176" s="72">
        <v>10.64</v>
      </c>
      <c r="BF176" s="72">
        <v>9.6199999999999992</v>
      </c>
      <c r="BG176" s="72">
        <v>9.36</v>
      </c>
      <c r="BH176" s="72">
        <v>9.8800000000000008</v>
      </c>
      <c r="BI176" s="72">
        <v>11.11</v>
      </c>
      <c r="BJ176" s="72">
        <v>11.07</v>
      </c>
      <c r="BK176" s="72">
        <v>12.86</v>
      </c>
      <c r="BL176" s="72">
        <v>13.83</v>
      </c>
      <c r="BM176" s="72">
        <v>12.64</v>
      </c>
      <c r="BN176" s="72">
        <v>14.57</v>
      </c>
      <c r="BO176" s="72">
        <v>15.24</v>
      </c>
      <c r="BP176" s="72">
        <v>14.66</v>
      </c>
      <c r="BQ176" s="72">
        <v>16.77</v>
      </c>
      <c r="BR176" s="72">
        <v>16.43</v>
      </c>
      <c r="BS176" s="72">
        <v>17.52</v>
      </c>
      <c r="BT176" s="72">
        <v>19.18</v>
      </c>
    </row>
  </sheetData>
  <phoneticPr fontId="3" type="noConversion"/>
  <conditionalFormatting sqref="E4">
    <cfRule type="cellIs" dxfId="4424" priority="103" operator="greaterThan">
      <formula>0.2</formula>
    </cfRule>
    <cfRule type="cellIs" dxfId="442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442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421" priority="97" operator="greaterThan">
      <formula>$B$19</formula>
    </cfRule>
  </conditionalFormatting>
  <conditionalFormatting sqref="D33:D34">
    <cfRule type="cellIs" dxfId="442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4419" priority="91" operator="lessThan">
      <formula>$H$62</formula>
    </cfRule>
    <cfRule type="cellIs" dxfId="4418" priority="92" operator="greaterThan">
      <formula>$H$62</formula>
    </cfRule>
  </conditionalFormatting>
  <conditionalFormatting sqref="J62">
    <cfRule type="cellIs" dxfId="4417" priority="89" operator="lessThan">
      <formula>$K$62</formula>
    </cfRule>
    <cfRule type="cellIs" dxfId="4416" priority="90" operator="greaterThan">
      <formula>$K$62</formula>
    </cfRule>
  </conditionalFormatting>
  <conditionalFormatting sqref="M62">
    <cfRule type="cellIs" dxfId="4415" priority="87" operator="lessThan">
      <formula>$N$62</formula>
    </cfRule>
    <cfRule type="cellIs" dxfId="4414" priority="88" operator="greaterThan">
      <formula>$N$62</formula>
    </cfRule>
  </conditionalFormatting>
  <conditionalFormatting sqref="B44:E44">
    <cfRule type="cellIs" dxfId="4413" priority="85" operator="greaterThan">
      <formula>0</formula>
    </cfRule>
    <cfRule type="cellIs" dxfId="4412" priority="86" operator="lessThan">
      <formula>0</formula>
    </cfRule>
  </conditionalFormatting>
  <conditionalFormatting sqref="F72">
    <cfRule type="cellIs" dxfId="4411" priority="84" operator="lessThan">
      <formula>$E$72*90%</formula>
    </cfRule>
  </conditionalFormatting>
  <conditionalFormatting sqref="F73">
    <cfRule type="cellIs" dxfId="4410" priority="83" operator="lessThan">
      <formula>$E$73*90%</formula>
    </cfRule>
  </conditionalFormatting>
  <conditionalFormatting sqref="F74">
    <cfRule type="cellIs" dxfId="4409" priority="82" operator="lessThan">
      <formula>$E$74*90%</formula>
    </cfRule>
  </conditionalFormatting>
  <conditionalFormatting sqref="F75">
    <cfRule type="cellIs" dxfId="4408" priority="81" operator="lessThan">
      <formula>$E$75*90%</formula>
    </cfRule>
  </conditionalFormatting>
  <conditionalFormatting sqref="H44:K44">
    <cfRule type="cellIs" dxfId="4407" priority="79" operator="greaterThan">
      <formula>0</formula>
    </cfRule>
    <cfRule type="cellIs" dxfId="4406" priority="80" operator="lessThan">
      <formula>0</formula>
    </cfRule>
  </conditionalFormatting>
  <conditionalFormatting sqref="H51:K51">
    <cfRule type="cellIs" dxfId="4405" priority="77" operator="greaterThan">
      <formula>0</formula>
    </cfRule>
    <cfRule type="cellIs" dxfId="4404" priority="78" operator="lessThan">
      <formula>0</formula>
    </cfRule>
  </conditionalFormatting>
  <conditionalFormatting sqref="B51:E51">
    <cfRule type="cellIs" dxfId="4403" priority="75" operator="greaterThan">
      <formula>0</formula>
    </cfRule>
    <cfRule type="cellIs" dxfId="440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40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40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399" priority="58" operator="lessThan">
      <formula>0</formula>
    </cfRule>
  </conditionalFormatting>
  <conditionalFormatting sqref="A25 E25 C25">
    <cfRule type="cellIs" dxfId="4398" priority="59" operator="lessThan">
      <formula>0</formula>
    </cfRule>
  </conditionalFormatting>
  <conditionalFormatting sqref="F25">
    <cfRule type="cellIs" dxfId="4397" priority="57" operator="lessThan">
      <formula>0</formula>
    </cfRule>
  </conditionalFormatting>
  <conditionalFormatting sqref="E1">
    <cfRule type="containsText" dxfId="4396" priority="56" operator="containsText" text="本季業外損益/平均=-">
      <formula>NOT(ISERROR(SEARCH("本季業外損益/平均=-",E1)))</formula>
    </cfRule>
  </conditionalFormatting>
  <conditionalFormatting sqref="M65">
    <cfRule type="cellIs" dxfId="4395" priority="55" operator="lessThan">
      <formula>$L$65*90%</formula>
    </cfRule>
  </conditionalFormatting>
  <conditionalFormatting sqref="M66">
    <cfRule type="cellIs" dxfId="4394" priority="54" operator="lessThan">
      <formula>$L$66*90%</formula>
    </cfRule>
  </conditionalFormatting>
  <conditionalFormatting sqref="M67">
    <cfRule type="cellIs" dxfId="4393" priority="53" operator="lessThan">
      <formula>$L$67*90%</formula>
    </cfRule>
  </conditionalFormatting>
  <conditionalFormatting sqref="M68">
    <cfRule type="cellIs" dxfId="4392" priority="52" operator="lessThan">
      <formula>$L$68*90%</formula>
    </cfRule>
  </conditionalFormatting>
  <conditionalFormatting sqref="B60">
    <cfRule type="cellIs" dxfId="4391" priority="51" operator="lessThan">
      <formula>0</formula>
    </cfRule>
  </conditionalFormatting>
  <conditionalFormatting sqref="B59:F59">
    <cfRule type="cellIs" dxfId="4390" priority="50" operator="lessThanOrEqual">
      <formula>0</formula>
    </cfRule>
  </conditionalFormatting>
  <conditionalFormatting sqref="D62">
    <cfRule type="cellIs" dxfId="4389" priority="48" operator="lessThan">
      <formula>$E$62</formula>
    </cfRule>
    <cfRule type="cellIs" dxfId="4388" priority="49" operator="greaterThan">
      <formula>$E$62</formula>
    </cfRule>
  </conditionalFormatting>
  <conditionalFormatting sqref="F69">
    <cfRule type="cellIs" dxfId="4387" priority="46" operator="lessThan">
      <formula>0</formula>
    </cfRule>
  </conditionalFormatting>
  <conditionalFormatting sqref="B65:E67 B69:E69 B68:D68">
    <cfRule type="cellIs" dxfId="4386" priority="47" operator="lessThan">
      <formula>0</formula>
    </cfRule>
  </conditionalFormatting>
  <conditionalFormatting sqref="E68">
    <cfRule type="cellIs" dxfId="4385" priority="45" operator="lessThan">
      <formula>0</formula>
    </cfRule>
  </conditionalFormatting>
  <conditionalFormatting sqref="F65:F68">
    <cfRule type="cellIs" dxfId="4384" priority="44" operator="lessThan">
      <formula>0</formula>
    </cfRule>
  </conditionalFormatting>
  <conditionalFormatting sqref="F65:F68">
    <cfRule type="cellIs" dxfId="4383" priority="43" operator="lessThan">
      <formula>$E$65*0.9</formula>
    </cfRule>
  </conditionalFormatting>
  <conditionalFormatting sqref="F66">
    <cfRule type="cellIs" dxfId="4382" priority="42" operator="lessThan">
      <formula>$E$66*0.9</formula>
    </cfRule>
  </conditionalFormatting>
  <conditionalFormatting sqref="F67:F68">
    <cfRule type="cellIs" dxfId="4381" priority="41" operator="lessThan">
      <formula>$E$67*0.9</formula>
    </cfRule>
  </conditionalFormatting>
  <conditionalFormatting sqref="F68">
    <cfRule type="cellIs" dxfId="4380" priority="40" operator="lessThan">
      <formula>$E$68*0.9</formula>
    </cfRule>
  </conditionalFormatting>
  <conditionalFormatting sqref="B13:F13">
    <cfRule type="cellIs" dxfId="4379" priority="29" operator="greaterThan">
      <formula>$I$16</formula>
    </cfRule>
    <cfRule type="cellIs" dxfId="4378" priority="30" operator="lessThanOrEqual">
      <formula>$I$16</formula>
    </cfRule>
  </conditionalFormatting>
  <conditionalFormatting sqref="B10:F10">
    <cfRule type="cellIs" dxfId="4377" priority="31" operator="greaterThan">
      <formula>15</formula>
    </cfRule>
    <cfRule type="cellIs" dxfId="4376" priority="38" operator="lessThan">
      <formula>$I$9</formula>
    </cfRule>
    <cfRule type="cellIs" dxfId="4375" priority="39" operator="greaterThan">
      <formula>$I$9</formula>
    </cfRule>
  </conditionalFormatting>
  <conditionalFormatting sqref="B16:F16">
    <cfRule type="cellIs" dxfId="4374" priority="36" operator="greaterThan">
      <formula>$I$16</formula>
    </cfRule>
    <cfRule type="cellIs" dxfId="4373" priority="37" operator="lessThanOrEqual">
      <formula>$I$16</formula>
    </cfRule>
  </conditionalFormatting>
  <conditionalFormatting sqref="B15:F15">
    <cfRule type="cellIs" dxfId="4372" priority="34" operator="lessThanOrEqual">
      <formula>$I$16</formula>
    </cfRule>
    <cfRule type="cellIs" dxfId="4371" priority="35" operator="greaterThan">
      <formula>$I$16</formula>
    </cfRule>
  </conditionalFormatting>
  <conditionalFormatting sqref="B14:F14">
    <cfRule type="cellIs" dxfId="4370" priority="32" operator="greaterThan">
      <formula>$I$16</formula>
    </cfRule>
    <cfRule type="cellIs" dxfId="4369" priority="33" operator="lessThanOrEqual">
      <formula>$I$16</formula>
    </cfRule>
  </conditionalFormatting>
  <conditionalFormatting sqref="K6">
    <cfRule type="containsText" dxfId="4368" priority="27" operator="containsText" text="衰退">
      <formula>NOT(ISERROR(SEARCH("衰退",K6)))</formula>
    </cfRule>
    <cfRule type="containsText" dxfId="4367" priority="28" operator="containsText" text="成長">
      <formula>NOT(ISERROR(SEARCH("成長",K6)))</formula>
    </cfRule>
  </conditionalFormatting>
  <conditionalFormatting sqref="I4:K4">
    <cfRule type="cellIs" dxfId="4366" priority="25" operator="lessThan">
      <formula>0</formula>
    </cfRule>
    <cfRule type="cellIs" dxfId="436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364" priority="22" operator="lessThanOrEqual">
      <formula>$I$16</formula>
    </cfRule>
    <cfRule type="cellIs" dxfId="4363" priority="23" operator="greaterThan">
      <formula>$I$16</formula>
    </cfRule>
  </conditionalFormatting>
  <conditionalFormatting sqref="I6">
    <cfRule type="containsText" dxfId="4362" priority="20" operator="containsText" text="衰退">
      <formula>NOT(ISERROR(SEARCH("衰退",I6)))</formula>
    </cfRule>
    <cfRule type="containsText" dxfId="4361" priority="21" operator="containsText" text="成長">
      <formula>NOT(ISERROR(SEARCH("成長",I6)))</formula>
    </cfRule>
  </conditionalFormatting>
  <conditionalFormatting sqref="M9">
    <cfRule type="cellIs" dxfId="4360" priority="19" operator="lessThan">
      <formula>$I$9</formula>
    </cfRule>
  </conditionalFormatting>
  <conditionalFormatting sqref="M10">
    <cfRule type="cellIs" dxfId="4359" priority="18" operator="greaterThan">
      <formula>$I$9</formula>
    </cfRule>
  </conditionalFormatting>
  <conditionalFormatting sqref="M11">
    <cfRule type="cellIs" dxfId="435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357" priority="14" operator="lessThan">
      <formula>0</formula>
    </cfRule>
    <cfRule type="cellIs" dxfId="4356" priority="15" operator="greaterThan">
      <formula>0.5</formula>
    </cfRule>
  </conditionalFormatting>
  <conditionalFormatting sqref="N14">
    <cfRule type="cellIs" dxfId="435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354" priority="10" operator="lessThan">
      <formula>0.1</formula>
    </cfRule>
  </conditionalFormatting>
  <conditionalFormatting sqref="I14">
    <cfRule type="cellIs" dxfId="435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35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351" priority="1" operator="lessThan">
      <formula>$N$5*0.9</formula>
    </cfRule>
    <cfRule type="cellIs" dxfId="4350" priority="2" operator="greaterThan">
      <formula>$N$5*1.1</formula>
    </cfRule>
  </conditionalFormatting>
  <hyperlinks>
    <hyperlink ref="L1" location="儀表板!A1" display="(回首頁)" xr:uid="{00000000-0004-0000-2D00-000000000000}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2.15 ~ 20.28</v>
      </c>
      <c r="L1" s="83" t="s">
        <v>176</v>
      </c>
      <c r="M1" s="84" t="str">
        <f ca="1">VLOOKUP(_xlfn.NUMBERVALUE(N1),儀表板!A:B,2,FALSE)</f>
        <v>晶睿</v>
      </c>
      <c r="N1" s="85" t="str">
        <f ca="1">MID(CELL("filename",L1),FIND("]",CELL("filename",L1))+1,255)</f>
        <v>3454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0.11392631751142948</v>
      </c>
    </row>
    <row r="3" spans="1:15" s="93" customFormat="1" x14ac:dyDescent="0.25">
      <c r="A3" s="81" t="s">
        <v>179</v>
      </c>
      <c r="B3" s="94">
        <f>SUM(F19:F22,F24:F27,J19)</f>
        <v>78.524054982175102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75.659682968552673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78.257322969279983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82.468234128353743</v>
      </c>
      <c r="L3" s="100"/>
      <c r="M3" s="79" t="s">
        <v>385</v>
      </c>
      <c r="N3" s="92">
        <f>(F69-E69)/E69</f>
        <v>-0.17762560684476342</v>
      </c>
    </row>
    <row r="4" spans="1:15" s="93" customFormat="1" x14ac:dyDescent="0.25">
      <c r="A4" s="81" t="s">
        <v>182</v>
      </c>
      <c r="B4" s="96">
        <f>SUM(G36:G40)*2</f>
        <v>62</v>
      </c>
      <c r="C4" s="101"/>
      <c r="D4" s="102">
        <f>F4*(1+F141/10)</f>
        <v>8.1897500000000001</v>
      </c>
      <c r="E4" s="82">
        <f>(D4-F4)/F4</f>
        <v>2.4999999999999984E-2</v>
      </c>
      <c r="F4" s="103">
        <v>7.99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5.4358947387561134</v>
      </c>
    </row>
    <row r="5" spans="1:15" s="93" customFormat="1" x14ac:dyDescent="0.25">
      <c r="A5" s="81" t="s">
        <v>184</v>
      </c>
      <c r="B5" s="107">
        <f>SUM(F30:F34)*2</f>
        <v>98.296322489391798</v>
      </c>
      <c r="C5" s="87"/>
      <c r="D5" s="87"/>
      <c r="E5" s="87"/>
      <c r="F5" s="86"/>
      <c r="G5" s="88"/>
      <c r="M5" s="79" t="s">
        <v>375</v>
      </c>
      <c r="N5" s="152">
        <f>D62</f>
        <v>5.6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7.58358111535963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20.43</v>
      </c>
      <c r="N9" s="129"/>
    </row>
    <row r="10" spans="1:15" s="93" customFormat="1" x14ac:dyDescent="0.25">
      <c r="A10" s="123" t="s">
        <v>194</v>
      </c>
      <c r="B10" s="126">
        <f>PERCENTILE(176:176,B9)</f>
        <v>13.04</v>
      </c>
      <c r="C10" s="126">
        <f>PERCENTILE(176:176,C9)</f>
        <v>13.835000000000001</v>
      </c>
      <c r="D10" s="126">
        <f>PERCENTILE(176:176,D9)</f>
        <v>14.31</v>
      </c>
      <c r="E10" s="126">
        <f>PERCENTILE(176:176,E9)</f>
        <v>15.08</v>
      </c>
      <c r="F10" s="126">
        <f>PERCENTILE(176:176,F9)</f>
        <v>16.96</v>
      </c>
      <c r="G10" s="95"/>
      <c r="H10" s="135"/>
      <c r="I10" s="135"/>
      <c r="J10" s="135"/>
      <c r="K10" s="135"/>
      <c r="L10" s="136" t="s">
        <v>374</v>
      </c>
      <c r="M10" s="130">
        <f>MIN(176:176)</f>
        <v>10.56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32.479999999999997</v>
      </c>
      <c r="L11" s="272" t="s">
        <v>193</v>
      </c>
      <c r="M11" s="128">
        <f>STDEV(176:176)</f>
        <v>2.1797097438430759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70.903361344537828</v>
      </c>
      <c r="C13" s="141">
        <f>$B$34/5.88%</f>
        <v>86.09693877551021</v>
      </c>
      <c r="D13" s="141">
        <f>$B$34/5%</f>
        <v>101.25</v>
      </c>
      <c r="E13" s="141">
        <f>$B$34/4.35%</f>
        <v>116.37931034482759</v>
      </c>
      <c r="F13" s="141">
        <f>$B$34/3.85%</f>
        <v>131.49350649350649</v>
      </c>
      <c r="G13" s="138" t="str">
        <f>"$"&amp;ROUND(B34,2)&amp;"/"&amp;IF(STDEV(C140:F140)/AVERAGE(C140:F140)&lt;15%,"高",IF(STDEV(C140:F140)/AVERAGE(C140:F140)&lt;30%,"中","低"))</f>
        <v>$5.06/中</v>
      </c>
      <c r="H13" s="142" t="s">
        <v>199</v>
      </c>
      <c r="I13" s="143">
        <f>MAX(0,1-J15)</f>
        <v>0.28139183055975792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92.192799999999991</v>
      </c>
      <c r="C14" s="141">
        <f>$B$33*C10</f>
        <v>97.813450000000003</v>
      </c>
      <c r="D14" s="141">
        <f>$B$33*D10</f>
        <v>101.1717</v>
      </c>
      <c r="E14" s="141">
        <f>$B$33*E10</f>
        <v>106.6156</v>
      </c>
      <c r="F14" s="141">
        <f>$B$33*F10</f>
        <v>119.90720000000002</v>
      </c>
      <c r="G14" s="138" t="str">
        <f>"$"&amp;ROUND(B33,2)&amp;"/"&amp;IF(STDEV(B69:E69)/AVERAGE(B69:E69)&lt;15%,"高",IF(STDEV(B69:E69)/AVERAGE(B69:E69)&lt;30%,"中","低"))</f>
        <v>$7.07/低</v>
      </c>
      <c r="H14" s="142" t="s">
        <v>203</v>
      </c>
      <c r="I14" s="145">
        <f>G62/100*I13</f>
        <v>4.2630862329803322E-2</v>
      </c>
      <c r="J14" s="76" t="s">
        <v>204</v>
      </c>
      <c r="K14" s="146"/>
      <c r="L14" s="147">
        <f>(HLOOKUP($C$1,$105:$106,2,FALSE)-HLOOKUP($C$1,$117:$127,9,FALSE))/(HLOOKUP($C$1,$117:$128,12,FALSE)/K11)</f>
        <v>9.2434752935869717</v>
      </c>
      <c r="M14" s="148">
        <f>E135/E69</f>
        <v>0.35400907715582453</v>
      </c>
      <c r="N14" s="149">
        <f>F173/100</f>
        <v>1.5143</v>
      </c>
    </row>
    <row r="15" spans="1:15" s="93" customFormat="1" x14ac:dyDescent="0.25">
      <c r="A15" s="140" t="s">
        <v>375</v>
      </c>
      <c r="B15" s="141">
        <f>$D$62*B10</f>
        <v>73.023999999999987</v>
      </c>
      <c r="C15" s="141">
        <f>$D$62*C10</f>
        <v>77.475999999999999</v>
      </c>
      <c r="D15" s="141">
        <f>$D$62*D10</f>
        <v>80.135999999999996</v>
      </c>
      <c r="E15" s="141">
        <f>$D$62*E10</f>
        <v>84.447999999999993</v>
      </c>
      <c r="F15" s="141">
        <f>$D$62*F10</f>
        <v>94.975999999999999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0.71860816944024208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70.884067393379709</v>
      </c>
      <c r="C16" s="141">
        <f>$F$69*C10</f>
        <v>75.205603710690838</v>
      </c>
      <c r="D16" s="141">
        <f>$F$69*D10</f>
        <v>77.787653711599987</v>
      </c>
      <c r="E16" s="141">
        <f>$F$69*E10</f>
        <v>81.973292660442183</v>
      </c>
      <c r="F16" s="141">
        <f>$F$69*F10</f>
        <v>92.192774769303682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185</v>
      </c>
      <c r="J17" s="92">
        <f ca="1">IF(I17&lt;=0,"",IF(I17&lt;=MIN($B$13:$F$16),(I17-MIN($B$13:$F$16))/MIN($B$13:$F$16),IF(I17&gt;=MAX($B$13:$F$16),I17/MAX($B$13:$F$16),PERCENTRANK($B$13:$F$16,I17))))</f>
        <v>1.4069135802469137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6.1224999999999996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15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1.2093827160493826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0.16551055225442904</v>
      </c>
      <c r="J20" s="171">
        <f>HLOOKUP($C$1,$117:$127,11,FALSE)/HLOOKUP($C$1,$105:$115,11,FALSE)</f>
        <v>0.34300695666527209</v>
      </c>
      <c r="K20" s="163"/>
    </row>
    <row r="21" spans="1:14" s="93" customFormat="1" x14ac:dyDescent="0.25">
      <c r="A21" s="151" t="s">
        <v>201</v>
      </c>
      <c r="B21" s="161">
        <f>AVERAGE(C173:F173)/100</f>
        <v>1.2604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2.43988378517219</v>
      </c>
      <c r="J21" s="78"/>
      <c r="K21" s="164" t="s">
        <v>356</v>
      </c>
      <c r="L21" s="165">
        <f>HLOOKUP($C$1,$105:$115,7,FALSE)/HLOOKUP($C$1,$105:$115,11,FALSE)</f>
        <v>0.7184525849592468</v>
      </c>
      <c r="M21" s="123" t="s">
        <v>268</v>
      </c>
      <c r="N21" s="165">
        <f>HLOOKUP($C$1,$117:$127,8,FALSE)/HLOOKUP($C$1,$117:$127,11,FALSE)</f>
        <v>0.8584718179284101</v>
      </c>
    </row>
    <row r="22" spans="1:14" s="93" customFormat="1" x14ac:dyDescent="0.25">
      <c r="A22" s="140" t="s">
        <v>222</v>
      </c>
      <c r="B22" s="161">
        <f>(-1)*SUM(C133:F133)/SUM(C132:F132)</f>
        <v>0.2789876397881107</v>
      </c>
      <c r="C22" s="157"/>
      <c r="D22" s="166"/>
      <c r="E22" s="140"/>
      <c r="F22" s="159">
        <f>IF(B22&lt;=0,10,IF(B22&gt;=100%,0,(1-B22)*10))</f>
        <v>7.2101236021188928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1.6174829490199119</v>
      </c>
      <c r="J22" s="78"/>
      <c r="K22" s="142" t="s">
        <v>357</v>
      </c>
      <c r="L22" s="165">
        <f>HLOOKUP($C$1,$105:$115,4,FALSE)/HLOOKUP($C$1,$105:$115,11,FALSE)</f>
        <v>0.20914686486269213</v>
      </c>
      <c r="M22" s="123" t="s">
        <v>353</v>
      </c>
      <c r="N22" s="165">
        <f>HLOOKUP($C$1,$117:$127,4,FALSE)/HLOOKUP($C$1,$117:$127,11,FALSE)</f>
        <v>0.51747173333296348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1.5220861318778307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0.2421656351819034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1.042334422478729</v>
      </c>
      <c r="C24" s="169">
        <f>STDEV(C103:F103)</f>
        <v>3.4057652420150006E-2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62.07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0.12169038712965788</v>
      </c>
      <c r="M24" s="123" t="s">
        <v>355</v>
      </c>
      <c r="N24" s="165">
        <f>HLOOKUP($C$1,$117:$127,9,FALSE)/HLOOKUP($C$1,$117:$127,11,FALSE)</f>
        <v>0.14152818207158993</v>
      </c>
    </row>
    <row r="25" spans="1:14" s="93" customFormat="1" x14ac:dyDescent="0.25">
      <c r="A25" s="151" t="s">
        <v>366</v>
      </c>
      <c r="B25" s="255">
        <f>AVERAGE(94:94)</f>
        <v>3933.3478260869565</v>
      </c>
      <c r="C25" s="254">
        <f>STDEV(94:94)/AVERAGE(94:94)</f>
        <v>5.1860686199437929</v>
      </c>
      <c r="D25" s="76" t="str">
        <f>IF(C25&lt;=1,"高",IF(C25&lt;=2,"中","低"))</f>
        <v>低</v>
      </c>
      <c r="E25" s="149"/>
      <c r="F25" s="160">
        <f>MAX(0,10-ABS(C25))</f>
        <v>4.8139313800562071</v>
      </c>
      <c r="G25" s="88" t="s">
        <v>213</v>
      </c>
      <c r="H25" s="123" t="s">
        <v>232</v>
      </c>
      <c r="I25" s="170">
        <f>IF(HLOOKUP(C1,167:170,3,FALSE)="無",0,HLOOKUP(C1,167:170,3,FALSE))</f>
        <v>93.75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49.060869565217395</v>
      </c>
      <c r="C26" s="172">
        <f>IF(COUNTIF(168:168,"&gt;0")=0,0,STDEV(168:168))</f>
        <v>6.6377213457655158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115.39173913043479</v>
      </c>
      <c r="C27" s="172">
        <f>IF(COUNTIF(169:169,"&gt;0")=0,0,STDEV(169:169))</f>
        <v>15.775774192837407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6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0.43180000000000002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0.12029999999999999</v>
      </c>
      <c r="C31" s="157" t="s">
        <v>217</v>
      </c>
      <c r="D31" s="174">
        <f>COUNTIF(149:149,"&gt;8")/COUNT(149:149)</f>
        <v>0.69565217391304346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21.02</v>
      </c>
      <c r="C32" s="157" t="s">
        <v>217</v>
      </c>
      <c r="D32" s="174">
        <f>COUNTIF(159:159,"&gt;3")/COUNT(159:159)</f>
        <v>0.73913043478260865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7.07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5.0625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9.1481612446958991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4183505.75</v>
      </c>
      <c r="C36" s="178">
        <f>STDEV(C97:F97)</f>
        <v>461415.5016687779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43.18</v>
      </c>
      <c r="C37" s="180">
        <f>STDEV(C152:F152)</f>
        <v>1.2525174649480937</v>
      </c>
      <c r="D37" s="76" t="str">
        <f>IF(C37/B37&lt;15%,"高",IF(C37/B37&lt;30%,"中","低"))</f>
        <v>高</v>
      </c>
      <c r="E37" s="107">
        <f>IF(F152&gt;E152,1,0)+IF(E152&gt;D152,1,0)+IF(D152&gt;C152,1,0)</f>
        <v>0</v>
      </c>
      <c r="F37" s="179"/>
      <c r="G37" s="160">
        <f>IF(D37="高",6,IF(D37="中",4,2))+E37+1</f>
        <v>7</v>
      </c>
    </row>
    <row r="38" spans="1:14" x14ac:dyDescent="0.25">
      <c r="A38" s="164" t="s">
        <v>249</v>
      </c>
      <c r="B38" s="180">
        <f>AVERAGE(C153:F153)</f>
        <v>13.337499999999999</v>
      </c>
      <c r="C38" s="180">
        <f>STDEV(C153:F153)</f>
        <v>4.6125435860632669</v>
      </c>
      <c r="D38" s="76" t="str">
        <f>IF(C38/B38&lt;15%,"高",IF(C38/B38&lt;30%,"中","低"))</f>
        <v>低</v>
      </c>
      <c r="E38" s="107">
        <f>IF(F153&gt;E153,1,0)+IF(E153&gt;D153,1,0)+IF(D153&gt;C153,1,0)</f>
        <v>2</v>
      </c>
      <c r="F38" s="179"/>
      <c r="G38" s="160">
        <f>IF(D38="高",6,IF(D38="中",4,2))+E38+1</f>
        <v>5</v>
      </c>
    </row>
    <row r="39" spans="1:14" x14ac:dyDescent="0.25">
      <c r="A39" s="142" t="s">
        <v>46</v>
      </c>
      <c r="B39" s="181">
        <f>AVERAGE(C165:F165)</f>
        <v>21.02</v>
      </c>
      <c r="C39" s="181">
        <f>STDEV(C165:F165)</f>
        <v>8.8869417311768863</v>
      </c>
      <c r="D39" s="76" t="str">
        <f>IF(C39/B39&lt;15%,"高",IF(C39/B39&lt;30%,"中","低"))</f>
        <v>低</v>
      </c>
      <c r="E39" s="107">
        <f>IF(F165&gt;E165,1,0)+IF(E165&gt;D165,1,0)+IF(D165&gt;C165,1,0)</f>
        <v>2</v>
      </c>
      <c r="F39" s="182"/>
      <c r="G39" s="160">
        <f>IF(D39="高",6,IF(D39="中",4,2))+E39+1</f>
        <v>5</v>
      </c>
    </row>
    <row r="40" spans="1:14" x14ac:dyDescent="0.25">
      <c r="A40" s="164" t="s">
        <v>14</v>
      </c>
      <c r="B40" s="183">
        <f>AVERAGE(B69:E69)</f>
        <v>7.07</v>
      </c>
      <c r="C40" s="183">
        <f>STDEV(B69:E69)</f>
        <v>2.2954447644556066</v>
      </c>
      <c r="D40" s="76" t="str">
        <f>IF(C40/B40&lt;15%,"高",IF(C40/B40&lt;30%,"中","低"))</f>
        <v>低</v>
      </c>
      <c r="E40" s="107">
        <f>IF(E69&gt;D69,1,0)+IF(D69&gt;C69,1,0)+IF(C69&gt;B69,1,0)</f>
        <v>2</v>
      </c>
      <c r="G40" s="160">
        <f>IF(D40="高",6,IF(D40="中",4,2))+E40+1</f>
        <v>5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6.5693430656934199E-2</v>
      </c>
      <c r="C44" s="186">
        <f>(C46-C49)/C49</f>
        <v>-0.23671497584541054</v>
      </c>
      <c r="D44" s="186">
        <f>(D46-D49)/D49</f>
        <v>-0.52586206896551713</v>
      </c>
      <c r="E44" s="186">
        <f>(E46-E49)/E49</f>
        <v>0.93269230769230738</v>
      </c>
      <c r="G44" s="86" t="s">
        <v>175</v>
      </c>
      <c r="H44" s="186">
        <f>(H47-H50)/H50</f>
        <v>-0.37578125000000001</v>
      </c>
      <c r="I44" s="186">
        <f>(I47-I50)/I50</f>
        <v>-0.35172921265636486</v>
      </c>
      <c r="J44" s="186">
        <f>(J47-J50)/J50</f>
        <v>-0.37254901960784309</v>
      </c>
      <c r="K44" s="186">
        <f>(K47-K50)/K50</f>
        <v>0.64792899408284044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1.46</v>
      </c>
      <c r="C46" s="152">
        <f>HLOOKUP(C45,$81:$82,2,FALSE)</f>
        <v>1.58</v>
      </c>
      <c r="D46" s="152">
        <f>HLOOKUP(D45,$81:$82,2,FALSE)</f>
        <v>0.55000000000000004</v>
      </c>
      <c r="E46" s="152">
        <f>HLOOKUP(E45,$81:$82,2,FALSE)</f>
        <v>2.0099999999999998</v>
      </c>
      <c r="G46" s="86" t="s">
        <v>164</v>
      </c>
      <c r="H46" s="145">
        <f>HLOOKUP(H45,$145:$147,2,FALSE)/100</f>
        <v>0.35039999999999999</v>
      </c>
      <c r="I46" s="145">
        <f>HLOOKUP(I45,$145:$147,2,FALSE)/100</f>
        <v>0.33579999999999999</v>
      </c>
      <c r="J46" s="145">
        <f>HLOOKUP(J45,$145:$147,2,FALSE)/100</f>
        <v>0.34899999999999998</v>
      </c>
      <c r="K46" s="145">
        <f>HLOOKUP(K45,$145:$147,2,FALSE)/100</f>
        <v>0.41920000000000002</v>
      </c>
    </row>
    <row r="47" spans="1:14" x14ac:dyDescent="0.25">
      <c r="A47" s="188" t="s">
        <v>165</v>
      </c>
      <c r="B47" s="189">
        <f>HLOOKUP(B45,$157:$159,3,FALSE)</f>
        <v>3.6</v>
      </c>
      <c r="C47" s="189">
        <f>HLOOKUP(C45,$157:$159,3,FALSE)</f>
        <v>4.4400000000000004</v>
      </c>
      <c r="D47" s="189">
        <f>HLOOKUP(D45,$157:$159,3,FALSE)</f>
        <v>0.93</v>
      </c>
      <c r="E47" s="189">
        <f>HLOOKUP(E45,$157:$159,3,FALSE)</f>
        <v>6.18</v>
      </c>
      <c r="G47" s="190" t="s">
        <v>166</v>
      </c>
      <c r="H47" s="145">
        <f>HLOOKUP(H45,$145:$147,3,FALSE)/100</f>
        <v>7.9899999999999999E-2</v>
      </c>
      <c r="I47" s="145">
        <f>HLOOKUP(I45,$145:$147,3,FALSE)/100</f>
        <v>8.8100000000000012E-2</v>
      </c>
      <c r="J47" s="145">
        <f>HLOOKUP(J45,$145:$147,3,FALSE)/100</f>
        <v>6.4000000000000001E-2</v>
      </c>
      <c r="K47" s="145">
        <f>HLOOKUP(K45,$145:$147,3,FALSE)/100</f>
        <v>0.1114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1.37</v>
      </c>
      <c r="C49" s="152">
        <f>HLOOKUP(C48,$81:$82,2,FALSE)</f>
        <v>2.0699999999999998</v>
      </c>
      <c r="D49" s="152">
        <f>HLOOKUP(D48,$81:$82,2,FALSE)</f>
        <v>1.1599999999999999</v>
      </c>
      <c r="E49" s="152">
        <f>HLOOKUP(E48,$81:$82,2,FALSE)</f>
        <v>1.04</v>
      </c>
      <c r="G49" s="86" t="s">
        <v>164</v>
      </c>
      <c r="H49" s="145">
        <f>HLOOKUP(H48,$145:$147,2,FALSE)/100</f>
        <v>0.44579999999999997</v>
      </c>
      <c r="I49" s="145">
        <f>HLOOKUP(I48,$145:$147,2,FALSE)/100</f>
        <v>0.40990000000000004</v>
      </c>
      <c r="J49" s="145">
        <f>HLOOKUP(J48,$145:$147,2,FALSE)/100</f>
        <v>0.4194</v>
      </c>
      <c r="K49" s="145">
        <f>HLOOKUP(K48,$145:$147,2,FALSE)/100</f>
        <v>0.39740000000000003</v>
      </c>
    </row>
    <row r="50" spans="1:15" x14ac:dyDescent="0.25">
      <c r="A50" s="188" t="s">
        <v>165</v>
      </c>
      <c r="B50" s="189">
        <f>HLOOKUP(B48,$157:$159,3,FALSE)</f>
        <v>3.96</v>
      </c>
      <c r="C50" s="189">
        <f>HLOOKUP(C48,$157:$159,3,FALSE)</f>
        <v>5.89</v>
      </c>
      <c r="D50" s="189">
        <f>HLOOKUP(D48,$157:$159,3,FALSE)</f>
        <v>2.9</v>
      </c>
      <c r="E50" s="189">
        <f>HLOOKUP(E48,$157:$159,3,FALSE)</f>
        <v>2.56</v>
      </c>
      <c r="G50" s="190" t="s">
        <v>166</v>
      </c>
      <c r="H50" s="145">
        <f>HLOOKUP(H48,$145:$147,3,FALSE)/100</f>
        <v>0.128</v>
      </c>
      <c r="I50" s="145">
        <f>HLOOKUP(I48,$145:$147,3,FALSE)/100</f>
        <v>0.13589999999999999</v>
      </c>
      <c r="J50" s="145">
        <f>HLOOKUP(J48,$145:$147,3,FALSE)/100</f>
        <v>0.10199999999999999</v>
      </c>
      <c r="K50" s="145">
        <f>HLOOKUP(K48,$145:$147,3,FALSE)/100</f>
        <v>6.7599999999999993E-2</v>
      </c>
    </row>
    <row r="51" spans="1:15" x14ac:dyDescent="0.25">
      <c r="A51" s="86" t="s">
        <v>351</v>
      </c>
      <c r="B51" s="186">
        <f>(B47-B50)/B50</f>
        <v>-9.0909090909090884E-2</v>
      </c>
      <c r="C51" s="186">
        <f>(C47-C50)/C50</f>
        <v>-0.2461799660441425</v>
      </c>
      <c r="D51" s="186">
        <f>(D47-D50)/D50</f>
        <v>-0.67931034482758612</v>
      </c>
      <c r="E51" s="186">
        <f>(E47-E50)/E50</f>
        <v>1.4140624999999998</v>
      </c>
      <c r="G51" s="235" t="s">
        <v>174</v>
      </c>
      <c r="H51" s="186">
        <f>(H46-H49)/H49</f>
        <v>-0.2139973082099596</v>
      </c>
      <c r="I51" s="186">
        <f>(I46-I49)/I49</f>
        <v>-0.18077579897535995</v>
      </c>
      <c r="J51" s="186">
        <f>(J46-J49)/J49</f>
        <v>-0.16785884597043399</v>
      </c>
      <c r="K51" s="186">
        <f>(K46-K49)/K49</f>
        <v>5.4856567689984863E-2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7.58358111535963</v>
      </c>
      <c r="B53" s="193">
        <f>B46</f>
        <v>1.46</v>
      </c>
      <c r="C53" s="193">
        <f>E46/HLOOKUP(E45,$87:$94,5,FALSE)*HLOOKUP(E45,$87:$94,4,FALSE)*($B$25/HLOOKUP(E45,$87:$94,4,FALSE)+SUM($B$57:$D$57)/SUM($B58:$D$58)*$G$69/100/K46)</f>
        <v>1.8458947387561135</v>
      </c>
      <c r="D53" s="193">
        <f>D46/HLOOKUP(D45,$87:$94,5,FALSE)*HLOOKUP(D45,$87:$94,4,FALSE)*($B$25/HLOOKUP(D45,$87:$94,4,FALSE)+SUM($B$57:$D$57)/SUM($B58:$D$58)*$G$69/100/J46)</f>
        <v>2.1407033712273762</v>
      </c>
      <c r="E53" s="193">
        <f>C46/HLOOKUP(C45,$87:$94,5,FALSE)*HLOOKUP(C45,$87:$94,4,FALSE)*($B$25/HLOOKUP(C45,$87:$94,4,FALSE)+SUM($B$57:$D$57)/SUM($B58:$D$58)*$G$69/100/I46)</f>
        <v>2.1369830053761398</v>
      </c>
    </row>
    <row r="54" spans="1:15" x14ac:dyDescent="0.25">
      <c r="A54" s="278">
        <f>SUM(B54:E54)</f>
        <v>5.51</v>
      </c>
      <c r="B54" s="277">
        <f t="shared" ref="B54:D54" si="0">HLOOKUP(B52-10,81:82,2,FALSE)</f>
        <v>1.37</v>
      </c>
      <c r="C54" s="277">
        <f t="shared" si="0"/>
        <v>2.0099999999999998</v>
      </c>
      <c r="D54" s="277">
        <f t="shared" si="0"/>
        <v>0.55000000000000004</v>
      </c>
      <c r="E54" s="277">
        <f>HLOOKUP(E52-10,81:82,2,FALSE)</f>
        <v>1.58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546233</v>
      </c>
      <c r="C57" s="196">
        <f>HLOOKUP(C56,78:79,2,FALSE)</f>
        <v>499226</v>
      </c>
      <c r="D57" s="196">
        <f>HLOOKUP(D56,78:79,2,FALSE)</f>
        <v>460770</v>
      </c>
      <c r="E57" s="196">
        <f>HLOOKUP(E56,78:79,2,FALSE)</f>
        <v>453240</v>
      </c>
      <c r="F57" s="196">
        <f>HLOOKUP(F56,78:79,2,FALSE)</f>
        <v>570273</v>
      </c>
      <c r="G57" s="196">
        <f t="shared" ref="G57:M57" si="2">HLOOKUP(G56,78:79,2,FALSE)</f>
        <v>539111</v>
      </c>
      <c r="H57" s="196">
        <f t="shared" si="2"/>
        <v>466398</v>
      </c>
      <c r="I57" s="196">
        <f t="shared" si="2"/>
        <v>519506</v>
      </c>
      <c r="J57" s="196">
        <f t="shared" si="2"/>
        <v>387990</v>
      </c>
      <c r="K57" s="196">
        <f t="shared" si="2"/>
        <v>353061</v>
      </c>
      <c r="L57" s="196">
        <f t="shared" si="2"/>
        <v>446570</v>
      </c>
      <c r="M57" s="196">
        <f t="shared" si="2"/>
        <v>353673</v>
      </c>
      <c r="N57" s="197"/>
    </row>
    <row r="58" spans="1:15" x14ac:dyDescent="0.25">
      <c r="A58" s="198" t="s">
        <v>253</v>
      </c>
      <c r="B58" s="196">
        <f>HLOOKUP(B56-100,78:79,2,FALSE)</f>
        <v>405654</v>
      </c>
      <c r="C58" s="196">
        <f>HLOOKUP(C56-100,78:79,2,FALSE)</f>
        <v>380011</v>
      </c>
      <c r="D58" s="196">
        <f>HLOOKUP(D56-100,78:79,2,FALSE)</f>
        <v>392996</v>
      </c>
      <c r="E58" s="196">
        <f>HLOOKUP(E56-100,78:79,2,FALSE)</f>
        <v>404909</v>
      </c>
      <c r="F58" s="196">
        <f>HLOOKUP(F56-100,78:79,2,FALSE)</f>
        <v>480384</v>
      </c>
      <c r="G58" s="196">
        <f t="shared" ref="G58:M58" si="3">HLOOKUP(G56-100,78:79,2,FALSE)</f>
        <v>443644</v>
      </c>
      <c r="H58" s="196">
        <f t="shared" si="3"/>
        <v>424860</v>
      </c>
      <c r="I58" s="196">
        <f t="shared" si="3"/>
        <v>416872</v>
      </c>
      <c r="J58" s="196">
        <f t="shared" si="3"/>
        <v>303279</v>
      </c>
      <c r="K58" s="196">
        <f t="shared" si="3"/>
        <v>347376</v>
      </c>
      <c r="L58" s="196">
        <f t="shared" si="3"/>
        <v>395190</v>
      </c>
      <c r="M58" s="196">
        <f t="shared" si="3"/>
        <v>304985</v>
      </c>
      <c r="N58" s="197"/>
    </row>
    <row r="59" spans="1:15" x14ac:dyDescent="0.25">
      <c r="A59" s="199" t="s">
        <v>254</v>
      </c>
      <c r="B59" s="165">
        <f>IF(B57&lt;&gt;"",(B57-B58)/B58,"")</f>
        <v>0.34654902946846328</v>
      </c>
      <c r="C59" s="165">
        <f>IF(C57&lt;&gt;"",(C57-C58)/C58,"")</f>
        <v>0.31371460299833426</v>
      </c>
      <c r="D59" s="165">
        <f>IF(D57&lt;&gt;"",(D57-D58)/D58,"")</f>
        <v>0.17245468147258497</v>
      </c>
      <c r="E59" s="165">
        <f>IF(E57&lt;&gt;"",(E57-E58)/E58,"")</f>
        <v>0.11936262221881953</v>
      </c>
      <c r="F59" s="165">
        <f>IF(F57&lt;&gt;"",(F57-F58)/F58,"")</f>
        <v>0.18711905475619503</v>
      </c>
      <c r="G59" s="165">
        <f t="shared" ref="G59:M59" si="4">IF(G57&lt;&gt;"",(G57-G58)/G58,"")</f>
        <v>0.21518830413574849</v>
      </c>
      <c r="H59" s="165">
        <f t="shared" si="4"/>
        <v>9.7768676740573365E-2</v>
      </c>
      <c r="I59" s="165">
        <f t="shared" si="4"/>
        <v>0.24620027250570919</v>
      </c>
      <c r="J59" s="165">
        <f t="shared" si="4"/>
        <v>0.27931706448517701</v>
      </c>
      <c r="K59" s="165">
        <f t="shared" si="4"/>
        <v>1.6365552024319469E-2</v>
      </c>
      <c r="L59" s="165">
        <f t="shared" si="4"/>
        <v>0.1300134112705281</v>
      </c>
      <c r="M59" s="165">
        <f t="shared" si="4"/>
        <v>0.15964063806416709</v>
      </c>
    </row>
    <row r="60" spans="1:15" x14ac:dyDescent="0.25">
      <c r="A60" s="195" t="s">
        <v>255</v>
      </c>
      <c r="B60" s="196">
        <f>SUM(B57:M57)</f>
        <v>5596051</v>
      </c>
    </row>
    <row r="61" spans="1:15" x14ac:dyDescent="0.25">
      <c r="A61" s="198" t="s">
        <v>256</v>
      </c>
      <c r="B61" s="196">
        <f>SUM(B58:M58)</f>
        <v>4700160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1.1906086175789761</v>
      </c>
      <c r="D62" s="152">
        <f>SUM(B46:E46)</f>
        <v>5.6</v>
      </c>
      <c r="E62" s="152">
        <f>SUM(B49:E49)</f>
        <v>5.64</v>
      </c>
      <c r="G62" s="126">
        <f>SUM(B47:E47)</f>
        <v>15.15</v>
      </c>
      <c r="H62" s="126">
        <f>SUM(B50:E50)</f>
        <v>15.31</v>
      </c>
      <c r="J62" s="200">
        <f>AVERAGE(H46:K46)</f>
        <v>0.36359999999999998</v>
      </c>
      <c r="K62" s="200">
        <f>AVERAGE(H49:K49)</f>
        <v>0.41812500000000002</v>
      </c>
      <c r="M62" s="200">
        <f>AVERAGE(H47:K47)</f>
        <v>8.585000000000001E-2</v>
      </c>
      <c r="N62" s="200">
        <f>AVERAGE(H50:K50)</f>
        <v>0.108375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2.85</v>
      </c>
      <c r="C65" s="205">
        <f t="shared" si="5"/>
        <v>1.75</v>
      </c>
      <c r="D65" s="205">
        <f t="shared" si="5"/>
        <v>1.06</v>
      </c>
      <c r="E65" s="205">
        <f t="shared" si="5"/>
        <v>1.1599999999999999</v>
      </c>
      <c r="F65" s="206">
        <f>IF(ISNA(HLOOKUP(F$64*10+$A65,$81:$82,2,FALSE)),(HLOOKUP(E$64*10+$A65,$87:$94,4,FALSE)*$G65+$B$25)/HLOOKUP(E$64*10+$A65,$87:$94,5,FALSE)*$E65,HLOOKUP(F$64*10+$A65,$81:$82,2,FALSE))</f>
        <v>0.55000000000000004</v>
      </c>
      <c r="G65" s="101">
        <f>MIN(130%,SUM($B$57:$D$57)/SUM($B$58:$D$58)*$G$69/HLOOKUP(E$64*10+$A65,$145:$146,2,FALSE))</f>
        <v>1.1500379094128683</v>
      </c>
      <c r="H65" s="204">
        <v>1</v>
      </c>
      <c r="I65" s="208">
        <f t="shared" ref="I65:M68" si="6">IF(ISNA(HLOOKUP(I$64*10+$H65,$145:$147,3,FALSE)),"",HLOOKUP(I$64*10+$H65,$145:$147,3,FALSE)/100)</f>
        <v>0.22020000000000001</v>
      </c>
      <c r="J65" s="208">
        <f t="shared" si="6"/>
        <v>0.14119999999999999</v>
      </c>
      <c r="K65" s="208">
        <f t="shared" si="6"/>
        <v>0.10869999999999999</v>
      </c>
      <c r="L65" s="208">
        <f t="shared" si="6"/>
        <v>0.10199999999999999</v>
      </c>
      <c r="M65" s="209">
        <f t="shared" si="6"/>
        <v>6.4000000000000001E-2</v>
      </c>
      <c r="N65" s="256">
        <f t="shared" ref="N65:O68" si="7">HLOOKUP(E$64*10+$A65,$87:$94,8,FALSE)</f>
        <v>-15035</v>
      </c>
      <c r="O65" s="256">
        <f t="shared" si="7"/>
        <v>-50989</v>
      </c>
      <c r="P65" s="210"/>
    </row>
    <row r="66" spans="1:71" x14ac:dyDescent="0.25">
      <c r="A66" s="204">
        <v>2</v>
      </c>
      <c r="B66" s="205">
        <f t="shared" si="5"/>
        <v>3.06</v>
      </c>
      <c r="C66" s="205">
        <f t="shared" si="5"/>
        <v>0.6</v>
      </c>
      <c r="D66" s="205">
        <f t="shared" si="5"/>
        <v>2.08</v>
      </c>
      <c r="E66" s="205">
        <f t="shared" si="5"/>
        <v>2.0699999999999998</v>
      </c>
      <c r="F66" s="206">
        <f>IF(ISNA(HLOOKUP(F$64*10+$A66,$81:$82,2,FALSE)),(HLOOKUP(E$64*10+$A66,$87:$94,4,FALSE)*$G66+$B$25)/HLOOKUP(E$64*10+$A66,$87:$94,5,FALSE)*$E66,HLOOKUP(F$64*10+$A66,$81:$82,2,FALSE))</f>
        <v>1.58</v>
      </c>
      <c r="G66" s="101">
        <f>MIN(130%,SUM($B$57:$D$57)/SUM($B$58:$D$58)*$G$69/HLOOKUP(E$64*10+$A66,$145:$146,2,FALSE))</f>
        <v>1.17669163017262</v>
      </c>
      <c r="H66" s="204">
        <v>2</v>
      </c>
      <c r="I66" s="208">
        <f t="shared" si="6"/>
        <v>0.23309999999999997</v>
      </c>
      <c r="J66" s="208">
        <f t="shared" si="6"/>
        <v>5.3699999999999998E-2</v>
      </c>
      <c r="K66" s="208">
        <f t="shared" si="6"/>
        <v>0.154</v>
      </c>
      <c r="L66" s="208">
        <f t="shared" si="6"/>
        <v>0.13589999999999999</v>
      </c>
      <c r="M66" s="209">
        <f t="shared" si="6"/>
        <v>8.8100000000000012E-2</v>
      </c>
      <c r="N66" s="256">
        <f t="shared" si="7"/>
        <v>5805</v>
      </c>
      <c r="O66" s="256">
        <f t="shared" si="7"/>
        <v>11514</v>
      </c>
      <c r="P66" s="210"/>
    </row>
    <row r="67" spans="1:71" x14ac:dyDescent="0.25">
      <c r="A67" s="204">
        <v>3</v>
      </c>
      <c r="B67" s="205">
        <f t="shared" si="5"/>
        <v>2.59</v>
      </c>
      <c r="C67" s="205">
        <f t="shared" si="5"/>
        <v>1.93</v>
      </c>
      <c r="D67" s="205">
        <f t="shared" si="5"/>
        <v>2.0499999999999998</v>
      </c>
      <c r="E67" s="205">
        <f t="shared" si="5"/>
        <v>1.37</v>
      </c>
      <c r="F67" s="206">
        <f>IF(ISNA(HLOOKUP(F$64*10+$A67,$81:$82,2,FALSE)),(HLOOKUP(E$64*10+$A67,$87:$94,4,FALSE)*$G67+$B$25)/HLOOKUP(E$64*10+$A67,$87:$94,5,FALSE)*$E67,HLOOKUP(F$64*10+$A67,$81:$82,2,FALSE))</f>
        <v>1.46</v>
      </c>
      <c r="G67" s="101">
        <f>MIN(130%,SUM($B$57:$D$57)/SUM($B$58:$D$58)*$G$69/HLOOKUP(E$64*10+$A67,$145:$146,2,FALSE))</f>
        <v>1.0819333764193741</v>
      </c>
      <c r="H67" s="204">
        <v>3</v>
      </c>
      <c r="I67" s="208">
        <f t="shared" si="6"/>
        <v>0.2102</v>
      </c>
      <c r="J67" s="208">
        <f t="shared" si="6"/>
        <v>0.14410000000000001</v>
      </c>
      <c r="K67" s="208">
        <f t="shared" si="6"/>
        <v>0.1103</v>
      </c>
      <c r="L67" s="208">
        <f t="shared" si="6"/>
        <v>0.128</v>
      </c>
      <c r="M67" s="209">
        <f t="shared" si="6"/>
        <v>7.9899999999999999E-2</v>
      </c>
      <c r="N67" s="256">
        <f t="shared" si="7"/>
        <v>-25488</v>
      </c>
      <c r="O67" s="256">
        <f t="shared" si="7"/>
        <v>-2784</v>
      </c>
      <c r="P67" s="210"/>
    </row>
    <row r="68" spans="1:71" x14ac:dyDescent="0.25">
      <c r="A68" s="204">
        <v>4</v>
      </c>
      <c r="B68" s="205">
        <f>HLOOKUP(B$64*10+$A68,$81:$82,2,FALSE)</f>
        <v>1.87</v>
      </c>
      <c r="C68" s="205">
        <f>HLOOKUP(C$64*10+$A68,$81:$82,2,FALSE)</f>
        <v>0.79</v>
      </c>
      <c r="D68" s="205">
        <f>HLOOKUP(D$64*10+$A68,$81:$82,2,FALSE)</f>
        <v>1.04</v>
      </c>
      <c r="E68" s="206">
        <f>IF(ISNA(HLOOKUP(E$64*10+$A68,$81:$82,2,FALSE)),D68*(1-$N68)*#REF!*(1+$B$25)/(1+$E$4),HLOOKUP(E$64*10+$A68,$81:$82,2,FALSE))</f>
        <v>2.0099999999999998</v>
      </c>
      <c r="F68" s="206">
        <f>IF(ISNA(HLOOKUP(F$64*10+$A68,$81:$82,2,FALSE)),(HLOOKUP(E$64*10+$A68,$87:$94,4,FALSE)*$G68+$B$25)/HLOOKUP(E$64*10+$A68,$87:$94,5,FALSE)*$E68,HLOOKUP(F$64*10+$A68,$81:$82,2,FALSE))</f>
        <v>1.8458947387561138</v>
      </c>
      <c r="G68" s="101">
        <f>MIN(130%,SUM($B$57:$D$57)/SUM($B$58:$D$58)*$G$69/HLOOKUP(E$64*10+$A68,$145:$146,2,FALSE))</f>
        <v>1.1505865916215576</v>
      </c>
      <c r="H68" s="204">
        <v>4</v>
      </c>
      <c r="I68" s="208">
        <f t="shared" si="6"/>
        <v>0.13819999999999999</v>
      </c>
      <c r="J68" s="208">
        <f t="shared" si="6"/>
        <v>6.4199999999999993E-2</v>
      </c>
      <c r="K68" s="208">
        <f t="shared" si="6"/>
        <v>6.7599999999999993E-2</v>
      </c>
      <c r="L68" s="208">
        <f t="shared" si="6"/>
        <v>0.1114</v>
      </c>
      <c r="M68" s="209" t="str">
        <f t="shared" si="6"/>
        <v/>
      </c>
      <c r="N68" s="256">
        <f t="shared" si="7"/>
        <v>38252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10.370000000000001</v>
      </c>
      <c r="C69" s="213">
        <f>SUM(C65:C68)</f>
        <v>5.07</v>
      </c>
      <c r="D69" s="213">
        <f>SUM(D65:D68)</f>
        <v>6.2299999999999995</v>
      </c>
      <c r="E69" s="213">
        <f>SUM(E65:E68)</f>
        <v>6.6099999999999994</v>
      </c>
      <c r="F69" s="213">
        <f>SUM(F65:F68)</f>
        <v>5.4358947387561134</v>
      </c>
      <c r="G69" s="257">
        <f>_xlfn.FORECAST.ETS(23,B146:W146,{1,2,3,4,5,6,7,8,9,10,11,12,13,14,15,16,17,18,19,20,21,22})</f>
        <v>37.743180265823725</v>
      </c>
      <c r="H69" s="214" t="s">
        <v>19</v>
      </c>
      <c r="I69" s="215">
        <f>HLOOKUP(I64,151:155,3,FALSE)/100</f>
        <v>0.20149999999999998</v>
      </c>
      <c r="J69" s="215">
        <f>HLOOKUP(J64,151:155,3,FALSE)/100</f>
        <v>0.10050000000000001</v>
      </c>
      <c r="K69" s="215">
        <f>HLOOKUP(K64,151:155,3,FALSE)/100</f>
        <v>0.11130000000000001</v>
      </c>
      <c r="L69" s="215">
        <f>IF(ISNA(HLOOKUP(L64,151:155,3,FALSE)/100),AVERAGE(L65:L68),HLOOKUP(L64,151:155,3,FALSE)/100)</f>
        <v>0.1202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9.65</v>
      </c>
      <c r="C72" s="205">
        <f t="shared" si="8"/>
        <v>5.17</v>
      </c>
      <c r="D72" s="205">
        <f t="shared" si="8"/>
        <v>2.86</v>
      </c>
      <c r="E72" s="205">
        <f t="shared" si="8"/>
        <v>2.9</v>
      </c>
      <c r="F72" s="205">
        <f t="shared" si="8"/>
        <v>0.93</v>
      </c>
    </row>
    <row r="73" spans="1:71" s="135" customFormat="1" x14ac:dyDescent="0.25">
      <c r="A73" s="204">
        <v>2</v>
      </c>
      <c r="B73" s="205">
        <f t="shared" si="8"/>
        <v>10.8</v>
      </c>
      <c r="C73" s="205">
        <f t="shared" si="8"/>
        <v>1.8</v>
      </c>
      <c r="D73" s="205">
        <f t="shared" si="8"/>
        <v>6.22</v>
      </c>
      <c r="E73" s="205">
        <f t="shared" si="8"/>
        <v>5.89</v>
      </c>
      <c r="F73" s="205">
        <f t="shared" si="8"/>
        <v>4.4400000000000004</v>
      </c>
    </row>
    <row r="74" spans="1:71" s="135" customFormat="1" x14ac:dyDescent="0.25">
      <c r="A74" s="204">
        <v>3</v>
      </c>
      <c r="B74" s="205">
        <f t="shared" si="8"/>
        <v>8.9499999999999993</v>
      </c>
      <c r="C74" s="205">
        <f t="shared" si="8"/>
        <v>5.73</v>
      </c>
      <c r="D74" s="205">
        <f t="shared" si="8"/>
        <v>5.85</v>
      </c>
      <c r="E74" s="205">
        <f t="shared" si="8"/>
        <v>3.96</v>
      </c>
      <c r="F74" s="205">
        <f t="shared" si="8"/>
        <v>3.6</v>
      </c>
    </row>
    <row r="75" spans="1:71" s="135" customFormat="1" x14ac:dyDescent="0.25">
      <c r="A75" s="204">
        <v>4</v>
      </c>
      <c r="B75" s="205">
        <f t="shared" si="8"/>
        <v>5.68</v>
      </c>
      <c r="C75" s="205">
        <f t="shared" si="8"/>
        <v>1.81</v>
      </c>
      <c r="D75" s="205">
        <f t="shared" si="8"/>
        <v>2.56</v>
      </c>
      <c r="E75" s="205">
        <f t="shared" si="8"/>
        <v>6.18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35.08</v>
      </c>
      <c r="C76" s="213">
        <f>SUM(C72:C75)</f>
        <v>14.51</v>
      </c>
      <c r="D76" s="213">
        <f>SUM(D72:D75)</f>
        <v>17.489999999999998</v>
      </c>
      <c r="E76" s="213">
        <f>AVERAGE(E72:E75)*4</f>
        <v>18.93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193327</v>
      </c>
      <c r="C79" s="270">
        <v>211367</v>
      </c>
      <c r="D79" s="270">
        <v>226198</v>
      </c>
      <c r="E79" s="270">
        <v>230031</v>
      </c>
      <c r="F79" s="270">
        <v>203287</v>
      </c>
      <c r="G79" s="270">
        <v>296610</v>
      </c>
      <c r="H79" s="270">
        <v>336925</v>
      </c>
      <c r="I79" s="270">
        <v>373393</v>
      </c>
      <c r="J79" s="270">
        <v>300093</v>
      </c>
      <c r="K79" s="270">
        <v>306798</v>
      </c>
      <c r="L79" s="270">
        <v>244523</v>
      </c>
      <c r="M79" s="270">
        <v>239353</v>
      </c>
      <c r="N79" s="270">
        <v>304960</v>
      </c>
      <c r="O79" s="270">
        <v>312019</v>
      </c>
      <c r="P79" s="270">
        <v>386724</v>
      </c>
      <c r="Q79" s="270">
        <v>348122</v>
      </c>
      <c r="R79" s="270">
        <v>382802</v>
      </c>
      <c r="S79" s="270">
        <v>341815</v>
      </c>
      <c r="T79" s="270">
        <v>344715</v>
      </c>
      <c r="U79" s="270">
        <v>392913</v>
      </c>
      <c r="V79" s="270">
        <v>326992</v>
      </c>
      <c r="W79" s="270">
        <v>353248</v>
      </c>
      <c r="X79" s="270">
        <v>333253</v>
      </c>
      <c r="Y79" s="270">
        <v>285353</v>
      </c>
      <c r="Z79" s="270">
        <v>286079</v>
      </c>
      <c r="AA79" s="270">
        <v>282363</v>
      </c>
      <c r="AB79" s="270">
        <v>294145</v>
      </c>
      <c r="AC79" s="270">
        <v>348948</v>
      </c>
      <c r="AD79" s="270">
        <v>354821</v>
      </c>
      <c r="AE79" s="270">
        <v>359511</v>
      </c>
      <c r="AF79" s="270">
        <v>345738</v>
      </c>
      <c r="AG79" s="270">
        <v>292508</v>
      </c>
      <c r="AH79" s="270">
        <v>341890</v>
      </c>
      <c r="AI79" s="270">
        <v>293272</v>
      </c>
      <c r="AJ79" s="270">
        <v>237248</v>
      </c>
      <c r="AK79" s="270">
        <v>245604</v>
      </c>
      <c r="AL79" s="270">
        <v>284522</v>
      </c>
      <c r="AM79" s="270">
        <v>261729</v>
      </c>
      <c r="AN79" s="270">
        <v>355019</v>
      </c>
      <c r="AO79" s="270">
        <v>330059</v>
      </c>
      <c r="AP79" s="270">
        <v>370147</v>
      </c>
      <c r="AQ79" s="270">
        <v>440730</v>
      </c>
      <c r="AR79" s="270">
        <v>354637</v>
      </c>
      <c r="AS79" s="270">
        <v>350862</v>
      </c>
      <c r="AT79" s="270">
        <v>358646</v>
      </c>
      <c r="AU79" s="270">
        <v>332226</v>
      </c>
      <c r="AV79" s="270">
        <v>304985</v>
      </c>
      <c r="AW79" s="270">
        <v>395190</v>
      </c>
      <c r="AX79" s="270">
        <v>347376</v>
      </c>
      <c r="AY79" s="270">
        <v>303279</v>
      </c>
      <c r="AZ79" s="270">
        <v>416872</v>
      </c>
      <c r="BA79" s="270">
        <v>424860</v>
      </c>
      <c r="BB79" s="270">
        <v>443644</v>
      </c>
      <c r="BC79" s="270">
        <v>480384</v>
      </c>
      <c r="BD79" s="270">
        <v>404909</v>
      </c>
      <c r="BE79" s="270">
        <v>392996</v>
      </c>
      <c r="BF79" s="270">
        <v>380011</v>
      </c>
      <c r="BG79" s="270">
        <v>405654</v>
      </c>
      <c r="BH79" s="270">
        <v>353673</v>
      </c>
      <c r="BI79" s="270">
        <v>446570</v>
      </c>
      <c r="BJ79" s="270">
        <v>353061</v>
      </c>
      <c r="BK79" s="270">
        <v>387990</v>
      </c>
      <c r="BL79" s="270">
        <v>519506</v>
      </c>
      <c r="BM79" s="270">
        <v>466398</v>
      </c>
      <c r="BN79" s="270">
        <v>539111</v>
      </c>
      <c r="BO79" s="270">
        <v>570273</v>
      </c>
      <c r="BP79" s="270">
        <v>453240</v>
      </c>
      <c r="BQ79" s="270">
        <v>460770</v>
      </c>
      <c r="BR79" s="270">
        <v>499226</v>
      </c>
      <c r="BS79" s="270">
        <v>546233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1.62</v>
      </c>
      <c r="C82" s="72">
        <v>1.8</v>
      </c>
      <c r="D82" s="72">
        <v>2.98</v>
      </c>
      <c r="E82" s="72">
        <v>2.16</v>
      </c>
      <c r="F82" s="72">
        <v>2.85</v>
      </c>
      <c r="G82" s="72">
        <v>3.06</v>
      </c>
      <c r="H82" s="72">
        <v>2.59</v>
      </c>
      <c r="I82" s="72">
        <v>1.87</v>
      </c>
      <c r="J82" s="72">
        <v>1.75</v>
      </c>
      <c r="K82" s="72">
        <v>0.6</v>
      </c>
      <c r="L82" s="72">
        <v>1.93</v>
      </c>
      <c r="M82" s="72">
        <v>0.79</v>
      </c>
      <c r="N82" s="72">
        <v>1.06</v>
      </c>
      <c r="O82" s="72">
        <v>2.08</v>
      </c>
      <c r="P82" s="72">
        <v>2.0499999999999998</v>
      </c>
      <c r="Q82" s="72">
        <v>1.04</v>
      </c>
      <c r="R82" s="72">
        <v>1.1599999999999999</v>
      </c>
      <c r="S82" s="72">
        <v>2.0699999999999998</v>
      </c>
      <c r="T82" s="72">
        <v>1.37</v>
      </c>
      <c r="U82" s="72">
        <v>2.0099999999999998</v>
      </c>
      <c r="V82" s="72">
        <v>0.55000000000000004</v>
      </c>
      <c r="W82" s="72">
        <v>1.58</v>
      </c>
      <c r="X82" s="72">
        <v>1.46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26.93</v>
      </c>
      <c r="C85" s="72">
        <v>23.86</v>
      </c>
      <c r="D85" s="72">
        <v>26.03</v>
      </c>
      <c r="E85" s="72">
        <v>28.24</v>
      </c>
      <c r="F85" s="72">
        <v>31.06</v>
      </c>
      <c r="G85" s="72">
        <v>28.21</v>
      </c>
      <c r="H85" s="72">
        <v>29.81</v>
      </c>
      <c r="I85" s="72">
        <v>31.69</v>
      </c>
      <c r="J85" s="72">
        <v>33.53</v>
      </c>
      <c r="K85" s="72">
        <v>29.9</v>
      </c>
      <c r="L85" s="72">
        <v>30.88</v>
      </c>
      <c r="M85" s="72">
        <v>31.87</v>
      </c>
      <c r="N85" s="72">
        <v>32.89</v>
      </c>
      <c r="O85" s="72">
        <v>31</v>
      </c>
      <c r="P85" s="72">
        <v>32.229999999999997</v>
      </c>
      <c r="Q85" s="72">
        <v>33.19</v>
      </c>
      <c r="R85" s="72">
        <v>34.36</v>
      </c>
      <c r="S85" s="72">
        <v>32.14</v>
      </c>
      <c r="T85" s="72">
        <v>32.4</v>
      </c>
      <c r="U85" s="72">
        <v>34.51</v>
      </c>
      <c r="V85" s="72">
        <v>34.86</v>
      </c>
      <c r="W85" s="72">
        <v>31.75</v>
      </c>
      <c r="X85" s="72">
        <v>32.479999999999997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708337</v>
      </c>
      <c r="C88" s="273">
        <v>792442</v>
      </c>
      <c r="D88" s="273">
        <v>1068206</v>
      </c>
      <c r="E88" s="273">
        <v>900893</v>
      </c>
      <c r="F88" s="273">
        <v>1004455</v>
      </c>
      <c r="G88" s="273">
        <v>1071350</v>
      </c>
      <c r="H88" s="273">
        <v>1063467</v>
      </c>
      <c r="I88" s="273">
        <v>973644</v>
      </c>
      <c r="J88" s="273">
        <v>862587</v>
      </c>
      <c r="K88" s="273">
        <v>1063280</v>
      </c>
      <c r="L88" s="273">
        <v>980136</v>
      </c>
      <c r="M88" s="273">
        <v>776124</v>
      </c>
      <c r="N88" s="273">
        <v>901270</v>
      </c>
      <c r="O88" s="273">
        <v>1140936</v>
      </c>
      <c r="P88" s="273">
        <v>1064145</v>
      </c>
      <c r="Q88" s="273">
        <v>1032401</v>
      </c>
      <c r="R88" s="273">
        <v>1067527</v>
      </c>
      <c r="S88" s="273">
        <v>1348888</v>
      </c>
      <c r="T88" s="273">
        <v>1177916</v>
      </c>
      <c r="U88" s="273">
        <v>1205897</v>
      </c>
      <c r="V88" s="273">
        <v>1260557</v>
      </c>
      <c r="W88" s="273">
        <v>1575782</v>
      </c>
      <c r="X88" s="273">
        <v>1413236</v>
      </c>
    </row>
    <row r="89" spans="1:25" ht="14.25" thickBot="1" x14ac:dyDescent="0.3">
      <c r="A89" s="250" t="s">
        <v>4</v>
      </c>
      <c r="B89" s="275">
        <v>322561</v>
      </c>
      <c r="C89" s="275">
        <v>362701</v>
      </c>
      <c r="D89" s="275">
        <v>504853</v>
      </c>
      <c r="E89" s="275">
        <v>415275</v>
      </c>
      <c r="F89" s="275">
        <v>458963</v>
      </c>
      <c r="G89" s="275">
        <v>490976</v>
      </c>
      <c r="H89" s="275">
        <v>499718</v>
      </c>
      <c r="I89" s="275">
        <v>402722</v>
      </c>
      <c r="J89" s="275">
        <v>402633</v>
      </c>
      <c r="K89" s="275">
        <v>420661</v>
      </c>
      <c r="L89" s="275">
        <v>428157</v>
      </c>
      <c r="M89" s="275">
        <v>322390</v>
      </c>
      <c r="N89" s="275">
        <v>399164</v>
      </c>
      <c r="O89" s="275">
        <v>487880</v>
      </c>
      <c r="P89" s="275">
        <v>466447</v>
      </c>
      <c r="Q89" s="275">
        <v>410298</v>
      </c>
      <c r="R89" s="275">
        <v>447715</v>
      </c>
      <c r="S89" s="275">
        <v>552910</v>
      </c>
      <c r="T89" s="275">
        <v>525077</v>
      </c>
      <c r="U89" s="275">
        <v>505529</v>
      </c>
      <c r="V89" s="275">
        <v>439875</v>
      </c>
      <c r="W89" s="275">
        <v>529083</v>
      </c>
      <c r="X89" s="275">
        <v>495160</v>
      </c>
    </row>
    <row r="90" spans="1:25" ht="14.25" thickBot="1" x14ac:dyDescent="0.3">
      <c r="A90" s="251" t="s">
        <v>5</v>
      </c>
      <c r="B90" s="273">
        <v>130571</v>
      </c>
      <c r="C90" s="273">
        <v>136972</v>
      </c>
      <c r="D90" s="273">
        <v>257156</v>
      </c>
      <c r="E90" s="273">
        <v>165393</v>
      </c>
      <c r="F90" s="273">
        <v>221195</v>
      </c>
      <c r="G90" s="273">
        <v>249728</v>
      </c>
      <c r="H90" s="273">
        <v>223505</v>
      </c>
      <c r="I90" s="273">
        <v>134521</v>
      </c>
      <c r="J90" s="273">
        <v>121788</v>
      </c>
      <c r="K90" s="273">
        <v>57110</v>
      </c>
      <c r="L90" s="273">
        <v>141209</v>
      </c>
      <c r="M90" s="273">
        <v>49841</v>
      </c>
      <c r="N90" s="273">
        <v>97956</v>
      </c>
      <c r="O90" s="273">
        <v>175689</v>
      </c>
      <c r="P90" s="273">
        <v>117357</v>
      </c>
      <c r="Q90" s="273">
        <v>69741</v>
      </c>
      <c r="R90" s="273">
        <v>108894</v>
      </c>
      <c r="S90" s="273">
        <v>183257</v>
      </c>
      <c r="T90" s="273">
        <v>150720</v>
      </c>
      <c r="U90" s="273">
        <v>134330</v>
      </c>
      <c r="V90" s="273">
        <v>80629</v>
      </c>
      <c r="W90" s="273">
        <v>138851</v>
      </c>
      <c r="X90" s="273">
        <v>112903</v>
      </c>
    </row>
    <row r="91" spans="1:25" ht="14.25" thickBot="1" x14ac:dyDescent="0.3">
      <c r="A91" s="250" t="s">
        <v>6</v>
      </c>
      <c r="B91" s="275">
        <v>125720</v>
      </c>
      <c r="C91" s="275">
        <v>144210</v>
      </c>
      <c r="D91" s="275">
        <v>249501</v>
      </c>
      <c r="E91" s="275">
        <v>170210</v>
      </c>
      <c r="F91" s="275">
        <v>239147</v>
      </c>
      <c r="G91" s="275">
        <v>262382</v>
      </c>
      <c r="H91" s="275">
        <v>223233</v>
      </c>
      <c r="I91" s="275">
        <v>144996</v>
      </c>
      <c r="J91" s="275">
        <v>138478</v>
      </c>
      <c r="K91" s="275">
        <v>47914</v>
      </c>
      <c r="L91" s="275">
        <v>157034</v>
      </c>
      <c r="M91" s="275">
        <v>69406</v>
      </c>
      <c r="N91" s="275">
        <v>86581</v>
      </c>
      <c r="O91" s="275">
        <v>176271</v>
      </c>
      <c r="P91" s="275">
        <v>167076</v>
      </c>
      <c r="Q91" s="275">
        <v>76765</v>
      </c>
      <c r="R91" s="275">
        <v>93859</v>
      </c>
      <c r="S91" s="275">
        <v>189062</v>
      </c>
      <c r="T91" s="275">
        <v>125232</v>
      </c>
      <c r="U91" s="275">
        <v>172582</v>
      </c>
      <c r="V91" s="275">
        <v>29640</v>
      </c>
      <c r="W91" s="275">
        <v>150365</v>
      </c>
      <c r="X91" s="275">
        <v>110119</v>
      </c>
    </row>
    <row r="92" spans="1:25" ht="14.25" thickBot="1" x14ac:dyDescent="0.3">
      <c r="A92" s="251" t="s">
        <v>7</v>
      </c>
      <c r="B92" s="273">
        <v>101775</v>
      </c>
      <c r="C92" s="273">
        <v>119188</v>
      </c>
      <c r="D92" s="273">
        <v>198613</v>
      </c>
      <c r="E92" s="273">
        <v>143861</v>
      </c>
      <c r="F92" s="273">
        <v>194133</v>
      </c>
      <c r="G92" s="273">
        <v>217255</v>
      </c>
      <c r="H92" s="273">
        <v>179352</v>
      </c>
      <c r="I92" s="273">
        <v>123995</v>
      </c>
      <c r="J92" s="273">
        <v>121159</v>
      </c>
      <c r="K92" s="273">
        <v>42335</v>
      </c>
      <c r="L92" s="273">
        <v>135035</v>
      </c>
      <c r="M92" s="273">
        <v>44480</v>
      </c>
      <c r="N92" s="273">
        <v>72302</v>
      </c>
      <c r="O92" s="273">
        <v>155443</v>
      </c>
      <c r="P92" s="273">
        <v>147346</v>
      </c>
      <c r="Q92" s="273">
        <v>67814</v>
      </c>
      <c r="R92" s="273">
        <v>79269</v>
      </c>
      <c r="S92" s="273">
        <v>157756</v>
      </c>
      <c r="T92" s="273">
        <v>104817</v>
      </c>
      <c r="U92" s="273">
        <v>172732</v>
      </c>
      <c r="V92" s="273">
        <v>27113</v>
      </c>
      <c r="W92" s="273">
        <v>123831</v>
      </c>
      <c r="X92" s="273">
        <v>97643</v>
      </c>
    </row>
    <row r="93" spans="1:25" ht="26.25" thickBot="1" x14ac:dyDescent="0.3">
      <c r="A93" s="252" t="s">
        <v>8</v>
      </c>
      <c r="B93" s="276">
        <v>105799</v>
      </c>
      <c r="C93" s="276">
        <v>121538</v>
      </c>
      <c r="D93" s="276">
        <v>201743</v>
      </c>
      <c r="E93" s="276">
        <v>146646</v>
      </c>
      <c r="F93" s="276">
        <v>193924</v>
      </c>
      <c r="G93" s="276">
        <v>215929</v>
      </c>
      <c r="H93" s="276">
        <v>182882</v>
      </c>
      <c r="I93" s="276">
        <v>131668</v>
      </c>
      <c r="J93" s="276">
        <v>123458</v>
      </c>
      <c r="K93" s="276">
        <v>44183</v>
      </c>
      <c r="L93" s="276">
        <v>142428</v>
      </c>
      <c r="M93" s="276">
        <v>57804</v>
      </c>
      <c r="N93" s="276">
        <v>78624</v>
      </c>
      <c r="O93" s="276">
        <v>158899</v>
      </c>
      <c r="P93" s="276">
        <v>156951</v>
      </c>
      <c r="Q93" s="276">
        <v>79946</v>
      </c>
      <c r="R93" s="276">
        <v>88898</v>
      </c>
      <c r="S93" s="276">
        <v>164355</v>
      </c>
      <c r="T93" s="276">
        <v>108438</v>
      </c>
      <c r="U93" s="276">
        <v>159145</v>
      </c>
      <c r="V93" s="276">
        <v>44051</v>
      </c>
      <c r="W93" s="276">
        <v>129042</v>
      </c>
      <c r="X93" s="276">
        <v>119314</v>
      </c>
    </row>
    <row r="94" spans="1:25" x14ac:dyDescent="0.25">
      <c r="A94" s="233" t="s">
        <v>365</v>
      </c>
      <c r="B94" s="253">
        <f>IF(B91="","",B91-B90)</f>
        <v>-4851</v>
      </c>
      <c r="C94" s="253">
        <f>IF(C91="","",C91-C90)</f>
        <v>7238</v>
      </c>
      <c r="D94" s="253">
        <f t="shared" ref="D94:Y94" si="9">IF(D91="","",D91-D90)</f>
        <v>-7655</v>
      </c>
      <c r="E94" s="253">
        <f t="shared" si="9"/>
        <v>4817</v>
      </c>
      <c r="F94" s="253">
        <f t="shared" si="9"/>
        <v>17952</v>
      </c>
      <c r="G94" s="253">
        <f t="shared" si="9"/>
        <v>12654</v>
      </c>
      <c r="H94" s="253">
        <f t="shared" si="9"/>
        <v>-272</v>
      </c>
      <c r="I94" s="253">
        <f t="shared" si="9"/>
        <v>10475</v>
      </c>
      <c r="J94" s="253">
        <f t="shared" si="9"/>
        <v>16690</v>
      </c>
      <c r="K94" s="253">
        <f t="shared" si="9"/>
        <v>-9196</v>
      </c>
      <c r="L94" s="253">
        <f t="shared" si="9"/>
        <v>15825</v>
      </c>
      <c r="M94" s="253">
        <f t="shared" si="9"/>
        <v>19565</v>
      </c>
      <c r="N94" s="253">
        <f t="shared" si="9"/>
        <v>-11375</v>
      </c>
      <c r="O94" s="253">
        <f t="shared" si="9"/>
        <v>582</v>
      </c>
      <c r="P94" s="253">
        <f t="shared" si="9"/>
        <v>49719</v>
      </c>
      <c r="Q94" s="253">
        <f t="shared" si="9"/>
        <v>7024</v>
      </c>
      <c r="R94" s="253">
        <f t="shared" si="9"/>
        <v>-15035</v>
      </c>
      <c r="S94" s="253">
        <f t="shared" si="9"/>
        <v>5805</v>
      </c>
      <c r="T94" s="253">
        <f t="shared" si="9"/>
        <v>-25488</v>
      </c>
      <c r="U94" s="253">
        <f t="shared" si="9"/>
        <v>38252</v>
      </c>
      <c r="V94" s="253">
        <f t="shared" si="9"/>
        <v>-50989</v>
      </c>
      <c r="W94" s="253">
        <f t="shared" si="9"/>
        <v>11514</v>
      </c>
      <c r="X94" s="253">
        <f t="shared" si="9"/>
        <v>-2784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3469878</v>
      </c>
      <c r="C97" s="273">
        <v>4112916</v>
      </c>
      <c r="D97" s="273">
        <v>3682127</v>
      </c>
      <c r="E97" s="273">
        <v>4138752</v>
      </c>
      <c r="F97" s="273">
        <v>4800228</v>
      </c>
    </row>
    <row r="98" spans="1:24" ht="14.25" thickBot="1" x14ac:dyDescent="0.3">
      <c r="A98" s="225" t="s">
        <v>4</v>
      </c>
      <c r="B98" s="275">
        <v>1605390</v>
      </c>
      <c r="C98" s="275">
        <v>1852379</v>
      </c>
      <c r="D98" s="275">
        <v>1573841</v>
      </c>
      <c r="E98" s="275">
        <v>1763789</v>
      </c>
      <c r="F98" s="275">
        <v>2031231</v>
      </c>
    </row>
    <row r="99" spans="1:24" ht="14.25" thickBot="1" x14ac:dyDescent="0.3">
      <c r="A99" s="224" t="s">
        <v>5</v>
      </c>
      <c r="B99" s="273">
        <v>690092</v>
      </c>
      <c r="C99" s="273">
        <v>828949</v>
      </c>
      <c r="D99" s="273">
        <v>369948</v>
      </c>
      <c r="E99" s="273">
        <v>460743</v>
      </c>
      <c r="F99" s="273">
        <v>577201</v>
      </c>
    </row>
    <row r="100" spans="1:24" ht="14.25" thickBot="1" x14ac:dyDescent="0.3">
      <c r="A100" s="225" t="s">
        <v>6</v>
      </c>
      <c r="B100" s="275">
        <v>689641</v>
      </c>
      <c r="C100" s="275">
        <v>869758</v>
      </c>
      <c r="D100" s="275">
        <v>412832</v>
      </c>
      <c r="E100" s="275">
        <v>506693</v>
      </c>
      <c r="F100" s="275">
        <v>580735</v>
      </c>
    </row>
    <row r="101" spans="1:24" ht="14.25" thickBot="1" x14ac:dyDescent="0.3">
      <c r="A101" s="224" t="s">
        <v>7</v>
      </c>
      <c r="B101" s="273">
        <v>563437</v>
      </c>
      <c r="C101" s="273">
        <v>714735</v>
      </c>
      <c r="D101" s="273">
        <v>343009</v>
      </c>
      <c r="E101" s="273">
        <v>442905</v>
      </c>
      <c r="F101" s="273">
        <v>514574</v>
      </c>
    </row>
    <row r="102" spans="1:24" ht="14.25" thickBot="1" x14ac:dyDescent="0.3">
      <c r="A102" s="227" t="s">
        <v>8</v>
      </c>
      <c r="B102" s="276">
        <v>575726</v>
      </c>
      <c r="C102" s="276">
        <v>724402</v>
      </c>
      <c r="D102" s="276">
        <v>367873</v>
      </c>
      <c r="E102" s="276">
        <v>474420</v>
      </c>
      <c r="F102" s="276">
        <v>520836</v>
      </c>
    </row>
    <row r="103" spans="1:24" x14ac:dyDescent="0.25">
      <c r="A103" s="233" t="s">
        <v>262</v>
      </c>
      <c r="B103" s="234">
        <f>IF(OR(B102="",B102="無"),"",B102/B101)</f>
        <v>1.0218107791998041</v>
      </c>
      <c r="C103" s="234">
        <f>IF(OR(C102="",C102="無"),"",C102/C101)</f>
        <v>1.0135252925909604</v>
      </c>
      <c r="D103" s="234">
        <f>IF(OR(D102="",D102="無"),"",D102/D101)</f>
        <v>1.0724878939036584</v>
      </c>
      <c r="E103" s="234">
        <f>IF(OR(E102="",E102="無"),"",E102/E101)</f>
        <v>1.0711552138720493</v>
      </c>
      <c r="F103" s="234">
        <f>IF(OR(F102="",F102="無"),"",F102/F101)</f>
        <v>1.0121692895482477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751562</v>
      </c>
      <c r="C106" s="273">
        <v>864729</v>
      </c>
      <c r="D106" s="273">
        <v>693762</v>
      </c>
      <c r="E106" s="273">
        <v>805771</v>
      </c>
      <c r="F106" s="273">
        <v>725467</v>
      </c>
      <c r="G106" s="273">
        <v>1136570</v>
      </c>
      <c r="H106" s="273">
        <v>956354</v>
      </c>
      <c r="I106" s="273">
        <v>1163899</v>
      </c>
      <c r="J106" s="273">
        <v>1136121</v>
      </c>
      <c r="K106" s="273">
        <v>1324974</v>
      </c>
      <c r="L106" s="273">
        <v>1004337</v>
      </c>
      <c r="M106" s="273">
        <v>1175341</v>
      </c>
      <c r="N106" s="273">
        <v>1072847</v>
      </c>
      <c r="O106" s="273">
        <v>900117</v>
      </c>
      <c r="P106" s="273">
        <v>804197</v>
      </c>
      <c r="Q106" s="273">
        <v>1099726</v>
      </c>
      <c r="R106" s="273">
        <v>1126866</v>
      </c>
      <c r="S106" s="273">
        <v>1437009</v>
      </c>
      <c r="T106" s="273">
        <v>1078439</v>
      </c>
      <c r="U106" s="273">
        <v>1420179</v>
      </c>
      <c r="V106" s="273">
        <v>1210488</v>
      </c>
      <c r="W106" s="273">
        <v>1459842</v>
      </c>
      <c r="X106" s="273">
        <v>990228</v>
      </c>
    </row>
    <row r="107" spans="1:24" ht="14.25" thickBot="1" x14ac:dyDescent="0.3">
      <c r="A107" s="225" t="s">
        <v>22</v>
      </c>
      <c r="B107" s="275">
        <v>93113</v>
      </c>
      <c r="C107" s="275">
        <v>121689</v>
      </c>
      <c r="D107" s="275">
        <v>50348</v>
      </c>
      <c r="E107" s="275">
        <v>72392</v>
      </c>
      <c r="F107" s="275">
        <v>92869</v>
      </c>
      <c r="G107" s="274">
        <v>0</v>
      </c>
      <c r="H107" s="275">
        <v>30006</v>
      </c>
      <c r="I107" s="275">
        <v>106049</v>
      </c>
      <c r="J107" s="275">
        <v>50489</v>
      </c>
      <c r="K107" s="275">
        <v>50551</v>
      </c>
      <c r="L107" s="275">
        <v>50313</v>
      </c>
      <c r="M107" s="275">
        <v>49959</v>
      </c>
      <c r="N107" s="275">
        <v>50454</v>
      </c>
      <c r="O107" s="275">
        <v>50061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353018</v>
      </c>
      <c r="C108" s="273">
        <v>402928</v>
      </c>
      <c r="D108" s="273">
        <v>465453</v>
      </c>
      <c r="E108" s="273">
        <v>387651</v>
      </c>
      <c r="F108" s="273">
        <v>598148</v>
      </c>
      <c r="G108" s="273">
        <v>522246</v>
      </c>
      <c r="H108" s="273">
        <v>494064</v>
      </c>
      <c r="I108" s="273">
        <v>475094</v>
      </c>
      <c r="J108" s="273">
        <v>515207</v>
      </c>
      <c r="K108" s="273">
        <v>630051</v>
      </c>
      <c r="L108" s="273">
        <v>480392</v>
      </c>
      <c r="M108" s="273">
        <v>409904</v>
      </c>
      <c r="N108" s="273">
        <v>530492</v>
      </c>
      <c r="O108" s="273">
        <v>798124</v>
      </c>
      <c r="P108" s="273">
        <v>726860</v>
      </c>
      <c r="Q108" s="273">
        <v>641278</v>
      </c>
      <c r="R108" s="273">
        <v>591603</v>
      </c>
      <c r="S108" s="273">
        <v>654936</v>
      </c>
      <c r="T108" s="273">
        <v>626783</v>
      </c>
      <c r="U108" s="273">
        <v>596849</v>
      </c>
      <c r="V108" s="273">
        <v>818432</v>
      </c>
      <c r="W108" s="273">
        <v>1071060</v>
      </c>
      <c r="X108" s="273">
        <v>879349</v>
      </c>
    </row>
    <row r="109" spans="1:24" ht="14.25" thickBot="1" x14ac:dyDescent="0.3">
      <c r="A109" s="225" t="s">
        <v>264</v>
      </c>
      <c r="B109" s="275">
        <v>557698</v>
      </c>
      <c r="C109" s="275">
        <v>575589</v>
      </c>
      <c r="D109" s="275">
        <v>685048</v>
      </c>
      <c r="E109" s="275">
        <v>717907</v>
      </c>
      <c r="F109" s="275">
        <v>765859</v>
      </c>
      <c r="G109" s="275">
        <v>639142</v>
      </c>
      <c r="H109" s="275">
        <v>670594</v>
      </c>
      <c r="I109" s="275">
        <v>604340</v>
      </c>
      <c r="J109" s="275">
        <v>813865</v>
      </c>
      <c r="K109" s="275">
        <v>805512</v>
      </c>
      <c r="L109" s="275">
        <v>671965</v>
      </c>
      <c r="M109" s="275">
        <v>615549</v>
      </c>
      <c r="N109" s="275">
        <v>820955</v>
      </c>
      <c r="O109" s="275">
        <v>898906</v>
      </c>
      <c r="P109" s="275">
        <v>898740</v>
      </c>
      <c r="Q109" s="275">
        <v>865705</v>
      </c>
      <c r="R109" s="275">
        <v>893343</v>
      </c>
      <c r="S109" s="275">
        <v>816678</v>
      </c>
      <c r="T109" s="275">
        <v>909305</v>
      </c>
      <c r="U109" s="275">
        <v>907411</v>
      </c>
      <c r="V109" s="275">
        <v>869099</v>
      </c>
      <c r="W109" s="275">
        <v>890516</v>
      </c>
      <c r="X109" s="275">
        <v>1018175</v>
      </c>
    </row>
    <row r="110" spans="1:24" ht="14.25" thickBot="1" x14ac:dyDescent="0.3">
      <c r="A110" s="224" t="s">
        <v>23</v>
      </c>
      <c r="B110" s="273">
        <v>85481</v>
      </c>
      <c r="C110" s="273">
        <v>87690</v>
      </c>
      <c r="D110" s="273">
        <v>121987</v>
      </c>
      <c r="E110" s="273">
        <v>108179</v>
      </c>
      <c r="F110" s="273">
        <v>93660</v>
      </c>
      <c r="G110" s="273">
        <v>131330</v>
      </c>
      <c r="H110" s="273">
        <v>145723</v>
      </c>
      <c r="I110" s="273">
        <v>121329</v>
      </c>
      <c r="J110" s="273">
        <v>140286</v>
      </c>
      <c r="K110" s="273">
        <v>130417</v>
      </c>
      <c r="L110" s="273">
        <v>149579</v>
      </c>
      <c r="M110" s="273">
        <v>139894</v>
      </c>
      <c r="N110" s="273">
        <v>134716</v>
      </c>
      <c r="O110" s="273">
        <v>168483</v>
      </c>
      <c r="P110" s="273">
        <v>164917</v>
      </c>
      <c r="Q110" s="273">
        <v>133068</v>
      </c>
      <c r="R110" s="273">
        <v>164051</v>
      </c>
      <c r="S110" s="273">
        <v>134411</v>
      </c>
      <c r="T110" s="273">
        <v>142139</v>
      </c>
      <c r="U110" s="273">
        <v>95004</v>
      </c>
      <c r="V110" s="273">
        <v>115901</v>
      </c>
      <c r="W110" s="273">
        <v>140394</v>
      </c>
      <c r="X110" s="273">
        <v>132951</v>
      </c>
    </row>
    <row r="111" spans="1:24" ht="14.25" thickBot="1" x14ac:dyDescent="0.3">
      <c r="A111" s="225" t="s">
        <v>24</v>
      </c>
      <c r="B111" s="275">
        <v>1840872</v>
      </c>
      <c r="C111" s="275">
        <v>2052625</v>
      </c>
      <c r="D111" s="275">
        <v>2016598</v>
      </c>
      <c r="E111" s="275">
        <v>2091900</v>
      </c>
      <c r="F111" s="275">
        <v>2276003</v>
      </c>
      <c r="G111" s="275">
        <v>2429288</v>
      </c>
      <c r="H111" s="275">
        <v>2296741</v>
      </c>
      <c r="I111" s="275">
        <v>2470711</v>
      </c>
      <c r="J111" s="275">
        <v>2655968</v>
      </c>
      <c r="K111" s="275">
        <v>2941505</v>
      </c>
      <c r="L111" s="275">
        <v>2356586</v>
      </c>
      <c r="M111" s="275">
        <v>2390647</v>
      </c>
      <c r="N111" s="275">
        <v>2609464</v>
      </c>
      <c r="O111" s="275">
        <v>2815691</v>
      </c>
      <c r="P111" s="275">
        <v>2594714</v>
      </c>
      <c r="Q111" s="275">
        <v>2739777</v>
      </c>
      <c r="R111" s="275">
        <v>2775863</v>
      </c>
      <c r="S111" s="275">
        <v>3043034</v>
      </c>
      <c r="T111" s="275">
        <v>2756666</v>
      </c>
      <c r="U111" s="275">
        <v>3019443</v>
      </c>
      <c r="V111" s="275">
        <v>3013920</v>
      </c>
      <c r="W111" s="275">
        <v>3561812</v>
      </c>
      <c r="X111" s="275">
        <v>3020703</v>
      </c>
    </row>
    <row r="112" spans="1:24" ht="14.25" thickBot="1" x14ac:dyDescent="0.3">
      <c r="A112" s="224" t="s">
        <v>25</v>
      </c>
      <c r="B112" s="273">
        <v>5850</v>
      </c>
      <c r="C112" s="273">
        <v>5129</v>
      </c>
      <c r="D112" s="273">
        <v>4708</v>
      </c>
      <c r="E112" s="273">
        <v>4238</v>
      </c>
      <c r="F112" s="273">
        <v>3673</v>
      </c>
      <c r="G112" s="273">
        <v>3250</v>
      </c>
      <c r="H112" s="273">
        <v>4546</v>
      </c>
      <c r="I112" s="273">
        <v>3794</v>
      </c>
      <c r="J112" s="273">
        <v>3206</v>
      </c>
      <c r="K112" s="273">
        <v>2609</v>
      </c>
      <c r="L112" s="273">
        <v>2266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273">
        <v>9118</v>
      </c>
      <c r="T112" s="273">
        <v>7065</v>
      </c>
      <c r="U112" s="273">
        <v>5116</v>
      </c>
      <c r="V112" s="273">
        <v>4068</v>
      </c>
      <c r="W112" s="273">
        <v>2687</v>
      </c>
      <c r="X112" s="273">
        <v>1186</v>
      </c>
    </row>
    <row r="113" spans="1:24" ht="14.25" thickBot="1" x14ac:dyDescent="0.3">
      <c r="A113" s="225" t="s">
        <v>26</v>
      </c>
      <c r="B113" s="275">
        <v>362373</v>
      </c>
      <c r="C113" s="275">
        <v>370482</v>
      </c>
      <c r="D113" s="275">
        <v>372789</v>
      </c>
      <c r="E113" s="275">
        <v>459792</v>
      </c>
      <c r="F113" s="275">
        <v>453252</v>
      </c>
      <c r="G113" s="275">
        <v>448394</v>
      </c>
      <c r="H113" s="275">
        <v>445171</v>
      </c>
      <c r="I113" s="275">
        <v>448867</v>
      </c>
      <c r="J113" s="275">
        <v>444323</v>
      </c>
      <c r="K113" s="275">
        <v>454577</v>
      </c>
      <c r="L113" s="275">
        <v>455043</v>
      </c>
      <c r="M113" s="275">
        <v>464091</v>
      </c>
      <c r="N113" s="275">
        <v>458096</v>
      </c>
      <c r="O113" s="275">
        <v>455466</v>
      </c>
      <c r="P113" s="275">
        <v>455258</v>
      </c>
      <c r="Q113" s="275">
        <v>469217</v>
      </c>
      <c r="R113" s="275">
        <v>465737</v>
      </c>
      <c r="S113" s="275">
        <v>464551</v>
      </c>
      <c r="T113" s="275">
        <v>471632</v>
      </c>
      <c r="U113" s="275">
        <v>480945</v>
      </c>
      <c r="V113" s="275">
        <v>479119</v>
      </c>
      <c r="W113" s="275">
        <v>470509</v>
      </c>
      <c r="X113" s="275">
        <v>670926</v>
      </c>
    </row>
    <row r="114" spans="1:24" ht="14.25" thickBot="1" x14ac:dyDescent="0.3">
      <c r="A114" s="224" t="s">
        <v>27</v>
      </c>
      <c r="B114" s="273">
        <v>123001</v>
      </c>
      <c r="C114" s="273">
        <v>135659</v>
      </c>
      <c r="D114" s="273">
        <v>129269</v>
      </c>
      <c r="E114" s="273">
        <v>167810</v>
      </c>
      <c r="F114" s="273">
        <v>207901</v>
      </c>
      <c r="G114" s="273">
        <v>222148</v>
      </c>
      <c r="H114" s="273">
        <v>220184</v>
      </c>
      <c r="I114" s="273">
        <v>260164</v>
      </c>
      <c r="J114" s="273">
        <v>304845</v>
      </c>
      <c r="K114" s="273">
        <v>301366</v>
      </c>
      <c r="L114" s="273">
        <v>310469</v>
      </c>
      <c r="M114" s="273">
        <v>395302</v>
      </c>
      <c r="N114" s="273">
        <v>402357</v>
      </c>
      <c r="O114" s="273">
        <v>422793</v>
      </c>
      <c r="P114" s="273">
        <v>446275</v>
      </c>
      <c r="Q114" s="273">
        <v>434933</v>
      </c>
      <c r="R114" s="273">
        <v>441946</v>
      </c>
      <c r="S114" s="273">
        <v>448556</v>
      </c>
      <c r="T114" s="273">
        <v>454065</v>
      </c>
      <c r="U114" s="273">
        <v>440244</v>
      </c>
      <c r="V114" s="273">
        <v>474777</v>
      </c>
      <c r="W114" s="273">
        <v>476086</v>
      </c>
      <c r="X114" s="273">
        <v>511642</v>
      </c>
    </row>
    <row r="115" spans="1:24" ht="14.25" thickBot="1" x14ac:dyDescent="0.3">
      <c r="A115" s="225" t="s">
        <v>265</v>
      </c>
      <c r="B115" s="276">
        <v>2332096</v>
      </c>
      <c r="C115" s="276">
        <v>2563895</v>
      </c>
      <c r="D115" s="276">
        <v>2523364</v>
      </c>
      <c r="E115" s="276">
        <v>2723740</v>
      </c>
      <c r="F115" s="276">
        <v>2940829</v>
      </c>
      <c r="G115" s="276">
        <v>3103080</v>
      </c>
      <c r="H115" s="276">
        <v>2966642</v>
      </c>
      <c r="I115" s="276">
        <v>3183536</v>
      </c>
      <c r="J115" s="276">
        <v>3408342</v>
      </c>
      <c r="K115" s="276">
        <v>3700057</v>
      </c>
      <c r="L115" s="276">
        <v>3124364</v>
      </c>
      <c r="M115" s="276">
        <v>3250040</v>
      </c>
      <c r="N115" s="276">
        <v>3469917</v>
      </c>
      <c r="O115" s="276">
        <v>3693950</v>
      </c>
      <c r="P115" s="276">
        <v>3496247</v>
      </c>
      <c r="Q115" s="276">
        <v>3643927</v>
      </c>
      <c r="R115" s="276">
        <v>3683546</v>
      </c>
      <c r="S115" s="276">
        <v>3965259</v>
      </c>
      <c r="T115" s="276">
        <v>3689428</v>
      </c>
      <c r="U115" s="276">
        <v>3945748</v>
      </c>
      <c r="V115" s="276">
        <v>3971884</v>
      </c>
      <c r="W115" s="276">
        <v>4511094</v>
      </c>
      <c r="X115" s="276">
        <v>4204457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8300</v>
      </c>
      <c r="C118" s="273">
        <v>8300</v>
      </c>
      <c r="D118" s="273">
        <v>8300</v>
      </c>
      <c r="E118" s="273">
        <v>8300</v>
      </c>
      <c r="F118" s="273">
        <v>8300</v>
      </c>
      <c r="G118" s="273">
        <v>8300</v>
      </c>
      <c r="H118" s="273">
        <v>5000</v>
      </c>
      <c r="I118" s="273">
        <v>23000</v>
      </c>
      <c r="J118" s="273">
        <v>23000</v>
      </c>
      <c r="K118" s="273">
        <v>18000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273">
        <v>6000</v>
      </c>
      <c r="U118" s="273">
        <v>6000</v>
      </c>
      <c r="V118" s="273">
        <v>6000</v>
      </c>
      <c r="W118" s="273">
        <v>6000</v>
      </c>
      <c r="X118" s="273">
        <v>6000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254687</v>
      </c>
      <c r="C120" s="273">
        <v>296885</v>
      </c>
      <c r="D120" s="273">
        <v>393724</v>
      </c>
      <c r="E120" s="273">
        <v>323622</v>
      </c>
      <c r="F120" s="273">
        <v>355765</v>
      </c>
      <c r="G120" s="273">
        <v>270300</v>
      </c>
      <c r="H120" s="273">
        <v>382095</v>
      </c>
      <c r="I120" s="273">
        <v>284808</v>
      </c>
      <c r="J120" s="273">
        <v>445636</v>
      </c>
      <c r="K120" s="273">
        <v>410722</v>
      </c>
      <c r="L120" s="273">
        <v>274389</v>
      </c>
      <c r="M120" s="273">
        <v>269050</v>
      </c>
      <c r="N120" s="273">
        <v>464035</v>
      </c>
      <c r="O120" s="273">
        <v>468217</v>
      </c>
      <c r="P120" s="273">
        <v>379739</v>
      </c>
      <c r="Q120" s="273">
        <v>369671</v>
      </c>
      <c r="R120" s="273">
        <v>404509</v>
      </c>
      <c r="S120" s="273">
        <v>474433</v>
      </c>
      <c r="T120" s="273">
        <v>472145</v>
      </c>
      <c r="U120" s="273">
        <v>439317</v>
      </c>
      <c r="V120" s="273">
        <v>529203</v>
      </c>
      <c r="W120" s="273">
        <v>862518</v>
      </c>
      <c r="X120" s="273">
        <v>746276</v>
      </c>
    </row>
    <row r="121" spans="1:24" ht="14.25" thickBot="1" x14ac:dyDescent="0.3">
      <c r="A121" s="225" t="s">
        <v>267</v>
      </c>
      <c r="B121" s="275">
        <v>24053</v>
      </c>
      <c r="C121" s="275">
        <v>41916</v>
      </c>
      <c r="D121" s="275">
        <v>22767</v>
      </c>
      <c r="E121" s="275">
        <v>5604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5652</v>
      </c>
      <c r="C122" s="273">
        <v>5652</v>
      </c>
      <c r="D122" s="273">
        <v>5652</v>
      </c>
      <c r="E122" s="273">
        <v>6882</v>
      </c>
      <c r="F122" s="273">
        <v>7071</v>
      </c>
      <c r="G122" s="273">
        <v>6949</v>
      </c>
      <c r="H122" s="273">
        <v>6918</v>
      </c>
      <c r="I122" s="273">
        <v>6967</v>
      </c>
      <c r="J122" s="273">
        <v>7009</v>
      </c>
      <c r="K122" s="273">
        <v>1344</v>
      </c>
      <c r="L122" s="273">
        <v>1382</v>
      </c>
      <c r="M122" s="273">
        <v>1438</v>
      </c>
      <c r="N122" s="273">
        <v>1422</v>
      </c>
      <c r="O122" s="273">
        <v>1438</v>
      </c>
      <c r="P122" s="273">
        <v>1532</v>
      </c>
      <c r="Q122" s="273">
        <v>1566</v>
      </c>
      <c r="R122" s="273">
        <v>1556</v>
      </c>
      <c r="S122" s="273">
        <v>1437</v>
      </c>
      <c r="T122" s="273">
        <v>1629</v>
      </c>
      <c r="U122" s="273">
        <v>1663</v>
      </c>
      <c r="V122" s="273">
        <v>1472</v>
      </c>
      <c r="W122" s="273">
        <v>1494</v>
      </c>
      <c r="X122" s="273">
        <v>7541</v>
      </c>
    </row>
    <row r="123" spans="1:24" ht="14.25" thickBot="1" x14ac:dyDescent="0.3">
      <c r="A123" s="225" t="s">
        <v>31</v>
      </c>
      <c r="B123" s="275">
        <v>247456</v>
      </c>
      <c r="C123" s="275">
        <v>622036</v>
      </c>
      <c r="D123" s="275">
        <v>304217</v>
      </c>
      <c r="E123" s="275">
        <v>387522</v>
      </c>
      <c r="F123" s="275">
        <v>380026</v>
      </c>
      <c r="G123" s="275">
        <v>812550</v>
      </c>
      <c r="H123" s="275">
        <v>393764</v>
      </c>
      <c r="I123" s="275">
        <v>515764</v>
      </c>
      <c r="J123" s="275">
        <v>442738</v>
      </c>
      <c r="K123" s="275">
        <v>925868</v>
      </c>
      <c r="L123" s="275">
        <v>362240</v>
      </c>
      <c r="M123" s="275">
        <v>438423</v>
      </c>
      <c r="N123" s="275">
        <v>379250</v>
      </c>
      <c r="O123" s="275">
        <v>736801</v>
      </c>
      <c r="P123" s="275">
        <v>448295</v>
      </c>
      <c r="Q123" s="275">
        <v>518001</v>
      </c>
      <c r="R123" s="275">
        <v>442538</v>
      </c>
      <c r="S123" s="275">
        <v>843477</v>
      </c>
      <c r="T123" s="275">
        <v>439130</v>
      </c>
      <c r="U123" s="275">
        <v>537237</v>
      </c>
      <c r="V123" s="275">
        <v>446773</v>
      </c>
      <c r="W123" s="275">
        <v>906384</v>
      </c>
      <c r="X123" s="275">
        <v>478235</v>
      </c>
    </row>
    <row r="124" spans="1:24" ht="14.25" thickBot="1" x14ac:dyDescent="0.3">
      <c r="A124" s="224" t="s">
        <v>268</v>
      </c>
      <c r="B124" s="273">
        <v>540148</v>
      </c>
      <c r="C124" s="273">
        <v>974789</v>
      </c>
      <c r="D124" s="273">
        <v>734660</v>
      </c>
      <c r="E124" s="273">
        <v>731930</v>
      </c>
      <c r="F124" s="273">
        <v>751162</v>
      </c>
      <c r="G124" s="273">
        <v>1098099</v>
      </c>
      <c r="H124" s="273">
        <v>787777</v>
      </c>
      <c r="I124" s="273">
        <v>830539</v>
      </c>
      <c r="J124" s="273">
        <v>918383</v>
      </c>
      <c r="K124" s="273">
        <v>1355934</v>
      </c>
      <c r="L124" s="273">
        <v>638011</v>
      </c>
      <c r="M124" s="273">
        <v>708911</v>
      </c>
      <c r="N124" s="273">
        <v>844707</v>
      </c>
      <c r="O124" s="273">
        <v>1206456</v>
      </c>
      <c r="P124" s="273">
        <v>829566</v>
      </c>
      <c r="Q124" s="273">
        <v>889238</v>
      </c>
      <c r="R124" s="273">
        <v>848603</v>
      </c>
      <c r="S124" s="273">
        <v>1319347</v>
      </c>
      <c r="T124" s="273">
        <v>918904</v>
      </c>
      <c r="U124" s="273">
        <v>984217</v>
      </c>
      <c r="V124" s="273">
        <v>983448</v>
      </c>
      <c r="W124" s="273">
        <v>1776396</v>
      </c>
      <c r="X124" s="273">
        <v>1238052</v>
      </c>
    </row>
    <row r="125" spans="1:24" ht="14.25" thickBot="1" x14ac:dyDescent="0.3">
      <c r="A125" s="225" t="s">
        <v>32</v>
      </c>
      <c r="B125" s="275">
        <v>29649</v>
      </c>
      <c r="C125" s="275">
        <v>28236</v>
      </c>
      <c r="D125" s="275">
        <v>26823</v>
      </c>
      <c r="E125" s="275">
        <v>76655</v>
      </c>
      <c r="F125" s="275">
        <v>81429</v>
      </c>
      <c r="G125" s="275">
        <v>89124</v>
      </c>
      <c r="H125" s="275">
        <v>86662</v>
      </c>
      <c r="I125" s="275">
        <v>76803</v>
      </c>
      <c r="J125" s="275">
        <v>76720</v>
      </c>
      <c r="K125" s="275">
        <v>57031</v>
      </c>
      <c r="L125" s="275">
        <v>57608</v>
      </c>
      <c r="M125" s="275">
        <v>56846</v>
      </c>
      <c r="N125" s="275">
        <v>57265</v>
      </c>
      <c r="O125" s="275">
        <v>54335</v>
      </c>
      <c r="P125" s="275">
        <v>59186</v>
      </c>
      <c r="Q125" s="275">
        <v>62995</v>
      </c>
      <c r="R125" s="275">
        <v>61366</v>
      </c>
      <c r="S125" s="275">
        <v>61308</v>
      </c>
      <c r="T125" s="275">
        <v>67621</v>
      </c>
      <c r="U125" s="275">
        <v>75808</v>
      </c>
      <c r="V125" s="275">
        <v>71420</v>
      </c>
      <c r="W125" s="275">
        <v>71016</v>
      </c>
      <c r="X125" s="275">
        <v>204106</v>
      </c>
    </row>
    <row r="126" spans="1:24" ht="14.25" thickBot="1" x14ac:dyDescent="0.3">
      <c r="A126" s="224" t="s">
        <v>33</v>
      </c>
      <c r="B126" s="68">
        <v>0</v>
      </c>
      <c r="C126" s="68">
        <v>99</v>
      </c>
      <c r="D126" s="68">
        <v>126</v>
      </c>
      <c r="E126" s="68">
        <v>515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569797</v>
      </c>
      <c r="C127" s="275">
        <v>1003124</v>
      </c>
      <c r="D127" s="275">
        <v>761609</v>
      </c>
      <c r="E127" s="275">
        <v>809100</v>
      </c>
      <c r="F127" s="275">
        <v>832591</v>
      </c>
      <c r="G127" s="275">
        <v>1187223</v>
      </c>
      <c r="H127" s="275">
        <v>874439</v>
      </c>
      <c r="I127" s="275">
        <v>907342</v>
      </c>
      <c r="J127" s="275">
        <v>995103</v>
      </c>
      <c r="K127" s="275">
        <v>1412965</v>
      </c>
      <c r="L127" s="275">
        <v>695619</v>
      </c>
      <c r="M127" s="275">
        <v>765757</v>
      </c>
      <c r="N127" s="275">
        <v>901972</v>
      </c>
      <c r="O127" s="275">
        <v>1260791</v>
      </c>
      <c r="P127" s="275">
        <v>888752</v>
      </c>
      <c r="Q127" s="275">
        <v>952233</v>
      </c>
      <c r="R127" s="275">
        <v>909969</v>
      </c>
      <c r="S127" s="275">
        <v>1380655</v>
      </c>
      <c r="T127" s="275">
        <v>986525</v>
      </c>
      <c r="U127" s="275">
        <v>1060025</v>
      </c>
      <c r="V127" s="275">
        <v>1054868</v>
      </c>
      <c r="W127" s="275">
        <v>1847412</v>
      </c>
      <c r="X127" s="275">
        <v>1442158</v>
      </c>
    </row>
    <row r="128" spans="1:24" ht="14.25" thickBot="1" x14ac:dyDescent="0.3">
      <c r="A128" s="224" t="s">
        <v>34</v>
      </c>
      <c r="B128" s="273">
        <v>1762299</v>
      </c>
      <c r="C128" s="273">
        <v>1560771</v>
      </c>
      <c r="D128" s="273">
        <v>1761755</v>
      </c>
      <c r="E128" s="273">
        <v>1914640</v>
      </c>
      <c r="F128" s="273">
        <v>2108238</v>
      </c>
      <c r="G128" s="273">
        <v>1915857</v>
      </c>
      <c r="H128" s="273">
        <v>2092203</v>
      </c>
      <c r="I128" s="273">
        <v>2276194</v>
      </c>
      <c r="J128" s="273">
        <v>2413239</v>
      </c>
      <c r="K128" s="273">
        <v>2287092</v>
      </c>
      <c r="L128" s="273">
        <v>2428745</v>
      </c>
      <c r="M128" s="273">
        <v>2484283</v>
      </c>
      <c r="N128" s="273">
        <v>2567945</v>
      </c>
      <c r="O128" s="273">
        <v>2433159</v>
      </c>
      <c r="P128" s="273">
        <v>2607495</v>
      </c>
      <c r="Q128" s="273">
        <v>2691694</v>
      </c>
      <c r="R128" s="273">
        <v>2773577</v>
      </c>
      <c r="S128" s="273">
        <v>2584604</v>
      </c>
      <c r="T128" s="273">
        <v>2702903</v>
      </c>
      <c r="U128" s="273">
        <v>2885723</v>
      </c>
      <c r="V128" s="273">
        <v>2917016</v>
      </c>
      <c r="W128" s="273">
        <v>2663682</v>
      </c>
      <c r="X128" s="273">
        <v>2762299</v>
      </c>
    </row>
    <row r="129" spans="1:24" ht="14.25" thickBot="1" x14ac:dyDescent="0.3">
      <c r="A129" s="225" t="s">
        <v>35</v>
      </c>
      <c r="B129" s="276">
        <v>2332096</v>
      </c>
      <c r="C129" s="276">
        <v>2563895</v>
      </c>
      <c r="D129" s="276">
        <v>2523364</v>
      </c>
      <c r="E129" s="276">
        <v>2723740</v>
      </c>
      <c r="F129" s="276">
        <v>2940829</v>
      </c>
      <c r="G129" s="276">
        <v>3103080</v>
      </c>
      <c r="H129" s="276">
        <v>2966642</v>
      </c>
      <c r="I129" s="276">
        <v>3183536</v>
      </c>
      <c r="J129" s="276">
        <v>3408342</v>
      </c>
      <c r="K129" s="276">
        <v>3700057</v>
      </c>
      <c r="L129" s="276">
        <v>3124364</v>
      </c>
      <c r="M129" s="276">
        <v>3250040</v>
      </c>
      <c r="N129" s="276">
        <v>3469917</v>
      </c>
      <c r="O129" s="276">
        <v>3693950</v>
      </c>
      <c r="P129" s="276">
        <v>3496247</v>
      </c>
      <c r="Q129" s="276">
        <v>3643927</v>
      </c>
      <c r="R129" s="276">
        <v>3683546</v>
      </c>
      <c r="S129" s="276">
        <v>3965259</v>
      </c>
      <c r="T129" s="276">
        <v>3689428</v>
      </c>
      <c r="U129" s="276">
        <v>3945748</v>
      </c>
      <c r="V129" s="276">
        <v>3971884</v>
      </c>
      <c r="W129" s="276">
        <v>4511094</v>
      </c>
      <c r="X129" s="276">
        <v>4204457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8.69</v>
      </c>
      <c r="C132" s="68">
        <v>12.68</v>
      </c>
      <c r="D132" s="68">
        <v>7.26</v>
      </c>
      <c r="E132" s="68">
        <v>4.21</v>
      </c>
      <c r="F132" s="68">
        <v>9.83</v>
      </c>
    </row>
    <row r="133" spans="1:24" ht="14.25" thickBot="1" x14ac:dyDescent="0.3">
      <c r="A133" s="225" t="s">
        <v>37</v>
      </c>
      <c r="B133" s="274">
        <v>-2.85</v>
      </c>
      <c r="C133" s="274">
        <v>-2.78</v>
      </c>
      <c r="D133" s="274">
        <v>-3.16</v>
      </c>
      <c r="E133" s="274">
        <v>-1.87</v>
      </c>
      <c r="F133" s="274">
        <v>-1.67</v>
      </c>
    </row>
    <row r="134" spans="1:24" ht="14.25" thickBot="1" x14ac:dyDescent="0.3">
      <c r="A134" s="224" t="s">
        <v>38</v>
      </c>
      <c r="B134" s="68">
        <v>-3.52</v>
      </c>
      <c r="C134" s="68">
        <v>-4.8499999999999996</v>
      </c>
      <c r="D134" s="68">
        <v>-4.08</v>
      </c>
      <c r="E134" s="68">
        <v>-3.44</v>
      </c>
      <c r="F134" s="68">
        <v>-4.05</v>
      </c>
    </row>
    <row r="135" spans="1:24" ht="14.25" thickBot="1" x14ac:dyDescent="0.3">
      <c r="A135" s="225" t="s">
        <v>270</v>
      </c>
      <c r="B135" s="274">
        <v>5.85</v>
      </c>
      <c r="C135" s="274">
        <v>9.89</v>
      </c>
      <c r="D135" s="274">
        <v>4.0999999999999996</v>
      </c>
      <c r="E135" s="274">
        <v>2.34</v>
      </c>
      <c r="F135" s="274">
        <v>8.16</v>
      </c>
    </row>
    <row r="136" spans="1:24" ht="14.25" thickBot="1" x14ac:dyDescent="0.3">
      <c r="A136" s="229" t="s">
        <v>39</v>
      </c>
      <c r="B136" s="72">
        <v>2.33</v>
      </c>
      <c r="C136" s="72">
        <v>5.04</v>
      </c>
      <c r="D136" s="72">
        <v>0.02</v>
      </c>
      <c r="E136" s="72">
        <v>-1.1000000000000001</v>
      </c>
      <c r="F136" s="72">
        <v>4.1100000000000003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6</v>
      </c>
      <c r="C140" s="68">
        <v>7</v>
      </c>
      <c r="D140" s="68">
        <v>4</v>
      </c>
      <c r="E140" s="68">
        <v>4.5</v>
      </c>
      <c r="F140" s="68">
        <v>4.75</v>
      </c>
    </row>
    <row r="141" spans="1:24" ht="14.25" thickBot="1" x14ac:dyDescent="0.3">
      <c r="A141" s="227" t="s">
        <v>1</v>
      </c>
      <c r="B141" s="73">
        <v>0.35</v>
      </c>
      <c r="C141" s="73">
        <v>0.35</v>
      </c>
      <c r="D141" s="73">
        <v>0.35</v>
      </c>
      <c r="E141" s="73">
        <v>0.35</v>
      </c>
      <c r="F141" s="73">
        <v>0.25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0.7009345794392523</v>
      </c>
      <c r="C142" s="234">
        <f>IF(C140&lt;&gt;"無",IF(ISNA(HLOOKUP(C139,$B$64:$F$69,6,FALSE)),"",C140/HLOOKUP(C139,$B$64:$F$69,6,FALSE)),"")</f>
        <v>0.67502410800385726</v>
      </c>
      <c r="D142" s="234">
        <f>IF(D140&lt;&gt;"無",IF(ISNA(HLOOKUP(D139,$B$64:$F$69,6,FALSE)),"",D140/HLOOKUP(D139,$B$64:$F$69,6,FALSE)),"")</f>
        <v>0.78895463510848118</v>
      </c>
      <c r="E142" s="234">
        <f>IF(E140&lt;&gt;"無",IF(ISNA(HLOOKUP(E139,$B$64:$F$69,6,FALSE)),"",E140/HLOOKUP(E139,$B$64:$F$69,6,FALSE)),"")</f>
        <v>0.72231139646869991</v>
      </c>
      <c r="F142" s="234">
        <f>IF(F140&lt;&gt;"無",IF(ISNA(HLOOKUP(F139,$B$64:$F$69,6,FALSE)),"",F140/HLOOKUP(F139,$B$64:$F$69,6,FALSE)),"")</f>
        <v>0.71860816944024208</v>
      </c>
    </row>
    <row r="143" spans="1:24" x14ac:dyDescent="0.25">
      <c r="A143" s="233" t="s">
        <v>216</v>
      </c>
      <c r="B143" s="234">
        <f>IF(OR(B140=0,B140="無"),"",B135/B140)</f>
        <v>0.97499999999999998</v>
      </c>
      <c r="C143" s="234">
        <f>IF(OR(C140=0,C140="無"),"",C135/C140)</f>
        <v>1.412857142857143</v>
      </c>
      <c r="D143" s="234">
        <f>IF(OR(D140=0,D140="無"),"",D135/D140)</f>
        <v>1.0249999999999999</v>
      </c>
      <c r="E143" s="234">
        <f>IF(OR(E140=0,E140="無"),"",E135/E140)</f>
        <v>0.52</v>
      </c>
      <c r="F143" s="234">
        <f>IF(OR(F140=0,F140="無"),"",F135/F140)</f>
        <v>1.7178947368421054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45.54</v>
      </c>
      <c r="C146" s="68">
        <v>45.77</v>
      </c>
      <c r="D146" s="68">
        <v>47.26</v>
      </c>
      <c r="E146" s="68">
        <v>46.1</v>
      </c>
      <c r="F146" s="68">
        <v>45.69</v>
      </c>
      <c r="G146" s="68">
        <v>45.83</v>
      </c>
      <c r="H146" s="68">
        <v>46.99</v>
      </c>
      <c r="I146" s="68">
        <v>41.36</v>
      </c>
      <c r="J146" s="68">
        <v>46.68</v>
      </c>
      <c r="K146" s="68">
        <v>39.56</v>
      </c>
      <c r="L146" s="68">
        <v>43.68</v>
      </c>
      <c r="M146" s="68">
        <v>41.54</v>
      </c>
      <c r="N146" s="68">
        <v>44.29</v>
      </c>
      <c r="O146" s="68">
        <v>42.76</v>
      </c>
      <c r="P146" s="68">
        <v>43.83</v>
      </c>
      <c r="Q146" s="68">
        <v>39.74</v>
      </c>
      <c r="R146" s="68">
        <v>41.94</v>
      </c>
      <c r="S146" s="68">
        <v>40.99</v>
      </c>
      <c r="T146" s="68">
        <v>44.58</v>
      </c>
      <c r="U146" s="68">
        <v>41.92</v>
      </c>
      <c r="V146" s="68">
        <v>34.9</v>
      </c>
      <c r="W146" s="68">
        <v>33.58</v>
      </c>
      <c r="X146" s="68">
        <v>35.04</v>
      </c>
    </row>
    <row r="147" spans="1:24" s="93" customFormat="1" ht="14.25" thickBot="1" x14ac:dyDescent="0.3">
      <c r="A147" s="225" t="s">
        <v>19</v>
      </c>
      <c r="B147" s="274">
        <v>18.43</v>
      </c>
      <c r="C147" s="274">
        <v>17.28</v>
      </c>
      <c r="D147" s="274">
        <v>24.07</v>
      </c>
      <c r="E147" s="274">
        <v>18.36</v>
      </c>
      <c r="F147" s="274">
        <v>22.02</v>
      </c>
      <c r="G147" s="274">
        <v>23.31</v>
      </c>
      <c r="H147" s="274">
        <v>21.02</v>
      </c>
      <c r="I147" s="274">
        <v>13.82</v>
      </c>
      <c r="J147" s="274">
        <v>14.12</v>
      </c>
      <c r="K147" s="274">
        <v>5.37</v>
      </c>
      <c r="L147" s="274">
        <v>14.41</v>
      </c>
      <c r="M147" s="274">
        <v>6.42</v>
      </c>
      <c r="N147" s="274">
        <v>10.87</v>
      </c>
      <c r="O147" s="274">
        <v>15.4</v>
      </c>
      <c r="P147" s="274">
        <v>11.03</v>
      </c>
      <c r="Q147" s="274">
        <v>6.76</v>
      </c>
      <c r="R147" s="274">
        <v>10.199999999999999</v>
      </c>
      <c r="S147" s="274">
        <v>13.59</v>
      </c>
      <c r="T147" s="274">
        <v>12.8</v>
      </c>
      <c r="U147" s="274">
        <v>11.14</v>
      </c>
      <c r="V147" s="274">
        <v>6.4</v>
      </c>
      <c r="W147" s="274">
        <v>8.81</v>
      </c>
      <c r="X147" s="274">
        <v>7.99</v>
      </c>
    </row>
    <row r="148" spans="1:24" s="93" customFormat="1" ht="14.25" thickBot="1" x14ac:dyDescent="0.3">
      <c r="A148" s="224" t="s">
        <v>41</v>
      </c>
      <c r="B148" s="68">
        <v>17.75</v>
      </c>
      <c r="C148" s="68">
        <v>18.2</v>
      </c>
      <c r="D148" s="68">
        <v>23.36</v>
      </c>
      <c r="E148" s="68">
        <v>18.89</v>
      </c>
      <c r="F148" s="68">
        <v>23.81</v>
      </c>
      <c r="G148" s="68">
        <v>24.49</v>
      </c>
      <c r="H148" s="68">
        <v>20.99</v>
      </c>
      <c r="I148" s="68">
        <v>14.89</v>
      </c>
      <c r="J148" s="68">
        <v>16.05</v>
      </c>
      <c r="K148" s="68">
        <v>4.51</v>
      </c>
      <c r="L148" s="68">
        <v>16.02</v>
      </c>
      <c r="M148" s="68">
        <v>8.94</v>
      </c>
      <c r="N148" s="68">
        <v>9.61</v>
      </c>
      <c r="O148" s="68">
        <v>15.45</v>
      </c>
      <c r="P148" s="68">
        <v>15.7</v>
      </c>
      <c r="Q148" s="68">
        <v>7.44</v>
      </c>
      <c r="R148" s="68">
        <v>8.7899999999999991</v>
      </c>
      <c r="S148" s="68">
        <v>14.02</v>
      </c>
      <c r="T148" s="68">
        <v>10.63</v>
      </c>
      <c r="U148" s="68">
        <v>14.31</v>
      </c>
      <c r="V148" s="68">
        <v>2.35</v>
      </c>
      <c r="W148" s="68">
        <v>9.5399999999999991</v>
      </c>
      <c r="X148" s="68">
        <v>7.79</v>
      </c>
    </row>
    <row r="149" spans="1:24" s="93" customFormat="1" ht="14.25" thickBot="1" x14ac:dyDescent="0.3">
      <c r="A149" s="225" t="s">
        <v>13</v>
      </c>
      <c r="B149" s="73">
        <v>14.37</v>
      </c>
      <c r="C149" s="73">
        <v>15.04</v>
      </c>
      <c r="D149" s="73">
        <v>18.59</v>
      </c>
      <c r="E149" s="73">
        <v>15.97</v>
      </c>
      <c r="F149" s="73">
        <v>19.329999999999998</v>
      </c>
      <c r="G149" s="73">
        <v>20.28</v>
      </c>
      <c r="H149" s="73">
        <v>16.86</v>
      </c>
      <c r="I149" s="73">
        <v>12.74</v>
      </c>
      <c r="J149" s="73">
        <v>14.05</v>
      </c>
      <c r="K149" s="73">
        <v>3.98</v>
      </c>
      <c r="L149" s="73">
        <v>13.78</v>
      </c>
      <c r="M149" s="73">
        <v>5.73</v>
      </c>
      <c r="N149" s="73">
        <v>8.02</v>
      </c>
      <c r="O149" s="73">
        <v>13.62</v>
      </c>
      <c r="P149" s="73">
        <v>13.85</v>
      </c>
      <c r="Q149" s="73">
        <v>6.57</v>
      </c>
      <c r="R149" s="73">
        <v>7.43</v>
      </c>
      <c r="S149" s="73">
        <v>11.7</v>
      </c>
      <c r="T149" s="73">
        <v>8.9</v>
      </c>
      <c r="U149" s="73">
        <v>14.32</v>
      </c>
      <c r="V149" s="73">
        <v>2.15</v>
      </c>
      <c r="W149" s="73">
        <v>7.86</v>
      </c>
      <c r="X149" s="73">
        <v>6.91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46.27</v>
      </c>
      <c r="C152" s="68">
        <v>45.04</v>
      </c>
      <c r="D152" s="68">
        <v>42.74</v>
      </c>
      <c r="E152" s="68">
        <v>42.62</v>
      </c>
      <c r="F152" s="68">
        <v>42.32</v>
      </c>
    </row>
    <row r="153" spans="1:24" s="93" customFormat="1" ht="14.25" thickBot="1" x14ac:dyDescent="0.3">
      <c r="A153" s="225" t="s">
        <v>19</v>
      </c>
      <c r="B153" s="274">
        <v>19.89</v>
      </c>
      <c r="C153" s="274">
        <v>20.149999999999999</v>
      </c>
      <c r="D153" s="274">
        <v>10.050000000000001</v>
      </c>
      <c r="E153" s="274">
        <v>11.13</v>
      </c>
      <c r="F153" s="274">
        <v>12.02</v>
      </c>
    </row>
    <row r="154" spans="1:24" s="93" customFormat="1" ht="14.25" thickBot="1" x14ac:dyDescent="0.3">
      <c r="A154" s="224" t="s">
        <v>41</v>
      </c>
      <c r="B154" s="68">
        <v>19.88</v>
      </c>
      <c r="C154" s="68">
        <v>21.15</v>
      </c>
      <c r="D154" s="68">
        <v>11.21</v>
      </c>
      <c r="E154" s="68">
        <v>12.24</v>
      </c>
      <c r="F154" s="68">
        <v>12.1</v>
      </c>
    </row>
    <row r="155" spans="1:24" s="93" customFormat="1" ht="14.25" thickBot="1" x14ac:dyDescent="0.3">
      <c r="A155" s="225" t="s">
        <v>13</v>
      </c>
      <c r="B155" s="73">
        <v>16.239999999999998</v>
      </c>
      <c r="C155" s="73">
        <v>17.38</v>
      </c>
      <c r="D155" s="73">
        <v>9.32</v>
      </c>
      <c r="E155" s="73">
        <v>10.7</v>
      </c>
      <c r="F155" s="73">
        <v>10.72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4.47</v>
      </c>
      <c r="C158" s="68">
        <v>4.88</v>
      </c>
      <c r="D158" s="68">
        <v>7.82</v>
      </c>
      <c r="E158" s="68">
        <v>5.49</v>
      </c>
      <c r="F158" s="68">
        <v>6.86</v>
      </c>
      <c r="G158" s="68">
        <v>7.2</v>
      </c>
      <c r="H158" s="68">
        <v>5.92</v>
      </c>
      <c r="I158" s="68">
        <v>4.13</v>
      </c>
      <c r="J158" s="68">
        <v>3.7</v>
      </c>
      <c r="K158" s="68">
        <v>1.21</v>
      </c>
      <c r="L158" s="68">
        <v>3.98</v>
      </c>
      <c r="M158" s="68">
        <v>1.41</v>
      </c>
      <c r="N158" s="68">
        <v>2.17</v>
      </c>
      <c r="O158" s="68">
        <v>4.3600000000000003</v>
      </c>
      <c r="P158" s="68">
        <v>4.12</v>
      </c>
      <c r="Q158" s="68">
        <v>1.92</v>
      </c>
      <c r="R158" s="68">
        <v>2.1800000000000002</v>
      </c>
      <c r="S158" s="68">
        <v>4.1399999999999997</v>
      </c>
      <c r="T158" s="68">
        <v>2.76</v>
      </c>
      <c r="U158" s="68">
        <v>4.5599999999999996</v>
      </c>
      <c r="V158" s="68">
        <v>0.69</v>
      </c>
      <c r="W158" s="68">
        <v>2.98</v>
      </c>
      <c r="X158" s="68">
        <v>2.2799999999999998</v>
      </c>
    </row>
    <row r="159" spans="1:24" s="93" customFormat="1" ht="14.25" thickBot="1" x14ac:dyDescent="0.3">
      <c r="A159" s="225" t="s">
        <v>45</v>
      </c>
      <c r="B159" s="73">
        <v>5.99</v>
      </c>
      <c r="C159" s="73">
        <v>7.17</v>
      </c>
      <c r="D159" s="73">
        <v>11.96</v>
      </c>
      <c r="E159" s="73">
        <v>7.83</v>
      </c>
      <c r="F159" s="73">
        <v>9.65</v>
      </c>
      <c r="G159" s="73">
        <v>10.8</v>
      </c>
      <c r="H159" s="73">
        <v>8.9499999999999993</v>
      </c>
      <c r="I159" s="73">
        <v>5.68</v>
      </c>
      <c r="J159" s="73">
        <v>5.17</v>
      </c>
      <c r="K159" s="73">
        <v>1.8</v>
      </c>
      <c r="L159" s="73">
        <v>5.73</v>
      </c>
      <c r="M159" s="73">
        <v>1.81</v>
      </c>
      <c r="N159" s="73">
        <v>2.86</v>
      </c>
      <c r="O159" s="73">
        <v>6.22</v>
      </c>
      <c r="P159" s="73">
        <v>5.85</v>
      </c>
      <c r="Q159" s="73">
        <v>2.56</v>
      </c>
      <c r="R159" s="73">
        <v>2.9</v>
      </c>
      <c r="S159" s="73">
        <v>5.89</v>
      </c>
      <c r="T159" s="73">
        <v>3.96</v>
      </c>
      <c r="U159" s="73">
        <v>6.18</v>
      </c>
      <c r="V159" s="73">
        <v>0.93</v>
      </c>
      <c r="W159" s="73">
        <v>4.4400000000000004</v>
      </c>
      <c r="X159" s="73">
        <v>3.6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16.239999999999998</v>
      </c>
      <c r="C162" s="68">
        <v>17.38</v>
      </c>
      <c r="D162" s="68">
        <v>9.32</v>
      </c>
      <c r="E162" s="68">
        <v>10.7</v>
      </c>
      <c r="F162" s="68">
        <v>10.72</v>
      </c>
    </row>
    <row r="163" spans="1:72" s="93" customFormat="1" ht="14.25" thickBot="1" x14ac:dyDescent="0.3">
      <c r="A163" s="225" t="s">
        <v>18</v>
      </c>
      <c r="B163" s="274">
        <v>1.27</v>
      </c>
      <c r="C163" s="274">
        <v>1.29</v>
      </c>
      <c r="D163" s="274">
        <v>1.1299999999999999</v>
      </c>
      <c r="E163" s="274">
        <v>1.1399999999999999</v>
      </c>
      <c r="F163" s="274">
        <v>1.22</v>
      </c>
    </row>
    <row r="164" spans="1:72" s="93" customFormat="1" ht="14.25" thickBot="1" x14ac:dyDescent="0.3">
      <c r="A164" s="224" t="s">
        <v>15</v>
      </c>
      <c r="B164" s="68">
        <v>1.42</v>
      </c>
      <c r="C164" s="68">
        <v>1.4</v>
      </c>
      <c r="D164" s="68">
        <v>1.31</v>
      </c>
      <c r="E164" s="68">
        <v>1.35</v>
      </c>
      <c r="F164" s="68">
        <v>1.37</v>
      </c>
    </row>
    <row r="165" spans="1:72" s="93" customFormat="1" ht="14.25" thickBot="1" x14ac:dyDescent="0.3">
      <c r="A165" s="225" t="s">
        <v>45</v>
      </c>
      <c r="B165" s="73">
        <v>31.72</v>
      </c>
      <c r="C165" s="73">
        <v>34.11</v>
      </c>
      <c r="D165" s="73">
        <v>14.41</v>
      </c>
      <c r="E165" s="73">
        <v>17.11</v>
      </c>
      <c r="F165" s="73">
        <v>18.45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46.63</v>
      </c>
      <c r="C168" s="68">
        <v>42.86</v>
      </c>
      <c r="D168" s="68">
        <v>36.590000000000003</v>
      </c>
      <c r="E168" s="68">
        <v>42.65</v>
      </c>
      <c r="F168" s="68">
        <v>44.12</v>
      </c>
      <c r="G168" s="68">
        <v>47.12</v>
      </c>
      <c r="H168" s="68">
        <v>43.06</v>
      </c>
      <c r="I168" s="68">
        <v>44.78</v>
      </c>
      <c r="J168" s="68">
        <v>51.72</v>
      </c>
      <c r="K168" s="68">
        <v>48.39</v>
      </c>
      <c r="L168" s="68">
        <v>50.85</v>
      </c>
      <c r="M168" s="68">
        <v>51.72</v>
      </c>
      <c r="N168" s="68">
        <v>46.88</v>
      </c>
      <c r="O168" s="68">
        <v>52.33</v>
      </c>
      <c r="P168" s="68">
        <v>64.290000000000006</v>
      </c>
      <c r="Q168" s="68">
        <v>59.6</v>
      </c>
      <c r="R168" s="68">
        <v>52.02</v>
      </c>
      <c r="S168" s="68">
        <v>41.67</v>
      </c>
      <c r="T168" s="68">
        <v>48.91</v>
      </c>
      <c r="U168" s="68">
        <v>45.69</v>
      </c>
      <c r="V168" s="68">
        <v>50.56</v>
      </c>
      <c r="W168" s="68">
        <v>53.89</v>
      </c>
      <c r="X168" s="68">
        <v>62.07</v>
      </c>
    </row>
    <row r="169" spans="1:72" s="93" customFormat="1" ht="14.25" thickBot="1" x14ac:dyDescent="0.3">
      <c r="A169" s="225" t="s">
        <v>17</v>
      </c>
      <c r="B169" s="274">
        <v>130.43</v>
      </c>
      <c r="C169" s="274">
        <v>118.42</v>
      </c>
      <c r="D169" s="274">
        <v>101.12</v>
      </c>
      <c r="E169" s="274">
        <v>130.43</v>
      </c>
      <c r="F169" s="274">
        <v>121.62</v>
      </c>
      <c r="G169" s="274">
        <v>108.43</v>
      </c>
      <c r="H169" s="274">
        <v>104.65</v>
      </c>
      <c r="I169" s="274">
        <v>100</v>
      </c>
      <c r="J169" s="274">
        <v>138.46</v>
      </c>
      <c r="K169" s="274">
        <v>113.92</v>
      </c>
      <c r="L169" s="274">
        <v>120</v>
      </c>
      <c r="M169" s="274">
        <v>128.57</v>
      </c>
      <c r="N169" s="274">
        <v>128.57</v>
      </c>
      <c r="O169" s="274">
        <v>118.42</v>
      </c>
      <c r="P169" s="274">
        <v>136.36000000000001</v>
      </c>
      <c r="Q169" s="274">
        <v>126.76</v>
      </c>
      <c r="R169" s="274">
        <v>128.57</v>
      </c>
      <c r="S169" s="274">
        <v>96.77</v>
      </c>
      <c r="T169" s="274">
        <v>118.42</v>
      </c>
      <c r="U169" s="274">
        <v>116.88</v>
      </c>
      <c r="V169" s="274">
        <v>97.83</v>
      </c>
      <c r="W169" s="274">
        <v>75.63</v>
      </c>
      <c r="X169" s="274">
        <v>93.75</v>
      </c>
    </row>
    <row r="170" spans="1:72" s="93" customFormat="1" ht="14.25" thickBot="1" x14ac:dyDescent="0.3">
      <c r="A170" s="224" t="s">
        <v>42</v>
      </c>
      <c r="B170" s="72">
        <v>177.07</v>
      </c>
      <c r="C170" s="72">
        <v>161.28</v>
      </c>
      <c r="D170" s="72">
        <v>137.71</v>
      </c>
      <c r="E170" s="72">
        <v>173.09</v>
      </c>
      <c r="F170" s="72">
        <v>165.74</v>
      </c>
      <c r="G170" s="72">
        <v>155.55000000000001</v>
      </c>
      <c r="H170" s="72">
        <v>147.71</v>
      </c>
      <c r="I170" s="72">
        <v>144.78</v>
      </c>
      <c r="J170" s="72">
        <v>190.19</v>
      </c>
      <c r="K170" s="72">
        <v>162.31</v>
      </c>
      <c r="L170" s="72">
        <v>170.85</v>
      </c>
      <c r="M170" s="72">
        <v>180.3</v>
      </c>
      <c r="N170" s="72">
        <v>175.45</v>
      </c>
      <c r="O170" s="72">
        <v>170.75</v>
      </c>
      <c r="P170" s="72">
        <v>200.65</v>
      </c>
      <c r="Q170" s="72">
        <v>186.36</v>
      </c>
      <c r="R170" s="72">
        <v>180.59</v>
      </c>
      <c r="S170" s="72">
        <v>138.44</v>
      </c>
      <c r="T170" s="72">
        <v>167.33</v>
      </c>
      <c r="U170" s="72">
        <v>162.57</v>
      </c>
      <c r="V170" s="72">
        <v>148.38999999999999</v>
      </c>
      <c r="W170" s="72">
        <v>129.52000000000001</v>
      </c>
      <c r="X170" s="72">
        <v>155.82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104.75</v>
      </c>
      <c r="C173" s="72">
        <v>124.87</v>
      </c>
      <c r="D173" s="72">
        <v>154.82</v>
      </c>
      <c r="E173" s="72">
        <v>73.040000000000006</v>
      </c>
      <c r="F173" s="72">
        <v>151.43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13.61</v>
      </c>
      <c r="C176" s="72">
        <v>15.93</v>
      </c>
      <c r="D176" s="72">
        <v>18.46</v>
      </c>
      <c r="E176" s="72">
        <v>15.16</v>
      </c>
      <c r="F176" s="72">
        <v>12.55</v>
      </c>
      <c r="G176" s="72">
        <v>10.56</v>
      </c>
      <c r="H176" s="72">
        <v>11.33</v>
      </c>
      <c r="I176" s="72">
        <v>12.46</v>
      </c>
      <c r="J176" s="72">
        <v>13.04</v>
      </c>
      <c r="K176" s="72">
        <v>12.52</v>
      </c>
      <c r="L176" s="72">
        <v>11.95</v>
      </c>
      <c r="M176" s="72">
        <v>11.45</v>
      </c>
      <c r="N176" s="72">
        <v>11.79</v>
      </c>
      <c r="O176" s="72">
        <v>13.53</v>
      </c>
      <c r="P176" s="72">
        <v>14.43</v>
      </c>
      <c r="Q176" s="72">
        <v>15</v>
      </c>
      <c r="R176" s="72">
        <v>13</v>
      </c>
      <c r="S176" s="72">
        <v>12.54</v>
      </c>
      <c r="T176" s="72">
        <v>14.24</v>
      </c>
      <c r="U176" s="72">
        <v>13.99</v>
      </c>
      <c r="V176" s="72">
        <v>13.99</v>
      </c>
      <c r="W176" s="72">
        <v>14.8</v>
      </c>
      <c r="X176" s="72">
        <v>16.899999999999999</v>
      </c>
      <c r="Y176" s="72">
        <v>18.21</v>
      </c>
      <c r="Z176" s="72">
        <v>16.96</v>
      </c>
      <c r="AA176" s="72">
        <v>17.41</v>
      </c>
      <c r="AB176" s="72">
        <v>18.510000000000002</v>
      </c>
      <c r="AC176" s="72">
        <v>15.46</v>
      </c>
      <c r="AD176" s="72">
        <v>15.88</v>
      </c>
      <c r="AE176" s="72">
        <v>15.5</v>
      </c>
      <c r="AF176" s="72">
        <v>13.04</v>
      </c>
      <c r="AG176" s="72">
        <v>15.17</v>
      </c>
      <c r="AH176" s="72">
        <v>13.87</v>
      </c>
      <c r="AI176" s="72">
        <v>14.31</v>
      </c>
      <c r="AJ176" s="72">
        <v>16.829999999999998</v>
      </c>
      <c r="AK176" s="72">
        <v>17</v>
      </c>
      <c r="AL176" s="72">
        <v>16.670000000000002</v>
      </c>
      <c r="AM176" s="72">
        <v>16.28</v>
      </c>
      <c r="AN176" s="72">
        <v>19.690000000000001</v>
      </c>
      <c r="AO176" s="72">
        <v>18.18</v>
      </c>
      <c r="AP176" s="72">
        <v>18.95</v>
      </c>
      <c r="AQ176" s="72">
        <v>17.190000000000001</v>
      </c>
      <c r="AR176" s="72">
        <v>18.14</v>
      </c>
      <c r="AS176" s="72">
        <v>14.68</v>
      </c>
      <c r="AT176" s="72">
        <v>14.84</v>
      </c>
      <c r="AU176" s="72">
        <v>14.74</v>
      </c>
      <c r="AV176" s="72">
        <v>13.12</v>
      </c>
      <c r="AW176" s="72">
        <v>12.45</v>
      </c>
      <c r="AX176" s="72">
        <v>13.46</v>
      </c>
      <c r="AY176" s="72">
        <v>14.04</v>
      </c>
      <c r="AZ176" s="72">
        <v>13.95</v>
      </c>
      <c r="BA176" s="72">
        <v>13.13</v>
      </c>
      <c r="BB176" s="72">
        <v>11.86</v>
      </c>
      <c r="BC176" s="72">
        <v>12.61</v>
      </c>
      <c r="BD176" s="72">
        <v>14.02</v>
      </c>
      <c r="BE176" s="72">
        <v>14.43</v>
      </c>
      <c r="BF176" s="72">
        <v>13.64</v>
      </c>
      <c r="BG176" s="72">
        <v>12.93</v>
      </c>
      <c r="BH176" s="72">
        <v>14.05</v>
      </c>
      <c r="BI176" s="72">
        <v>14.39</v>
      </c>
      <c r="BJ176" s="72">
        <v>14.72</v>
      </c>
      <c r="BK176" s="72">
        <v>14.89</v>
      </c>
      <c r="BL176" s="72">
        <v>13.24</v>
      </c>
      <c r="BM176" s="72">
        <v>13.8</v>
      </c>
      <c r="BN176" s="72">
        <v>13.47</v>
      </c>
      <c r="BO176" s="72">
        <v>14</v>
      </c>
      <c r="BP176" s="72">
        <v>14.18</v>
      </c>
      <c r="BQ176" s="72">
        <v>17.309999999999999</v>
      </c>
      <c r="BR176" s="72">
        <v>17.850000000000001</v>
      </c>
      <c r="BS176" s="72">
        <v>20.43</v>
      </c>
      <c r="BT176" s="72">
        <v>17.63</v>
      </c>
    </row>
  </sheetData>
  <phoneticPr fontId="3" type="noConversion"/>
  <conditionalFormatting sqref="E4">
    <cfRule type="cellIs" dxfId="4349" priority="101" operator="greaterThan">
      <formula>0.2</formula>
    </cfRule>
    <cfRule type="cellIs" dxfId="434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434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346" priority="95" operator="greaterThan">
      <formula>$B$19</formula>
    </cfRule>
  </conditionalFormatting>
  <conditionalFormatting sqref="D33:D34">
    <cfRule type="cellIs" dxfId="434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4344" priority="89" operator="lessThan">
      <formula>$H$62</formula>
    </cfRule>
    <cfRule type="cellIs" dxfId="4343" priority="90" operator="greaterThan">
      <formula>$H$62</formula>
    </cfRule>
  </conditionalFormatting>
  <conditionalFormatting sqref="J62">
    <cfRule type="cellIs" dxfId="4342" priority="87" operator="lessThan">
      <formula>$K$62</formula>
    </cfRule>
    <cfRule type="cellIs" dxfId="4341" priority="88" operator="greaterThan">
      <formula>$K$62</formula>
    </cfRule>
  </conditionalFormatting>
  <conditionalFormatting sqref="M62">
    <cfRule type="cellIs" dxfId="4340" priority="85" operator="lessThan">
      <formula>$N$62</formula>
    </cfRule>
    <cfRule type="cellIs" dxfId="4339" priority="86" operator="greaterThan">
      <formula>$N$62</formula>
    </cfRule>
  </conditionalFormatting>
  <conditionalFormatting sqref="B44:E44">
    <cfRule type="cellIs" dxfId="4338" priority="83" operator="greaterThan">
      <formula>0</formula>
    </cfRule>
    <cfRule type="cellIs" dxfId="4337" priority="84" operator="lessThan">
      <formula>0</formula>
    </cfRule>
  </conditionalFormatting>
  <conditionalFormatting sqref="F72">
    <cfRule type="cellIs" dxfId="4336" priority="82" operator="lessThan">
      <formula>$E$72*90%</formula>
    </cfRule>
  </conditionalFormatting>
  <conditionalFormatting sqref="F73">
    <cfRule type="cellIs" dxfId="4335" priority="81" operator="lessThan">
      <formula>$E$73*90%</formula>
    </cfRule>
  </conditionalFormatting>
  <conditionalFormatting sqref="F74">
    <cfRule type="cellIs" dxfId="4334" priority="80" operator="lessThan">
      <formula>$E$74*90%</formula>
    </cfRule>
  </conditionalFormatting>
  <conditionalFormatting sqref="F75">
    <cfRule type="cellIs" dxfId="4333" priority="79" operator="lessThan">
      <formula>$E$75*90%</formula>
    </cfRule>
  </conditionalFormatting>
  <conditionalFormatting sqref="H44:K44">
    <cfRule type="cellIs" dxfId="4332" priority="77" operator="greaterThan">
      <formula>0</formula>
    </cfRule>
    <cfRule type="cellIs" dxfId="4331" priority="78" operator="lessThan">
      <formula>0</formula>
    </cfRule>
  </conditionalFormatting>
  <conditionalFormatting sqref="H51:K51">
    <cfRule type="cellIs" dxfId="4330" priority="75" operator="greaterThan">
      <formula>0</formula>
    </cfRule>
    <cfRule type="cellIs" dxfId="4329" priority="76" operator="lessThan">
      <formula>0</formula>
    </cfRule>
  </conditionalFormatting>
  <conditionalFormatting sqref="B51:E51">
    <cfRule type="cellIs" dxfId="4328" priority="73" operator="greaterThan">
      <formula>0</formula>
    </cfRule>
    <cfRule type="cellIs" dxfId="432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32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32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324" priority="56" operator="lessThan">
      <formula>0</formula>
    </cfRule>
  </conditionalFormatting>
  <conditionalFormatting sqref="A25 E25 C25">
    <cfRule type="cellIs" dxfId="4323" priority="57" operator="lessThan">
      <formula>0</formula>
    </cfRule>
  </conditionalFormatting>
  <conditionalFormatting sqref="F25">
    <cfRule type="cellIs" dxfId="4322" priority="55" operator="lessThan">
      <formula>0</formula>
    </cfRule>
  </conditionalFormatting>
  <conditionalFormatting sqref="E1">
    <cfRule type="containsText" dxfId="4321" priority="54" operator="containsText" text="本季業外損益/平均=-">
      <formula>NOT(ISERROR(SEARCH("本季業外損益/平均=-",E1)))</formula>
    </cfRule>
  </conditionalFormatting>
  <conditionalFormatting sqref="M65">
    <cfRule type="cellIs" dxfId="4320" priority="53" operator="lessThan">
      <formula>$L$65*90%</formula>
    </cfRule>
  </conditionalFormatting>
  <conditionalFormatting sqref="M66">
    <cfRule type="cellIs" dxfId="4319" priority="52" operator="lessThan">
      <formula>$L$66*90%</formula>
    </cfRule>
  </conditionalFormatting>
  <conditionalFormatting sqref="M67">
    <cfRule type="cellIs" dxfId="4318" priority="51" operator="lessThan">
      <formula>$L$67*90%</formula>
    </cfRule>
  </conditionalFormatting>
  <conditionalFormatting sqref="M68">
    <cfRule type="cellIs" dxfId="4317" priority="50" operator="lessThan">
      <formula>$L$68*90%</formula>
    </cfRule>
  </conditionalFormatting>
  <conditionalFormatting sqref="B60">
    <cfRule type="cellIs" dxfId="4316" priority="49" operator="lessThan">
      <formula>0</formula>
    </cfRule>
  </conditionalFormatting>
  <conditionalFormatting sqref="B59:F59">
    <cfRule type="cellIs" dxfId="4315" priority="48" operator="lessThanOrEqual">
      <formula>0</formula>
    </cfRule>
  </conditionalFormatting>
  <conditionalFormatting sqref="D62">
    <cfRule type="cellIs" dxfId="4314" priority="46" operator="lessThan">
      <formula>$E$62</formula>
    </cfRule>
    <cfRule type="cellIs" dxfId="4313" priority="47" operator="greaterThan">
      <formula>$E$62</formula>
    </cfRule>
  </conditionalFormatting>
  <conditionalFormatting sqref="F69">
    <cfRule type="cellIs" dxfId="4312" priority="44" operator="lessThan">
      <formula>0</formula>
    </cfRule>
  </conditionalFormatting>
  <conditionalFormatting sqref="B65:E67 B69:E69 B68:D68">
    <cfRule type="cellIs" dxfId="4311" priority="45" operator="lessThan">
      <formula>0</formula>
    </cfRule>
  </conditionalFormatting>
  <conditionalFormatting sqref="E68">
    <cfRule type="cellIs" dxfId="4310" priority="43" operator="lessThan">
      <formula>0</formula>
    </cfRule>
  </conditionalFormatting>
  <conditionalFormatting sqref="F65:F68">
    <cfRule type="cellIs" dxfId="4309" priority="42" operator="lessThan">
      <formula>0</formula>
    </cfRule>
  </conditionalFormatting>
  <conditionalFormatting sqref="F65:F68">
    <cfRule type="cellIs" dxfId="4308" priority="41" operator="lessThan">
      <formula>$E$65*0.9</formula>
    </cfRule>
  </conditionalFormatting>
  <conditionalFormatting sqref="F66">
    <cfRule type="cellIs" dxfId="4307" priority="40" operator="lessThan">
      <formula>$E$66*0.9</formula>
    </cfRule>
  </conditionalFormatting>
  <conditionalFormatting sqref="F67:F68">
    <cfRule type="cellIs" dxfId="4306" priority="39" operator="lessThan">
      <formula>$E$67*0.9</formula>
    </cfRule>
  </conditionalFormatting>
  <conditionalFormatting sqref="F68">
    <cfRule type="cellIs" dxfId="4305" priority="38" operator="lessThan">
      <formula>$E$68*0.9</formula>
    </cfRule>
  </conditionalFormatting>
  <conditionalFormatting sqref="B13:F13">
    <cfRule type="cellIs" dxfId="4304" priority="27" operator="greaterThan">
      <formula>$I$16</formula>
    </cfRule>
    <cfRule type="cellIs" dxfId="4303" priority="28" operator="lessThanOrEqual">
      <formula>$I$16</formula>
    </cfRule>
  </conditionalFormatting>
  <conditionalFormatting sqref="B10:F10">
    <cfRule type="cellIs" dxfId="4302" priority="29" operator="greaterThan">
      <formula>15</formula>
    </cfRule>
    <cfRule type="cellIs" dxfId="4301" priority="36" operator="lessThan">
      <formula>$I$9</formula>
    </cfRule>
    <cfRule type="cellIs" dxfId="4300" priority="37" operator="greaterThan">
      <formula>$I$9</formula>
    </cfRule>
  </conditionalFormatting>
  <conditionalFormatting sqref="B16:F16">
    <cfRule type="cellIs" dxfId="4299" priority="34" operator="greaterThan">
      <formula>$I$16</formula>
    </cfRule>
    <cfRule type="cellIs" dxfId="4298" priority="35" operator="lessThanOrEqual">
      <formula>$I$16</formula>
    </cfRule>
  </conditionalFormatting>
  <conditionalFormatting sqref="B15:F15">
    <cfRule type="cellIs" dxfId="4297" priority="32" operator="lessThanOrEqual">
      <formula>$I$16</formula>
    </cfRule>
    <cfRule type="cellIs" dxfId="4296" priority="33" operator="greaterThan">
      <formula>$I$16</formula>
    </cfRule>
  </conditionalFormatting>
  <conditionalFormatting sqref="B14:F14">
    <cfRule type="cellIs" dxfId="4295" priority="30" operator="greaterThan">
      <formula>$I$16</formula>
    </cfRule>
    <cfRule type="cellIs" dxfId="4294" priority="31" operator="lessThanOrEqual">
      <formula>$I$16</formula>
    </cfRule>
  </conditionalFormatting>
  <conditionalFormatting sqref="K6">
    <cfRule type="containsText" dxfId="4293" priority="25" operator="containsText" text="衰退">
      <formula>NOT(ISERROR(SEARCH("衰退",K6)))</formula>
    </cfRule>
    <cfRule type="containsText" dxfId="4292" priority="26" operator="containsText" text="成長">
      <formula>NOT(ISERROR(SEARCH("成長",K6)))</formula>
    </cfRule>
  </conditionalFormatting>
  <conditionalFormatting sqref="I4:K4">
    <cfRule type="cellIs" dxfId="4291" priority="23" operator="lessThan">
      <formula>0</formula>
    </cfRule>
    <cfRule type="cellIs" dxfId="429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289" priority="20" operator="lessThanOrEqual">
      <formula>$I$16</formula>
    </cfRule>
    <cfRule type="cellIs" dxfId="4288" priority="21" operator="greaterThan">
      <formula>$I$16</formula>
    </cfRule>
  </conditionalFormatting>
  <conditionalFormatting sqref="I6">
    <cfRule type="containsText" dxfId="4287" priority="18" operator="containsText" text="衰退">
      <formula>NOT(ISERROR(SEARCH("衰退",I6)))</formula>
    </cfRule>
    <cfRule type="containsText" dxfId="4286" priority="19" operator="containsText" text="成長">
      <formula>NOT(ISERROR(SEARCH("成長",I6)))</formula>
    </cfRule>
  </conditionalFormatting>
  <conditionalFormatting sqref="M9">
    <cfRule type="cellIs" dxfId="4285" priority="17" operator="lessThan">
      <formula>$I$9</formula>
    </cfRule>
  </conditionalFormatting>
  <conditionalFormatting sqref="M10">
    <cfRule type="cellIs" dxfId="4284" priority="16" operator="greaterThan">
      <formula>$I$9</formula>
    </cfRule>
  </conditionalFormatting>
  <conditionalFormatting sqref="M11">
    <cfRule type="cellIs" dxfId="428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282" priority="12" operator="lessThan">
      <formula>0</formula>
    </cfRule>
    <cfRule type="cellIs" dxfId="4281" priority="13" operator="greaterThan">
      <formula>0.5</formula>
    </cfRule>
  </conditionalFormatting>
  <conditionalFormatting sqref="N14">
    <cfRule type="cellIs" dxfId="428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279" priority="8" operator="lessThan">
      <formula>0.1</formula>
    </cfRule>
  </conditionalFormatting>
  <conditionalFormatting sqref="I14">
    <cfRule type="cellIs" dxfId="427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27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276" priority="1" operator="lessThan">
      <formula>$N$5*0.9</formula>
    </cfRule>
    <cfRule type="cellIs" dxfId="4275" priority="2" operator="greaterThan">
      <formula>$N$5*1.1</formula>
    </cfRule>
  </conditionalFormatting>
  <hyperlinks>
    <hyperlink ref="L1" location="儀表板!A1" display="(回首頁)" xr:uid="{00000000-0004-0000-2E00-000000000000}"/>
  </hyperlink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11.06 ~ 33.12</v>
      </c>
      <c r="L1" s="83" t="s">
        <v>176</v>
      </c>
      <c r="M1" s="84" t="str">
        <f ca="1">VLOOKUP(_xlfn.NUMBERVALUE(N1),儀表板!A:B,2,FALSE)</f>
        <v>禾瑞亞</v>
      </c>
      <c r="N1" s="85" t="str">
        <f ca="1">MID(CELL("filename",L1),FIND("]",CELL("filename",L1))+1,255)</f>
        <v>3556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9.3272955375866523E-2</v>
      </c>
    </row>
    <row r="3" spans="1:15" s="93" customFormat="1" x14ac:dyDescent="0.25">
      <c r="A3" s="81" t="s">
        <v>179</v>
      </c>
      <c r="B3" s="94">
        <f>SUM(F19:F22,F24:F27,J19)</f>
        <v>85.392134292367544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48.398477298683048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51.642646470691417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55.150875924142341</v>
      </c>
      <c r="L3" s="100"/>
      <c r="M3" s="79" t="s">
        <v>385</v>
      </c>
      <c r="N3" s="92">
        <f>(F69-E69)/E69</f>
        <v>8.2042730901646016E-2</v>
      </c>
    </row>
    <row r="4" spans="1:15" s="93" customFormat="1" x14ac:dyDescent="0.25">
      <c r="A4" s="81" t="s">
        <v>182</v>
      </c>
      <c r="B4" s="96">
        <f>SUM(G36:G40)*2</f>
        <v>50</v>
      </c>
      <c r="C4" s="101"/>
      <c r="D4" s="102">
        <f>F4*(1+F141/10)</f>
        <v>5.9488000000000003</v>
      </c>
      <c r="E4" s="82">
        <f>(D4-F4)/F4</f>
        <v>4.0000000000000098E-2</v>
      </c>
      <c r="F4" s="103">
        <v>5.72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3.787149558155761</v>
      </c>
    </row>
    <row r="5" spans="1:15" s="93" customFormat="1" x14ac:dyDescent="0.25">
      <c r="A5" s="81" t="s">
        <v>184</v>
      </c>
      <c r="B5" s="107">
        <f>SUM(F30:F34)*2</f>
        <v>99.29245283018868</v>
      </c>
      <c r="C5" s="87"/>
      <c r="D5" s="87"/>
      <c r="E5" s="87"/>
      <c r="F5" s="86"/>
      <c r="G5" s="88"/>
      <c r="M5" s="79" t="s">
        <v>386</v>
      </c>
      <c r="N5" s="152">
        <f>D62</f>
        <v>3.75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有0.3年成長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連2季成長</v>
      </c>
      <c r="L6" s="112"/>
      <c r="M6" s="79" t="s">
        <v>190</v>
      </c>
      <c r="N6" s="152">
        <f>A53</f>
        <v>3.8077274053030683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42.21</v>
      </c>
      <c r="N9" s="129"/>
    </row>
    <row r="10" spans="1:15" s="93" customFormat="1" x14ac:dyDescent="0.25">
      <c r="A10" s="123" t="s">
        <v>194</v>
      </c>
      <c r="B10" s="126">
        <f>PERCENTILE(176:176,B9)</f>
        <v>11.94</v>
      </c>
      <c r="C10" s="126">
        <f>PERCENTILE(176:176,C9)</f>
        <v>12.83</v>
      </c>
      <c r="D10" s="126">
        <f>PERCENTILE(176:176,D9)</f>
        <v>13.69</v>
      </c>
      <c r="E10" s="126">
        <f>PERCENTILE(176:176,E9)</f>
        <v>14.620000000000001</v>
      </c>
      <c r="F10" s="126">
        <f>PERCENTILE(176:176,F9)</f>
        <v>17.12</v>
      </c>
      <c r="G10" s="95"/>
      <c r="H10" s="135"/>
      <c r="I10" s="135"/>
      <c r="J10" s="135"/>
      <c r="K10" s="135"/>
      <c r="L10" s="136" t="s">
        <v>374</v>
      </c>
      <c r="M10" s="130">
        <f>MIN(176:176)</f>
        <v>9.08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18.420000000000002</v>
      </c>
      <c r="L11" s="272" t="s">
        <v>193</v>
      </c>
      <c r="M11" s="128">
        <f>STDEV(176:176)</f>
        <v>7.1264052248361134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65.476190476190482</v>
      </c>
      <c r="C13" s="141">
        <f>$B$34/5.88%</f>
        <v>79.506802721088434</v>
      </c>
      <c r="D13" s="141">
        <f>$B$34/5%</f>
        <v>93.499999999999986</v>
      </c>
      <c r="E13" s="141">
        <f>$B$34/4.35%</f>
        <v>107.47126436781609</v>
      </c>
      <c r="F13" s="141">
        <f>$B$34/3.85%</f>
        <v>121.42857142857143</v>
      </c>
      <c r="G13" s="138" t="str">
        <f>"$"&amp;ROUND(B34,2)&amp;"/"&amp;IF(STDEV(C140:F140)/AVERAGE(C140:F140)&lt;15%,"高",IF(STDEV(C140:F140)/AVERAGE(C140:F140)&lt;30%,"中","低"))</f>
        <v>$4.68/低</v>
      </c>
      <c r="H13" s="142" t="s">
        <v>199</v>
      </c>
      <c r="I13" s="143">
        <f>MAX(0,1-J15)</f>
        <v>0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63.281999999999996</v>
      </c>
      <c r="C14" s="141">
        <f>$B$33*C10</f>
        <v>67.998999999999995</v>
      </c>
      <c r="D14" s="141">
        <f>$B$33*D10</f>
        <v>72.556999999999988</v>
      </c>
      <c r="E14" s="141">
        <f>$B$33*E10</f>
        <v>77.486000000000004</v>
      </c>
      <c r="F14" s="141">
        <f>$B$33*F10</f>
        <v>90.736000000000004</v>
      </c>
      <c r="G14" s="138" t="str">
        <f>"$"&amp;ROUND(B33,2)&amp;"/"&amp;IF(STDEV(B69:E69)/AVERAGE(B69:E69)&lt;15%,"高",IF(STDEV(B69:E69)/AVERAGE(B69:E69)&lt;30%,"中","低"))</f>
        <v>$5.3/低</v>
      </c>
      <c r="H14" s="142" t="s">
        <v>203</v>
      </c>
      <c r="I14" s="145">
        <f>G62/100*I13</f>
        <v>0</v>
      </c>
      <c r="J14" s="76" t="s">
        <v>204</v>
      </c>
      <c r="K14" s="146"/>
      <c r="L14" s="147">
        <f>(HLOOKUP($C$1,$105:$106,2,FALSE)-HLOOKUP($C$1,$117:$127,9,FALSE))/(HLOOKUP($C$1,$117:$128,12,FALSE)/K11)</f>
        <v>9.0522008577924762</v>
      </c>
      <c r="M14" s="148">
        <f>E135/E69</f>
        <v>1.2828571428571429</v>
      </c>
      <c r="N14" s="149">
        <f>F173/100</f>
        <v>1.2497</v>
      </c>
    </row>
    <row r="15" spans="1:15" s="93" customFormat="1" x14ac:dyDescent="0.25">
      <c r="A15" s="140" t="s">
        <v>375</v>
      </c>
      <c r="B15" s="141">
        <f>$D$62*B10</f>
        <v>44.774999999999999</v>
      </c>
      <c r="C15" s="141">
        <f>$D$62*C10</f>
        <v>48.112499999999997</v>
      </c>
      <c r="D15" s="141">
        <f>$D$62*D10</f>
        <v>51.337499999999999</v>
      </c>
      <c r="E15" s="141">
        <f>$D$62*E10</f>
        <v>54.825000000000003</v>
      </c>
      <c r="F15" s="141">
        <f>$D$62*F10</f>
        <v>64.2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45.218565724379786</v>
      </c>
      <c r="C16" s="141">
        <f>$F$69*C10</f>
        <v>48.589128831138417</v>
      </c>
      <c r="D16" s="141">
        <f>$F$69*D10</f>
        <v>51.846077451152368</v>
      </c>
      <c r="E16" s="141">
        <f>$F$69*E10</f>
        <v>55.368126540237228</v>
      </c>
      <c r="F16" s="141">
        <f>$F$69*F10</f>
        <v>64.83600043562663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254</v>
      </c>
      <c r="J17" s="92">
        <f ca="1">IF(I17&lt;=0,"",IF(I17&lt;=MIN($B$13:$F$16),(I17-MIN($B$13:$F$16))/MIN($B$13:$F$16),IF(I17&gt;=MAX($B$13:$F$16),I17/MAX($B$13:$F$16),PERCENTRANK($B$13:$F$16,I17))))</f>
        <v>2.091764705882353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4.8250000000000002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1.0320855614973263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0.1185355628057603</v>
      </c>
      <c r="J20" s="171">
        <f>HLOOKUP($C$1,$117:$127,11,FALSE)/HLOOKUP($C$1,$105:$115,11,FALSE)</f>
        <v>0.19960680698179553</v>
      </c>
      <c r="K20" s="163"/>
    </row>
    <row r="21" spans="1:14" s="93" customFormat="1" x14ac:dyDescent="0.25">
      <c r="A21" s="151" t="s">
        <v>201</v>
      </c>
      <c r="B21" s="161">
        <f>AVERAGE(C173:F173)/100</f>
        <v>0.98687499999999995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13.381874999999999</v>
      </c>
      <c r="G21" s="88" t="s">
        <v>220</v>
      </c>
      <c r="H21" s="123" t="s">
        <v>221</v>
      </c>
      <c r="I21" s="162">
        <f>HLOOKUP($C$1,$105:$115,7,FALSE)/HLOOKUP($C$1,$117:$127,8,FALSE)</f>
        <v>4.5563737556782273</v>
      </c>
      <c r="J21" s="78"/>
      <c r="K21" s="164" t="s">
        <v>356</v>
      </c>
      <c r="L21" s="165">
        <f>HLOOKUP($C$1,$105:$115,7,FALSE)/HLOOKUP($C$1,$105:$115,11,FALSE)</f>
        <v>0.89953932171447049</v>
      </c>
      <c r="M21" s="123" t="s">
        <v>268</v>
      </c>
      <c r="N21" s="165">
        <f>HLOOKUP($C$1,$117:$127,8,FALSE)/HLOOKUP($C$1,$117:$127,11,FALSE)</f>
        <v>0.98906643367510805</v>
      </c>
    </row>
    <row r="22" spans="1:14" s="93" customFormat="1" x14ac:dyDescent="0.25">
      <c r="A22" s="140" t="s">
        <v>222</v>
      </c>
      <c r="B22" s="161">
        <f>(-1)*SUM(C133:F133)/SUM(C132:F132)</f>
        <v>6.5827686350435635E-2</v>
      </c>
      <c r="C22" s="157"/>
      <c r="D22" s="166"/>
      <c r="E22" s="140"/>
      <c r="F22" s="159">
        <f>IF(B22&lt;=0,10,IF(B22&gt;=100%,0,(1-B22)*10))</f>
        <v>9.3417231364956432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3.2053449534044924</v>
      </c>
      <c r="J22" s="78"/>
      <c r="K22" s="142" t="s">
        <v>357</v>
      </c>
      <c r="L22" s="165">
        <f>HLOOKUP($C$1,$105:$115,4,FALSE)/HLOOKUP($C$1,$105:$115,11,FALSE)</f>
        <v>0.11727547017378663</v>
      </c>
      <c r="M22" s="123" t="s">
        <v>353</v>
      </c>
      <c r="N22" s="165">
        <f>HLOOKUP($C$1,$117:$127,4,FALSE)/HLOOKUP($C$1,$117:$127,11,FALSE)</f>
        <v>0.40615470685540822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1.2493859377153094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0.26672604083444601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1.0083650534842539</v>
      </c>
      <c r="C24" s="169">
        <f>STDEV(C103:F103)</f>
        <v>9.3556987679602552E-3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47.87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2.8554057491381669E-2</v>
      </c>
      <c r="M24" s="123" t="s">
        <v>355</v>
      </c>
      <c r="N24" s="165">
        <f>HLOOKUP($C$1,$117:$127,9,FALSE)/HLOOKUP($C$1,$117:$127,11,FALSE)</f>
        <v>1.0933566324891994E-2</v>
      </c>
    </row>
    <row r="25" spans="1:14" s="93" customFormat="1" x14ac:dyDescent="0.25">
      <c r="A25" s="151" t="s">
        <v>366</v>
      </c>
      <c r="B25" s="255">
        <f>AVERAGE(94:94)</f>
        <v>3776.5652173913045</v>
      </c>
      <c r="C25" s="254">
        <f>STDEV(94:94)/AVERAGE(94:94)</f>
        <v>1.3314638441281039</v>
      </c>
      <c r="D25" s="76" t="str">
        <f>IF(C25&lt;=1,"高",IF(C25&lt;=2,"中","低"))</f>
        <v>中</v>
      </c>
      <c r="E25" s="149"/>
      <c r="F25" s="160">
        <f>MAX(0,10-ABS(C25))</f>
        <v>8.6685361558718963</v>
      </c>
      <c r="G25" s="88" t="s">
        <v>213</v>
      </c>
      <c r="H25" s="123" t="s">
        <v>232</v>
      </c>
      <c r="I25" s="170">
        <f>IF(HLOOKUP(C1,167:170,3,FALSE)="無",0,HLOOKUP(C1,167:170,3,FALSE))</f>
        <v>236.84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47.791739130434777</v>
      </c>
      <c r="C26" s="172">
        <f>IF(COUNTIF(168:168,"&gt;0")=0,0,STDEV(168:168))</f>
        <v>5.9327892046689152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133.58913043478262</v>
      </c>
      <c r="C27" s="172">
        <f>IF(COUNTIF(169:169,"&gt;0")=0,0,STDEV(169:169))</f>
        <v>57.903143572461758</v>
      </c>
      <c r="D27" s="76" t="str">
        <f>IF(C27&lt;=15,"高",IF(C27&lt;=30,"中","低"))</f>
        <v>低</v>
      </c>
      <c r="E27" s="149"/>
      <c r="F27" s="160">
        <f>IF(I25&lt;=60,4,IF(I25&lt;=90,3,IF(I25&lt;=120,2,IF(I25&lt;=150,1,0))))+IF(D27="高",6,IF(D27="中",4,2))</f>
        <v>2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0.55135000000000001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0.22712499999999999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23.1</v>
      </c>
      <c r="C32" s="157" t="s">
        <v>217</v>
      </c>
      <c r="D32" s="174">
        <f>COUNTIF(159:159,"&gt;3")/COUNT(159:159)</f>
        <v>0.91304347826086951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5.3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4.6749999999999998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9.6462264150943398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1195446.75</v>
      </c>
      <c r="C36" s="178">
        <f>STDEV(C97:F97)</f>
        <v>250438.33887988608</v>
      </c>
      <c r="D36" s="76" t="str">
        <f>IF(C36/B36&lt;15%,"高",IF(C36/B36&lt;30%,"中","低"))</f>
        <v>中</v>
      </c>
      <c r="E36" s="107">
        <f>IF(F97&gt;E97,1,0)+IF(E97&gt;D97,1,0)+IF(D97&gt;C97,1,0)</f>
        <v>1</v>
      </c>
      <c r="F36" s="179"/>
      <c r="G36" s="160">
        <f>IF(D36="高",6,IF(D36="中",4,2))+E36+1</f>
        <v>6</v>
      </c>
    </row>
    <row r="37" spans="1:14" x14ac:dyDescent="0.25">
      <c r="A37" s="164" t="s">
        <v>248</v>
      </c>
      <c r="B37" s="180">
        <f>AVERAGE(C152:F152)</f>
        <v>55.134999999999998</v>
      </c>
      <c r="C37" s="180">
        <f>STDEV(C152:F152)</f>
        <v>6.542000203811261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24.505000000000003</v>
      </c>
      <c r="C38" s="180">
        <f>STDEV(C153:F153)</f>
        <v>6.3651577618573656</v>
      </c>
      <c r="D38" s="76" t="str">
        <f>IF(C38/B38&lt;15%,"高",IF(C38/B38&lt;30%,"中","低"))</f>
        <v>中</v>
      </c>
      <c r="E38" s="107">
        <f>IF(F153&gt;E153,1,0)+IF(E153&gt;D153,1,0)+IF(D153&gt;C153,1,0)</f>
        <v>0</v>
      </c>
      <c r="F38" s="179"/>
      <c r="G38" s="160">
        <f>IF(D38="高",6,IF(D38="中",4,2))+E38+1</f>
        <v>5</v>
      </c>
    </row>
    <row r="39" spans="1:14" x14ac:dyDescent="0.25">
      <c r="A39" s="142" t="s">
        <v>46</v>
      </c>
      <c r="B39" s="181">
        <f>AVERAGE(C165:F165)</f>
        <v>23.1</v>
      </c>
      <c r="C39" s="181">
        <f>STDEV(C165:F165)</f>
        <v>10.752181174068829</v>
      </c>
      <c r="D39" s="76" t="str">
        <f>IF(C39/B39&lt;15%,"高",IF(C39/B39&lt;30%,"中","低"))</f>
        <v>低</v>
      </c>
      <c r="E39" s="107">
        <f>IF(F165&gt;E165,1,0)+IF(E165&gt;D165,1,0)+IF(D165&gt;C165,1,0)</f>
        <v>0</v>
      </c>
      <c r="F39" s="182"/>
      <c r="G39" s="160">
        <f>IF(D39="高",6,IF(D39="中",4,2))+E39+1</f>
        <v>3</v>
      </c>
    </row>
    <row r="40" spans="1:14" x14ac:dyDescent="0.25">
      <c r="A40" s="164" t="s">
        <v>14</v>
      </c>
      <c r="B40" s="183">
        <f>AVERAGE(B69:E69)</f>
        <v>5.3</v>
      </c>
      <c r="C40" s="183">
        <f>STDEV(B69:E69)</f>
        <v>2.4968914006553562</v>
      </c>
      <c r="D40" s="76" t="str">
        <f>IF(C40/B40&lt;15%,"高",IF(C40/B40&lt;30%,"中","低"))</f>
        <v>低</v>
      </c>
      <c r="E40" s="107">
        <f>IF(E69&gt;D69,1,0)+IF(D69&gt;C69,1,0)+IF(C69&gt;B69,1,0)</f>
        <v>0</v>
      </c>
      <c r="G40" s="160">
        <f>IF(D40="高",6,IF(D40="中",4,2))+E40+1</f>
        <v>3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0.27710843373493987</v>
      </c>
      <c r="C44" s="186">
        <f>(C46-C49)/C49</f>
        <v>0.13333333333333333</v>
      </c>
      <c r="D44" s="186">
        <f>(D46-D49)/D49</f>
        <v>-0.10204081632653059</v>
      </c>
      <c r="E44" s="186">
        <f>(E46-E49)/E49</f>
        <v>-0.1855670103092783</v>
      </c>
      <c r="G44" s="86" t="s">
        <v>175</v>
      </c>
      <c r="H44" s="186">
        <f>(H47-H50)/H50</f>
        <v>0.32978126752664061</v>
      </c>
      <c r="I44" s="186">
        <f>(I47-I50)/I50</f>
        <v>0.31324616259238208</v>
      </c>
      <c r="J44" s="186">
        <f>(J47-J50)/J50</f>
        <v>0.12459321245932119</v>
      </c>
      <c r="K44" s="186">
        <f>(K47-K50)/K50</f>
        <v>-0.39077212806026362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1.06</v>
      </c>
      <c r="C46" s="152">
        <f>HLOOKUP(C45,$81:$82,2,FALSE)</f>
        <v>1.02</v>
      </c>
      <c r="D46" s="152">
        <f>HLOOKUP(D45,$81:$82,2,FALSE)</f>
        <v>0.88</v>
      </c>
      <c r="E46" s="152">
        <f>HLOOKUP(E45,$81:$82,2,FALSE)</f>
        <v>0.79</v>
      </c>
      <c r="G46" s="86" t="s">
        <v>164</v>
      </c>
      <c r="H46" s="145">
        <f>HLOOKUP(H45,$145:$147,2,FALSE)/100</f>
        <v>0.52890000000000004</v>
      </c>
      <c r="I46" s="145">
        <f>HLOOKUP(I45,$145:$147,2,FALSE)/100</f>
        <v>0.55969999999999998</v>
      </c>
      <c r="J46" s="145">
        <f>HLOOKUP(J45,$145:$147,2,FALSE)/100</f>
        <v>0.56840000000000002</v>
      </c>
      <c r="K46" s="145">
        <f>HLOOKUP(K45,$145:$147,2,FALSE)/100</f>
        <v>0.42570000000000002</v>
      </c>
    </row>
    <row r="47" spans="1:14" x14ac:dyDescent="0.25">
      <c r="A47" s="188" t="s">
        <v>165</v>
      </c>
      <c r="B47" s="189">
        <f>HLOOKUP(B45,$157:$159,3,FALSE)</f>
        <v>5.8</v>
      </c>
      <c r="C47" s="189">
        <f>HLOOKUP(C45,$157:$159,3,FALSE)</f>
        <v>5.07</v>
      </c>
      <c r="D47" s="189">
        <f>HLOOKUP(D45,$157:$159,3,FALSE)</f>
        <v>4.1100000000000003</v>
      </c>
      <c r="E47" s="189">
        <f>HLOOKUP(E45,$157:$159,3,FALSE)</f>
        <v>3.84</v>
      </c>
      <c r="G47" s="190" t="s">
        <v>166</v>
      </c>
      <c r="H47" s="145">
        <f>HLOOKUP(H45,$145:$147,3,FALSE)/100</f>
        <v>0.23710000000000001</v>
      </c>
      <c r="I47" s="145">
        <f>HLOOKUP(I45,$145:$147,3,FALSE)/100</f>
        <v>0.23100000000000001</v>
      </c>
      <c r="J47" s="145">
        <f>HLOOKUP(J45,$145:$147,3,FALSE)/100</f>
        <v>0.2419</v>
      </c>
      <c r="K47" s="145">
        <f>HLOOKUP(K45,$145:$147,3,FALSE)/100</f>
        <v>0.12939999999999999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0.83</v>
      </c>
      <c r="C49" s="152">
        <f>HLOOKUP(C48,$81:$82,2,FALSE)</f>
        <v>0.9</v>
      </c>
      <c r="D49" s="152">
        <f>HLOOKUP(D48,$81:$82,2,FALSE)</f>
        <v>0.98</v>
      </c>
      <c r="E49" s="152">
        <f>HLOOKUP(E48,$81:$82,2,FALSE)</f>
        <v>0.97</v>
      </c>
      <c r="G49" s="86" t="s">
        <v>164</v>
      </c>
      <c r="H49" s="145">
        <f>HLOOKUP(H48,$145:$147,2,FALSE)/100</f>
        <v>0.43709999999999999</v>
      </c>
      <c r="I49" s="145">
        <f>HLOOKUP(I48,$145:$147,2,FALSE)/100</f>
        <v>0.45640000000000003</v>
      </c>
      <c r="J49" s="145">
        <f>HLOOKUP(J48,$145:$147,2,FALSE)/100</f>
        <v>0.51939999999999997</v>
      </c>
      <c r="K49" s="145">
        <f>HLOOKUP(K48,$145:$147,2,FALSE)/100</f>
        <v>0.5282</v>
      </c>
    </row>
    <row r="50" spans="1:15" x14ac:dyDescent="0.25">
      <c r="A50" s="188" t="s">
        <v>165</v>
      </c>
      <c r="B50" s="189">
        <f>HLOOKUP(B48,$157:$159,3,FALSE)</f>
        <v>4.17</v>
      </c>
      <c r="C50" s="189">
        <f>HLOOKUP(C48,$157:$159,3,FALSE)</f>
        <v>4.33</v>
      </c>
      <c r="D50" s="189">
        <f>HLOOKUP(D48,$157:$159,3,FALSE)</f>
        <v>4.41</v>
      </c>
      <c r="E50" s="189">
        <f>HLOOKUP(E48,$157:$159,3,FALSE)</f>
        <v>4.47</v>
      </c>
      <c r="G50" s="190" t="s">
        <v>166</v>
      </c>
      <c r="H50" s="145">
        <f>HLOOKUP(H48,$145:$147,3,FALSE)/100</f>
        <v>0.17829999999999999</v>
      </c>
      <c r="I50" s="145">
        <f>HLOOKUP(I48,$145:$147,3,FALSE)/100</f>
        <v>0.1759</v>
      </c>
      <c r="J50" s="145">
        <f>HLOOKUP(J48,$145:$147,3,FALSE)/100</f>
        <v>0.21510000000000001</v>
      </c>
      <c r="K50" s="145">
        <f>HLOOKUP(K48,$145:$147,3,FALSE)/100</f>
        <v>0.21239999999999998</v>
      </c>
    </row>
    <row r="51" spans="1:15" x14ac:dyDescent="0.25">
      <c r="A51" s="86" t="s">
        <v>351</v>
      </c>
      <c r="B51" s="186">
        <f>(B47-B50)/B50</f>
        <v>0.39088729016786566</v>
      </c>
      <c r="C51" s="186">
        <f>(C47-C50)/C50</f>
        <v>0.17090069284064668</v>
      </c>
      <c r="D51" s="186">
        <f>(D47-D50)/D50</f>
        <v>-6.8027210884353692E-2</v>
      </c>
      <c r="E51" s="186">
        <f>(E47-E50)/E50</f>
        <v>-0.14093959731543623</v>
      </c>
      <c r="G51" s="235" t="s">
        <v>174</v>
      </c>
      <c r="H51" s="186">
        <f>(H46-H49)/H49</f>
        <v>0.21002059025394659</v>
      </c>
      <c r="I51" s="186">
        <f>(I46-I49)/I49</f>
        <v>0.22633654688869401</v>
      </c>
      <c r="J51" s="186">
        <f>(J46-J49)/J49</f>
        <v>9.4339622641509524E-2</v>
      </c>
      <c r="K51" s="186">
        <f>(K46-K49)/K49</f>
        <v>-0.19405528209011735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3.8077274053030683</v>
      </c>
      <c r="B53" s="193">
        <f>B46</f>
        <v>1.06</v>
      </c>
      <c r="C53" s="193">
        <f>E46/HLOOKUP(E45,$87:$94,5,FALSE)*HLOOKUP(E45,$87:$94,4,FALSE)*($B$25/HLOOKUP(E45,$87:$94,4,FALSE)+SUM($B$57:$D$57)/SUM($B58:$D$58)*$G$69/100/K46)</f>
        <v>0.82714955815576108</v>
      </c>
      <c r="D53" s="193">
        <f>D46/HLOOKUP(D45,$87:$94,5,FALSE)*HLOOKUP(D45,$87:$94,4,FALSE)*($B$25/HLOOKUP(D45,$87:$94,4,FALSE)+SUM($B$57:$D$57)/SUM($B58:$D$58)*$G$69/100/J46)</f>
        <v>0.97590184079288467</v>
      </c>
      <c r="E53" s="193">
        <f>C46/HLOOKUP(C45,$87:$94,5,FALSE)*HLOOKUP(C45,$87:$94,4,FALSE)*($B$25/HLOOKUP(C45,$87:$94,4,FALSE)+SUM($B$57:$D$57)/SUM($B58:$D$58)*$G$69/100/I46)</f>
        <v>0.94467600635442284</v>
      </c>
    </row>
    <row r="54" spans="1:15" x14ac:dyDescent="0.25">
      <c r="A54" s="278">
        <f>SUM(B54:E54)</f>
        <v>3.52</v>
      </c>
      <c r="B54" s="277">
        <f t="shared" ref="B54:D54" si="0">HLOOKUP(B52-10,81:82,2,FALSE)</f>
        <v>0.83</v>
      </c>
      <c r="C54" s="277">
        <f t="shared" si="0"/>
        <v>0.79</v>
      </c>
      <c r="D54" s="277">
        <f t="shared" si="0"/>
        <v>0.88</v>
      </c>
      <c r="E54" s="277">
        <f>HLOOKUP(E52-10,81:82,2,FALSE)</f>
        <v>1.02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102975</v>
      </c>
      <c r="C57" s="196">
        <f>HLOOKUP(C56,78:79,2,FALSE)</f>
        <v>106428</v>
      </c>
      <c r="D57" s="196">
        <f>HLOOKUP(D56,78:79,2,FALSE)</f>
        <v>89470</v>
      </c>
      <c r="E57" s="196">
        <f>HLOOKUP(E56,78:79,2,FALSE)</f>
        <v>110937</v>
      </c>
      <c r="F57" s="196">
        <f>HLOOKUP(F56,78:79,2,FALSE)</f>
        <v>96999</v>
      </c>
      <c r="G57" s="196">
        <f t="shared" ref="G57:M57" si="2">HLOOKUP(G56,78:79,2,FALSE)</f>
        <v>98844</v>
      </c>
      <c r="H57" s="196">
        <f t="shared" si="2"/>
        <v>86020</v>
      </c>
      <c r="I57" s="196">
        <f t="shared" si="2"/>
        <v>100434</v>
      </c>
      <c r="J57" s="196">
        <f t="shared" si="2"/>
        <v>68390</v>
      </c>
      <c r="K57" s="196">
        <f t="shared" si="2"/>
        <v>106820</v>
      </c>
      <c r="L57" s="196">
        <f t="shared" si="2"/>
        <v>93262</v>
      </c>
      <c r="M57" s="196">
        <f t="shared" si="2"/>
        <v>123266</v>
      </c>
      <c r="N57" s="197"/>
    </row>
    <row r="58" spans="1:15" x14ac:dyDescent="0.25">
      <c r="A58" s="198" t="s">
        <v>253</v>
      </c>
      <c r="B58" s="196">
        <f>HLOOKUP(B56-100,78:79,2,FALSE)</f>
        <v>99030</v>
      </c>
      <c r="C58" s="196">
        <f>HLOOKUP(C56-100,78:79,2,FALSE)</f>
        <v>114663</v>
      </c>
      <c r="D58" s="196">
        <f>HLOOKUP(D56-100,78:79,2,FALSE)</f>
        <v>107428</v>
      </c>
      <c r="E58" s="196">
        <f>HLOOKUP(E56-100,78:79,2,FALSE)</f>
        <v>104248</v>
      </c>
      <c r="F58" s="196">
        <f>HLOOKUP(F56-100,78:79,2,FALSE)</f>
        <v>114354</v>
      </c>
      <c r="G58" s="196">
        <f t="shared" ref="G58:M58" si="3">HLOOKUP(G56-100,78:79,2,FALSE)</f>
        <v>91521</v>
      </c>
      <c r="H58" s="196">
        <f t="shared" si="3"/>
        <v>103551</v>
      </c>
      <c r="I58" s="196">
        <f t="shared" si="3"/>
        <v>109499</v>
      </c>
      <c r="J58" s="196">
        <f t="shared" si="3"/>
        <v>64246</v>
      </c>
      <c r="K58" s="196">
        <f t="shared" si="3"/>
        <v>109657</v>
      </c>
      <c r="L58" s="196">
        <f t="shared" si="3"/>
        <v>91359</v>
      </c>
      <c r="M58" s="196">
        <f t="shared" si="3"/>
        <v>87618</v>
      </c>
      <c r="N58" s="197"/>
    </row>
    <row r="59" spans="1:15" x14ac:dyDescent="0.25">
      <c r="A59" s="199" t="s">
        <v>254</v>
      </c>
      <c r="B59" s="165">
        <f>IF(B57&lt;&gt;"",(B57-B58)/B58,"")</f>
        <v>3.9836413208118752E-2</v>
      </c>
      <c r="C59" s="165">
        <f>IF(C57&lt;&gt;"",(C57-C58)/C58,"")</f>
        <v>-7.1819157007927584E-2</v>
      </c>
      <c r="D59" s="165">
        <f>IF(D57&lt;&gt;"",(D57-D58)/D58,"")</f>
        <v>-0.16716312320810217</v>
      </c>
      <c r="E59" s="165">
        <f>IF(E57&lt;&gt;"",(E57-E58)/E58,"")</f>
        <v>6.4164300514158543E-2</v>
      </c>
      <c r="F59" s="165">
        <f>IF(F57&lt;&gt;"",(F57-F58)/F58,"")</f>
        <v>-0.15176557007188204</v>
      </c>
      <c r="G59" s="165">
        <f t="shared" ref="G59:M59" si="4">IF(G57&lt;&gt;"",(G57-G58)/G58,"")</f>
        <v>8.0014422919329989E-2</v>
      </c>
      <c r="H59" s="165">
        <f t="shared" si="4"/>
        <v>-0.16929822020067406</v>
      </c>
      <c r="I59" s="165">
        <f t="shared" si="4"/>
        <v>-8.278614416570014E-2</v>
      </c>
      <c r="J59" s="165">
        <f t="shared" si="4"/>
        <v>6.4502070167792552E-2</v>
      </c>
      <c r="K59" s="165">
        <f t="shared" si="4"/>
        <v>-2.587158138559326E-2</v>
      </c>
      <c r="L59" s="165">
        <f t="shared" si="4"/>
        <v>2.0829912761742137E-2</v>
      </c>
      <c r="M59" s="165">
        <f t="shared" si="4"/>
        <v>0.40685703850806909</v>
      </c>
    </row>
    <row r="60" spans="1:15" x14ac:dyDescent="0.25">
      <c r="A60" s="195" t="s">
        <v>255</v>
      </c>
      <c r="B60" s="196">
        <f>SUM(B57:M57)</f>
        <v>1183845</v>
      </c>
    </row>
    <row r="61" spans="1:15" x14ac:dyDescent="0.25">
      <c r="A61" s="198" t="s">
        <v>256</v>
      </c>
      <c r="B61" s="196">
        <f>SUM(B58:M58)</f>
        <v>1197174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0.98886628008961108</v>
      </c>
      <c r="D62" s="152">
        <f>SUM(B46:E46)</f>
        <v>3.75</v>
      </c>
      <c r="E62" s="152">
        <f>SUM(B49:E49)</f>
        <v>3.6799999999999997</v>
      </c>
      <c r="G62" s="126">
        <f>SUM(B47:E47)</f>
        <v>18.82</v>
      </c>
      <c r="H62" s="126">
        <f>SUM(B50:E50)</f>
        <v>17.38</v>
      </c>
      <c r="J62" s="200">
        <f>AVERAGE(H46:K46)</f>
        <v>0.520675</v>
      </c>
      <c r="K62" s="200">
        <f>AVERAGE(H49:K49)</f>
        <v>0.48527500000000001</v>
      </c>
      <c r="M62" s="200">
        <f>AVERAGE(H47:K47)</f>
        <v>0.20984999999999998</v>
      </c>
      <c r="N62" s="200">
        <f>AVERAGE(H50:K50)</f>
        <v>0.19542499999999996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2.2000000000000002</v>
      </c>
      <c r="C65" s="205">
        <f t="shared" si="5"/>
        <v>1.31</v>
      </c>
      <c r="D65" s="205">
        <f t="shared" si="5"/>
        <v>0.9</v>
      </c>
      <c r="E65" s="205">
        <f t="shared" si="5"/>
        <v>0.98</v>
      </c>
      <c r="F65" s="206">
        <f>IF(ISNA(HLOOKUP(F$64*10+$A65,$81:$82,2,FALSE)),(HLOOKUP(E$64*10+$A65,$87:$94,4,FALSE)*$G65+$B$25)/HLOOKUP(E$64*10+$A65,$87:$94,5,FALSE)*$E65,HLOOKUP(F$64*10+$A65,$81:$82,2,FALSE))</f>
        <v>0.88</v>
      </c>
      <c r="G65" s="101">
        <f>MIN(130%,SUM($B$57:$D$57)/SUM($B$58:$D$58)*$G$69/HLOOKUP(E$64*10+$A65,$145:$146,2,FALSE))</f>
        <v>1.0006541751561535</v>
      </c>
      <c r="H65" s="204">
        <v>1</v>
      </c>
      <c r="I65" s="208">
        <f t="shared" ref="I65:M68" si="6">IF(ISNA(HLOOKUP(I$64*10+$H65,$145:$147,3,FALSE)),"",HLOOKUP(I$64*10+$H65,$145:$147,3,FALSE)/100)</f>
        <v>0.34549999999999997</v>
      </c>
      <c r="J65" s="208">
        <f t="shared" si="6"/>
        <v>0.26300000000000001</v>
      </c>
      <c r="K65" s="208">
        <f t="shared" si="6"/>
        <v>0.22440000000000002</v>
      </c>
      <c r="L65" s="208">
        <f t="shared" si="6"/>
        <v>0.21510000000000001</v>
      </c>
      <c r="M65" s="209">
        <f t="shared" si="6"/>
        <v>0.2419</v>
      </c>
      <c r="N65" s="256">
        <f t="shared" ref="N65:O68" si="7">HLOOKUP(E$64*10+$A65,$87:$94,8,FALSE)</f>
        <v>-1699</v>
      </c>
      <c r="O65" s="256">
        <f t="shared" si="7"/>
        <v>-8295</v>
      </c>
      <c r="P65" s="210"/>
    </row>
    <row r="66" spans="1:71" x14ac:dyDescent="0.25">
      <c r="A66" s="204">
        <v>2</v>
      </c>
      <c r="B66" s="205">
        <f t="shared" si="5"/>
        <v>2.5</v>
      </c>
      <c r="C66" s="205">
        <f t="shared" si="5"/>
        <v>1.1599999999999999</v>
      </c>
      <c r="D66" s="205">
        <f t="shared" si="5"/>
        <v>1.43</v>
      </c>
      <c r="E66" s="205">
        <f t="shared" si="5"/>
        <v>0.9</v>
      </c>
      <c r="F66" s="206">
        <f>IF(ISNA(HLOOKUP(F$64*10+$A66,$81:$82,2,FALSE)),(HLOOKUP(E$64*10+$A66,$87:$94,4,FALSE)*$G66+$B$25)/HLOOKUP(E$64*10+$A66,$87:$94,5,FALSE)*$E66,HLOOKUP(F$64*10+$A66,$81:$82,2,FALSE))</f>
        <v>1.02</v>
      </c>
      <c r="G66" s="101">
        <f>MIN(130%,SUM($B$57:$D$57)/SUM($B$58:$D$58)*$G$69/HLOOKUP(E$64*10+$A66,$145:$146,2,FALSE))</f>
        <v>1.1387812852237207</v>
      </c>
      <c r="H66" s="204">
        <v>2</v>
      </c>
      <c r="I66" s="208">
        <f t="shared" si="6"/>
        <v>0.33889999999999998</v>
      </c>
      <c r="J66" s="208">
        <f t="shared" si="6"/>
        <v>0.252</v>
      </c>
      <c r="K66" s="208">
        <f t="shared" si="6"/>
        <v>0.27390000000000003</v>
      </c>
      <c r="L66" s="208">
        <f t="shared" si="6"/>
        <v>0.1759</v>
      </c>
      <c r="M66" s="209">
        <f t="shared" si="6"/>
        <v>0.23100000000000001</v>
      </c>
      <c r="N66" s="256">
        <f t="shared" si="7"/>
        <v>2657</v>
      </c>
      <c r="O66" s="256">
        <f t="shared" si="7"/>
        <v>4250</v>
      </c>
      <c r="P66" s="210"/>
    </row>
    <row r="67" spans="1:71" x14ac:dyDescent="0.25">
      <c r="A67" s="204">
        <v>3</v>
      </c>
      <c r="B67" s="205">
        <f t="shared" si="5"/>
        <v>2.73</v>
      </c>
      <c r="C67" s="205">
        <f t="shared" si="5"/>
        <v>1.1299999999999999</v>
      </c>
      <c r="D67" s="205">
        <f t="shared" si="5"/>
        <v>0.88</v>
      </c>
      <c r="E67" s="205">
        <f t="shared" si="5"/>
        <v>0.83</v>
      </c>
      <c r="F67" s="206">
        <f>IF(ISNA(HLOOKUP(F$64*10+$A67,$81:$82,2,FALSE)),(HLOOKUP(E$64*10+$A67,$87:$94,4,FALSE)*$G67+$B$25)/HLOOKUP(E$64*10+$A67,$87:$94,5,FALSE)*$E67,HLOOKUP(F$64*10+$A67,$81:$82,2,FALSE))</f>
        <v>1.06</v>
      </c>
      <c r="G67" s="101">
        <f>MIN(130%,SUM($B$57:$D$57)/SUM($B$58:$D$58)*$G$69/HLOOKUP(E$64*10+$A67,$145:$146,2,FALSE))</f>
        <v>1.1890637807735212</v>
      </c>
      <c r="H67" s="204">
        <v>3</v>
      </c>
      <c r="I67" s="208">
        <f t="shared" si="6"/>
        <v>0.33490000000000003</v>
      </c>
      <c r="J67" s="208">
        <f t="shared" si="6"/>
        <v>0.24149999999999999</v>
      </c>
      <c r="K67" s="208">
        <f t="shared" si="6"/>
        <v>0.20559999999999998</v>
      </c>
      <c r="L67" s="208">
        <f t="shared" si="6"/>
        <v>0.17829999999999999</v>
      </c>
      <c r="M67" s="209">
        <f t="shared" si="6"/>
        <v>0.23710000000000001</v>
      </c>
      <c r="N67" s="256">
        <f t="shared" si="7"/>
        <v>-7363</v>
      </c>
      <c r="O67" s="256">
        <f t="shared" si="7"/>
        <v>1908</v>
      </c>
      <c r="P67" s="210"/>
    </row>
    <row r="68" spans="1:71" x14ac:dyDescent="0.25">
      <c r="A68" s="204">
        <v>4</v>
      </c>
      <c r="B68" s="205">
        <f>HLOOKUP(B$64*10+$A68,$81:$82,2,FALSE)</f>
        <v>1.56</v>
      </c>
      <c r="C68" s="205">
        <f>HLOOKUP(C$64*10+$A68,$81:$82,2,FALSE)</f>
        <v>0.93</v>
      </c>
      <c r="D68" s="205">
        <f>HLOOKUP(D$64*10+$A68,$81:$82,2,FALSE)</f>
        <v>0.97</v>
      </c>
      <c r="E68" s="206">
        <f>IF(ISNA(HLOOKUP(E$64*10+$A68,$81:$82,2,FALSE)),D68*(1-$N68)*#REF!*(1+$B$25)/(1+$E$4),HLOOKUP(E$64*10+$A68,$81:$82,2,FALSE))</f>
        <v>0.79</v>
      </c>
      <c r="F68" s="206">
        <f>IF(ISNA(HLOOKUP(F$64*10+$A68,$81:$82,2,FALSE)),(HLOOKUP(E$64*10+$A68,$87:$94,4,FALSE)*$G68+$B$25)/HLOOKUP(E$64*10+$A68,$87:$94,5,FALSE)*$E68,HLOOKUP(F$64*10+$A68,$81:$82,2,FALSE))</f>
        <v>0.82714955815576119</v>
      </c>
      <c r="G68" s="101">
        <f>MIN(130%,SUM($B$57:$D$57)/SUM($B$58:$D$58)*$G$69/HLOOKUP(E$64*10+$A68,$145:$146,2,FALSE))</f>
        <v>1.2209062216962794</v>
      </c>
      <c r="H68" s="204">
        <v>4</v>
      </c>
      <c r="I68" s="208">
        <f t="shared" si="6"/>
        <v>0.29139999999999999</v>
      </c>
      <c r="J68" s="208">
        <f t="shared" si="6"/>
        <v>0.22559999999999999</v>
      </c>
      <c r="K68" s="208">
        <f t="shared" si="6"/>
        <v>0.21239999999999998</v>
      </c>
      <c r="L68" s="208">
        <f t="shared" si="6"/>
        <v>0.12939999999999999</v>
      </c>
      <c r="M68" s="209" t="str">
        <f t="shared" si="6"/>
        <v/>
      </c>
      <c r="N68" s="256">
        <f t="shared" si="7"/>
        <v>10388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8.99</v>
      </c>
      <c r="C69" s="213">
        <f>SUM(C65:C68)</f>
        <v>4.5299999999999994</v>
      </c>
      <c r="D69" s="213">
        <f>SUM(D65:D68)</f>
        <v>4.18</v>
      </c>
      <c r="E69" s="213">
        <f>SUM(E65:E68)</f>
        <v>3.5</v>
      </c>
      <c r="F69" s="213">
        <f>SUM(F65:F68)</f>
        <v>3.787149558155761</v>
      </c>
      <c r="G69" s="257">
        <f>_xlfn.FORECAST.ETS(23,B146:W146,{1,2,3,4,5,6,7,8,9,10,11,12,13,14,15,16,17,18,19,20,21,22})</f>
        <v>55.84290231507623</v>
      </c>
      <c r="H69" s="214" t="s">
        <v>19</v>
      </c>
      <c r="I69" s="215">
        <f>HLOOKUP(I64,151:155,3,FALSE)/100</f>
        <v>0.3281</v>
      </c>
      <c r="J69" s="215">
        <f>HLOOKUP(J64,151:155,3,FALSE)/100</f>
        <v>0.2462</v>
      </c>
      <c r="K69" s="215">
        <f>HLOOKUP(K64,151:155,3,FALSE)/100</f>
        <v>0.23219999999999999</v>
      </c>
      <c r="L69" s="215">
        <f>IF(ISNA(HLOOKUP(L64,151:155,3,FALSE)/100),AVERAGE(L65:L68),HLOOKUP(L64,151:155,3,FALSE)/100)</f>
        <v>0.17370000000000002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10.59</v>
      </c>
      <c r="C72" s="205">
        <f t="shared" si="8"/>
        <v>4.88</v>
      </c>
      <c r="D72" s="205">
        <f t="shared" si="8"/>
        <v>3.76</v>
      </c>
      <c r="E72" s="205">
        <f t="shared" si="8"/>
        <v>4.41</v>
      </c>
      <c r="F72" s="205">
        <f t="shared" si="8"/>
        <v>4.1100000000000003</v>
      </c>
    </row>
    <row r="73" spans="1:71" s="135" customFormat="1" x14ac:dyDescent="0.25">
      <c r="A73" s="204">
        <v>2</v>
      </c>
      <c r="B73" s="205">
        <f t="shared" si="8"/>
        <v>11.39</v>
      </c>
      <c r="C73" s="205">
        <f t="shared" si="8"/>
        <v>4.88</v>
      </c>
      <c r="D73" s="205">
        <f t="shared" si="8"/>
        <v>6.19</v>
      </c>
      <c r="E73" s="205">
        <f t="shared" si="8"/>
        <v>4.33</v>
      </c>
      <c r="F73" s="205">
        <f t="shared" si="8"/>
        <v>5.07</v>
      </c>
    </row>
    <row r="74" spans="1:71" s="135" customFormat="1" x14ac:dyDescent="0.25">
      <c r="A74" s="204">
        <v>3</v>
      </c>
      <c r="B74" s="205">
        <f t="shared" si="8"/>
        <v>12.54</v>
      </c>
      <c r="C74" s="205">
        <f t="shared" si="8"/>
        <v>5.31</v>
      </c>
      <c r="D74" s="205">
        <f t="shared" si="8"/>
        <v>4.29</v>
      </c>
      <c r="E74" s="205">
        <f t="shared" si="8"/>
        <v>4.17</v>
      </c>
      <c r="F74" s="205">
        <f t="shared" si="8"/>
        <v>5.8</v>
      </c>
    </row>
    <row r="75" spans="1:71" s="135" customFormat="1" x14ac:dyDescent="0.25">
      <c r="A75" s="204">
        <v>4</v>
      </c>
      <c r="B75" s="205">
        <f t="shared" si="8"/>
        <v>6.25</v>
      </c>
      <c r="C75" s="205">
        <f t="shared" si="8"/>
        <v>4.0199999999999996</v>
      </c>
      <c r="D75" s="205">
        <f t="shared" si="8"/>
        <v>4.47</v>
      </c>
      <c r="E75" s="205">
        <f t="shared" si="8"/>
        <v>3.84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40.769999999999996</v>
      </c>
      <c r="C76" s="213">
        <f>SUM(C72:C75)</f>
        <v>19.09</v>
      </c>
      <c r="D76" s="213">
        <f>SUM(D72:D75)</f>
        <v>18.709999999999997</v>
      </c>
      <c r="E76" s="213">
        <f>AVERAGE(E72:E75)*4</f>
        <v>16.75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47364</v>
      </c>
      <c r="C79" s="270">
        <v>44911</v>
      </c>
      <c r="D79" s="270">
        <v>52494</v>
      </c>
      <c r="E79" s="270">
        <v>44022</v>
      </c>
      <c r="F79" s="270">
        <v>55545</v>
      </c>
      <c r="G79" s="270">
        <v>50239</v>
      </c>
      <c r="H79" s="270">
        <v>65947</v>
      </c>
      <c r="I79" s="270">
        <v>71474</v>
      </c>
      <c r="J79" s="270">
        <v>67018</v>
      </c>
      <c r="K79" s="270">
        <v>78378</v>
      </c>
      <c r="L79" s="270">
        <v>68374</v>
      </c>
      <c r="M79" s="270">
        <v>62245</v>
      </c>
      <c r="N79" s="270">
        <v>104596</v>
      </c>
      <c r="O79" s="270">
        <v>84683</v>
      </c>
      <c r="P79" s="270">
        <v>130373</v>
      </c>
      <c r="Q79" s="270">
        <v>117145</v>
      </c>
      <c r="R79" s="270">
        <v>133548</v>
      </c>
      <c r="S79" s="270">
        <v>135198</v>
      </c>
      <c r="T79" s="270">
        <v>162843</v>
      </c>
      <c r="U79" s="270">
        <v>205566</v>
      </c>
      <c r="V79" s="270">
        <v>107160</v>
      </c>
      <c r="W79" s="270">
        <v>152655</v>
      </c>
      <c r="X79" s="270">
        <v>116411</v>
      </c>
      <c r="Y79" s="270">
        <v>84366</v>
      </c>
      <c r="Z79" s="270">
        <v>83234</v>
      </c>
      <c r="AA79" s="270">
        <v>78147</v>
      </c>
      <c r="AB79" s="270">
        <v>100819</v>
      </c>
      <c r="AC79" s="270">
        <v>91482</v>
      </c>
      <c r="AD79" s="270">
        <v>88814</v>
      </c>
      <c r="AE79" s="270">
        <v>83276</v>
      </c>
      <c r="AF79" s="270">
        <v>106296</v>
      </c>
      <c r="AG79" s="270">
        <v>67213</v>
      </c>
      <c r="AH79" s="270">
        <v>82782</v>
      </c>
      <c r="AI79" s="270">
        <v>74942</v>
      </c>
      <c r="AJ79" s="270">
        <v>81458</v>
      </c>
      <c r="AK79" s="270">
        <v>72505</v>
      </c>
      <c r="AL79" s="270">
        <v>84461</v>
      </c>
      <c r="AM79" s="270">
        <v>54142</v>
      </c>
      <c r="AN79" s="270">
        <v>87358</v>
      </c>
      <c r="AO79" s="270">
        <v>112257</v>
      </c>
      <c r="AP79" s="270">
        <v>91834</v>
      </c>
      <c r="AQ79" s="270">
        <v>97070</v>
      </c>
      <c r="AR79" s="270">
        <v>75354</v>
      </c>
      <c r="AS79" s="270">
        <v>66233</v>
      </c>
      <c r="AT79" s="270">
        <v>65508</v>
      </c>
      <c r="AU79" s="270">
        <v>88356</v>
      </c>
      <c r="AV79" s="270">
        <v>87618</v>
      </c>
      <c r="AW79" s="270">
        <v>91359</v>
      </c>
      <c r="AX79" s="270">
        <v>109657</v>
      </c>
      <c r="AY79" s="270">
        <v>64246</v>
      </c>
      <c r="AZ79" s="270">
        <v>109499</v>
      </c>
      <c r="BA79" s="270">
        <v>103551</v>
      </c>
      <c r="BB79" s="270">
        <v>91521</v>
      </c>
      <c r="BC79" s="270">
        <v>114354</v>
      </c>
      <c r="BD79" s="270">
        <v>104248</v>
      </c>
      <c r="BE79" s="270">
        <v>107428</v>
      </c>
      <c r="BF79" s="270">
        <v>114663</v>
      </c>
      <c r="BG79" s="270">
        <v>99030</v>
      </c>
      <c r="BH79" s="270">
        <v>123266</v>
      </c>
      <c r="BI79" s="270">
        <v>93262</v>
      </c>
      <c r="BJ79" s="270">
        <v>106820</v>
      </c>
      <c r="BK79" s="270">
        <v>68390</v>
      </c>
      <c r="BL79" s="270">
        <v>100434</v>
      </c>
      <c r="BM79" s="270">
        <v>86020</v>
      </c>
      <c r="BN79" s="270">
        <v>98844</v>
      </c>
      <c r="BO79" s="270">
        <v>96999</v>
      </c>
      <c r="BP79" s="270">
        <v>110937</v>
      </c>
      <c r="BQ79" s="270">
        <v>89470</v>
      </c>
      <c r="BR79" s="270">
        <v>106428</v>
      </c>
      <c r="BS79" s="270">
        <v>102975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0.34</v>
      </c>
      <c r="C82" s="72">
        <v>0.49</v>
      </c>
      <c r="D82" s="72">
        <v>0.73</v>
      </c>
      <c r="E82" s="72">
        <v>0.77</v>
      </c>
      <c r="F82" s="72">
        <v>2.2000000000000002</v>
      </c>
      <c r="G82" s="72">
        <v>2.5</v>
      </c>
      <c r="H82" s="72">
        <v>2.73</v>
      </c>
      <c r="I82" s="72">
        <v>1.56</v>
      </c>
      <c r="J82" s="72">
        <v>1.31</v>
      </c>
      <c r="K82" s="72">
        <v>1.1599999999999999</v>
      </c>
      <c r="L82" s="72">
        <v>1.1299999999999999</v>
      </c>
      <c r="M82" s="72">
        <v>0.93</v>
      </c>
      <c r="N82" s="72">
        <v>0.9</v>
      </c>
      <c r="O82" s="72">
        <v>1.43</v>
      </c>
      <c r="P82" s="72">
        <v>0.88</v>
      </c>
      <c r="Q82" s="72">
        <v>0.97</v>
      </c>
      <c r="R82" s="72">
        <v>0.98</v>
      </c>
      <c r="S82" s="72">
        <v>0.9</v>
      </c>
      <c r="T82" s="72">
        <v>0.83</v>
      </c>
      <c r="U82" s="72">
        <v>0.79</v>
      </c>
      <c r="V82" s="72">
        <v>0.88</v>
      </c>
      <c r="W82" s="72">
        <v>1.02</v>
      </c>
      <c r="X82" s="72">
        <v>1.06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22.32</v>
      </c>
      <c r="C85" s="72">
        <v>18.52</v>
      </c>
      <c r="D85" s="72">
        <v>18.89</v>
      </c>
      <c r="E85" s="72">
        <v>19.670000000000002</v>
      </c>
      <c r="F85" s="72">
        <v>21.78</v>
      </c>
      <c r="G85" s="72">
        <v>22.14</v>
      </c>
      <c r="H85" s="72">
        <v>23.13</v>
      </c>
      <c r="I85" s="72">
        <v>24.34</v>
      </c>
      <c r="J85" s="72">
        <v>25.66</v>
      </c>
      <c r="K85" s="72">
        <v>19.82</v>
      </c>
      <c r="L85" s="72">
        <v>20.56</v>
      </c>
      <c r="M85" s="72">
        <v>21.5</v>
      </c>
      <c r="N85" s="72">
        <v>22.39</v>
      </c>
      <c r="O85" s="72">
        <v>19.510000000000002</v>
      </c>
      <c r="P85" s="72">
        <v>19.84</v>
      </c>
      <c r="Q85" s="72">
        <v>20.77</v>
      </c>
      <c r="R85" s="72">
        <v>21.75</v>
      </c>
      <c r="S85" s="72">
        <v>18.98</v>
      </c>
      <c r="T85" s="72">
        <v>19.07</v>
      </c>
      <c r="U85" s="72">
        <v>19.829999999999998</v>
      </c>
      <c r="V85" s="72">
        <v>20.7</v>
      </c>
      <c r="W85" s="72">
        <v>18.059999999999999</v>
      </c>
      <c r="X85" s="72">
        <v>18.420000000000002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144769</v>
      </c>
      <c r="C88" s="273">
        <v>149850</v>
      </c>
      <c r="D88" s="273">
        <v>204441</v>
      </c>
      <c r="E88" s="273">
        <v>209114</v>
      </c>
      <c r="F88" s="273">
        <v>319656</v>
      </c>
      <c r="G88" s="273">
        <v>385887</v>
      </c>
      <c r="H88" s="273">
        <v>475569</v>
      </c>
      <c r="I88" s="273">
        <v>353432</v>
      </c>
      <c r="J88" s="273">
        <v>262200</v>
      </c>
      <c r="K88" s="273">
        <v>263579</v>
      </c>
      <c r="L88" s="273">
        <v>256311</v>
      </c>
      <c r="M88" s="273">
        <v>228878</v>
      </c>
      <c r="N88" s="273">
        <v>225961</v>
      </c>
      <c r="O88" s="273">
        <v>301161</v>
      </c>
      <c r="P88" s="273">
        <v>207095</v>
      </c>
      <c r="Q88" s="273">
        <v>267333</v>
      </c>
      <c r="R88" s="273">
        <v>283402</v>
      </c>
      <c r="S88" s="273">
        <v>309426</v>
      </c>
      <c r="T88" s="273">
        <v>326339</v>
      </c>
      <c r="U88" s="273">
        <v>315558</v>
      </c>
      <c r="V88" s="273">
        <v>275644</v>
      </c>
      <c r="W88" s="273">
        <v>281863</v>
      </c>
      <c r="X88" s="273">
        <v>306835</v>
      </c>
    </row>
    <row r="89" spans="1:25" ht="14.25" thickBot="1" x14ac:dyDescent="0.3">
      <c r="A89" s="250" t="s">
        <v>4</v>
      </c>
      <c r="B89" s="275">
        <v>68082</v>
      </c>
      <c r="C89" s="275">
        <v>75839</v>
      </c>
      <c r="D89" s="275">
        <v>103060</v>
      </c>
      <c r="E89" s="275">
        <v>104284</v>
      </c>
      <c r="F89" s="275">
        <v>195241</v>
      </c>
      <c r="G89" s="275">
        <v>230211</v>
      </c>
      <c r="H89" s="275">
        <v>256734</v>
      </c>
      <c r="I89" s="275">
        <v>193701</v>
      </c>
      <c r="J89" s="275">
        <v>165959</v>
      </c>
      <c r="K89" s="275">
        <v>160001</v>
      </c>
      <c r="L89" s="275">
        <v>148325</v>
      </c>
      <c r="M89" s="275">
        <v>143059</v>
      </c>
      <c r="N89" s="275">
        <v>133855</v>
      </c>
      <c r="O89" s="275">
        <v>172214</v>
      </c>
      <c r="P89" s="275">
        <v>119681</v>
      </c>
      <c r="Q89" s="275">
        <v>141217</v>
      </c>
      <c r="R89" s="275">
        <v>147201</v>
      </c>
      <c r="S89" s="275">
        <v>141219</v>
      </c>
      <c r="T89" s="275">
        <v>142646</v>
      </c>
      <c r="U89" s="275">
        <v>134320</v>
      </c>
      <c r="V89" s="275">
        <v>156687</v>
      </c>
      <c r="W89" s="275">
        <v>157762</v>
      </c>
      <c r="X89" s="275">
        <v>162290</v>
      </c>
    </row>
    <row r="90" spans="1:25" ht="14.25" thickBot="1" x14ac:dyDescent="0.3">
      <c r="A90" s="251" t="s">
        <v>5</v>
      </c>
      <c r="B90" s="273">
        <v>14129</v>
      </c>
      <c r="C90" s="273">
        <v>20880</v>
      </c>
      <c r="D90" s="273">
        <v>37307</v>
      </c>
      <c r="E90" s="273">
        <v>37776</v>
      </c>
      <c r="F90" s="273">
        <v>110456</v>
      </c>
      <c r="G90" s="273">
        <v>130770</v>
      </c>
      <c r="H90" s="273">
        <v>159281</v>
      </c>
      <c r="I90" s="273">
        <v>102986</v>
      </c>
      <c r="J90" s="273">
        <v>68957</v>
      </c>
      <c r="K90" s="273">
        <v>66412</v>
      </c>
      <c r="L90" s="273">
        <v>61891</v>
      </c>
      <c r="M90" s="273">
        <v>51629</v>
      </c>
      <c r="N90" s="273">
        <v>50704</v>
      </c>
      <c r="O90" s="273">
        <v>82501</v>
      </c>
      <c r="P90" s="273">
        <v>42572</v>
      </c>
      <c r="Q90" s="273">
        <v>56779</v>
      </c>
      <c r="R90" s="273">
        <v>60958</v>
      </c>
      <c r="S90" s="273">
        <v>54441</v>
      </c>
      <c r="T90" s="273">
        <v>58188</v>
      </c>
      <c r="U90" s="273">
        <v>40832</v>
      </c>
      <c r="V90" s="273">
        <v>66682</v>
      </c>
      <c r="W90" s="273">
        <v>65103</v>
      </c>
      <c r="X90" s="273">
        <v>72750</v>
      </c>
    </row>
    <row r="91" spans="1:25" ht="14.25" thickBot="1" x14ac:dyDescent="0.3">
      <c r="A91" s="250" t="s">
        <v>6</v>
      </c>
      <c r="B91" s="275">
        <v>17422</v>
      </c>
      <c r="C91" s="275">
        <v>26942</v>
      </c>
      <c r="D91" s="275">
        <v>38868</v>
      </c>
      <c r="E91" s="275">
        <v>41665</v>
      </c>
      <c r="F91" s="275">
        <v>121057</v>
      </c>
      <c r="G91" s="275">
        <v>138660</v>
      </c>
      <c r="H91" s="275">
        <v>161586</v>
      </c>
      <c r="I91" s="275">
        <v>109951</v>
      </c>
      <c r="J91" s="275">
        <v>76860</v>
      </c>
      <c r="K91" s="275">
        <v>69367</v>
      </c>
      <c r="L91" s="275">
        <v>69614</v>
      </c>
      <c r="M91" s="275">
        <v>55117</v>
      </c>
      <c r="N91" s="275">
        <v>53113</v>
      </c>
      <c r="O91" s="275">
        <v>83909</v>
      </c>
      <c r="P91" s="275">
        <v>55334</v>
      </c>
      <c r="Q91" s="275">
        <v>60580</v>
      </c>
      <c r="R91" s="275">
        <v>59259</v>
      </c>
      <c r="S91" s="275">
        <v>57098</v>
      </c>
      <c r="T91" s="275">
        <v>50825</v>
      </c>
      <c r="U91" s="275">
        <v>51220</v>
      </c>
      <c r="V91" s="275">
        <v>58387</v>
      </c>
      <c r="W91" s="275">
        <v>69353</v>
      </c>
      <c r="X91" s="275">
        <v>74658</v>
      </c>
    </row>
    <row r="92" spans="1:25" ht="14.25" thickBot="1" x14ac:dyDescent="0.3">
      <c r="A92" s="251" t="s">
        <v>7</v>
      </c>
      <c r="B92" s="273">
        <v>16013</v>
      </c>
      <c r="C92" s="273">
        <v>23793</v>
      </c>
      <c r="D92" s="273">
        <v>35357</v>
      </c>
      <c r="E92" s="273">
        <v>37169</v>
      </c>
      <c r="F92" s="273">
        <v>105885</v>
      </c>
      <c r="G92" s="273">
        <v>120603</v>
      </c>
      <c r="H92" s="273">
        <v>142828</v>
      </c>
      <c r="I92" s="273">
        <v>79845</v>
      </c>
      <c r="J92" s="273">
        <v>67228</v>
      </c>
      <c r="K92" s="273">
        <v>61495</v>
      </c>
      <c r="L92" s="273">
        <v>60453</v>
      </c>
      <c r="M92" s="273">
        <v>47871</v>
      </c>
      <c r="N92" s="273">
        <v>46550</v>
      </c>
      <c r="O92" s="273">
        <v>73358</v>
      </c>
      <c r="P92" s="273">
        <v>48542</v>
      </c>
      <c r="Q92" s="273">
        <v>52761</v>
      </c>
      <c r="R92" s="273">
        <v>54363</v>
      </c>
      <c r="S92" s="273">
        <v>51290</v>
      </c>
      <c r="T92" s="273">
        <v>47167</v>
      </c>
      <c r="U92" s="273">
        <v>45211</v>
      </c>
      <c r="V92" s="273">
        <v>50248</v>
      </c>
      <c r="W92" s="273">
        <v>59456</v>
      </c>
      <c r="X92" s="273">
        <v>65405</v>
      </c>
    </row>
    <row r="93" spans="1:25" ht="26.25" thickBot="1" x14ac:dyDescent="0.3">
      <c r="A93" s="252" t="s">
        <v>8</v>
      </c>
      <c r="B93" s="276">
        <v>16013</v>
      </c>
      <c r="C93" s="276">
        <v>23793</v>
      </c>
      <c r="D93" s="276">
        <v>35357</v>
      </c>
      <c r="E93" s="276">
        <v>37169</v>
      </c>
      <c r="F93" s="276">
        <v>105885</v>
      </c>
      <c r="G93" s="276">
        <v>120603</v>
      </c>
      <c r="H93" s="276">
        <v>142828</v>
      </c>
      <c r="I93" s="276">
        <v>81802</v>
      </c>
      <c r="J93" s="276">
        <v>68710</v>
      </c>
      <c r="K93" s="276">
        <v>60891</v>
      </c>
      <c r="L93" s="276">
        <v>60221</v>
      </c>
      <c r="M93" s="276">
        <v>49884</v>
      </c>
      <c r="N93" s="276">
        <v>48114</v>
      </c>
      <c r="O93" s="276">
        <v>76103</v>
      </c>
      <c r="P93" s="276">
        <v>48182</v>
      </c>
      <c r="Q93" s="276">
        <v>53202</v>
      </c>
      <c r="R93" s="276">
        <v>53859</v>
      </c>
      <c r="S93" s="276">
        <v>51530</v>
      </c>
      <c r="T93" s="276">
        <v>47204</v>
      </c>
      <c r="U93" s="276">
        <v>45050</v>
      </c>
      <c r="V93" s="276">
        <v>50594</v>
      </c>
      <c r="W93" s="276">
        <v>60573</v>
      </c>
      <c r="X93" s="276">
        <v>62987</v>
      </c>
    </row>
    <row r="94" spans="1:25" x14ac:dyDescent="0.25">
      <c r="A94" s="233" t="s">
        <v>365</v>
      </c>
      <c r="B94" s="253">
        <f>IF(B91="","",B91-B90)</f>
        <v>3293</v>
      </c>
      <c r="C94" s="253">
        <f>IF(C91="","",C91-C90)</f>
        <v>6062</v>
      </c>
      <c r="D94" s="253">
        <f t="shared" ref="D94:Y94" si="9">IF(D91="","",D91-D90)</f>
        <v>1561</v>
      </c>
      <c r="E94" s="253">
        <f t="shared" si="9"/>
        <v>3889</v>
      </c>
      <c r="F94" s="253">
        <f t="shared" si="9"/>
        <v>10601</v>
      </c>
      <c r="G94" s="253">
        <f t="shared" si="9"/>
        <v>7890</v>
      </c>
      <c r="H94" s="253">
        <f t="shared" si="9"/>
        <v>2305</v>
      </c>
      <c r="I94" s="253">
        <f t="shared" si="9"/>
        <v>6965</v>
      </c>
      <c r="J94" s="253">
        <f t="shared" si="9"/>
        <v>7903</v>
      </c>
      <c r="K94" s="253">
        <f t="shared" si="9"/>
        <v>2955</v>
      </c>
      <c r="L94" s="253">
        <f t="shared" si="9"/>
        <v>7723</v>
      </c>
      <c r="M94" s="253">
        <f t="shared" si="9"/>
        <v>3488</v>
      </c>
      <c r="N94" s="253">
        <f t="shared" si="9"/>
        <v>2409</v>
      </c>
      <c r="O94" s="253">
        <f t="shared" si="9"/>
        <v>1408</v>
      </c>
      <c r="P94" s="253">
        <f t="shared" si="9"/>
        <v>12762</v>
      </c>
      <c r="Q94" s="253">
        <f t="shared" si="9"/>
        <v>3801</v>
      </c>
      <c r="R94" s="253">
        <f t="shared" si="9"/>
        <v>-1699</v>
      </c>
      <c r="S94" s="253">
        <f t="shared" si="9"/>
        <v>2657</v>
      </c>
      <c r="T94" s="253">
        <f t="shared" si="9"/>
        <v>-7363</v>
      </c>
      <c r="U94" s="253">
        <f t="shared" si="9"/>
        <v>10388</v>
      </c>
      <c r="V94" s="253">
        <f t="shared" si="9"/>
        <v>-8295</v>
      </c>
      <c r="W94" s="253">
        <f t="shared" si="9"/>
        <v>4250</v>
      </c>
      <c r="X94" s="253">
        <f t="shared" si="9"/>
        <v>1908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708174</v>
      </c>
      <c r="C97" s="273">
        <v>1534544</v>
      </c>
      <c r="D97" s="273">
        <v>1010968</v>
      </c>
      <c r="E97" s="273">
        <v>1001550</v>
      </c>
      <c r="F97" s="273">
        <v>1234725</v>
      </c>
    </row>
    <row r="98" spans="1:24" ht="14.25" thickBot="1" x14ac:dyDescent="0.3">
      <c r="A98" s="225" t="s">
        <v>4</v>
      </c>
      <c r="B98" s="275">
        <v>351265</v>
      </c>
      <c r="C98" s="275">
        <v>875887</v>
      </c>
      <c r="D98" s="275">
        <v>617344</v>
      </c>
      <c r="E98" s="275">
        <v>566967</v>
      </c>
      <c r="F98" s="275">
        <v>565386</v>
      </c>
    </row>
    <row r="99" spans="1:24" ht="14.25" thickBot="1" x14ac:dyDescent="0.3">
      <c r="A99" s="224" t="s">
        <v>5</v>
      </c>
      <c r="B99" s="273">
        <v>110092</v>
      </c>
      <c r="C99" s="273">
        <v>503493</v>
      </c>
      <c r="D99" s="273">
        <v>248889</v>
      </c>
      <c r="E99" s="273">
        <v>232556</v>
      </c>
      <c r="F99" s="273">
        <v>214419</v>
      </c>
    </row>
    <row r="100" spans="1:24" ht="14.25" thickBot="1" x14ac:dyDescent="0.3">
      <c r="A100" s="225" t="s">
        <v>6</v>
      </c>
      <c r="B100" s="275">
        <v>124897</v>
      </c>
      <c r="C100" s="275">
        <v>531254</v>
      </c>
      <c r="D100" s="275">
        <v>270958</v>
      </c>
      <c r="E100" s="275">
        <v>252936</v>
      </c>
      <c r="F100" s="275">
        <v>218402</v>
      </c>
    </row>
    <row r="101" spans="1:24" ht="14.25" thickBot="1" x14ac:dyDescent="0.3">
      <c r="A101" s="224" t="s">
        <v>7</v>
      </c>
      <c r="B101" s="273">
        <v>112332</v>
      </c>
      <c r="C101" s="273">
        <v>449161</v>
      </c>
      <c r="D101" s="273">
        <v>237047</v>
      </c>
      <c r="E101" s="273">
        <v>221211</v>
      </c>
      <c r="F101" s="273">
        <v>198031</v>
      </c>
    </row>
    <row r="102" spans="1:24" ht="14.25" thickBot="1" x14ac:dyDescent="0.3">
      <c r="A102" s="227" t="s">
        <v>8</v>
      </c>
      <c r="B102" s="276">
        <v>112332</v>
      </c>
      <c r="C102" s="276">
        <v>451118</v>
      </c>
      <c r="D102" s="276">
        <v>239706</v>
      </c>
      <c r="E102" s="276">
        <v>225601</v>
      </c>
      <c r="F102" s="276">
        <v>197643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1.0043570122962591</v>
      </c>
      <c r="D103" s="234">
        <f>IF(OR(D102="",D102="無"),"",D102/D101)</f>
        <v>1.0112171847777023</v>
      </c>
      <c r="E103" s="234">
        <f>IF(OR(E102="",E102="無"),"",E102/E101)</f>
        <v>1.0198453060652499</v>
      </c>
      <c r="F103" s="234">
        <f>IF(OR(F102="",F102="無"),"",F102/F101)</f>
        <v>0.99804071079780443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692951</v>
      </c>
      <c r="C106" s="273">
        <v>793236</v>
      </c>
      <c r="D106" s="273">
        <v>605342</v>
      </c>
      <c r="E106" s="273">
        <v>750297</v>
      </c>
      <c r="F106" s="273">
        <v>760246</v>
      </c>
      <c r="G106" s="273">
        <v>828529</v>
      </c>
      <c r="H106" s="273">
        <v>1017699</v>
      </c>
      <c r="I106" s="273">
        <v>1092513</v>
      </c>
      <c r="J106" s="273">
        <v>1278809</v>
      </c>
      <c r="K106" s="273">
        <v>1236351</v>
      </c>
      <c r="L106" s="273">
        <v>771828</v>
      </c>
      <c r="M106" s="273">
        <v>795082</v>
      </c>
      <c r="N106" s="273">
        <v>827526</v>
      </c>
      <c r="O106" s="273">
        <v>950501</v>
      </c>
      <c r="P106" s="273">
        <v>742704</v>
      </c>
      <c r="Q106" s="273">
        <v>812644</v>
      </c>
      <c r="R106" s="273">
        <v>784484</v>
      </c>
      <c r="S106" s="273">
        <v>874729</v>
      </c>
      <c r="T106" s="273">
        <v>677937</v>
      </c>
      <c r="U106" s="273">
        <v>796854</v>
      </c>
      <c r="V106" s="273">
        <v>762901</v>
      </c>
      <c r="W106" s="273">
        <v>737751</v>
      </c>
      <c r="X106" s="273">
        <v>573779</v>
      </c>
    </row>
    <row r="107" spans="1:24" ht="14.25" thickBot="1" x14ac:dyDescent="0.3">
      <c r="A107" s="225" t="s">
        <v>22</v>
      </c>
      <c r="B107" s="275">
        <v>207130</v>
      </c>
      <c r="C107" s="275">
        <v>141727</v>
      </c>
      <c r="D107" s="275">
        <v>122040</v>
      </c>
      <c r="E107" s="275">
        <v>88229</v>
      </c>
      <c r="F107" s="275">
        <v>173767</v>
      </c>
      <c r="G107" s="275">
        <v>193965</v>
      </c>
      <c r="H107" s="275">
        <v>234273</v>
      </c>
      <c r="I107" s="275">
        <v>206640</v>
      </c>
      <c r="J107" s="275">
        <v>116749</v>
      </c>
      <c r="K107" s="275">
        <v>162371</v>
      </c>
      <c r="L107" s="275">
        <v>185942</v>
      </c>
      <c r="M107" s="275">
        <v>185685</v>
      </c>
      <c r="N107" s="275">
        <v>209886</v>
      </c>
      <c r="O107" s="275">
        <v>194767</v>
      </c>
      <c r="P107" s="275">
        <v>195041</v>
      </c>
      <c r="Q107" s="275">
        <v>254179</v>
      </c>
      <c r="R107" s="275">
        <v>274437</v>
      </c>
      <c r="S107" s="275">
        <v>244382</v>
      </c>
      <c r="T107" s="275">
        <v>182162</v>
      </c>
      <c r="U107" s="275">
        <v>149454</v>
      </c>
      <c r="V107" s="275">
        <v>149571</v>
      </c>
      <c r="W107" s="275">
        <v>161705</v>
      </c>
      <c r="X107" s="275">
        <v>161864</v>
      </c>
    </row>
    <row r="108" spans="1:24" ht="14.25" thickBot="1" x14ac:dyDescent="0.3">
      <c r="A108" s="224" t="s">
        <v>263</v>
      </c>
      <c r="B108" s="273">
        <v>67876</v>
      </c>
      <c r="C108" s="273">
        <v>81697</v>
      </c>
      <c r="D108" s="273">
        <v>124618</v>
      </c>
      <c r="E108" s="273">
        <v>118833</v>
      </c>
      <c r="F108" s="273">
        <v>198861</v>
      </c>
      <c r="G108" s="273">
        <v>268116</v>
      </c>
      <c r="H108" s="273">
        <v>279060</v>
      </c>
      <c r="I108" s="273">
        <v>206406</v>
      </c>
      <c r="J108" s="273">
        <v>138658</v>
      </c>
      <c r="K108" s="273">
        <v>135018</v>
      </c>
      <c r="L108" s="273">
        <v>132163</v>
      </c>
      <c r="M108" s="273">
        <v>119342</v>
      </c>
      <c r="N108" s="273">
        <v>100855</v>
      </c>
      <c r="O108" s="273">
        <v>138191</v>
      </c>
      <c r="P108" s="273">
        <v>105227</v>
      </c>
      <c r="Q108" s="273">
        <v>132999</v>
      </c>
      <c r="R108" s="273">
        <v>139150</v>
      </c>
      <c r="S108" s="273">
        <v>160901</v>
      </c>
      <c r="T108" s="273">
        <v>175205</v>
      </c>
      <c r="U108" s="273">
        <v>144884</v>
      </c>
      <c r="V108" s="273">
        <v>124179</v>
      </c>
      <c r="W108" s="273">
        <v>155668</v>
      </c>
      <c r="X108" s="273">
        <v>170130</v>
      </c>
    </row>
    <row r="109" spans="1:24" ht="14.25" thickBot="1" x14ac:dyDescent="0.3">
      <c r="A109" s="225" t="s">
        <v>264</v>
      </c>
      <c r="B109" s="275">
        <v>129529</v>
      </c>
      <c r="C109" s="275">
        <v>114821</v>
      </c>
      <c r="D109" s="275">
        <v>115610</v>
      </c>
      <c r="E109" s="275">
        <v>101749</v>
      </c>
      <c r="F109" s="275">
        <v>140837</v>
      </c>
      <c r="G109" s="275">
        <v>134252</v>
      </c>
      <c r="H109" s="275">
        <v>101072</v>
      </c>
      <c r="I109" s="275">
        <v>88859</v>
      </c>
      <c r="J109" s="275">
        <v>97595</v>
      </c>
      <c r="K109" s="275">
        <v>133006</v>
      </c>
      <c r="L109" s="275">
        <v>163001</v>
      </c>
      <c r="M109" s="275">
        <v>181307</v>
      </c>
      <c r="N109" s="275">
        <v>160164</v>
      </c>
      <c r="O109" s="275">
        <v>145567</v>
      </c>
      <c r="P109" s="275">
        <v>169713</v>
      </c>
      <c r="Q109" s="275">
        <v>141921</v>
      </c>
      <c r="R109" s="275">
        <v>172486</v>
      </c>
      <c r="S109" s="275">
        <v>264246</v>
      </c>
      <c r="T109" s="275">
        <v>304619</v>
      </c>
      <c r="U109" s="275">
        <v>313773</v>
      </c>
      <c r="V109" s="275">
        <v>352940</v>
      </c>
      <c r="W109" s="275">
        <v>376997</v>
      </c>
      <c r="X109" s="275">
        <v>386936</v>
      </c>
    </row>
    <row r="110" spans="1:24" ht="14.25" thickBot="1" x14ac:dyDescent="0.3">
      <c r="A110" s="224" t="s">
        <v>23</v>
      </c>
      <c r="B110" s="273">
        <v>30389</v>
      </c>
      <c r="C110" s="273">
        <v>40024</v>
      </c>
      <c r="D110" s="273">
        <v>37410</v>
      </c>
      <c r="E110" s="273">
        <v>41135</v>
      </c>
      <c r="F110" s="273">
        <v>15649</v>
      </c>
      <c r="G110" s="273">
        <v>12636</v>
      </c>
      <c r="H110" s="273">
        <v>16341</v>
      </c>
      <c r="I110" s="273">
        <v>28307</v>
      </c>
      <c r="J110" s="273">
        <v>21504</v>
      </c>
      <c r="K110" s="273">
        <v>20171</v>
      </c>
      <c r="L110" s="273">
        <v>15253</v>
      </c>
      <c r="M110" s="273">
        <v>12801</v>
      </c>
      <c r="N110" s="273">
        <v>12661</v>
      </c>
      <c r="O110" s="273">
        <v>64507</v>
      </c>
      <c r="P110" s="273">
        <v>63942</v>
      </c>
      <c r="Q110" s="273">
        <v>114782</v>
      </c>
      <c r="R110" s="273">
        <v>116756</v>
      </c>
      <c r="S110" s="273">
        <v>73006</v>
      </c>
      <c r="T110" s="273">
        <v>72314</v>
      </c>
      <c r="U110" s="273">
        <v>17044</v>
      </c>
      <c r="V110" s="273">
        <v>24532</v>
      </c>
      <c r="W110" s="273">
        <v>23840</v>
      </c>
      <c r="X110" s="273">
        <v>12241</v>
      </c>
    </row>
    <row r="111" spans="1:24" ht="14.25" thickBot="1" x14ac:dyDescent="0.3">
      <c r="A111" s="225" t="s">
        <v>24</v>
      </c>
      <c r="B111" s="275">
        <v>1127875</v>
      </c>
      <c r="C111" s="275">
        <v>1171505</v>
      </c>
      <c r="D111" s="275">
        <v>1005020</v>
      </c>
      <c r="E111" s="275">
        <v>1100243</v>
      </c>
      <c r="F111" s="275">
        <v>1289360</v>
      </c>
      <c r="G111" s="275">
        <v>1437498</v>
      </c>
      <c r="H111" s="275">
        <v>1648445</v>
      </c>
      <c r="I111" s="275">
        <v>1622725</v>
      </c>
      <c r="J111" s="275">
        <v>1653315</v>
      </c>
      <c r="K111" s="275">
        <v>1686917</v>
      </c>
      <c r="L111" s="275">
        <v>1268187</v>
      </c>
      <c r="M111" s="275">
        <v>1294217</v>
      </c>
      <c r="N111" s="275">
        <v>1311092</v>
      </c>
      <c r="O111" s="275">
        <v>1493533</v>
      </c>
      <c r="P111" s="275">
        <v>1276627</v>
      </c>
      <c r="Q111" s="275">
        <v>1456525</v>
      </c>
      <c r="R111" s="275">
        <v>1487313</v>
      </c>
      <c r="S111" s="275">
        <v>1617264</v>
      </c>
      <c r="T111" s="275">
        <v>1412237</v>
      </c>
      <c r="U111" s="275">
        <v>1422009</v>
      </c>
      <c r="V111" s="275">
        <v>1414123</v>
      </c>
      <c r="W111" s="275">
        <v>1455961</v>
      </c>
      <c r="X111" s="275">
        <v>1304950</v>
      </c>
    </row>
    <row r="112" spans="1:24" ht="14.25" thickBot="1" x14ac:dyDescent="0.3">
      <c r="A112" s="224" t="s">
        <v>25</v>
      </c>
      <c r="B112" s="273">
        <v>50000</v>
      </c>
      <c r="C112" s="273">
        <v>50000</v>
      </c>
      <c r="D112" s="273">
        <v>50000</v>
      </c>
      <c r="E112" s="273">
        <v>100040</v>
      </c>
      <c r="F112" s="273">
        <v>70270</v>
      </c>
      <c r="G112" s="273">
        <v>50354</v>
      </c>
      <c r="H112" s="273">
        <v>50041</v>
      </c>
      <c r="I112" s="273">
        <v>100234</v>
      </c>
      <c r="J112" s="273">
        <v>120769</v>
      </c>
      <c r="K112" s="273">
        <v>135355</v>
      </c>
      <c r="L112" s="273">
        <v>170177</v>
      </c>
      <c r="M112" s="273">
        <v>198866</v>
      </c>
      <c r="N112" s="273">
        <v>198888</v>
      </c>
      <c r="O112" s="273">
        <v>148829</v>
      </c>
      <c r="P112" s="273">
        <v>148842</v>
      </c>
      <c r="Q112" s="273">
        <v>40032</v>
      </c>
      <c r="R112" s="273">
        <v>20011</v>
      </c>
      <c r="S112" s="273">
        <v>12425</v>
      </c>
      <c r="T112" s="273">
        <v>12421</v>
      </c>
      <c r="U112" s="273">
        <v>52400</v>
      </c>
      <c r="V112" s="273">
        <v>52400</v>
      </c>
      <c r="W112" s="273">
        <v>102400</v>
      </c>
      <c r="X112" s="273">
        <v>100000</v>
      </c>
    </row>
    <row r="113" spans="1:24" ht="14.25" thickBot="1" x14ac:dyDescent="0.3">
      <c r="A113" s="225" t="s">
        <v>26</v>
      </c>
      <c r="B113" s="275">
        <v>4512</v>
      </c>
      <c r="C113" s="275">
        <v>4842</v>
      </c>
      <c r="D113" s="275">
        <v>6646</v>
      </c>
      <c r="E113" s="275">
        <v>6122</v>
      </c>
      <c r="F113" s="275">
        <v>7306</v>
      </c>
      <c r="G113" s="275">
        <v>6602</v>
      </c>
      <c r="H113" s="275">
        <v>5733</v>
      </c>
      <c r="I113" s="275">
        <v>5720</v>
      </c>
      <c r="J113" s="275">
        <v>5392</v>
      </c>
      <c r="K113" s="275">
        <v>4658</v>
      </c>
      <c r="L113" s="275">
        <v>4702</v>
      </c>
      <c r="M113" s="275">
        <v>5560</v>
      </c>
      <c r="N113" s="275">
        <v>4970</v>
      </c>
      <c r="O113" s="275">
        <v>4316</v>
      </c>
      <c r="P113" s="275">
        <v>4066</v>
      </c>
      <c r="Q113" s="275">
        <v>4922</v>
      </c>
      <c r="R113" s="275">
        <v>4671</v>
      </c>
      <c r="S113" s="275">
        <v>4842</v>
      </c>
      <c r="T113" s="275">
        <v>4886</v>
      </c>
      <c r="U113" s="275">
        <v>4741</v>
      </c>
      <c r="V113" s="275">
        <v>4252</v>
      </c>
      <c r="W113" s="275">
        <v>4777</v>
      </c>
      <c r="X113" s="275">
        <v>4314</v>
      </c>
    </row>
    <row r="114" spans="1:24" ht="14.25" thickBot="1" x14ac:dyDescent="0.3">
      <c r="A114" s="224" t="s">
        <v>27</v>
      </c>
      <c r="B114" s="273">
        <v>39033</v>
      </c>
      <c r="C114" s="273">
        <v>30890</v>
      </c>
      <c r="D114" s="273">
        <v>31137</v>
      </c>
      <c r="E114" s="273">
        <v>28813</v>
      </c>
      <c r="F114" s="273">
        <v>58068</v>
      </c>
      <c r="G114" s="273">
        <v>52734</v>
      </c>
      <c r="H114" s="273">
        <v>57538</v>
      </c>
      <c r="I114" s="273">
        <v>55888</v>
      </c>
      <c r="J114" s="273">
        <v>59213</v>
      </c>
      <c r="K114" s="273">
        <v>50640</v>
      </c>
      <c r="L114" s="273">
        <v>49263</v>
      </c>
      <c r="M114" s="273">
        <v>40545</v>
      </c>
      <c r="N114" s="273">
        <v>38524</v>
      </c>
      <c r="O114" s="273">
        <v>35943</v>
      </c>
      <c r="P114" s="273">
        <v>32460</v>
      </c>
      <c r="Q114" s="273">
        <v>25628</v>
      </c>
      <c r="R114" s="273">
        <v>30232</v>
      </c>
      <c r="S114" s="273">
        <v>31177</v>
      </c>
      <c r="T114" s="273">
        <v>32758</v>
      </c>
      <c r="U114" s="273">
        <v>31000</v>
      </c>
      <c r="V114" s="273">
        <v>29830</v>
      </c>
      <c r="W114" s="273">
        <v>26065</v>
      </c>
      <c r="X114" s="273">
        <v>41423</v>
      </c>
    </row>
    <row r="115" spans="1:24" ht="14.25" thickBot="1" x14ac:dyDescent="0.3">
      <c r="A115" s="225" t="s">
        <v>265</v>
      </c>
      <c r="B115" s="276">
        <v>1221420</v>
      </c>
      <c r="C115" s="276">
        <v>1257237</v>
      </c>
      <c r="D115" s="276">
        <v>1092803</v>
      </c>
      <c r="E115" s="276">
        <v>1235218</v>
      </c>
      <c r="F115" s="276">
        <v>1425004</v>
      </c>
      <c r="G115" s="276">
        <v>1547188</v>
      </c>
      <c r="H115" s="276">
        <v>1761757</v>
      </c>
      <c r="I115" s="276">
        <v>1784567</v>
      </c>
      <c r="J115" s="276">
        <v>1838689</v>
      </c>
      <c r="K115" s="276">
        <v>1877570</v>
      </c>
      <c r="L115" s="276">
        <v>1492329</v>
      </c>
      <c r="M115" s="276">
        <v>1539188</v>
      </c>
      <c r="N115" s="276">
        <v>1553474</v>
      </c>
      <c r="O115" s="276">
        <v>1682621</v>
      </c>
      <c r="P115" s="276">
        <v>1461995</v>
      </c>
      <c r="Q115" s="276">
        <v>1527107</v>
      </c>
      <c r="R115" s="276">
        <v>1542227</v>
      </c>
      <c r="S115" s="276">
        <v>1665708</v>
      </c>
      <c r="T115" s="276">
        <v>1462302</v>
      </c>
      <c r="U115" s="276">
        <v>1510150</v>
      </c>
      <c r="V115" s="276">
        <v>1500605</v>
      </c>
      <c r="W115" s="276">
        <v>1589203</v>
      </c>
      <c r="X115" s="276">
        <v>1450687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42248</v>
      </c>
      <c r="C120" s="273">
        <v>53166</v>
      </c>
      <c r="D120" s="273">
        <v>85584</v>
      </c>
      <c r="E120" s="273">
        <v>74398</v>
      </c>
      <c r="F120" s="273">
        <v>132163</v>
      </c>
      <c r="G120" s="273">
        <v>89812</v>
      </c>
      <c r="H120" s="273">
        <v>120920</v>
      </c>
      <c r="I120" s="273">
        <v>85438</v>
      </c>
      <c r="J120" s="273">
        <v>76191</v>
      </c>
      <c r="K120" s="273">
        <v>107369</v>
      </c>
      <c r="L120" s="273">
        <v>99984</v>
      </c>
      <c r="M120" s="273">
        <v>72487</v>
      </c>
      <c r="N120" s="273">
        <v>52686</v>
      </c>
      <c r="O120" s="273">
        <v>81980</v>
      </c>
      <c r="P120" s="273">
        <v>82896</v>
      </c>
      <c r="Q120" s="273">
        <v>66395</v>
      </c>
      <c r="R120" s="273">
        <v>127062</v>
      </c>
      <c r="S120" s="273">
        <v>191722</v>
      </c>
      <c r="T120" s="273">
        <v>173002</v>
      </c>
      <c r="U120" s="273">
        <v>153129</v>
      </c>
      <c r="V120" s="273">
        <v>102238</v>
      </c>
      <c r="W120" s="273">
        <v>113874</v>
      </c>
      <c r="X120" s="273">
        <v>117609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273">
        <v>89498</v>
      </c>
      <c r="N122" s="273">
        <v>89553</v>
      </c>
      <c r="O122" s="273">
        <v>89607</v>
      </c>
      <c r="P122" s="273">
        <v>89662</v>
      </c>
      <c r="Q122" s="273">
        <v>89717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123841</v>
      </c>
      <c r="C123" s="275">
        <v>328133</v>
      </c>
      <c r="D123" s="275">
        <v>96249</v>
      </c>
      <c r="E123" s="275">
        <v>122805</v>
      </c>
      <c r="F123" s="275">
        <v>152983</v>
      </c>
      <c r="G123" s="275">
        <v>300498</v>
      </c>
      <c r="H123" s="275">
        <v>341253</v>
      </c>
      <c r="I123" s="275">
        <v>265105</v>
      </c>
      <c r="J123" s="275">
        <v>260651</v>
      </c>
      <c r="K123" s="275">
        <v>573681</v>
      </c>
      <c r="L123" s="275">
        <v>134642</v>
      </c>
      <c r="M123" s="275">
        <v>159959</v>
      </c>
      <c r="N123" s="275">
        <v>148502</v>
      </c>
      <c r="O123" s="275">
        <v>404929</v>
      </c>
      <c r="P123" s="275">
        <v>132654</v>
      </c>
      <c r="Q123" s="275">
        <v>161789</v>
      </c>
      <c r="R123" s="275">
        <v>152809</v>
      </c>
      <c r="S123" s="275">
        <v>363824</v>
      </c>
      <c r="T123" s="275">
        <v>132779</v>
      </c>
      <c r="U123" s="275">
        <v>154277</v>
      </c>
      <c r="V123" s="275">
        <v>147232</v>
      </c>
      <c r="W123" s="275">
        <v>376308</v>
      </c>
      <c r="X123" s="275">
        <v>168792</v>
      </c>
    </row>
    <row r="124" spans="1:24" ht="14.25" thickBot="1" x14ac:dyDescent="0.3">
      <c r="A124" s="224" t="s">
        <v>268</v>
      </c>
      <c r="B124" s="273">
        <v>166089</v>
      </c>
      <c r="C124" s="273">
        <v>381299</v>
      </c>
      <c r="D124" s="273">
        <v>181833</v>
      </c>
      <c r="E124" s="273">
        <v>197203</v>
      </c>
      <c r="F124" s="273">
        <v>285146</v>
      </c>
      <c r="G124" s="273">
        <v>390310</v>
      </c>
      <c r="H124" s="273">
        <v>462173</v>
      </c>
      <c r="I124" s="273">
        <v>350543</v>
      </c>
      <c r="J124" s="273">
        <v>336842</v>
      </c>
      <c r="K124" s="273">
        <v>681050</v>
      </c>
      <c r="L124" s="273">
        <v>234626</v>
      </c>
      <c r="M124" s="273">
        <v>321944</v>
      </c>
      <c r="N124" s="273">
        <v>290741</v>
      </c>
      <c r="O124" s="273">
        <v>576516</v>
      </c>
      <c r="P124" s="273">
        <v>305212</v>
      </c>
      <c r="Q124" s="273">
        <v>317901</v>
      </c>
      <c r="R124" s="273">
        <v>279871</v>
      </c>
      <c r="S124" s="273">
        <v>555546</v>
      </c>
      <c r="T124" s="273">
        <v>305781</v>
      </c>
      <c r="U124" s="273">
        <v>307406</v>
      </c>
      <c r="V124" s="273">
        <v>249470</v>
      </c>
      <c r="W124" s="273">
        <v>490182</v>
      </c>
      <c r="X124" s="273">
        <v>286401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5">
        <v>89486</v>
      </c>
      <c r="F125" s="275">
        <v>89122</v>
      </c>
      <c r="G125" s="275">
        <v>89175</v>
      </c>
      <c r="H125" s="275">
        <v>89229</v>
      </c>
      <c r="I125" s="275">
        <v>89281</v>
      </c>
      <c r="J125" s="275">
        <v>89336</v>
      </c>
      <c r="K125" s="275">
        <v>89525</v>
      </c>
      <c r="L125" s="275">
        <v>89600</v>
      </c>
      <c r="M125" s="274">
        <v>852</v>
      </c>
      <c r="N125" s="274">
        <v>166</v>
      </c>
      <c r="O125" s="274">
        <v>180</v>
      </c>
      <c r="P125" s="274">
        <v>555</v>
      </c>
      <c r="Q125" s="275">
        <v>2318</v>
      </c>
      <c r="R125" s="275">
        <v>1594</v>
      </c>
      <c r="S125" s="275">
        <v>1488</v>
      </c>
      <c r="T125" s="275">
        <v>1382</v>
      </c>
      <c r="U125" s="275">
        <v>3867</v>
      </c>
      <c r="V125" s="275">
        <v>3270</v>
      </c>
      <c r="W125" s="275">
        <v>3217</v>
      </c>
      <c r="X125" s="275">
        <v>3166</v>
      </c>
    </row>
    <row r="126" spans="1:24" ht="14.25" thickBot="1" x14ac:dyDescent="0.3">
      <c r="A126" s="224" t="s">
        <v>33</v>
      </c>
      <c r="B126" s="68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166089</v>
      </c>
      <c r="C127" s="275">
        <v>381299</v>
      </c>
      <c r="D127" s="275">
        <v>181833</v>
      </c>
      <c r="E127" s="275">
        <v>286689</v>
      </c>
      <c r="F127" s="275">
        <v>374268</v>
      </c>
      <c r="G127" s="275">
        <v>479485</v>
      </c>
      <c r="H127" s="275">
        <v>551402</v>
      </c>
      <c r="I127" s="275">
        <v>439824</v>
      </c>
      <c r="J127" s="275">
        <v>426178</v>
      </c>
      <c r="K127" s="275">
        <v>770575</v>
      </c>
      <c r="L127" s="275">
        <v>324226</v>
      </c>
      <c r="M127" s="275">
        <v>322796</v>
      </c>
      <c r="N127" s="275">
        <v>290907</v>
      </c>
      <c r="O127" s="275">
        <v>576696</v>
      </c>
      <c r="P127" s="275">
        <v>305767</v>
      </c>
      <c r="Q127" s="275">
        <v>320219</v>
      </c>
      <c r="R127" s="275">
        <v>281465</v>
      </c>
      <c r="S127" s="275">
        <v>557034</v>
      </c>
      <c r="T127" s="275">
        <v>307163</v>
      </c>
      <c r="U127" s="275">
        <v>311273</v>
      </c>
      <c r="V127" s="275">
        <v>252740</v>
      </c>
      <c r="W127" s="275">
        <v>493399</v>
      </c>
      <c r="X127" s="275">
        <v>289567</v>
      </c>
    </row>
    <row r="128" spans="1:24" ht="14.25" thickBot="1" x14ac:dyDescent="0.3">
      <c r="A128" s="224" t="s">
        <v>34</v>
      </c>
      <c r="B128" s="273">
        <v>1055331</v>
      </c>
      <c r="C128" s="273">
        <v>875938</v>
      </c>
      <c r="D128" s="273">
        <v>910970</v>
      </c>
      <c r="E128" s="273">
        <v>948529</v>
      </c>
      <c r="F128" s="273">
        <v>1050736</v>
      </c>
      <c r="G128" s="273">
        <v>1067703</v>
      </c>
      <c r="H128" s="273">
        <v>1210355</v>
      </c>
      <c r="I128" s="273">
        <v>1344743</v>
      </c>
      <c r="J128" s="273">
        <v>1412511</v>
      </c>
      <c r="K128" s="273">
        <v>1106995</v>
      </c>
      <c r="L128" s="273">
        <v>1168103</v>
      </c>
      <c r="M128" s="273">
        <v>1216392</v>
      </c>
      <c r="N128" s="273">
        <v>1262567</v>
      </c>
      <c r="O128" s="273">
        <v>1105925</v>
      </c>
      <c r="P128" s="273">
        <v>1156228</v>
      </c>
      <c r="Q128" s="273">
        <v>1206888</v>
      </c>
      <c r="R128" s="273">
        <v>1260762</v>
      </c>
      <c r="S128" s="273">
        <v>1108674</v>
      </c>
      <c r="T128" s="273">
        <v>1155139</v>
      </c>
      <c r="U128" s="273">
        <v>1198877</v>
      </c>
      <c r="V128" s="273">
        <v>1247865</v>
      </c>
      <c r="W128" s="273">
        <v>1095804</v>
      </c>
      <c r="X128" s="273">
        <v>1161120</v>
      </c>
    </row>
    <row r="129" spans="1:24" ht="14.25" thickBot="1" x14ac:dyDescent="0.3">
      <c r="A129" s="225" t="s">
        <v>35</v>
      </c>
      <c r="B129" s="276">
        <v>1221420</v>
      </c>
      <c r="C129" s="276">
        <v>1257237</v>
      </c>
      <c r="D129" s="276">
        <v>1092803</v>
      </c>
      <c r="E129" s="276">
        <v>1235218</v>
      </c>
      <c r="F129" s="276">
        <v>1425004</v>
      </c>
      <c r="G129" s="276">
        <v>1547188</v>
      </c>
      <c r="H129" s="276">
        <v>1761757</v>
      </c>
      <c r="I129" s="276">
        <v>1784567</v>
      </c>
      <c r="J129" s="276">
        <v>1838689</v>
      </c>
      <c r="K129" s="276">
        <v>1877570</v>
      </c>
      <c r="L129" s="276">
        <v>1492329</v>
      </c>
      <c r="M129" s="276">
        <v>1539188</v>
      </c>
      <c r="N129" s="276">
        <v>1553474</v>
      </c>
      <c r="O129" s="276">
        <v>1682621</v>
      </c>
      <c r="P129" s="276">
        <v>1461995</v>
      </c>
      <c r="Q129" s="276">
        <v>1527107</v>
      </c>
      <c r="R129" s="276">
        <v>1542227</v>
      </c>
      <c r="S129" s="276">
        <v>1665708</v>
      </c>
      <c r="T129" s="276">
        <v>1462302</v>
      </c>
      <c r="U129" s="276">
        <v>1510150</v>
      </c>
      <c r="V129" s="276">
        <v>1500605</v>
      </c>
      <c r="W129" s="276">
        <v>1589203</v>
      </c>
      <c r="X129" s="276">
        <v>1450687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3.46</v>
      </c>
      <c r="C132" s="68">
        <v>9.82</v>
      </c>
      <c r="D132" s="68">
        <v>1.67</v>
      </c>
      <c r="E132" s="68">
        <v>4.84</v>
      </c>
      <c r="F132" s="68">
        <v>4.33</v>
      </c>
    </row>
    <row r="133" spans="1:24" ht="14.25" thickBot="1" x14ac:dyDescent="0.3">
      <c r="A133" s="225" t="s">
        <v>37</v>
      </c>
      <c r="B133" s="274">
        <v>-0.37</v>
      </c>
      <c r="C133" s="274">
        <v>-1.1299999999999999</v>
      </c>
      <c r="D133" s="274">
        <v>-0.42</v>
      </c>
      <c r="E133" s="274">
        <v>-0.35</v>
      </c>
      <c r="F133" s="274">
        <v>0.54</v>
      </c>
    </row>
    <row r="134" spans="1:24" ht="14.25" thickBot="1" x14ac:dyDescent="0.3">
      <c r="A134" s="224" t="s">
        <v>38</v>
      </c>
      <c r="B134" s="68">
        <v>-2.35</v>
      </c>
      <c r="C134" s="68">
        <v>-2.0299999999999998</v>
      </c>
      <c r="D134" s="68">
        <v>-6.83</v>
      </c>
      <c r="E134" s="68">
        <v>-4.1900000000000004</v>
      </c>
      <c r="F134" s="68">
        <v>-5.14</v>
      </c>
    </row>
    <row r="135" spans="1:24" ht="14.25" thickBot="1" x14ac:dyDescent="0.3">
      <c r="A135" s="225" t="s">
        <v>270</v>
      </c>
      <c r="B135" s="274">
        <v>3.1</v>
      </c>
      <c r="C135" s="274">
        <v>8.69</v>
      </c>
      <c r="D135" s="274">
        <v>1.25</v>
      </c>
      <c r="E135" s="274">
        <v>4.49</v>
      </c>
      <c r="F135" s="274">
        <v>4.87</v>
      </c>
    </row>
    <row r="136" spans="1:24" ht="14.25" thickBot="1" x14ac:dyDescent="0.3">
      <c r="A136" s="229" t="s">
        <v>39</v>
      </c>
      <c r="B136" s="72">
        <v>0.75</v>
      </c>
      <c r="C136" s="72">
        <v>6.66</v>
      </c>
      <c r="D136" s="72">
        <v>-5.58</v>
      </c>
      <c r="E136" s="72">
        <v>0.3</v>
      </c>
      <c r="F136" s="72">
        <v>-0.27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2.15</v>
      </c>
      <c r="C140" s="68">
        <v>7</v>
      </c>
      <c r="D140" s="68">
        <v>4.3</v>
      </c>
      <c r="E140" s="68">
        <v>3.7</v>
      </c>
      <c r="F140" s="68">
        <v>3.7</v>
      </c>
    </row>
    <row r="141" spans="1:24" ht="14.25" thickBot="1" x14ac:dyDescent="0.3">
      <c r="A141" s="227" t="s">
        <v>1</v>
      </c>
      <c r="B141" s="73">
        <v>0.85</v>
      </c>
      <c r="C141" s="73">
        <v>0.2</v>
      </c>
      <c r="D141" s="73">
        <v>0.3</v>
      </c>
      <c r="E141" s="73">
        <v>0.4</v>
      </c>
      <c r="F141" s="73">
        <v>0.4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0.92274678111587971</v>
      </c>
      <c r="C142" s="234">
        <f>IF(C140&lt;&gt;"無",IF(ISNA(HLOOKUP(C139,$B$64:$F$69,6,FALSE)),"",C140/HLOOKUP(C139,$B$64:$F$69,6,FALSE)),"")</f>
        <v>0.77864293659621797</v>
      </c>
      <c r="D142" s="234">
        <f>IF(D140&lt;&gt;"無",IF(ISNA(HLOOKUP(D139,$B$64:$F$69,6,FALSE)),"",D140/HLOOKUP(D139,$B$64:$F$69,6,FALSE)),"")</f>
        <v>0.94922737306843274</v>
      </c>
      <c r="E142" s="234">
        <f>IF(E140&lt;&gt;"無",IF(ISNA(HLOOKUP(E139,$B$64:$F$69,6,FALSE)),"",E140/HLOOKUP(E139,$B$64:$F$69,6,FALSE)),"")</f>
        <v>0.8851674641148326</v>
      </c>
      <c r="F142" s="234">
        <f>IF(F140&lt;&gt;"無",IF(ISNA(HLOOKUP(F139,$B$64:$F$69,6,FALSE)),"",F140/HLOOKUP(F139,$B$64:$F$69,6,FALSE)),"")</f>
        <v>1.0571428571428572</v>
      </c>
    </row>
    <row r="143" spans="1:24" x14ac:dyDescent="0.25">
      <c r="A143" s="233" t="s">
        <v>216</v>
      </c>
      <c r="B143" s="234">
        <f>IF(OR(B140=0,B140="無"),"",B135/B140)</f>
        <v>1.4418604651162792</v>
      </c>
      <c r="C143" s="234">
        <f>IF(OR(C140=0,C140="無"),"",C135/C140)</f>
        <v>1.2414285714285713</v>
      </c>
      <c r="D143" s="234">
        <f>IF(OR(D140=0,D140="無"),"",D135/D140)</f>
        <v>0.29069767441860467</v>
      </c>
      <c r="E143" s="234">
        <f>IF(OR(E140=0,E140="無"),"",E135/E140)</f>
        <v>1.2135135135135136</v>
      </c>
      <c r="F143" s="234">
        <f>IF(OR(F140=0,F140="無"),"",F135/F140)</f>
        <v>1.3162162162162161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47.03</v>
      </c>
      <c r="C146" s="68">
        <v>50.61</v>
      </c>
      <c r="D146" s="68">
        <v>50.41</v>
      </c>
      <c r="E146" s="68">
        <v>49.87</v>
      </c>
      <c r="F146" s="68">
        <v>61.08</v>
      </c>
      <c r="G146" s="68">
        <v>59.66</v>
      </c>
      <c r="H146" s="68">
        <v>53.98</v>
      </c>
      <c r="I146" s="68">
        <v>54.81</v>
      </c>
      <c r="J146" s="68">
        <v>63.29</v>
      </c>
      <c r="K146" s="68">
        <v>60.7</v>
      </c>
      <c r="L146" s="68">
        <v>57.87</v>
      </c>
      <c r="M146" s="68">
        <v>62.5</v>
      </c>
      <c r="N146" s="68">
        <v>59.24</v>
      </c>
      <c r="O146" s="68">
        <v>57.18</v>
      </c>
      <c r="P146" s="68">
        <v>57.79</v>
      </c>
      <c r="Q146" s="68">
        <v>52.82</v>
      </c>
      <c r="R146" s="68">
        <v>51.94</v>
      </c>
      <c r="S146" s="68">
        <v>45.64</v>
      </c>
      <c r="T146" s="68">
        <v>43.71</v>
      </c>
      <c r="U146" s="68">
        <v>42.57</v>
      </c>
      <c r="V146" s="68">
        <v>56.84</v>
      </c>
      <c r="W146" s="68">
        <v>55.97</v>
      </c>
      <c r="X146" s="68">
        <v>52.89</v>
      </c>
    </row>
    <row r="147" spans="1:24" s="93" customFormat="1" ht="14.25" thickBot="1" x14ac:dyDescent="0.3">
      <c r="A147" s="225" t="s">
        <v>19</v>
      </c>
      <c r="B147" s="274">
        <v>9.76</v>
      </c>
      <c r="C147" s="274">
        <v>13.93</v>
      </c>
      <c r="D147" s="274">
        <v>18.25</v>
      </c>
      <c r="E147" s="274">
        <v>18.059999999999999</v>
      </c>
      <c r="F147" s="274">
        <v>34.549999999999997</v>
      </c>
      <c r="G147" s="274">
        <v>33.89</v>
      </c>
      <c r="H147" s="274">
        <v>33.49</v>
      </c>
      <c r="I147" s="274">
        <v>29.14</v>
      </c>
      <c r="J147" s="274">
        <v>26.3</v>
      </c>
      <c r="K147" s="274">
        <v>25.2</v>
      </c>
      <c r="L147" s="274">
        <v>24.15</v>
      </c>
      <c r="M147" s="274">
        <v>22.56</v>
      </c>
      <c r="N147" s="274">
        <v>22.44</v>
      </c>
      <c r="O147" s="274">
        <v>27.39</v>
      </c>
      <c r="P147" s="274">
        <v>20.56</v>
      </c>
      <c r="Q147" s="274">
        <v>21.24</v>
      </c>
      <c r="R147" s="274">
        <v>21.51</v>
      </c>
      <c r="S147" s="274">
        <v>17.59</v>
      </c>
      <c r="T147" s="274">
        <v>17.829999999999998</v>
      </c>
      <c r="U147" s="274">
        <v>12.94</v>
      </c>
      <c r="V147" s="274">
        <v>24.19</v>
      </c>
      <c r="W147" s="274">
        <v>23.1</v>
      </c>
      <c r="X147" s="274">
        <v>23.71</v>
      </c>
    </row>
    <row r="148" spans="1:24" s="93" customFormat="1" ht="14.25" thickBot="1" x14ac:dyDescent="0.3">
      <c r="A148" s="224" t="s">
        <v>41</v>
      </c>
      <c r="B148" s="68">
        <v>12.03</v>
      </c>
      <c r="C148" s="68">
        <v>17.98</v>
      </c>
      <c r="D148" s="68">
        <v>19.010000000000002</v>
      </c>
      <c r="E148" s="68">
        <v>19.920000000000002</v>
      </c>
      <c r="F148" s="68">
        <v>37.869999999999997</v>
      </c>
      <c r="G148" s="68">
        <v>35.93</v>
      </c>
      <c r="H148" s="68">
        <v>33.979999999999997</v>
      </c>
      <c r="I148" s="68">
        <v>31.11</v>
      </c>
      <c r="J148" s="68">
        <v>29.31</v>
      </c>
      <c r="K148" s="68">
        <v>26.32</v>
      </c>
      <c r="L148" s="68">
        <v>27.16</v>
      </c>
      <c r="M148" s="68">
        <v>24.08</v>
      </c>
      <c r="N148" s="68">
        <v>23.51</v>
      </c>
      <c r="O148" s="68">
        <v>27.86</v>
      </c>
      <c r="P148" s="68">
        <v>26.72</v>
      </c>
      <c r="Q148" s="68">
        <v>22.66</v>
      </c>
      <c r="R148" s="68">
        <v>20.91</v>
      </c>
      <c r="S148" s="68">
        <v>18.45</v>
      </c>
      <c r="T148" s="68">
        <v>15.57</v>
      </c>
      <c r="U148" s="68">
        <v>16.23</v>
      </c>
      <c r="V148" s="68">
        <v>21.18</v>
      </c>
      <c r="W148" s="68">
        <v>24.61</v>
      </c>
      <c r="X148" s="68">
        <v>24.33</v>
      </c>
    </row>
    <row r="149" spans="1:24" s="93" customFormat="1" ht="14.25" thickBot="1" x14ac:dyDescent="0.3">
      <c r="A149" s="225" t="s">
        <v>13</v>
      </c>
      <c r="B149" s="73">
        <v>11.06</v>
      </c>
      <c r="C149" s="73">
        <v>15.88</v>
      </c>
      <c r="D149" s="73">
        <v>17.29</v>
      </c>
      <c r="E149" s="73">
        <v>17.77</v>
      </c>
      <c r="F149" s="73">
        <v>33.119999999999997</v>
      </c>
      <c r="G149" s="73">
        <v>31.25</v>
      </c>
      <c r="H149" s="73">
        <v>30.03</v>
      </c>
      <c r="I149" s="73">
        <v>22.59</v>
      </c>
      <c r="J149" s="73">
        <v>25.64</v>
      </c>
      <c r="K149" s="73">
        <v>23.33</v>
      </c>
      <c r="L149" s="73">
        <v>23.59</v>
      </c>
      <c r="M149" s="73">
        <v>20.92</v>
      </c>
      <c r="N149" s="73">
        <v>20.6</v>
      </c>
      <c r="O149" s="73">
        <v>24.36</v>
      </c>
      <c r="P149" s="73">
        <v>23.44</v>
      </c>
      <c r="Q149" s="73">
        <v>19.739999999999998</v>
      </c>
      <c r="R149" s="73">
        <v>19.18</v>
      </c>
      <c r="S149" s="73">
        <v>16.579999999999998</v>
      </c>
      <c r="T149" s="73">
        <v>14.45</v>
      </c>
      <c r="U149" s="73">
        <v>14.33</v>
      </c>
      <c r="V149" s="73">
        <v>18.23</v>
      </c>
      <c r="W149" s="73">
        <v>21.09</v>
      </c>
      <c r="X149" s="73">
        <v>21.32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49.6</v>
      </c>
      <c r="C152" s="68">
        <v>57.08</v>
      </c>
      <c r="D152" s="68">
        <v>61.06</v>
      </c>
      <c r="E152" s="68">
        <v>56.61</v>
      </c>
      <c r="F152" s="68">
        <v>45.79</v>
      </c>
    </row>
    <row r="153" spans="1:24" s="93" customFormat="1" ht="14.25" thickBot="1" x14ac:dyDescent="0.3">
      <c r="A153" s="225" t="s">
        <v>19</v>
      </c>
      <c r="B153" s="274">
        <v>15.55</v>
      </c>
      <c r="C153" s="274">
        <v>32.81</v>
      </c>
      <c r="D153" s="274">
        <v>24.62</v>
      </c>
      <c r="E153" s="274">
        <v>23.22</v>
      </c>
      <c r="F153" s="274">
        <v>17.37</v>
      </c>
    </row>
    <row r="154" spans="1:24" s="93" customFormat="1" ht="14.25" thickBot="1" x14ac:dyDescent="0.3">
      <c r="A154" s="224" t="s">
        <v>41</v>
      </c>
      <c r="B154" s="68">
        <v>17.64</v>
      </c>
      <c r="C154" s="68">
        <v>34.619999999999997</v>
      </c>
      <c r="D154" s="68">
        <v>26.8</v>
      </c>
      <c r="E154" s="68">
        <v>25.25</v>
      </c>
      <c r="F154" s="68">
        <v>17.690000000000001</v>
      </c>
    </row>
    <row r="155" spans="1:24" s="93" customFormat="1" ht="14.25" thickBot="1" x14ac:dyDescent="0.3">
      <c r="A155" s="225" t="s">
        <v>13</v>
      </c>
      <c r="B155" s="73">
        <v>15.86</v>
      </c>
      <c r="C155" s="73">
        <v>29.27</v>
      </c>
      <c r="D155" s="73">
        <v>23.45</v>
      </c>
      <c r="E155" s="73">
        <v>22.09</v>
      </c>
      <c r="F155" s="73">
        <v>16.04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1.28</v>
      </c>
      <c r="C158" s="68">
        <v>1.92</v>
      </c>
      <c r="D158" s="68">
        <v>3.01</v>
      </c>
      <c r="E158" s="68">
        <v>3.19</v>
      </c>
      <c r="F158" s="68">
        <v>7.96</v>
      </c>
      <c r="G158" s="68">
        <v>8.14</v>
      </c>
      <c r="H158" s="68">
        <v>8.65</v>
      </c>
      <c r="I158" s="68">
        <v>4.51</v>
      </c>
      <c r="J158" s="68">
        <v>3.72</v>
      </c>
      <c r="K158" s="68">
        <v>3.32</v>
      </c>
      <c r="L158" s="68">
        <v>3.6</v>
      </c>
      <c r="M158" s="68">
        <v>3.17</v>
      </c>
      <c r="N158" s="68">
        <v>3.03</v>
      </c>
      <c r="O158" s="68">
        <v>4.55</v>
      </c>
      <c r="P158" s="68">
        <v>3.1</v>
      </c>
      <c r="Q158" s="68">
        <v>3.55</v>
      </c>
      <c r="R158" s="68">
        <v>3.55</v>
      </c>
      <c r="S158" s="68">
        <v>3.2</v>
      </c>
      <c r="T158" s="68">
        <v>3.02</v>
      </c>
      <c r="U158" s="68">
        <v>3.04</v>
      </c>
      <c r="V158" s="68">
        <v>3.34</v>
      </c>
      <c r="W158" s="68">
        <v>3.85</v>
      </c>
      <c r="X158" s="68">
        <v>4.3</v>
      </c>
    </row>
    <row r="159" spans="1:24" s="93" customFormat="1" ht="14.25" thickBot="1" x14ac:dyDescent="0.3">
      <c r="A159" s="225" t="s">
        <v>45</v>
      </c>
      <c r="B159" s="73">
        <v>1.53</v>
      </c>
      <c r="C159" s="73">
        <v>2.46</v>
      </c>
      <c r="D159" s="73">
        <v>3.96</v>
      </c>
      <c r="E159" s="73">
        <v>4</v>
      </c>
      <c r="F159" s="73">
        <v>10.59</v>
      </c>
      <c r="G159" s="73">
        <v>11.39</v>
      </c>
      <c r="H159" s="73">
        <v>12.54</v>
      </c>
      <c r="I159" s="73">
        <v>6.25</v>
      </c>
      <c r="J159" s="73">
        <v>4.88</v>
      </c>
      <c r="K159" s="73">
        <v>4.88</v>
      </c>
      <c r="L159" s="73">
        <v>5.31</v>
      </c>
      <c r="M159" s="73">
        <v>4.0199999999999996</v>
      </c>
      <c r="N159" s="73">
        <v>3.76</v>
      </c>
      <c r="O159" s="73">
        <v>6.19</v>
      </c>
      <c r="P159" s="73">
        <v>4.29</v>
      </c>
      <c r="Q159" s="73">
        <v>4.47</v>
      </c>
      <c r="R159" s="73">
        <v>4.41</v>
      </c>
      <c r="S159" s="73">
        <v>4.33</v>
      </c>
      <c r="T159" s="73">
        <v>4.17</v>
      </c>
      <c r="U159" s="73">
        <v>3.84</v>
      </c>
      <c r="V159" s="73">
        <v>4.1100000000000003</v>
      </c>
      <c r="W159" s="73">
        <v>5.07</v>
      </c>
      <c r="X159" s="73">
        <v>5.8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15.86</v>
      </c>
      <c r="C162" s="68">
        <v>29.27</v>
      </c>
      <c r="D162" s="68">
        <v>23.45</v>
      </c>
      <c r="E162" s="68">
        <v>22.09</v>
      </c>
      <c r="F162" s="68">
        <v>16.04</v>
      </c>
    </row>
    <row r="163" spans="1:72" s="93" customFormat="1" ht="14.25" thickBot="1" x14ac:dyDescent="0.3">
      <c r="A163" s="225" t="s">
        <v>18</v>
      </c>
      <c r="B163" s="274">
        <v>0.56999999999999995</v>
      </c>
      <c r="C163" s="274">
        <v>0.86</v>
      </c>
      <c r="D163" s="274">
        <v>0.66</v>
      </c>
      <c r="E163" s="274">
        <v>0.66</v>
      </c>
      <c r="F163" s="274">
        <v>0.82</v>
      </c>
    </row>
    <row r="164" spans="1:72" s="93" customFormat="1" ht="14.25" thickBot="1" x14ac:dyDescent="0.3">
      <c r="A164" s="224" t="s">
        <v>15</v>
      </c>
      <c r="B164" s="68">
        <v>1.3</v>
      </c>
      <c r="C164" s="68">
        <v>1.33</v>
      </c>
      <c r="D164" s="68">
        <v>1.27</v>
      </c>
      <c r="E164" s="68">
        <v>1.27</v>
      </c>
      <c r="F164" s="68">
        <v>1.26</v>
      </c>
    </row>
    <row r="165" spans="1:72" s="93" customFormat="1" ht="14.25" thickBot="1" x14ac:dyDescent="0.3">
      <c r="A165" s="225" t="s">
        <v>45</v>
      </c>
      <c r="B165" s="73">
        <v>11.3</v>
      </c>
      <c r="C165" s="73">
        <v>39.17</v>
      </c>
      <c r="D165" s="73">
        <v>18.510000000000002</v>
      </c>
      <c r="E165" s="73">
        <v>18.260000000000002</v>
      </c>
      <c r="F165" s="73">
        <v>16.46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53.25</v>
      </c>
      <c r="C168" s="68">
        <v>45</v>
      </c>
      <c r="D168" s="68">
        <v>45.45</v>
      </c>
      <c r="E168" s="68">
        <v>52.33</v>
      </c>
      <c r="F168" s="68">
        <v>44.78</v>
      </c>
      <c r="G168" s="68">
        <v>54.55</v>
      </c>
      <c r="H168" s="68">
        <v>51.72</v>
      </c>
      <c r="I168" s="68">
        <v>61.64</v>
      </c>
      <c r="J168" s="68">
        <v>59.21</v>
      </c>
      <c r="K168" s="68">
        <v>46.63</v>
      </c>
      <c r="L168" s="68">
        <v>46.88</v>
      </c>
      <c r="M168" s="68">
        <v>49.45</v>
      </c>
      <c r="N168" s="68">
        <v>43.9</v>
      </c>
      <c r="O168" s="68">
        <v>35.71</v>
      </c>
      <c r="P168" s="68">
        <v>52.94</v>
      </c>
      <c r="Q168" s="68">
        <v>40.18</v>
      </c>
      <c r="R168" s="68">
        <v>43.27</v>
      </c>
      <c r="S168" s="68">
        <v>43.69</v>
      </c>
      <c r="T168" s="68">
        <v>46.39</v>
      </c>
      <c r="U168" s="68">
        <v>45.69</v>
      </c>
      <c r="V168" s="68">
        <v>43.9</v>
      </c>
      <c r="W168" s="68">
        <v>44.78</v>
      </c>
      <c r="X168" s="68">
        <v>47.87</v>
      </c>
    </row>
    <row r="169" spans="1:72" s="93" customFormat="1" ht="14.25" thickBot="1" x14ac:dyDescent="0.3">
      <c r="A169" s="225" t="s">
        <v>17</v>
      </c>
      <c r="B169" s="274">
        <v>157.88999999999999</v>
      </c>
      <c r="C169" s="274">
        <v>147.54</v>
      </c>
      <c r="D169" s="274">
        <v>102.27</v>
      </c>
      <c r="E169" s="274">
        <v>93.75</v>
      </c>
      <c r="F169" s="274">
        <v>87.38</v>
      </c>
      <c r="G169" s="274">
        <v>79.650000000000006</v>
      </c>
      <c r="H169" s="274">
        <v>48.39</v>
      </c>
      <c r="I169" s="274">
        <v>53.57</v>
      </c>
      <c r="J169" s="274">
        <v>87.38</v>
      </c>
      <c r="K169" s="274">
        <v>100</v>
      </c>
      <c r="L169" s="274">
        <v>123.29</v>
      </c>
      <c r="M169" s="274">
        <v>180</v>
      </c>
      <c r="N169" s="274">
        <v>166.67</v>
      </c>
      <c r="O169" s="274">
        <v>107.14</v>
      </c>
      <c r="P169" s="274">
        <v>163.63999999999999</v>
      </c>
      <c r="Q169" s="274">
        <v>111.11</v>
      </c>
      <c r="R169" s="274">
        <v>103.45</v>
      </c>
      <c r="S169" s="274">
        <v>116.88</v>
      </c>
      <c r="T169" s="274">
        <v>138.46</v>
      </c>
      <c r="U169" s="274">
        <v>152.54</v>
      </c>
      <c r="V169" s="274">
        <v>250</v>
      </c>
      <c r="W169" s="274">
        <v>264.70999999999998</v>
      </c>
      <c r="X169" s="274">
        <v>236.84</v>
      </c>
    </row>
    <row r="170" spans="1:72" s="93" customFormat="1" ht="14.25" thickBot="1" x14ac:dyDescent="0.3">
      <c r="A170" s="224" t="s">
        <v>42</v>
      </c>
      <c r="B170" s="72">
        <v>211.15</v>
      </c>
      <c r="C170" s="72">
        <v>192.54</v>
      </c>
      <c r="D170" s="72">
        <v>147.72999999999999</v>
      </c>
      <c r="E170" s="72">
        <v>146.08000000000001</v>
      </c>
      <c r="F170" s="72">
        <v>132.15</v>
      </c>
      <c r="G170" s="72">
        <v>134.19</v>
      </c>
      <c r="H170" s="72">
        <v>100.11</v>
      </c>
      <c r="I170" s="72">
        <v>115.22</v>
      </c>
      <c r="J170" s="72">
        <v>146.59</v>
      </c>
      <c r="K170" s="72">
        <v>146.63</v>
      </c>
      <c r="L170" s="72">
        <v>170.16</v>
      </c>
      <c r="M170" s="72">
        <v>229.45</v>
      </c>
      <c r="N170" s="72">
        <v>210.57</v>
      </c>
      <c r="O170" s="72">
        <v>142.86000000000001</v>
      </c>
      <c r="P170" s="72">
        <v>216.58</v>
      </c>
      <c r="Q170" s="72">
        <v>151.29</v>
      </c>
      <c r="R170" s="72">
        <v>146.72</v>
      </c>
      <c r="S170" s="72">
        <v>160.57</v>
      </c>
      <c r="T170" s="72">
        <v>184.85</v>
      </c>
      <c r="U170" s="72">
        <v>198.23</v>
      </c>
      <c r="V170" s="72">
        <v>293.89999999999998</v>
      </c>
      <c r="W170" s="72">
        <v>309.48</v>
      </c>
      <c r="X170" s="72">
        <v>284.70999999999998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148.80000000000001</v>
      </c>
      <c r="C173" s="72">
        <v>111.93</v>
      </c>
      <c r="D173" s="72">
        <v>37.82</v>
      </c>
      <c r="E173" s="72">
        <v>120.03</v>
      </c>
      <c r="F173" s="72">
        <v>124.97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11.94</v>
      </c>
      <c r="C176" s="72">
        <v>14.27</v>
      </c>
      <c r="D176" s="72">
        <v>14.35</v>
      </c>
      <c r="E176" s="72">
        <v>12.1</v>
      </c>
      <c r="F176" s="72">
        <v>13.27</v>
      </c>
      <c r="G176" s="72">
        <v>14.51</v>
      </c>
      <c r="H176" s="72">
        <v>12.86</v>
      </c>
      <c r="I176" s="72">
        <v>19.46</v>
      </c>
      <c r="J176" s="72">
        <v>23.55</v>
      </c>
      <c r="K176" s="72">
        <v>22.54</v>
      </c>
      <c r="L176" s="72">
        <v>28.34</v>
      </c>
      <c r="M176" s="72">
        <v>29.44</v>
      </c>
      <c r="N176" s="72">
        <v>35.83</v>
      </c>
      <c r="O176" s="72">
        <v>41.7</v>
      </c>
      <c r="P176" s="72">
        <v>42.21</v>
      </c>
      <c r="Q176" s="72">
        <v>35.99</v>
      </c>
      <c r="R176" s="72">
        <v>25.27</v>
      </c>
      <c r="S176" s="72">
        <v>26.58</v>
      </c>
      <c r="T176" s="72">
        <v>25.67</v>
      </c>
      <c r="U176" s="72">
        <v>17.12</v>
      </c>
      <c r="V176" s="72">
        <v>16.760000000000002</v>
      </c>
      <c r="W176" s="72">
        <v>12.72</v>
      </c>
      <c r="X176" s="72">
        <v>10.220000000000001</v>
      </c>
      <c r="Y176" s="72">
        <v>11.54</v>
      </c>
      <c r="Z176" s="72">
        <v>12</v>
      </c>
      <c r="AA176" s="72">
        <v>11.66</v>
      </c>
      <c r="AB176" s="72">
        <v>10.45</v>
      </c>
      <c r="AC176" s="72">
        <v>10.35</v>
      </c>
      <c r="AD176" s="72">
        <v>10.6</v>
      </c>
      <c r="AE176" s="72">
        <v>10.72</v>
      </c>
      <c r="AF176" s="72">
        <v>10.73</v>
      </c>
      <c r="AG176" s="72">
        <v>10.87</v>
      </c>
      <c r="AH176" s="72">
        <v>9.94</v>
      </c>
      <c r="AI176" s="72">
        <v>9.08</v>
      </c>
      <c r="AJ176" s="72">
        <v>11.28</v>
      </c>
      <c r="AK176" s="72">
        <v>12.07</v>
      </c>
      <c r="AL176" s="72">
        <v>12.93</v>
      </c>
      <c r="AM176" s="72">
        <v>12.68</v>
      </c>
      <c r="AN176" s="72">
        <v>15.45</v>
      </c>
      <c r="AO176" s="72">
        <v>15.76</v>
      </c>
      <c r="AP176" s="72">
        <v>18.46</v>
      </c>
      <c r="AQ176" s="72">
        <v>19.73</v>
      </c>
      <c r="AR176" s="72">
        <v>16.260000000000002</v>
      </c>
      <c r="AS176" s="72">
        <v>11.68</v>
      </c>
      <c r="AT176" s="72">
        <v>12.1</v>
      </c>
      <c r="AU176" s="72">
        <v>12.79</v>
      </c>
      <c r="AV176" s="72">
        <v>13.69</v>
      </c>
      <c r="AW176" s="72">
        <v>13.27</v>
      </c>
      <c r="AX176" s="72">
        <v>11.74</v>
      </c>
      <c r="AY176" s="72">
        <v>13.44</v>
      </c>
      <c r="AZ176" s="72">
        <v>14.14</v>
      </c>
      <c r="BA176" s="72">
        <v>13.61</v>
      </c>
      <c r="BB176" s="72">
        <v>12.16</v>
      </c>
      <c r="BC176" s="72">
        <v>12.26</v>
      </c>
      <c r="BD176" s="72">
        <v>12.8</v>
      </c>
      <c r="BE176" s="72">
        <v>13.71</v>
      </c>
      <c r="BF176" s="72">
        <v>13.61</v>
      </c>
      <c r="BG176" s="72">
        <v>13.91</v>
      </c>
      <c r="BH176" s="72">
        <v>13.27</v>
      </c>
      <c r="BI176" s="72">
        <v>13.52</v>
      </c>
      <c r="BJ176" s="72">
        <v>13.48</v>
      </c>
      <c r="BK176" s="72">
        <v>13.88</v>
      </c>
      <c r="BL176" s="72">
        <v>14.88</v>
      </c>
      <c r="BM176" s="72">
        <v>14.99</v>
      </c>
      <c r="BN176" s="72">
        <v>15.27</v>
      </c>
      <c r="BO176" s="72">
        <v>15.59</v>
      </c>
      <c r="BP176" s="72">
        <v>15.21</v>
      </c>
      <c r="BQ176" s="72">
        <v>14.48</v>
      </c>
      <c r="BR176" s="72">
        <v>14.73</v>
      </c>
      <c r="BS176" s="72">
        <v>14.38</v>
      </c>
      <c r="BT176" s="72">
        <v>13.83</v>
      </c>
    </row>
  </sheetData>
  <phoneticPr fontId="3" type="noConversion"/>
  <conditionalFormatting sqref="E4">
    <cfRule type="cellIs" dxfId="4274" priority="103" operator="greaterThan">
      <formula>0.2</formula>
    </cfRule>
    <cfRule type="cellIs" dxfId="427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427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271" priority="97" operator="greaterThan">
      <formula>$B$19</formula>
    </cfRule>
  </conditionalFormatting>
  <conditionalFormatting sqref="D33:D34">
    <cfRule type="cellIs" dxfId="427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4269" priority="91" operator="lessThan">
      <formula>$H$62</formula>
    </cfRule>
    <cfRule type="cellIs" dxfId="4268" priority="92" operator="greaterThan">
      <formula>$H$62</formula>
    </cfRule>
  </conditionalFormatting>
  <conditionalFormatting sqref="J62">
    <cfRule type="cellIs" dxfId="4267" priority="89" operator="lessThan">
      <formula>$K$62</formula>
    </cfRule>
    <cfRule type="cellIs" dxfId="4266" priority="90" operator="greaterThan">
      <formula>$K$62</formula>
    </cfRule>
  </conditionalFormatting>
  <conditionalFormatting sqref="M62">
    <cfRule type="cellIs" dxfId="4265" priority="87" operator="lessThan">
      <formula>$N$62</formula>
    </cfRule>
    <cfRule type="cellIs" dxfId="4264" priority="88" operator="greaterThan">
      <formula>$N$62</formula>
    </cfRule>
  </conditionalFormatting>
  <conditionalFormatting sqref="B44:E44">
    <cfRule type="cellIs" dxfId="4263" priority="85" operator="greaterThan">
      <formula>0</formula>
    </cfRule>
    <cfRule type="cellIs" dxfId="4262" priority="86" operator="lessThan">
      <formula>0</formula>
    </cfRule>
  </conditionalFormatting>
  <conditionalFormatting sqref="F72">
    <cfRule type="cellIs" dxfId="4261" priority="84" operator="lessThan">
      <formula>$E$72*90%</formula>
    </cfRule>
  </conditionalFormatting>
  <conditionalFormatting sqref="F73">
    <cfRule type="cellIs" dxfId="4260" priority="83" operator="lessThan">
      <formula>$E$73*90%</formula>
    </cfRule>
  </conditionalFormatting>
  <conditionalFormatting sqref="F74">
    <cfRule type="cellIs" dxfId="4259" priority="82" operator="lessThan">
      <formula>$E$74*90%</formula>
    </cfRule>
  </conditionalFormatting>
  <conditionalFormatting sqref="F75">
    <cfRule type="cellIs" dxfId="4258" priority="81" operator="lessThan">
      <formula>$E$75*90%</formula>
    </cfRule>
  </conditionalFormatting>
  <conditionalFormatting sqref="H44:K44">
    <cfRule type="cellIs" dxfId="4257" priority="79" operator="greaterThan">
      <formula>0</formula>
    </cfRule>
    <cfRule type="cellIs" dxfId="4256" priority="80" operator="lessThan">
      <formula>0</formula>
    </cfRule>
  </conditionalFormatting>
  <conditionalFormatting sqref="H51:K51">
    <cfRule type="cellIs" dxfId="4255" priority="77" operator="greaterThan">
      <formula>0</formula>
    </cfRule>
    <cfRule type="cellIs" dxfId="4254" priority="78" operator="lessThan">
      <formula>0</formula>
    </cfRule>
  </conditionalFormatting>
  <conditionalFormatting sqref="B51:E51">
    <cfRule type="cellIs" dxfId="4253" priority="75" operator="greaterThan">
      <formula>0</formula>
    </cfRule>
    <cfRule type="cellIs" dxfId="425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25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25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249" priority="58" operator="lessThan">
      <formula>0</formula>
    </cfRule>
  </conditionalFormatting>
  <conditionalFormatting sqref="A25 E25 C25">
    <cfRule type="cellIs" dxfId="4248" priority="59" operator="lessThan">
      <formula>0</formula>
    </cfRule>
  </conditionalFormatting>
  <conditionalFormatting sqref="F25">
    <cfRule type="cellIs" dxfId="4247" priority="57" operator="lessThan">
      <formula>0</formula>
    </cfRule>
  </conditionalFormatting>
  <conditionalFormatting sqref="E1">
    <cfRule type="containsText" dxfId="4246" priority="56" operator="containsText" text="本季業外損益/平均=-">
      <formula>NOT(ISERROR(SEARCH("本季業外損益/平均=-",E1)))</formula>
    </cfRule>
  </conditionalFormatting>
  <conditionalFormatting sqref="M65">
    <cfRule type="cellIs" dxfId="4245" priority="55" operator="lessThan">
      <formula>$L$65*90%</formula>
    </cfRule>
  </conditionalFormatting>
  <conditionalFormatting sqref="M66">
    <cfRule type="cellIs" dxfId="4244" priority="54" operator="lessThan">
      <formula>$L$66*90%</formula>
    </cfRule>
  </conditionalFormatting>
  <conditionalFormatting sqref="M67">
    <cfRule type="cellIs" dxfId="4243" priority="53" operator="lessThan">
      <formula>$L$67*90%</formula>
    </cfRule>
  </conditionalFormatting>
  <conditionalFormatting sqref="M68">
    <cfRule type="cellIs" dxfId="4242" priority="52" operator="lessThan">
      <formula>$L$68*90%</formula>
    </cfRule>
  </conditionalFormatting>
  <conditionalFormatting sqref="B60">
    <cfRule type="cellIs" dxfId="4241" priority="51" operator="lessThan">
      <formula>0</formula>
    </cfRule>
  </conditionalFormatting>
  <conditionalFormatting sqref="B59:F59">
    <cfRule type="cellIs" dxfId="4240" priority="50" operator="lessThanOrEqual">
      <formula>0</formula>
    </cfRule>
  </conditionalFormatting>
  <conditionalFormatting sqref="D62">
    <cfRule type="cellIs" dxfId="4239" priority="48" operator="lessThan">
      <formula>$E$62</formula>
    </cfRule>
    <cfRule type="cellIs" dxfId="4238" priority="49" operator="greaterThan">
      <formula>$E$62</formula>
    </cfRule>
  </conditionalFormatting>
  <conditionalFormatting sqref="F69">
    <cfRule type="cellIs" dxfId="4237" priority="46" operator="lessThan">
      <formula>0</formula>
    </cfRule>
  </conditionalFormatting>
  <conditionalFormatting sqref="B65:E67 B69:E69 B68:D68">
    <cfRule type="cellIs" dxfId="4236" priority="47" operator="lessThan">
      <formula>0</formula>
    </cfRule>
  </conditionalFormatting>
  <conditionalFormatting sqref="E68">
    <cfRule type="cellIs" dxfId="4235" priority="45" operator="lessThan">
      <formula>0</formula>
    </cfRule>
  </conditionalFormatting>
  <conditionalFormatting sqref="F65:F68">
    <cfRule type="cellIs" dxfId="4234" priority="44" operator="lessThan">
      <formula>0</formula>
    </cfRule>
  </conditionalFormatting>
  <conditionalFormatting sqref="F65:F68">
    <cfRule type="cellIs" dxfId="4233" priority="43" operator="lessThan">
      <formula>$E$65*0.9</formula>
    </cfRule>
  </conditionalFormatting>
  <conditionalFormatting sqref="F66">
    <cfRule type="cellIs" dxfId="4232" priority="42" operator="lessThan">
      <formula>$E$66*0.9</formula>
    </cfRule>
  </conditionalFormatting>
  <conditionalFormatting sqref="F67:F68">
    <cfRule type="cellIs" dxfId="4231" priority="41" operator="lessThan">
      <formula>$E$67*0.9</formula>
    </cfRule>
  </conditionalFormatting>
  <conditionalFormatting sqref="F68">
    <cfRule type="cellIs" dxfId="4230" priority="40" operator="lessThan">
      <formula>$E$68*0.9</formula>
    </cfRule>
  </conditionalFormatting>
  <conditionalFormatting sqref="B13:F13">
    <cfRule type="cellIs" dxfId="4229" priority="29" operator="greaterThan">
      <formula>$I$16</formula>
    </cfRule>
    <cfRule type="cellIs" dxfId="4228" priority="30" operator="lessThanOrEqual">
      <formula>$I$16</formula>
    </cfRule>
  </conditionalFormatting>
  <conditionalFormatting sqref="B10:F10">
    <cfRule type="cellIs" dxfId="4227" priority="31" operator="greaterThan">
      <formula>15</formula>
    </cfRule>
    <cfRule type="cellIs" dxfId="4226" priority="38" operator="lessThan">
      <formula>$I$9</formula>
    </cfRule>
    <cfRule type="cellIs" dxfId="4225" priority="39" operator="greaterThan">
      <formula>$I$9</formula>
    </cfRule>
  </conditionalFormatting>
  <conditionalFormatting sqref="B16:F16">
    <cfRule type="cellIs" dxfId="4224" priority="36" operator="greaterThan">
      <formula>$I$16</formula>
    </cfRule>
    <cfRule type="cellIs" dxfId="4223" priority="37" operator="lessThanOrEqual">
      <formula>$I$16</formula>
    </cfRule>
  </conditionalFormatting>
  <conditionalFormatting sqref="B15:F15">
    <cfRule type="cellIs" dxfId="4222" priority="34" operator="lessThanOrEqual">
      <formula>$I$16</formula>
    </cfRule>
    <cfRule type="cellIs" dxfId="4221" priority="35" operator="greaterThan">
      <formula>$I$16</formula>
    </cfRule>
  </conditionalFormatting>
  <conditionalFormatting sqref="B14:F14">
    <cfRule type="cellIs" dxfId="4220" priority="32" operator="greaterThan">
      <formula>$I$16</formula>
    </cfRule>
    <cfRule type="cellIs" dxfId="4219" priority="33" operator="lessThanOrEqual">
      <formula>$I$16</formula>
    </cfRule>
  </conditionalFormatting>
  <conditionalFormatting sqref="K6">
    <cfRule type="containsText" dxfId="4218" priority="27" operator="containsText" text="衰退">
      <formula>NOT(ISERROR(SEARCH("衰退",K6)))</formula>
    </cfRule>
    <cfRule type="containsText" dxfId="4217" priority="28" operator="containsText" text="成長">
      <formula>NOT(ISERROR(SEARCH("成長",K6)))</formula>
    </cfRule>
  </conditionalFormatting>
  <conditionalFormatting sqref="I4:K4">
    <cfRule type="cellIs" dxfId="4216" priority="25" operator="lessThan">
      <formula>0</formula>
    </cfRule>
    <cfRule type="cellIs" dxfId="421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214" priority="22" operator="lessThanOrEqual">
      <formula>$I$16</formula>
    </cfRule>
    <cfRule type="cellIs" dxfId="4213" priority="23" operator="greaterThan">
      <formula>$I$16</formula>
    </cfRule>
  </conditionalFormatting>
  <conditionalFormatting sqref="I6">
    <cfRule type="containsText" dxfId="4212" priority="20" operator="containsText" text="衰退">
      <formula>NOT(ISERROR(SEARCH("衰退",I6)))</formula>
    </cfRule>
    <cfRule type="containsText" dxfId="4211" priority="21" operator="containsText" text="成長">
      <formula>NOT(ISERROR(SEARCH("成長",I6)))</formula>
    </cfRule>
  </conditionalFormatting>
  <conditionalFormatting sqref="M9">
    <cfRule type="cellIs" dxfId="4210" priority="19" operator="lessThan">
      <formula>$I$9</formula>
    </cfRule>
  </conditionalFormatting>
  <conditionalFormatting sqref="M10">
    <cfRule type="cellIs" dxfId="4209" priority="18" operator="greaterThan">
      <formula>$I$9</formula>
    </cfRule>
  </conditionalFormatting>
  <conditionalFormatting sqref="M11">
    <cfRule type="cellIs" dxfId="420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207" priority="14" operator="lessThan">
      <formula>0</formula>
    </cfRule>
    <cfRule type="cellIs" dxfId="4206" priority="15" operator="greaterThan">
      <formula>0.5</formula>
    </cfRule>
  </conditionalFormatting>
  <conditionalFormatting sqref="N14">
    <cfRule type="cellIs" dxfId="420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204" priority="10" operator="lessThan">
      <formula>0.1</formula>
    </cfRule>
  </conditionalFormatting>
  <conditionalFormatting sqref="I14">
    <cfRule type="cellIs" dxfId="420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20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201" priority="1" operator="lessThan">
      <formula>$N$5*0.9</formula>
    </cfRule>
    <cfRule type="cellIs" dxfId="4200" priority="2" operator="greaterThan">
      <formula>$N$5*1.1</formula>
    </cfRule>
  </conditionalFormatting>
  <hyperlinks>
    <hyperlink ref="L1" location="儀表板!A1" display="(回首頁)" xr:uid="{00000000-0004-0000-2F00-000000000000}"/>
  </hyperlink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4.26 ~ 11.88</v>
      </c>
      <c r="L1" s="83" t="s">
        <v>176</v>
      </c>
      <c r="M1" s="84" t="str">
        <f ca="1">VLOOKUP(_xlfn.NUMBERVALUE(N1),儀表板!A:B,2,FALSE)</f>
        <v>神準</v>
      </c>
      <c r="N1" s="85" t="str">
        <f ca="1">MID(CELL("filename",L1),FIND("]",CELL("filename",L1))+1,255)</f>
        <v>3558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0.13948415530654487</v>
      </c>
    </row>
    <row r="3" spans="1:15" s="93" customFormat="1" x14ac:dyDescent="0.25">
      <c r="A3" s="81" t="s">
        <v>179</v>
      </c>
      <c r="B3" s="94">
        <f>SUM(F19:F22,F24:F27,J19)</f>
        <v>94.493369055669604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123.47412371203902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129.77983691803129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145.6206793648729</v>
      </c>
      <c r="L3" s="100"/>
      <c r="M3" s="79" t="s">
        <v>385</v>
      </c>
      <c r="N3" s="92">
        <f>(F69-E69)/E69</f>
        <v>-0.17969019718368609</v>
      </c>
    </row>
    <row r="4" spans="1:15" s="93" customFormat="1" x14ac:dyDescent="0.25">
      <c r="A4" s="81" t="s">
        <v>182</v>
      </c>
      <c r="B4" s="96">
        <f>SUM(G36:G40)*2</f>
        <v>72</v>
      </c>
      <c r="C4" s="101"/>
      <c r="D4" s="102">
        <f>F4*(1+F141/10)</f>
        <v>4.91</v>
      </c>
      <c r="E4" s="82">
        <f>(D4-F4)/F4</f>
        <v>0</v>
      </c>
      <c r="F4" s="103">
        <v>4.91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9.6796556732325048</v>
      </c>
    </row>
    <row r="5" spans="1:15" s="93" customFormat="1" x14ac:dyDescent="0.25">
      <c r="A5" s="81" t="s">
        <v>184</v>
      </c>
      <c r="B5" s="107">
        <f>SUM(F30:F34)*2</f>
        <v>97.193297122724601</v>
      </c>
      <c r="C5" s="87"/>
      <c r="D5" s="87"/>
      <c r="E5" s="87"/>
      <c r="F5" s="86"/>
      <c r="G5" s="88"/>
      <c r="M5" s="79" t="s">
        <v>386</v>
      </c>
      <c r="N5" s="152">
        <f>D62</f>
        <v>9.18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12.132071733172676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19.2</v>
      </c>
      <c r="N9" s="129"/>
    </row>
    <row r="10" spans="1:15" s="93" customFormat="1" x14ac:dyDescent="0.25">
      <c r="A10" s="123" t="s">
        <v>194</v>
      </c>
      <c r="B10" s="126">
        <f>PERCENTILE(176:176,B9)</f>
        <v>12.102</v>
      </c>
      <c r="C10" s="126">
        <f>PERCENTILE(176:176,C9)</f>
        <v>13.3055</v>
      </c>
      <c r="D10" s="126">
        <f>PERCENTILE(176:176,D9)</f>
        <v>13.984999999999999</v>
      </c>
      <c r="E10" s="126">
        <f>PERCENTILE(176:176,E9)</f>
        <v>15.692</v>
      </c>
      <c r="F10" s="126">
        <f>PERCENTILE(176:176,F9)</f>
        <v>17.032</v>
      </c>
      <c r="G10" s="95"/>
      <c r="H10" s="135"/>
      <c r="I10" s="135"/>
      <c r="J10" s="135"/>
      <c r="K10" s="135"/>
      <c r="L10" s="136" t="s">
        <v>374</v>
      </c>
      <c r="M10" s="130">
        <f>MIN(176:176)</f>
        <v>8.83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48.59</v>
      </c>
      <c r="L11" s="272" t="s">
        <v>193</v>
      </c>
      <c r="M11" s="128">
        <f>STDEV(176:176)</f>
        <v>2.7558415674885999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128.1512605042017</v>
      </c>
      <c r="C13" s="141">
        <f>$B$34/5.88%</f>
        <v>155.61224489795919</v>
      </c>
      <c r="D13" s="141">
        <f>$B$34/5%</f>
        <v>183</v>
      </c>
      <c r="E13" s="141">
        <f>$B$34/4.35%</f>
        <v>210.34482758620692</v>
      </c>
      <c r="F13" s="141">
        <f>$B$34/3.85%</f>
        <v>237.66233766233768</v>
      </c>
      <c r="G13" s="138" t="str">
        <f>"$"&amp;ROUND(B34,2)&amp;"/"&amp;IF(STDEV(C140:F140)/AVERAGE(C140:F140)&lt;15%,"高",IF(STDEV(C140:F140)/AVERAGE(C140:F140)&lt;30%,"中","低"))</f>
        <v>$9.15/低</v>
      </c>
      <c r="H13" s="142" t="s">
        <v>199</v>
      </c>
      <c r="I13" s="143">
        <f>MAX(0,1-J15)</f>
        <v>0.32203389830508478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154.57279500000001</v>
      </c>
      <c r="C14" s="141">
        <f>$B$33*C10</f>
        <v>169.94449875000001</v>
      </c>
      <c r="D14" s="141">
        <f>$B$33*D10</f>
        <v>178.6234125</v>
      </c>
      <c r="E14" s="141">
        <f>$B$33*E10</f>
        <v>200.42607000000001</v>
      </c>
      <c r="F14" s="141">
        <f>$B$33*F10</f>
        <v>217.54122000000001</v>
      </c>
      <c r="G14" s="138" t="str">
        <f>"$"&amp;ROUND(B33,2)&amp;"/"&amp;IF(STDEV(B69:E69)/AVERAGE(B69:E69)&lt;15%,"高",IF(STDEV(B69:E69)/AVERAGE(B69:E69)&lt;30%,"中","低"))</f>
        <v>$12.77/中</v>
      </c>
      <c r="H14" s="142" t="s">
        <v>203</v>
      </c>
      <c r="I14" s="145">
        <f>G62/100*I13</f>
        <v>6.0445762711864415E-2</v>
      </c>
      <c r="J14" s="76" t="s">
        <v>204</v>
      </c>
      <c r="K14" s="146"/>
      <c r="L14" s="147">
        <f>(HLOOKUP($C$1,$105:$106,2,FALSE)-HLOOKUP($C$1,$117:$127,9,FALSE))/(HLOOKUP($C$1,$117:$128,12,FALSE)/K11)</f>
        <v>45.327102893359857</v>
      </c>
      <c r="M14" s="148">
        <f>E135/E69</f>
        <v>1.2177966101694915</v>
      </c>
      <c r="N14" s="149">
        <f>F173/100</f>
        <v>1.6800999999999999</v>
      </c>
    </row>
    <row r="15" spans="1:15" s="93" customFormat="1" x14ac:dyDescent="0.25">
      <c r="A15" s="140" t="s">
        <v>375</v>
      </c>
      <c r="B15" s="141">
        <f>$D$62*B10</f>
        <v>111.09636</v>
      </c>
      <c r="C15" s="141">
        <f>$D$62*C10</f>
        <v>122.14449</v>
      </c>
      <c r="D15" s="141">
        <f>$D$62*D10</f>
        <v>128.38229999999999</v>
      </c>
      <c r="E15" s="141">
        <f>$D$62*E10</f>
        <v>144.05256</v>
      </c>
      <c r="F15" s="141">
        <f>$D$62*F10</f>
        <v>156.35375999999999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0.67796610169491522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117.14319295745977</v>
      </c>
      <c r="C16" s="141">
        <f>$F$69*C10</f>
        <v>128.79265856019509</v>
      </c>
      <c r="D16" s="141">
        <f>$F$69*D10</f>
        <v>135.36998459015658</v>
      </c>
      <c r="E16" s="141">
        <f>$F$69*E10</f>
        <v>151.89315682436447</v>
      </c>
      <c r="F16" s="141">
        <f>$F$69*F10</f>
        <v>164.86389542649601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141</v>
      </c>
      <c r="J17" s="92">
        <f ca="1">IF(I17&lt;=0,"",IF(I17&lt;=MIN($B$13:$F$16),(I17-MIN($B$13:$F$16))/MIN($B$13:$F$16),IF(I17&gt;=MAX($B$13:$F$16),I17/MAX($B$13:$F$16),PERCENTRANK($B$13:$F$16,I17))))</f>
        <v>0.34899999999999998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13.46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18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1.4710382513661202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0.15754249682291283</v>
      </c>
      <c r="J20" s="171">
        <f>HLOOKUP($C$1,$117:$127,11,FALSE)/HLOOKUP($C$1,$105:$115,11,FALSE)</f>
        <v>0.59442053606125211</v>
      </c>
      <c r="K20" s="163"/>
    </row>
    <row r="21" spans="1:14" s="93" customFormat="1" x14ac:dyDescent="0.25">
      <c r="A21" s="151" t="s">
        <v>201</v>
      </c>
      <c r="B21" s="161">
        <f>AVERAGE(C173:F173)/100</f>
        <v>1.4294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1.3443154898616534</v>
      </c>
      <c r="J21" s="78"/>
      <c r="K21" s="164" t="s">
        <v>356</v>
      </c>
      <c r="L21" s="165">
        <f>HLOOKUP($C$1,$105:$115,7,FALSE)/HLOOKUP($C$1,$105:$115,11,FALSE)</f>
        <v>0.79483647847457806</v>
      </c>
      <c r="M21" s="123" t="s">
        <v>268</v>
      </c>
      <c r="N21" s="165">
        <f>HLOOKUP($C$1,$117:$127,8,FALSE)/HLOOKUP($C$1,$117:$127,11,FALSE)</f>
        <v>0.99467861895322707</v>
      </c>
    </row>
    <row r="22" spans="1:14" s="93" customFormat="1" x14ac:dyDescent="0.25">
      <c r="A22" s="140" t="s">
        <v>222</v>
      </c>
      <c r="B22" s="161">
        <f>(-1)*SUM(C133:F133)/SUM(C132:F132)</f>
        <v>0.23922566059064576</v>
      </c>
      <c r="C22" s="157"/>
      <c r="D22" s="166"/>
      <c r="E22" s="140"/>
      <c r="F22" s="159">
        <f>IF(B22&lt;=0,10,IF(B22&gt;=100%,0,(1-B22)*10))</f>
        <v>7.6077433940935428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1.0061389351093075</v>
      </c>
      <c r="J22" s="78"/>
      <c r="K22" s="142" t="s">
        <v>357</v>
      </c>
      <c r="L22" s="165">
        <f>HLOOKUP($C$1,$105:$115,4,FALSE)/HLOOKUP($C$1,$105:$115,11,FALSE)</f>
        <v>0.18292095748479725</v>
      </c>
      <c r="M22" s="123" t="s">
        <v>353</v>
      </c>
      <c r="N22" s="165">
        <f>HLOOKUP($C$1,$117:$127,4,FALSE)/HLOOKUP($C$1,$117:$127,11,FALSE)</f>
        <v>0.73496457934172243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2.4656080716922681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0.19994938978920945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0.99209247634006714</v>
      </c>
      <c r="C24" s="169">
        <f>STDEV(C103:F103)</f>
        <v>1.5815047319865716E-2</v>
      </c>
      <c r="D24" s="76" t="str">
        <f>IF(C24/B24&lt;15%,"高",IF(C24/B24&lt;30%,"中","低"))</f>
        <v>高</v>
      </c>
      <c r="E24" s="149"/>
      <c r="F24" s="160">
        <f>MIN(100%,B24)*5</f>
        <v>4.9604623817003359</v>
      </c>
      <c r="G24" s="88" t="s">
        <v>229</v>
      </c>
      <c r="H24" s="123" t="s">
        <v>16</v>
      </c>
      <c r="I24" s="170">
        <f>HLOOKUP(C1,167:170,2,FALSE)</f>
        <v>38.96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1.4694192232153172E-2</v>
      </c>
      <c r="M24" s="123" t="s">
        <v>355</v>
      </c>
      <c r="N24" s="165">
        <f>HLOOKUP($C$1,$117:$127,9,FALSE)/HLOOKUP($C$1,$117:$127,11,FALSE)</f>
        <v>5.321381046772938E-3</v>
      </c>
    </row>
    <row r="25" spans="1:14" s="93" customFormat="1" x14ac:dyDescent="0.25">
      <c r="A25" s="151" t="s">
        <v>366</v>
      </c>
      <c r="B25" s="255">
        <f>AVERAGE(94:94)</f>
        <v>21821.523809523809</v>
      </c>
      <c r="C25" s="254">
        <f>STDEV(94:94)/AVERAGE(94:94)</f>
        <v>1.0748367201242905</v>
      </c>
      <c r="D25" s="76" t="str">
        <f>IF(C25&lt;=1,"高",IF(C25&lt;=2,"中","低"))</f>
        <v>中</v>
      </c>
      <c r="E25" s="149"/>
      <c r="F25" s="160">
        <f>MAX(0,10-ABS(C25))</f>
        <v>8.9251632798757097</v>
      </c>
      <c r="G25" s="88" t="s">
        <v>213</v>
      </c>
      <c r="H25" s="123" t="s">
        <v>232</v>
      </c>
      <c r="I25" s="170">
        <f>IF(HLOOKUP(C1,167:170,3,FALSE)="無",0,HLOOKUP(C1,167:170,3,FALSE))</f>
        <v>48.91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46.265263157894736</v>
      </c>
      <c r="C26" s="172">
        <f>IF(COUNTIF(168:168,"&gt;0")=0,0,STDEV(168:168))</f>
        <v>9.1318541189138056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45.151052631578942</v>
      </c>
      <c r="C27" s="172">
        <f>IF(COUNTIF(169:169,"&gt;0")=0,0,STDEV(169:169))</f>
        <v>5.4477425444316303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0.28007499999999996</v>
      </c>
      <c r="C30" s="157" t="s">
        <v>217</v>
      </c>
      <c r="D30" s="174">
        <f>COUNTIF(146:146,"&gt;20")/COUNT(146:146)</f>
        <v>0.94736842105263153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9.4475000000000003E-2</v>
      </c>
      <c r="C31" s="157" t="s">
        <v>217</v>
      </c>
      <c r="D31" s="174">
        <f>COUNTIF(149:149,"&gt;8")/COUNT(149:149)</f>
        <v>0.73684210526315785</v>
      </c>
      <c r="E31" s="140" t="s">
        <v>241</v>
      </c>
      <c r="F31" s="159">
        <f>MIN(B31/10%*10,10)</f>
        <v>9.4474999999999998</v>
      </c>
      <c r="G31" s="175"/>
    </row>
    <row r="32" spans="1:14" x14ac:dyDescent="0.25">
      <c r="A32" s="155" t="s">
        <v>47</v>
      </c>
      <c r="B32" s="177">
        <f>AVERAGE(C165:F165)</f>
        <v>28.94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12.772500000000001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9.15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9.1491485613623027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6346418</v>
      </c>
      <c r="C36" s="178">
        <f>STDEV(C97:F97)</f>
        <v>1081018.4630529366</v>
      </c>
      <c r="D36" s="76" t="str">
        <f>IF(C36/B36&lt;15%,"高",IF(C36/B36&lt;30%,"中","低"))</f>
        <v>中</v>
      </c>
      <c r="E36" s="107">
        <f>IF(F97&gt;E97,1,0)+IF(E97&gt;D97,1,0)+IF(D97&gt;C97,1,0)</f>
        <v>2</v>
      </c>
      <c r="F36" s="179"/>
      <c r="G36" s="160">
        <f>IF(D36="高",6,IF(D36="中",4,2))+E36+1</f>
        <v>7</v>
      </c>
    </row>
    <row r="37" spans="1:14" x14ac:dyDescent="0.25">
      <c r="A37" s="164" t="s">
        <v>248</v>
      </c>
      <c r="B37" s="180">
        <f>AVERAGE(C152:F152)</f>
        <v>28.007499999999997</v>
      </c>
      <c r="C37" s="180">
        <f>STDEV(C152:F152)</f>
        <v>1.3098186897429733</v>
      </c>
      <c r="D37" s="76" t="str">
        <f>IF(C37/B37&lt;15%,"高",IF(C37/B37&lt;30%,"中","低"))</f>
        <v>高</v>
      </c>
      <c r="E37" s="107">
        <f>IF(F152&gt;E152,1,0)+IF(E152&gt;D152,1,0)+IF(D152&gt;C152,1,0)</f>
        <v>0</v>
      </c>
      <c r="F37" s="179"/>
      <c r="G37" s="160">
        <f>IF(D37="高",6,IF(D37="中",4,2))+E37+1</f>
        <v>7</v>
      </c>
    </row>
    <row r="38" spans="1:14" x14ac:dyDescent="0.25">
      <c r="A38" s="164" t="s">
        <v>249</v>
      </c>
      <c r="B38" s="180">
        <f>AVERAGE(C153:F153)</f>
        <v>9.83</v>
      </c>
      <c r="C38" s="180">
        <f>STDEV(C153:F153)</f>
        <v>1.0289152864384252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28.94</v>
      </c>
      <c r="C39" s="181">
        <f>STDEV(C165:F165)</f>
        <v>4.7989443283566642</v>
      </c>
      <c r="D39" s="76" t="str">
        <f>IF(C39/B39&lt;15%,"高",IF(C39/B39&lt;30%,"中","低"))</f>
        <v>中</v>
      </c>
      <c r="E39" s="107">
        <f>IF(F165&gt;E165,1,0)+IF(E165&gt;D165,1,0)+IF(D165&gt;C165,1,0)</f>
        <v>2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12.772500000000001</v>
      </c>
      <c r="C40" s="183">
        <f>STDEV(B69:E69)</f>
        <v>2.7625033936630667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0.14655172413793119</v>
      </c>
      <c r="C44" s="186">
        <f>(C46-C49)/C49</f>
        <v>-0.52795031055900621</v>
      </c>
      <c r="D44" s="186">
        <f>(D46-D49)/D49</f>
        <v>-0.3925233644859813</v>
      </c>
      <c r="E44" s="186">
        <f>(E46-E49)/E49</f>
        <v>-0.15277777777777785</v>
      </c>
      <c r="G44" s="86" t="s">
        <v>175</v>
      </c>
      <c r="H44" s="186">
        <f>(H47-H50)/H50</f>
        <v>-0.30037082818294186</v>
      </c>
      <c r="I44" s="186">
        <f>(I47-I50)/I50</f>
        <v>-0.5669125395152792</v>
      </c>
      <c r="J44" s="186">
        <f>(J47-J50)/J50</f>
        <v>-0.32364341085271314</v>
      </c>
      <c r="K44" s="186">
        <f>(K47-K50)/K50</f>
        <v>-0.19345794392523361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2.66</v>
      </c>
      <c r="C46" s="152">
        <f>HLOOKUP(C45,$81:$82,2,FALSE)</f>
        <v>1.52</v>
      </c>
      <c r="D46" s="152">
        <f>HLOOKUP(D45,$81:$82,2,FALSE)</f>
        <v>1.95</v>
      </c>
      <c r="E46" s="152">
        <f>HLOOKUP(E45,$81:$82,2,FALSE)</f>
        <v>3.05</v>
      </c>
      <c r="G46" s="86" t="s">
        <v>164</v>
      </c>
      <c r="H46" s="145">
        <f>HLOOKUP(H45,$145:$147,2,FALSE)/100</f>
        <v>0.19390000000000002</v>
      </c>
      <c r="I46" s="145">
        <f>HLOOKUP(I45,$145:$147,2,FALSE)/100</f>
        <v>0.20069999999999999</v>
      </c>
      <c r="J46" s="145">
        <f>HLOOKUP(J45,$145:$147,2,FALSE)/100</f>
        <v>0.23710000000000001</v>
      </c>
      <c r="K46" s="145">
        <f>HLOOKUP(K45,$145:$147,2,FALSE)/100</f>
        <v>0.2581</v>
      </c>
    </row>
    <row r="47" spans="1:14" x14ac:dyDescent="0.25">
      <c r="A47" s="188" t="s">
        <v>165</v>
      </c>
      <c r="B47" s="189">
        <f>HLOOKUP(B45,$157:$159,3,FALSE)</f>
        <v>5.68</v>
      </c>
      <c r="C47" s="189">
        <f>HLOOKUP(C45,$157:$159,3,FALSE)</f>
        <v>3.08</v>
      </c>
      <c r="D47" s="189">
        <f>HLOOKUP(D45,$157:$159,3,FALSE)</f>
        <v>3.95</v>
      </c>
      <c r="E47" s="189">
        <f>HLOOKUP(E45,$157:$159,3,FALSE)</f>
        <v>6.06</v>
      </c>
      <c r="G47" s="190" t="s">
        <v>166</v>
      </c>
      <c r="H47" s="145">
        <f>HLOOKUP(H45,$145:$147,3,FALSE)/100</f>
        <v>5.6600000000000004E-2</v>
      </c>
      <c r="I47" s="145">
        <f>HLOOKUP(I45,$145:$147,3,FALSE)/100</f>
        <v>4.1100000000000005E-2</v>
      </c>
      <c r="J47" s="145">
        <f>HLOOKUP(J45,$145:$147,3,FALSE)/100</f>
        <v>6.9800000000000001E-2</v>
      </c>
      <c r="K47" s="145">
        <f>HLOOKUP(K45,$145:$147,3,FALSE)/100</f>
        <v>8.6300000000000002E-2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2.3199999999999998</v>
      </c>
      <c r="C49" s="152">
        <f>HLOOKUP(C48,$81:$82,2,FALSE)</f>
        <v>3.22</v>
      </c>
      <c r="D49" s="152">
        <f>HLOOKUP(D48,$81:$82,2,FALSE)</f>
        <v>3.21</v>
      </c>
      <c r="E49" s="152">
        <f>HLOOKUP(E48,$81:$82,2,FALSE)</f>
        <v>3.6</v>
      </c>
      <c r="G49" s="86" t="s">
        <v>164</v>
      </c>
      <c r="H49" s="145">
        <f>HLOOKUP(H48,$145:$147,2,FALSE)/100</f>
        <v>0.26269999999999999</v>
      </c>
      <c r="I49" s="145">
        <f>HLOOKUP(I48,$145:$147,2,FALSE)/100</f>
        <v>0.26379999999999998</v>
      </c>
      <c r="J49" s="145">
        <f>HLOOKUP(J48,$145:$147,2,FALSE)/100</f>
        <v>0.28449999999999998</v>
      </c>
      <c r="K49" s="145">
        <f>HLOOKUP(K48,$145:$147,2,FALSE)/100</f>
        <v>0.30380000000000001</v>
      </c>
    </row>
    <row r="50" spans="1:15" x14ac:dyDescent="0.25">
      <c r="A50" s="188" t="s">
        <v>165</v>
      </c>
      <c r="B50" s="189">
        <f>HLOOKUP(B48,$157:$159,3,FALSE)</f>
        <v>4.97</v>
      </c>
      <c r="C50" s="189">
        <f>HLOOKUP(C48,$157:$159,3,FALSE)</f>
        <v>6.37</v>
      </c>
      <c r="D50" s="189">
        <f>HLOOKUP(D48,$157:$159,3,FALSE)</f>
        <v>5.96</v>
      </c>
      <c r="E50" s="189">
        <f>HLOOKUP(E48,$157:$159,3,FALSE)</f>
        <v>7.12</v>
      </c>
      <c r="G50" s="190" t="s">
        <v>166</v>
      </c>
      <c r="H50" s="145">
        <f>HLOOKUP(H48,$145:$147,3,FALSE)/100</f>
        <v>8.09E-2</v>
      </c>
      <c r="I50" s="145">
        <f>HLOOKUP(I48,$145:$147,3,FALSE)/100</f>
        <v>9.4899999999999998E-2</v>
      </c>
      <c r="J50" s="145">
        <f>HLOOKUP(J48,$145:$147,3,FALSE)/100</f>
        <v>0.1032</v>
      </c>
      <c r="K50" s="145">
        <f>HLOOKUP(K48,$145:$147,3,FALSE)/100</f>
        <v>0.107</v>
      </c>
    </row>
    <row r="51" spans="1:15" x14ac:dyDescent="0.25">
      <c r="A51" s="86" t="s">
        <v>351</v>
      </c>
      <c r="B51" s="186">
        <f>(B47-B50)/B50</f>
        <v>0.14285714285714285</v>
      </c>
      <c r="C51" s="186">
        <f>(C47-C50)/C50</f>
        <v>-0.51648351648351642</v>
      </c>
      <c r="D51" s="186">
        <f>(D47-D50)/D50</f>
        <v>-0.33724832214765099</v>
      </c>
      <c r="E51" s="186">
        <f>(E47-E50)/E50</f>
        <v>-0.14887640449438208</v>
      </c>
      <c r="G51" s="235" t="s">
        <v>174</v>
      </c>
      <c r="H51" s="186">
        <f>(H46-H49)/H49</f>
        <v>-0.26189569851541672</v>
      </c>
      <c r="I51" s="186">
        <f>(I46-I49)/I49</f>
        <v>-0.23919636087945412</v>
      </c>
      <c r="J51" s="186">
        <f>(J46-J49)/J49</f>
        <v>-0.16660808435852364</v>
      </c>
      <c r="K51" s="186">
        <f>(K46-K49)/K49</f>
        <v>-0.1504279131007242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12.132071733172676</v>
      </c>
      <c r="B53" s="193">
        <f>B46</f>
        <v>2.66</v>
      </c>
      <c r="C53" s="193">
        <f>E46/HLOOKUP(E45,$87:$94,5,FALSE)*HLOOKUP(E45,$87:$94,4,FALSE)*($B$25/HLOOKUP(E45,$87:$94,4,FALSE)+SUM($B$57:$D$57)/SUM($B58:$D$58)*$G$69/100/K46)</f>
        <v>3.6796259399020776</v>
      </c>
      <c r="D53" s="193">
        <f>D46/HLOOKUP(D45,$87:$94,5,FALSE)*HLOOKUP(D45,$87:$94,4,FALSE)*($B$25/HLOOKUP(D45,$87:$94,4,FALSE)+SUM($B$57:$D$57)/SUM($B58:$D$58)*$G$69/100/J46)</f>
        <v>3.2229190632044942</v>
      </c>
      <c r="E53" s="193">
        <f>C46/HLOOKUP(C45,$87:$94,5,FALSE)*HLOOKUP(C45,$87:$94,4,FALSE)*($B$25/HLOOKUP(C45,$87:$94,4,FALSE)+SUM($B$57:$D$57)/SUM($B58:$D$58)*$G$69/100/I46)</f>
        <v>2.5695267300661042</v>
      </c>
    </row>
    <row r="54" spans="1:15" x14ac:dyDescent="0.25">
      <c r="A54" s="278">
        <f>SUM(B54:E54)</f>
        <v>8.84</v>
      </c>
      <c r="B54" s="277">
        <f t="shared" ref="B54:D54" si="0">HLOOKUP(B52-10,81:82,2,FALSE)</f>
        <v>2.3199999999999998</v>
      </c>
      <c r="C54" s="277">
        <f t="shared" si="0"/>
        <v>3.05</v>
      </c>
      <c r="D54" s="277">
        <f t="shared" si="0"/>
        <v>1.95</v>
      </c>
      <c r="E54" s="277">
        <f>HLOOKUP(E52-10,81:82,2,FALSE)</f>
        <v>1.52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918102</v>
      </c>
      <c r="C57" s="196">
        <f>HLOOKUP(C56,78:79,2,FALSE)</f>
        <v>830836</v>
      </c>
      <c r="D57" s="196">
        <f>HLOOKUP(D56,78:79,2,FALSE)</f>
        <v>832567</v>
      </c>
      <c r="E57" s="196">
        <f>HLOOKUP(E56,78:79,2,FALSE)</f>
        <v>652864</v>
      </c>
      <c r="F57" s="196">
        <f>HLOOKUP(F56,78:79,2,FALSE)</f>
        <v>683618</v>
      </c>
      <c r="G57" s="196">
        <f t="shared" ref="G57:M57" si="2">HLOOKUP(G56,78:79,2,FALSE)</f>
        <v>595857</v>
      </c>
      <c r="H57" s="196">
        <f t="shared" si="2"/>
        <v>529945</v>
      </c>
      <c r="I57" s="196">
        <f t="shared" si="2"/>
        <v>588582</v>
      </c>
      <c r="J57" s="196">
        <f t="shared" si="2"/>
        <v>530603</v>
      </c>
      <c r="K57" s="196">
        <f t="shared" si="2"/>
        <v>615551</v>
      </c>
      <c r="L57" s="196">
        <f t="shared" si="2"/>
        <v>637372</v>
      </c>
      <c r="M57" s="196">
        <f t="shared" si="2"/>
        <v>547294</v>
      </c>
      <c r="N57" s="197"/>
    </row>
    <row r="58" spans="1:15" x14ac:dyDescent="0.25">
      <c r="A58" s="198" t="s">
        <v>253</v>
      </c>
      <c r="B58" s="196">
        <f>HLOOKUP(B56-100,78:79,2,FALSE)</f>
        <v>467318</v>
      </c>
      <c r="C58" s="196">
        <f>HLOOKUP(C56-100,78:79,2,FALSE)</f>
        <v>488603</v>
      </c>
      <c r="D58" s="196">
        <f>HLOOKUP(D56-100,78:79,2,FALSE)</f>
        <v>528522</v>
      </c>
      <c r="E58" s="196">
        <f>HLOOKUP(E56-100,78:79,2,FALSE)</f>
        <v>506925</v>
      </c>
      <c r="F58" s="196">
        <f>HLOOKUP(F56-100,78:79,2,FALSE)</f>
        <v>607362</v>
      </c>
      <c r="G58" s="196">
        <f t="shared" ref="G58:M58" si="3">HLOOKUP(G56-100,78:79,2,FALSE)</f>
        <v>625188</v>
      </c>
      <c r="H58" s="196">
        <f t="shared" si="3"/>
        <v>538973</v>
      </c>
      <c r="I58" s="196">
        <f t="shared" si="3"/>
        <v>660320</v>
      </c>
      <c r="J58" s="196">
        <f t="shared" si="3"/>
        <v>524285</v>
      </c>
      <c r="K58" s="196">
        <f t="shared" si="3"/>
        <v>504385</v>
      </c>
      <c r="L58" s="196">
        <f t="shared" si="3"/>
        <v>533618</v>
      </c>
      <c r="M58" s="196">
        <f t="shared" si="3"/>
        <v>611804</v>
      </c>
      <c r="N58" s="197"/>
    </row>
    <row r="59" spans="1:15" x14ac:dyDescent="0.25">
      <c r="A59" s="199" t="s">
        <v>254</v>
      </c>
      <c r="B59" s="165">
        <f>IF(B57&lt;&gt;"",(B57-B58)/B58,"")</f>
        <v>0.96461938123504765</v>
      </c>
      <c r="C59" s="165">
        <f>IF(C57&lt;&gt;"",(C57-C58)/C58,"")</f>
        <v>0.70043163877421954</v>
      </c>
      <c r="D59" s="165">
        <f>IF(D57&lt;&gt;"",(D57-D58)/D58,"")</f>
        <v>0.575274066169431</v>
      </c>
      <c r="E59" s="165">
        <f>IF(E57&lt;&gt;"",(E57-E58)/E58,"")</f>
        <v>0.28789071361641266</v>
      </c>
      <c r="F59" s="165">
        <f>IF(F57&lt;&gt;"",(F57-F58)/F58,"")</f>
        <v>0.12555280047154746</v>
      </c>
      <c r="G59" s="165">
        <f t="shared" ref="G59:M59" si="4">IF(G57&lt;&gt;"",(G57-G58)/G58,"")</f>
        <v>-4.6915487821263362E-2</v>
      </c>
      <c r="H59" s="165">
        <f t="shared" si="4"/>
        <v>-1.6750375250708292E-2</v>
      </c>
      <c r="I59" s="165">
        <f t="shared" si="4"/>
        <v>-0.10864126484128907</v>
      </c>
      <c r="J59" s="165">
        <f t="shared" si="4"/>
        <v>1.2050697616754246E-2</v>
      </c>
      <c r="K59" s="165">
        <f t="shared" si="4"/>
        <v>0.22039909989393022</v>
      </c>
      <c r="L59" s="165">
        <f t="shared" si="4"/>
        <v>0.19443497033458393</v>
      </c>
      <c r="M59" s="165">
        <f t="shared" si="4"/>
        <v>-0.10544226582369517</v>
      </c>
    </row>
    <row r="60" spans="1:15" x14ac:dyDescent="0.25">
      <c r="A60" s="195" t="s">
        <v>255</v>
      </c>
      <c r="B60" s="196">
        <f>SUM(B57:M57)</f>
        <v>7963191</v>
      </c>
    </row>
    <row r="61" spans="1:15" x14ac:dyDescent="0.25">
      <c r="A61" s="198" t="s">
        <v>256</v>
      </c>
      <c r="B61" s="196">
        <f>SUM(B58:M58)</f>
        <v>6597303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1.2070373302544994</v>
      </c>
      <c r="D62" s="152">
        <f>SUM(B46:E46)</f>
        <v>9.18</v>
      </c>
      <c r="E62" s="152">
        <f>SUM(B49:E49)</f>
        <v>12.35</v>
      </c>
      <c r="G62" s="126">
        <f>SUM(B47:E47)</f>
        <v>18.77</v>
      </c>
      <c r="H62" s="126">
        <f>SUM(B50:E50)</f>
        <v>24.42</v>
      </c>
      <c r="J62" s="200">
        <f>AVERAGE(H46:K46)</f>
        <v>0.22245000000000001</v>
      </c>
      <c r="K62" s="200">
        <f>AVERAGE(H49:K49)</f>
        <v>0.2787</v>
      </c>
      <c r="M62" s="200">
        <f>AVERAGE(H47:K47)</f>
        <v>6.3450000000000006E-2</v>
      </c>
      <c r="N62" s="200">
        <f>AVERAGE(H50:K50)</f>
        <v>9.6500000000000002E-2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1.79</v>
      </c>
      <c r="C65" s="205">
        <f t="shared" si="5"/>
        <v>2.56</v>
      </c>
      <c r="D65" s="205">
        <f t="shared" si="5"/>
        <v>3.85</v>
      </c>
      <c r="E65" s="205">
        <f t="shared" si="5"/>
        <v>3.21</v>
      </c>
      <c r="F65" s="206">
        <f>IF(ISNA(HLOOKUP(F$64*10+$A65,$81:$82,2,FALSE)),(HLOOKUP(E$64*10+$A65,$87:$94,4,FALSE)*$G65+$B$25)/HLOOKUP(E$64*10+$A65,$87:$94,5,FALSE)*$E65,HLOOKUP(F$64*10+$A65,$81:$82,2,FALSE))</f>
        <v>1.95</v>
      </c>
      <c r="G65" s="101">
        <f>MIN(130%,SUM($B$57:$D$57)/SUM($B$58:$D$58)*$G$69/HLOOKUP(E$64*10+$A65,$145:$146,2,FALSE))</f>
        <v>1.2276323617701685</v>
      </c>
      <c r="H65" s="204">
        <v>1</v>
      </c>
      <c r="I65" s="208">
        <f t="shared" ref="I65:M68" si="6">IF(ISNA(HLOOKUP(I$64*10+$H65,$145:$147,3,FALSE)),"",HLOOKUP(I$64*10+$H65,$145:$147,3,FALSE)/100)</f>
        <v>6.3600000000000004E-2</v>
      </c>
      <c r="J65" s="208">
        <f t="shared" si="6"/>
        <v>9.98E-2</v>
      </c>
      <c r="K65" s="208">
        <f t="shared" si="6"/>
        <v>0.1074</v>
      </c>
      <c r="L65" s="208">
        <f t="shared" si="6"/>
        <v>0.1032</v>
      </c>
      <c r="M65" s="209">
        <f t="shared" si="6"/>
        <v>6.9800000000000001E-2</v>
      </c>
      <c r="N65" s="256">
        <f t="shared" ref="N65:O68" si="7">HLOOKUP(E$64*10+$A65,$87:$94,8,FALSE)</f>
        <v>-2700</v>
      </c>
      <c r="O65" s="256">
        <f t="shared" si="7"/>
        <v>41</v>
      </c>
      <c r="P65" s="210"/>
    </row>
    <row r="66" spans="1:71" x14ac:dyDescent="0.25">
      <c r="A66" s="204">
        <v>2</v>
      </c>
      <c r="B66" s="205">
        <f t="shared" si="5"/>
        <v>2.56</v>
      </c>
      <c r="C66" s="205">
        <f t="shared" si="5"/>
        <v>3.34</v>
      </c>
      <c r="D66" s="205">
        <f t="shared" si="5"/>
        <v>4</v>
      </c>
      <c r="E66" s="205">
        <f t="shared" si="5"/>
        <v>3.22</v>
      </c>
      <c r="F66" s="206">
        <f>IF(ISNA(HLOOKUP(F$64*10+$A66,$81:$82,2,FALSE)),(HLOOKUP(E$64*10+$A66,$87:$94,4,FALSE)*$G66+$B$25)/HLOOKUP(E$64*10+$A66,$87:$94,5,FALSE)*$E66,HLOOKUP(F$64*10+$A66,$81:$82,2,FALSE))</f>
        <v>1.52</v>
      </c>
      <c r="G66" s="101">
        <f>MIN(130%,SUM($B$57:$D$57)/SUM($B$58:$D$58)*$G$69/HLOOKUP(E$64*10+$A66,$145:$146,2,FALSE))</f>
        <v>1.3</v>
      </c>
      <c r="H66" s="204">
        <v>2</v>
      </c>
      <c r="I66" s="208">
        <f t="shared" si="6"/>
        <v>9.7500000000000003E-2</v>
      </c>
      <c r="J66" s="208">
        <f t="shared" si="6"/>
        <v>0.11840000000000001</v>
      </c>
      <c r="K66" s="208">
        <f t="shared" si="6"/>
        <v>9.6699999999999994E-2</v>
      </c>
      <c r="L66" s="208">
        <f t="shared" si="6"/>
        <v>9.4899999999999998E-2</v>
      </c>
      <c r="M66" s="209">
        <f t="shared" si="6"/>
        <v>4.1100000000000005E-2</v>
      </c>
      <c r="N66" s="256">
        <f t="shared" si="7"/>
        <v>24704</v>
      </c>
      <c r="O66" s="256">
        <f t="shared" si="7"/>
        <v>15097</v>
      </c>
      <c r="P66" s="210"/>
    </row>
    <row r="67" spans="1:71" x14ac:dyDescent="0.25">
      <c r="A67" s="204">
        <v>3</v>
      </c>
      <c r="B67" s="205">
        <f t="shared" si="5"/>
        <v>2.93</v>
      </c>
      <c r="C67" s="205">
        <f t="shared" si="5"/>
        <v>3.25</v>
      </c>
      <c r="D67" s="205">
        <f t="shared" si="5"/>
        <v>5.14</v>
      </c>
      <c r="E67" s="205">
        <f t="shared" si="5"/>
        <v>2.3199999999999998</v>
      </c>
      <c r="F67" s="206">
        <f>IF(ISNA(HLOOKUP(F$64*10+$A67,$81:$82,2,FALSE)),(HLOOKUP(E$64*10+$A67,$87:$94,4,FALSE)*$G67+$B$25)/HLOOKUP(E$64*10+$A67,$87:$94,5,FALSE)*$E67,HLOOKUP(F$64*10+$A67,$81:$82,2,FALSE))</f>
        <v>2.66</v>
      </c>
      <c r="G67" s="101">
        <f>MIN(130%,SUM($B$57:$D$57)/SUM($B$58:$D$58)*$G$69/HLOOKUP(E$64*10+$A67,$145:$146,2,FALSE))</f>
        <v>1.3</v>
      </c>
      <c r="H67" s="204">
        <v>3</v>
      </c>
      <c r="I67" s="208">
        <f t="shared" si="6"/>
        <v>9.4800000000000009E-2</v>
      </c>
      <c r="J67" s="208">
        <f t="shared" si="6"/>
        <v>0.1104</v>
      </c>
      <c r="K67" s="208">
        <f t="shared" si="6"/>
        <v>0.10150000000000001</v>
      </c>
      <c r="L67" s="208">
        <f t="shared" si="6"/>
        <v>8.09E-2</v>
      </c>
      <c r="M67" s="209">
        <f t="shared" si="6"/>
        <v>5.6600000000000004E-2</v>
      </c>
      <c r="N67" s="256">
        <f t="shared" si="7"/>
        <v>6775</v>
      </c>
      <c r="O67" s="256">
        <f t="shared" si="7"/>
        <v>27699</v>
      </c>
      <c r="P67" s="210"/>
    </row>
    <row r="68" spans="1:71" x14ac:dyDescent="0.25">
      <c r="A68" s="204">
        <v>4</v>
      </c>
      <c r="B68" s="205">
        <f>HLOOKUP(B$64*10+$A68,$81:$82,2,FALSE)</f>
        <v>2.78</v>
      </c>
      <c r="C68" s="205">
        <f>HLOOKUP(C$64*10+$A68,$81:$82,2,FALSE)</f>
        <v>3.49</v>
      </c>
      <c r="D68" s="205">
        <f>HLOOKUP(D$64*10+$A68,$81:$82,2,FALSE)</f>
        <v>3.6</v>
      </c>
      <c r="E68" s="206">
        <f>IF(ISNA(HLOOKUP(E$64*10+$A68,$81:$82,2,FALSE)),D68*(1-$N68)*#REF!*(1+$B$25)/(1+$E$4),HLOOKUP(E$64*10+$A68,$81:$82,2,FALSE))</f>
        <v>3.05</v>
      </c>
      <c r="F68" s="206">
        <f>IF(ISNA(HLOOKUP(F$64*10+$A68,$81:$82,2,FALSE)),(HLOOKUP(E$64*10+$A68,$87:$94,4,FALSE)*$G68+$B$25)/HLOOKUP(E$64*10+$A68,$87:$94,5,FALSE)*$E68,HLOOKUP(F$64*10+$A68,$81:$82,2,FALSE))</f>
        <v>3.5496556732325053</v>
      </c>
      <c r="G68" s="101">
        <f>MIN(130%,SUM($B$57:$D$57)/SUM($B$58:$D$58)*$G$69/HLOOKUP(E$64*10+$A68,$145:$146,2,FALSE))</f>
        <v>1.3</v>
      </c>
      <c r="H68" s="204">
        <v>4</v>
      </c>
      <c r="I68" s="208">
        <f t="shared" si="6"/>
        <v>9.0899999999999995E-2</v>
      </c>
      <c r="J68" s="208">
        <f t="shared" si="6"/>
        <v>0.1118</v>
      </c>
      <c r="K68" s="208">
        <f t="shared" si="6"/>
        <v>0.107</v>
      </c>
      <c r="L68" s="208">
        <f t="shared" si="6"/>
        <v>8.6300000000000002E-2</v>
      </c>
      <c r="M68" s="209" t="str">
        <f t="shared" si="6"/>
        <v/>
      </c>
      <c r="N68" s="256">
        <f t="shared" si="7"/>
        <v>35437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10.059999999999999</v>
      </c>
      <c r="C69" s="213">
        <f>SUM(C65:C68)</f>
        <v>12.64</v>
      </c>
      <c r="D69" s="213">
        <f>SUM(D65:D68)</f>
        <v>16.59</v>
      </c>
      <c r="E69" s="213">
        <f>SUM(E65:E68)</f>
        <v>11.8</v>
      </c>
      <c r="F69" s="213">
        <f>SUM(F65:F68)</f>
        <v>9.6796556732325048</v>
      </c>
      <c r="G69" s="257">
        <f>_xlfn.FORECAST.ETS(23,B146:W146,{1,2,3,4,5,6,7,8,9,10,11,12,13,14,15,16,17,18,19,20,21,22})</f>
        <v>20.083581115586018</v>
      </c>
      <c r="H69" s="214" t="s">
        <v>19</v>
      </c>
      <c r="I69" s="215">
        <f>HLOOKUP(I64,151:155,3,FALSE)/100</f>
        <v>8.8100000000000012E-2</v>
      </c>
      <c r="J69" s="215">
        <f>HLOOKUP(J64,151:155,3,FALSE)/100</f>
        <v>0.1105</v>
      </c>
      <c r="K69" s="215">
        <f>HLOOKUP(K64,151:155,3,FALSE)/100</f>
        <v>0.10289999999999999</v>
      </c>
      <c r="L69" s="215">
        <f>IF(ISNA(HLOOKUP(L64,151:155,3,FALSE)/100),AVERAGE(L65:L68),HLOOKUP(L64,151:155,3,FALSE)/100)</f>
        <v>9.1700000000000004E-2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6.96</v>
      </c>
      <c r="C72" s="205">
        <f t="shared" si="8"/>
        <v>6.39</v>
      </c>
      <c r="D72" s="205">
        <f t="shared" si="8"/>
        <v>8.17</v>
      </c>
      <c r="E72" s="205">
        <f t="shared" si="8"/>
        <v>5.96</v>
      </c>
      <c r="F72" s="205">
        <f t="shared" si="8"/>
        <v>3.95</v>
      </c>
    </row>
    <row r="73" spans="1:71" s="135" customFormat="1" x14ac:dyDescent="0.25">
      <c r="A73" s="204">
        <v>2</v>
      </c>
      <c r="B73" s="205">
        <f t="shared" si="8"/>
        <v>9.92</v>
      </c>
      <c r="C73" s="205">
        <f t="shared" si="8"/>
        <v>8.39</v>
      </c>
      <c r="D73" s="205">
        <f t="shared" si="8"/>
        <v>8.68</v>
      </c>
      <c r="E73" s="205">
        <f t="shared" si="8"/>
        <v>6.37</v>
      </c>
      <c r="F73" s="205">
        <f t="shared" si="8"/>
        <v>3.08</v>
      </c>
    </row>
    <row r="74" spans="1:71" s="135" customFormat="1" x14ac:dyDescent="0.25">
      <c r="A74" s="204">
        <v>3</v>
      </c>
      <c r="B74" s="205">
        <f t="shared" si="8"/>
        <v>11.02</v>
      </c>
      <c r="C74" s="205">
        <f t="shared" si="8"/>
        <v>8.1199999999999992</v>
      </c>
      <c r="D74" s="205">
        <f t="shared" si="8"/>
        <v>11.16</v>
      </c>
      <c r="E74" s="205">
        <f t="shared" si="8"/>
        <v>4.97</v>
      </c>
      <c r="F74" s="205">
        <f t="shared" si="8"/>
        <v>5.68</v>
      </c>
    </row>
    <row r="75" spans="1:71" s="135" customFormat="1" x14ac:dyDescent="0.25">
      <c r="A75" s="204">
        <v>4</v>
      </c>
      <c r="B75" s="205">
        <f t="shared" si="8"/>
        <v>7.7</v>
      </c>
      <c r="C75" s="205">
        <f t="shared" si="8"/>
        <v>7.99</v>
      </c>
      <c r="D75" s="205">
        <f t="shared" si="8"/>
        <v>7.12</v>
      </c>
      <c r="E75" s="205">
        <f t="shared" si="8"/>
        <v>6.06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35.6</v>
      </c>
      <c r="C76" s="213">
        <f>SUM(C72:C75)</f>
        <v>30.89</v>
      </c>
      <c r="D76" s="213">
        <f>SUM(D72:D75)</f>
        <v>35.130000000000003</v>
      </c>
      <c r="E76" s="213">
        <f>AVERAGE(E72:E75)*4</f>
        <v>23.36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301334</v>
      </c>
      <c r="C79" s="270">
        <v>331479</v>
      </c>
      <c r="D79" s="270">
        <v>375344</v>
      </c>
      <c r="E79" s="270">
        <v>351464</v>
      </c>
      <c r="F79" s="270">
        <v>426156</v>
      </c>
      <c r="G79" s="270">
        <v>398532</v>
      </c>
      <c r="H79" s="270">
        <v>440587</v>
      </c>
      <c r="I79" s="270">
        <v>532869</v>
      </c>
      <c r="J79" s="270">
        <v>340642</v>
      </c>
      <c r="K79" s="270">
        <v>355151</v>
      </c>
      <c r="L79" s="270">
        <v>357849</v>
      </c>
      <c r="M79" s="270">
        <v>325268</v>
      </c>
      <c r="N79" s="270">
        <v>330419</v>
      </c>
      <c r="O79" s="270">
        <v>306252</v>
      </c>
      <c r="P79" s="270">
        <v>360916</v>
      </c>
      <c r="Q79" s="270">
        <v>390208</v>
      </c>
      <c r="R79" s="270">
        <v>342004</v>
      </c>
      <c r="S79" s="270">
        <v>470397</v>
      </c>
      <c r="T79" s="270">
        <v>452804</v>
      </c>
      <c r="U79" s="270">
        <v>492545</v>
      </c>
      <c r="V79" s="270">
        <v>454912</v>
      </c>
      <c r="W79" s="270">
        <v>539082</v>
      </c>
      <c r="X79" s="270">
        <v>460651</v>
      </c>
      <c r="Y79" s="270">
        <v>375134</v>
      </c>
      <c r="Z79" s="270">
        <v>414242</v>
      </c>
      <c r="AA79" s="270">
        <v>445493</v>
      </c>
      <c r="AB79" s="270">
        <v>481599</v>
      </c>
      <c r="AC79" s="270">
        <v>459529</v>
      </c>
      <c r="AD79" s="270">
        <v>507065</v>
      </c>
      <c r="AE79" s="270">
        <v>569824</v>
      </c>
      <c r="AF79" s="270">
        <v>534490</v>
      </c>
      <c r="AG79" s="270">
        <v>549493</v>
      </c>
      <c r="AH79" s="270">
        <v>548543</v>
      </c>
      <c r="AI79" s="270">
        <v>520222</v>
      </c>
      <c r="AJ79" s="270">
        <v>562143</v>
      </c>
      <c r="AK79" s="270">
        <v>591158</v>
      </c>
      <c r="AL79" s="270">
        <v>541345</v>
      </c>
      <c r="AM79" s="270">
        <v>534002</v>
      </c>
      <c r="AN79" s="270">
        <v>663684</v>
      </c>
      <c r="AO79" s="270">
        <v>598839</v>
      </c>
      <c r="AP79" s="270">
        <v>683957</v>
      </c>
      <c r="AQ79" s="270">
        <v>666415</v>
      </c>
      <c r="AR79" s="270">
        <v>712383</v>
      </c>
      <c r="AS79" s="270">
        <v>703948</v>
      </c>
      <c r="AT79" s="270">
        <v>702221</v>
      </c>
      <c r="AU79" s="270">
        <v>631801</v>
      </c>
      <c r="AV79" s="270">
        <v>611804</v>
      </c>
      <c r="AW79" s="270">
        <v>533618</v>
      </c>
      <c r="AX79" s="270">
        <v>504385</v>
      </c>
      <c r="AY79" s="270">
        <v>524285</v>
      </c>
      <c r="AZ79" s="270">
        <v>660320</v>
      </c>
      <c r="BA79" s="270">
        <v>538973</v>
      </c>
      <c r="BB79" s="270">
        <v>625188</v>
      </c>
      <c r="BC79" s="270">
        <v>607362</v>
      </c>
      <c r="BD79" s="270">
        <v>506925</v>
      </c>
      <c r="BE79" s="270">
        <v>528522</v>
      </c>
      <c r="BF79" s="270">
        <v>488603</v>
      </c>
      <c r="BG79" s="270">
        <v>467318</v>
      </c>
      <c r="BH79" s="270">
        <v>547294</v>
      </c>
      <c r="BI79" s="270">
        <v>637372</v>
      </c>
      <c r="BJ79" s="270">
        <v>615551</v>
      </c>
      <c r="BK79" s="270">
        <v>530603</v>
      </c>
      <c r="BL79" s="270">
        <v>588582</v>
      </c>
      <c r="BM79" s="270">
        <v>529945</v>
      </c>
      <c r="BN79" s="270">
        <v>595857</v>
      </c>
      <c r="BO79" s="270">
        <v>683618</v>
      </c>
      <c r="BP79" s="270">
        <v>652864</v>
      </c>
      <c r="BQ79" s="270">
        <v>832567</v>
      </c>
      <c r="BR79" s="270">
        <v>830836</v>
      </c>
      <c r="BS79" s="270">
        <v>918102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 t="s">
        <v>43</v>
      </c>
      <c r="C82" s="72" t="s">
        <v>43</v>
      </c>
      <c r="D82" s="72" t="s">
        <v>43</v>
      </c>
      <c r="E82" s="72">
        <v>1.51</v>
      </c>
      <c r="F82" s="72">
        <v>1.79</v>
      </c>
      <c r="G82" s="72">
        <v>2.56</v>
      </c>
      <c r="H82" s="72">
        <v>2.93</v>
      </c>
      <c r="I82" s="72">
        <v>2.78</v>
      </c>
      <c r="J82" s="72">
        <v>2.56</v>
      </c>
      <c r="K82" s="72">
        <v>3.34</v>
      </c>
      <c r="L82" s="72">
        <v>3.25</v>
      </c>
      <c r="M82" s="72">
        <v>3.49</v>
      </c>
      <c r="N82" s="72">
        <v>3.85</v>
      </c>
      <c r="O82" s="72">
        <v>4</v>
      </c>
      <c r="P82" s="72">
        <v>5.14</v>
      </c>
      <c r="Q82" s="72">
        <v>3.6</v>
      </c>
      <c r="R82" s="72">
        <v>3.21</v>
      </c>
      <c r="S82" s="72">
        <v>3.22</v>
      </c>
      <c r="T82" s="72">
        <v>2.3199999999999998</v>
      </c>
      <c r="U82" s="72">
        <v>3.05</v>
      </c>
      <c r="V82" s="72">
        <v>1.95</v>
      </c>
      <c r="W82" s="72">
        <v>1.52</v>
      </c>
      <c r="X82" s="72">
        <v>2.66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 t="s">
        <v>43</v>
      </c>
      <c r="C85" s="72">
        <v>21.46</v>
      </c>
      <c r="D85" s="72" t="s">
        <v>43</v>
      </c>
      <c r="E85" s="72">
        <v>24.76</v>
      </c>
      <c r="F85" s="72">
        <v>26.54</v>
      </c>
      <c r="G85" s="72">
        <v>25.03</v>
      </c>
      <c r="H85" s="72">
        <v>27.85</v>
      </c>
      <c r="I85" s="72">
        <v>38.76</v>
      </c>
      <c r="J85" s="72">
        <v>41.26</v>
      </c>
      <c r="K85" s="72">
        <v>38.369999999999997</v>
      </c>
      <c r="L85" s="72">
        <v>41.63</v>
      </c>
      <c r="M85" s="72">
        <v>45.29</v>
      </c>
      <c r="N85" s="72">
        <v>48.92</v>
      </c>
      <c r="O85" s="72">
        <v>43.34</v>
      </c>
      <c r="P85" s="72">
        <v>48.73</v>
      </c>
      <c r="Q85" s="72">
        <v>52.28</v>
      </c>
      <c r="R85" s="72">
        <v>55.41</v>
      </c>
      <c r="S85" s="72">
        <v>45.65</v>
      </c>
      <c r="T85" s="72">
        <v>47.87</v>
      </c>
      <c r="U85" s="72">
        <v>50.6</v>
      </c>
      <c r="V85" s="72">
        <v>52.41</v>
      </c>
      <c r="W85" s="72">
        <v>45.94</v>
      </c>
      <c r="X85" s="72">
        <v>48.59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68"/>
      <c r="C88" s="68"/>
      <c r="D88" s="273">
        <v>1409310</v>
      </c>
      <c r="E88" s="273">
        <v>1136880</v>
      </c>
      <c r="F88" s="273">
        <v>995071</v>
      </c>
      <c r="G88" s="273">
        <v>1209919</v>
      </c>
      <c r="H88" s="273">
        <v>1398997</v>
      </c>
      <c r="I88" s="273">
        <v>1377319</v>
      </c>
      <c r="J88" s="273">
        <v>1341334</v>
      </c>
      <c r="K88" s="273">
        <v>1536419</v>
      </c>
      <c r="L88" s="273">
        <v>1632526</v>
      </c>
      <c r="M88" s="273">
        <v>1673523</v>
      </c>
      <c r="N88" s="273">
        <v>1739031</v>
      </c>
      <c r="O88" s="273">
        <v>1949212</v>
      </c>
      <c r="P88" s="273">
        <v>2118552</v>
      </c>
      <c r="Q88" s="273">
        <v>1777223</v>
      </c>
      <c r="R88" s="273">
        <v>1688990</v>
      </c>
      <c r="S88" s="273">
        <v>1771523</v>
      </c>
      <c r="T88" s="273">
        <v>1524050</v>
      </c>
      <c r="U88" s="273">
        <v>1651983</v>
      </c>
      <c r="V88" s="273">
        <v>1734736</v>
      </c>
      <c r="W88" s="273">
        <v>1809420</v>
      </c>
      <c r="X88" s="273">
        <v>2316267</v>
      </c>
    </row>
    <row r="89" spans="1:25" ht="14.25" thickBot="1" x14ac:dyDescent="0.3">
      <c r="A89" s="250" t="s">
        <v>4</v>
      </c>
      <c r="B89" s="274"/>
      <c r="C89" s="274"/>
      <c r="D89" s="275">
        <v>364657</v>
      </c>
      <c r="E89" s="275">
        <v>306975</v>
      </c>
      <c r="F89" s="275">
        <v>263396</v>
      </c>
      <c r="G89" s="275">
        <v>357980</v>
      </c>
      <c r="H89" s="275">
        <v>413935</v>
      </c>
      <c r="I89" s="275">
        <v>424951</v>
      </c>
      <c r="J89" s="275">
        <v>387352</v>
      </c>
      <c r="K89" s="275">
        <v>435856</v>
      </c>
      <c r="L89" s="275">
        <v>489299</v>
      </c>
      <c r="M89" s="275">
        <v>477475</v>
      </c>
      <c r="N89" s="275">
        <v>469119</v>
      </c>
      <c r="O89" s="275">
        <v>472249</v>
      </c>
      <c r="P89" s="275">
        <v>568617</v>
      </c>
      <c r="Q89" s="275">
        <v>539839</v>
      </c>
      <c r="R89" s="275">
        <v>480572</v>
      </c>
      <c r="S89" s="275">
        <v>467382</v>
      </c>
      <c r="T89" s="275">
        <v>400402</v>
      </c>
      <c r="U89" s="275">
        <v>426413</v>
      </c>
      <c r="V89" s="275">
        <v>411384</v>
      </c>
      <c r="W89" s="275">
        <v>363169</v>
      </c>
      <c r="X89" s="275">
        <v>449024</v>
      </c>
    </row>
    <row r="90" spans="1:25" ht="14.25" thickBot="1" x14ac:dyDescent="0.3">
      <c r="A90" s="251" t="s">
        <v>5</v>
      </c>
      <c r="B90" s="68"/>
      <c r="C90" s="68"/>
      <c r="D90" s="68"/>
      <c r="E90" s="273">
        <v>74514</v>
      </c>
      <c r="F90" s="273">
        <v>63290</v>
      </c>
      <c r="G90" s="273">
        <v>117921</v>
      </c>
      <c r="H90" s="273">
        <v>132654</v>
      </c>
      <c r="I90" s="273">
        <v>125164</v>
      </c>
      <c r="J90" s="273">
        <v>133859</v>
      </c>
      <c r="K90" s="273">
        <v>181978</v>
      </c>
      <c r="L90" s="273">
        <v>180243</v>
      </c>
      <c r="M90" s="273">
        <v>187060</v>
      </c>
      <c r="N90" s="273">
        <v>186690</v>
      </c>
      <c r="O90" s="273">
        <v>188451</v>
      </c>
      <c r="P90" s="273">
        <v>215016</v>
      </c>
      <c r="Q90" s="273">
        <v>190100</v>
      </c>
      <c r="R90" s="273">
        <v>174380</v>
      </c>
      <c r="S90" s="273">
        <v>168032</v>
      </c>
      <c r="T90" s="273">
        <v>123287</v>
      </c>
      <c r="U90" s="273">
        <v>142613</v>
      </c>
      <c r="V90" s="273">
        <v>121040</v>
      </c>
      <c r="W90" s="273">
        <v>74382</v>
      </c>
      <c r="X90" s="273">
        <v>131104</v>
      </c>
    </row>
    <row r="91" spans="1:25" ht="14.25" thickBot="1" x14ac:dyDescent="0.3">
      <c r="A91" s="250" t="s">
        <v>6</v>
      </c>
      <c r="B91" s="274"/>
      <c r="C91" s="274"/>
      <c r="D91" s="275">
        <v>89268</v>
      </c>
      <c r="E91" s="275">
        <v>76547</v>
      </c>
      <c r="F91" s="275">
        <v>83094</v>
      </c>
      <c r="G91" s="275">
        <v>127970</v>
      </c>
      <c r="H91" s="275">
        <v>138517</v>
      </c>
      <c r="I91" s="275">
        <v>137182</v>
      </c>
      <c r="J91" s="275">
        <v>143099</v>
      </c>
      <c r="K91" s="275">
        <v>194953</v>
      </c>
      <c r="L91" s="275">
        <v>189527</v>
      </c>
      <c r="M91" s="275">
        <v>209719</v>
      </c>
      <c r="N91" s="275">
        <v>213603</v>
      </c>
      <c r="O91" s="275">
        <v>231110</v>
      </c>
      <c r="P91" s="275">
        <v>291906</v>
      </c>
      <c r="Q91" s="275">
        <v>201644</v>
      </c>
      <c r="R91" s="275">
        <v>171680</v>
      </c>
      <c r="S91" s="275">
        <v>192736</v>
      </c>
      <c r="T91" s="275">
        <v>130062</v>
      </c>
      <c r="U91" s="275">
        <v>178050</v>
      </c>
      <c r="V91" s="275">
        <v>121081</v>
      </c>
      <c r="W91" s="275">
        <v>89479</v>
      </c>
      <c r="X91" s="275">
        <v>158803</v>
      </c>
    </row>
    <row r="92" spans="1:25" ht="14.25" thickBot="1" x14ac:dyDescent="0.3">
      <c r="A92" s="251" t="s">
        <v>7</v>
      </c>
      <c r="B92" s="68"/>
      <c r="C92" s="68"/>
      <c r="D92" s="273">
        <v>75520</v>
      </c>
      <c r="E92" s="273">
        <v>62501</v>
      </c>
      <c r="F92" s="273">
        <v>74511</v>
      </c>
      <c r="G92" s="273">
        <v>107353</v>
      </c>
      <c r="H92" s="273">
        <v>122988</v>
      </c>
      <c r="I92" s="273">
        <v>117064</v>
      </c>
      <c r="J92" s="273">
        <v>123331</v>
      </c>
      <c r="K92" s="273">
        <v>161771</v>
      </c>
      <c r="L92" s="273">
        <v>157654</v>
      </c>
      <c r="M92" s="273">
        <v>169023</v>
      </c>
      <c r="N92" s="273">
        <v>187907</v>
      </c>
      <c r="O92" s="273">
        <v>195947</v>
      </c>
      <c r="P92" s="273">
        <v>251775</v>
      </c>
      <c r="Q92" s="273">
        <v>176329</v>
      </c>
      <c r="R92" s="273">
        <v>157386</v>
      </c>
      <c r="S92" s="273">
        <v>157857</v>
      </c>
      <c r="T92" s="273">
        <v>114028</v>
      </c>
      <c r="U92" s="273">
        <v>149450</v>
      </c>
      <c r="V92" s="273">
        <v>103939</v>
      </c>
      <c r="W92" s="273">
        <v>77136</v>
      </c>
      <c r="X92" s="273">
        <v>136472</v>
      </c>
    </row>
    <row r="93" spans="1:25" ht="26.25" thickBot="1" x14ac:dyDescent="0.3">
      <c r="A93" s="252" t="s">
        <v>8</v>
      </c>
      <c r="B93" s="73"/>
      <c r="C93" s="73"/>
      <c r="D93" s="73" t="s">
        <v>43</v>
      </c>
      <c r="E93" s="73" t="s">
        <v>43</v>
      </c>
      <c r="F93" s="276">
        <v>74511</v>
      </c>
      <c r="G93" s="276">
        <v>107353</v>
      </c>
      <c r="H93" s="276">
        <v>122988</v>
      </c>
      <c r="I93" s="276">
        <v>117064</v>
      </c>
      <c r="J93" s="276">
        <v>123331</v>
      </c>
      <c r="K93" s="276">
        <v>161771</v>
      </c>
      <c r="L93" s="276">
        <v>157654</v>
      </c>
      <c r="M93" s="276">
        <v>169023</v>
      </c>
      <c r="N93" s="276">
        <v>187907</v>
      </c>
      <c r="O93" s="276">
        <v>195947</v>
      </c>
      <c r="P93" s="276">
        <v>251775</v>
      </c>
      <c r="Q93" s="276">
        <v>176329</v>
      </c>
      <c r="R93" s="276">
        <v>157386</v>
      </c>
      <c r="S93" s="276">
        <v>157857</v>
      </c>
      <c r="T93" s="276">
        <v>114028</v>
      </c>
      <c r="U93" s="276">
        <v>131145</v>
      </c>
      <c r="V93" s="276">
        <v>95822</v>
      </c>
      <c r="W93" s="276">
        <v>74754</v>
      </c>
      <c r="X93" s="276">
        <v>130534</v>
      </c>
    </row>
    <row r="94" spans="1:25" x14ac:dyDescent="0.25">
      <c r="A94" s="233" t="s">
        <v>365</v>
      </c>
      <c r="B94" s="253" t="str">
        <f>IF(B91="","",B91-B90)</f>
        <v/>
      </c>
      <c r="C94" s="253" t="str">
        <f>IF(C91="","",C91-C90)</f>
        <v/>
      </c>
      <c r="D94" s="253">
        <f t="shared" ref="D94:Y94" si="9">IF(D91="","",D91-D90)</f>
        <v>89268</v>
      </c>
      <c r="E94" s="253">
        <f t="shared" si="9"/>
        <v>2033</v>
      </c>
      <c r="F94" s="253">
        <f t="shared" si="9"/>
        <v>19804</v>
      </c>
      <c r="G94" s="253">
        <f t="shared" si="9"/>
        <v>10049</v>
      </c>
      <c r="H94" s="253">
        <f t="shared" si="9"/>
        <v>5863</v>
      </c>
      <c r="I94" s="253">
        <f t="shared" si="9"/>
        <v>12018</v>
      </c>
      <c r="J94" s="253">
        <f t="shared" si="9"/>
        <v>9240</v>
      </c>
      <c r="K94" s="253">
        <f t="shared" si="9"/>
        <v>12975</v>
      </c>
      <c r="L94" s="253">
        <f t="shared" si="9"/>
        <v>9284</v>
      </c>
      <c r="M94" s="253">
        <f t="shared" si="9"/>
        <v>22659</v>
      </c>
      <c r="N94" s="253">
        <f t="shared" si="9"/>
        <v>26913</v>
      </c>
      <c r="O94" s="253">
        <f t="shared" si="9"/>
        <v>42659</v>
      </c>
      <c r="P94" s="253">
        <f t="shared" si="9"/>
        <v>76890</v>
      </c>
      <c r="Q94" s="253">
        <f t="shared" si="9"/>
        <v>11544</v>
      </c>
      <c r="R94" s="253">
        <f t="shared" si="9"/>
        <v>-2700</v>
      </c>
      <c r="S94" s="253">
        <f t="shared" si="9"/>
        <v>24704</v>
      </c>
      <c r="T94" s="253">
        <f t="shared" si="9"/>
        <v>6775</v>
      </c>
      <c r="U94" s="253">
        <f t="shared" si="9"/>
        <v>35437</v>
      </c>
      <c r="V94" s="253">
        <f t="shared" si="9"/>
        <v>41</v>
      </c>
      <c r="W94" s="253">
        <f t="shared" si="9"/>
        <v>15097</v>
      </c>
      <c r="X94" s="253">
        <f t="shared" si="9"/>
        <v>27699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4874121</v>
      </c>
      <c r="C97" s="273">
        <v>4981306</v>
      </c>
      <c r="D97" s="273">
        <v>6183802</v>
      </c>
      <c r="E97" s="273">
        <v>7584018</v>
      </c>
      <c r="F97" s="273">
        <v>6636546</v>
      </c>
    </row>
    <row r="98" spans="1:24" ht="14.25" thickBot="1" x14ac:dyDescent="0.3">
      <c r="A98" s="225" t="s">
        <v>4</v>
      </c>
      <c r="B98" s="275">
        <v>1278716</v>
      </c>
      <c r="C98" s="275">
        <v>1460262</v>
      </c>
      <c r="D98" s="275">
        <v>1789982</v>
      </c>
      <c r="E98" s="275">
        <v>2049824</v>
      </c>
      <c r="F98" s="275">
        <v>1774769</v>
      </c>
    </row>
    <row r="99" spans="1:24" ht="14.25" thickBot="1" x14ac:dyDescent="0.3">
      <c r="A99" s="224" t="s">
        <v>5</v>
      </c>
      <c r="B99" s="273">
        <v>313226</v>
      </c>
      <c r="C99" s="273">
        <v>439029</v>
      </c>
      <c r="D99" s="273">
        <v>683140</v>
      </c>
      <c r="E99" s="273">
        <v>780257</v>
      </c>
      <c r="F99" s="273">
        <v>608312</v>
      </c>
    </row>
    <row r="100" spans="1:24" ht="14.25" thickBot="1" x14ac:dyDescent="0.3">
      <c r="A100" s="225" t="s">
        <v>6</v>
      </c>
      <c r="B100" s="275">
        <v>337822</v>
      </c>
      <c r="C100" s="275">
        <v>486763</v>
      </c>
      <c r="D100" s="275">
        <v>737298</v>
      </c>
      <c r="E100" s="275">
        <v>938263</v>
      </c>
      <c r="F100" s="275">
        <v>672528</v>
      </c>
    </row>
    <row r="101" spans="1:24" ht="14.25" thickBot="1" x14ac:dyDescent="0.3">
      <c r="A101" s="224" t="s">
        <v>7</v>
      </c>
      <c r="B101" s="273">
        <v>295958</v>
      </c>
      <c r="C101" s="273">
        <v>421916</v>
      </c>
      <c r="D101" s="273">
        <v>611779</v>
      </c>
      <c r="E101" s="273">
        <v>811958</v>
      </c>
      <c r="F101" s="273">
        <v>578721</v>
      </c>
    </row>
    <row r="102" spans="1:24" ht="14.25" thickBot="1" x14ac:dyDescent="0.3">
      <c r="A102" s="227" t="s">
        <v>8</v>
      </c>
      <c r="B102" s="276">
        <v>295958</v>
      </c>
      <c r="C102" s="276">
        <v>421916</v>
      </c>
      <c r="D102" s="276">
        <v>611779</v>
      </c>
      <c r="E102" s="276">
        <v>811958</v>
      </c>
      <c r="F102" s="276">
        <v>560416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0.96836990536026857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68" t="s">
        <v>43</v>
      </c>
      <c r="C106" s="273">
        <v>1020956</v>
      </c>
      <c r="D106" s="273">
        <v>1087127</v>
      </c>
      <c r="E106" s="273">
        <v>1127087</v>
      </c>
      <c r="F106" s="273">
        <v>1159395</v>
      </c>
      <c r="G106" s="273">
        <v>1355558</v>
      </c>
      <c r="H106" s="273">
        <v>1442278</v>
      </c>
      <c r="I106" s="273">
        <v>2180742</v>
      </c>
      <c r="J106" s="273">
        <v>2066441</v>
      </c>
      <c r="K106" s="273">
        <v>2377690</v>
      </c>
      <c r="L106" s="273">
        <v>2289772</v>
      </c>
      <c r="M106" s="273">
        <v>2535595</v>
      </c>
      <c r="N106" s="273">
        <v>2470061</v>
      </c>
      <c r="O106" s="273">
        <v>2734541</v>
      </c>
      <c r="P106" s="273">
        <v>2649382</v>
      </c>
      <c r="Q106" s="273">
        <v>2835079</v>
      </c>
      <c r="R106" s="273">
        <v>2899049</v>
      </c>
      <c r="S106" s="273">
        <v>3109276</v>
      </c>
      <c r="T106" s="273">
        <v>2699302</v>
      </c>
      <c r="U106" s="273">
        <v>2764726</v>
      </c>
      <c r="V106" s="273">
        <v>2461639</v>
      </c>
      <c r="W106" s="273">
        <v>2563986</v>
      </c>
      <c r="X106" s="273">
        <v>2324765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5">
        <v>100952</v>
      </c>
      <c r="F107" s="274">
        <v>0</v>
      </c>
      <c r="G107" s="275">
        <v>2004</v>
      </c>
      <c r="H107" s="275">
        <v>2356</v>
      </c>
      <c r="I107" s="275">
        <v>14990</v>
      </c>
      <c r="J107" s="274">
        <v>0</v>
      </c>
      <c r="K107" s="275">
        <v>2317</v>
      </c>
      <c r="L107" s="274">
        <v>0</v>
      </c>
      <c r="M107" s="274">
        <v>0</v>
      </c>
      <c r="N107" s="275">
        <v>2525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68">
        <v>0</v>
      </c>
      <c r="C108" s="273">
        <v>714229</v>
      </c>
      <c r="D108" s="68">
        <v>0</v>
      </c>
      <c r="E108" s="273">
        <v>584110</v>
      </c>
      <c r="F108" s="68">
        <v>0</v>
      </c>
      <c r="G108" s="273">
        <v>688762</v>
      </c>
      <c r="H108" s="273">
        <v>695742</v>
      </c>
      <c r="I108" s="273">
        <v>642964</v>
      </c>
      <c r="J108" s="273">
        <v>761049</v>
      </c>
      <c r="K108" s="273">
        <v>864808</v>
      </c>
      <c r="L108" s="273">
        <v>958853</v>
      </c>
      <c r="M108" s="273">
        <v>990921</v>
      </c>
      <c r="N108" s="273">
        <v>1112894</v>
      </c>
      <c r="O108" s="273">
        <v>1137378</v>
      </c>
      <c r="P108" s="273">
        <v>1144472</v>
      </c>
      <c r="Q108" s="273">
        <v>1042388</v>
      </c>
      <c r="R108" s="273">
        <v>1043603</v>
      </c>
      <c r="S108" s="273">
        <v>1111555</v>
      </c>
      <c r="T108" s="273">
        <v>840822</v>
      </c>
      <c r="U108" s="273">
        <v>786928</v>
      </c>
      <c r="V108" s="273">
        <v>733924</v>
      </c>
      <c r="W108" s="273">
        <v>887637</v>
      </c>
      <c r="X108" s="273">
        <v>1114653</v>
      </c>
    </row>
    <row r="109" spans="1:24" ht="14.25" thickBot="1" x14ac:dyDescent="0.3">
      <c r="A109" s="225" t="s">
        <v>264</v>
      </c>
      <c r="B109" s="274">
        <v>0</v>
      </c>
      <c r="C109" s="275">
        <v>519647</v>
      </c>
      <c r="D109" s="275">
        <v>450515</v>
      </c>
      <c r="E109" s="275">
        <v>372736</v>
      </c>
      <c r="F109" s="275">
        <v>423666</v>
      </c>
      <c r="G109" s="275">
        <v>485678</v>
      </c>
      <c r="H109" s="275">
        <v>694395</v>
      </c>
      <c r="I109" s="275">
        <v>490574</v>
      </c>
      <c r="J109" s="275">
        <v>548169</v>
      </c>
      <c r="K109" s="275">
        <v>470977</v>
      </c>
      <c r="L109" s="275">
        <v>586821</v>
      </c>
      <c r="M109" s="275">
        <v>542353</v>
      </c>
      <c r="N109" s="275">
        <v>661829</v>
      </c>
      <c r="O109" s="275">
        <v>697772</v>
      </c>
      <c r="P109" s="275">
        <v>591616</v>
      </c>
      <c r="Q109" s="275">
        <v>515221</v>
      </c>
      <c r="R109" s="275">
        <v>648819</v>
      </c>
      <c r="S109" s="275">
        <v>468063</v>
      </c>
      <c r="T109" s="275">
        <v>521281</v>
      </c>
      <c r="U109" s="275">
        <v>629233</v>
      </c>
      <c r="V109" s="275">
        <v>848932</v>
      </c>
      <c r="W109" s="275">
        <v>815698</v>
      </c>
      <c r="X109" s="275">
        <v>1218418</v>
      </c>
    </row>
    <row r="110" spans="1:24" ht="14.25" thickBot="1" x14ac:dyDescent="0.3">
      <c r="A110" s="224" t="s">
        <v>23</v>
      </c>
      <c r="B110" s="68" t="s">
        <v>43</v>
      </c>
      <c r="C110" s="273">
        <v>97169</v>
      </c>
      <c r="D110" s="273">
        <v>817346</v>
      </c>
      <c r="E110" s="273">
        <v>90670</v>
      </c>
      <c r="F110" s="273">
        <v>695136</v>
      </c>
      <c r="G110" s="273">
        <v>62763</v>
      </c>
      <c r="H110" s="273">
        <v>80608</v>
      </c>
      <c r="I110" s="273">
        <v>59923</v>
      </c>
      <c r="J110" s="273">
        <v>70261</v>
      </c>
      <c r="K110" s="273">
        <v>68643</v>
      </c>
      <c r="L110" s="273">
        <v>85611</v>
      </c>
      <c r="M110" s="273">
        <v>70049</v>
      </c>
      <c r="N110" s="273">
        <v>90347</v>
      </c>
      <c r="O110" s="273">
        <v>86672</v>
      </c>
      <c r="P110" s="273">
        <v>97596</v>
      </c>
      <c r="Q110" s="273">
        <v>64412</v>
      </c>
      <c r="R110" s="273">
        <v>83751</v>
      </c>
      <c r="S110" s="273">
        <v>53682</v>
      </c>
      <c r="T110" s="273">
        <v>72184</v>
      </c>
      <c r="U110" s="273">
        <v>150922</v>
      </c>
      <c r="V110" s="273">
        <v>99185</v>
      </c>
      <c r="W110" s="273">
        <v>81703</v>
      </c>
      <c r="X110" s="273">
        <v>185605</v>
      </c>
    </row>
    <row r="111" spans="1:24" ht="14.25" thickBot="1" x14ac:dyDescent="0.3">
      <c r="A111" s="225" t="s">
        <v>24</v>
      </c>
      <c r="B111" s="274" t="s">
        <v>43</v>
      </c>
      <c r="C111" s="275">
        <v>2352001</v>
      </c>
      <c r="D111" s="275">
        <v>2354988</v>
      </c>
      <c r="E111" s="275">
        <v>2275555</v>
      </c>
      <c r="F111" s="275">
        <v>2278197</v>
      </c>
      <c r="G111" s="275">
        <v>2594765</v>
      </c>
      <c r="H111" s="275">
        <v>2915379</v>
      </c>
      <c r="I111" s="275">
        <v>3389193</v>
      </c>
      <c r="J111" s="275">
        <v>3445920</v>
      </c>
      <c r="K111" s="275">
        <v>3784435</v>
      </c>
      <c r="L111" s="275">
        <v>3921057</v>
      </c>
      <c r="M111" s="275">
        <v>4138918</v>
      </c>
      <c r="N111" s="275">
        <v>4337656</v>
      </c>
      <c r="O111" s="275">
        <v>4656363</v>
      </c>
      <c r="P111" s="275">
        <v>4483066</v>
      </c>
      <c r="Q111" s="275">
        <v>4457100</v>
      </c>
      <c r="R111" s="275">
        <v>4675222</v>
      </c>
      <c r="S111" s="275">
        <v>4742576</v>
      </c>
      <c r="T111" s="275">
        <v>4133589</v>
      </c>
      <c r="U111" s="275">
        <v>4331809</v>
      </c>
      <c r="V111" s="275">
        <v>4143680</v>
      </c>
      <c r="W111" s="275">
        <v>4349024</v>
      </c>
      <c r="X111" s="275">
        <v>4843441</v>
      </c>
    </row>
    <row r="112" spans="1:24" ht="14.25" thickBot="1" x14ac:dyDescent="0.3">
      <c r="A112" s="224" t="s">
        <v>25</v>
      </c>
      <c r="B112" s="68" t="s">
        <v>43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273">
        <v>9999</v>
      </c>
      <c r="S112" s="273">
        <v>9999</v>
      </c>
      <c r="T112" s="273">
        <v>9999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4" t="s">
        <v>43</v>
      </c>
      <c r="C113" s="275">
        <v>208220</v>
      </c>
      <c r="D113" s="275">
        <v>162168</v>
      </c>
      <c r="E113" s="275">
        <v>207734</v>
      </c>
      <c r="F113" s="275">
        <v>198777</v>
      </c>
      <c r="G113" s="275">
        <v>195295</v>
      </c>
      <c r="H113" s="275">
        <v>198764</v>
      </c>
      <c r="I113" s="275">
        <v>204285</v>
      </c>
      <c r="J113" s="275">
        <v>200459</v>
      </c>
      <c r="K113" s="275">
        <v>196848</v>
      </c>
      <c r="L113" s="275">
        <v>244837</v>
      </c>
      <c r="M113" s="275">
        <v>286048</v>
      </c>
      <c r="N113" s="275">
        <v>292583</v>
      </c>
      <c r="O113" s="275">
        <v>382672</v>
      </c>
      <c r="P113" s="275">
        <v>372647</v>
      </c>
      <c r="Q113" s="275">
        <v>361893</v>
      </c>
      <c r="R113" s="275">
        <v>350423</v>
      </c>
      <c r="S113" s="275">
        <v>331424</v>
      </c>
      <c r="T113" s="275">
        <v>317416</v>
      </c>
      <c r="U113" s="275">
        <v>318005</v>
      </c>
      <c r="V113" s="275">
        <v>1120930</v>
      </c>
      <c r="W113" s="275">
        <v>1178489</v>
      </c>
      <c r="X113" s="275">
        <v>1160650</v>
      </c>
    </row>
    <row r="114" spans="1:24" ht="14.25" thickBot="1" x14ac:dyDescent="0.3">
      <c r="A114" s="224" t="s">
        <v>27</v>
      </c>
      <c r="B114" s="68" t="s">
        <v>43</v>
      </c>
      <c r="C114" s="273">
        <v>28460</v>
      </c>
      <c r="D114" s="273">
        <v>115045</v>
      </c>
      <c r="E114" s="273">
        <v>29166</v>
      </c>
      <c r="F114" s="273">
        <v>73717</v>
      </c>
      <c r="G114" s="273">
        <v>87631</v>
      </c>
      <c r="H114" s="273">
        <v>80019</v>
      </c>
      <c r="I114" s="273">
        <v>72351</v>
      </c>
      <c r="J114" s="273">
        <v>73586</v>
      </c>
      <c r="K114" s="273">
        <v>111168</v>
      </c>
      <c r="L114" s="273">
        <v>110568</v>
      </c>
      <c r="M114" s="273">
        <v>58255</v>
      </c>
      <c r="N114" s="273">
        <v>112311</v>
      </c>
      <c r="O114" s="273">
        <v>67482</v>
      </c>
      <c r="P114" s="273">
        <v>77853</v>
      </c>
      <c r="Q114" s="273">
        <v>77767</v>
      </c>
      <c r="R114" s="273">
        <v>84607</v>
      </c>
      <c r="S114" s="273">
        <v>115783</v>
      </c>
      <c r="T114" s="273">
        <v>81829</v>
      </c>
      <c r="U114" s="273">
        <v>560881</v>
      </c>
      <c r="V114" s="273">
        <v>85602</v>
      </c>
      <c r="W114" s="273">
        <v>83638</v>
      </c>
      <c r="X114" s="273">
        <v>89541</v>
      </c>
    </row>
    <row r="115" spans="1:24" ht="14.25" thickBot="1" x14ac:dyDescent="0.3">
      <c r="A115" s="225" t="s">
        <v>265</v>
      </c>
      <c r="B115" s="73" t="s">
        <v>43</v>
      </c>
      <c r="C115" s="276">
        <v>2588681</v>
      </c>
      <c r="D115" s="276">
        <v>2632201</v>
      </c>
      <c r="E115" s="276">
        <v>2512455</v>
      </c>
      <c r="F115" s="276">
        <v>2550691</v>
      </c>
      <c r="G115" s="276">
        <v>2877691</v>
      </c>
      <c r="H115" s="276">
        <v>3194162</v>
      </c>
      <c r="I115" s="276">
        <v>3665829</v>
      </c>
      <c r="J115" s="276">
        <v>3719965</v>
      </c>
      <c r="K115" s="276">
        <v>4092451</v>
      </c>
      <c r="L115" s="276">
        <v>4276462</v>
      </c>
      <c r="M115" s="276">
        <v>4483221</v>
      </c>
      <c r="N115" s="276">
        <v>4742550</v>
      </c>
      <c r="O115" s="276">
        <v>5106517</v>
      </c>
      <c r="P115" s="276">
        <v>4933566</v>
      </c>
      <c r="Q115" s="276">
        <v>4896760</v>
      </c>
      <c r="R115" s="276">
        <v>5120251</v>
      </c>
      <c r="S115" s="276">
        <v>5199782</v>
      </c>
      <c r="T115" s="276">
        <v>4542833</v>
      </c>
      <c r="U115" s="276">
        <v>5210695</v>
      </c>
      <c r="V115" s="276">
        <v>5350212</v>
      </c>
      <c r="W115" s="276">
        <v>5611151</v>
      </c>
      <c r="X115" s="276">
        <v>6093632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273">
        <v>22368</v>
      </c>
      <c r="D118" s="273">
        <v>37597</v>
      </c>
      <c r="E118" s="273">
        <v>29320</v>
      </c>
      <c r="F118" s="273">
        <v>20125</v>
      </c>
      <c r="G118" s="273">
        <v>35139</v>
      </c>
      <c r="H118" s="273">
        <v>13293</v>
      </c>
      <c r="I118" s="273">
        <v>23859</v>
      </c>
      <c r="J118" s="273">
        <v>16595</v>
      </c>
      <c r="K118" s="273">
        <v>32045</v>
      </c>
      <c r="L118" s="273">
        <v>38237</v>
      </c>
      <c r="M118" s="273">
        <v>16009</v>
      </c>
      <c r="N118" s="273">
        <v>17969</v>
      </c>
      <c r="O118" s="273">
        <v>23115</v>
      </c>
      <c r="P118" s="273">
        <v>40866</v>
      </c>
      <c r="Q118" s="273">
        <v>64770</v>
      </c>
      <c r="R118" s="273">
        <v>73539</v>
      </c>
      <c r="S118" s="273">
        <v>122683</v>
      </c>
      <c r="T118" s="273">
        <v>48433</v>
      </c>
      <c r="U118" s="273">
        <v>87218</v>
      </c>
      <c r="V118" s="273">
        <v>71720</v>
      </c>
      <c r="W118" s="273">
        <v>94249</v>
      </c>
      <c r="X118" s="273">
        <v>77322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68">
        <v>0</v>
      </c>
      <c r="C120" s="273">
        <v>1114992</v>
      </c>
      <c r="D120" s="68">
        <v>0</v>
      </c>
      <c r="E120" s="273">
        <v>861240</v>
      </c>
      <c r="F120" s="68">
        <v>0</v>
      </c>
      <c r="G120" s="273">
        <v>1026387</v>
      </c>
      <c r="H120" s="273">
        <v>1340779</v>
      </c>
      <c r="I120" s="273">
        <v>1068867</v>
      </c>
      <c r="J120" s="273">
        <v>1036412</v>
      </c>
      <c r="K120" s="273">
        <v>1171726</v>
      </c>
      <c r="L120" s="273">
        <v>1376494</v>
      </c>
      <c r="M120" s="273">
        <v>1365085</v>
      </c>
      <c r="N120" s="273">
        <v>1475498</v>
      </c>
      <c r="O120" s="273">
        <v>1647445</v>
      </c>
      <c r="P120" s="273">
        <v>1593605</v>
      </c>
      <c r="Q120" s="273">
        <v>1305041</v>
      </c>
      <c r="R120" s="273">
        <v>1449835</v>
      </c>
      <c r="S120" s="273">
        <v>1347672</v>
      </c>
      <c r="T120" s="273">
        <v>1380038</v>
      </c>
      <c r="U120" s="273">
        <v>1587596</v>
      </c>
      <c r="V120" s="273">
        <v>1809576</v>
      </c>
      <c r="W120" s="273">
        <v>1919531</v>
      </c>
      <c r="X120" s="273">
        <v>2662174</v>
      </c>
    </row>
    <row r="121" spans="1:24" ht="14.25" thickBot="1" x14ac:dyDescent="0.3">
      <c r="A121" s="225" t="s">
        <v>267</v>
      </c>
      <c r="B121" s="274">
        <v>0</v>
      </c>
      <c r="C121" s="275">
        <v>32309</v>
      </c>
      <c r="D121" s="274">
        <v>0</v>
      </c>
      <c r="E121" s="275">
        <v>55495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4">
        <v>0</v>
      </c>
      <c r="C123" s="275">
        <v>529235</v>
      </c>
      <c r="D123" s="275">
        <v>1627984</v>
      </c>
      <c r="E123" s="275">
        <v>535164</v>
      </c>
      <c r="F123" s="275">
        <v>1409811</v>
      </c>
      <c r="G123" s="275">
        <v>751381</v>
      </c>
      <c r="H123" s="275">
        <v>654511</v>
      </c>
      <c r="I123" s="275">
        <v>694686</v>
      </c>
      <c r="J123" s="275">
        <v>645436</v>
      </c>
      <c r="K123" s="275">
        <v>998117</v>
      </c>
      <c r="L123" s="275">
        <v>803548</v>
      </c>
      <c r="M123" s="275">
        <v>873597</v>
      </c>
      <c r="N123" s="275">
        <v>830098</v>
      </c>
      <c r="O123" s="275">
        <v>1287617</v>
      </c>
      <c r="P123" s="275">
        <v>882656</v>
      </c>
      <c r="Q123" s="275">
        <v>935591</v>
      </c>
      <c r="R123" s="275">
        <v>852584</v>
      </c>
      <c r="S123" s="275">
        <v>1465821</v>
      </c>
      <c r="T123" s="275">
        <v>743015</v>
      </c>
      <c r="U123" s="275">
        <v>927768</v>
      </c>
      <c r="V123" s="275">
        <v>766149</v>
      </c>
      <c r="W123" s="275">
        <v>1240783</v>
      </c>
      <c r="X123" s="275">
        <v>863409</v>
      </c>
    </row>
    <row r="124" spans="1:24" ht="14.25" thickBot="1" x14ac:dyDescent="0.3">
      <c r="A124" s="224" t="s">
        <v>268</v>
      </c>
      <c r="B124" s="68">
        <v>0</v>
      </c>
      <c r="C124" s="273">
        <v>1698904</v>
      </c>
      <c r="D124" s="273">
        <v>1665581</v>
      </c>
      <c r="E124" s="273">
        <v>1481219</v>
      </c>
      <c r="F124" s="273">
        <v>1429936</v>
      </c>
      <c r="G124" s="273">
        <v>1812907</v>
      </c>
      <c r="H124" s="273">
        <v>2008583</v>
      </c>
      <c r="I124" s="273">
        <v>1787412</v>
      </c>
      <c r="J124" s="273">
        <v>1698443</v>
      </c>
      <c r="K124" s="273">
        <v>2201888</v>
      </c>
      <c r="L124" s="273">
        <v>2218279</v>
      </c>
      <c r="M124" s="273">
        <v>2254691</v>
      </c>
      <c r="N124" s="273">
        <v>2323565</v>
      </c>
      <c r="O124" s="273">
        <v>2958177</v>
      </c>
      <c r="P124" s="273">
        <v>2517127</v>
      </c>
      <c r="Q124" s="273">
        <v>2305402</v>
      </c>
      <c r="R124" s="273">
        <v>2375958</v>
      </c>
      <c r="S124" s="273">
        <v>2936176</v>
      </c>
      <c r="T124" s="273">
        <v>2171486</v>
      </c>
      <c r="U124" s="273">
        <v>2602582</v>
      </c>
      <c r="V124" s="273">
        <v>2647445</v>
      </c>
      <c r="W124" s="273">
        <v>3254563</v>
      </c>
      <c r="X124" s="273">
        <v>3602905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5">
        <v>6701</v>
      </c>
      <c r="E125" s="274">
        <v>0</v>
      </c>
      <c r="F125" s="275">
        <v>10696</v>
      </c>
      <c r="G125" s="275">
        <v>10307</v>
      </c>
      <c r="H125" s="275">
        <v>7555</v>
      </c>
      <c r="I125" s="275">
        <v>15417</v>
      </c>
      <c r="J125" s="275">
        <v>25999</v>
      </c>
      <c r="K125" s="275">
        <v>29685</v>
      </c>
      <c r="L125" s="275">
        <v>34162</v>
      </c>
      <c r="M125" s="275">
        <v>23176</v>
      </c>
      <c r="N125" s="275">
        <v>25232</v>
      </c>
      <c r="O125" s="275">
        <v>25711</v>
      </c>
      <c r="P125" s="275">
        <v>26714</v>
      </c>
      <c r="Q125" s="275">
        <v>26410</v>
      </c>
      <c r="R125" s="275">
        <v>25610</v>
      </c>
      <c r="S125" s="275">
        <v>24214</v>
      </c>
      <c r="T125" s="275">
        <v>22922</v>
      </c>
      <c r="U125" s="275">
        <v>24548</v>
      </c>
      <c r="V125" s="275">
        <v>22089</v>
      </c>
      <c r="W125" s="275">
        <v>21217</v>
      </c>
      <c r="X125" s="275">
        <v>19275</v>
      </c>
    </row>
    <row r="126" spans="1:24" ht="14.25" thickBot="1" x14ac:dyDescent="0.3">
      <c r="A126" s="224" t="s">
        <v>33</v>
      </c>
      <c r="B126" s="68">
        <v>0</v>
      </c>
      <c r="C126" s="68">
        <v>671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4">
        <v>0</v>
      </c>
      <c r="C127" s="275">
        <v>1699575</v>
      </c>
      <c r="D127" s="275">
        <v>1672282</v>
      </c>
      <c r="E127" s="275">
        <v>1481219</v>
      </c>
      <c r="F127" s="275">
        <v>1440632</v>
      </c>
      <c r="G127" s="275">
        <v>1823214</v>
      </c>
      <c r="H127" s="275">
        <v>2016138</v>
      </c>
      <c r="I127" s="275">
        <v>1802829</v>
      </c>
      <c r="J127" s="275">
        <v>1724442</v>
      </c>
      <c r="K127" s="275">
        <v>2231573</v>
      </c>
      <c r="L127" s="275">
        <v>2252441</v>
      </c>
      <c r="M127" s="275">
        <v>2277867</v>
      </c>
      <c r="N127" s="275">
        <v>2348797</v>
      </c>
      <c r="O127" s="275">
        <v>2983888</v>
      </c>
      <c r="P127" s="275">
        <v>2543841</v>
      </c>
      <c r="Q127" s="275">
        <v>2331812</v>
      </c>
      <c r="R127" s="275">
        <v>2401568</v>
      </c>
      <c r="S127" s="275">
        <v>2960390</v>
      </c>
      <c r="T127" s="275">
        <v>2194408</v>
      </c>
      <c r="U127" s="275">
        <v>2627130</v>
      </c>
      <c r="V127" s="275">
        <v>2669534</v>
      </c>
      <c r="W127" s="275">
        <v>3275780</v>
      </c>
      <c r="X127" s="275">
        <v>3622180</v>
      </c>
    </row>
    <row r="128" spans="1:24" ht="14.25" thickBot="1" x14ac:dyDescent="0.3">
      <c r="A128" s="224" t="s">
        <v>34</v>
      </c>
      <c r="B128" s="68" t="s">
        <v>43</v>
      </c>
      <c r="C128" s="273">
        <v>889106</v>
      </c>
      <c r="D128" s="273">
        <v>959919</v>
      </c>
      <c r="E128" s="273">
        <v>1031236</v>
      </c>
      <c r="F128" s="273">
        <v>1110059</v>
      </c>
      <c r="G128" s="273">
        <v>1054477</v>
      </c>
      <c r="H128" s="273">
        <v>1178024</v>
      </c>
      <c r="I128" s="273">
        <v>1863000</v>
      </c>
      <c r="J128" s="273">
        <v>1995523</v>
      </c>
      <c r="K128" s="273">
        <v>1860878</v>
      </c>
      <c r="L128" s="273">
        <v>2024021</v>
      </c>
      <c r="M128" s="273">
        <v>2205354</v>
      </c>
      <c r="N128" s="273">
        <v>2393753</v>
      </c>
      <c r="O128" s="273">
        <v>2122629</v>
      </c>
      <c r="P128" s="273">
        <v>2389725</v>
      </c>
      <c r="Q128" s="273">
        <v>2564948</v>
      </c>
      <c r="R128" s="273">
        <v>2718683</v>
      </c>
      <c r="S128" s="273">
        <v>2239392</v>
      </c>
      <c r="T128" s="273">
        <v>2348425</v>
      </c>
      <c r="U128" s="273">
        <v>2583565</v>
      </c>
      <c r="V128" s="273">
        <v>2680678</v>
      </c>
      <c r="W128" s="273">
        <v>2335371</v>
      </c>
      <c r="X128" s="273">
        <v>2471452</v>
      </c>
    </row>
    <row r="129" spans="1:24" ht="14.25" thickBot="1" x14ac:dyDescent="0.3">
      <c r="A129" s="225" t="s">
        <v>35</v>
      </c>
      <c r="B129" s="73" t="s">
        <v>43</v>
      </c>
      <c r="C129" s="276">
        <v>2588681</v>
      </c>
      <c r="D129" s="276">
        <v>2632201</v>
      </c>
      <c r="E129" s="276">
        <v>2512455</v>
      </c>
      <c r="F129" s="276">
        <v>2550691</v>
      </c>
      <c r="G129" s="276">
        <v>2877691</v>
      </c>
      <c r="H129" s="276">
        <v>3194162</v>
      </c>
      <c r="I129" s="276">
        <v>3665829</v>
      </c>
      <c r="J129" s="276">
        <v>3719965</v>
      </c>
      <c r="K129" s="276">
        <v>4092451</v>
      </c>
      <c r="L129" s="276">
        <v>4276462</v>
      </c>
      <c r="M129" s="276">
        <v>4483221</v>
      </c>
      <c r="N129" s="276">
        <v>4742550</v>
      </c>
      <c r="O129" s="276">
        <v>5106517</v>
      </c>
      <c r="P129" s="276">
        <v>4933566</v>
      </c>
      <c r="Q129" s="276">
        <v>4896760</v>
      </c>
      <c r="R129" s="276">
        <v>5120251</v>
      </c>
      <c r="S129" s="276">
        <v>5199782</v>
      </c>
      <c r="T129" s="276">
        <v>4542833</v>
      </c>
      <c r="U129" s="276">
        <v>5210695</v>
      </c>
      <c r="V129" s="276">
        <v>5350212</v>
      </c>
      <c r="W129" s="276">
        <v>5611151</v>
      </c>
      <c r="X129" s="276">
        <v>6093632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16.11</v>
      </c>
      <c r="C132" s="68">
        <v>16.71</v>
      </c>
      <c r="D132" s="68">
        <v>16.12</v>
      </c>
      <c r="E132" s="68">
        <v>18.13</v>
      </c>
      <c r="F132" s="68">
        <v>19.809999999999999</v>
      </c>
    </row>
    <row r="133" spans="1:24" ht="14.25" thickBot="1" x14ac:dyDescent="0.3">
      <c r="A133" s="225" t="s">
        <v>37</v>
      </c>
      <c r="B133" s="274">
        <v>-4.95</v>
      </c>
      <c r="C133" s="274">
        <v>-1.58</v>
      </c>
      <c r="D133" s="274">
        <v>-2.98</v>
      </c>
      <c r="E133" s="274">
        <v>-3.76</v>
      </c>
      <c r="F133" s="274">
        <v>-8.61</v>
      </c>
    </row>
    <row r="134" spans="1:24" ht="14.25" thickBot="1" x14ac:dyDescent="0.3">
      <c r="A134" s="224" t="s">
        <v>38</v>
      </c>
      <c r="B134" s="68">
        <v>-2.25</v>
      </c>
      <c r="C134" s="68">
        <v>9.75</v>
      </c>
      <c r="D134" s="68">
        <v>-6.03</v>
      </c>
      <c r="E134" s="68">
        <v>-8.3699999999999992</v>
      </c>
      <c r="F134" s="68">
        <v>-12.54</v>
      </c>
    </row>
    <row r="135" spans="1:24" ht="14.25" thickBot="1" x14ac:dyDescent="0.3">
      <c r="A135" s="225" t="s">
        <v>270</v>
      </c>
      <c r="B135" s="274">
        <v>11.16</v>
      </c>
      <c r="C135" s="274">
        <v>15.13</v>
      </c>
      <c r="D135" s="274">
        <v>13.14</v>
      </c>
      <c r="E135" s="274">
        <v>14.37</v>
      </c>
      <c r="F135" s="274">
        <v>11.2</v>
      </c>
    </row>
    <row r="136" spans="1:24" ht="14.25" thickBot="1" x14ac:dyDescent="0.3">
      <c r="A136" s="229" t="s">
        <v>39</v>
      </c>
      <c r="B136" s="72">
        <v>8.92</v>
      </c>
      <c r="C136" s="72">
        <v>24.88</v>
      </c>
      <c r="D136" s="72">
        <v>7.1</v>
      </c>
      <c r="E136" s="72">
        <v>6</v>
      </c>
      <c r="F136" s="72">
        <v>-1.34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4</v>
      </c>
      <c r="C140" s="68">
        <v>6.1</v>
      </c>
      <c r="D140" s="68">
        <v>9.5</v>
      </c>
      <c r="E140" s="68">
        <v>13</v>
      </c>
      <c r="F140" s="68">
        <v>8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 t="e">
        <f>B140/(HLOOKUP(B139*10+1,81:82,2,FALSE)+HLOOKUP(B139*10+2,81:82,2,FALSE)+HLOOKUP(B139*10+3,81:82,2,FALSE)+HLOOKUP(B139*10+4,81:82,2,FALSE))</f>
        <v>#VALUE!</v>
      </c>
      <c r="C142" s="234">
        <f>IF(C140&lt;&gt;"無",IF(ISNA(HLOOKUP(C139,$B$64:$F$69,6,FALSE)),"",C140/HLOOKUP(C139,$B$64:$F$69,6,FALSE)),"")</f>
        <v>0.60636182902584501</v>
      </c>
      <c r="D142" s="234">
        <f>IF(D140&lt;&gt;"無",IF(ISNA(HLOOKUP(D139,$B$64:$F$69,6,FALSE)),"",D140/HLOOKUP(D139,$B$64:$F$69,6,FALSE)),"")</f>
        <v>0.75158227848101267</v>
      </c>
      <c r="E142" s="234">
        <f>IF(E140&lt;&gt;"無",IF(ISNA(HLOOKUP(E139,$B$64:$F$69,6,FALSE)),"",E140/HLOOKUP(E139,$B$64:$F$69,6,FALSE)),"")</f>
        <v>0.78360458107293551</v>
      </c>
      <c r="F142" s="234">
        <f>IF(F140&lt;&gt;"無",IF(ISNA(HLOOKUP(F139,$B$64:$F$69,6,FALSE)),"",F140/HLOOKUP(F139,$B$64:$F$69,6,FALSE)),"")</f>
        <v>0.67796610169491522</v>
      </c>
    </row>
    <row r="143" spans="1:24" x14ac:dyDescent="0.25">
      <c r="A143" s="233" t="s">
        <v>216</v>
      </c>
      <c r="B143" s="234">
        <f>IF(OR(B140=0,B140="無"),"",B135/B140)</f>
        <v>2.79</v>
      </c>
      <c r="C143" s="234">
        <f>IF(OR(C140=0,C140="無"),"",C135/C140)</f>
        <v>2.4803278688524593</v>
      </c>
      <c r="D143" s="234">
        <f>IF(OR(D140=0,D140="無"),"",D135/D140)</f>
        <v>1.3831578947368421</v>
      </c>
      <c r="E143" s="234">
        <f>IF(OR(E140=0,E140="無"),"",E135/E140)</f>
        <v>1.1053846153846154</v>
      </c>
      <c r="F143" s="234">
        <f>IF(OR(F140=0,F140="無"),"",F135/F140)</f>
        <v>1.4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 t="s">
        <v>43</v>
      </c>
      <c r="C146" s="68" t="s">
        <v>43</v>
      </c>
      <c r="D146" s="68" t="s">
        <v>43</v>
      </c>
      <c r="E146" s="68" t="s">
        <v>43</v>
      </c>
      <c r="F146" s="68">
        <v>26.47</v>
      </c>
      <c r="G146" s="68">
        <v>29.59</v>
      </c>
      <c r="H146" s="68">
        <v>29.59</v>
      </c>
      <c r="I146" s="68">
        <v>30.85</v>
      </c>
      <c r="J146" s="68">
        <v>28.88</v>
      </c>
      <c r="K146" s="68">
        <v>28.37</v>
      </c>
      <c r="L146" s="68">
        <v>29.97</v>
      </c>
      <c r="M146" s="68">
        <v>28.53</v>
      </c>
      <c r="N146" s="68">
        <v>26.98</v>
      </c>
      <c r="O146" s="68">
        <v>24.23</v>
      </c>
      <c r="P146" s="68">
        <v>26.84</v>
      </c>
      <c r="Q146" s="68">
        <v>30.38</v>
      </c>
      <c r="R146" s="68">
        <v>28.45</v>
      </c>
      <c r="S146" s="68">
        <v>26.38</v>
      </c>
      <c r="T146" s="68">
        <v>26.27</v>
      </c>
      <c r="U146" s="68">
        <v>25.81</v>
      </c>
      <c r="V146" s="68">
        <v>23.71</v>
      </c>
      <c r="W146" s="68">
        <v>20.07</v>
      </c>
      <c r="X146" s="68">
        <v>19.39</v>
      </c>
    </row>
    <row r="147" spans="1:24" s="93" customFormat="1" ht="14.25" thickBot="1" x14ac:dyDescent="0.3">
      <c r="A147" s="225" t="s">
        <v>19</v>
      </c>
      <c r="B147" s="274" t="s">
        <v>43</v>
      </c>
      <c r="C147" s="274" t="s">
        <v>43</v>
      </c>
      <c r="D147" s="274" t="s">
        <v>43</v>
      </c>
      <c r="E147" s="274" t="s">
        <v>43</v>
      </c>
      <c r="F147" s="274">
        <v>6.36</v>
      </c>
      <c r="G147" s="274">
        <v>9.75</v>
      </c>
      <c r="H147" s="274">
        <v>9.48</v>
      </c>
      <c r="I147" s="274">
        <v>9.09</v>
      </c>
      <c r="J147" s="274">
        <v>9.98</v>
      </c>
      <c r="K147" s="274">
        <v>11.84</v>
      </c>
      <c r="L147" s="274">
        <v>11.04</v>
      </c>
      <c r="M147" s="274">
        <v>11.18</v>
      </c>
      <c r="N147" s="274">
        <v>10.74</v>
      </c>
      <c r="O147" s="274">
        <v>9.67</v>
      </c>
      <c r="P147" s="274">
        <v>10.15</v>
      </c>
      <c r="Q147" s="274">
        <v>10.7</v>
      </c>
      <c r="R147" s="274">
        <v>10.32</v>
      </c>
      <c r="S147" s="274">
        <v>9.49</v>
      </c>
      <c r="T147" s="274">
        <v>8.09</v>
      </c>
      <c r="U147" s="274">
        <v>8.6300000000000008</v>
      </c>
      <c r="V147" s="274">
        <v>6.98</v>
      </c>
      <c r="W147" s="274">
        <v>4.1100000000000003</v>
      </c>
      <c r="X147" s="274">
        <v>5.66</v>
      </c>
    </row>
    <row r="148" spans="1:24" s="93" customFormat="1" ht="14.25" thickBot="1" x14ac:dyDescent="0.3">
      <c r="A148" s="224" t="s">
        <v>41</v>
      </c>
      <c r="B148" s="68" t="s">
        <v>43</v>
      </c>
      <c r="C148" s="68" t="s">
        <v>43</v>
      </c>
      <c r="D148" s="68" t="s">
        <v>43</v>
      </c>
      <c r="E148" s="68" t="s">
        <v>43</v>
      </c>
      <c r="F148" s="68">
        <v>8.35</v>
      </c>
      <c r="G148" s="68">
        <v>10.58</v>
      </c>
      <c r="H148" s="68">
        <v>9.9</v>
      </c>
      <c r="I148" s="68">
        <v>9.9600000000000009</v>
      </c>
      <c r="J148" s="68">
        <v>10.67</v>
      </c>
      <c r="K148" s="68">
        <v>12.69</v>
      </c>
      <c r="L148" s="68">
        <v>11.61</v>
      </c>
      <c r="M148" s="68">
        <v>12.53</v>
      </c>
      <c r="N148" s="68">
        <v>12.28</v>
      </c>
      <c r="O148" s="68">
        <v>11.86</v>
      </c>
      <c r="P148" s="68">
        <v>13.78</v>
      </c>
      <c r="Q148" s="68">
        <v>11.35</v>
      </c>
      <c r="R148" s="68">
        <v>10.16</v>
      </c>
      <c r="S148" s="68">
        <v>10.88</v>
      </c>
      <c r="T148" s="68">
        <v>8.5299999999999994</v>
      </c>
      <c r="U148" s="68">
        <v>10.78</v>
      </c>
      <c r="V148" s="68">
        <v>6.98</v>
      </c>
      <c r="W148" s="68">
        <v>4.95</v>
      </c>
      <c r="X148" s="68">
        <v>6.86</v>
      </c>
    </row>
    <row r="149" spans="1:24" s="93" customFormat="1" ht="14.25" thickBot="1" x14ac:dyDescent="0.3">
      <c r="A149" s="225" t="s">
        <v>13</v>
      </c>
      <c r="B149" s="73" t="s">
        <v>43</v>
      </c>
      <c r="C149" s="73" t="s">
        <v>43</v>
      </c>
      <c r="D149" s="73" t="s">
        <v>43</v>
      </c>
      <c r="E149" s="73" t="s">
        <v>43</v>
      </c>
      <c r="F149" s="73">
        <v>7.49</v>
      </c>
      <c r="G149" s="73">
        <v>8.8699999999999992</v>
      </c>
      <c r="H149" s="73">
        <v>8.7899999999999991</v>
      </c>
      <c r="I149" s="73">
        <v>8.5</v>
      </c>
      <c r="J149" s="73">
        <v>9.19</v>
      </c>
      <c r="K149" s="73">
        <v>10.53</v>
      </c>
      <c r="L149" s="73">
        <v>9.66</v>
      </c>
      <c r="M149" s="73">
        <v>10.1</v>
      </c>
      <c r="N149" s="73">
        <v>10.81</v>
      </c>
      <c r="O149" s="73">
        <v>10.050000000000001</v>
      </c>
      <c r="P149" s="73">
        <v>11.88</v>
      </c>
      <c r="Q149" s="73">
        <v>9.92</v>
      </c>
      <c r="R149" s="73">
        <v>9.32</v>
      </c>
      <c r="S149" s="73">
        <v>8.91</v>
      </c>
      <c r="T149" s="73">
        <v>7.48</v>
      </c>
      <c r="U149" s="73">
        <v>9.0500000000000007</v>
      </c>
      <c r="V149" s="73">
        <v>5.99</v>
      </c>
      <c r="W149" s="73">
        <v>4.26</v>
      </c>
      <c r="X149" s="73">
        <v>5.89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26.23</v>
      </c>
      <c r="C152" s="68">
        <v>29.31</v>
      </c>
      <c r="D152" s="68">
        <v>28.95</v>
      </c>
      <c r="E152" s="68">
        <v>27.03</v>
      </c>
      <c r="F152" s="68">
        <v>26.74</v>
      </c>
    </row>
    <row r="153" spans="1:24" s="93" customFormat="1" ht="14.25" thickBot="1" x14ac:dyDescent="0.3">
      <c r="A153" s="225" t="s">
        <v>19</v>
      </c>
      <c r="B153" s="274">
        <v>6.43</v>
      </c>
      <c r="C153" s="274">
        <v>8.81</v>
      </c>
      <c r="D153" s="274">
        <v>11.05</v>
      </c>
      <c r="E153" s="274">
        <v>10.29</v>
      </c>
      <c r="F153" s="274">
        <v>9.17</v>
      </c>
    </row>
    <row r="154" spans="1:24" s="93" customFormat="1" ht="14.25" thickBot="1" x14ac:dyDescent="0.3">
      <c r="A154" s="224" t="s">
        <v>41</v>
      </c>
      <c r="B154" s="68">
        <v>6.93</v>
      </c>
      <c r="C154" s="68">
        <v>9.77</v>
      </c>
      <c r="D154" s="68">
        <v>11.92</v>
      </c>
      <c r="E154" s="68">
        <v>12.37</v>
      </c>
      <c r="F154" s="68">
        <v>10.130000000000001</v>
      </c>
    </row>
    <row r="155" spans="1:24" s="93" customFormat="1" ht="14.25" thickBot="1" x14ac:dyDescent="0.3">
      <c r="A155" s="225" t="s">
        <v>13</v>
      </c>
      <c r="B155" s="73">
        <v>6.07</v>
      </c>
      <c r="C155" s="73">
        <v>8.4700000000000006</v>
      </c>
      <c r="D155" s="73">
        <v>9.89</v>
      </c>
      <c r="E155" s="73">
        <v>10.71</v>
      </c>
      <c r="F155" s="73">
        <v>8.7200000000000006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 t="s">
        <v>43</v>
      </c>
      <c r="C158" s="68" t="s">
        <v>43</v>
      </c>
      <c r="D158" s="68" t="s">
        <v>43</v>
      </c>
      <c r="E158" s="68" t="s">
        <v>43</v>
      </c>
      <c r="F158" s="68">
        <v>2.94</v>
      </c>
      <c r="G158" s="68">
        <v>3.96</v>
      </c>
      <c r="H158" s="68">
        <v>4.05</v>
      </c>
      <c r="I158" s="68">
        <v>3.41</v>
      </c>
      <c r="J158" s="68">
        <v>3.34</v>
      </c>
      <c r="K158" s="68">
        <v>4.1399999999999997</v>
      </c>
      <c r="L158" s="68">
        <v>3.77</v>
      </c>
      <c r="M158" s="68">
        <v>3.86</v>
      </c>
      <c r="N158" s="68">
        <v>4.07</v>
      </c>
      <c r="O158" s="68">
        <v>3.98</v>
      </c>
      <c r="P158" s="68">
        <v>5.0199999999999996</v>
      </c>
      <c r="Q158" s="68">
        <v>3.59</v>
      </c>
      <c r="R158" s="68">
        <v>3.15</v>
      </c>
      <c r="S158" s="68">
        <v>3.06</v>
      </c>
      <c r="T158" s="68">
        <v>2.35</v>
      </c>
      <c r="U158" s="68">
        <v>3.07</v>
      </c>
      <c r="V158" s="68">
        <v>1.97</v>
      </c>
      <c r="W158" s="68">
        <v>1.41</v>
      </c>
      <c r="X158" s="68">
        <v>2.34</v>
      </c>
    </row>
    <row r="159" spans="1:24" s="93" customFormat="1" ht="14.25" thickBot="1" x14ac:dyDescent="0.3">
      <c r="A159" s="225" t="s">
        <v>45</v>
      </c>
      <c r="B159" s="73" t="s">
        <v>43</v>
      </c>
      <c r="C159" s="73" t="s">
        <v>43</v>
      </c>
      <c r="D159" s="73" t="s">
        <v>43</v>
      </c>
      <c r="E159" s="73" t="s">
        <v>43</v>
      </c>
      <c r="F159" s="73">
        <v>6.96</v>
      </c>
      <c r="G159" s="73">
        <v>9.92</v>
      </c>
      <c r="H159" s="73">
        <v>11.02</v>
      </c>
      <c r="I159" s="73">
        <v>7.7</v>
      </c>
      <c r="J159" s="73">
        <v>6.39</v>
      </c>
      <c r="K159" s="73">
        <v>8.39</v>
      </c>
      <c r="L159" s="73">
        <v>8.1199999999999992</v>
      </c>
      <c r="M159" s="73">
        <v>7.99</v>
      </c>
      <c r="N159" s="73">
        <v>8.17</v>
      </c>
      <c r="O159" s="73">
        <v>8.68</v>
      </c>
      <c r="P159" s="73">
        <v>11.16</v>
      </c>
      <c r="Q159" s="73">
        <v>7.12</v>
      </c>
      <c r="R159" s="73">
        <v>5.96</v>
      </c>
      <c r="S159" s="73">
        <v>6.37</v>
      </c>
      <c r="T159" s="73">
        <v>4.97</v>
      </c>
      <c r="U159" s="73">
        <v>6.06</v>
      </c>
      <c r="V159" s="73">
        <v>3.95</v>
      </c>
      <c r="W159" s="73">
        <v>3.08</v>
      </c>
      <c r="X159" s="73">
        <v>5.68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6.07</v>
      </c>
      <c r="C162" s="68">
        <v>8.4700000000000006</v>
      </c>
      <c r="D162" s="68">
        <v>9.89</v>
      </c>
      <c r="E162" s="68">
        <v>10.71</v>
      </c>
      <c r="F162" s="68">
        <v>8.7200000000000006</v>
      </c>
    </row>
    <row r="163" spans="1:72" s="93" customFormat="1" ht="14.25" thickBot="1" x14ac:dyDescent="0.3">
      <c r="A163" s="225" t="s">
        <v>18</v>
      </c>
      <c r="B163" s="274">
        <v>1.94</v>
      </c>
      <c r="C163" s="274">
        <v>1.36</v>
      </c>
      <c r="D163" s="274">
        <v>1.38</v>
      </c>
      <c r="E163" s="274">
        <v>1.55</v>
      </c>
      <c r="F163" s="274">
        <v>1.27</v>
      </c>
    </row>
    <row r="164" spans="1:72" s="93" customFormat="1" ht="14.25" thickBot="1" x14ac:dyDescent="0.3">
      <c r="A164" s="224" t="s">
        <v>15</v>
      </c>
      <c r="B164" s="68">
        <v>2.44</v>
      </c>
      <c r="C164" s="68">
        <v>1.97</v>
      </c>
      <c r="D164" s="68">
        <v>2.0299999999999998</v>
      </c>
      <c r="E164" s="68">
        <v>1.91</v>
      </c>
      <c r="F164" s="68">
        <v>2.02</v>
      </c>
    </row>
    <row r="165" spans="1:72" s="93" customFormat="1" ht="14.25" thickBot="1" x14ac:dyDescent="0.3">
      <c r="A165" s="225" t="s">
        <v>45</v>
      </c>
      <c r="B165" s="73">
        <v>31.52</v>
      </c>
      <c r="C165" s="73">
        <v>29.16</v>
      </c>
      <c r="D165" s="73">
        <v>30.08</v>
      </c>
      <c r="E165" s="73">
        <v>34.04</v>
      </c>
      <c r="F165" s="73">
        <v>22.48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 t="s">
        <v>43</v>
      </c>
      <c r="C168" s="68" t="s">
        <v>43</v>
      </c>
      <c r="D168" s="68" t="s">
        <v>43</v>
      </c>
      <c r="E168" s="68" t="s">
        <v>43</v>
      </c>
      <c r="F168" s="68">
        <v>26.39</v>
      </c>
      <c r="G168" s="68">
        <v>25.64</v>
      </c>
      <c r="H168" s="68">
        <v>44.55</v>
      </c>
      <c r="I168" s="68">
        <v>43.69</v>
      </c>
      <c r="J168" s="68">
        <v>47.12</v>
      </c>
      <c r="K168" s="68">
        <v>47.62</v>
      </c>
      <c r="L168" s="68">
        <v>50.28</v>
      </c>
      <c r="M168" s="68">
        <v>52.33</v>
      </c>
      <c r="N168" s="68">
        <v>54.55</v>
      </c>
      <c r="O168" s="68">
        <v>52.02</v>
      </c>
      <c r="P168" s="68">
        <v>48.39</v>
      </c>
      <c r="Q168" s="68">
        <v>55.21</v>
      </c>
      <c r="R168" s="68">
        <v>55.56</v>
      </c>
      <c r="S168" s="68">
        <v>54.88</v>
      </c>
      <c r="T168" s="68">
        <v>57.69</v>
      </c>
      <c r="U168" s="68">
        <v>44.33</v>
      </c>
      <c r="V168" s="68">
        <v>39.47</v>
      </c>
      <c r="W168" s="68">
        <v>40.36</v>
      </c>
      <c r="X168" s="68">
        <v>38.96</v>
      </c>
    </row>
    <row r="169" spans="1:72" s="93" customFormat="1" ht="14.25" thickBot="1" x14ac:dyDescent="0.3">
      <c r="A169" s="225" t="s">
        <v>17</v>
      </c>
      <c r="B169" s="274" t="s">
        <v>43</v>
      </c>
      <c r="C169" s="274" t="s">
        <v>43</v>
      </c>
      <c r="D169" s="274" t="s">
        <v>43</v>
      </c>
      <c r="E169" s="274" t="s">
        <v>43</v>
      </c>
      <c r="F169" s="274">
        <v>48.91</v>
      </c>
      <c r="G169" s="274">
        <v>48.13</v>
      </c>
      <c r="H169" s="274">
        <v>53.89</v>
      </c>
      <c r="I169" s="274">
        <v>55.9</v>
      </c>
      <c r="J169" s="274">
        <v>48.91</v>
      </c>
      <c r="K169" s="274">
        <v>41.67</v>
      </c>
      <c r="L169" s="274">
        <v>41.67</v>
      </c>
      <c r="M169" s="274">
        <v>42.45</v>
      </c>
      <c r="N169" s="274">
        <v>42.65</v>
      </c>
      <c r="O169" s="274">
        <v>41.47</v>
      </c>
      <c r="P169" s="274">
        <v>37.5</v>
      </c>
      <c r="Q169" s="274">
        <v>40.18</v>
      </c>
      <c r="R169" s="274">
        <v>43.27</v>
      </c>
      <c r="S169" s="274">
        <v>38.46</v>
      </c>
      <c r="T169" s="274">
        <v>39.65</v>
      </c>
      <c r="U169" s="274">
        <v>42.25</v>
      </c>
      <c r="V169" s="274">
        <v>50.28</v>
      </c>
      <c r="W169" s="274">
        <v>51.72</v>
      </c>
      <c r="X169" s="274">
        <v>48.91</v>
      </c>
    </row>
    <row r="170" spans="1:72" s="93" customFormat="1" ht="14.25" thickBot="1" x14ac:dyDescent="0.3">
      <c r="A170" s="224" t="s">
        <v>42</v>
      </c>
      <c r="B170" s="72" t="s">
        <v>43</v>
      </c>
      <c r="C170" s="72" t="s">
        <v>43</v>
      </c>
      <c r="D170" s="72" t="s">
        <v>43</v>
      </c>
      <c r="E170" s="72" t="s">
        <v>43</v>
      </c>
      <c r="F170" s="72">
        <v>75.31</v>
      </c>
      <c r="G170" s="72">
        <v>73.77</v>
      </c>
      <c r="H170" s="72">
        <v>98.45</v>
      </c>
      <c r="I170" s="72">
        <v>99.59</v>
      </c>
      <c r="J170" s="72">
        <v>96.03</v>
      </c>
      <c r="K170" s="72">
        <v>89.29</v>
      </c>
      <c r="L170" s="72">
        <v>91.95</v>
      </c>
      <c r="M170" s="72">
        <v>94.78</v>
      </c>
      <c r="N170" s="72">
        <v>97.2</v>
      </c>
      <c r="O170" s="72">
        <v>93.5</v>
      </c>
      <c r="P170" s="72">
        <v>85.89</v>
      </c>
      <c r="Q170" s="72">
        <v>95.39</v>
      </c>
      <c r="R170" s="72">
        <v>98.82</v>
      </c>
      <c r="S170" s="72">
        <v>93.34</v>
      </c>
      <c r="T170" s="72">
        <v>97.34</v>
      </c>
      <c r="U170" s="72">
        <v>86.59</v>
      </c>
      <c r="V170" s="72">
        <v>89.75</v>
      </c>
      <c r="W170" s="72">
        <v>92.08</v>
      </c>
      <c r="X170" s="72">
        <v>87.87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225.01</v>
      </c>
      <c r="C173" s="72">
        <v>166.79</v>
      </c>
      <c r="D173" s="72">
        <v>127.58</v>
      </c>
      <c r="E173" s="72">
        <v>109.38</v>
      </c>
      <c r="F173" s="72">
        <v>168.01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 t="s">
        <v>43</v>
      </c>
      <c r="C176" s="72" t="s">
        <v>43</v>
      </c>
      <c r="D176" s="72" t="s">
        <v>43</v>
      </c>
      <c r="E176" s="72" t="s">
        <v>43</v>
      </c>
      <c r="F176" s="72" t="s">
        <v>43</v>
      </c>
      <c r="G176" s="72" t="s">
        <v>43</v>
      </c>
      <c r="H176" s="72" t="s">
        <v>43</v>
      </c>
      <c r="I176" s="72" t="s">
        <v>43</v>
      </c>
      <c r="J176" s="72" t="s">
        <v>43</v>
      </c>
      <c r="K176" s="72" t="s">
        <v>43</v>
      </c>
      <c r="L176" s="72" t="s">
        <v>43</v>
      </c>
      <c r="M176" s="72" t="s">
        <v>43</v>
      </c>
      <c r="N176" s="72" t="s">
        <v>43</v>
      </c>
      <c r="O176" s="72" t="s">
        <v>43</v>
      </c>
      <c r="P176" s="72" t="s">
        <v>43</v>
      </c>
      <c r="Q176" s="72" t="s">
        <v>43</v>
      </c>
      <c r="R176" s="72" t="s">
        <v>43</v>
      </c>
      <c r="S176" s="72" t="s">
        <v>43</v>
      </c>
      <c r="T176" s="72" t="s">
        <v>43</v>
      </c>
      <c r="U176" s="72">
        <v>8.83</v>
      </c>
      <c r="V176" s="72">
        <v>10.039999999999999</v>
      </c>
      <c r="W176" s="72">
        <v>12.23</v>
      </c>
      <c r="X176" s="72">
        <v>12.65</v>
      </c>
      <c r="Y176" s="72">
        <v>17.97</v>
      </c>
      <c r="Z176" s="72">
        <v>17.22</v>
      </c>
      <c r="AA176" s="72">
        <v>17.2</v>
      </c>
      <c r="AB176" s="72">
        <v>16.239999999999998</v>
      </c>
      <c r="AC176" s="72">
        <v>17</v>
      </c>
      <c r="AD176" s="72">
        <v>17.04</v>
      </c>
      <c r="AE176" s="72">
        <v>18.02</v>
      </c>
      <c r="AF176" s="72">
        <v>18.829999999999998</v>
      </c>
      <c r="AG176" s="72">
        <v>16.760000000000002</v>
      </c>
      <c r="AH176" s="72">
        <v>17.079999999999998</v>
      </c>
      <c r="AI176" s="72">
        <v>16.190000000000001</v>
      </c>
      <c r="AJ176" s="72">
        <v>14.03</v>
      </c>
      <c r="AK176" s="72">
        <v>14.55</v>
      </c>
      <c r="AL176" s="72">
        <v>15.4</v>
      </c>
      <c r="AM176" s="72">
        <v>16.53</v>
      </c>
      <c r="AN176" s="72">
        <v>16.05</v>
      </c>
      <c r="AO176" s="72">
        <v>17.5</v>
      </c>
      <c r="AP176" s="72">
        <v>17.239999999999998</v>
      </c>
      <c r="AQ176" s="72">
        <v>19.2</v>
      </c>
      <c r="AR176" s="72">
        <v>18.97</v>
      </c>
      <c r="AS176" s="72">
        <v>15.65</v>
      </c>
      <c r="AT176" s="72">
        <v>15.93</v>
      </c>
      <c r="AU176" s="72">
        <v>15.17</v>
      </c>
      <c r="AV176" s="72">
        <v>14.5</v>
      </c>
      <c r="AW176" s="72">
        <v>13.85</v>
      </c>
      <c r="AX176" s="72">
        <v>13.81</v>
      </c>
      <c r="AY176" s="72">
        <v>13.38</v>
      </c>
      <c r="AZ176" s="72">
        <v>12.77</v>
      </c>
      <c r="BA176" s="72">
        <v>10.76</v>
      </c>
      <c r="BB176" s="72">
        <v>10.52</v>
      </c>
      <c r="BC176" s="72">
        <v>10.16</v>
      </c>
      <c r="BD176" s="72">
        <v>10.37</v>
      </c>
      <c r="BE176" s="72">
        <v>10.46</v>
      </c>
      <c r="BF176" s="72">
        <v>9.7899999999999991</v>
      </c>
      <c r="BG176" s="72">
        <v>8.9</v>
      </c>
      <c r="BH176" s="72">
        <v>11.21</v>
      </c>
      <c r="BI176" s="72">
        <v>12.6</v>
      </c>
      <c r="BJ176" s="72">
        <v>12.99</v>
      </c>
      <c r="BK176" s="72">
        <v>13.52</v>
      </c>
      <c r="BL176" s="72">
        <v>13.28</v>
      </c>
      <c r="BM176" s="72">
        <v>12.07</v>
      </c>
      <c r="BN176" s="72">
        <v>12.93</v>
      </c>
      <c r="BO176" s="72">
        <v>13.38</v>
      </c>
      <c r="BP176" s="72">
        <v>13.31</v>
      </c>
      <c r="BQ176" s="72">
        <v>13.78</v>
      </c>
      <c r="BR176" s="72">
        <v>14.65</v>
      </c>
      <c r="BS176" s="72">
        <v>14.55</v>
      </c>
      <c r="BT176" s="72">
        <v>13.94</v>
      </c>
    </row>
  </sheetData>
  <phoneticPr fontId="3" type="noConversion"/>
  <conditionalFormatting sqref="E4">
    <cfRule type="cellIs" dxfId="4199" priority="103" operator="greaterThan">
      <formula>0.2</formula>
    </cfRule>
    <cfRule type="cellIs" dxfId="419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419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196" priority="97" operator="greaterThan">
      <formula>$B$19</formula>
    </cfRule>
  </conditionalFormatting>
  <conditionalFormatting sqref="D33:D34">
    <cfRule type="cellIs" dxfId="419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4194" priority="91" operator="lessThan">
      <formula>$H$62</formula>
    </cfRule>
    <cfRule type="cellIs" dxfId="4193" priority="92" operator="greaterThan">
      <formula>$H$62</formula>
    </cfRule>
  </conditionalFormatting>
  <conditionalFormatting sqref="J62">
    <cfRule type="cellIs" dxfId="4192" priority="89" operator="lessThan">
      <formula>$K$62</formula>
    </cfRule>
    <cfRule type="cellIs" dxfId="4191" priority="90" operator="greaterThan">
      <formula>$K$62</formula>
    </cfRule>
  </conditionalFormatting>
  <conditionalFormatting sqref="M62">
    <cfRule type="cellIs" dxfId="4190" priority="87" operator="lessThan">
      <formula>$N$62</formula>
    </cfRule>
    <cfRule type="cellIs" dxfId="4189" priority="88" operator="greaterThan">
      <formula>$N$62</formula>
    </cfRule>
  </conditionalFormatting>
  <conditionalFormatting sqref="B44:E44">
    <cfRule type="cellIs" dxfId="4188" priority="85" operator="greaterThan">
      <formula>0</formula>
    </cfRule>
    <cfRule type="cellIs" dxfId="4187" priority="86" operator="lessThan">
      <formula>0</formula>
    </cfRule>
  </conditionalFormatting>
  <conditionalFormatting sqref="F72">
    <cfRule type="cellIs" dxfId="4186" priority="84" operator="lessThan">
      <formula>$E$72*90%</formula>
    </cfRule>
  </conditionalFormatting>
  <conditionalFormatting sqref="F73">
    <cfRule type="cellIs" dxfId="4185" priority="83" operator="lessThan">
      <formula>$E$73*90%</formula>
    </cfRule>
  </conditionalFormatting>
  <conditionalFormatting sqref="F74">
    <cfRule type="cellIs" dxfId="4184" priority="82" operator="lessThan">
      <formula>$E$74*90%</formula>
    </cfRule>
  </conditionalFormatting>
  <conditionalFormatting sqref="F75">
    <cfRule type="cellIs" dxfId="4183" priority="81" operator="lessThan">
      <formula>$E$75*90%</formula>
    </cfRule>
  </conditionalFormatting>
  <conditionalFormatting sqref="H44:K44">
    <cfRule type="cellIs" dxfId="4182" priority="79" operator="greaterThan">
      <formula>0</formula>
    </cfRule>
    <cfRule type="cellIs" dxfId="4181" priority="80" operator="lessThan">
      <formula>0</formula>
    </cfRule>
  </conditionalFormatting>
  <conditionalFormatting sqref="H51:K51">
    <cfRule type="cellIs" dxfId="4180" priority="77" operator="greaterThan">
      <formula>0</formula>
    </cfRule>
    <cfRule type="cellIs" dxfId="4179" priority="78" operator="lessThan">
      <formula>0</formula>
    </cfRule>
  </conditionalFormatting>
  <conditionalFormatting sqref="B51:E51">
    <cfRule type="cellIs" dxfId="4178" priority="75" operator="greaterThan">
      <formula>0</formula>
    </cfRule>
    <cfRule type="cellIs" dxfId="417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17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17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174" priority="58" operator="lessThan">
      <formula>0</formula>
    </cfRule>
  </conditionalFormatting>
  <conditionalFormatting sqref="A25 E25 C25">
    <cfRule type="cellIs" dxfId="4173" priority="59" operator="lessThan">
      <formula>0</formula>
    </cfRule>
  </conditionalFormatting>
  <conditionalFormatting sqref="F25">
    <cfRule type="cellIs" dxfId="4172" priority="57" operator="lessThan">
      <formula>0</formula>
    </cfRule>
  </conditionalFormatting>
  <conditionalFormatting sqref="E1">
    <cfRule type="containsText" dxfId="4171" priority="56" operator="containsText" text="本季業外損益/平均=-">
      <formula>NOT(ISERROR(SEARCH("本季業外損益/平均=-",E1)))</formula>
    </cfRule>
  </conditionalFormatting>
  <conditionalFormatting sqref="M65">
    <cfRule type="cellIs" dxfId="4170" priority="55" operator="lessThan">
      <formula>$L$65*90%</formula>
    </cfRule>
  </conditionalFormatting>
  <conditionalFormatting sqref="M66">
    <cfRule type="cellIs" dxfId="4169" priority="54" operator="lessThan">
      <formula>$L$66*90%</formula>
    </cfRule>
  </conditionalFormatting>
  <conditionalFormatting sqref="M67">
    <cfRule type="cellIs" dxfId="4168" priority="53" operator="lessThan">
      <formula>$L$67*90%</formula>
    </cfRule>
  </conditionalFormatting>
  <conditionalFormatting sqref="M68">
    <cfRule type="cellIs" dxfId="4167" priority="52" operator="lessThan">
      <formula>$L$68*90%</formula>
    </cfRule>
  </conditionalFormatting>
  <conditionalFormatting sqref="B60">
    <cfRule type="cellIs" dxfId="4166" priority="51" operator="lessThan">
      <formula>0</formula>
    </cfRule>
  </conditionalFormatting>
  <conditionalFormatting sqref="B59:F59">
    <cfRule type="cellIs" dxfId="4165" priority="50" operator="lessThanOrEqual">
      <formula>0</formula>
    </cfRule>
  </conditionalFormatting>
  <conditionalFormatting sqref="D62">
    <cfRule type="cellIs" dxfId="4164" priority="48" operator="lessThan">
      <formula>$E$62</formula>
    </cfRule>
    <cfRule type="cellIs" dxfId="4163" priority="49" operator="greaterThan">
      <formula>$E$62</formula>
    </cfRule>
  </conditionalFormatting>
  <conditionalFormatting sqref="F69">
    <cfRule type="cellIs" dxfId="4162" priority="46" operator="lessThan">
      <formula>0</formula>
    </cfRule>
  </conditionalFormatting>
  <conditionalFormatting sqref="B65:E67 B69:E69 B68:D68">
    <cfRule type="cellIs" dxfId="4161" priority="47" operator="lessThan">
      <formula>0</formula>
    </cfRule>
  </conditionalFormatting>
  <conditionalFormatting sqref="E68">
    <cfRule type="cellIs" dxfId="4160" priority="45" operator="lessThan">
      <formula>0</formula>
    </cfRule>
  </conditionalFormatting>
  <conditionalFormatting sqref="F65:F68">
    <cfRule type="cellIs" dxfId="4159" priority="44" operator="lessThan">
      <formula>0</formula>
    </cfRule>
  </conditionalFormatting>
  <conditionalFormatting sqref="F65:F68">
    <cfRule type="cellIs" dxfId="4158" priority="43" operator="lessThan">
      <formula>$E$65*0.9</formula>
    </cfRule>
  </conditionalFormatting>
  <conditionalFormatting sqref="F66">
    <cfRule type="cellIs" dxfId="4157" priority="42" operator="lessThan">
      <formula>$E$66*0.9</formula>
    </cfRule>
  </conditionalFormatting>
  <conditionalFormatting sqref="F67:F68">
    <cfRule type="cellIs" dxfId="4156" priority="41" operator="lessThan">
      <formula>$E$67*0.9</formula>
    </cfRule>
  </conditionalFormatting>
  <conditionalFormatting sqref="F68">
    <cfRule type="cellIs" dxfId="4155" priority="40" operator="lessThan">
      <formula>$E$68*0.9</formula>
    </cfRule>
  </conditionalFormatting>
  <conditionalFormatting sqref="B13:F13">
    <cfRule type="cellIs" dxfId="4154" priority="29" operator="greaterThan">
      <formula>$I$16</formula>
    </cfRule>
    <cfRule type="cellIs" dxfId="4153" priority="30" operator="lessThanOrEqual">
      <formula>$I$16</formula>
    </cfRule>
  </conditionalFormatting>
  <conditionalFormatting sqref="B10:F10">
    <cfRule type="cellIs" dxfId="4152" priority="31" operator="greaterThan">
      <formula>15</formula>
    </cfRule>
    <cfRule type="cellIs" dxfId="4151" priority="38" operator="lessThan">
      <formula>$I$9</formula>
    </cfRule>
    <cfRule type="cellIs" dxfId="4150" priority="39" operator="greaterThan">
      <formula>$I$9</formula>
    </cfRule>
  </conditionalFormatting>
  <conditionalFormatting sqref="B16:F16">
    <cfRule type="cellIs" dxfId="4149" priority="36" operator="greaterThan">
      <formula>$I$16</formula>
    </cfRule>
    <cfRule type="cellIs" dxfId="4148" priority="37" operator="lessThanOrEqual">
      <formula>$I$16</formula>
    </cfRule>
  </conditionalFormatting>
  <conditionalFormatting sqref="B15:F15">
    <cfRule type="cellIs" dxfId="4147" priority="34" operator="lessThanOrEqual">
      <formula>$I$16</formula>
    </cfRule>
    <cfRule type="cellIs" dxfId="4146" priority="35" operator="greaterThan">
      <formula>$I$16</formula>
    </cfRule>
  </conditionalFormatting>
  <conditionalFormatting sqref="B14:F14">
    <cfRule type="cellIs" dxfId="4145" priority="32" operator="greaterThan">
      <formula>$I$16</formula>
    </cfRule>
    <cfRule type="cellIs" dxfId="4144" priority="33" operator="lessThanOrEqual">
      <formula>$I$16</formula>
    </cfRule>
  </conditionalFormatting>
  <conditionalFormatting sqref="K6">
    <cfRule type="containsText" dxfId="4143" priority="27" operator="containsText" text="衰退">
      <formula>NOT(ISERROR(SEARCH("衰退",K6)))</formula>
    </cfRule>
    <cfRule type="containsText" dxfId="4142" priority="28" operator="containsText" text="成長">
      <formula>NOT(ISERROR(SEARCH("成長",K6)))</formula>
    </cfRule>
  </conditionalFormatting>
  <conditionalFormatting sqref="I4:K4">
    <cfRule type="cellIs" dxfId="4141" priority="25" operator="lessThan">
      <formula>0</formula>
    </cfRule>
    <cfRule type="cellIs" dxfId="414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139" priority="22" operator="lessThanOrEqual">
      <formula>$I$16</formula>
    </cfRule>
    <cfRule type="cellIs" dxfId="4138" priority="23" operator="greaterThan">
      <formula>$I$16</formula>
    </cfRule>
  </conditionalFormatting>
  <conditionalFormatting sqref="I6">
    <cfRule type="containsText" dxfId="4137" priority="20" operator="containsText" text="衰退">
      <formula>NOT(ISERROR(SEARCH("衰退",I6)))</formula>
    </cfRule>
    <cfRule type="containsText" dxfId="4136" priority="21" operator="containsText" text="成長">
      <formula>NOT(ISERROR(SEARCH("成長",I6)))</formula>
    </cfRule>
  </conditionalFormatting>
  <conditionalFormatting sqref="M9">
    <cfRule type="cellIs" dxfId="4135" priority="19" operator="lessThan">
      <formula>$I$9</formula>
    </cfRule>
  </conditionalFormatting>
  <conditionalFormatting sqref="M10">
    <cfRule type="cellIs" dxfId="4134" priority="18" operator="greaterThan">
      <formula>$I$9</formula>
    </cfRule>
  </conditionalFormatting>
  <conditionalFormatting sqref="M11">
    <cfRule type="cellIs" dxfId="413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132" priority="14" operator="lessThan">
      <formula>0</formula>
    </cfRule>
    <cfRule type="cellIs" dxfId="4131" priority="15" operator="greaterThan">
      <formula>0.5</formula>
    </cfRule>
  </conditionalFormatting>
  <conditionalFormatting sqref="N14">
    <cfRule type="cellIs" dxfId="413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129" priority="10" operator="lessThan">
      <formula>0.1</formula>
    </cfRule>
  </conditionalFormatting>
  <conditionalFormatting sqref="I14">
    <cfRule type="cellIs" dxfId="412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12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126" priority="1" operator="lessThan">
      <formula>$N$5*0.9</formula>
    </cfRule>
    <cfRule type="cellIs" dxfId="4125" priority="2" operator="greaterThan">
      <formula>$N$5*1.1</formula>
    </cfRule>
  </conditionalFormatting>
  <hyperlinks>
    <hyperlink ref="L1" location="儀表板!A1" display="(回首頁)" xr:uid="{00000000-0004-0000-3000-000000000000}"/>
  </hyperlink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14.55 ~ 66.23</v>
      </c>
      <c r="L1" s="83" t="s">
        <v>176</v>
      </c>
      <c r="M1" s="84" t="str">
        <f ca="1">VLOOKUP(_xlfn.NUMBERVALUE(N1),儀表板!A:B,2,FALSE)</f>
        <v>牧德</v>
      </c>
      <c r="N1" s="85" t="str">
        <f ca="1">MID(CELL("filename",L1),FIND("]",CELL("filename",L1))+1,255)</f>
        <v>3563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0.18787067228726545</v>
      </c>
    </row>
    <row r="3" spans="1:15" s="93" customFormat="1" x14ac:dyDescent="0.25">
      <c r="A3" s="81" t="s">
        <v>179</v>
      </c>
      <c r="B3" s="94">
        <f>SUM(F19:F22,F24:F27,J19)</f>
        <v>72.259736371914016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95.88099620131176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104.95778335720281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113.95529726282405</v>
      </c>
      <c r="L3" s="100"/>
      <c r="M3" s="79" t="s">
        <v>385</v>
      </c>
      <c r="N3" s="92">
        <f>(F69-E69)/E69</f>
        <v>0.70743697075618661</v>
      </c>
    </row>
    <row r="4" spans="1:15" s="93" customFormat="1" x14ac:dyDescent="0.25">
      <c r="A4" s="81" t="s">
        <v>182</v>
      </c>
      <c r="B4" s="96">
        <f>SUM(G36:G40)*2</f>
        <v>76</v>
      </c>
      <c r="C4" s="101"/>
      <c r="D4" s="102">
        <f>F4*(1+F141/10)</f>
        <v>4.26</v>
      </c>
      <c r="E4" s="82">
        <f>(D4-F4)/F4</f>
        <v>0</v>
      </c>
      <c r="F4" s="103">
        <v>4.26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7.9566562837238299</v>
      </c>
    </row>
    <row r="5" spans="1:15" s="93" customFormat="1" x14ac:dyDescent="0.25">
      <c r="A5" s="81" t="s">
        <v>184</v>
      </c>
      <c r="B5" s="107">
        <f>SUM(F30:F34)*2</f>
        <v>99.189817376867737</v>
      </c>
      <c r="C5" s="87"/>
      <c r="D5" s="87"/>
      <c r="E5" s="87"/>
      <c r="F5" s="86"/>
      <c r="G5" s="88"/>
      <c r="M5" s="79" t="s">
        <v>375</v>
      </c>
      <c r="N5" s="152">
        <f>D62</f>
        <v>7.81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11.460174519008495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25.48</v>
      </c>
      <c r="N9" s="129"/>
    </row>
    <row r="10" spans="1:15" s="93" customFormat="1" x14ac:dyDescent="0.25">
      <c r="A10" s="123" t="s">
        <v>194</v>
      </c>
      <c r="B10" s="126">
        <f>PERCENTILE(176:176,B9)</f>
        <v>10.74</v>
      </c>
      <c r="C10" s="126">
        <f>PERCENTILE(176:176,C9)</f>
        <v>12.094999999999999</v>
      </c>
      <c r="D10" s="126">
        <f>PERCENTILE(176:176,D9)</f>
        <v>13.24</v>
      </c>
      <c r="E10" s="126">
        <f>PERCENTILE(176:176,E9)</f>
        <v>14.375</v>
      </c>
      <c r="F10" s="126">
        <f>PERCENTILE(176:176,F9)</f>
        <v>16.559999999999999</v>
      </c>
      <c r="G10" s="95"/>
      <c r="H10" s="135"/>
      <c r="I10" s="135"/>
      <c r="J10" s="135"/>
      <c r="K10" s="135"/>
      <c r="L10" s="136" t="s">
        <v>374</v>
      </c>
      <c r="M10" s="130">
        <f>MIN(176:176)</f>
        <v>8.41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26.87</v>
      </c>
      <c r="L11" s="272" t="s">
        <v>193</v>
      </c>
      <c r="M11" s="128">
        <f>STDEV(176:176)</f>
        <v>3.9961164598348979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54.726890756302524</v>
      </c>
      <c r="C13" s="141">
        <f>$B$34/5.88%</f>
        <v>66.454081632653057</v>
      </c>
      <c r="D13" s="141">
        <f>$B$34/5%</f>
        <v>78.149999999999991</v>
      </c>
      <c r="E13" s="141">
        <f>$B$34/4.35%</f>
        <v>89.827586206896555</v>
      </c>
      <c r="F13" s="141">
        <f>$B$34/3.85%</f>
        <v>101.49350649350649</v>
      </c>
      <c r="G13" s="138" t="str">
        <f>"$"&amp;ROUND(B34,2)&amp;"/"&amp;IF(STDEV(C140:F140)/AVERAGE(C140:F140)&lt;15%,"高",IF(STDEV(C140:F140)/AVERAGE(C140:F140)&lt;30%,"中","低"))</f>
        <v>$3.91/高</v>
      </c>
      <c r="H13" s="142" t="s">
        <v>199</v>
      </c>
      <c r="I13" s="143">
        <f>MAX(0,1-J15)</f>
        <v>9.8712446351931327E-2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48.517949999999999</v>
      </c>
      <c r="C14" s="141">
        <f>$B$33*C10</f>
        <v>54.639162499999998</v>
      </c>
      <c r="D14" s="141">
        <f>$B$33*D10</f>
        <v>59.811700000000002</v>
      </c>
      <c r="E14" s="141">
        <f>$B$33*E10</f>
        <v>64.939062500000006</v>
      </c>
      <c r="F14" s="141">
        <f>$B$33*F10</f>
        <v>74.809799999999996</v>
      </c>
      <c r="G14" s="138" t="str">
        <f>"$"&amp;ROUND(B33,2)&amp;"/"&amp;IF(STDEV(B69:E69)/AVERAGE(B69:E69)&lt;15%,"高",IF(STDEV(B69:E69)/AVERAGE(B69:E69)&lt;30%,"中","低"))</f>
        <v>$4.52/中</v>
      </c>
      <c r="H14" s="142" t="s">
        <v>203</v>
      </c>
      <c r="I14" s="145">
        <f>G62/100*I13</f>
        <v>2.9672961373390556E-2</v>
      </c>
      <c r="J14" s="76" t="s">
        <v>204</v>
      </c>
      <c r="K14" s="146"/>
      <c r="L14" s="147">
        <f>(HLOOKUP($C$1,$105:$106,2,FALSE)-HLOOKUP($C$1,$117:$127,9,FALSE))/(HLOOKUP($C$1,$117:$128,12,FALSE)/K11)</f>
        <v>12.598054018333048</v>
      </c>
      <c r="M14" s="148">
        <f>E135/E69</f>
        <v>0.84120171673819744</v>
      </c>
      <c r="N14" s="149">
        <f>F173/100</f>
        <v>1.0361</v>
      </c>
    </row>
    <row r="15" spans="1:15" s="93" customFormat="1" x14ac:dyDescent="0.25">
      <c r="A15" s="140" t="s">
        <v>375</v>
      </c>
      <c r="B15" s="141">
        <f>$D$62*B10</f>
        <v>83.879400000000004</v>
      </c>
      <c r="C15" s="141">
        <f>$D$62*C10</f>
        <v>94.461949999999987</v>
      </c>
      <c r="D15" s="141">
        <f>$D$62*D10</f>
        <v>103.4044</v>
      </c>
      <c r="E15" s="141">
        <f>$D$62*E10</f>
        <v>112.26875</v>
      </c>
      <c r="F15" s="141">
        <f>$D$62*F10</f>
        <v>129.33359999999999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0.90128755364806867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85.454488487193942</v>
      </c>
      <c r="C16" s="141">
        <f>$F$69*C10</f>
        <v>96.23575775163971</v>
      </c>
      <c r="D16" s="141">
        <f>$F$69*D10</f>
        <v>105.34612919650351</v>
      </c>
      <c r="E16" s="141">
        <f>$F$69*E10</f>
        <v>114.37693407853006</v>
      </c>
      <c r="F16" s="141">
        <f>$F$69*F10</f>
        <v>131.7622280584666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2569</v>
      </c>
      <c r="J17" s="92">
        <f ca="1">IF(I17&lt;=0,"",IF(I17&lt;=MIN($B$13:$F$16),(I17-MIN($B$13:$F$16))/MIN($B$13:$F$16),IF(I17&gt;=MAX($B$13:$F$16),I17/MAX($B$13:$F$16),PERCENTRANK($B$13:$F$16,I17))))</f>
        <v>19.497241643941102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3.0149999999999997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0.77159309021113243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0.1468141327604518</v>
      </c>
      <c r="J20" s="171">
        <f>HLOOKUP($C$1,$117:$127,11,FALSE)/HLOOKUP($C$1,$105:$115,11,FALSE)</f>
        <v>0.25702265062813578</v>
      </c>
      <c r="K20" s="163"/>
    </row>
    <row r="21" spans="1:14" s="93" customFormat="1" x14ac:dyDescent="0.25">
      <c r="A21" s="151" t="s">
        <v>201</v>
      </c>
      <c r="B21" s="161">
        <f>AVERAGE(C173:F173)/100</f>
        <v>0.99760000000000004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13.478400000000001</v>
      </c>
      <c r="G21" s="88" t="s">
        <v>220</v>
      </c>
      <c r="H21" s="123" t="s">
        <v>221</v>
      </c>
      <c r="I21" s="162">
        <f>HLOOKUP($C$1,$105:$115,7,FALSE)/HLOOKUP($C$1,$117:$127,8,FALSE)</f>
        <v>3.348277903878417</v>
      </c>
      <c r="J21" s="78"/>
      <c r="K21" s="164" t="s">
        <v>356</v>
      </c>
      <c r="L21" s="165">
        <f>HLOOKUP($C$1,$105:$115,7,FALSE)/HLOOKUP($C$1,$105:$115,11,FALSE)</f>
        <v>0.84239157759877648</v>
      </c>
      <c r="M21" s="123" t="s">
        <v>268</v>
      </c>
      <c r="N21" s="165">
        <f>HLOOKUP($C$1,$117:$127,8,FALSE)/HLOOKUP($C$1,$117:$127,11,FALSE)</f>
        <v>0.97886121529295556</v>
      </c>
    </row>
    <row r="22" spans="1:14" s="93" customFormat="1" x14ac:dyDescent="0.25">
      <c r="A22" s="140" t="s">
        <v>222</v>
      </c>
      <c r="B22" s="161">
        <f>(-1)*SUM(C133:F133)/SUM(C132:F132)</f>
        <v>0.29415204678362572</v>
      </c>
      <c r="C22" s="157"/>
      <c r="D22" s="166"/>
      <c r="E22" s="140"/>
      <c r="F22" s="159">
        <f>IF(B22&lt;=0,10,IF(B22&gt;=100%,0,(1-B22)*10))</f>
        <v>7.0584795321637426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2.8692687259449325</v>
      </c>
      <c r="J22" s="78"/>
      <c r="K22" s="142" t="s">
        <v>357</v>
      </c>
      <c r="L22" s="165">
        <f>HLOOKUP($C$1,$105:$115,4,FALSE)/HLOOKUP($C$1,$105:$115,11,FALSE)</f>
        <v>0.35603899848358544</v>
      </c>
      <c r="M22" s="123" t="s">
        <v>353</v>
      </c>
      <c r="N22" s="165">
        <f>HLOOKUP($C$1,$117:$127,4,FALSE)/HLOOKUP($C$1,$117:$127,11,FALSE)</f>
        <v>0.42878912655497942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1.3459360515437391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0.12051368156038626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1.0041136106300077</v>
      </c>
      <c r="C24" s="169">
        <f>STDEV(C103:F103)</f>
        <v>1.5446022280498637E-2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121.62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1.8044899030872662E-2</v>
      </c>
      <c r="M24" s="123" t="s">
        <v>355</v>
      </c>
      <c r="N24" s="165">
        <f>HLOOKUP($C$1,$117:$127,9,FALSE)/HLOOKUP($C$1,$117:$127,11,FALSE)</f>
        <v>2.113878470704441E-2</v>
      </c>
    </row>
    <row r="25" spans="1:14" s="93" customFormat="1" x14ac:dyDescent="0.25">
      <c r="A25" s="151" t="s">
        <v>366</v>
      </c>
      <c r="B25" s="255">
        <f>AVERAGE(94:94)</f>
        <v>3881.521739130435</v>
      </c>
      <c r="C25" s="254">
        <f>STDEV(94:94)/AVERAGE(94:94)</f>
        <v>3.2771431602497243</v>
      </c>
      <c r="D25" s="76" t="str">
        <f>IF(C25&lt;=1,"高",IF(C25&lt;=2,"中","低"))</f>
        <v>低</v>
      </c>
      <c r="E25" s="149"/>
      <c r="F25" s="160">
        <f>MAX(0,10-ABS(C25))</f>
        <v>6.7228568397502757</v>
      </c>
      <c r="G25" s="88" t="s">
        <v>213</v>
      </c>
      <c r="H25" s="123" t="s">
        <v>232</v>
      </c>
      <c r="I25" s="170">
        <f>IF(HLOOKUP(C1,167:170,3,FALSE)="無",0,HLOOKUP(C1,167:170,3,FALSE))</f>
        <v>113.92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160.17608695652171</v>
      </c>
      <c r="C26" s="172">
        <f>IF(COUNTIF(168:168,"&gt;0")=0,0,STDEV(168:168))</f>
        <v>35.16420012392917</v>
      </c>
      <c r="D26" s="76" t="str">
        <f>IF(C26&lt;=15,"高",IF(C26&lt;=30,"中","低"))</f>
        <v>低</v>
      </c>
      <c r="E26" s="149"/>
      <c r="F26" s="160">
        <f>IF(I24&lt;=60,4,IF(I24&lt;=90,3,IF(I24&lt;=120,2,IF(I24&lt;=150,1,0))))+IF(D26="高",6,IF(D26="中",4,2))</f>
        <v>3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170.09434782608696</v>
      </c>
      <c r="C27" s="172">
        <f>IF(COUNTIF(169:169,"&gt;0")=0,0,STDEV(169:169))</f>
        <v>35.75045528331659</v>
      </c>
      <c r="D27" s="76" t="str">
        <f>IF(C27&lt;=15,"高",IF(C27&lt;=30,"中","低"))</f>
        <v>低</v>
      </c>
      <c r="E27" s="149"/>
      <c r="F27" s="160">
        <f>IF(I25&lt;=60,4,IF(I25&lt;=90,3,IF(I25&lt;=120,2,IF(I25&lt;=150,1,0))))+IF(D27="高",6,IF(D27="中",4,2))</f>
        <v>4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0.59624999999999995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0.26267499999999999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19.03</v>
      </c>
      <c r="C32" s="157" t="s">
        <v>217</v>
      </c>
      <c r="D32" s="174">
        <f>COUNTIF(159:159,"&gt;3")/COUNT(159:159)</f>
        <v>0.86956521739130432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4.5175000000000001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3.9074999999999998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9.5949086884338683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697583.25</v>
      </c>
      <c r="C36" s="178">
        <f>STDEV(C97:F97)</f>
        <v>86485.598733257313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59.625</v>
      </c>
      <c r="C37" s="180">
        <f>STDEV(C152:F152)</f>
        <v>2.8412027969388829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29.9</v>
      </c>
      <c r="C38" s="180">
        <f>STDEV(C153:F153)</f>
        <v>2.4335707646720834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19.03</v>
      </c>
      <c r="C39" s="181">
        <f>STDEV(C165:F165)</f>
        <v>4.5115112028380482</v>
      </c>
      <c r="D39" s="76" t="str">
        <f>IF(C39/B39&lt;15%,"高",IF(C39/B39&lt;30%,"中","低"))</f>
        <v>中</v>
      </c>
      <c r="E39" s="107">
        <f>IF(F165&gt;E165,1,0)+IF(E165&gt;D165,1,0)+IF(D165&gt;C165,1,0)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4.5175000000000001</v>
      </c>
      <c r="C40" s="183">
        <f>STDEV(B69:E69)</f>
        <v>0.85620772401717249</v>
      </c>
      <c r="D40" s="76" t="str">
        <f>IF(C40/B40&lt;15%,"高",IF(C40/B40&lt;30%,"中","低"))</f>
        <v>中</v>
      </c>
      <c r="E40" s="107">
        <f>IF(E69&gt;D69,1,0)+IF(D69&gt;C69,1,0)+IF(C69&gt;B69,1,0)</f>
        <v>1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0.76470588235294124</v>
      </c>
      <c r="C44" s="186">
        <f>(C46-C49)/C49</f>
        <v>1.311827956989247</v>
      </c>
      <c r="D44" s="186">
        <f>(D46-D49)/D49</f>
        <v>1.1692307692307691</v>
      </c>
      <c r="E44" s="186">
        <f>(E46-E49)/E49</f>
        <v>2.229166666666667</v>
      </c>
      <c r="G44" s="86" t="s">
        <v>175</v>
      </c>
      <c r="H44" s="186">
        <f>(H47-H50)/H50</f>
        <v>9.3406593406593803E-3</v>
      </c>
      <c r="I44" s="186">
        <f>(I47-I50)/I50</f>
        <v>-7.7414205905826053E-2</v>
      </c>
      <c r="J44" s="186">
        <f>(J47-J50)/J50</f>
        <v>0.46511627906976738</v>
      </c>
      <c r="K44" s="186">
        <f>(K47-K50)/K50</f>
        <v>0.17364657814096035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2.7</v>
      </c>
      <c r="C46" s="152">
        <f>HLOOKUP(C45,$81:$82,2,FALSE)</f>
        <v>2.15</v>
      </c>
      <c r="D46" s="152">
        <f>HLOOKUP(D45,$81:$82,2,FALSE)</f>
        <v>1.41</v>
      </c>
      <c r="E46" s="152">
        <f>HLOOKUP(E45,$81:$82,2,FALSE)</f>
        <v>1.55</v>
      </c>
      <c r="G46" s="86" t="s">
        <v>164</v>
      </c>
      <c r="H46" s="145">
        <f>HLOOKUP(H45,$145:$147,2,FALSE)/100</f>
        <v>0.59889999999999999</v>
      </c>
      <c r="I46" s="145">
        <f>HLOOKUP(I45,$145:$147,2,FALSE)/100</f>
        <v>0.61890000000000001</v>
      </c>
      <c r="J46" s="145">
        <f>HLOOKUP(J45,$145:$147,2,FALSE)/100</f>
        <v>0.63229999999999997</v>
      </c>
      <c r="K46" s="145">
        <f>HLOOKUP(K45,$145:$147,2,FALSE)/100</f>
        <v>0.59</v>
      </c>
    </row>
    <row r="47" spans="1:14" x14ac:dyDescent="0.25">
      <c r="A47" s="188" t="s">
        <v>165</v>
      </c>
      <c r="B47" s="189">
        <f>HLOOKUP(B45,$157:$159,3,FALSE)</f>
        <v>10.02</v>
      </c>
      <c r="C47" s="189">
        <f>HLOOKUP(C45,$157:$159,3,FALSE)</f>
        <v>8.17</v>
      </c>
      <c r="D47" s="189">
        <f>HLOOKUP(D45,$157:$159,3,FALSE)</f>
        <v>5.59</v>
      </c>
      <c r="E47" s="189">
        <f>HLOOKUP(E45,$157:$159,3,FALSE)</f>
        <v>6.28</v>
      </c>
      <c r="G47" s="190" t="s">
        <v>166</v>
      </c>
      <c r="H47" s="145">
        <f>HLOOKUP(H45,$145:$147,3,FALSE)/100</f>
        <v>0.3674</v>
      </c>
      <c r="I47" s="145">
        <f>HLOOKUP(I45,$145:$147,3,FALSE)/100</f>
        <v>0.3468</v>
      </c>
      <c r="J47" s="145">
        <f>HLOOKUP(J45,$145:$147,3,FALSE)/100</f>
        <v>0.3654</v>
      </c>
      <c r="K47" s="145">
        <f>HLOOKUP(K45,$145:$147,3,FALSE)/100</f>
        <v>0.2298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1.53</v>
      </c>
      <c r="C49" s="152">
        <f>HLOOKUP(C48,$81:$82,2,FALSE)</f>
        <v>0.93</v>
      </c>
      <c r="D49" s="152">
        <f>HLOOKUP(D48,$81:$82,2,FALSE)</f>
        <v>0.65</v>
      </c>
      <c r="E49" s="152">
        <f>HLOOKUP(E48,$81:$82,2,FALSE)</f>
        <v>0.48</v>
      </c>
      <c r="G49" s="86" t="s">
        <v>164</v>
      </c>
      <c r="H49" s="145">
        <f>HLOOKUP(H48,$145:$147,2,FALSE)/100</f>
        <v>0.62609999999999999</v>
      </c>
      <c r="I49" s="145">
        <f>HLOOKUP(I48,$145:$147,2,FALSE)/100</f>
        <v>0.66069999999999995</v>
      </c>
      <c r="J49" s="145">
        <f>HLOOKUP(J48,$145:$147,2,FALSE)/100</f>
        <v>0.59279999999999999</v>
      </c>
      <c r="K49" s="145">
        <f>HLOOKUP(K48,$145:$147,2,FALSE)/100</f>
        <v>0.57140000000000002</v>
      </c>
    </row>
    <row r="50" spans="1:15" x14ac:dyDescent="0.25">
      <c r="A50" s="188" t="s">
        <v>165</v>
      </c>
      <c r="B50" s="189">
        <f>HLOOKUP(B48,$157:$159,3,FALSE)</f>
        <v>6.28</v>
      </c>
      <c r="C50" s="189">
        <f>HLOOKUP(C48,$157:$159,3,FALSE)</f>
        <v>4.5</v>
      </c>
      <c r="D50" s="189">
        <f>HLOOKUP(D48,$157:$159,3,FALSE)</f>
        <v>2.4900000000000002</v>
      </c>
      <c r="E50" s="189">
        <f>HLOOKUP(E48,$157:$159,3,FALSE)</f>
        <v>1.78</v>
      </c>
      <c r="G50" s="190" t="s">
        <v>166</v>
      </c>
      <c r="H50" s="145">
        <f>HLOOKUP(H48,$145:$147,3,FALSE)/100</f>
        <v>0.36399999999999999</v>
      </c>
      <c r="I50" s="145">
        <f>HLOOKUP(I48,$145:$147,3,FALSE)/100</f>
        <v>0.37590000000000001</v>
      </c>
      <c r="J50" s="145">
        <f>HLOOKUP(J48,$145:$147,3,FALSE)/100</f>
        <v>0.24940000000000001</v>
      </c>
      <c r="K50" s="145">
        <f>HLOOKUP(K48,$145:$147,3,FALSE)/100</f>
        <v>0.19579999999999997</v>
      </c>
    </row>
    <row r="51" spans="1:15" x14ac:dyDescent="0.25">
      <c r="A51" s="86" t="s">
        <v>351</v>
      </c>
      <c r="B51" s="186">
        <f>(B47-B50)/B50</f>
        <v>0.59554140127388522</v>
      </c>
      <c r="C51" s="186">
        <f>(C47-C50)/C50</f>
        <v>0.81555555555555559</v>
      </c>
      <c r="D51" s="186">
        <f>(D47-D50)/D50</f>
        <v>1.2449799196787146</v>
      </c>
      <c r="E51" s="186">
        <f>(E47-E50)/E50</f>
        <v>2.5280898876404496</v>
      </c>
      <c r="G51" s="235" t="s">
        <v>174</v>
      </c>
      <c r="H51" s="186">
        <f>(H46-H49)/H49</f>
        <v>-4.3443539370707558E-2</v>
      </c>
      <c r="I51" s="186">
        <f>(I46-I49)/I49</f>
        <v>-6.3266232783411466E-2</v>
      </c>
      <c r="J51" s="186">
        <f>(J46-J49)/J49</f>
        <v>6.6632928475033701E-2</v>
      </c>
      <c r="K51" s="186">
        <f>(K46-K49)/K49</f>
        <v>3.2551627581378979E-2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11.460174519008495</v>
      </c>
      <c r="B53" s="193">
        <f>B46</f>
        <v>2.7</v>
      </c>
      <c r="C53" s="193">
        <f>E46/HLOOKUP(E45,$87:$94,5,FALSE)*HLOOKUP(E45,$87:$94,4,FALSE)*($B$25/HLOOKUP(E45,$87:$94,4,FALSE)+SUM($B$57:$D$57)/SUM($B58:$D$58)*$G$69/100/K46)</f>
        <v>2.3019072596503403</v>
      </c>
      <c r="D53" s="193">
        <f>D46/HLOOKUP(D45,$87:$94,5,FALSE)*HLOOKUP(D45,$87:$94,4,FALSE)*($B$25/HLOOKUP(D45,$87:$94,4,FALSE)+SUM($B$57:$D$57)/SUM($B58:$D$58)*$G$69/100/J46)</f>
        <v>2.8191044657591453</v>
      </c>
      <c r="E53" s="193">
        <f>C46/HLOOKUP(C45,$87:$94,5,FALSE)*HLOOKUP(C45,$87:$94,4,FALSE)*($B$25/HLOOKUP(C45,$87:$94,4,FALSE)+SUM($B$57:$D$57)/SUM($B58:$D$58)*$G$69/100/I46)</f>
        <v>3.6391627935990098</v>
      </c>
    </row>
    <row r="54" spans="1:15" x14ac:dyDescent="0.25">
      <c r="A54" s="278">
        <f>SUM(B54:E54)</f>
        <v>6.6400000000000006</v>
      </c>
      <c r="B54" s="277">
        <f t="shared" ref="B54:D54" si="0">HLOOKUP(B52-10,81:82,2,FALSE)</f>
        <v>1.53</v>
      </c>
      <c r="C54" s="277">
        <f t="shared" si="0"/>
        <v>1.55</v>
      </c>
      <c r="D54" s="277">
        <f t="shared" si="0"/>
        <v>1.41</v>
      </c>
      <c r="E54" s="277">
        <f>HLOOKUP(E52-10,81:82,2,FALSE)</f>
        <v>2.15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171377</v>
      </c>
      <c r="C57" s="196">
        <f>HLOOKUP(C56,78:79,2,FALSE)</f>
        <v>132750</v>
      </c>
      <c r="D57" s="196">
        <f>HLOOKUP(D56,78:79,2,FALSE)</f>
        <v>120732</v>
      </c>
      <c r="E57" s="196">
        <f>HLOOKUP(E56,78:79,2,FALSE)</f>
        <v>116381</v>
      </c>
      <c r="F57" s="196">
        <f>HLOOKUP(F56,78:79,2,FALSE)</f>
        <v>112102</v>
      </c>
      <c r="G57" s="196">
        <f t="shared" ref="G57:M57" si="2">HLOOKUP(G56,78:79,2,FALSE)</f>
        <v>94932</v>
      </c>
      <c r="H57" s="196">
        <f t="shared" si="2"/>
        <v>90136</v>
      </c>
      <c r="I57" s="196">
        <f t="shared" si="2"/>
        <v>86495</v>
      </c>
      <c r="J57" s="196">
        <f t="shared" si="2"/>
        <v>73996</v>
      </c>
      <c r="K57" s="196">
        <f t="shared" si="2"/>
        <v>70664</v>
      </c>
      <c r="L57" s="196">
        <f t="shared" si="2"/>
        <v>63386</v>
      </c>
      <c r="M57" s="196">
        <f t="shared" si="2"/>
        <v>92729</v>
      </c>
      <c r="N57" s="197"/>
    </row>
    <row r="58" spans="1:15" x14ac:dyDescent="0.25">
      <c r="A58" s="198" t="s">
        <v>253</v>
      </c>
      <c r="B58" s="196">
        <f>HLOOKUP(B56-100,78:79,2,FALSE)</f>
        <v>91335</v>
      </c>
      <c r="C58" s="196">
        <f>HLOOKUP(C56-100,78:79,2,FALSE)</f>
        <v>86689</v>
      </c>
      <c r="D58" s="196">
        <f>HLOOKUP(D56-100,78:79,2,FALSE)</f>
        <v>73074</v>
      </c>
      <c r="E58" s="196">
        <f>HLOOKUP(E56-100,78:79,2,FALSE)</f>
        <v>67168</v>
      </c>
      <c r="F58" s="196">
        <f>HLOOKUP(F56-100,78:79,2,FALSE)</f>
        <v>68785</v>
      </c>
      <c r="G58" s="196">
        <f t="shared" ref="G58:M58" si="3">HLOOKUP(G56-100,78:79,2,FALSE)</f>
        <v>57422</v>
      </c>
      <c r="H58" s="196">
        <f t="shared" si="3"/>
        <v>57890</v>
      </c>
      <c r="I58" s="196">
        <f t="shared" si="3"/>
        <v>66419</v>
      </c>
      <c r="J58" s="196">
        <f t="shared" si="3"/>
        <v>36961</v>
      </c>
      <c r="K58" s="196">
        <f t="shared" si="3"/>
        <v>43166</v>
      </c>
      <c r="L58" s="196">
        <f t="shared" si="3"/>
        <v>41552</v>
      </c>
      <c r="M58" s="196">
        <f t="shared" si="3"/>
        <v>42522</v>
      </c>
      <c r="N58" s="197"/>
    </row>
    <row r="59" spans="1:15" x14ac:dyDescent="0.25">
      <c r="A59" s="199" t="s">
        <v>254</v>
      </c>
      <c r="B59" s="165">
        <f>IF(B57&lt;&gt;"",(B57-B58)/B58,"")</f>
        <v>0.87635627087096946</v>
      </c>
      <c r="C59" s="165">
        <f>IF(C57&lt;&gt;"",(C57-C58)/C58,"")</f>
        <v>0.53133615568295867</v>
      </c>
      <c r="D59" s="165">
        <f>IF(D57&lt;&gt;"",(D57-D58)/D58,"")</f>
        <v>0.65218819279086948</v>
      </c>
      <c r="E59" s="165">
        <f>IF(E57&lt;&gt;"",(E57-E58)/E58,"")</f>
        <v>0.73268520724154362</v>
      </c>
      <c r="F59" s="165">
        <f>IF(F57&lt;&gt;"",(F57-F58)/F58,"")</f>
        <v>0.62974485716362583</v>
      </c>
      <c r="G59" s="165">
        <f t="shared" ref="G59:M59" si="4">IF(G57&lt;&gt;"",(G57-G58)/G58,"")</f>
        <v>0.65323395214377766</v>
      </c>
      <c r="H59" s="165">
        <f t="shared" si="4"/>
        <v>0.55702193815857659</v>
      </c>
      <c r="I59" s="165">
        <f t="shared" si="4"/>
        <v>0.30226290669838451</v>
      </c>
      <c r="J59" s="165">
        <f t="shared" si="4"/>
        <v>1.0020021103325127</v>
      </c>
      <c r="K59" s="165">
        <f t="shared" si="4"/>
        <v>0.63702914330723259</v>
      </c>
      <c r="L59" s="165">
        <f t="shared" si="4"/>
        <v>0.52546207162110126</v>
      </c>
      <c r="M59" s="165">
        <f t="shared" si="4"/>
        <v>1.1807299750717275</v>
      </c>
    </row>
    <row r="60" spans="1:15" x14ac:dyDescent="0.25">
      <c r="A60" s="195" t="s">
        <v>255</v>
      </c>
      <c r="B60" s="196">
        <f>SUM(B57:M57)</f>
        <v>1225680</v>
      </c>
    </row>
    <row r="61" spans="1:15" x14ac:dyDescent="0.25">
      <c r="A61" s="198" t="s">
        <v>256</v>
      </c>
      <c r="B61" s="196">
        <f>SUM(B58:M58)</f>
        <v>732983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1.6721806644901724</v>
      </c>
      <c r="D62" s="152">
        <f>SUM(B46:E46)</f>
        <v>7.81</v>
      </c>
      <c r="E62" s="152">
        <f>SUM(B49:E49)</f>
        <v>3.59</v>
      </c>
      <c r="G62" s="126">
        <f>SUM(B47:E47)</f>
        <v>30.06</v>
      </c>
      <c r="H62" s="126">
        <f>SUM(B50:E50)</f>
        <v>15.05</v>
      </c>
      <c r="J62" s="200">
        <f>AVERAGE(H46:K46)</f>
        <v>0.61002499999999993</v>
      </c>
      <c r="K62" s="200">
        <f>AVERAGE(H49:K49)</f>
        <v>0.61275000000000002</v>
      </c>
      <c r="M62" s="200">
        <f>AVERAGE(H47:K47)</f>
        <v>0.32734999999999997</v>
      </c>
      <c r="N62" s="200">
        <f>AVERAGE(H50:K50)</f>
        <v>0.29627500000000001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1.5</v>
      </c>
      <c r="C65" s="205">
        <f t="shared" si="5"/>
        <v>0.93</v>
      </c>
      <c r="D65" s="205">
        <f t="shared" si="5"/>
        <v>0.8</v>
      </c>
      <c r="E65" s="205">
        <f t="shared" si="5"/>
        <v>0.65</v>
      </c>
      <c r="F65" s="206">
        <f>IF(ISNA(HLOOKUP(F$64*10+$A65,$81:$82,2,FALSE)),(HLOOKUP(E$64*10+$A65,$87:$94,4,FALSE)*$G65+$B$25)/HLOOKUP(E$64*10+$A65,$87:$94,5,FALSE)*$E65,HLOOKUP(F$64*10+$A65,$81:$82,2,FALSE))</f>
        <v>1.41</v>
      </c>
      <c r="G65" s="101">
        <f>MIN(130%,SUM($B$57:$D$57)/SUM($B$58:$D$58)*$G$69/HLOOKUP(E$64*10+$A65,$145:$146,2,FALSE))</f>
        <v>1.3</v>
      </c>
      <c r="H65" s="204">
        <v>1</v>
      </c>
      <c r="I65" s="208">
        <f t="shared" ref="I65:M68" si="6">IF(ISNA(HLOOKUP(I$64*10+$H65,$145:$147,3,FALSE)),"",HLOOKUP(I$64*10+$H65,$145:$147,3,FALSE)/100)</f>
        <v>0.35</v>
      </c>
      <c r="J65" s="208">
        <f t="shared" si="6"/>
        <v>0.29220000000000002</v>
      </c>
      <c r="K65" s="208">
        <f t="shared" si="6"/>
        <v>0.30760000000000004</v>
      </c>
      <c r="L65" s="208">
        <f t="shared" si="6"/>
        <v>0.24940000000000001</v>
      </c>
      <c r="M65" s="209">
        <f t="shared" si="6"/>
        <v>0.3654</v>
      </c>
      <c r="N65" s="256">
        <f t="shared" ref="N65:O68" si="7">HLOOKUP(E$64*10+$A65,$87:$94,8,FALSE)</f>
        <v>-5384</v>
      </c>
      <c r="O65" s="256">
        <f t="shared" si="7"/>
        <v>-12064</v>
      </c>
      <c r="P65" s="210"/>
    </row>
    <row r="66" spans="1:71" x14ac:dyDescent="0.25">
      <c r="A66" s="204">
        <v>2</v>
      </c>
      <c r="B66" s="205">
        <f t="shared" si="5"/>
        <v>2.0099999999999998</v>
      </c>
      <c r="C66" s="205">
        <f t="shared" si="5"/>
        <v>1.01</v>
      </c>
      <c r="D66" s="205">
        <f t="shared" si="5"/>
        <v>0.93</v>
      </c>
      <c r="E66" s="205">
        <f t="shared" si="5"/>
        <v>0.93</v>
      </c>
      <c r="F66" s="206">
        <f>IF(ISNA(HLOOKUP(F$64*10+$A66,$81:$82,2,FALSE)),(HLOOKUP(E$64*10+$A66,$87:$94,4,FALSE)*$G66+$B$25)/HLOOKUP(E$64*10+$A66,$87:$94,5,FALSE)*$E66,HLOOKUP(F$64*10+$A66,$81:$82,2,FALSE))</f>
        <v>2.15</v>
      </c>
      <c r="G66" s="101">
        <f>MIN(130%,SUM($B$57:$D$57)/SUM($B$58:$D$58)*$G$69/HLOOKUP(E$64*10+$A66,$145:$146,2,FALSE))</f>
        <v>1.3</v>
      </c>
      <c r="H66" s="204">
        <v>2</v>
      </c>
      <c r="I66" s="208">
        <f t="shared" si="6"/>
        <v>0.39140000000000003</v>
      </c>
      <c r="J66" s="208">
        <f t="shared" si="6"/>
        <v>0.28949999999999998</v>
      </c>
      <c r="K66" s="208">
        <f t="shared" si="6"/>
        <v>0.34329999999999999</v>
      </c>
      <c r="L66" s="208">
        <f t="shared" si="6"/>
        <v>0.37590000000000001</v>
      </c>
      <c r="M66" s="209">
        <f t="shared" si="6"/>
        <v>0.3468</v>
      </c>
      <c r="N66" s="256">
        <f t="shared" si="7"/>
        <v>278</v>
      </c>
      <c r="O66" s="256">
        <f t="shared" si="7"/>
        <v>2992</v>
      </c>
      <c r="P66" s="210"/>
    </row>
    <row r="67" spans="1:71" x14ac:dyDescent="0.25">
      <c r="A67" s="204">
        <v>3</v>
      </c>
      <c r="B67" s="205">
        <f t="shared" si="5"/>
        <v>1.71</v>
      </c>
      <c r="C67" s="205">
        <f t="shared" si="5"/>
        <v>1.38</v>
      </c>
      <c r="D67" s="205">
        <f t="shared" si="5"/>
        <v>1.51</v>
      </c>
      <c r="E67" s="205">
        <f t="shared" si="5"/>
        <v>1.53</v>
      </c>
      <c r="F67" s="206">
        <f>IF(ISNA(HLOOKUP(F$64*10+$A67,$81:$82,2,FALSE)),(HLOOKUP(E$64*10+$A67,$87:$94,4,FALSE)*$G67+$B$25)/HLOOKUP(E$64*10+$A67,$87:$94,5,FALSE)*$E67,HLOOKUP(F$64*10+$A67,$81:$82,2,FALSE))</f>
        <v>2.7</v>
      </c>
      <c r="G67" s="101">
        <f>MIN(130%,SUM($B$57:$D$57)/SUM($B$58:$D$58)*$G$69/HLOOKUP(E$64*10+$A67,$145:$146,2,FALSE))</f>
        <v>1.3</v>
      </c>
      <c r="H67" s="204">
        <v>3</v>
      </c>
      <c r="I67" s="208">
        <f t="shared" si="6"/>
        <v>0.3453</v>
      </c>
      <c r="J67" s="208">
        <f t="shared" si="6"/>
        <v>0.3034</v>
      </c>
      <c r="K67" s="208">
        <f t="shared" si="6"/>
        <v>0.31900000000000001</v>
      </c>
      <c r="L67" s="208">
        <f t="shared" si="6"/>
        <v>0.36399999999999999</v>
      </c>
      <c r="M67" s="209">
        <f t="shared" si="6"/>
        <v>0.3674</v>
      </c>
      <c r="N67" s="256">
        <f t="shared" si="7"/>
        <v>-8335</v>
      </c>
      <c r="O67" s="256">
        <f t="shared" si="7"/>
        <v>-151</v>
      </c>
      <c r="P67" s="210"/>
    </row>
    <row r="68" spans="1:71" x14ac:dyDescent="0.25">
      <c r="A68" s="204">
        <v>4</v>
      </c>
      <c r="B68" s="205">
        <f>HLOOKUP(B$64*10+$A68,$81:$82,2,FALSE)</f>
        <v>0.44</v>
      </c>
      <c r="C68" s="205">
        <f>HLOOKUP(C$64*10+$A68,$81:$82,2,FALSE)</f>
        <v>0.71</v>
      </c>
      <c r="D68" s="205">
        <f>HLOOKUP(D$64*10+$A68,$81:$82,2,FALSE)</f>
        <v>0.48</v>
      </c>
      <c r="E68" s="206">
        <f>IF(ISNA(HLOOKUP(E$64*10+$A68,$81:$82,2,FALSE)),D68*(1-$N68)*#REF!*(1+$B$25)/(1+$E$4),HLOOKUP(E$64*10+$A68,$81:$82,2,FALSE))</f>
        <v>1.55</v>
      </c>
      <c r="F68" s="206">
        <f>IF(ISNA(HLOOKUP(F$64*10+$A68,$81:$82,2,FALSE)),(HLOOKUP(E$64*10+$A68,$87:$94,4,FALSE)*$G68+$B$25)/HLOOKUP(E$64*10+$A68,$87:$94,5,FALSE)*$E68,HLOOKUP(F$64*10+$A68,$81:$82,2,FALSE))</f>
        <v>1.6966562837238304</v>
      </c>
      <c r="G68" s="101">
        <f>MIN(130%,SUM($B$57:$D$57)/SUM($B$58:$D$58)*$G$69/HLOOKUP(E$64*10+$A68,$145:$146,2,FALSE))</f>
        <v>1.3</v>
      </c>
      <c r="H68" s="204">
        <v>4</v>
      </c>
      <c r="I68" s="208">
        <f t="shared" si="6"/>
        <v>0.1321</v>
      </c>
      <c r="J68" s="208">
        <f t="shared" si="6"/>
        <v>0.15079999999999999</v>
      </c>
      <c r="K68" s="208">
        <f t="shared" si="6"/>
        <v>0.19579999999999997</v>
      </c>
      <c r="L68" s="208">
        <f t="shared" si="6"/>
        <v>0.2298</v>
      </c>
      <c r="M68" s="209" t="str">
        <f t="shared" si="6"/>
        <v/>
      </c>
      <c r="N68" s="256">
        <f t="shared" si="7"/>
        <v>14443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5.66</v>
      </c>
      <c r="C69" s="213">
        <f>SUM(C65:C68)</f>
        <v>4.0299999999999994</v>
      </c>
      <c r="D69" s="213">
        <f>SUM(D65:D68)</f>
        <v>3.72</v>
      </c>
      <c r="E69" s="213">
        <f>SUM(E65:E68)</f>
        <v>4.66</v>
      </c>
      <c r="F69" s="213">
        <f>SUM(F65:F68)</f>
        <v>7.9566562837238299</v>
      </c>
      <c r="G69" s="257">
        <f>_xlfn.FORECAST.ETS(23,B146:W146,{1,2,3,4,5,6,7,8,9,10,11,12,13,14,15,16,17,18,19,20,21,22})</f>
        <v>62.333150331492604</v>
      </c>
      <c r="H69" s="214" t="s">
        <v>19</v>
      </c>
      <c r="I69" s="215">
        <f>HLOOKUP(I64,151:155,3,FALSE)/100</f>
        <v>0.32630000000000003</v>
      </c>
      <c r="J69" s="215">
        <f>HLOOKUP(J64,151:155,3,FALSE)/100</f>
        <v>0.26729999999999998</v>
      </c>
      <c r="K69" s="215">
        <f>HLOOKUP(K64,151:155,3,FALSE)/100</f>
        <v>0.29830000000000001</v>
      </c>
      <c r="L69" s="215">
        <f>IF(ISNA(HLOOKUP(L64,151:155,3,FALSE)/100),AVERAGE(L65:L68),HLOOKUP(L64,151:155,3,FALSE)/100)</f>
        <v>0.30409999999999998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8.14</v>
      </c>
      <c r="C72" s="205">
        <f t="shared" si="8"/>
        <v>3.82</v>
      </c>
      <c r="D72" s="205">
        <f t="shared" si="8"/>
        <v>3.28</v>
      </c>
      <c r="E72" s="205">
        <f t="shared" si="8"/>
        <v>2.4900000000000002</v>
      </c>
      <c r="F72" s="205">
        <f t="shared" si="8"/>
        <v>5.59</v>
      </c>
    </row>
    <row r="73" spans="1:71" s="135" customFormat="1" x14ac:dyDescent="0.25">
      <c r="A73" s="204">
        <v>2</v>
      </c>
      <c r="B73" s="205">
        <f t="shared" si="8"/>
        <v>11.73</v>
      </c>
      <c r="C73" s="205">
        <f t="shared" si="8"/>
        <v>4.3</v>
      </c>
      <c r="D73" s="205">
        <f t="shared" si="8"/>
        <v>3.93</v>
      </c>
      <c r="E73" s="205">
        <f t="shared" si="8"/>
        <v>4.5</v>
      </c>
      <c r="F73" s="205">
        <f t="shared" si="8"/>
        <v>8.17</v>
      </c>
    </row>
    <row r="74" spans="1:71" s="135" customFormat="1" x14ac:dyDescent="0.25">
      <c r="A74" s="204">
        <v>3</v>
      </c>
      <c r="B74" s="205">
        <f t="shared" si="8"/>
        <v>9.59</v>
      </c>
      <c r="C74" s="205">
        <f t="shared" si="8"/>
        <v>6.18</v>
      </c>
      <c r="D74" s="205">
        <f t="shared" si="8"/>
        <v>6.3</v>
      </c>
      <c r="E74" s="205">
        <f t="shared" si="8"/>
        <v>6.28</v>
      </c>
      <c r="F74" s="205">
        <f t="shared" si="8"/>
        <v>10.02</v>
      </c>
    </row>
    <row r="75" spans="1:71" s="135" customFormat="1" x14ac:dyDescent="0.25">
      <c r="A75" s="204">
        <v>4</v>
      </c>
      <c r="B75" s="205">
        <f t="shared" si="8"/>
        <v>1.95</v>
      </c>
      <c r="C75" s="205">
        <f t="shared" si="8"/>
        <v>3.05</v>
      </c>
      <c r="D75" s="205">
        <f t="shared" si="8"/>
        <v>1.78</v>
      </c>
      <c r="E75" s="205">
        <f t="shared" si="8"/>
        <v>6.28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31.41</v>
      </c>
      <c r="C76" s="213">
        <f>SUM(C72:C75)</f>
        <v>17.349999999999998</v>
      </c>
      <c r="D76" s="213">
        <f>SUM(D72:D75)</f>
        <v>15.29</v>
      </c>
      <c r="E76" s="213">
        <f>AVERAGE(E72:E75)*4</f>
        <v>19.55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24850</v>
      </c>
      <c r="C79" s="270">
        <v>33725</v>
      </c>
      <c r="D79" s="270">
        <v>33813</v>
      </c>
      <c r="E79" s="270">
        <v>41782</v>
      </c>
      <c r="F79" s="270">
        <v>40224</v>
      </c>
      <c r="G79" s="270">
        <v>41494</v>
      </c>
      <c r="H79" s="270">
        <v>44190</v>
      </c>
      <c r="I79" s="270">
        <v>41560</v>
      </c>
      <c r="J79" s="270">
        <v>41633</v>
      </c>
      <c r="K79" s="270">
        <v>40006</v>
      </c>
      <c r="L79" s="270">
        <v>39729</v>
      </c>
      <c r="M79" s="270">
        <v>39341</v>
      </c>
      <c r="N79" s="270">
        <v>42977</v>
      </c>
      <c r="O79" s="270">
        <v>46293</v>
      </c>
      <c r="P79" s="270">
        <v>61162</v>
      </c>
      <c r="Q79" s="270">
        <v>66055</v>
      </c>
      <c r="R79" s="270">
        <v>72091</v>
      </c>
      <c r="S79" s="270">
        <v>80285</v>
      </c>
      <c r="T79" s="270">
        <v>81813</v>
      </c>
      <c r="U79" s="270">
        <v>75820</v>
      </c>
      <c r="V79" s="270">
        <v>75300</v>
      </c>
      <c r="W79" s="270">
        <v>35947</v>
      </c>
      <c r="X79" s="270">
        <v>37924</v>
      </c>
      <c r="Y79" s="270">
        <v>41076</v>
      </c>
      <c r="Z79" s="270">
        <v>43016</v>
      </c>
      <c r="AA79" s="270">
        <v>43978</v>
      </c>
      <c r="AB79" s="270">
        <v>53519</v>
      </c>
      <c r="AC79" s="270">
        <v>55103</v>
      </c>
      <c r="AD79" s="270">
        <v>60036</v>
      </c>
      <c r="AE79" s="270">
        <v>66255</v>
      </c>
      <c r="AF79" s="270">
        <v>70331</v>
      </c>
      <c r="AG79" s="270">
        <v>71277</v>
      </c>
      <c r="AH79" s="270">
        <v>62771</v>
      </c>
      <c r="AI79" s="270">
        <v>42509</v>
      </c>
      <c r="AJ79" s="270">
        <v>45546</v>
      </c>
      <c r="AK79" s="270">
        <v>39673</v>
      </c>
      <c r="AL79" s="270">
        <v>42384</v>
      </c>
      <c r="AM79" s="270">
        <v>44329</v>
      </c>
      <c r="AN79" s="270">
        <v>54003</v>
      </c>
      <c r="AO79" s="270">
        <v>53934</v>
      </c>
      <c r="AP79" s="270">
        <v>58239</v>
      </c>
      <c r="AQ79" s="270">
        <v>65003</v>
      </c>
      <c r="AR79" s="270">
        <v>65127</v>
      </c>
      <c r="AS79" s="270">
        <v>56104</v>
      </c>
      <c r="AT79" s="270">
        <v>46937</v>
      </c>
      <c r="AU79" s="270">
        <v>40163</v>
      </c>
      <c r="AV79" s="270">
        <v>42522</v>
      </c>
      <c r="AW79" s="270">
        <v>41552</v>
      </c>
      <c r="AX79" s="270">
        <v>43166</v>
      </c>
      <c r="AY79" s="270">
        <v>36961</v>
      </c>
      <c r="AZ79" s="270">
        <v>66419</v>
      </c>
      <c r="BA79" s="270">
        <v>57890</v>
      </c>
      <c r="BB79" s="270">
        <v>57422</v>
      </c>
      <c r="BC79" s="270">
        <v>68785</v>
      </c>
      <c r="BD79" s="270">
        <v>67168</v>
      </c>
      <c r="BE79" s="270">
        <v>73074</v>
      </c>
      <c r="BF79" s="270">
        <v>86689</v>
      </c>
      <c r="BG79" s="270">
        <v>91335</v>
      </c>
      <c r="BH79" s="270">
        <v>92729</v>
      </c>
      <c r="BI79" s="270">
        <v>63386</v>
      </c>
      <c r="BJ79" s="270">
        <v>70664</v>
      </c>
      <c r="BK79" s="270">
        <v>73996</v>
      </c>
      <c r="BL79" s="270">
        <v>86495</v>
      </c>
      <c r="BM79" s="270">
        <v>90136</v>
      </c>
      <c r="BN79" s="270">
        <v>94932</v>
      </c>
      <c r="BO79" s="270">
        <v>112102</v>
      </c>
      <c r="BP79" s="270">
        <v>116381</v>
      </c>
      <c r="BQ79" s="270">
        <v>120732</v>
      </c>
      <c r="BR79" s="270">
        <v>132750</v>
      </c>
      <c r="BS79" s="270">
        <v>171377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2.04</v>
      </c>
      <c r="C82" s="72">
        <v>1</v>
      </c>
      <c r="D82" s="72">
        <v>0.65</v>
      </c>
      <c r="E82" s="72">
        <v>0.71</v>
      </c>
      <c r="F82" s="72">
        <v>1.5</v>
      </c>
      <c r="G82" s="72">
        <v>2.0099999999999998</v>
      </c>
      <c r="H82" s="72">
        <v>1.71</v>
      </c>
      <c r="I82" s="72">
        <v>0.44</v>
      </c>
      <c r="J82" s="72">
        <v>0.93</v>
      </c>
      <c r="K82" s="72">
        <v>1.01</v>
      </c>
      <c r="L82" s="72">
        <v>1.38</v>
      </c>
      <c r="M82" s="72">
        <v>0.71</v>
      </c>
      <c r="N82" s="72">
        <v>0.8</v>
      </c>
      <c r="O82" s="72">
        <v>0.93</v>
      </c>
      <c r="P82" s="72">
        <v>1.51</v>
      </c>
      <c r="Q82" s="72">
        <v>0.48</v>
      </c>
      <c r="R82" s="72">
        <v>0.65</v>
      </c>
      <c r="S82" s="72">
        <v>0.93</v>
      </c>
      <c r="T82" s="72">
        <v>1.53</v>
      </c>
      <c r="U82" s="72">
        <v>1.55</v>
      </c>
      <c r="V82" s="72">
        <v>1.41</v>
      </c>
      <c r="W82" s="72">
        <v>2.15</v>
      </c>
      <c r="X82" s="72">
        <v>2.7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20.12</v>
      </c>
      <c r="C85" s="72">
        <v>17.97</v>
      </c>
      <c r="D85" s="72">
        <v>16.98</v>
      </c>
      <c r="E85" s="72">
        <v>17.670000000000002</v>
      </c>
      <c r="F85" s="72">
        <v>19.12</v>
      </c>
      <c r="G85" s="72">
        <v>18.600000000000001</v>
      </c>
      <c r="H85" s="72">
        <v>18.8</v>
      </c>
      <c r="I85" s="72">
        <v>23.99</v>
      </c>
      <c r="J85" s="72">
        <v>24.91</v>
      </c>
      <c r="K85" s="72">
        <v>21.7</v>
      </c>
      <c r="L85" s="72">
        <v>23.11</v>
      </c>
      <c r="M85" s="72">
        <v>23.82</v>
      </c>
      <c r="N85" s="72">
        <v>24.6</v>
      </c>
      <c r="O85" s="72">
        <v>21.9</v>
      </c>
      <c r="P85" s="72">
        <v>23.45</v>
      </c>
      <c r="Q85" s="72">
        <v>23.88</v>
      </c>
      <c r="R85" s="72">
        <v>24.52</v>
      </c>
      <c r="S85" s="72">
        <v>21.83</v>
      </c>
      <c r="T85" s="72">
        <v>23.33</v>
      </c>
      <c r="U85" s="72">
        <v>24.82</v>
      </c>
      <c r="V85" s="72">
        <v>26.18</v>
      </c>
      <c r="W85" s="72">
        <v>24.15</v>
      </c>
      <c r="X85" s="72">
        <v>26.87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94273</v>
      </c>
      <c r="C88" s="273">
        <v>125393</v>
      </c>
      <c r="D88" s="273">
        <v>134274</v>
      </c>
      <c r="E88" s="273">
        <v>125087</v>
      </c>
      <c r="F88" s="273">
        <v>150472</v>
      </c>
      <c r="G88" s="273">
        <v>220546</v>
      </c>
      <c r="H88" s="273">
        <v>230402</v>
      </c>
      <c r="I88" s="273">
        <v>114961</v>
      </c>
      <c r="J88" s="273">
        <v>140496</v>
      </c>
      <c r="K88" s="273">
        <v>181461</v>
      </c>
      <c r="L88" s="273">
        <v>204451</v>
      </c>
      <c r="M88" s="273">
        <v>127786</v>
      </c>
      <c r="N88" s="273">
        <v>140704</v>
      </c>
      <c r="O88" s="273">
        <v>177120</v>
      </c>
      <c r="P88" s="273">
        <v>168071</v>
      </c>
      <c r="Q88" s="273">
        <v>124232</v>
      </c>
      <c r="R88" s="273">
        <v>146551</v>
      </c>
      <c r="S88" s="273">
        <v>183905</v>
      </c>
      <c r="T88" s="273">
        <v>226437</v>
      </c>
      <c r="U88" s="273">
        <v>252738</v>
      </c>
      <c r="V88" s="273">
        <v>231275</v>
      </c>
      <c r="W88" s="273">
        <v>296950</v>
      </c>
      <c r="X88" s="273">
        <v>370100</v>
      </c>
    </row>
    <row r="89" spans="1:25" ht="14.25" thickBot="1" x14ac:dyDescent="0.3">
      <c r="A89" s="250" t="s">
        <v>4</v>
      </c>
      <c r="B89" s="275">
        <v>60183</v>
      </c>
      <c r="C89" s="275">
        <v>69619</v>
      </c>
      <c r="D89" s="275">
        <v>69734</v>
      </c>
      <c r="E89" s="275">
        <v>75056</v>
      </c>
      <c r="F89" s="275">
        <v>95253</v>
      </c>
      <c r="G89" s="275">
        <v>134867</v>
      </c>
      <c r="H89" s="275">
        <v>142686</v>
      </c>
      <c r="I89" s="275">
        <v>59015</v>
      </c>
      <c r="J89" s="275">
        <v>83952</v>
      </c>
      <c r="K89" s="275">
        <v>99926</v>
      </c>
      <c r="L89" s="275">
        <v>113703</v>
      </c>
      <c r="M89" s="275">
        <v>65177</v>
      </c>
      <c r="N89" s="275">
        <v>82984</v>
      </c>
      <c r="O89" s="275">
        <v>110847</v>
      </c>
      <c r="P89" s="275">
        <v>107998</v>
      </c>
      <c r="Q89" s="275">
        <v>70983</v>
      </c>
      <c r="R89" s="275">
        <v>86878</v>
      </c>
      <c r="S89" s="275">
        <v>121503</v>
      </c>
      <c r="T89" s="275">
        <v>141778</v>
      </c>
      <c r="U89" s="275">
        <v>149110</v>
      </c>
      <c r="V89" s="275">
        <v>146241</v>
      </c>
      <c r="W89" s="275">
        <v>183774</v>
      </c>
      <c r="X89" s="275">
        <v>221660</v>
      </c>
    </row>
    <row r="90" spans="1:25" ht="14.25" thickBot="1" x14ac:dyDescent="0.3">
      <c r="A90" s="251" t="s">
        <v>5</v>
      </c>
      <c r="B90" s="273">
        <v>21698</v>
      </c>
      <c r="C90" s="273">
        <v>35856</v>
      </c>
      <c r="D90" s="273">
        <v>27457</v>
      </c>
      <c r="E90" s="273">
        <v>28323</v>
      </c>
      <c r="F90" s="273">
        <v>52670</v>
      </c>
      <c r="G90" s="273">
        <v>86332</v>
      </c>
      <c r="H90" s="273">
        <v>79552</v>
      </c>
      <c r="I90" s="273">
        <v>15191</v>
      </c>
      <c r="J90" s="273">
        <v>41047</v>
      </c>
      <c r="K90" s="273">
        <v>52533</v>
      </c>
      <c r="L90" s="273">
        <v>62037</v>
      </c>
      <c r="M90" s="273">
        <v>19264</v>
      </c>
      <c r="N90" s="273">
        <v>43284</v>
      </c>
      <c r="O90" s="273">
        <v>60797</v>
      </c>
      <c r="P90" s="273">
        <v>53612</v>
      </c>
      <c r="Q90" s="273">
        <v>24320</v>
      </c>
      <c r="R90" s="273">
        <v>36555</v>
      </c>
      <c r="S90" s="273">
        <v>69131</v>
      </c>
      <c r="T90" s="273">
        <v>82421</v>
      </c>
      <c r="U90" s="273">
        <v>58077</v>
      </c>
      <c r="V90" s="273">
        <v>84506</v>
      </c>
      <c r="W90" s="273">
        <v>102980</v>
      </c>
      <c r="X90" s="273">
        <v>135985</v>
      </c>
    </row>
    <row r="91" spans="1:25" ht="14.25" thickBot="1" x14ac:dyDescent="0.3">
      <c r="A91" s="250" t="s">
        <v>6</v>
      </c>
      <c r="B91" s="275">
        <v>73366</v>
      </c>
      <c r="C91" s="275">
        <v>39177</v>
      </c>
      <c r="D91" s="275">
        <v>25364</v>
      </c>
      <c r="E91" s="275">
        <v>27949</v>
      </c>
      <c r="F91" s="275">
        <v>60153</v>
      </c>
      <c r="G91" s="275">
        <v>89077</v>
      </c>
      <c r="H91" s="275">
        <v>75706</v>
      </c>
      <c r="I91" s="275">
        <v>19304</v>
      </c>
      <c r="J91" s="275">
        <v>47125</v>
      </c>
      <c r="K91" s="275">
        <v>48395</v>
      </c>
      <c r="L91" s="275">
        <v>69831</v>
      </c>
      <c r="M91" s="275">
        <v>31500</v>
      </c>
      <c r="N91" s="275">
        <v>41944</v>
      </c>
      <c r="O91" s="275">
        <v>58426</v>
      </c>
      <c r="P91" s="275">
        <v>73140</v>
      </c>
      <c r="Q91" s="275">
        <v>21012</v>
      </c>
      <c r="R91" s="275">
        <v>31171</v>
      </c>
      <c r="S91" s="275">
        <v>69409</v>
      </c>
      <c r="T91" s="275">
        <v>74086</v>
      </c>
      <c r="U91" s="275">
        <v>72520</v>
      </c>
      <c r="V91" s="275">
        <v>72442</v>
      </c>
      <c r="W91" s="275">
        <v>105972</v>
      </c>
      <c r="X91" s="275">
        <v>135834</v>
      </c>
    </row>
    <row r="92" spans="1:25" ht="14.25" thickBot="1" x14ac:dyDescent="0.3">
      <c r="A92" s="251" t="s">
        <v>7</v>
      </c>
      <c r="B92" s="273">
        <v>62438</v>
      </c>
      <c r="C92" s="273">
        <v>33738</v>
      </c>
      <c r="D92" s="273">
        <v>21794</v>
      </c>
      <c r="E92" s="273">
        <v>23789</v>
      </c>
      <c r="F92" s="273">
        <v>50504</v>
      </c>
      <c r="G92" s="273">
        <v>74610</v>
      </c>
      <c r="H92" s="273">
        <v>63536</v>
      </c>
      <c r="I92" s="273">
        <v>16728</v>
      </c>
      <c r="J92" s="273">
        <v>39802</v>
      </c>
      <c r="K92" s="273">
        <v>42660</v>
      </c>
      <c r="L92" s="273">
        <v>58980</v>
      </c>
      <c r="M92" s="273">
        <v>30450</v>
      </c>
      <c r="N92" s="273">
        <v>33881</v>
      </c>
      <c r="O92" s="273">
        <v>39525</v>
      </c>
      <c r="P92" s="273">
        <v>62708</v>
      </c>
      <c r="Q92" s="273">
        <v>18454</v>
      </c>
      <c r="R92" s="273">
        <v>26309</v>
      </c>
      <c r="S92" s="273">
        <v>45805</v>
      </c>
      <c r="T92" s="273">
        <v>62377</v>
      </c>
      <c r="U92" s="273">
        <v>66256</v>
      </c>
      <c r="V92" s="273">
        <v>62432</v>
      </c>
      <c r="W92" s="273">
        <v>91102</v>
      </c>
      <c r="X92" s="273">
        <v>114194</v>
      </c>
    </row>
    <row r="93" spans="1:25" ht="26.25" thickBot="1" x14ac:dyDescent="0.3">
      <c r="A93" s="252" t="s">
        <v>8</v>
      </c>
      <c r="B93" s="276">
        <v>62438</v>
      </c>
      <c r="C93" s="276">
        <v>33738</v>
      </c>
      <c r="D93" s="276">
        <v>21794</v>
      </c>
      <c r="E93" s="276">
        <v>23789</v>
      </c>
      <c r="F93" s="276">
        <v>50504</v>
      </c>
      <c r="G93" s="276">
        <v>74610</v>
      </c>
      <c r="H93" s="276">
        <v>63536</v>
      </c>
      <c r="I93" s="276">
        <v>16728</v>
      </c>
      <c r="J93" s="276">
        <v>39802</v>
      </c>
      <c r="K93" s="276">
        <v>42660</v>
      </c>
      <c r="L93" s="276">
        <v>58980</v>
      </c>
      <c r="M93" s="276">
        <v>30450</v>
      </c>
      <c r="N93" s="276">
        <v>33881</v>
      </c>
      <c r="O93" s="276">
        <v>39525</v>
      </c>
      <c r="P93" s="276">
        <v>64351</v>
      </c>
      <c r="Q93" s="276">
        <v>20619</v>
      </c>
      <c r="R93" s="276">
        <v>27796</v>
      </c>
      <c r="S93" s="276">
        <v>39761</v>
      </c>
      <c r="T93" s="276">
        <v>65089</v>
      </c>
      <c r="U93" s="276">
        <v>66139</v>
      </c>
      <c r="V93" s="276">
        <v>59998</v>
      </c>
      <c r="W93" s="276">
        <v>91595</v>
      </c>
      <c r="X93" s="276">
        <v>115046</v>
      </c>
    </row>
    <row r="94" spans="1:25" x14ac:dyDescent="0.25">
      <c r="A94" s="233" t="s">
        <v>365</v>
      </c>
      <c r="B94" s="253">
        <f>IF(B91="","",B91-B90)</f>
        <v>51668</v>
      </c>
      <c r="C94" s="253">
        <f>IF(C91="","",C91-C90)</f>
        <v>3321</v>
      </c>
      <c r="D94" s="253">
        <f t="shared" ref="D94:Y94" si="9">IF(D91="","",D91-D90)</f>
        <v>-2093</v>
      </c>
      <c r="E94" s="253">
        <f t="shared" si="9"/>
        <v>-374</v>
      </c>
      <c r="F94" s="253">
        <f t="shared" si="9"/>
        <v>7483</v>
      </c>
      <c r="G94" s="253">
        <f t="shared" si="9"/>
        <v>2745</v>
      </c>
      <c r="H94" s="253">
        <f t="shared" si="9"/>
        <v>-3846</v>
      </c>
      <c r="I94" s="253">
        <f t="shared" si="9"/>
        <v>4113</v>
      </c>
      <c r="J94" s="253">
        <f t="shared" si="9"/>
        <v>6078</v>
      </c>
      <c r="K94" s="253">
        <f t="shared" si="9"/>
        <v>-4138</v>
      </c>
      <c r="L94" s="253">
        <f t="shared" si="9"/>
        <v>7794</v>
      </c>
      <c r="M94" s="253">
        <f t="shared" si="9"/>
        <v>12236</v>
      </c>
      <c r="N94" s="253">
        <f t="shared" si="9"/>
        <v>-1340</v>
      </c>
      <c r="O94" s="253">
        <f t="shared" si="9"/>
        <v>-2371</v>
      </c>
      <c r="P94" s="253">
        <f t="shared" si="9"/>
        <v>19528</v>
      </c>
      <c r="Q94" s="253">
        <f t="shared" si="9"/>
        <v>-3308</v>
      </c>
      <c r="R94" s="253">
        <f t="shared" si="9"/>
        <v>-5384</v>
      </c>
      <c r="S94" s="253">
        <f t="shared" si="9"/>
        <v>278</v>
      </c>
      <c r="T94" s="253">
        <f t="shared" si="9"/>
        <v>-8335</v>
      </c>
      <c r="U94" s="253">
        <f t="shared" si="9"/>
        <v>14443</v>
      </c>
      <c r="V94" s="253">
        <f t="shared" si="9"/>
        <v>-12064</v>
      </c>
      <c r="W94" s="253">
        <f t="shared" si="9"/>
        <v>2992</v>
      </c>
      <c r="X94" s="253">
        <f t="shared" si="9"/>
        <v>-151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479027</v>
      </c>
      <c r="C97" s="273">
        <v>716381</v>
      </c>
      <c r="D97" s="273">
        <v>654194</v>
      </c>
      <c r="E97" s="273">
        <v>610127</v>
      </c>
      <c r="F97" s="273">
        <v>809631</v>
      </c>
    </row>
    <row r="98" spans="1:24" ht="14.25" thickBot="1" x14ac:dyDescent="0.3">
      <c r="A98" s="225" t="s">
        <v>4</v>
      </c>
      <c r="B98" s="275">
        <v>274592</v>
      </c>
      <c r="C98" s="275">
        <v>431821</v>
      </c>
      <c r="D98" s="275">
        <v>362758</v>
      </c>
      <c r="E98" s="275">
        <v>372812</v>
      </c>
      <c r="F98" s="275">
        <v>499269</v>
      </c>
    </row>
    <row r="99" spans="1:24" ht="14.25" thickBot="1" x14ac:dyDescent="0.3">
      <c r="A99" s="224" t="s">
        <v>5</v>
      </c>
      <c r="B99" s="273">
        <v>113334</v>
      </c>
      <c r="C99" s="273">
        <v>233745</v>
      </c>
      <c r="D99" s="273">
        <v>174881</v>
      </c>
      <c r="E99" s="273">
        <v>182013</v>
      </c>
      <c r="F99" s="273">
        <v>246184</v>
      </c>
    </row>
    <row r="100" spans="1:24" ht="14.25" thickBot="1" x14ac:dyDescent="0.3">
      <c r="A100" s="225" t="s">
        <v>6</v>
      </c>
      <c r="B100" s="275">
        <v>165856</v>
      </c>
      <c r="C100" s="275">
        <v>244240</v>
      </c>
      <c r="D100" s="275">
        <v>196851</v>
      </c>
      <c r="E100" s="275">
        <v>194522</v>
      </c>
      <c r="F100" s="275">
        <v>247186</v>
      </c>
    </row>
    <row r="101" spans="1:24" ht="14.25" thickBot="1" x14ac:dyDescent="0.3">
      <c r="A101" s="224" t="s">
        <v>7</v>
      </c>
      <c r="B101" s="273">
        <v>141759</v>
      </c>
      <c r="C101" s="273">
        <v>205378</v>
      </c>
      <c r="D101" s="273">
        <v>171892</v>
      </c>
      <c r="E101" s="273">
        <v>154568</v>
      </c>
      <c r="F101" s="273">
        <v>200747</v>
      </c>
    </row>
    <row r="102" spans="1:24" ht="14.25" thickBot="1" x14ac:dyDescent="0.3">
      <c r="A102" s="227" t="s">
        <v>8</v>
      </c>
      <c r="B102" s="276">
        <v>141759</v>
      </c>
      <c r="C102" s="276">
        <v>205378</v>
      </c>
      <c r="D102" s="276">
        <v>171892</v>
      </c>
      <c r="E102" s="276">
        <v>158622</v>
      </c>
      <c r="F102" s="276">
        <v>198785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1.0262279385124993</v>
      </c>
      <c r="F103" s="234">
        <f>IF(OR(F102="",F102="無"),"",F102/F101)</f>
        <v>0.99022650400753187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341233</v>
      </c>
      <c r="C106" s="273">
        <v>366416</v>
      </c>
      <c r="D106" s="273">
        <v>315330</v>
      </c>
      <c r="E106" s="273">
        <v>358191</v>
      </c>
      <c r="F106" s="273">
        <v>361813</v>
      </c>
      <c r="G106" s="273">
        <v>177584</v>
      </c>
      <c r="H106" s="273">
        <v>205858</v>
      </c>
      <c r="I106" s="273">
        <v>549510</v>
      </c>
      <c r="J106" s="273">
        <v>572323</v>
      </c>
      <c r="K106" s="273">
        <v>603016</v>
      </c>
      <c r="L106" s="273">
        <v>492569</v>
      </c>
      <c r="M106" s="273">
        <v>540458</v>
      </c>
      <c r="N106" s="273">
        <v>588285</v>
      </c>
      <c r="O106" s="273">
        <v>654266</v>
      </c>
      <c r="P106" s="273">
        <v>491140</v>
      </c>
      <c r="Q106" s="273">
        <v>584364</v>
      </c>
      <c r="R106" s="273">
        <v>608046</v>
      </c>
      <c r="S106" s="273">
        <v>635781</v>
      </c>
      <c r="T106" s="273">
        <v>534229</v>
      </c>
      <c r="U106" s="273">
        <v>637608</v>
      </c>
      <c r="V106" s="273">
        <v>672515</v>
      </c>
      <c r="W106" s="273">
        <v>727667</v>
      </c>
      <c r="X106" s="273">
        <v>569952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199404</v>
      </c>
      <c r="C108" s="273">
        <v>237734</v>
      </c>
      <c r="D108" s="273">
        <v>218313</v>
      </c>
      <c r="E108" s="273">
        <v>218064</v>
      </c>
      <c r="F108" s="273">
        <v>272757</v>
      </c>
      <c r="G108" s="273">
        <v>363491</v>
      </c>
      <c r="H108" s="273">
        <v>399898</v>
      </c>
      <c r="I108" s="273">
        <v>267120</v>
      </c>
      <c r="J108" s="273">
        <v>292710</v>
      </c>
      <c r="K108" s="273">
        <v>323864</v>
      </c>
      <c r="L108" s="273">
        <v>304105</v>
      </c>
      <c r="M108" s="273">
        <v>276572</v>
      </c>
      <c r="N108" s="273">
        <v>231517</v>
      </c>
      <c r="O108" s="273">
        <v>298144</v>
      </c>
      <c r="P108" s="273">
        <v>347314</v>
      </c>
      <c r="Q108" s="273">
        <v>281611</v>
      </c>
      <c r="R108" s="273">
        <v>293180</v>
      </c>
      <c r="S108" s="273">
        <v>313952</v>
      </c>
      <c r="T108" s="273">
        <v>362263</v>
      </c>
      <c r="U108" s="273">
        <v>353861</v>
      </c>
      <c r="V108" s="273">
        <v>346485</v>
      </c>
      <c r="W108" s="273">
        <v>428444</v>
      </c>
      <c r="X108" s="273">
        <v>573592</v>
      </c>
    </row>
    <row r="109" spans="1:24" ht="14.25" thickBot="1" x14ac:dyDescent="0.3">
      <c r="A109" s="225" t="s">
        <v>264</v>
      </c>
      <c r="B109" s="275">
        <v>110791</v>
      </c>
      <c r="C109" s="275">
        <v>104540</v>
      </c>
      <c r="D109" s="275">
        <v>87112</v>
      </c>
      <c r="E109" s="275">
        <v>86514</v>
      </c>
      <c r="F109" s="275">
        <v>121257</v>
      </c>
      <c r="G109" s="275">
        <v>155438</v>
      </c>
      <c r="H109" s="275">
        <v>123570</v>
      </c>
      <c r="I109" s="275">
        <v>121658</v>
      </c>
      <c r="J109" s="275">
        <v>118763</v>
      </c>
      <c r="K109" s="275">
        <v>130754</v>
      </c>
      <c r="L109" s="275">
        <v>149142</v>
      </c>
      <c r="M109" s="275">
        <v>123614</v>
      </c>
      <c r="N109" s="275">
        <v>121062</v>
      </c>
      <c r="O109" s="275">
        <v>121679</v>
      </c>
      <c r="P109" s="275">
        <v>110846</v>
      </c>
      <c r="Q109" s="275">
        <v>120710</v>
      </c>
      <c r="R109" s="275">
        <v>129233</v>
      </c>
      <c r="S109" s="275">
        <v>140110</v>
      </c>
      <c r="T109" s="275">
        <v>163439</v>
      </c>
      <c r="U109" s="275">
        <v>154908</v>
      </c>
      <c r="V109" s="275">
        <v>181154</v>
      </c>
      <c r="W109" s="275">
        <v>183116</v>
      </c>
      <c r="X109" s="275">
        <v>194152</v>
      </c>
    </row>
    <row r="110" spans="1:24" ht="14.25" thickBot="1" x14ac:dyDescent="0.3">
      <c r="A110" s="224" t="s">
        <v>23</v>
      </c>
      <c r="B110" s="273">
        <v>11958</v>
      </c>
      <c r="C110" s="273">
        <v>9980</v>
      </c>
      <c r="D110" s="273">
        <v>10113</v>
      </c>
      <c r="E110" s="273">
        <v>15290</v>
      </c>
      <c r="F110" s="273">
        <v>9461</v>
      </c>
      <c r="G110" s="273">
        <v>68830</v>
      </c>
      <c r="H110" s="273">
        <v>73522</v>
      </c>
      <c r="I110" s="273">
        <v>58288</v>
      </c>
      <c r="J110" s="273">
        <v>38525</v>
      </c>
      <c r="K110" s="273">
        <v>32684</v>
      </c>
      <c r="L110" s="273">
        <v>29041</v>
      </c>
      <c r="M110" s="273">
        <v>17328</v>
      </c>
      <c r="N110" s="273">
        <v>13794</v>
      </c>
      <c r="O110" s="273">
        <v>11961</v>
      </c>
      <c r="P110" s="273">
        <v>12366</v>
      </c>
      <c r="Q110" s="273">
        <v>9640</v>
      </c>
      <c r="R110" s="273">
        <v>11572</v>
      </c>
      <c r="S110" s="273">
        <v>7020</v>
      </c>
      <c r="T110" s="273">
        <v>18703</v>
      </c>
      <c r="U110" s="273">
        <v>14714</v>
      </c>
      <c r="V110" s="273">
        <v>17064</v>
      </c>
      <c r="W110" s="273">
        <v>7130</v>
      </c>
      <c r="X110" s="273">
        <v>19428</v>
      </c>
    </row>
    <row r="111" spans="1:24" ht="14.25" thickBot="1" x14ac:dyDescent="0.3">
      <c r="A111" s="225" t="s">
        <v>24</v>
      </c>
      <c r="B111" s="275">
        <v>663386</v>
      </c>
      <c r="C111" s="275">
        <v>718670</v>
      </c>
      <c r="D111" s="275">
        <v>630868</v>
      </c>
      <c r="E111" s="275">
        <v>678059</v>
      </c>
      <c r="F111" s="275">
        <v>765288</v>
      </c>
      <c r="G111" s="275">
        <v>765343</v>
      </c>
      <c r="H111" s="275">
        <v>802848</v>
      </c>
      <c r="I111" s="275">
        <v>996576</v>
      </c>
      <c r="J111" s="275">
        <v>1022321</v>
      </c>
      <c r="K111" s="275">
        <v>1090318</v>
      </c>
      <c r="L111" s="275">
        <v>974857</v>
      </c>
      <c r="M111" s="275">
        <v>957972</v>
      </c>
      <c r="N111" s="275">
        <v>954658</v>
      </c>
      <c r="O111" s="275">
        <v>1086050</v>
      </c>
      <c r="P111" s="275">
        <v>961666</v>
      </c>
      <c r="Q111" s="275">
        <v>996325</v>
      </c>
      <c r="R111" s="275">
        <v>1042031</v>
      </c>
      <c r="S111" s="275">
        <v>1096863</v>
      </c>
      <c r="T111" s="275">
        <v>1078634</v>
      </c>
      <c r="U111" s="275">
        <v>1161091</v>
      </c>
      <c r="V111" s="275">
        <v>1217218</v>
      </c>
      <c r="W111" s="275">
        <v>1346357</v>
      </c>
      <c r="X111" s="275">
        <v>1357124</v>
      </c>
    </row>
    <row r="112" spans="1:24" ht="14.25" thickBot="1" x14ac:dyDescent="0.3">
      <c r="A112" s="224" t="s">
        <v>25</v>
      </c>
      <c r="B112" s="273">
        <v>9644</v>
      </c>
      <c r="C112" s="273">
        <v>9644</v>
      </c>
      <c r="D112" s="273">
        <v>9644</v>
      </c>
      <c r="E112" s="273">
        <v>9644</v>
      </c>
      <c r="F112" s="273">
        <v>9644</v>
      </c>
      <c r="G112" s="273">
        <v>9644</v>
      </c>
      <c r="H112" s="273">
        <v>9644</v>
      </c>
      <c r="I112" s="273">
        <v>9644</v>
      </c>
      <c r="J112" s="273">
        <v>9644</v>
      </c>
      <c r="K112" s="273">
        <v>9644</v>
      </c>
      <c r="L112" s="273">
        <v>9644</v>
      </c>
      <c r="M112" s="273">
        <v>9644</v>
      </c>
      <c r="N112" s="273">
        <v>9644</v>
      </c>
      <c r="O112" s="273">
        <v>9644</v>
      </c>
      <c r="P112" s="273">
        <v>9644</v>
      </c>
      <c r="Q112" s="273">
        <v>9644</v>
      </c>
      <c r="R112" s="273">
        <v>9644</v>
      </c>
      <c r="S112" s="273">
        <v>9644</v>
      </c>
      <c r="T112" s="273">
        <v>9644</v>
      </c>
      <c r="U112" s="273">
        <v>9644</v>
      </c>
      <c r="V112" s="273">
        <v>9644</v>
      </c>
      <c r="W112" s="273">
        <v>9644</v>
      </c>
      <c r="X112" s="273">
        <v>9644</v>
      </c>
    </row>
    <row r="113" spans="1:24" ht="14.25" thickBot="1" x14ac:dyDescent="0.3">
      <c r="A113" s="225" t="s">
        <v>26</v>
      </c>
      <c r="B113" s="275">
        <v>26063</v>
      </c>
      <c r="C113" s="275">
        <v>27241</v>
      </c>
      <c r="D113" s="275">
        <v>26878</v>
      </c>
      <c r="E113" s="275">
        <v>27690</v>
      </c>
      <c r="F113" s="275">
        <v>28346</v>
      </c>
      <c r="G113" s="275">
        <v>171245</v>
      </c>
      <c r="H113" s="275">
        <v>170252</v>
      </c>
      <c r="I113" s="275">
        <v>169303</v>
      </c>
      <c r="J113" s="275">
        <v>178886</v>
      </c>
      <c r="K113" s="275">
        <v>209462</v>
      </c>
      <c r="L113" s="275">
        <v>226382</v>
      </c>
      <c r="M113" s="275">
        <v>227060</v>
      </c>
      <c r="N113" s="275">
        <v>225600</v>
      </c>
      <c r="O113" s="275">
        <v>224375</v>
      </c>
      <c r="P113" s="275">
        <v>225481</v>
      </c>
      <c r="Q113" s="275">
        <v>223660</v>
      </c>
      <c r="R113" s="275">
        <v>222191</v>
      </c>
      <c r="S113" s="275">
        <v>220492</v>
      </c>
      <c r="T113" s="275">
        <v>217875</v>
      </c>
      <c r="U113" s="275">
        <v>215700</v>
      </c>
      <c r="V113" s="275">
        <v>218296</v>
      </c>
      <c r="W113" s="275">
        <v>217036</v>
      </c>
      <c r="X113" s="275">
        <v>215198</v>
      </c>
    </row>
    <row r="114" spans="1:24" ht="14.25" thickBot="1" x14ac:dyDescent="0.3">
      <c r="A114" s="224" t="s">
        <v>27</v>
      </c>
      <c r="B114" s="273">
        <v>66580</v>
      </c>
      <c r="C114" s="273">
        <v>55804</v>
      </c>
      <c r="D114" s="273">
        <v>73599</v>
      </c>
      <c r="E114" s="273">
        <v>60992</v>
      </c>
      <c r="F114" s="273">
        <v>66010</v>
      </c>
      <c r="G114" s="273">
        <v>69120</v>
      </c>
      <c r="H114" s="273">
        <v>70819</v>
      </c>
      <c r="I114" s="273">
        <v>75980</v>
      </c>
      <c r="J114" s="273">
        <v>92093</v>
      </c>
      <c r="K114" s="273">
        <v>66094</v>
      </c>
      <c r="L114" s="273">
        <v>53003</v>
      </c>
      <c r="M114" s="273">
        <v>29486</v>
      </c>
      <c r="N114" s="273">
        <v>33595</v>
      </c>
      <c r="O114" s="273">
        <v>36889</v>
      </c>
      <c r="P114" s="273">
        <v>42315</v>
      </c>
      <c r="Q114" s="273">
        <v>27086</v>
      </c>
      <c r="R114" s="273">
        <v>30983</v>
      </c>
      <c r="S114" s="273">
        <v>32892</v>
      </c>
      <c r="T114" s="273">
        <v>21837</v>
      </c>
      <c r="U114" s="273">
        <v>23938</v>
      </c>
      <c r="V114" s="273">
        <v>30945</v>
      </c>
      <c r="W114" s="273">
        <v>26807</v>
      </c>
      <c r="X114" s="273">
        <v>29071</v>
      </c>
    </row>
    <row r="115" spans="1:24" ht="14.25" thickBot="1" x14ac:dyDescent="0.3">
      <c r="A115" s="225" t="s">
        <v>265</v>
      </c>
      <c r="B115" s="276">
        <v>765673</v>
      </c>
      <c r="C115" s="276">
        <v>811359</v>
      </c>
      <c r="D115" s="276">
        <v>740989</v>
      </c>
      <c r="E115" s="276">
        <v>776385</v>
      </c>
      <c r="F115" s="276">
        <v>869288</v>
      </c>
      <c r="G115" s="276">
        <v>1015352</v>
      </c>
      <c r="H115" s="276">
        <v>1053563</v>
      </c>
      <c r="I115" s="276">
        <v>1251503</v>
      </c>
      <c r="J115" s="276">
        <v>1302944</v>
      </c>
      <c r="K115" s="276">
        <v>1375518</v>
      </c>
      <c r="L115" s="276">
        <v>1263886</v>
      </c>
      <c r="M115" s="276">
        <v>1224162</v>
      </c>
      <c r="N115" s="276">
        <v>1223497</v>
      </c>
      <c r="O115" s="276">
        <v>1356958</v>
      </c>
      <c r="P115" s="276">
        <v>1239106</v>
      </c>
      <c r="Q115" s="276">
        <v>1256715</v>
      </c>
      <c r="R115" s="276">
        <v>1304849</v>
      </c>
      <c r="S115" s="276">
        <v>1359891</v>
      </c>
      <c r="T115" s="276">
        <v>1327990</v>
      </c>
      <c r="U115" s="276">
        <v>1410373</v>
      </c>
      <c r="V115" s="276">
        <v>1476103</v>
      </c>
      <c r="W115" s="276">
        <v>1599844</v>
      </c>
      <c r="X115" s="276">
        <v>1611037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273">
        <v>100000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38416</v>
      </c>
      <c r="C120" s="273">
        <v>58028</v>
      </c>
      <c r="D120" s="273">
        <v>62509</v>
      </c>
      <c r="E120" s="273">
        <v>66365</v>
      </c>
      <c r="F120" s="273">
        <v>98213</v>
      </c>
      <c r="G120" s="273">
        <v>136696</v>
      </c>
      <c r="H120" s="273">
        <v>82567</v>
      </c>
      <c r="I120" s="273">
        <v>62680</v>
      </c>
      <c r="J120" s="273">
        <v>76169</v>
      </c>
      <c r="K120" s="273">
        <v>118287</v>
      </c>
      <c r="L120" s="273">
        <v>134206</v>
      </c>
      <c r="M120" s="273">
        <v>74118</v>
      </c>
      <c r="N120" s="273">
        <v>54594</v>
      </c>
      <c r="O120" s="273">
        <v>81323</v>
      </c>
      <c r="P120" s="273">
        <v>59448</v>
      </c>
      <c r="Q120" s="273">
        <v>59519</v>
      </c>
      <c r="R120" s="273">
        <v>77289</v>
      </c>
      <c r="S120" s="273">
        <v>82120</v>
      </c>
      <c r="T120" s="273">
        <v>130649</v>
      </c>
      <c r="U120" s="273">
        <v>133280</v>
      </c>
      <c r="V120" s="273">
        <v>128245</v>
      </c>
      <c r="W120" s="273">
        <v>130148</v>
      </c>
      <c r="X120" s="273">
        <v>177550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109453</v>
      </c>
      <c r="C123" s="275">
        <v>201305</v>
      </c>
      <c r="D123" s="275">
        <v>104985</v>
      </c>
      <c r="E123" s="275">
        <v>112763</v>
      </c>
      <c r="F123" s="275">
        <v>122419</v>
      </c>
      <c r="G123" s="275">
        <v>247519</v>
      </c>
      <c r="H123" s="275">
        <v>169760</v>
      </c>
      <c r="I123" s="275">
        <v>161966</v>
      </c>
      <c r="J123" s="275">
        <v>160333</v>
      </c>
      <c r="K123" s="275">
        <v>327723</v>
      </c>
      <c r="L123" s="275">
        <v>140328</v>
      </c>
      <c r="M123" s="275">
        <v>127577</v>
      </c>
      <c r="N123" s="275">
        <v>112856</v>
      </c>
      <c r="O123" s="275">
        <v>304747</v>
      </c>
      <c r="P123" s="275">
        <v>144452</v>
      </c>
      <c r="Q123" s="275">
        <v>145621</v>
      </c>
      <c r="R123" s="275">
        <v>148079</v>
      </c>
      <c r="S123" s="275">
        <v>307034</v>
      </c>
      <c r="T123" s="275">
        <v>165657</v>
      </c>
      <c r="U123" s="275">
        <v>180686</v>
      </c>
      <c r="V123" s="275">
        <v>191211</v>
      </c>
      <c r="W123" s="275">
        <v>378785</v>
      </c>
      <c r="X123" s="275">
        <v>227770</v>
      </c>
    </row>
    <row r="124" spans="1:24" ht="14.25" thickBot="1" x14ac:dyDescent="0.3">
      <c r="A124" s="224" t="s">
        <v>268</v>
      </c>
      <c r="B124" s="273">
        <v>147869</v>
      </c>
      <c r="C124" s="273">
        <v>259333</v>
      </c>
      <c r="D124" s="273">
        <v>167494</v>
      </c>
      <c r="E124" s="273">
        <v>179128</v>
      </c>
      <c r="F124" s="273">
        <v>220632</v>
      </c>
      <c r="G124" s="273">
        <v>384215</v>
      </c>
      <c r="H124" s="273">
        <v>352327</v>
      </c>
      <c r="I124" s="273">
        <v>224646</v>
      </c>
      <c r="J124" s="273">
        <v>236502</v>
      </c>
      <c r="K124" s="273">
        <v>446010</v>
      </c>
      <c r="L124" s="273">
        <v>274534</v>
      </c>
      <c r="M124" s="273">
        <v>201695</v>
      </c>
      <c r="N124" s="273">
        <v>167450</v>
      </c>
      <c r="O124" s="273">
        <v>386070</v>
      </c>
      <c r="P124" s="273">
        <v>203900</v>
      </c>
      <c r="Q124" s="273">
        <v>205140</v>
      </c>
      <c r="R124" s="273">
        <v>225368</v>
      </c>
      <c r="S124" s="273">
        <v>389154</v>
      </c>
      <c r="T124" s="273">
        <v>296306</v>
      </c>
      <c r="U124" s="273">
        <v>313966</v>
      </c>
      <c r="V124" s="273">
        <v>319456</v>
      </c>
      <c r="W124" s="273">
        <v>508933</v>
      </c>
      <c r="X124" s="273">
        <v>405320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3632</v>
      </c>
      <c r="G125" s="275">
        <v>3632</v>
      </c>
      <c r="H125" s="275">
        <v>3632</v>
      </c>
      <c r="I125" s="275">
        <v>4869</v>
      </c>
      <c r="J125" s="275">
        <v>4869</v>
      </c>
      <c r="K125" s="275">
        <v>4869</v>
      </c>
      <c r="L125" s="275">
        <v>4869</v>
      </c>
      <c r="M125" s="275">
        <v>7692</v>
      </c>
      <c r="N125" s="275">
        <v>7692</v>
      </c>
      <c r="O125" s="275">
        <v>7692</v>
      </c>
      <c r="P125" s="275">
        <v>7692</v>
      </c>
      <c r="Q125" s="275">
        <v>7919</v>
      </c>
      <c r="R125" s="275">
        <v>7919</v>
      </c>
      <c r="S125" s="275">
        <v>7919</v>
      </c>
      <c r="T125" s="275">
        <v>7919</v>
      </c>
      <c r="U125" s="275">
        <v>8753</v>
      </c>
      <c r="V125" s="275">
        <v>8753</v>
      </c>
      <c r="W125" s="275">
        <v>8753</v>
      </c>
      <c r="X125" s="275">
        <v>8753</v>
      </c>
    </row>
    <row r="126" spans="1:24" ht="14.25" thickBot="1" x14ac:dyDescent="0.3">
      <c r="A126" s="224" t="s">
        <v>33</v>
      </c>
      <c r="B126" s="68">
        <v>835</v>
      </c>
      <c r="C126" s="68">
        <v>835</v>
      </c>
      <c r="D126" s="68">
        <v>835</v>
      </c>
      <c r="E126" s="273">
        <v>1070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148704</v>
      </c>
      <c r="C127" s="275">
        <v>260168</v>
      </c>
      <c r="D127" s="275">
        <v>168329</v>
      </c>
      <c r="E127" s="275">
        <v>180198</v>
      </c>
      <c r="F127" s="275">
        <v>224264</v>
      </c>
      <c r="G127" s="275">
        <v>387847</v>
      </c>
      <c r="H127" s="275">
        <v>355959</v>
      </c>
      <c r="I127" s="275">
        <v>229515</v>
      </c>
      <c r="J127" s="275">
        <v>241371</v>
      </c>
      <c r="K127" s="275">
        <v>450879</v>
      </c>
      <c r="L127" s="275">
        <v>279403</v>
      </c>
      <c r="M127" s="275">
        <v>209387</v>
      </c>
      <c r="N127" s="275">
        <v>175142</v>
      </c>
      <c r="O127" s="275">
        <v>393762</v>
      </c>
      <c r="P127" s="275">
        <v>211592</v>
      </c>
      <c r="Q127" s="275">
        <v>213059</v>
      </c>
      <c r="R127" s="275">
        <v>233287</v>
      </c>
      <c r="S127" s="275">
        <v>397073</v>
      </c>
      <c r="T127" s="275">
        <v>304225</v>
      </c>
      <c r="U127" s="275">
        <v>322719</v>
      </c>
      <c r="V127" s="275">
        <v>328209</v>
      </c>
      <c r="W127" s="275">
        <v>517686</v>
      </c>
      <c r="X127" s="275">
        <v>414073</v>
      </c>
    </row>
    <row r="128" spans="1:24" ht="14.25" thickBot="1" x14ac:dyDescent="0.3">
      <c r="A128" s="224" t="s">
        <v>34</v>
      </c>
      <c r="B128" s="273">
        <v>616969</v>
      </c>
      <c r="C128" s="273">
        <v>551191</v>
      </c>
      <c r="D128" s="273">
        <v>572660</v>
      </c>
      <c r="E128" s="273">
        <v>596187</v>
      </c>
      <c r="F128" s="273">
        <v>645024</v>
      </c>
      <c r="G128" s="273">
        <v>627505</v>
      </c>
      <c r="H128" s="273">
        <v>697604</v>
      </c>
      <c r="I128" s="273">
        <v>1021988</v>
      </c>
      <c r="J128" s="273">
        <v>1061573</v>
      </c>
      <c r="K128" s="273">
        <v>924639</v>
      </c>
      <c r="L128" s="273">
        <v>984483</v>
      </c>
      <c r="M128" s="273">
        <v>1014775</v>
      </c>
      <c r="N128" s="273">
        <v>1048355</v>
      </c>
      <c r="O128" s="273">
        <v>963196</v>
      </c>
      <c r="P128" s="273">
        <v>1027514</v>
      </c>
      <c r="Q128" s="273">
        <v>1043656</v>
      </c>
      <c r="R128" s="273">
        <v>1071562</v>
      </c>
      <c r="S128" s="273">
        <v>962818</v>
      </c>
      <c r="T128" s="273">
        <v>1023765</v>
      </c>
      <c r="U128" s="273">
        <v>1087654</v>
      </c>
      <c r="V128" s="273">
        <v>1147894</v>
      </c>
      <c r="W128" s="273">
        <v>1082158</v>
      </c>
      <c r="X128" s="273">
        <v>1196964</v>
      </c>
    </row>
    <row r="129" spans="1:24" ht="14.25" thickBot="1" x14ac:dyDescent="0.3">
      <c r="A129" s="225" t="s">
        <v>35</v>
      </c>
      <c r="B129" s="276">
        <v>765673</v>
      </c>
      <c r="C129" s="276">
        <v>811359</v>
      </c>
      <c r="D129" s="276">
        <v>740989</v>
      </c>
      <c r="E129" s="276">
        <v>776385</v>
      </c>
      <c r="F129" s="276">
        <v>869288</v>
      </c>
      <c r="G129" s="276">
        <v>1015352</v>
      </c>
      <c r="H129" s="276">
        <v>1053563</v>
      </c>
      <c r="I129" s="276">
        <v>1251503</v>
      </c>
      <c r="J129" s="276">
        <v>1302944</v>
      </c>
      <c r="K129" s="276">
        <v>1375518</v>
      </c>
      <c r="L129" s="276">
        <v>1263886</v>
      </c>
      <c r="M129" s="276">
        <v>1224162</v>
      </c>
      <c r="N129" s="276">
        <v>1223497</v>
      </c>
      <c r="O129" s="276">
        <v>1356958</v>
      </c>
      <c r="P129" s="276">
        <v>1239106</v>
      </c>
      <c r="Q129" s="276">
        <v>1256715</v>
      </c>
      <c r="R129" s="276">
        <v>1304849</v>
      </c>
      <c r="S129" s="276">
        <v>1359891</v>
      </c>
      <c r="T129" s="276">
        <v>1327990</v>
      </c>
      <c r="U129" s="276">
        <v>1410373</v>
      </c>
      <c r="V129" s="276">
        <v>1476103</v>
      </c>
      <c r="W129" s="276">
        <v>1599844</v>
      </c>
      <c r="X129" s="276">
        <v>1611037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4.09</v>
      </c>
      <c r="C132" s="68">
        <v>3.26</v>
      </c>
      <c r="D132" s="68">
        <v>4.88</v>
      </c>
      <c r="E132" s="68">
        <v>4.07</v>
      </c>
      <c r="F132" s="68">
        <v>4.8899999999999997</v>
      </c>
    </row>
    <row r="133" spans="1:24" ht="14.25" thickBot="1" x14ac:dyDescent="0.3">
      <c r="A133" s="225" t="s">
        <v>37</v>
      </c>
      <c r="B133" s="274">
        <v>0.3</v>
      </c>
      <c r="C133" s="274">
        <v>-3.92</v>
      </c>
      <c r="D133" s="274">
        <v>-0.93</v>
      </c>
      <c r="E133" s="274">
        <v>-0.15</v>
      </c>
      <c r="F133" s="274">
        <v>-0.03</v>
      </c>
    </row>
    <row r="134" spans="1:24" ht="14.25" thickBot="1" x14ac:dyDescent="0.3">
      <c r="A134" s="224" t="s">
        <v>38</v>
      </c>
      <c r="B134" s="68">
        <v>-2.97</v>
      </c>
      <c r="C134" s="68">
        <v>5.66</v>
      </c>
      <c r="D134" s="68">
        <v>-4.17</v>
      </c>
      <c r="E134" s="68">
        <v>-2.89</v>
      </c>
      <c r="F134" s="68">
        <v>-3.56</v>
      </c>
    </row>
    <row r="135" spans="1:24" ht="14.25" thickBot="1" x14ac:dyDescent="0.3">
      <c r="A135" s="225" t="s">
        <v>270</v>
      </c>
      <c r="B135" s="274">
        <v>4.3899999999999997</v>
      </c>
      <c r="C135" s="274">
        <v>-0.66</v>
      </c>
      <c r="D135" s="274">
        <v>3.95</v>
      </c>
      <c r="E135" s="274">
        <v>3.92</v>
      </c>
      <c r="F135" s="274">
        <v>4.8499999999999996</v>
      </c>
    </row>
    <row r="136" spans="1:24" ht="14.25" thickBot="1" x14ac:dyDescent="0.3">
      <c r="A136" s="229" t="s">
        <v>39</v>
      </c>
      <c r="B136" s="72">
        <v>1.42</v>
      </c>
      <c r="C136" s="72">
        <v>5</v>
      </c>
      <c r="D136" s="72">
        <v>-0.22</v>
      </c>
      <c r="E136" s="72">
        <v>1.03</v>
      </c>
      <c r="F136" s="72">
        <v>1.29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借錢配息?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2.75</v>
      </c>
      <c r="C140" s="68">
        <v>4.2</v>
      </c>
      <c r="D140" s="68">
        <v>3.63</v>
      </c>
      <c r="E140" s="68">
        <v>3.6</v>
      </c>
      <c r="F140" s="68">
        <v>4.2</v>
      </c>
    </row>
    <row r="141" spans="1:24" ht="14.25" thickBot="1" x14ac:dyDescent="0.3">
      <c r="A141" s="227" t="s">
        <v>1</v>
      </c>
      <c r="B141" s="73">
        <v>1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0.625</v>
      </c>
      <c r="C142" s="234">
        <f>IF(C140&lt;&gt;"無",IF(ISNA(HLOOKUP(C139,$B$64:$F$69,6,FALSE)),"",C140/HLOOKUP(C139,$B$64:$F$69,6,FALSE)),"")</f>
        <v>0.74204946996466437</v>
      </c>
      <c r="D142" s="234">
        <f>IF(D140&lt;&gt;"無",IF(ISNA(HLOOKUP(D139,$B$64:$F$69,6,FALSE)),"",D140/HLOOKUP(D139,$B$64:$F$69,6,FALSE)),"")</f>
        <v>0.90074441687344919</v>
      </c>
      <c r="E142" s="234">
        <f>IF(E140&lt;&gt;"無",IF(ISNA(HLOOKUP(E139,$B$64:$F$69,6,FALSE)),"",E140/HLOOKUP(E139,$B$64:$F$69,6,FALSE)),"")</f>
        <v>0.96774193548387089</v>
      </c>
      <c r="F142" s="234">
        <f>IF(F140&lt;&gt;"無",IF(ISNA(HLOOKUP(F139,$B$64:$F$69,6,FALSE)),"",F140/HLOOKUP(F139,$B$64:$F$69,6,FALSE)),"")</f>
        <v>0.90128755364806867</v>
      </c>
    </row>
    <row r="143" spans="1:24" x14ac:dyDescent="0.25">
      <c r="A143" s="233" t="s">
        <v>216</v>
      </c>
      <c r="B143" s="234">
        <f>IF(OR(B140=0,B140="無"),"",B135/B140)</f>
        <v>1.5963636363636362</v>
      </c>
      <c r="C143" s="234">
        <f>IF(OR(C140=0,C140="無"),"",C135/C140)</f>
        <v>-0.15714285714285714</v>
      </c>
      <c r="D143" s="234">
        <f>IF(OR(D140=0,D140="無"),"",D135/D140)</f>
        <v>1.0881542699724518</v>
      </c>
      <c r="E143" s="234">
        <f>IF(OR(E140=0,E140="無"),"",E135/E140)</f>
        <v>1.0888888888888888</v>
      </c>
      <c r="F143" s="234">
        <f>IF(OR(F140=0,F140="無"),"",F135/F140)</f>
        <v>1.1547619047619047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63.84</v>
      </c>
      <c r="C146" s="68">
        <v>55.52</v>
      </c>
      <c r="D146" s="68">
        <v>51.93</v>
      </c>
      <c r="E146" s="68">
        <v>60</v>
      </c>
      <c r="F146" s="68">
        <v>63.3</v>
      </c>
      <c r="G146" s="68">
        <v>61.15</v>
      </c>
      <c r="H146" s="68">
        <v>61.93</v>
      </c>
      <c r="I146" s="68">
        <v>51.33</v>
      </c>
      <c r="J146" s="68">
        <v>59.75</v>
      </c>
      <c r="K146" s="68">
        <v>55.07</v>
      </c>
      <c r="L146" s="68">
        <v>55.61</v>
      </c>
      <c r="M146" s="68">
        <v>51</v>
      </c>
      <c r="N146" s="68">
        <v>58.98</v>
      </c>
      <c r="O146" s="68">
        <v>62.58</v>
      </c>
      <c r="P146" s="68">
        <v>64.260000000000005</v>
      </c>
      <c r="Q146" s="68">
        <v>57.14</v>
      </c>
      <c r="R146" s="68">
        <v>59.28</v>
      </c>
      <c r="S146" s="68">
        <v>66.069999999999993</v>
      </c>
      <c r="T146" s="68">
        <v>62.61</v>
      </c>
      <c r="U146" s="68">
        <v>59</v>
      </c>
      <c r="V146" s="68">
        <v>63.23</v>
      </c>
      <c r="W146" s="68">
        <v>61.89</v>
      </c>
      <c r="X146" s="68">
        <v>59.89</v>
      </c>
    </row>
    <row r="147" spans="1:24" s="93" customFormat="1" ht="14.25" thickBot="1" x14ac:dyDescent="0.3">
      <c r="A147" s="225" t="s">
        <v>19</v>
      </c>
      <c r="B147" s="274">
        <v>23.02</v>
      </c>
      <c r="C147" s="274">
        <v>28.59</v>
      </c>
      <c r="D147" s="274">
        <v>20.45</v>
      </c>
      <c r="E147" s="274">
        <v>22.64</v>
      </c>
      <c r="F147" s="274">
        <v>35</v>
      </c>
      <c r="G147" s="274">
        <v>39.14</v>
      </c>
      <c r="H147" s="274">
        <v>34.53</v>
      </c>
      <c r="I147" s="274">
        <v>13.21</v>
      </c>
      <c r="J147" s="274">
        <v>29.22</v>
      </c>
      <c r="K147" s="274">
        <v>28.95</v>
      </c>
      <c r="L147" s="274">
        <v>30.34</v>
      </c>
      <c r="M147" s="274">
        <v>15.08</v>
      </c>
      <c r="N147" s="274">
        <v>30.76</v>
      </c>
      <c r="O147" s="274">
        <v>34.33</v>
      </c>
      <c r="P147" s="274">
        <v>31.9</v>
      </c>
      <c r="Q147" s="274">
        <v>19.579999999999998</v>
      </c>
      <c r="R147" s="274">
        <v>24.94</v>
      </c>
      <c r="S147" s="274">
        <v>37.590000000000003</v>
      </c>
      <c r="T147" s="274">
        <v>36.4</v>
      </c>
      <c r="U147" s="274">
        <v>22.98</v>
      </c>
      <c r="V147" s="274">
        <v>36.54</v>
      </c>
      <c r="W147" s="274">
        <v>34.68</v>
      </c>
      <c r="X147" s="274">
        <v>36.74</v>
      </c>
    </row>
    <row r="148" spans="1:24" s="93" customFormat="1" ht="14.25" thickBot="1" x14ac:dyDescent="0.3">
      <c r="A148" s="224" t="s">
        <v>41</v>
      </c>
      <c r="B148" s="68">
        <v>77.819999999999993</v>
      </c>
      <c r="C148" s="68">
        <v>31.24</v>
      </c>
      <c r="D148" s="68">
        <v>18.89</v>
      </c>
      <c r="E148" s="68">
        <v>22.34</v>
      </c>
      <c r="F148" s="68">
        <v>39.979999999999997</v>
      </c>
      <c r="G148" s="68">
        <v>40.39</v>
      </c>
      <c r="H148" s="68">
        <v>32.86</v>
      </c>
      <c r="I148" s="68">
        <v>16.79</v>
      </c>
      <c r="J148" s="68">
        <v>33.54</v>
      </c>
      <c r="K148" s="68">
        <v>26.67</v>
      </c>
      <c r="L148" s="68">
        <v>34.159999999999997</v>
      </c>
      <c r="M148" s="68">
        <v>24.65</v>
      </c>
      <c r="N148" s="68">
        <v>29.81</v>
      </c>
      <c r="O148" s="68">
        <v>32.99</v>
      </c>
      <c r="P148" s="68">
        <v>43.52</v>
      </c>
      <c r="Q148" s="68">
        <v>16.91</v>
      </c>
      <c r="R148" s="68">
        <v>21.27</v>
      </c>
      <c r="S148" s="68">
        <v>37.74</v>
      </c>
      <c r="T148" s="68">
        <v>32.72</v>
      </c>
      <c r="U148" s="68">
        <v>28.69</v>
      </c>
      <c r="V148" s="68">
        <v>31.32</v>
      </c>
      <c r="W148" s="68">
        <v>35.69</v>
      </c>
      <c r="X148" s="68">
        <v>36.700000000000003</v>
      </c>
    </row>
    <row r="149" spans="1:24" s="93" customFormat="1" ht="14.25" thickBot="1" x14ac:dyDescent="0.3">
      <c r="A149" s="225" t="s">
        <v>13</v>
      </c>
      <c r="B149" s="73">
        <v>66.23</v>
      </c>
      <c r="C149" s="73">
        <v>26.91</v>
      </c>
      <c r="D149" s="73">
        <v>16.23</v>
      </c>
      <c r="E149" s="73">
        <v>19.02</v>
      </c>
      <c r="F149" s="73">
        <v>33.56</v>
      </c>
      <c r="G149" s="73">
        <v>33.83</v>
      </c>
      <c r="H149" s="73">
        <v>27.58</v>
      </c>
      <c r="I149" s="73">
        <v>14.55</v>
      </c>
      <c r="J149" s="73">
        <v>28.33</v>
      </c>
      <c r="K149" s="73">
        <v>23.51</v>
      </c>
      <c r="L149" s="73">
        <v>28.85</v>
      </c>
      <c r="M149" s="73">
        <v>23.83</v>
      </c>
      <c r="N149" s="73">
        <v>24.08</v>
      </c>
      <c r="O149" s="73">
        <v>22.32</v>
      </c>
      <c r="P149" s="73">
        <v>37.31</v>
      </c>
      <c r="Q149" s="73">
        <v>14.85</v>
      </c>
      <c r="R149" s="73">
        <v>17.95</v>
      </c>
      <c r="S149" s="73">
        <v>24.91</v>
      </c>
      <c r="T149" s="73">
        <v>27.55</v>
      </c>
      <c r="U149" s="73">
        <v>26.22</v>
      </c>
      <c r="V149" s="73">
        <v>26.99</v>
      </c>
      <c r="W149" s="73">
        <v>30.68</v>
      </c>
      <c r="X149" s="73">
        <v>30.85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57.32</v>
      </c>
      <c r="C152" s="68">
        <v>60.28</v>
      </c>
      <c r="D152" s="68">
        <v>55.45</v>
      </c>
      <c r="E152" s="68">
        <v>61.1</v>
      </c>
      <c r="F152" s="68">
        <v>61.67</v>
      </c>
    </row>
    <row r="153" spans="1:24" s="93" customFormat="1" ht="14.25" thickBot="1" x14ac:dyDescent="0.3">
      <c r="A153" s="225" t="s">
        <v>19</v>
      </c>
      <c r="B153" s="274">
        <v>23.66</v>
      </c>
      <c r="C153" s="274">
        <v>32.630000000000003</v>
      </c>
      <c r="D153" s="274">
        <v>26.73</v>
      </c>
      <c r="E153" s="274">
        <v>29.83</v>
      </c>
      <c r="F153" s="274">
        <v>30.41</v>
      </c>
    </row>
    <row r="154" spans="1:24" s="93" customFormat="1" ht="14.25" thickBot="1" x14ac:dyDescent="0.3">
      <c r="A154" s="224" t="s">
        <v>41</v>
      </c>
      <c r="B154" s="68">
        <v>34.619999999999997</v>
      </c>
      <c r="C154" s="68">
        <v>34.090000000000003</v>
      </c>
      <c r="D154" s="68">
        <v>30.09</v>
      </c>
      <c r="E154" s="68">
        <v>31.88</v>
      </c>
      <c r="F154" s="68">
        <v>30.53</v>
      </c>
    </row>
    <row r="155" spans="1:24" s="93" customFormat="1" ht="14.25" thickBot="1" x14ac:dyDescent="0.3">
      <c r="A155" s="225" t="s">
        <v>13</v>
      </c>
      <c r="B155" s="73">
        <v>29.59</v>
      </c>
      <c r="C155" s="73">
        <v>28.67</v>
      </c>
      <c r="D155" s="73">
        <v>26.28</v>
      </c>
      <c r="E155" s="73">
        <v>25.33</v>
      </c>
      <c r="F155" s="73">
        <v>24.79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8.4600000000000009</v>
      </c>
      <c r="C158" s="68">
        <v>4.28</v>
      </c>
      <c r="D158" s="68">
        <v>2.81</v>
      </c>
      <c r="E158" s="68">
        <v>3.14</v>
      </c>
      <c r="F158" s="68">
        <v>6.14</v>
      </c>
      <c r="G158" s="68">
        <v>7.92</v>
      </c>
      <c r="H158" s="68">
        <v>6.14</v>
      </c>
      <c r="I158" s="68">
        <v>1.47</v>
      </c>
      <c r="J158" s="68">
        <v>3.12</v>
      </c>
      <c r="K158" s="68">
        <v>3.19</v>
      </c>
      <c r="L158" s="68">
        <v>4.47</v>
      </c>
      <c r="M158" s="68">
        <v>2.4500000000000002</v>
      </c>
      <c r="N158" s="68">
        <v>2.77</v>
      </c>
      <c r="O158" s="68">
        <v>3.06</v>
      </c>
      <c r="P158" s="68">
        <v>4.83</v>
      </c>
      <c r="Q158" s="68">
        <v>1.48</v>
      </c>
      <c r="R158" s="68">
        <v>2.0499999999999998</v>
      </c>
      <c r="S158" s="68">
        <v>3.44</v>
      </c>
      <c r="T158" s="68">
        <v>4.6399999999999997</v>
      </c>
      <c r="U158" s="68">
        <v>4.84</v>
      </c>
      <c r="V158" s="68">
        <v>4.33</v>
      </c>
      <c r="W158" s="68">
        <v>5.92</v>
      </c>
      <c r="X158" s="68">
        <v>7.11</v>
      </c>
    </row>
    <row r="159" spans="1:24" s="93" customFormat="1" ht="14.25" thickBot="1" x14ac:dyDescent="0.3">
      <c r="A159" s="225" t="s">
        <v>45</v>
      </c>
      <c r="B159" s="73">
        <v>10.65</v>
      </c>
      <c r="C159" s="73">
        <v>5.78</v>
      </c>
      <c r="D159" s="73">
        <v>3.88</v>
      </c>
      <c r="E159" s="73">
        <v>4.07</v>
      </c>
      <c r="F159" s="73">
        <v>8.14</v>
      </c>
      <c r="G159" s="73">
        <v>11.73</v>
      </c>
      <c r="H159" s="73">
        <v>9.59</v>
      </c>
      <c r="I159" s="73">
        <v>1.95</v>
      </c>
      <c r="J159" s="73">
        <v>3.82</v>
      </c>
      <c r="K159" s="73">
        <v>4.3</v>
      </c>
      <c r="L159" s="73">
        <v>6.18</v>
      </c>
      <c r="M159" s="73">
        <v>3.05</v>
      </c>
      <c r="N159" s="73">
        <v>3.28</v>
      </c>
      <c r="O159" s="73">
        <v>3.93</v>
      </c>
      <c r="P159" s="73">
        <v>6.3</v>
      </c>
      <c r="Q159" s="73">
        <v>1.78</v>
      </c>
      <c r="R159" s="73">
        <v>2.4900000000000002</v>
      </c>
      <c r="S159" s="73">
        <v>4.5</v>
      </c>
      <c r="T159" s="73">
        <v>6.28</v>
      </c>
      <c r="U159" s="73">
        <v>6.28</v>
      </c>
      <c r="V159" s="73">
        <v>5.59</v>
      </c>
      <c r="W159" s="73">
        <v>8.17</v>
      </c>
      <c r="X159" s="73">
        <v>10.02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29.59</v>
      </c>
      <c r="C162" s="68">
        <v>28.67</v>
      </c>
      <c r="D162" s="68">
        <v>26.28</v>
      </c>
      <c r="E162" s="68">
        <v>25.33</v>
      </c>
      <c r="F162" s="68">
        <v>24.79</v>
      </c>
    </row>
    <row r="163" spans="1:72" s="93" customFormat="1" ht="14.25" thickBot="1" x14ac:dyDescent="0.3">
      <c r="A163" s="225" t="s">
        <v>18</v>
      </c>
      <c r="B163" s="274">
        <v>0.62</v>
      </c>
      <c r="C163" s="274">
        <v>0.56999999999999995</v>
      </c>
      <c r="D163" s="274">
        <v>0.53</v>
      </c>
      <c r="E163" s="274">
        <v>0.49</v>
      </c>
      <c r="F163" s="274">
        <v>0.56999999999999995</v>
      </c>
    </row>
    <row r="164" spans="1:72" s="93" customFormat="1" ht="14.25" thickBot="1" x14ac:dyDescent="0.3">
      <c r="A164" s="224" t="s">
        <v>15</v>
      </c>
      <c r="B164" s="68">
        <v>1.3</v>
      </c>
      <c r="C164" s="68">
        <v>1.22</v>
      </c>
      <c r="D164" s="68">
        <v>1.21</v>
      </c>
      <c r="E164" s="68">
        <v>1.2</v>
      </c>
      <c r="F164" s="68">
        <v>1.3</v>
      </c>
    </row>
    <row r="165" spans="1:72" s="93" customFormat="1" ht="14.25" thickBot="1" x14ac:dyDescent="0.3">
      <c r="A165" s="225" t="s">
        <v>45</v>
      </c>
      <c r="B165" s="73">
        <v>24.6</v>
      </c>
      <c r="C165" s="73">
        <v>25.38</v>
      </c>
      <c r="D165" s="73">
        <v>16.88</v>
      </c>
      <c r="E165" s="73">
        <v>15.02</v>
      </c>
      <c r="F165" s="73">
        <v>18.84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191.49</v>
      </c>
      <c r="C168" s="68">
        <v>157.88999999999999</v>
      </c>
      <c r="D168" s="68">
        <v>152.54</v>
      </c>
      <c r="E168" s="68">
        <v>157.88999999999999</v>
      </c>
      <c r="F168" s="68">
        <v>147.54</v>
      </c>
      <c r="G168" s="68">
        <v>130.43</v>
      </c>
      <c r="H168" s="68">
        <v>150</v>
      </c>
      <c r="I168" s="68">
        <v>264.70999999999998</v>
      </c>
      <c r="J168" s="68">
        <v>180</v>
      </c>
      <c r="K168" s="68">
        <v>152.54</v>
      </c>
      <c r="L168" s="68">
        <v>138.46</v>
      </c>
      <c r="M168" s="68">
        <v>204.55</v>
      </c>
      <c r="N168" s="68">
        <v>163.63999999999999</v>
      </c>
      <c r="O168" s="68">
        <v>134.33000000000001</v>
      </c>
      <c r="P168" s="68">
        <v>173.08</v>
      </c>
      <c r="Q168" s="68">
        <v>225</v>
      </c>
      <c r="R168" s="68">
        <v>176.47</v>
      </c>
      <c r="S168" s="68">
        <v>147.54</v>
      </c>
      <c r="T168" s="68">
        <v>134.33000000000001</v>
      </c>
      <c r="U168" s="68">
        <v>126.76</v>
      </c>
      <c r="V168" s="68">
        <v>136.36000000000001</v>
      </c>
      <c r="W168" s="68">
        <v>116.88</v>
      </c>
      <c r="X168" s="68">
        <v>121.62</v>
      </c>
    </row>
    <row r="169" spans="1:72" s="93" customFormat="1" ht="14.25" thickBot="1" x14ac:dyDescent="0.3">
      <c r="A169" s="225" t="s">
        <v>17</v>
      </c>
      <c r="B169" s="274">
        <v>290.32</v>
      </c>
      <c r="C169" s="274">
        <v>173.08</v>
      </c>
      <c r="D169" s="274">
        <v>134.33000000000001</v>
      </c>
      <c r="E169" s="274">
        <v>155.16999999999999</v>
      </c>
      <c r="F169" s="274">
        <v>169.81</v>
      </c>
      <c r="G169" s="274">
        <v>145.16</v>
      </c>
      <c r="H169" s="274">
        <v>142.86000000000001</v>
      </c>
      <c r="I169" s="274">
        <v>195.65</v>
      </c>
      <c r="J169" s="274">
        <v>191.49</v>
      </c>
      <c r="K169" s="274">
        <v>138.46</v>
      </c>
      <c r="L169" s="274">
        <v>138.46</v>
      </c>
      <c r="M169" s="274">
        <v>195.65</v>
      </c>
      <c r="N169" s="274">
        <v>191.49</v>
      </c>
      <c r="O169" s="274">
        <v>163.63999999999999</v>
      </c>
      <c r="P169" s="274">
        <v>173.08</v>
      </c>
      <c r="Q169" s="274">
        <v>195.65</v>
      </c>
      <c r="R169" s="274">
        <v>187.5</v>
      </c>
      <c r="S169" s="274">
        <v>195.65</v>
      </c>
      <c r="T169" s="274">
        <v>160.71</v>
      </c>
      <c r="U169" s="274">
        <v>138.46</v>
      </c>
      <c r="V169" s="274">
        <v>176.47</v>
      </c>
      <c r="W169" s="274">
        <v>145.16</v>
      </c>
      <c r="X169" s="274">
        <v>113.92</v>
      </c>
    </row>
    <row r="170" spans="1:72" s="93" customFormat="1" ht="14.25" thickBot="1" x14ac:dyDescent="0.3">
      <c r="A170" s="224" t="s">
        <v>42</v>
      </c>
      <c r="B170" s="72">
        <v>481.81</v>
      </c>
      <c r="C170" s="72">
        <v>330.97</v>
      </c>
      <c r="D170" s="72">
        <v>286.87</v>
      </c>
      <c r="E170" s="72">
        <v>313.07</v>
      </c>
      <c r="F170" s="72">
        <v>317.35000000000002</v>
      </c>
      <c r="G170" s="72">
        <v>275.60000000000002</v>
      </c>
      <c r="H170" s="72">
        <v>292.86</v>
      </c>
      <c r="I170" s="72">
        <v>460.36</v>
      </c>
      <c r="J170" s="72">
        <v>371.49</v>
      </c>
      <c r="K170" s="72">
        <v>291</v>
      </c>
      <c r="L170" s="72">
        <v>276.92</v>
      </c>
      <c r="M170" s="72">
        <v>400.2</v>
      </c>
      <c r="N170" s="72">
        <v>355.13</v>
      </c>
      <c r="O170" s="72">
        <v>297.95999999999998</v>
      </c>
      <c r="P170" s="72">
        <v>346.15</v>
      </c>
      <c r="Q170" s="72">
        <v>420.65</v>
      </c>
      <c r="R170" s="72">
        <v>363.97</v>
      </c>
      <c r="S170" s="72">
        <v>343.19</v>
      </c>
      <c r="T170" s="72">
        <v>295.04000000000002</v>
      </c>
      <c r="U170" s="72">
        <v>265.22000000000003</v>
      </c>
      <c r="V170" s="72">
        <v>312.83</v>
      </c>
      <c r="W170" s="72">
        <v>262.04000000000002</v>
      </c>
      <c r="X170" s="72">
        <v>235.55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96.61</v>
      </c>
      <c r="C173" s="72">
        <v>60.43</v>
      </c>
      <c r="D173" s="72">
        <v>121.88</v>
      </c>
      <c r="E173" s="72">
        <v>113.12</v>
      </c>
      <c r="F173" s="72">
        <v>103.61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8.75</v>
      </c>
      <c r="C176" s="72">
        <v>11.01</v>
      </c>
      <c r="D176" s="72">
        <v>12.15</v>
      </c>
      <c r="E176" s="72">
        <v>11.02</v>
      </c>
      <c r="F176" s="72">
        <v>9.3800000000000008</v>
      </c>
      <c r="G176" s="72">
        <v>8.76</v>
      </c>
      <c r="H176" s="72">
        <v>8.75</v>
      </c>
      <c r="I176" s="72">
        <v>9.7100000000000009</v>
      </c>
      <c r="J176" s="72">
        <v>9.3699999999999992</v>
      </c>
      <c r="K176" s="72">
        <v>8.41</v>
      </c>
      <c r="L176" s="72">
        <v>9.08</v>
      </c>
      <c r="M176" s="72">
        <v>9.68</v>
      </c>
      <c r="N176" s="72">
        <v>10.57</v>
      </c>
      <c r="O176" s="72">
        <v>12.36</v>
      </c>
      <c r="P176" s="72">
        <v>14.35</v>
      </c>
      <c r="Q176" s="72">
        <v>14</v>
      </c>
      <c r="R176" s="72">
        <v>16.420000000000002</v>
      </c>
      <c r="S176" s="72">
        <v>17.510000000000002</v>
      </c>
      <c r="T176" s="72">
        <v>19.23</v>
      </c>
      <c r="U176" s="72">
        <v>16.52</v>
      </c>
      <c r="V176" s="72">
        <v>16.38</v>
      </c>
      <c r="W176" s="72">
        <v>14.99</v>
      </c>
      <c r="X176" s="72">
        <v>11.06</v>
      </c>
      <c r="Y176" s="72">
        <v>11.17</v>
      </c>
      <c r="Z176" s="72">
        <v>11.98</v>
      </c>
      <c r="AA176" s="72">
        <v>12.25</v>
      </c>
      <c r="AB176" s="72">
        <v>12.77</v>
      </c>
      <c r="AC176" s="72">
        <v>13.63</v>
      </c>
      <c r="AD176" s="72">
        <v>15.31</v>
      </c>
      <c r="AE176" s="72">
        <v>14.8</v>
      </c>
      <c r="AF176" s="72">
        <v>13.14</v>
      </c>
      <c r="AG176" s="72">
        <v>14.4</v>
      </c>
      <c r="AH176" s="72">
        <v>14.8</v>
      </c>
      <c r="AI176" s="72">
        <v>13.09</v>
      </c>
      <c r="AJ176" s="72">
        <v>13.41</v>
      </c>
      <c r="AK176" s="72">
        <v>13.9</v>
      </c>
      <c r="AL176" s="72">
        <v>14.14</v>
      </c>
      <c r="AM176" s="72">
        <v>13.8</v>
      </c>
      <c r="AN176" s="72">
        <v>13.73</v>
      </c>
      <c r="AO176" s="72">
        <v>13.56</v>
      </c>
      <c r="AP176" s="72">
        <v>13.24</v>
      </c>
      <c r="AQ176" s="72">
        <v>11.7</v>
      </c>
      <c r="AR176" s="72">
        <v>10.5</v>
      </c>
      <c r="AS176" s="72">
        <v>9.8699999999999992</v>
      </c>
      <c r="AT176" s="72">
        <v>10.119999999999999</v>
      </c>
      <c r="AU176" s="72">
        <v>10.74</v>
      </c>
      <c r="AV176" s="72">
        <v>11.17</v>
      </c>
      <c r="AW176" s="72">
        <v>11.07</v>
      </c>
      <c r="AX176" s="72">
        <v>10.37</v>
      </c>
      <c r="AY176" s="72">
        <v>11.13</v>
      </c>
      <c r="AZ176" s="72">
        <v>12.91</v>
      </c>
      <c r="BA176" s="72">
        <v>12.54</v>
      </c>
      <c r="BB176" s="72">
        <v>12.48</v>
      </c>
      <c r="BC176" s="72">
        <v>12.3</v>
      </c>
      <c r="BD176" s="72">
        <v>12.04</v>
      </c>
      <c r="BE176" s="72">
        <v>13.81</v>
      </c>
      <c r="BF176" s="72">
        <v>16.02</v>
      </c>
      <c r="BG176" s="72">
        <v>17.07</v>
      </c>
      <c r="BH176" s="72">
        <v>16.559999999999999</v>
      </c>
      <c r="BI176" s="72">
        <v>16.91</v>
      </c>
      <c r="BJ176" s="72">
        <v>16.28</v>
      </c>
      <c r="BK176" s="72">
        <v>19.850000000000001</v>
      </c>
      <c r="BL176" s="72">
        <v>17.71</v>
      </c>
      <c r="BM176" s="72">
        <v>17.39</v>
      </c>
      <c r="BN176" s="72">
        <v>17.8</v>
      </c>
      <c r="BO176" s="72">
        <v>21.57</v>
      </c>
      <c r="BP176" s="72">
        <v>22.24</v>
      </c>
      <c r="BQ176" s="72">
        <v>24.38</v>
      </c>
      <c r="BR176" s="72">
        <v>23.62</v>
      </c>
      <c r="BS176" s="72">
        <v>23.93</v>
      </c>
      <c r="BT176" s="72">
        <v>25.48</v>
      </c>
    </row>
  </sheetData>
  <phoneticPr fontId="3" type="noConversion"/>
  <conditionalFormatting sqref="E4">
    <cfRule type="cellIs" dxfId="4124" priority="101" operator="greaterThan">
      <formula>0.2</formula>
    </cfRule>
    <cfRule type="cellIs" dxfId="412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412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121" priority="95" operator="greaterThan">
      <formula>$B$19</formula>
    </cfRule>
  </conditionalFormatting>
  <conditionalFormatting sqref="D33:D34">
    <cfRule type="cellIs" dxfId="412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4119" priority="89" operator="lessThan">
      <formula>$H$62</formula>
    </cfRule>
    <cfRule type="cellIs" dxfId="4118" priority="90" operator="greaterThan">
      <formula>$H$62</formula>
    </cfRule>
  </conditionalFormatting>
  <conditionalFormatting sqref="J62">
    <cfRule type="cellIs" dxfId="4117" priority="87" operator="lessThan">
      <formula>$K$62</formula>
    </cfRule>
    <cfRule type="cellIs" dxfId="4116" priority="88" operator="greaterThan">
      <formula>$K$62</formula>
    </cfRule>
  </conditionalFormatting>
  <conditionalFormatting sqref="M62">
    <cfRule type="cellIs" dxfId="4115" priority="85" operator="lessThan">
      <formula>$N$62</formula>
    </cfRule>
    <cfRule type="cellIs" dxfId="4114" priority="86" operator="greaterThan">
      <formula>$N$62</formula>
    </cfRule>
  </conditionalFormatting>
  <conditionalFormatting sqref="B44:E44">
    <cfRule type="cellIs" dxfId="4113" priority="83" operator="greaterThan">
      <formula>0</formula>
    </cfRule>
    <cfRule type="cellIs" dxfId="4112" priority="84" operator="lessThan">
      <formula>0</formula>
    </cfRule>
  </conditionalFormatting>
  <conditionalFormatting sqref="F72">
    <cfRule type="cellIs" dxfId="4111" priority="82" operator="lessThan">
      <formula>$E$72*90%</formula>
    </cfRule>
  </conditionalFormatting>
  <conditionalFormatting sqref="F73">
    <cfRule type="cellIs" dxfId="4110" priority="81" operator="lessThan">
      <formula>$E$73*90%</formula>
    </cfRule>
  </conditionalFormatting>
  <conditionalFormatting sqref="F74">
    <cfRule type="cellIs" dxfId="4109" priority="80" operator="lessThan">
      <formula>$E$74*90%</formula>
    </cfRule>
  </conditionalFormatting>
  <conditionalFormatting sqref="F75">
    <cfRule type="cellIs" dxfId="4108" priority="79" operator="lessThan">
      <formula>$E$75*90%</formula>
    </cfRule>
  </conditionalFormatting>
  <conditionalFormatting sqref="H44:K44">
    <cfRule type="cellIs" dxfId="4107" priority="77" operator="greaterThan">
      <formula>0</formula>
    </cfRule>
    <cfRule type="cellIs" dxfId="4106" priority="78" operator="lessThan">
      <formula>0</formula>
    </cfRule>
  </conditionalFormatting>
  <conditionalFormatting sqref="H51:K51">
    <cfRule type="cellIs" dxfId="4105" priority="75" operator="greaterThan">
      <formula>0</formula>
    </cfRule>
    <cfRule type="cellIs" dxfId="4104" priority="76" operator="lessThan">
      <formula>0</formula>
    </cfRule>
  </conditionalFormatting>
  <conditionalFormatting sqref="B51:E51">
    <cfRule type="cellIs" dxfId="4103" priority="73" operator="greaterThan">
      <formula>0</formula>
    </cfRule>
    <cfRule type="cellIs" dxfId="410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10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10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099" priority="56" operator="lessThan">
      <formula>0</formula>
    </cfRule>
  </conditionalFormatting>
  <conditionalFormatting sqref="A25 E25 C25">
    <cfRule type="cellIs" dxfId="4098" priority="57" operator="lessThan">
      <formula>0</formula>
    </cfRule>
  </conditionalFormatting>
  <conditionalFormatting sqref="F25">
    <cfRule type="cellIs" dxfId="4097" priority="55" operator="lessThan">
      <formula>0</formula>
    </cfRule>
  </conditionalFormatting>
  <conditionalFormatting sqref="E1">
    <cfRule type="containsText" dxfId="4096" priority="54" operator="containsText" text="本季業外損益/平均=-">
      <formula>NOT(ISERROR(SEARCH("本季業外損益/平均=-",E1)))</formula>
    </cfRule>
  </conditionalFormatting>
  <conditionalFormatting sqref="M65">
    <cfRule type="cellIs" dxfId="4095" priority="53" operator="lessThan">
      <formula>$L$65*90%</formula>
    </cfRule>
  </conditionalFormatting>
  <conditionalFormatting sqref="M66">
    <cfRule type="cellIs" dxfId="4094" priority="52" operator="lessThan">
      <formula>$L$66*90%</formula>
    </cfRule>
  </conditionalFormatting>
  <conditionalFormatting sqref="M67">
    <cfRule type="cellIs" dxfId="4093" priority="51" operator="lessThan">
      <formula>$L$67*90%</formula>
    </cfRule>
  </conditionalFormatting>
  <conditionalFormatting sqref="M68">
    <cfRule type="cellIs" dxfId="4092" priority="50" operator="lessThan">
      <formula>$L$68*90%</formula>
    </cfRule>
  </conditionalFormatting>
  <conditionalFormatting sqref="B60">
    <cfRule type="cellIs" dxfId="4091" priority="49" operator="lessThan">
      <formula>0</formula>
    </cfRule>
  </conditionalFormatting>
  <conditionalFormatting sqref="B59:F59">
    <cfRule type="cellIs" dxfId="4090" priority="48" operator="lessThanOrEqual">
      <formula>0</formula>
    </cfRule>
  </conditionalFormatting>
  <conditionalFormatting sqref="D62">
    <cfRule type="cellIs" dxfId="4089" priority="46" operator="lessThan">
      <formula>$E$62</formula>
    </cfRule>
    <cfRule type="cellIs" dxfId="4088" priority="47" operator="greaterThan">
      <formula>$E$62</formula>
    </cfRule>
  </conditionalFormatting>
  <conditionalFormatting sqref="F69">
    <cfRule type="cellIs" dxfId="4087" priority="44" operator="lessThan">
      <formula>0</formula>
    </cfRule>
  </conditionalFormatting>
  <conditionalFormatting sqref="B65:E67 B69:E69 B68:D68">
    <cfRule type="cellIs" dxfId="4086" priority="45" operator="lessThan">
      <formula>0</formula>
    </cfRule>
  </conditionalFormatting>
  <conditionalFormatting sqref="E68">
    <cfRule type="cellIs" dxfId="4085" priority="43" operator="lessThan">
      <formula>0</formula>
    </cfRule>
  </conditionalFormatting>
  <conditionalFormatting sqref="F65:F68">
    <cfRule type="cellIs" dxfId="4084" priority="42" operator="lessThan">
      <formula>0</formula>
    </cfRule>
  </conditionalFormatting>
  <conditionalFormatting sqref="F65:F68">
    <cfRule type="cellIs" dxfId="4083" priority="41" operator="lessThan">
      <formula>$E$65*0.9</formula>
    </cfRule>
  </conditionalFormatting>
  <conditionalFormatting sqref="F66">
    <cfRule type="cellIs" dxfId="4082" priority="40" operator="lessThan">
      <formula>$E$66*0.9</formula>
    </cfRule>
  </conditionalFormatting>
  <conditionalFormatting sqref="F67:F68">
    <cfRule type="cellIs" dxfId="4081" priority="39" operator="lessThan">
      <formula>$E$67*0.9</formula>
    </cfRule>
  </conditionalFormatting>
  <conditionalFormatting sqref="F68">
    <cfRule type="cellIs" dxfId="4080" priority="38" operator="lessThan">
      <formula>$E$68*0.9</formula>
    </cfRule>
  </conditionalFormatting>
  <conditionalFormatting sqref="B13:F13">
    <cfRule type="cellIs" dxfId="4079" priority="27" operator="greaterThan">
      <formula>$I$16</formula>
    </cfRule>
    <cfRule type="cellIs" dxfId="4078" priority="28" operator="lessThanOrEqual">
      <formula>$I$16</formula>
    </cfRule>
  </conditionalFormatting>
  <conditionalFormatting sqref="B10:F10">
    <cfRule type="cellIs" dxfId="4077" priority="29" operator="greaterThan">
      <formula>15</formula>
    </cfRule>
    <cfRule type="cellIs" dxfId="4076" priority="36" operator="lessThan">
      <formula>$I$9</formula>
    </cfRule>
    <cfRule type="cellIs" dxfId="4075" priority="37" operator="greaterThan">
      <formula>$I$9</formula>
    </cfRule>
  </conditionalFormatting>
  <conditionalFormatting sqref="B16:F16">
    <cfRule type="cellIs" dxfId="4074" priority="34" operator="greaterThan">
      <formula>$I$16</formula>
    </cfRule>
    <cfRule type="cellIs" dxfId="4073" priority="35" operator="lessThanOrEqual">
      <formula>$I$16</formula>
    </cfRule>
  </conditionalFormatting>
  <conditionalFormatting sqref="B15:F15">
    <cfRule type="cellIs" dxfId="4072" priority="32" operator="lessThanOrEqual">
      <formula>$I$16</formula>
    </cfRule>
    <cfRule type="cellIs" dxfId="4071" priority="33" operator="greaterThan">
      <formula>$I$16</formula>
    </cfRule>
  </conditionalFormatting>
  <conditionalFormatting sqref="B14:F14">
    <cfRule type="cellIs" dxfId="4070" priority="30" operator="greaterThan">
      <formula>$I$16</formula>
    </cfRule>
    <cfRule type="cellIs" dxfId="4069" priority="31" operator="lessThanOrEqual">
      <formula>$I$16</formula>
    </cfRule>
  </conditionalFormatting>
  <conditionalFormatting sqref="K6">
    <cfRule type="containsText" dxfId="4068" priority="25" operator="containsText" text="衰退">
      <formula>NOT(ISERROR(SEARCH("衰退",K6)))</formula>
    </cfRule>
    <cfRule type="containsText" dxfId="4067" priority="26" operator="containsText" text="成長">
      <formula>NOT(ISERROR(SEARCH("成長",K6)))</formula>
    </cfRule>
  </conditionalFormatting>
  <conditionalFormatting sqref="I4:K4">
    <cfRule type="cellIs" dxfId="4066" priority="23" operator="lessThan">
      <formula>0</formula>
    </cfRule>
    <cfRule type="cellIs" dxfId="406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064" priority="20" operator="lessThanOrEqual">
      <formula>$I$16</formula>
    </cfRule>
    <cfRule type="cellIs" dxfId="4063" priority="21" operator="greaterThan">
      <formula>$I$16</formula>
    </cfRule>
  </conditionalFormatting>
  <conditionalFormatting sqref="I6">
    <cfRule type="containsText" dxfId="4062" priority="18" operator="containsText" text="衰退">
      <formula>NOT(ISERROR(SEARCH("衰退",I6)))</formula>
    </cfRule>
    <cfRule type="containsText" dxfId="4061" priority="19" operator="containsText" text="成長">
      <formula>NOT(ISERROR(SEARCH("成長",I6)))</formula>
    </cfRule>
  </conditionalFormatting>
  <conditionalFormatting sqref="M9">
    <cfRule type="cellIs" dxfId="4060" priority="17" operator="lessThan">
      <formula>$I$9</formula>
    </cfRule>
  </conditionalFormatting>
  <conditionalFormatting sqref="M10">
    <cfRule type="cellIs" dxfId="4059" priority="16" operator="greaterThan">
      <formula>$I$9</formula>
    </cfRule>
  </conditionalFormatting>
  <conditionalFormatting sqref="M11">
    <cfRule type="cellIs" dxfId="405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057" priority="12" operator="lessThan">
      <formula>0</formula>
    </cfRule>
    <cfRule type="cellIs" dxfId="4056" priority="13" operator="greaterThan">
      <formula>0.5</formula>
    </cfRule>
  </conditionalFormatting>
  <conditionalFormatting sqref="N14">
    <cfRule type="cellIs" dxfId="405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054" priority="8" operator="lessThan">
      <formula>0.1</formula>
    </cfRule>
  </conditionalFormatting>
  <conditionalFormatting sqref="I14">
    <cfRule type="cellIs" dxfId="405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05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051" priority="1" operator="lessThan">
      <formula>$N$5*0.9</formula>
    </cfRule>
    <cfRule type="cellIs" dxfId="4050" priority="2" operator="greaterThan">
      <formula>$N$5*1.1</formula>
    </cfRule>
  </conditionalFormatting>
  <hyperlinks>
    <hyperlink ref="L1" location="儀表板!A1" display="(回首頁)" xr:uid="{00000000-0004-0000-3100-000000000000}"/>
  </hyperlink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3.59 ~ 15.12</v>
      </c>
      <c r="L1" s="83" t="s">
        <v>176</v>
      </c>
      <c r="M1" s="84" t="str">
        <f ca="1">VLOOKUP(_xlfn.NUMBERVALUE(N1),儀表板!A:B,2,FALSE)</f>
        <v>百略醫學</v>
      </c>
      <c r="N1" s="85" t="str">
        <f ca="1">MID(CELL("filename",L1),FIND("]",CELL("filename",L1))+1,255)</f>
        <v>4103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0.23267244934897524</v>
      </c>
    </row>
    <row r="3" spans="1:15" s="93" customFormat="1" x14ac:dyDescent="0.25">
      <c r="A3" s="81" t="s">
        <v>179</v>
      </c>
      <c r="B3" s="94">
        <f>SUM(F19:F22,F24:F27,J19)</f>
        <v>85.105684876781567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69.193521954509592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71.697571124207499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72.668528965518931</v>
      </c>
      <c r="L3" s="100"/>
      <c r="M3" s="79" t="s">
        <v>385</v>
      </c>
      <c r="N3" s="92">
        <f>(F69-E69)/E69</f>
        <v>-7.4091529012730528E-2</v>
      </c>
    </row>
    <row r="4" spans="1:15" s="93" customFormat="1" x14ac:dyDescent="0.25">
      <c r="A4" s="81" t="s">
        <v>182</v>
      </c>
      <c r="B4" s="96">
        <f>SUM(G36:G40)*2</f>
        <v>80</v>
      </c>
      <c r="C4" s="101"/>
      <c r="D4" s="102">
        <f>F4*(1+F141/10)</f>
        <v>11</v>
      </c>
      <c r="E4" s="82">
        <f>(D4-F4)/F4</f>
        <v>0</v>
      </c>
      <c r="F4" s="103">
        <v>11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5.1110147598497271</v>
      </c>
    </row>
    <row r="5" spans="1:15" s="93" customFormat="1" x14ac:dyDescent="0.25">
      <c r="A5" s="81" t="s">
        <v>184</v>
      </c>
      <c r="B5" s="107">
        <f>SUM(F30:F34)*2</f>
        <v>98.257555847568995</v>
      </c>
      <c r="C5" s="87"/>
      <c r="D5" s="87"/>
      <c r="E5" s="87"/>
      <c r="F5" s="86"/>
      <c r="G5" s="88"/>
      <c r="M5" s="79" t="s">
        <v>386</v>
      </c>
      <c r="N5" s="152">
        <f>D62</f>
        <v>5.1100000000000003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5.3615344631665067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16.07</v>
      </c>
      <c r="N9" s="129"/>
    </row>
    <row r="10" spans="1:15" s="93" customFormat="1" x14ac:dyDescent="0.25">
      <c r="A10" s="123" t="s">
        <v>194</v>
      </c>
      <c r="B10" s="126">
        <f>PERCENTILE(176:176,B9)</f>
        <v>12.65</v>
      </c>
      <c r="C10" s="126">
        <f>PERCENTILE(176:176,C9)</f>
        <v>13.54</v>
      </c>
      <c r="D10" s="126">
        <f>PERCENTILE(176:176,D9)</f>
        <v>14.03</v>
      </c>
      <c r="E10" s="126">
        <f>PERCENTILE(176:176,E9)</f>
        <v>14.219999999999999</v>
      </c>
      <c r="F10" s="126">
        <f>PERCENTILE(176:176,F9)</f>
        <v>14.71</v>
      </c>
      <c r="G10" s="95"/>
      <c r="H10" s="135"/>
      <c r="I10" s="135"/>
      <c r="J10" s="135"/>
      <c r="K10" s="135"/>
      <c r="L10" s="136" t="s">
        <v>374</v>
      </c>
      <c r="M10" s="130">
        <f>MIN(176:176)</f>
        <v>11.8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31.22</v>
      </c>
      <c r="L11" s="272" t="s">
        <v>193</v>
      </c>
      <c r="M11" s="128">
        <f>STDEV(176:176)</f>
        <v>1.0348556213026285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56.722689075630257</v>
      </c>
      <c r="C13" s="141">
        <f>$B$34/5.88%</f>
        <v>68.877551020408163</v>
      </c>
      <c r="D13" s="141">
        <f>$B$34/5%</f>
        <v>80.999999999999986</v>
      </c>
      <c r="E13" s="141">
        <f>$B$34/4.35%</f>
        <v>93.103448275862078</v>
      </c>
      <c r="F13" s="141">
        <f>$B$34/3.85%</f>
        <v>105.1948051948052</v>
      </c>
      <c r="G13" s="138" t="str">
        <f>"$"&amp;ROUND(B34,2)&amp;"/"&amp;IF(STDEV(C140:F140)/AVERAGE(C140:F140)&lt;15%,"高",IF(STDEV(C140:F140)/AVERAGE(C140:F140)&lt;30%,"中","低"))</f>
        <v>$4.05/高</v>
      </c>
      <c r="H13" s="142" t="s">
        <v>199</v>
      </c>
      <c r="I13" s="143">
        <f>MAX(0,1-J15)</f>
        <v>0.2753623188405796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72.199874999999992</v>
      </c>
      <c r="C14" s="141">
        <f>$B$33*C10</f>
        <v>77.279549999999986</v>
      </c>
      <c r="D14" s="141">
        <f>$B$33*D10</f>
        <v>80.076224999999994</v>
      </c>
      <c r="E14" s="141">
        <f>$B$33*E10</f>
        <v>81.16064999999999</v>
      </c>
      <c r="F14" s="141">
        <f>$B$33*F10</f>
        <v>83.957324999999997</v>
      </c>
      <c r="G14" s="138" t="str">
        <f>"$"&amp;ROUND(B33,2)&amp;"/"&amp;IF(STDEV(B69:E69)/AVERAGE(B69:E69)&lt;15%,"高",IF(STDEV(B69:E69)/AVERAGE(B69:E69)&lt;30%,"中","低"))</f>
        <v>$5.71/高</v>
      </c>
      <c r="H14" s="142" t="s">
        <v>203</v>
      </c>
      <c r="I14" s="145">
        <f>G62/100*I13</f>
        <v>4.5599999999999981E-2</v>
      </c>
      <c r="J14" s="76" t="s">
        <v>204</v>
      </c>
      <c r="K14" s="146"/>
      <c r="L14" s="147">
        <f>(HLOOKUP($C$1,$105:$106,2,FALSE)-HLOOKUP($C$1,$117:$127,9,FALSE))/(HLOOKUP($C$1,$117:$128,12,FALSE)/K11)</f>
        <v>17.193917039686166</v>
      </c>
      <c r="M14" s="148">
        <f>E135/E69</f>
        <v>1.4873188405797104</v>
      </c>
      <c r="N14" s="149">
        <f>F173/100</f>
        <v>1.2141999999999999</v>
      </c>
    </row>
    <row r="15" spans="1:15" s="93" customFormat="1" x14ac:dyDescent="0.25">
      <c r="A15" s="140" t="s">
        <v>375</v>
      </c>
      <c r="B15" s="141">
        <f>$D$62*B10</f>
        <v>64.641500000000008</v>
      </c>
      <c r="C15" s="141">
        <f>$D$62*C10</f>
        <v>69.189400000000006</v>
      </c>
      <c r="D15" s="141">
        <f>$D$62*D10</f>
        <v>71.693300000000008</v>
      </c>
      <c r="E15" s="141">
        <f>$D$62*E10</f>
        <v>72.664199999999994</v>
      </c>
      <c r="F15" s="141">
        <f>$D$62*F10</f>
        <v>75.16810000000001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0.7246376811594204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64.654336712099052</v>
      </c>
      <c r="C16" s="141">
        <f>$F$69*C10</f>
        <v>69.203139848365296</v>
      </c>
      <c r="D16" s="141">
        <f>$F$69*D10</f>
        <v>71.707537080691665</v>
      </c>
      <c r="E16" s="141">
        <f>$F$69*E10</f>
        <v>72.678629885063117</v>
      </c>
      <c r="F16" s="141">
        <f>$F$69*F10</f>
        <v>75.183027117389486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113</v>
      </c>
      <c r="J17" s="92">
        <f ca="1">IF(I17&lt;=0,"",IF(I17&lt;=MIN($B$13:$F$16),(I17-MIN($B$13:$F$16))/MIN($B$13:$F$16),IF(I17&gt;=MAX($B$13:$F$16),I17/MAX($B$13:$F$16),PERCENTRANK($B$13:$F$16,I17))))</f>
        <v>1.0741975308641976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6.99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18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1.7259259259259261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0.21245574561853972</v>
      </c>
      <c r="J20" s="171">
        <f>HLOOKUP($C$1,$117:$127,11,FALSE)/HLOOKUP($C$1,$105:$115,11,FALSE)</f>
        <v>0.38238753410980142</v>
      </c>
      <c r="K20" s="163"/>
    </row>
    <row r="21" spans="1:14" s="93" customFormat="1" x14ac:dyDescent="0.25">
      <c r="A21" s="151" t="s">
        <v>201</v>
      </c>
      <c r="B21" s="161">
        <f>AVERAGE(C173:F173)/100</f>
        <v>1.3424500000000001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2.6938706265622971</v>
      </c>
      <c r="J21" s="78"/>
      <c r="K21" s="164" t="s">
        <v>356</v>
      </c>
      <c r="L21" s="165">
        <f>HLOOKUP($C$1,$105:$115,7,FALSE)/HLOOKUP($C$1,$105:$115,11,FALSE)</f>
        <v>0.91396550734861504</v>
      </c>
      <c r="M21" s="123" t="s">
        <v>268</v>
      </c>
      <c r="N21" s="165">
        <f>HLOOKUP($C$1,$117:$127,8,FALSE)/HLOOKUP($C$1,$117:$127,11,FALSE)</f>
        <v>0.88725681807812018</v>
      </c>
    </row>
    <row r="22" spans="1:14" s="93" customFormat="1" x14ac:dyDescent="0.25">
      <c r="A22" s="140" t="s">
        <v>222</v>
      </c>
      <c r="B22" s="161">
        <f>(-1)*SUM(C133:F133)/SUM(C132:F132)</f>
        <v>8.8062622309197661E-2</v>
      </c>
      <c r="C22" s="157"/>
      <c r="D22" s="166"/>
      <c r="E22" s="140"/>
      <c r="F22" s="159">
        <f>IF(B22&lt;=0,10,IF(B22&gt;=100%,0,(1-B22)*10))</f>
        <v>9.1193737769080236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1.9508330041961675</v>
      </c>
      <c r="J22" s="78"/>
      <c r="K22" s="142" t="s">
        <v>357</v>
      </c>
      <c r="L22" s="165">
        <f>HLOOKUP($C$1,$105:$115,4,FALSE)/HLOOKUP($C$1,$105:$115,11,FALSE)</f>
        <v>0.24960757202966607</v>
      </c>
      <c r="M22" s="123" t="s">
        <v>353</v>
      </c>
      <c r="N22" s="165">
        <f>HLOOKUP($C$1,$117:$127,4,FALSE)/HLOOKUP($C$1,$117:$127,11,FALSE)</f>
        <v>0.44439677900814184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1.619138303108318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0.25209479282663072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1.0010590987398587</v>
      </c>
      <c r="C24" s="169">
        <f>STDEV(C103:F103)</f>
        <v>2.1181974797174208E-3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52.63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2.6076786916513522E-2</v>
      </c>
      <c r="M24" s="123" t="s">
        <v>355</v>
      </c>
      <c r="N24" s="165">
        <f>HLOOKUP($C$1,$117:$127,9,FALSE)/HLOOKUP($C$1,$117:$127,11,FALSE)</f>
        <v>0.11274318192187979</v>
      </c>
    </row>
    <row r="25" spans="1:14" s="93" customFormat="1" x14ac:dyDescent="0.25">
      <c r="A25" s="151" t="s">
        <v>366</v>
      </c>
      <c r="B25" s="255">
        <f>AVERAGE(94:94)</f>
        <v>9597.6956521739139</v>
      </c>
      <c r="C25" s="254">
        <f>STDEV(94:94)/AVERAGE(94:94)</f>
        <v>4.0136889001264526</v>
      </c>
      <c r="D25" s="76" t="str">
        <f>IF(C25&lt;=1,"高",IF(C25&lt;=2,"中","低"))</f>
        <v>低</v>
      </c>
      <c r="E25" s="149"/>
      <c r="F25" s="160">
        <f>MAX(0,10-ABS(C25))</f>
        <v>5.9863110998735474</v>
      </c>
      <c r="G25" s="88" t="s">
        <v>213</v>
      </c>
      <c r="H25" s="123" t="s">
        <v>232</v>
      </c>
      <c r="I25" s="170">
        <f>IF(HLOOKUP(C1,167:170,3,FALSE)="無",0,HLOOKUP(C1,167:170,3,FALSE))</f>
        <v>116.88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73.563913043478294</v>
      </c>
      <c r="C26" s="172">
        <f>IF(COUNTIF(168:168,"&gt;0")=0,0,STDEV(168:168))</f>
        <v>22.839245079692841</v>
      </c>
      <c r="D26" s="76" t="str">
        <f>IF(C26&lt;=15,"高",IF(C26&lt;=30,"中","低"))</f>
        <v>中</v>
      </c>
      <c r="E26" s="149"/>
      <c r="F26" s="160">
        <f>IF(I24&lt;=60,4,IF(I24&lt;=90,3,IF(I24&lt;=120,2,IF(I24&lt;=150,1,0))))+IF(D26="高",6,IF(D26="中",4,2))</f>
        <v>8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121.42478260869569</v>
      </c>
      <c r="C27" s="172">
        <f>IF(COUNTIF(169:169,"&gt;0")=0,0,STDEV(169:169))</f>
        <v>39.441076519233562</v>
      </c>
      <c r="D27" s="76" t="str">
        <f>IF(C27&lt;=15,"高",IF(C27&lt;=30,"中","低"))</f>
        <v>低</v>
      </c>
      <c r="E27" s="149"/>
      <c r="F27" s="160">
        <f>IF(I25&lt;=60,4,IF(I25&lt;=90,3,IF(I25&lt;=120,2,IF(I25&lt;=150,1,0))))+IF(D27="高",6,IF(D27="中",4,2))</f>
        <v>4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0.36749999999999999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0.10469999999999999</v>
      </c>
      <c r="C31" s="157" t="s">
        <v>217</v>
      </c>
      <c r="D31" s="174">
        <f>COUNTIF(149:149,"&gt;8")/COUNT(149:149)</f>
        <v>0.73913043478260865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19.545000000000002</v>
      </c>
      <c r="C32" s="157" t="s">
        <v>217</v>
      </c>
      <c r="D32" s="174">
        <f>COUNTIF(159:159,"&gt;3")/COUNT(159:159)</f>
        <v>0.65217391304347827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5.7074999999999996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4.05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9.1287779237844937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5988341.75</v>
      </c>
      <c r="C36" s="178">
        <f>STDEV(C97:F97)</f>
        <v>123803.93498693811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36.75</v>
      </c>
      <c r="C37" s="180">
        <f>STDEV(C152:F152)</f>
        <v>0.91086039910991179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12.234999999999999</v>
      </c>
      <c r="C38" s="180">
        <f>STDEV(C153:F153)</f>
        <v>0.74209163854607596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19.545000000000002</v>
      </c>
      <c r="C39" s="181">
        <f>STDEV(C165:F165)</f>
        <v>1.7771981694041146</v>
      </c>
      <c r="D39" s="76" t="str">
        <f>IF(C39/B39&lt;15%,"高",IF(C39/B39&lt;30%,"中","低"))</f>
        <v>高</v>
      </c>
      <c r="E39" s="107">
        <f>IF(F165&gt;E165,1,0)+IF(E165&gt;D165,1,0)+IF(D165&gt;C165,1,0)</f>
        <v>0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5.7074999999999996</v>
      </c>
      <c r="C40" s="183">
        <f>STDEV(B69:E69)</f>
        <v>0.1639867880857071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-0.11403508771929816</v>
      </c>
      <c r="C44" s="186">
        <f>(C46-C49)/C49</f>
        <v>0.24050632911392397</v>
      </c>
      <c r="D44" s="186">
        <f>(D46-D49)/D49</f>
        <v>-0.49275362318840576</v>
      </c>
      <c r="E44" s="186">
        <f>(E46-E49)/E49</f>
        <v>8.6419753086419693E-2</v>
      </c>
      <c r="G44" s="86" t="s">
        <v>175</v>
      </c>
      <c r="H44" s="186">
        <f>(H47-H50)/H50</f>
        <v>4.7309284447072782E-2</v>
      </c>
      <c r="I44" s="186">
        <f>(I47-I50)/I50</f>
        <v>-6.6037735849056631E-2</v>
      </c>
      <c r="J44" s="186">
        <f>(J47-J50)/J50</f>
        <v>0.60041841004184093</v>
      </c>
      <c r="K44" s="186">
        <f>(K47-K50)/K50</f>
        <v>0.11294765840220364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2.02</v>
      </c>
      <c r="C46" s="152">
        <f>HLOOKUP(C45,$81:$82,2,FALSE)</f>
        <v>0.98</v>
      </c>
      <c r="D46" s="152">
        <f>HLOOKUP(D45,$81:$82,2,FALSE)</f>
        <v>0.35</v>
      </c>
      <c r="E46" s="152">
        <f>HLOOKUP(E45,$81:$82,2,FALSE)</f>
        <v>1.76</v>
      </c>
      <c r="G46" s="86" t="s">
        <v>164</v>
      </c>
      <c r="H46" s="145">
        <f>HLOOKUP(H45,$145:$147,2,FALSE)/100</f>
        <v>0.39799999999999996</v>
      </c>
      <c r="I46" s="145">
        <f>HLOOKUP(I45,$145:$147,2,FALSE)/100</f>
        <v>0.4093</v>
      </c>
      <c r="J46" s="145">
        <f>HLOOKUP(J45,$145:$147,2,FALSE)/100</f>
        <v>0.42310000000000003</v>
      </c>
      <c r="K46" s="145">
        <f>HLOOKUP(K45,$145:$147,2,FALSE)/100</f>
        <v>0.36060000000000003</v>
      </c>
    </row>
    <row r="47" spans="1:14" x14ac:dyDescent="0.25">
      <c r="A47" s="188" t="s">
        <v>165</v>
      </c>
      <c r="B47" s="189">
        <f>HLOOKUP(B45,$157:$159,3,FALSE)</f>
        <v>6.67</v>
      </c>
      <c r="C47" s="189">
        <f>HLOOKUP(C45,$157:$159,3,FALSE)</f>
        <v>3.21</v>
      </c>
      <c r="D47" s="189">
        <f>HLOOKUP(D45,$157:$159,3,FALSE)</f>
        <v>1.0900000000000001</v>
      </c>
      <c r="E47" s="189">
        <f>HLOOKUP(E45,$157:$159,3,FALSE)</f>
        <v>5.59</v>
      </c>
      <c r="G47" s="190" t="s">
        <v>166</v>
      </c>
      <c r="H47" s="145">
        <f>HLOOKUP(H45,$145:$147,3,FALSE)/100</f>
        <v>0.17710000000000001</v>
      </c>
      <c r="I47" s="145">
        <f>HLOOKUP(I45,$145:$147,3,FALSE)/100</f>
        <v>0.1188</v>
      </c>
      <c r="J47" s="145">
        <f>HLOOKUP(J45,$145:$147,3,FALSE)/100</f>
        <v>0.153</v>
      </c>
      <c r="K47" s="145">
        <f>HLOOKUP(K45,$145:$147,3,FALSE)/100</f>
        <v>0.12119999999999999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2.2799999999999998</v>
      </c>
      <c r="C49" s="152">
        <f>HLOOKUP(C48,$81:$82,2,FALSE)</f>
        <v>0.79</v>
      </c>
      <c r="D49" s="152">
        <f>HLOOKUP(D48,$81:$82,2,FALSE)</f>
        <v>0.69</v>
      </c>
      <c r="E49" s="152">
        <f>HLOOKUP(E48,$81:$82,2,FALSE)</f>
        <v>1.62</v>
      </c>
      <c r="G49" s="86" t="s">
        <v>164</v>
      </c>
      <c r="H49" s="145">
        <f>HLOOKUP(H48,$145:$147,2,FALSE)/100</f>
        <v>0.36810000000000004</v>
      </c>
      <c r="I49" s="145">
        <f>HLOOKUP(I48,$145:$147,2,FALSE)/100</f>
        <v>0.439</v>
      </c>
      <c r="J49" s="145">
        <f>HLOOKUP(J48,$145:$147,2,FALSE)/100</f>
        <v>0.36090000000000005</v>
      </c>
      <c r="K49" s="145">
        <f>HLOOKUP(K48,$145:$147,2,FALSE)/100</f>
        <v>0.34409999999999996</v>
      </c>
    </row>
    <row r="50" spans="1:15" x14ac:dyDescent="0.25">
      <c r="A50" s="188" t="s">
        <v>165</v>
      </c>
      <c r="B50" s="189">
        <f>HLOOKUP(B48,$157:$159,3,FALSE)</f>
        <v>7.73</v>
      </c>
      <c r="C50" s="189">
        <f>HLOOKUP(C48,$157:$159,3,FALSE)</f>
        <v>2.63</v>
      </c>
      <c r="D50" s="189">
        <f>HLOOKUP(D48,$157:$159,3,FALSE)</f>
        <v>2.17</v>
      </c>
      <c r="E50" s="189">
        <f>HLOOKUP(E48,$157:$159,3,FALSE)</f>
        <v>5.29</v>
      </c>
      <c r="G50" s="190" t="s">
        <v>166</v>
      </c>
      <c r="H50" s="145">
        <f>HLOOKUP(H48,$145:$147,3,FALSE)/100</f>
        <v>0.1691</v>
      </c>
      <c r="I50" s="145">
        <f>HLOOKUP(I48,$145:$147,3,FALSE)/100</f>
        <v>0.12720000000000001</v>
      </c>
      <c r="J50" s="145">
        <f>HLOOKUP(J48,$145:$147,3,FALSE)/100</f>
        <v>9.5600000000000004E-2</v>
      </c>
      <c r="K50" s="145">
        <f>HLOOKUP(K48,$145:$147,3,FALSE)/100</f>
        <v>0.10890000000000001</v>
      </c>
    </row>
    <row r="51" spans="1:15" x14ac:dyDescent="0.25">
      <c r="A51" s="86" t="s">
        <v>351</v>
      </c>
      <c r="B51" s="186">
        <f>(B47-B50)/B50</f>
        <v>-0.13712807244501946</v>
      </c>
      <c r="C51" s="186">
        <f>(C47-C50)/C50</f>
        <v>0.22053231939163501</v>
      </c>
      <c r="D51" s="186">
        <f>(D47-D50)/D50</f>
        <v>-0.49769585253456217</v>
      </c>
      <c r="E51" s="186">
        <f>(E47-E50)/E50</f>
        <v>5.6710775047258945E-2</v>
      </c>
      <c r="G51" s="235" t="s">
        <v>174</v>
      </c>
      <c r="H51" s="186">
        <f>(H46-H49)/H49</f>
        <v>8.1227927193697161E-2</v>
      </c>
      <c r="I51" s="186">
        <f>(I46-I49)/I49</f>
        <v>-6.7653758542141243E-2</v>
      </c>
      <c r="J51" s="186">
        <f>(J46-J49)/J49</f>
        <v>0.17234691050152387</v>
      </c>
      <c r="K51" s="186">
        <f>(K46-K49)/K49</f>
        <v>4.7951176983435255E-2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5.3615344631665067</v>
      </c>
      <c r="B53" s="193">
        <f>B46</f>
        <v>2.02</v>
      </c>
      <c r="C53" s="193">
        <f>E46/HLOOKUP(E45,$87:$94,5,FALSE)*HLOOKUP(E45,$87:$94,4,FALSE)*($B$25/HLOOKUP(E45,$87:$94,4,FALSE)+SUM($B$57:$D$57)/SUM($B58:$D$58)*$G$69/100/K46)</f>
        <v>1.7610147598497268</v>
      </c>
      <c r="D53" s="193">
        <f>D46/HLOOKUP(D45,$87:$94,5,FALSE)*HLOOKUP(D45,$87:$94,4,FALSE)*($B$25/HLOOKUP(D45,$87:$94,4,FALSE)+SUM($B$57:$D$57)/SUM($B58:$D$58)*$G$69/100/J46)</f>
        <v>0.78721205825093876</v>
      </c>
      <c r="E53" s="193">
        <f>C46/HLOOKUP(C45,$87:$94,5,FALSE)*HLOOKUP(C45,$87:$94,4,FALSE)*($B$25/HLOOKUP(C45,$87:$94,4,FALSE)+SUM($B$57:$D$57)/SUM($B58:$D$58)*$G$69/100/I46)</f>
        <v>0.79330764506584084</v>
      </c>
    </row>
    <row r="54" spans="1:15" x14ac:dyDescent="0.25">
      <c r="A54" s="278">
        <f>SUM(B54:E54)</f>
        <v>5.3699999999999992</v>
      </c>
      <c r="B54" s="277">
        <f t="shared" ref="B54:D54" si="0">HLOOKUP(B52-10,81:82,2,FALSE)</f>
        <v>2.2799999999999998</v>
      </c>
      <c r="C54" s="277">
        <f t="shared" si="0"/>
        <v>1.76</v>
      </c>
      <c r="D54" s="277">
        <f t="shared" si="0"/>
        <v>0.35</v>
      </c>
      <c r="E54" s="277">
        <f>HLOOKUP(E52-10,81:82,2,FALSE)</f>
        <v>0.98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958257</v>
      </c>
      <c r="C57" s="196">
        <f>HLOOKUP(C56,78:79,2,FALSE)</f>
        <v>594219</v>
      </c>
      <c r="D57" s="196">
        <f>HLOOKUP(D56,78:79,2,FALSE)</f>
        <v>638407</v>
      </c>
      <c r="E57" s="196">
        <f>HLOOKUP(E56,78:79,2,FALSE)</f>
        <v>483180</v>
      </c>
      <c r="F57" s="196">
        <f>HLOOKUP(F56,78:79,2,FALSE)</f>
        <v>316993</v>
      </c>
      <c r="G57" s="196">
        <f t="shared" ref="G57:M57" si="2">HLOOKUP(G56,78:79,2,FALSE)</f>
        <v>306399</v>
      </c>
      <c r="H57" s="196">
        <f t="shared" si="2"/>
        <v>379981</v>
      </c>
      <c r="I57" s="196">
        <f t="shared" si="2"/>
        <v>340728</v>
      </c>
      <c r="J57" s="196">
        <f t="shared" si="2"/>
        <v>259744</v>
      </c>
      <c r="K57" s="196">
        <f t="shared" si="2"/>
        <v>359829</v>
      </c>
      <c r="L57" s="196">
        <f t="shared" si="2"/>
        <v>540877</v>
      </c>
      <c r="M57" s="196">
        <f t="shared" si="2"/>
        <v>685592</v>
      </c>
      <c r="N57" s="197"/>
    </row>
    <row r="58" spans="1:15" x14ac:dyDescent="0.25">
      <c r="A58" s="198" t="s">
        <v>253</v>
      </c>
      <c r="B58" s="196">
        <f>HLOOKUP(B56-100,78:79,2,FALSE)</f>
        <v>825084</v>
      </c>
      <c r="C58" s="196">
        <f>HLOOKUP(C56-100,78:79,2,FALSE)</f>
        <v>800934</v>
      </c>
      <c r="D58" s="196">
        <f>HLOOKUP(D56-100,78:79,2,FALSE)</f>
        <v>624696</v>
      </c>
      <c r="E58" s="196">
        <f>HLOOKUP(E56-100,78:79,2,FALSE)</f>
        <v>549784</v>
      </c>
      <c r="F58" s="196">
        <f>HLOOKUP(F56-100,78:79,2,FALSE)</f>
        <v>293658</v>
      </c>
      <c r="G58" s="196">
        <f t="shared" ref="G58:M58" si="3">HLOOKUP(G56-100,78:79,2,FALSE)</f>
        <v>325720</v>
      </c>
      <c r="H58" s="196">
        <f t="shared" si="3"/>
        <v>328999</v>
      </c>
      <c r="I58" s="196">
        <f t="shared" si="3"/>
        <v>329439</v>
      </c>
      <c r="J58" s="196">
        <f t="shared" si="3"/>
        <v>274411</v>
      </c>
      <c r="K58" s="196">
        <f t="shared" si="3"/>
        <v>465314</v>
      </c>
      <c r="L58" s="196">
        <f t="shared" si="3"/>
        <v>466195</v>
      </c>
      <c r="M58" s="196">
        <f t="shared" si="3"/>
        <v>671312</v>
      </c>
      <c r="N58" s="197"/>
    </row>
    <row r="59" spans="1:15" x14ac:dyDescent="0.25">
      <c r="A59" s="199" t="s">
        <v>254</v>
      </c>
      <c r="B59" s="165">
        <f>IF(B57&lt;&gt;"",(B57-B58)/B58,"")</f>
        <v>0.16140538417906541</v>
      </c>
      <c r="C59" s="165">
        <f>IF(C57&lt;&gt;"",(C57-C58)/C58,"")</f>
        <v>-0.25809242709137081</v>
      </c>
      <c r="D59" s="165">
        <f>IF(D57&lt;&gt;"",(D57-D58)/D58,"")</f>
        <v>2.1948275641271914E-2</v>
      </c>
      <c r="E59" s="165">
        <f>IF(E57&lt;&gt;"",(E57-E58)/E58,"")</f>
        <v>-0.1211457590617406</v>
      </c>
      <c r="F59" s="165">
        <f>IF(F57&lt;&gt;"",(F57-F58)/F58,"")</f>
        <v>7.9463185065620556E-2</v>
      </c>
      <c r="G59" s="165">
        <f t="shared" ref="G59:M59" si="4">IF(G57&lt;&gt;"",(G57-G58)/G58,"")</f>
        <v>-5.9317818985631834E-2</v>
      </c>
      <c r="H59" s="165">
        <f t="shared" si="4"/>
        <v>0.15496095732813778</v>
      </c>
      <c r="I59" s="165">
        <f t="shared" si="4"/>
        <v>3.426734539626456E-2</v>
      </c>
      <c r="J59" s="165">
        <f t="shared" si="4"/>
        <v>-5.3449023544974508E-2</v>
      </c>
      <c r="K59" s="165">
        <f t="shared" si="4"/>
        <v>-0.22669638136828035</v>
      </c>
      <c r="L59" s="165">
        <f t="shared" si="4"/>
        <v>0.16019476828365811</v>
      </c>
      <c r="M59" s="165">
        <f t="shared" si="4"/>
        <v>2.1271778249159854E-2</v>
      </c>
    </row>
    <row r="60" spans="1:15" x14ac:dyDescent="0.25">
      <c r="A60" s="195" t="s">
        <v>255</v>
      </c>
      <c r="B60" s="196">
        <f>SUM(B57:M57)</f>
        <v>5864206</v>
      </c>
    </row>
    <row r="61" spans="1:15" x14ac:dyDescent="0.25">
      <c r="A61" s="198" t="s">
        <v>256</v>
      </c>
      <c r="B61" s="196">
        <f>SUM(B58:M58)</f>
        <v>5955546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0.9846630350936757</v>
      </c>
      <c r="D62" s="152">
        <f>SUM(B46:E46)</f>
        <v>5.1100000000000003</v>
      </c>
      <c r="E62" s="152">
        <f>SUM(B49:E49)</f>
        <v>5.38</v>
      </c>
      <c r="G62" s="126">
        <f>SUM(B47:E47)</f>
        <v>16.559999999999999</v>
      </c>
      <c r="H62" s="126">
        <f>SUM(B50:E50)</f>
        <v>17.82</v>
      </c>
      <c r="J62" s="200">
        <f>AVERAGE(H46:K46)</f>
        <v>0.39774999999999999</v>
      </c>
      <c r="K62" s="200">
        <f>AVERAGE(H49:K49)</f>
        <v>0.37802500000000006</v>
      </c>
      <c r="M62" s="200">
        <f>AVERAGE(H47:K47)</f>
        <v>0.14252499999999999</v>
      </c>
      <c r="N62" s="200">
        <f>AVERAGE(H50:K50)</f>
        <v>0.12520000000000001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1.2</v>
      </c>
      <c r="C65" s="205">
        <f t="shared" si="5"/>
        <v>0.67</v>
      </c>
      <c r="D65" s="205">
        <f t="shared" si="5"/>
        <v>0.8</v>
      </c>
      <c r="E65" s="205">
        <f t="shared" si="5"/>
        <v>0.69</v>
      </c>
      <c r="F65" s="206">
        <f>IF(ISNA(HLOOKUP(F$64*10+$A65,$81:$82,2,FALSE)),(HLOOKUP(E$64*10+$A65,$87:$94,4,FALSE)*$G65+$B$25)/HLOOKUP(E$64*10+$A65,$87:$94,5,FALSE)*$E65,HLOOKUP(F$64*10+$A65,$81:$82,2,FALSE))</f>
        <v>0.35</v>
      </c>
      <c r="G65" s="101">
        <f>MIN(130%,SUM($B$57:$D$57)/SUM($B$58:$D$58)*$G$69/HLOOKUP(E$64*10+$A65,$145:$146,2,FALSE))</f>
        <v>0.96715479502129154</v>
      </c>
      <c r="H65" s="204">
        <v>1</v>
      </c>
      <c r="I65" s="208">
        <f t="shared" ref="I65:M68" si="6">IF(ISNA(HLOOKUP(I$64*10+$H65,$145:$147,3,FALSE)),"",HLOOKUP(I$64*10+$H65,$145:$147,3,FALSE)/100)</f>
        <v>0.10060000000000001</v>
      </c>
      <c r="J65" s="208">
        <f t="shared" si="6"/>
        <v>9.5500000000000002E-2</v>
      </c>
      <c r="K65" s="208">
        <f t="shared" si="6"/>
        <v>0.11269999999999999</v>
      </c>
      <c r="L65" s="208">
        <f t="shared" si="6"/>
        <v>9.5600000000000004E-2</v>
      </c>
      <c r="M65" s="209">
        <f t="shared" si="6"/>
        <v>0.153</v>
      </c>
      <c r="N65" s="256">
        <f t="shared" ref="N65:O68" si="7">HLOOKUP(E$64*10+$A65,$87:$94,8,FALSE)</f>
        <v>-2421</v>
      </c>
      <c r="O65" s="256">
        <f t="shared" si="7"/>
        <v>-89676</v>
      </c>
      <c r="P65" s="210"/>
    </row>
    <row r="66" spans="1:71" x14ac:dyDescent="0.25">
      <c r="A66" s="204">
        <v>2</v>
      </c>
      <c r="B66" s="205">
        <f t="shared" si="5"/>
        <v>1.19</v>
      </c>
      <c r="C66" s="205">
        <f t="shared" si="5"/>
        <v>0.74</v>
      </c>
      <c r="D66" s="205">
        <f t="shared" si="5"/>
        <v>0.68</v>
      </c>
      <c r="E66" s="205">
        <f t="shared" si="5"/>
        <v>0.79</v>
      </c>
      <c r="F66" s="206">
        <f>IF(ISNA(HLOOKUP(F$64*10+$A66,$81:$82,2,FALSE)),(HLOOKUP(E$64*10+$A66,$87:$94,4,FALSE)*$G66+$B$25)/HLOOKUP(E$64*10+$A66,$87:$94,5,FALSE)*$E66,HLOOKUP(F$64*10+$A66,$81:$82,2,FALSE))</f>
        <v>0.98</v>
      </c>
      <c r="G66" s="101">
        <f>MIN(130%,SUM($B$57:$D$57)/SUM($B$58:$D$58)*$G$69/HLOOKUP(E$64*10+$A66,$145:$146,2,FALSE))</f>
        <v>0.79509377112342638</v>
      </c>
      <c r="H66" s="204">
        <v>2</v>
      </c>
      <c r="I66" s="208">
        <f t="shared" si="6"/>
        <v>0.13449999999999998</v>
      </c>
      <c r="J66" s="208">
        <f t="shared" si="6"/>
        <v>0.1356</v>
      </c>
      <c r="K66" s="208">
        <f t="shared" si="6"/>
        <v>0.10970000000000001</v>
      </c>
      <c r="L66" s="208">
        <f t="shared" si="6"/>
        <v>0.12720000000000001</v>
      </c>
      <c r="M66" s="209">
        <f t="shared" si="6"/>
        <v>0.1188</v>
      </c>
      <c r="N66" s="256">
        <f t="shared" si="7"/>
        <v>7276</v>
      </c>
      <c r="O66" s="256">
        <f t="shared" si="7"/>
        <v>18170</v>
      </c>
      <c r="P66" s="210"/>
    </row>
    <row r="67" spans="1:71" x14ac:dyDescent="0.25">
      <c r="A67" s="204">
        <v>3</v>
      </c>
      <c r="B67" s="205">
        <f t="shared" si="5"/>
        <v>2.38</v>
      </c>
      <c r="C67" s="205">
        <f t="shared" si="5"/>
        <v>2.33</v>
      </c>
      <c r="D67" s="205">
        <f t="shared" si="5"/>
        <v>2.8</v>
      </c>
      <c r="E67" s="205">
        <f t="shared" si="5"/>
        <v>2.2799999999999998</v>
      </c>
      <c r="F67" s="206">
        <f>IF(ISNA(HLOOKUP(F$64*10+$A67,$81:$82,2,FALSE)),(HLOOKUP(E$64*10+$A67,$87:$94,4,FALSE)*$G67+$B$25)/HLOOKUP(E$64*10+$A67,$87:$94,5,FALSE)*$E67,HLOOKUP(F$64*10+$A67,$81:$82,2,FALSE))</f>
        <v>2.02</v>
      </c>
      <c r="G67" s="101">
        <f>MIN(130%,SUM($B$57:$D$57)/SUM($B$58:$D$58)*$G$69/HLOOKUP(E$64*10+$A67,$145:$146,2,FALSE))</f>
        <v>0.94823734181794117</v>
      </c>
      <c r="H67" s="204">
        <v>3</v>
      </c>
      <c r="I67" s="208">
        <f t="shared" si="6"/>
        <v>0.16289999999999999</v>
      </c>
      <c r="J67" s="208">
        <f t="shared" si="6"/>
        <v>0.1424</v>
      </c>
      <c r="K67" s="208">
        <f t="shared" si="6"/>
        <v>0.13949999999999999</v>
      </c>
      <c r="L67" s="208">
        <f t="shared" si="6"/>
        <v>0.1691</v>
      </c>
      <c r="M67" s="209">
        <f t="shared" si="6"/>
        <v>0.17710000000000001</v>
      </c>
      <c r="N67" s="256">
        <f t="shared" si="7"/>
        <v>-17184</v>
      </c>
      <c r="O67" s="256">
        <f t="shared" si="7"/>
        <v>-9830</v>
      </c>
      <c r="P67" s="210"/>
    </row>
    <row r="68" spans="1:71" x14ac:dyDescent="0.25">
      <c r="A68" s="204">
        <v>4</v>
      </c>
      <c r="B68" s="205">
        <f>HLOOKUP(B$64*10+$A68,$81:$82,2,FALSE)</f>
        <v>1</v>
      </c>
      <c r="C68" s="205">
        <f>HLOOKUP(C$64*10+$A68,$81:$82,2,FALSE)</f>
        <v>1.9</v>
      </c>
      <c r="D68" s="205">
        <f>HLOOKUP(D$64*10+$A68,$81:$82,2,FALSE)</f>
        <v>1.62</v>
      </c>
      <c r="E68" s="206">
        <f>IF(ISNA(HLOOKUP(E$64*10+$A68,$81:$82,2,FALSE)),D68*(1-$N68)*#REF!*(1+$B$25)/(1+$E$4),HLOOKUP(E$64*10+$A68,$81:$82,2,FALSE))</f>
        <v>1.76</v>
      </c>
      <c r="F68" s="206">
        <f>IF(ISNA(HLOOKUP(F$64*10+$A68,$81:$82,2,FALSE)),(HLOOKUP(E$64*10+$A68,$87:$94,4,FALSE)*$G68+$B$25)/HLOOKUP(E$64*10+$A68,$87:$94,5,FALSE)*$E68,HLOOKUP(F$64*10+$A68,$81:$82,2,FALSE))</f>
        <v>1.7610147598497266</v>
      </c>
      <c r="G68" s="101">
        <f>MIN(130%,SUM($B$57:$D$57)/SUM($B$58:$D$58)*$G$69/HLOOKUP(E$64*10+$A68,$145:$146,2,FALSE))</f>
        <v>0.9679594163149865</v>
      </c>
      <c r="H68" s="204">
        <v>4</v>
      </c>
      <c r="I68" s="208">
        <f t="shared" si="6"/>
        <v>7.3899999999999993E-2</v>
      </c>
      <c r="J68" s="208">
        <f t="shared" si="6"/>
        <v>9.0399999999999994E-2</v>
      </c>
      <c r="K68" s="208">
        <f t="shared" si="6"/>
        <v>0.10890000000000001</v>
      </c>
      <c r="L68" s="208">
        <f t="shared" si="6"/>
        <v>0.12119999999999999</v>
      </c>
      <c r="M68" s="209" t="str">
        <f t="shared" si="6"/>
        <v/>
      </c>
      <c r="N68" s="256">
        <f t="shared" si="7"/>
        <v>1545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5.77</v>
      </c>
      <c r="C69" s="213">
        <f>SUM(C65:C68)</f>
        <v>5.6400000000000006</v>
      </c>
      <c r="D69" s="213">
        <f>SUM(D65:D68)</f>
        <v>5.8999999999999995</v>
      </c>
      <c r="E69" s="213">
        <f>SUM(E65:E68)</f>
        <v>5.52</v>
      </c>
      <c r="F69" s="213">
        <f>SUM(F65:F68)</f>
        <v>5.1110147598497271</v>
      </c>
      <c r="G69" s="257">
        <f>_xlfn.FORECAST.ETS(23,B146:W146,{1,2,3,4,5,6,7,8,9,10,11,12,13,14,15,16,17,18,19,20,21,22})</f>
        <v>35.857829532172545</v>
      </c>
      <c r="H69" s="214" t="s">
        <v>19</v>
      </c>
      <c r="I69" s="215">
        <f>HLOOKUP(I64,151:155,3,FALSE)/100</f>
        <v>0.1197</v>
      </c>
      <c r="J69" s="215">
        <f>HLOOKUP(J64,151:155,3,FALSE)/100</f>
        <v>0.1164</v>
      </c>
      <c r="K69" s="215">
        <f>HLOOKUP(K64,151:155,3,FALSE)/100</f>
        <v>0.1201</v>
      </c>
      <c r="L69" s="215">
        <f>IF(ISNA(HLOOKUP(L64,151:155,3,FALSE)/100),AVERAGE(L65:L68),HLOOKUP(L64,151:155,3,FALSE)/100)</f>
        <v>0.13320000000000001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4.59</v>
      </c>
      <c r="C72" s="205">
        <f t="shared" si="8"/>
        <v>2.36</v>
      </c>
      <c r="D72" s="205">
        <f t="shared" si="8"/>
        <v>2.72</v>
      </c>
      <c r="E72" s="205">
        <f t="shared" si="8"/>
        <v>2.17</v>
      </c>
      <c r="F72" s="205">
        <f t="shared" si="8"/>
        <v>1.0900000000000001</v>
      </c>
    </row>
    <row r="73" spans="1:71" s="135" customFormat="1" x14ac:dyDescent="0.25">
      <c r="A73" s="204">
        <v>2</v>
      </c>
      <c r="B73" s="205">
        <f t="shared" si="8"/>
        <v>4.6100000000000003</v>
      </c>
      <c r="C73" s="205">
        <f t="shared" si="8"/>
        <v>2.78</v>
      </c>
      <c r="D73" s="205">
        <f t="shared" si="8"/>
        <v>2.42</v>
      </c>
      <c r="E73" s="205">
        <f t="shared" si="8"/>
        <v>2.63</v>
      </c>
      <c r="F73" s="205">
        <f t="shared" si="8"/>
        <v>3.21</v>
      </c>
    </row>
    <row r="74" spans="1:71" s="135" customFormat="1" x14ac:dyDescent="0.25">
      <c r="A74" s="204">
        <v>3</v>
      </c>
      <c r="B74" s="205">
        <f t="shared" si="8"/>
        <v>9.3699999999999992</v>
      </c>
      <c r="C74" s="205">
        <f t="shared" si="8"/>
        <v>8.9499999999999993</v>
      </c>
      <c r="D74" s="205">
        <f t="shared" si="8"/>
        <v>9.9600000000000009</v>
      </c>
      <c r="E74" s="205">
        <f t="shared" si="8"/>
        <v>7.73</v>
      </c>
      <c r="F74" s="205">
        <f t="shared" si="8"/>
        <v>6.67</v>
      </c>
    </row>
    <row r="75" spans="1:71" s="135" customFormat="1" x14ac:dyDescent="0.25">
      <c r="A75" s="204">
        <v>4</v>
      </c>
      <c r="B75" s="205">
        <f t="shared" si="8"/>
        <v>3.68</v>
      </c>
      <c r="C75" s="205">
        <f t="shared" si="8"/>
        <v>6.75</v>
      </c>
      <c r="D75" s="205">
        <f t="shared" si="8"/>
        <v>5.29</v>
      </c>
      <c r="E75" s="205">
        <f t="shared" si="8"/>
        <v>5.59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22.25</v>
      </c>
      <c r="C76" s="213">
        <f>SUM(C72:C75)</f>
        <v>20.84</v>
      </c>
      <c r="D76" s="213">
        <f>SUM(D72:D75)</f>
        <v>20.39</v>
      </c>
      <c r="E76" s="213">
        <f>AVERAGE(E72:E75)*4</f>
        <v>18.12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270640</v>
      </c>
      <c r="C79" s="270">
        <v>299664</v>
      </c>
      <c r="D79" s="270">
        <v>416919</v>
      </c>
      <c r="E79" s="270">
        <v>272258</v>
      </c>
      <c r="F79" s="270">
        <v>310740</v>
      </c>
      <c r="G79" s="270">
        <v>370784</v>
      </c>
      <c r="H79" s="270">
        <v>548974</v>
      </c>
      <c r="I79" s="270">
        <v>766697</v>
      </c>
      <c r="J79" s="270">
        <v>774920</v>
      </c>
      <c r="K79" s="270">
        <v>600118</v>
      </c>
      <c r="L79" s="270">
        <v>507733</v>
      </c>
      <c r="M79" s="270">
        <v>369883</v>
      </c>
      <c r="N79" s="270">
        <v>381451</v>
      </c>
      <c r="O79" s="270">
        <v>213279</v>
      </c>
      <c r="P79" s="270">
        <v>356063</v>
      </c>
      <c r="Q79" s="270">
        <v>386104</v>
      </c>
      <c r="R79" s="270">
        <v>377777</v>
      </c>
      <c r="S79" s="270">
        <v>369873</v>
      </c>
      <c r="T79" s="270">
        <v>553995</v>
      </c>
      <c r="U79" s="270">
        <v>696967</v>
      </c>
      <c r="V79" s="270">
        <v>872776</v>
      </c>
      <c r="W79" s="270">
        <v>709070</v>
      </c>
      <c r="X79" s="270">
        <v>604910</v>
      </c>
      <c r="Y79" s="270">
        <v>520140</v>
      </c>
      <c r="Z79" s="270">
        <v>428972</v>
      </c>
      <c r="AA79" s="270">
        <v>273403</v>
      </c>
      <c r="AB79" s="270">
        <v>264775</v>
      </c>
      <c r="AC79" s="270">
        <v>388668</v>
      </c>
      <c r="AD79" s="270">
        <v>332612</v>
      </c>
      <c r="AE79" s="270">
        <v>256910</v>
      </c>
      <c r="AF79" s="270">
        <v>544542</v>
      </c>
      <c r="AG79" s="270">
        <v>720327</v>
      </c>
      <c r="AH79" s="270">
        <v>729294</v>
      </c>
      <c r="AI79" s="270">
        <v>818643</v>
      </c>
      <c r="AJ79" s="270">
        <v>559303</v>
      </c>
      <c r="AK79" s="270">
        <v>563270</v>
      </c>
      <c r="AL79" s="270">
        <v>447763</v>
      </c>
      <c r="AM79" s="270">
        <v>231193</v>
      </c>
      <c r="AN79" s="270">
        <v>312984</v>
      </c>
      <c r="AO79" s="270">
        <v>336748</v>
      </c>
      <c r="AP79" s="270">
        <v>401645</v>
      </c>
      <c r="AQ79" s="270">
        <v>346885</v>
      </c>
      <c r="AR79" s="270">
        <v>597352</v>
      </c>
      <c r="AS79" s="270">
        <v>687946</v>
      </c>
      <c r="AT79" s="270">
        <v>811703</v>
      </c>
      <c r="AU79" s="270">
        <v>835548</v>
      </c>
      <c r="AV79" s="270">
        <v>671312</v>
      </c>
      <c r="AW79" s="270">
        <v>466195</v>
      </c>
      <c r="AX79" s="270">
        <v>465314</v>
      </c>
      <c r="AY79" s="270">
        <v>274411</v>
      </c>
      <c r="AZ79" s="270">
        <v>329439</v>
      </c>
      <c r="BA79" s="270">
        <v>328999</v>
      </c>
      <c r="BB79" s="270">
        <v>325720</v>
      </c>
      <c r="BC79" s="270">
        <v>293658</v>
      </c>
      <c r="BD79" s="270">
        <v>549784</v>
      </c>
      <c r="BE79" s="270">
        <v>624696</v>
      </c>
      <c r="BF79" s="270">
        <v>800934</v>
      </c>
      <c r="BG79" s="270">
        <v>825084</v>
      </c>
      <c r="BH79" s="270">
        <v>685592</v>
      </c>
      <c r="BI79" s="270">
        <v>540877</v>
      </c>
      <c r="BJ79" s="270">
        <v>359829</v>
      </c>
      <c r="BK79" s="270">
        <v>259744</v>
      </c>
      <c r="BL79" s="270">
        <v>340728</v>
      </c>
      <c r="BM79" s="270">
        <v>379981</v>
      </c>
      <c r="BN79" s="270">
        <v>306399</v>
      </c>
      <c r="BO79" s="270">
        <v>316993</v>
      </c>
      <c r="BP79" s="270">
        <v>483180</v>
      </c>
      <c r="BQ79" s="270">
        <v>638407</v>
      </c>
      <c r="BR79" s="270">
        <v>594219</v>
      </c>
      <c r="BS79" s="270">
        <v>958257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0.7</v>
      </c>
      <c r="C82" s="72">
        <v>0.9</v>
      </c>
      <c r="D82" s="72">
        <v>2.57</v>
      </c>
      <c r="E82" s="72">
        <v>0.43</v>
      </c>
      <c r="F82" s="72">
        <v>1.2</v>
      </c>
      <c r="G82" s="72">
        <v>1.19</v>
      </c>
      <c r="H82" s="72">
        <v>2.38</v>
      </c>
      <c r="I82" s="72">
        <v>1</v>
      </c>
      <c r="J82" s="72">
        <v>0.67</v>
      </c>
      <c r="K82" s="72">
        <v>0.74</v>
      </c>
      <c r="L82" s="72">
        <v>2.33</v>
      </c>
      <c r="M82" s="72">
        <v>1.9</v>
      </c>
      <c r="N82" s="72">
        <v>0.8</v>
      </c>
      <c r="O82" s="72">
        <v>0.68</v>
      </c>
      <c r="P82" s="72">
        <v>2.8</v>
      </c>
      <c r="Q82" s="72">
        <v>1.62</v>
      </c>
      <c r="R82" s="72">
        <v>0.69</v>
      </c>
      <c r="S82" s="72">
        <v>0.79</v>
      </c>
      <c r="T82" s="72">
        <v>2.2799999999999998</v>
      </c>
      <c r="U82" s="72">
        <v>1.76</v>
      </c>
      <c r="V82" s="72">
        <v>0.35</v>
      </c>
      <c r="W82" s="72">
        <v>0.98</v>
      </c>
      <c r="X82" s="72">
        <v>2.02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23.22</v>
      </c>
      <c r="C85" s="72">
        <v>21.09</v>
      </c>
      <c r="D85" s="72">
        <v>25.14</v>
      </c>
      <c r="E85" s="72">
        <v>25.46</v>
      </c>
      <c r="F85" s="72">
        <v>26.74</v>
      </c>
      <c r="G85" s="72">
        <v>24.02</v>
      </c>
      <c r="H85" s="72">
        <v>26.32</v>
      </c>
      <c r="I85" s="72">
        <v>27.53</v>
      </c>
      <c r="J85" s="72">
        <v>28.39</v>
      </c>
      <c r="K85" s="72">
        <v>24.69</v>
      </c>
      <c r="L85" s="72">
        <v>27.17</v>
      </c>
      <c r="M85" s="72">
        <v>29.24</v>
      </c>
      <c r="N85" s="72">
        <v>29.66</v>
      </c>
      <c r="O85" s="72">
        <v>26.27</v>
      </c>
      <c r="P85" s="72">
        <v>29.88</v>
      </c>
      <c r="Q85" s="72">
        <v>31.36</v>
      </c>
      <c r="R85" s="72">
        <v>31.87</v>
      </c>
      <c r="S85" s="72">
        <v>28.65</v>
      </c>
      <c r="T85" s="72">
        <v>30.51</v>
      </c>
      <c r="U85" s="72">
        <v>32.61</v>
      </c>
      <c r="V85" s="72">
        <v>32.08</v>
      </c>
      <c r="W85" s="72">
        <v>29.22</v>
      </c>
      <c r="X85" s="72">
        <v>31.22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950600</v>
      </c>
      <c r="C88" s="273">
        <v>945006</v>
      </c>
      <c r="D88" s="273">
        <v>2055498</v>
      </c>
      <c r="E88" s="273">
        <v>1416648</v>
      </c>
      <c r="F88" s="273">
        <v>925219</v>
      </c>
      <c r="G88" s="273">
        <v>1067261</v>
      </c>
      <c r="H88" s="273">
        <v>2045221</v>
      </c>
      <c r="I88" s="273">
        <v>1842015</v>
      </c>
      <c r="J88" s="273">
        <v>962337</v>
      </c>
      <c r="K88" s="273">
        <v>977276</v>
      </c>
      <c r="L88" s="273">
        <v>1997608</v>
      </c>
      <c r="M88" s="273">
        <v>1944106</v>
      </c>
      <c r="N88" s="273">
        <v>991940</v>
      </c>
      <c r="O88" s="273">
        <v>1085323</v>
      </c>
      <c r="P88" s="273">
        <v>2096091</v>
      </c>
      <c r="Q88" s="273">
        <v>1970851</v>
      </c>
      <c r="R88" s="273">
        <v>1069228</v>
      </c>
      <c r="S88" s="273">
        <v>957192</v>
      </c>
      <c r="T88" s="273">
        <v>1967550</v>
      </c>
      <c r="U88" s="273">
        <v>2037192</v>
      </c>
      <c r="V88" s="273">
        <v>969912</v>
      </c>
      <c r="W88" s="273">
        <v>993668</v>
      </c>
      <c r="X88" s="273">
        <v>1715588</v>
      </c>
    </row>
    <row r="89" spans="1:25" ht="14.25" thickBot="1" x14ac:dyDescent="0.3">
      <c r="A89" s="250" t="s">
        <v>4</v>
      </c>
      <c r="B89" s="275">
        <v>387221</v>
      </c>
      <c r="C89" s="275">
        <v>435431</v>
      </c>
      <c r="D89" s="275">
        <v>761938</v>
      </c>
      <c r="E89" s="275">
        <v>421352</v>
      </c>
      <c r="F89" s="275">
        <v>355536</v>
      </c>
      <c r="G89" s="275">
        <v>440676</v>
      </c>
      <c r="H89" s="275">
        <v>747368</v>
      </c>
      <c r="I89" s="275">
        <v>640950</v>
      </c>
      <c r="J89" s="275">
        <v>380148</v>
      </c>
      <c r="K89" s="275">
        <v>436275</v>
      </c>
      <c r="L89" s="275">
        <v>699576</v>
      </c>
      <c r="M89" s="275">
        <v>635077</v>
      </c>
      <c r="N89" s="275">
        <v>397302</v>
      </c>
      <c r="O89" s="275">
        <v>415565</v>
      </c>
      <c r="P89" s="275">
        <v>692927</v>
      </c>
      <c r="Q89" s="275">
        <v>678093</v>
      </c>
      <c r="R89" s="275">
        <v>385935</v>
      </c>
      <c r="S89" s="275">
        <v>420240</v>
      </c>
      <c r="T89" s="275">
        <v>724184</v>
      </c>
      <c r="U89" s="275">
        <v>734652</v>
      </c>
      <c r="V89" s="275">
        <v>410335</v>
      </c>
      <c r="W89" s="275">
        <v>406720</v>
      </c>
      <c r="X89" s="275">
        <v>682837</v>
      </c>
    </row>
    <row r="90" spans="1:25" ht="14.25" thickBot="1" x14ac:dyDescent="0.3">
      <c r="A90" s="251" t="s">
        <v>5</v>
      </c>
      <c r="B90" s="273">
        <v>121313</v>
      </c>
      <c r="C90" s="273">
        <v>135340</v>
      </c>
      <c r="D90" s="273">
        <v>356288</v>
      </c>
      <c r="E90" s="273">
        <v>63015</v>
      </c>
      <c r="F90" s="273">
        <v>93068</v>
      </c>
      <c r="G90" s="273">
        <v>143507</v>
      </c>
      <c r="H90" s="273">
        <v>333207</v>
      </c>
      <c r="I90" s="273">
        <v>136138</v>
      </c>
      <c r="J90" s="273">
        <v>91948</v>
      </c>
      <c r="K90" s="273">
        <v>132496</v>
      </c>
      <c r="L90" s="273">
        <v>284529</v>
      </c>
      <c r="M90" s="273">
        <v>175748</v>
      </c>
      <c r="N90" s="273">
        <v>111809</v>
      </c>
      <c r="O90" s="273">
        <v>119021</v>
      </c>
      <c r="P90" s="273">
        <v>292317</v>
      </c>
      <c r="Q90" s="273">
        <v>214621</v>
      </c>
      <c r="R90" s="273">
        <v>102216</v>
      </c>
      <c r="S90" s="273">
        <v>121778</v>
      </c>
      <c r="T90" s="273">
        <v>332759</v>
      </c>
      <c r="U90" s="273">
        <v>246858</v>
      </c>
      <c r="V90" s="273">
        <v>148360</v>
      </c>
      <c r="W90" s="273">
        <v>118060</v>
      </c>
      <c r="X90" s="273">
        <v>303762</v>
      </c>
    </row>
    <row r="91" spans="1:25" ht="14.25" thickBot="1" x14ac:dyDescent="0.3">
      <c r="A91" s="250" t="s">
        <v>6</v>
      </c>
      <c r="B91" s="275">
        <v>107345</v>
      </c>
      <c r="C91" s="275">
        <v>144790</v>
      </c>
      <c r="D91" s="275">
        <v>375748</v>
      </c>
      <c r="E91" s="275">
        <v>72815</v>
      </c>
      <c r="F91" s="275">
        <v>160280</v>
      </c>
      <c r="G91" s="275">
        <v>168542</v>
      </c>
      <c r="H91" s="275">
        <v>315455</v>
      </c>
      <c r="I91" s="275">
        <v>145667</v>
      </c>
      <c r="J91" s="275">
        <v>94383</v>
      </c>
      <c r="K91" s="275">
        <v>113820</v>
      </c>
      <c r="L91" s="275">
        <v>329787</v>
      </c>
      <c r="M91" s="275">
        <v>260401</v>
      </c>
      <c r="N91" s="275">
        <v>107978</v>
      </c>
      <c r="O91" s="275">
        <v>104215</v>
      </c>
      <c r="P91" s="275">
        <v>390899</v>
      </c>
      <c r="Q91" s="275">
        <v>225107</v>
      </c>
      <c r="R91" s="275">
        <v>99795</v>
      </c>
      <c r="S91" s="275">
        <v>129054</v>
      </c>
      <c r="T91" s="275">
        <v>315575</v>
      </c>
      <c r="U91" s="275">
        <v>248403</v>
      </c>
      <c r="V91" s="275">
        <v>58684</v>
      </c>
      <c r="W91" s="275">
        <v>136230</v>
      </c>
      <c r="X91" s="275">
        <v>293932</v>
      </c>
    </row>
    <row r="92" spans="1:25" ht="14.25" thickBot="1" x14ac:dyDescent="0.3">
      <c r="A92" s="251" t="s">
        <v>7</v>
      </c>
      <c r="B92" s="273">
        <v>85355</v>
      </c>
      <c r="C92" s="273">
        <v>109783</v>
      </c>
      <c r="D92" s="273">
        <v>310772</v>
      </c>
      <c r="E92" s="273">
        <v>50877</v>
      </c>
      <c r="F92" s="273">
        <v>131957</v>
      </c>
      <c r="G92" s="273">
        <v>129249</v>
      </c>
      <c r="H92" s="273">
        <v>260386</v>
      </c>
      <c r="I92" s="273">
        <v>109369</v>
      </c>
      <c r="J92" s="273">
        <v>72682</v>
      </c>
      <c r="K92" s="273">
        <v>81367</v>
      </c>
      <c r="L92" s="273">
        <v>256002</v>
      </c>
      <c r="M92" s="273">
        <v>209629</v>
      </c>
      <c r="N92" s="273">
        <v>88071</v>
      </c>
      <c r="O92" s="273">
        <v>74515</v>
      </c>
      <c r="P92" s="273">
        <v>307555</v>
      </c>
      <c r="Q92" s="273">
        <v>178140</v>
      </c>
      <c r="R92" s="273">
        <v>75429</v>
      </c>
      <c r="S92" s="273">
        <v>87444</v>
      </c>
      <c r="T92" s="273">
        <v>251341</v>
      </c>
      <c r="U92" s="273">
        <v>194144</v>
      </c>
      <c r="V92" s="273">
        <v>38957</v>
      </c>
      <c r="W92" s="273">
        <v>108229</v>
      </c>
      <c r="X92" s="273">
        <v>221811</v>
      </c>
    </row>
    <row r="93" spans="1:25" ht="26.25" thickBot="1" x14ac:dyDescent="0.3">
      <c r="A93" s="252" t="s">
        <v>8</v>
      </c>
      <c r="B93" s="276">
        <v>85355</v>
      </c>
      <c r="C93" s="276">
        <v>109951</v>
      </c>
      <c r="D93" s="276">
        <v>310877</v>
      </c>
      <c r="E93" s="276">
        <v>50971</v>
      </c>
      <c r="F93" s="276">
        <v>132195</v>
      </c>
      <c r="G93" s="276">
        <v>130385</v>
      </c>
      <c r="H93" s="276">
        <v>261338</v>
      </c>
      <c r="I93" s="276">
        <v>109716</v>
      </c>
      <c r="J93" s="276">
        <v>73467</v>
      </c>
      <c r="K93" s="276">
        <v>81632</v>
      </c>
      <c r="L93" s="276">
        <v>255903</v>
      </c>
      <c r="M93" s="276">
        <v>208678</v>
      </c>
      <c r="N93" s="276">
        <v>88071</v>
      </c>
      <c r="O93" s="276">
        <v>74515</v>
      </c>
      <c r="P93" s="276">
        <v>307555</v>
      </c>
      <c r="Q93" s="276">
        <v>178140</v>
      </c>
      <c r="R93" s="276">
        <v>75429</v>
      </c>
      <c r="S93" s="276">
        <v>87444</v>
      </c>
      <c r="T93" s="276">
        <v>251341</v>
      </c>
      <c r="U93" s="276">
        <v>194144</v>
      </c>
      <c r="V93" s="276">
        <v>38957</v>
      </c>
      <c r="W93" s="276">
        <v>108229</v>
      </c>
      <c r="X93" s="276">
        <v>221811</v>
      </c>
    </row>
    <row r="94" spans="1:25" x14ac:dyDescent="0.25">
      <c r="A94" s="233" t="s">
        <v>365</v>
      </c>
      <c r="B94" s="253">
        <f>IF(B91="","",B91-B90)</f>
        <v>-13968</v>
      </c>
      <c r="C94" s="253">
        <f>IF(C91="","",C91-C90)</f>
        <v>9450</v>
      </c>
      <c r="D94" s="253">
        <f t="shared" ref="D94:Y94" si="9">IF(D91="","",D91-D90)</f>
        <v>19460</v>
      </c>
      <c r="E94" s="253">
        <f t="shared" si="9"/>
        <v>9800</v>
      </c>
      <c r="F94" s="253">
        <f t="shared" si="9"/>
        <v>67212</v>
      </c>
      <c r="G94" s="253">
        <f t="shared" si="9"/>
        <v>25035</v>
      </c>
      <c r="H94" s="253">
        <f t="shared" si="9"/>
        <v>-17752</v>
      </c>
      <c r="I94" s="253">
        <f t="shared" si="9"/>
        <v>9529</v>
      </c>
      <c r="J94" s="253">
        <f t="shared" si="9"/>
        <v>2435</v>
      </c>
      <c r="K94" s="253">
        <f t="shared" si="9"/>
        <v>-18676</v>
      </c>
      <c r="L94" s="253">
        <f t="shared" si="9"/>
        <v>45258</v>
      </c>
      <c r="M94" s="253">
        <f t="shared" si="9"/>
        <v>84653</v>
      </c>
      <c r="N94" s="253">
        <f t="shared" si="9"/>
        <v>-3831</v>
      </c>
      <c r="O94" s="253">
        <f t="shared" si="9"/>
        <v>-14806</v>
      </c>
      <c r="P94" s="253">
        <f t="shared" si="9"/>
        <v>98582</v>
      </c>
      <c r="Q94" s="253">
        <f t="shared" si="9"/>
        <v>10486</v>
      </c>
      <c r="R94" s="253">
        <f t="shared" si="9"/>
        <v>-2421</v>
      </c>
      <c r="S94" s="253">
        <f t="shared" si="9"/>
        <v>7276</v>
      </c>
      <c r="T94" s="253">
        <f t="shared" si="9"/>
        <v>-17184</v>
      </c>
      <c r="U94" s="253">
        <f t="shared" si="9"/>
        <v>1545</v>
      </c>
      <c r="V94" s="253">
        <f t="shared" si="9"/>
        <v>-89676</v>
      </c>
      <c r="W94" s="253">
        <f t="shared" si="9"/>
        <v>18170</v>
      </c>
      <c r="X94" s="253">
        <f t="shared" si="9"/>
        <v>-9830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5367752</v>
      </c>
      <c r="C97" s="273">
        <v>5896673</v>
      </c>
      <c r="D97" s="273">
        <v>5881327</v>
      </c>
      <c r="E97" s="273">
        <v>6144205</v>
      </c>
      <c r="F97" s="273">
        <v>6031162</v>
      </c>
    </row>
    <row r="98" spans="1:24" ht="14.25" thickBot="1" x14ac:dyDescent="0.3">
      <c r="A98" s="225" t="s">
        <v>4</v>
      </c>
      <c r="B98" s="275">
        <v>2005942</v>
      </c>
      <c r="C98" s="275">
        <v>2201487</v>
      </c>
      <c r="D98" s="275">
        <v>2151076</v>
      </c>
      <c r="E98" s="275">
        <v>2183887</v>
      </c>
      <c r="F98" s="275">
        <v>2265011</v>
      </c>
    </row>
    <row r="99" spans="1:24" ht="14.25" thickBot="1" x14ac:dyDescent="0.3">
      <c r="A99" s="224" t="s">
        <v>5</v>
      </c>
      <c r="B99" s="273">
        <v>675956</v>
      </c>
      <c r="C99" s="273">
        <v>705919</v>
      </c>
      <c r="D99" s="273">
        <v>684721</v>
      </c>
      <c r="E99" s="273">
        <v>737768</v>
      </c>
      <c r="F99" s="273">
        <v>803611</v>
      </c>
    </row>
    <row r="100" spans="1:24" ht="14.25" thickBot="1" x14ac:dyDescent="0.3">
      <c r="A100" s="225" t="s">
        <v>6</v>
      </c>
      <c r="B100" s="275">
        <v>700698</v>
      </c>
      <c r="C100" s="275">
        <v>789944</v>
      </c>
      <c r="D100" s="275">
        <v>798391</v>
      </c>
      <c r="E100" s="275">
        <v>828199</v>
      </c>
      <c r="F100" s="275">
        <v>792827</v>
      </c>
    </row>
    <row r="101" spans="1:24" ht="14.25" thickBot="1" x14ac:dyDescent="0.3">
      <c r="A101" s="224" t="s">
        <v>7</v>
      </c>
      <c r="B101" s="273">
        <v>556787</v>
      </c>
      <c r="C101" s="273">
        <v>630961</v>
      </c>
      <c r="D101" s="273">
        <v>619680</v>
      </c>
      <c r="E101" s="273">
        <v>648281</v>
      </c>
      <c r="F101" s="273">
        <v>608358</v>
      </c>
    </row>
    <row r="102" spans="1:24" ht="14.25" thickBot="1" x14ac:dyDescent="0.3">
      <c r="A102" s="227" t="s">
        <v>8</v>
      </c>
      <c r="B102" s="276">
        <v>557154</v>
      </c>
      <c r="C102" s="276">
        <v>633634</v>
      </c>
      <c r="D102" s="276">
        <v>619680</v>
      </c>
      <c r="E102" s="276">
        <v>648281</v>
      </c>
      <c r="F102" s="276">
        <v>608358</v>
      </c>
    </row>
    <row r="103" spans="1:24" x14ac:dyDescent="0.25">
      <c r="A103" s="233" t="s">
        <v>262</v>
      </c>
      <c r="B103" s="234">
        <f>IF(OR(B102="",B102="無"),"",B102/B101)</f>
        <v>1.0006591389525976</v>
      </c>
      <c r="C103" s="234">
        <f>IF(OR(C102="",C102="無"),"",C102/C101)</f>
        <v>1.0042363949594348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1833619</v>
      </c>
      <c r="C106" s="273">
        <v>1884200</v>
      </c>
      <c r="D106" s="273">
        <v>1641744</v>
      </c>
      <c r="E106" s="273">
        <v>1673880</v>
      </c>
      <c r="F106" s="273">
        <v>2034838</v>
      </c>
      <c r="G106" s="273">
        <v>1981161</v>
      </c>
      <c r="H106" s="273">
        <v>1269758</v>
      </c>
      <c r="I106" s="273">
        <v>1761487</v>
      </c>
      <c r="J106" s="273">
        <v>2029561</v>
      </c>
      <c r="K106" s="273">
        <v>2202961</v>
      </c>
      <c r="L106" s="273">
        <v>1720461</v>
      </c>
      <c r="M106" s="273">
        <v>1884510</v>
      </c>
      <c r="N106" s="273">
        <v>2692874</v>
      </c>
      <c r="O106" s="273">
        <v>2512114</v>
      </c>
      <c r="P106" s="273">
        <v>2097139</v>
      </c>
      <c r="Q106" s="273">
        <v>2372718</v>
      </c>
      <c r="R106" s="273">
        <v>3112905</v>
      </c>
      <c r="S106" s="273">
        <v>2742576</v>
      </c>
      <c r="T106" s="273">
        <v>1939453</v>
      </c>
      <c r="U106" s="273">
        <v>2537713</v>
      </c>
      <c r="V106" s="273">
        <v>3018942</v>
      </c>
      <c r="W106" s="273">
        <v>2947532</v>
      </c>
      <c r="X106" s="273">
        <v>2130734</v>
      </c>
    </row>
    <row r="107" spans="1:24" ht="14.25" thickBot="1" x14ac:dyDescent="0.3">
      <c r="A107" s="225" t="s">
        <v>22</v>
      </c>
      <c r="B107" s="274">
        <v>806</v>
      </c>
      <c r="C107" s="275">
        <v>6275</v>
      </c>
      <c r="D107" s="275">
        <v>4093</v>
      </c>
      <c r="E107" s="275">
        <v>3895</v>
      </c>
      <c r="F107" s="275">
        <v>7753</v>
      </c>
      <c r="G107" s="275">
        <v>11313</v>
      </c>
      <c r="H107" s="275">
        <v>17064</v>
      </c>
      <c r="I107" s="275">
        <v>11183</v>
      </c>
      <c r="J107" s="274">
        <v>0</v>
      </c>
      <c r="K107" s="274">
        <v>97</v>
      </c>
      <c r="L107" s="275">
        <v>3032</v>
      </c>
      <c r="M107" s="275">
        <v>6063</v>
      </c>
      <c r="N107" s="275">
        <v>15641</v>
      </c>
      <c r="O107" s="275">
        <v>10873</v>
      </c>
      <c r="P107" s="274">
        <v>452</v>
      </c>
      <c r="Q107" s="274">
        <v>932</v>
      </c>
      <c r="R107" s="275">
        <v>1441</v>
      </c>
      <c r="S107" s="274">
        <v>0</v>
      </c>
      <c r="T107" s="274">
        <v>566</v>
      </c>
      <c r="U107" s="275">
        <v>1020</v>
      </c>
      <c r="V107" s="275">
        <v>1167</v>
      </c>
      <c r="W107" s="275">
        <v>12831</v>
      </c>
      <c r="X107" s="274">
        <v>0</v>
      </c>
    </row>
    <row r="108" spans="1:24" ht="14.25" thickBot="1" x14ac:dyDescent="0.3">
      <c r="A108" s="224" t="s">
        <v>263</v>
      </c>
      <c r="B108" s="273">
        <v>1025297</v>
      </c>
      <c r="C108" s="273">
        <v>717527</v>
      </c>
      <c r="D108" s="273">
        <v>1634491</v>
      </c>
      <c r="E108" s="273">
        <v>1457918</v>
      </c>
      <c r="F108" s="273">
        <v>684848</v>
      </c>
      <c r="G108" s="273">
        <v>830846</v>
      </c>
      <c r="H108" s="273">
        <v>1551814</v>
      </c>
      <c r="I108" s="273">
        <v>1692580</v>
      </c>
      <c r="J108" s="273">
        <v>705155</v>
      </c>
      <c r="K108" s="273">
        <v>603438</v>
      </c>
      <c r="L108" s="273">
        <v>1530207</v>
      </c>
      <c r="M108" s="273">
        <v>1669151</v>
      </c>
      <c r="N108" s="273">
        <v>682696</v>
      </c>
      <c r="O108" s="273">
        <v>748448</v>
      </c>
      <c r="P108" s="273">
        <v>1669646</v>
      </c>
      <c r="Q108" s="273">
        <v>1495866</v>
      </c>
      <c r="R108" s="273">
        <v>575813</v>
      </c>
      <c r="S108" s="273">
        <v>542158</v>
      </c>
      <c r="T108" s="273">
        <v>1476569</v>
      </c>
      <c r="U108" s="273">
        <v>1552949</v>
      </c>
      <c r="V108" s="273">
        <v>575183</v>
      </c>
      <c r="W108" s="273">
        <v>624693</v>
      </c>
      <c r="X108" s="273">
        <v>1387723</v>
      </c>
    </row>
    <row r="109" spans="1:24" ht="14.25" thickBot="1" x14ac:dyDescent="0.3">
      <c r="A109" s="225" t="s">
        <v>264</v>
      </c>
      <c r="B109" s="275">
        <v>738581</v>
      </c>
      <c r="C109" s="275">
        <v>1256766</v>
      </c>
      <c r="D109" s="275">
        <v>1060803</v>
      </c>
      <c r="E109" s="275">
        <v>719489</v>
      </c>
      <c r="F109" s="275">
        <v>823222</v>
      </c>
      <c r="G109" s="275">
        <v>1293878</v>
      </c>
      <c r="H109" s="275">
        <v>1356596</v>
      </c>
      <c r="I109" s="275">
        <v>958916</v>
      </c>
      <c r="J109" s="275">
        <v>984494</v>
      </c>
      <c r="K109" s="275">
        <v>1404082</v>
      </c>
      <c r="L109" s="275">
        <v>1248763</v>
      </c>
      <c r="M109" s="275">
        <v>809659</v>
      </c>
      <c r="N109" s="275">
        <v>752555</v>
      </c>
      <c r="O109" s="275">
        <v>1356314</v>
      </c>
      <c r="P109" s="275">
        <v>1481145</v>
      </c>
      <c r="Q109" s="275">
        <v>956198</v>
      </c>
      <c r="R109" s="275">
        <v>913773</v>
      </c>
      <c r="S109" s="275">
        <v>1588121</v>
      </c>
      <c r="T109" s="275">
        <v>1448575</v>
      </c>
      <c r="U109" s="275">
        <v>821629</v>
      </c>
      <c r="V109" s="275">
        <v>857417</v>
      </c>
      <c r="W109" s="275">
        <v>1265060</v>
      </c>
      <c r="X109" s="275">
        <v>1401551</v>
      </c>
    </row>
    <row r="110" spans="1:24" ht="14.25" thickBot="1" x14ac:dyDescent="0.3">
      <c r="A110" s="224" t="s">
        <v>23</v>
      </c>
      <c r="B110" s="273">
        <v>172014</v>
      </c>
      <c r="C110" s="273">
        <v>169283</v>
      </c>
      <c r="D110" s="273">
        <v>210665</v>
      </c>
      <c r="E110" s="273">
        <v>170890</v>
      </c>
      <c r="F110" s="273">
        <v>137877</v>
      </c>
      <c r="G110" s="273">
        <v>167442</v>
      </c>
      <c r="H110" s="273">
        <v>179332</v>
      </c>
      <c r="I110" s="273">
        <v>144760</v>
      </c>
      <c r="J110" s="273">
        <v>114107</v>
      </c>
      <c r="K110" s="273">
        <v>120749</v>
      </c>
      <c r="L110" s="273">
        <v>167906</v>
      </c>
      <c r="M110" s="273">
        <v>157966</v>
      </c>
      <c r="N110" s="273">
        <v>119229</v>
      </c>
      <c r="O110" s="273">
        <v>134171</v>
      </c>
      <c r="P110" s="273">
        <v>191376</v>
      </c>
      <c r="Q110" s="273">
        <v>110953</v>
      </c>
      <c r="R110" s="273">
        <v>118184</v>
      </c>
      <c r="S110" s="273">
        <v>129899</v>
      </c>
      <c r="T110" s="273">
        <v>138006</v>
      </c>
      <c r="U110" s="273">
        <v>120516</v>
      </c>
      <c r="V110" s="273">
        <v>107195</v>
      </c>
      <c r="W110" s="273">
        <v>131785</v>
      </c>
      <c r="X110" s="273">
        <v>161292</v>
      </c>
    </row>
    <row r="111" spans="1:24" ht="14.25" thickBot="1" x14ac:dyDescent="0.3">
      <c r="A111" s="225" t="s">
        <v>24</v>
      </c>
      <c r="B111" s="275">
        <v>3770317</v>
      </c>
      <c r="C111" s="275">
        <v>4034051</v>
      </c>
      <c r="D111" s="275">
        <v>4551796</v>
      </c>
      <c r="E111" s="275">
        <v>4026072</v>
      </c>
      <c r="F111" s="275">
        <v>3688538</v>
      </c>
      <c r="G111" s="275">
        <v>4284640</v>
      </c>
      <c r="H111" s="275">
        <v>4374564</v>
      </c>
      <c r="I111" s="275">
        <v>4568926</v>
      </c>
      <c r="J111" s="275">
        <v>3833317</v>
      </c>
      <c r="K111" s="275">
        <v>4331327</v>
      </c>
      <c r="L111" s="275">
        <v>4670369</v>
      </c>
      <c r="M111" s="275">
        <v>4527349</v>
      </c>
      <c r="N111" s="275">
        <v>4262995</v>
      </c>
      <c r="O111" s="275">
        <v>4761920</v>
      </c>
      <c r="P111" s="275">
        <v>5439758</v>
      </c>
      <c r="Q111" s="275">
        <v>4936667</v>
      </c>
      <c r="R111" s="275">
        <v>4722116</v>
      </c>
      <c r="S111" s="275">
        <v>5002754</v>
      </c>
      <c r="T111" s="275">
        <v>5003169</v>
      </c>
      <c r="U111" s="275">
        <v>5033827</v>
      </c>
      <c r="V111" s="275">
        <v>4559904</v>
      </c>
      <c r="W111" s="275">
        <v>4981901</v>
      </c>
      <c r="X111" s="275">
        <v>5081300</v>
      </c>
    </row>
    <row r="112" spans="1:24" ht="14.25" thickBot="1" x14ac:dyDescent="0.3">
      <c r="A112" s="224" t="s">
        <v>25</v>
      </c>
      <c r="B112" s="273">
        <v>14063</v>
      </c>
      <c r="C112" s="273">
        <v>14422</v>
      </c>
      <c r="D112" s="273">
        <v>14645</v>
      </c>
      <c r="E112" s="273">
        <v>14380</v>
      </c>
      <c r="F112" s="273">
        <v>20852</v>
      </c>
      <c r="G112" s="273">
        <v>20081</v>
      </c>
      <c r="H112" s="273">
        <v>22838</v>
      </c>
      <c r="I112" s="273">
        <v>22770</v>
      </c>
      <c r="J112" s="273">
        <v>22841</v>
      </c>
      <c r="K112" s="273">
        <v>22697</v>
      </c>
      <c r="L112" s="273">
        <v>21609</v>
      </c>
      <c r="M112" s="273">
        <v>17275</v>
      </c>
      <c r="N112" s="273">
        <v>17694</v>
      </c>
      <c r="O112" s="273">
        <v>17861</v>
      </c>
      <c r="P112" s="273">
        <v>16808</v>
      </c>
      <c r="Q112" s="273">
        <v>13331</v>
      </c>
      <c r="R112" s="273">
        <v>13446</v>
      </c>
      <c r="S112" s="273">
        <v>13403</v>
      </c>
      <c r="T112" s="273">
        <v>11496</v>
      </c>
      <c r="U112" s="273">
        <v>11418</v>
      </c>
      <c r="V112" s="273">
        <v>11243</v>
      </c>
      <c r="W112" s="273">
        <v>10296</v>
      </c>
      <c r="X112" s="273">
        <v>10210</v>
      </c>
    </row>
    <row r="113" spans="1:24" ht="14.25" thickBot="1" x14ac:dyDescent="0.3">
      <c r="A113" s="225" t="s">
        <v>26</v>
      </c>
      <c r="B113" s="275">
        <v>346682</v>
      </c>
      <c r="C113" s="275">
        <v>339122</v>
      </c>
      <c r="D113" s="275">
        <v>338384</v>
      </c>
      <c r="E113" s="275">
        <v>321914</v>
      </c>
      <c r="F113" s="275">
        <v>355703</v>
      </c>
      <c r="G113" s="275">
        <v>356937</v>
      </c>
      <c r="H113" s="275">
        <v>348759</v>
      </c>
      <c r="I113" s="275">
        <v>351996</v>
      </c>
      <c r="J113" s="275">
        <v>348303</v>
      </c>
      <c r="K113" s="275">
        <v>339948</v>
      </c>
      <c r="L113" s="275">
        <v>343610</v>
      </c>
      <c r="M113" s="275">
        <v>312729</v>
      </c>
      <c r="N113" s="275">
        <v>296861</v>
      </c>
      <c r="O113" s="275">
        <v>291917</v>
      </c>
      <c r="P113" s="275">
        <v>297546</v>
      </c>
      <c r="Q113" s="275">
        <v>338564</v>
      </c>
      <c r="R113" s="275">
        <v>374073</v>
      </c>
      <c r="S113" s="275">
        <v>370268</v>
      </c>
      <c r="T113" s="275">
        <v>354620</v>
      </c>
      <c r="U113" s="275">
        <v>364070</v>
      </c>
      <c r="V113" s="275">
        <v>338812</v>
      </c>
      <c r="W113" s="275">
        <v>336280</v>
      </c>
      <c r="X113" s="275">
        <v>323132</v>
      </c>
    </row>
    <row r="114" spans="1:24" ht="14.25" thickBot="1" x14ac:dyDescent="0.3">
      <c r="A114" s="224" t="s">
        <v>27</v>
      </c>
      <c r="B114" s="273">
        <v>140675</v>
      </c>
      <c r="C114" s="273">
        <v>146520</v>
      </c>
      <c r="D114" s="273">
        <v>141453</v>
      </c>
      <c r="E114" s="273">
        <v>159086</v>
      </c>
      <c r="F114" s="273">
        <v>170787</v>
      </c>
      <c r="G114" s="273">
        <v>270441</v>
      </c>
      <c r="H114" s="273">
        <v>287491</v>
      </c>
      <c r="I114" s="273">
        <v>277333</v>
      </c>
      <c r="J114" s="273">
        <v>291592</v>
      </c>
      <c r="K114" s="273">
        <v>273565</v>
      </c>
      <c r="L114" s="273">
        <v>270363</v>
      </c>
      <c r="M114" s="273">
        <v>218635</v>
      </c>
      <c r="N114" s="273">
        <v>192130</v>
      </c>
      <c r="O114" s="273">
        <v>176009</v>
      </c>
      <c r="P114" s="273">
        <v>176515</v>
      </c>
      <c r="Q114" s="273">
        <v>135082</v>
      </c>
      <c r="R114" s="273">
        <v>130199</v>
      </c>
      <c r="S114" s="273">
        <v>128538</v>
      </c>
      <c r="T114" s="273">
        <v>128634</v>
      </c>
      <c r="U114" s="273">
        <v>131286</v>
      </c>
      <c r="V114" s="273">
        <v>137539</v>
      </c>
      <c r="W114" s="273">
        <v>136070</v>
      </c>
      <c r="X114" s="273">
        <v>144977</v>
      </c>
    </row>
    <row r="115" spans="1:24" ht="14.25" thickBot="1" x14ac:dyDescent="0.3">
      <c r="A115" s="225" t="s">
        <v>265</v>
      </c>
      <c r="B115" s="276">
        <v>4271737</v>
      </c>
      <c r="C115" s="276">
        <v>4534115</v>
      </c>
      <c r="D115" s="276">
        <v>5046278</v>
      </c>
      <c r="E115" s="276">
        <v>4521452</v>
      </c>
      <c r="F115" s="276">
        <v>4235880</v>
      </c>
      <c r="G115" s="276">
        <v>4932099</v>
      </c>
      <c r="H115" s="276">
        <v>5033652</v>
      </c>
      <c r="I115" s="276">
        <v>5221025</v>
      </c>
      <c r="J115" s="276">
        <v>4496053</v>
      </c>
      <c r="K115" s="276">
        <v>4967537</v>
      </c>
      <c r="L115" s="276">
        <v>5305951</v>
      </c>
      <c r="M115" s="276">
        <v>5075988</v>
      </c>
      <c r="N115" s="276">
        <v>4769680</v>
      </c>
      <c r="O115" s="276">
        <v>5247707</v>
      </c>
      <c r="P115" s="276">
        <v>5930627</v>
      </c>
      <c r="Q115" s="276">
        <v>5423644</v>
      </c>
      <c r="R115" s="276">
        <v>5239834</v>
      </c>
      <c r="S115" s="276">
        <v>5514963</v>
      </c>
      <c r="T115" s="276">
        <v>5497919</v>
      </c>
      <c r="U115" s="276">
        <v>5540601</v>
      </c>
      <c r="V115" s="276">
        <v>5047498</v>
      </c>
      <c r="W115" s="276">
        <v>5464547</v>
      </c>
      <c r="X115" s="276">
        <v>5559619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147575</v>
      </c>
      <c r="C118" s="273">
        <v>261695</v>
      </c>
      <c r="D118" s="273">
        <v>735531</v>
      </c>
      <c r="E118" s="273">
        <v>386884</v>
      </c>
      <c r="F118" s="273">
        <v>164071</v>
      </c>
      <c r="G118" s="273">
        <v>285000</v>
      </c>
      <c r="H118" s="273">
        <v>326067</v>
      </c>
      <c r="I118" s="273">
        <v>367483</v>
      </c>
      <c r="J118" s="273">
        <v>62715</v>
      </c>
      <c r="K118" s="273">
        <v>340737</v>
      </c>
      <c r="L118" s="273">
        <v>319339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641687</v>
      </c>
      <c r="C120" s="273">
        <v>878767</v>
      </c>
      <c r="D120" s="273">
        <v>953041</v>
      </c>
      <c r="E120" s="273">
        <v>574940</v>
      </c>
      <c r="F120" s="273">
        <v>508875</v>
      </c>
      <c r="G120" s="273">
        <v>955740</v>
      </c>
      <c r="H120" s="273">
        <v>990264</v>
      </c>
      <c r="I120" s="273">
        <v>810657</v>
      </c>
      <c r="J120" s="273">
        <v>515733</v>
      </c>
      <c r="K120" s="273">
        <v>768114</v>
      </c>
      <c r="L120" s="273">
        <v>1068482</v>
      </c>
      <c r="M120" s="273">
        <v>699915</v>
      </c>
      <c r="N120" s="273">
        <v>597391</v>
      </c>
      <c r="O120" s="273">
        <v>1070612</v>
      </c>
      <c r="P120" s="273">
        <v>1419062</v>
      </c>
      <c r="Q120" s="273">
        <v>671675</v>
      </c>
      <c r="R120" s="273">
        <v>672788</v>
      </c>
      <c r="S120" s="273">
        <v>903079</v>
      </c>
      <c r="T120" s="273">
        <v>931093</v>
      </c>
      <c r="U120" s="273">
        <v>658455</v>
      </c>
      <c r="V120" s="273">
        <v>496311</v>
      </c>
      <c r="W120" s="273">
        <v>802724</v>
      </c>
      <c r="X120" s="273">
        <v>944756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563124</v>
      </c>
      <c r="C123" s="275">
        <v>746448</v>
      </c>
      <c r="D123" s="275">
        <v>486509</v>
      </c>
      <c r="E123" s="275">
        <v>670766</v>
      </c>
      <c r="F123" s="275">
        <v>481164</v>
      </c>
      <c r="G123" s="275">
        <v>902261</v>
      </c>
      <c r="H123" s="275">
        <v>664004</v>
      </c>
      <c r="I123" s="275">
        <v>843082</v>
      </c>
      <c r="J123" s="275">
        <v>621994</v>
      </c>
      <c r="K123" s="275">
        <v>985218</v>
      </c>
      <c r="L123" s="275">
        <v>739827</v>
      </c>
      <c r="M123" s="275">
        <v>963980</v>
      </c>
      <c r="N123" s="275">
        <v>727120</v>
      </c>
      <c r="O123" s="275">
        <v>1104751</v>
      </c>
      <c r="P123" s="275">
        <v>1027139</v>
      </c>
      <c r="Q123" s="275">
        <v>1067253</v>
      </c>
      <c r="R123" s="275">
        <v>830345</v>
      </c>
      <c r="S123" s="275">
        <v>1230712</v>
      </c>
      <c r="T123" s="275">
        <v>991497</v>
      </c>
      <c r="U123" s="275">
        <v>1057821</v>
      </c>
      <c r="V123" s="275">
        <v>789486</v>
      </c>
      <c r="W123" s="275">
        <v>1214558</v>
      </c>
      <c r="X123" s="275">
        <v>941489</v>
      </c>
    </row>
    <row r="124" spans="1:24" ht="14.25" thickBot="1" x14ac:dyDescent="0.3">
      <c r="A124" s="224" t="s">
        <v>268</v>
      </c>
      <c r="B124" s="273">
        <v>1352386</v>
      </c>
      <c r="C124" s="273">
        <v>1886910</v>
      </c>
      <c r="D124" s="273">
        <v>2175081</v>
      </c>
      <c r="E124" s="273">
        <v>1632590</v>
      </c>
      <c r="F124" s="273">
        <v>1154110</v>
      </c>
      <c r="G124" s="273">
        <v>2143001</v>
      </c>
      <c r="H124" s="273">
        <v>1980335</v>
      </c>
      <c r="I124" s="273">
        <v>2021222</v>
      </c>
      <c r="J124" s="273">
        <v>1200442</v>
      </c>
      <c r="K124" s="273">
        <v>2094069</v>
      </c>
      <c r="L124" s="273">
        <v>2127648</v>
      </c>
      <c r="M124" s="273">
        <v>1663895</v>
      </c>
      <c r="N124" s="273">
        <v>1324511</v>
      </c>
      <c r="O124" s="273">
        <v>2175363</v>
      </c>
      <c r="P124" s="273">
        <v>2446201</v>
      </c>
      <c r="Q124" s="273">
        <v>1738928</v>
      </c>
      <c r="R124" s="273">
        <v>1503133</v>
      </c>
      <c r="S124" s="273">
        <v>2133791</v>
      </c>
      <c r="T124" s="273">
        <v>1922590</v>
      </c>
      <c r="U124" s="273">
        <v>1716276</v>
      </c>
      <c r="V124" s="273">
        <v>1285797</v>
      </c>
      <c r="W124" s="273">
        <v>2017282</v>
      </c>
      <c r="X124" s="273">
        <v>1886245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128821</v>
      </c>
      <c r="G125" s="275">
        <v>136028</v>
      </c>
      <c r="H125" s="275">
        <v>147987</v>
      </c>
      <c r="I125" s="275">
        <v>163079</v>
      </c>
      <c r="J125" s="275">
        <v>164401</v>
      </c>
      <c r="K125" s="275">
        <v>149658</v>
      </c>
      <c r="L125" s="275">
        <v>181275</v>
      </c>
      <c r="M125" s="275">
        <v>196020</v>
      </c>
      <c r="N125" s="275">
        <v>182305</v>
      </c>
      <c r="O125" s="275">
        <v>182962</v>
      </c>
      <c r="P125" s="275">
        <v>197855</v>
      </c>
      <c r="Q125" s="275">
        <v>234564</v>
      </c>
      <c r="R125" s="275">
        <v>231240</v>
      </c>
      <c r="S125" s="275">
        <v>230017</v>
      </c>
      <c r="T125" s="275">
        <v>219353</v>
      </c>
      <c r="U125" s="275">
        <v>237587</v>
      </c>
      <c r="V125" s="275">
        <v>232678</v>
      </c>
      <c r="W125" s="275">
        <v>233071</v>
      </c>
      <c r="X125" s="275">
        <v>239684</v>
      </c>
    </row>
    <row r="126" spans="1:24" ht="14.25" thickBot="1" x14ac:dyDescent="0.3">
      <c r="A126" s="224" t="s">
        <v>33</v>
      </c>
      <c r="B126" s="273">
        <v>81253</v>
      </c>
      <c r="C126" s="273">
        <v>68862</v>
      </c>
      <c r="D126" s="273">
        <v>105353</v>
      </c>
      <c r="E126" s="273">
        <v>88336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1433639</v>
      </c>
      <c r="C127" s="275">
        <v>1955772</v>
      </c>
      <c r="D127" s="275">
        <v>2280434</v>
      </c>
      <c r="E127" s="275">
        <v>1720926</v>
      </c>
      <c r="F127" s="275">
        <v>1282931</v>
      </c>
      <c r="G127" s="275">
        <v>2279029</v>
      </c>
      <c r="H127" s="275">
        <v>2128322</v>
      </c>
      <c r="I127" s="275">
        <v>2184301</v>
      </c>
      <c r="J127" s="275">
        <v>1364843</v>
      </c>
      <c r="K127" s="275">
        <v>2243727</v>
      </c>
      <c r="L127" s="275">
        <v>2308923</v>
      </c>
      <c r="M127" s="275">
        <v>1859915</v>
      </c>
      <c r="N127" s="275">
        <v>1506816</v>
      </c>
      <c r="O127" s="275">
        <v>2358325</v>
      </c>
      <c r="P127" s="275">
        <v>2644056</v>
      </c>
      <c r="Q127" s="275">
        <v>1973492</v>
      </c>
      <c r="R127" s="275">
        <v>1734373</v>
      </c>
      <c r="S127" s="275">
        <v>2363808</v>
      </c>
      <c r="T127" s="275">
        <v>2141943</v>
      </c>
      <c r="U127" s="275">
        <v>1953863</v>
      </c>
      <c r="V127" s="275">
        <v>1518475</v>
      </c>
      <c r="W127" s="275">
        <v>2250353</v>
      </c>
      <c r="X127" s="275">
        <v>2125929</v>
      </c>
    </row>
    <row r="128" spans="1:24" ht="14.25" thickBot="1" x14ac:dyDescent="0.3">
      <c r="A128" s="224" t="s">
        <v>34</v>
      </c>
      <c r="B128" s="273">
        <v>2838098</v>
      </c>
      <c r="C128" s="273">
        <v>2578343</v>
      </c>
      <c r="D128" s="273">
        <v>2765844</v>
      </c>
      <c r="E128" s="273">
        <v>2800526</v>
      </c>
      <c r="F128" s="273">
        <v>2952949</v>
      </c>
      <c r="G128" s="273">
        <v>2653070</v>
      </c>
      <c r="H128" s="273">
        <v>2905330</v>
      </c>
      <c r="I128" s="273">
        <v>3036724</v>
      </c>
      <c r="J128" s="273">
        <v>3131210</v>
      </c>
      <c r="K128" s="273">
        <v>2723810</v>
      </c>
      <c r="L128" s="273">
        <v>2997028</v>
      </c>
      <c r="M128" s="273">
        <v>3216073</v>
      </c>
      <c r="N128" s="273">
        <v>3262864</v>
      </c>
      <c r="O128" s="273">
        <v>2889382</v>
      </c>
      <c r="P128" s="273">
        <v>3286571</v>
      </c>
      <c r="Q128" s="273">
        <v>3450152</v>
      </c>
      <c r="R128" s="273">
        <v>3505461</v>
      </c>
      <c r="S128" s="273">
        <v>3151155</v>
      </c>
      <c r="T128" s="273">
        <v>3355976</v>
      </c>
      <c r="U128" s="273">
        <v>3586738</v>
      </c>
      <c r="V128" s="273">
        <v>3529023</v>
      </c>
      <c r="W128" s="273">
        <v>3214194</v>
      </c>
      <c r="X128" s="273">
        <v>3433690</v>
      </c>
    </row>
    <row r="129" spans="1:24" ht="14.25" thickBot="1" x14ac:dyDescent="0.3">
      <c r="A129" s="225" t="s">
        <v>35</v>
      </c>
      <c r="B129" s="276">
        <v>4271737</v>
      </c>
      <c r="C129" s="276">
        <v>4534115</v>
      </c>
      <c r="D129" s="276">
        <v>5046278</v>
      </c>
      <c r="E129" s="276">
        <v>4521452</v>
      </c>
      <c r="F129" s="276">
        <v>4235880</v>
      </c>
      <c r="G129" s="276">
        <v>4932099</v>
      </c>
      <c r="H129" s="276">
        <v>5033652</v>
      </c>
      <c r="I129" s="276">
        <v>5221025</v>
      </c>
      <c r="J129" s="276">
        <v>4496053</v>
      </c>
      <c r="K129" s="276">
        <v>4967537</v>
      </c>
      <c r="L129" s="276">
        <v>5305951</v>
      </c>
      <c r="M129" s="276">
        <v>5075988</v>
      </c>
      <c r="N129" s="276">
        <v>4769680</v>
      </c>
      <c r="O129" s="276">
        <v>5247707</v>
      </c>
      <c r="P129" s="276">
        <v>5930627</v>
      </c>
      <c r="Q129" s="276">
        <v>5423644</v>
      </c>
      <c r="R129" s="276">
        <v>5239834</v>
      </c>
      <c r="S129" s="276">
        <v>5514963</v>
      </c>
      <c r="T129" s="276">
        <v>5497919</v>
      </c>
      <c r="U129" s="276">
        <v>5540601</v>
      </c>
      <c r="V129" s="276">
        <v>5047498</v>
      </c>
      <c r="W129" s="276">
        <v>5464547</v>
      </c>
      <c r="X129" s="276">
        <v>5559619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6.49</v>
      </c>
      <c r="C132" s="68">
        <v>6.17</v>
      </c>
      <c r="D132" s="68">
        <v>8.92</v>
      </c>
      <c r="E132" s="68">
        <v>8.86</v>
      </c>
      <c r="F132" s="68">
        <v>6.71</v>
      </c>
    </row>
    <row r="133" spans="1:24" ht="14.25" thickBot="1" x14ac:dyDescent="0.3">
      <c r="A133" s="225" t="s">
        <v>37</v>
      </c>
      <c r="B133" s="274">
        <v>-0.54</v>
      </c>
      <c r="C133" s="274">
        <v>-0.63</v>
      </c>
      <c r="D133" s="274">
        <v>-0.51</v>
      </c>
      <c r="E133" s="274">
        <v>-0.65</v>
      </c>
      <c r="F133" s="274">
        <v>-0.91</v>
      </c>
    </row>
    <row r="134" spans="1:24" ht="14.25" thickBot="1" x14ac:dyDescent="0.3">
      <c r="A134" s="224" t="s">
        <v>38</v>
      </c>
      <c r="B134" s="68">
        <v>-3.75</v>
      </c>
      <c r="C134" s="68">
        <v>-4.09</v>
      </c>
      <c r="D134" s="68">
        <v>-7.63</v>
      </c>
      <c r="E134" s="68">
        <v>-4</v>
      </c>
      <c r="F134" s="68">
        <v>-4</v>
      </c>
    </row>
    <row r="135" spans="1:24" ht="14.25" thickBot="1" x14ac:dyDescent="0.3">
      <c r="A135" s="225" t="s">
        <v>270</v>
      </c>
      <c r="B135" s="274">
        <v>5.94</v>
      </c>
      <c r="C135" s="274">
        <v>5.54</v>
      </c>
      <c r="D135" s="274">
        <v>8.41</v>
      </c>
      <c r="E135" s="274">
        <v>8.2100000000000009</v>
      </c>
      <c r="F135" s="274">
        <v>5.8</v>
      </c>
    </row>
    <row r="136" spans="1:24" ht="14.25" thickBot="1" x14ac:dyDescent="0.3">
      <c r="A136" s="229" t="s">
        <v>39</v>
      </c>
      <c r="B136" s="72">
        <v>2.2000000000000002</v>
      </c>
      <c r="C136" s="72">
        <v>1.46</v>
      </c>
      <c r="D136" s="72">
        <v>0.78</v>
      </c>
      <c r="E136" s="72">
        <v>4.21</v>
      </c>
      <c r="F136" s="72">
        <v>1.8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4</v>
      </c>
      <c r="C140" s="68">
        <v>4.2</v>
      </c>
      <c r="D140" s="68">
        <v>4</v>
      </c>
      <c r="E140" s="68">
        <v>4</v>
      </c>
      <c r="F140" s="68">
        <v>4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0.86956521739130443</v>
      </c>
      <c r="C142" s="234">
        <f>IF(C140&lt;&gt;"無",IF(ISNA(HLOOKUP(C139,$B$64:$F$69,6,FALSE)),"",C140/HLOOKUP(C139,$B$64:$F$69,6,FALSE)),"")</f>
        <v>0.72790294627383023</v>
      </c>
      <c r="D142" s="234">
        <f>IF(D140&lt;&gt;"無",IF(ISNA(HLOOKUP(D139,$B$64:$F$69,6,FALSE)),"",D140/HLOOKUP(D139,$B$64:$F$69,6,FALSE)),"")</f>
        <v>0.70921985815602828</v>
      </c>
      <c r="E142" s="234">
        <f>IF(E140&lt;&gt;"無",IF(ISNA(HLOOKUP(E139,$B$64:$F$69,6,FALSE)),"",E140/HLOOKUP(E139,$B$64:$F$69,6,FALSE)),"")</f>
        <v>0.67796610169491534</v>
      </c>
      <c r="F142" s="234">
        <f>IF(F140&lt;&gt;"無",IF(ISNA(HLOOKUP(F139,$B$64:$F$69,6,FALSE)),"",F140/HLOOKUP(F139,$B$64:$F$69,6,FALSE)),"")</f>
        <v>0.7246376811594204</v>
      </c>
    </row>
    <row r="143" spans="1:24" x14ac:dyDescent="0.25">
      <c r="A143" s="233" t="s">
        <v>216</v>
      </c>
      <c r="B143" s="234">
        <f>IF(OR(B140=0,B140="無"),"",B135/B140)</f>
        <v>1.4850000000000001</v>
      </c>
      <c r="C143" s="234">
        <f>IF(OR(C140=0,C140="無"),"",C135/C140)</f>
        <v>1.319047619047619</v>
      </c>
      <c r="D143" s="234">
        <f>IF(OR(D140=0,D140="無"),"",D135/D140)</f>
        <v>2.1025</v>
      </c>
      <c r="E143" s="234">
        <f>IF(OR(E140=0,E140="無"),"",E135/E140)</f>
        <v>2.0525000000000002</v>
      </c>
      <c r="F143" s="234">
        <f>IF(OR(F140=0,F140="無"),"",F135/F140)</f>
        <v>1.45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40.729999999999997</v>
      </c>
      <c r="C146" s="68">
        <v>46.08</v>
      </c>
      <c r="D146" s="68">
        <v>37.07</v>
      </c>
      <c r="E146" s="68">
        <v>29.74</v>
      </c>
      <c r="F146" s="68">
        <v>38.43</v>
      </c>
      <c r="G146" s="68">
        <v>41.29</v>
      </c>
      <c r="H146" s="68">
        <v>36.54</v>
      </c>
      <c r="I146" s="68">
        <v>34.799999999999997</v>
      </c>
      <c r="J146" s="68">
        <v>39.5</v>
      </c>
      <c r="K146" s="68">
        <v>44.64</v>
      </c>
      <c r="L146" s="68">
        <v>35.020000000000003</v>
      </c>
      <c r="M146" s="68">
        <v>32.67</v>
      </c>
      <c r="N146" s="68">
        <v>40.049999999999997</v>
      </c>
      <c r="O146" s="68">
        <v>38.29</v>
      </c>
      <c r="P146" s="68">
        <v>33.06</v>
      </c>
      <c r="Q146" s="68">
        <v>34.409999999999997</v>
      </c>
      <c r="R146" s="68">
        <v>36.090000000000003</v>
      </c>
      <c r="S146" s="68">
        <v>43.9</v>
      </c>
      <c r="T146" s="68">
        <v>36.81</v>
      </c>
      <c r="U146" s="68">
        <v>36.06</v>
      </c>
      <c r="V146" s="68">
        <v>42.31</v>
      </c>
      <c r="W146" s="68">
        <v>40.93</v>
      </c>
      <c r="X146" s="68">
        <v>39.799999999999997</v>
      </c>
    </row>
    <row r="147" spans="1:24" s="93" customFormat="1" ht="14.25" thickBot="1" x14ac:dyDescent="0.3">
      <c r="A147" s="225" t="s">
        <v>19</v>
      </c>
      <c r="B147" s="274">
        <v>12.76</v>
      </c>
      <c r="C147" s="274">
        <v>14.32</v>
      </c>
      <c r="D147" s="274">
        <v>17.329999999999998</v>
      </c>
      <c r="E147" s="274">
        <v>4.45</v>
      </c>
      <c r="F147" s="274">
        <v>10.06</v>
      </c>
      <c r="G147" s="274">
        <v>13.45</v>
      </c>
      <c r="H147" s="274">
        <v>16.29</v>
      </c>
      <c r="I147" s="274">
        <v>7.39</v>
      </c>
      <c r="J147" s="274">
        <v>9.5500000000000007</v>
      </c>
      <c r="K147" s="274">
        <v>13.56</v>
      </c>
      <c r="L147" s="274">
        <v>14.24</v>
      </c>
      <c r="M147" s="274">
        <v>9.0399999999999991</v>
      </c>
      <c r="N147" s="274">
        <v>11.27</v>
      </c>
      <c r="O147" s="274">
        <v>10.97</v>
      </c>
      <c r="P147" s="274">
        <v>13.95</v>
      </c>
      <c r="Q147" s="274">
        <v>10.89</v>
      </c>
      <c r="R147" s="274">
        <v>9.56</v>
      </c>
      <c r="S147" s="274">
        <v>12.72</v>
      </c>
      <c r="T147" s="274">
        <v>16.91</v>
      </c>
      <c r="U147" s="274">
        <v>12.12</v>
      </c>
      <c r="V147" s="274">
        <v>15.3</v>
      </c>
      <c r="W147" s="274">
        <v>11.88</v>
      </c>
      <c r="X147" s="274">
        <v>17.71</v>
      </c>
    </row>
    <row r="148" spans="1:24" s="93" customFormat="1" ht="14.25" thickBot="1" x14ac:dyDescent="0.3">
      <c r="A148" s="224" t="s">
        <v>41</v>
      </c>
      <c r="B148" s="68">
        <v>11.29</v>
      </c>
      <c r="C148" s="68">
        <v>15.32</v>
      </c>
      <c r="D148" s="68">
        <v>18.28</v>
      </c>
      <c r="E148" s="68">
        <v>5.14</v>
      </c>
      <c r="F148" s="68">
        <v>17.32</v>
      </c>
      <c r="G148" s="68">
        <v>15.79</v>
      </c>
      <c r="H148" s="68">
        <v>15.42</v>
      </c>
      <c r="I148" s="68">
        <v>7.91</v>
      </c>
      <c r="J148" s="68">
        <v>9.81</v>
      </c>
      <c r="K148" s="68">
        <v>11.65</v>
      </c>
      <c r="L148" s="68">
        <v>16.510000000000002</v>
      </c>
      <c r="M148" s="68">
        <v>13.39</v>
      </c>
      <c r="N148" s="68">
        <v>10.89</v>
      </c>
      <c r="O148" s="68">
        <v>9.6</v>
      </c>
      <c r="P148" s="68">
        <v>18.649999999999999</v>
      </c>
      <c r="Q148" s="68">
        <v>11.42</v>
      </c>
      <c r="R148" s="68">
        <v>9.33</v>
      </c>
      <c r="S148" s="68">
        <v>13.48</v>
      </c>
      <c r="T148" s="68">
        <v>16.04</v>
      </c>
      <c r="U148" s="68">
        <v>12.19</v>
      </c>
      <c r="V148" s="68">
        <v>6.05</v>
      </c>
      <c r="W148" s="68">
        <v>13.71</v>
      </c>
      <c r="X148" s="68">
        <v>17.13</v>
      </c>
    </row>
    <row r="149" spans="1:24" s="93" customFormat="1" ht="14.25" thickBot="1" x14ac:dyDescent="0.3">
      <c r="A149" s="225" t="s">
        <v>13</v>
      </c>
      <c r="B149" s="73">
        <v>8.98</v>
      </c>
      <c r="C149" s="73">
        <v>11.62</v>
      </c>
      <c r="D149" s="73">
        <v>15.12</v>
      </c>
      <c r="E149" s="73">
        <v>3.59</v>
      </c>
      <c r="F149" s="73">
        <v>14.26</v>
      </c>
      <c r="G149" s="73">
        <v>12.11</v>
      </c>
      <c r="H149" s="73">
        <v>12.73</v>
      </c>
      <c r="I149" s="73">
        <v>5.94</v>
      </c>
      <c r="J149" s="73">
        <v>7.55</v>
      </c>
      <c r="K149" s="73">
        <v>8.33</v>
      </c>
      <c r="L149" s="73">
        <v>12.82</v>
      </c>
      <c r="M149" s="73">
        <v>10.78</v>
      </c>
      <c r="N149" s="73">
        <v>8.8800000000000008</v>
      </c>
      <c r="O149" s="73">
        <v>6.87</v>
      </c>
      <c r="P149" s="73">
        <v>14.67</v>
      </c>
      <c r="Q149" s="73">
        <v>9.0399999999999991</v>
      </c>
      <c r="R149" s="73">
        <v>7.05</v>
      </c>
      <c r="S149" s="73">
        <v>9.14</v>
      </c>
      <c r="T149" s="73">
        <v>12.77</v>
      </c>
      <c r="U149" s="73">
        <v>9.5299999999999994</v>
      </c>
      <c r="V149" s="73">
        <v>4.0199999999999996</v>
      </c>
      <c r="W149" s="73">
        <v>10.89</v>
      </c>
      <c r="X149" s="73">
        <v>12.93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37.369999999999997</v>
      </c>
      <c r="C152" s="68">
        <v>37.33</v>
      </c>
      <c r="D152" s="68">
        <v>36.57</v>
      </c>
      <c r="E152" s="68">
        <v>35.54</v>
      </c>
      <c r="F152" s="68">
        <v>37.56</v>
      </c>
    </row>
    <row r="153" spans="1:24" s="93" customFormat="1" ht="14.25" thickBot="1" x14ac:dyDescent="0.3">
      <c r="A153" s="225" t="s">
        <v>19</v>
      </c>
      <c r="B153" s="274">
        <v>12.59</v>
      </c>
      <c r="C153" s="274">
        <v>11.97</v>
      </c>
      <c r="D153" s="274">
        <v>11.64</v>
      </c>
      <c r="E153" s="274">
        <v>12.01</v>
      </c>
      <c r="F153" s="274">
        <v>13.32</v>
      </c>
    </row>
    <row r="154" spans="1:24" s="93" customFormat="1" ht="14.25" thickBot="1" x14ac:dyDescent="0.3">
      <c r="A154" s="224" t="s">
        <v>41</v>
      </c>
      <c r="B154" s="68">
        <v>13.05</v>
      </c>
      <c r="C154" s="68">
        <v>13.4</v>
      </c>
      <c r="D154" s="68">
        <v>13.58</v>
      </c>
      <c r="E154" s="68">
        <v>13.48</v>
      </c>
      <c r="F154" s="68">
        <v>13.15</v>
      </c>
    </row>
    <row r="155" spans="1:24" s="93" customFormat="1" ht="14.25" thickBot="1" x14ac:dyDescent="0.3">
      <c r="A155" s="225" t="s">
        <v>13</v>
      </c>
      <c r="B155" s="73">
        <v>10.37</v>
      </c>
      <c r="C155" s="73">
        <v>10.7</v>
      </c>
      <c r="D155" s="73">
        <v>10.54</v>
      </c>
      <c r="E155" s="73">
        <v>10.55</v>
      </c>
      <c r="F155" s="73">
        <v>10.09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1.99</v>
      </c>
      <c r="C158" s="68">
        <v>2.5</v>
      </c>
      <c r="D158" s="68">
        <v>6.51</v>
      </c>
      <c r="E158" s="68">
        <v>1.0900000000000001</v>
      </c>
      <c r="F158" s="68">
        <v>3.03</v>
      </c>
      <c r="G158" s="68">
        <v>2.83</v>
      </c>
      <c r="H158" s="68">
        <v>5.24</v>
      </c>
      <c r="I158" s="68">
        <v>2.15</v>
      </c>
      <c r="J158" s="68">
        <v>1.5</v>
      </c>
      <c r="K158" s="68">
        <v>1.73</v>
      </c>
      <c r="L158" s="68">
        <v>5.01</v>
      </c>
      <c r="M158" s="68">
        <v>4.04</v>
      </c>
      <c r="N158" s="68">
        <v>1.79</v>
      </c>
      <c r="O158" s="68">
        <v>1.49</v>
      </c>
      <c r="P158" s="68">
        <v>5.52</v>
      </c>
      <c r="Q158" s="68">
        <v>3.11</v>
      </c>
      <c r="R158" s="68">
        <v>1.41</v>
      </c>
      <c r="S158" s="68">
        <v>1.63</v>
      </c>
      <c r="T158" s="68">
        <v>4.5599999999999996</v>
      </c>
      <c r="U158" s="68">
        <v>3.52</v>
      </c>
      <c r="V158" s="68">
        <v>0.74</v>
      </c>
      <c r="W158" s="68">
        <v>2.06</v>
      </c>
      <c r="X158" s="68">
        <v>4.0199999999999996</v>
      </c>
    </row>
    <row r="159" spans="1:24" s="93" customFormat="1" ht="14.25" thickBot="1" x14ac:dyDescent="0.3">
      <c r="A159" s="225" t="s">
        <v>45</v>
      </c>
      <c r="B159" s="73">
        <v>3.04</v>
      </c>
      <c r="C159" s="73">
        <v>4.05</v>
      </c>
      <c r="D159" s="73">
        <v>11.63</v>
      </c>
      <c r="E159" s="73">
        <v>1.83</v>
      </c>
      <c r="F159" s="73">
        <v>4.59</v>
      </c>
      <c r="G159" s="73">
        <v>4.6100000000000003</v>
      </c>
      <c r="H159" s="73">
        <v>9.3699999999999992</v>
      </c>
      <c r="I159" s="73">
        <v>3.68</v>
      </c>
      <c r="J159" s="73">
        <v>2.36</v>
      </c>
      <c r="K159" s="73">
        <v>2.78</v>
      </c>
      <c r="L159" s="73">
        <v>8.9499999999999993</v>
      </c>
      <c r="M159" s="73">
        <v>6.75</v>
      </c>
      <c r="N159" s="73">
        <v>2.72</v>
      </c>
      <c r="O159" s="73">
        <v>2.42</v>
      </c>
      <c r="P159" s="73">
        <v>9.9600000000000009</v>
      </c>
      <c r="Q159" s="73">
        <v>5.29</v>
      </c>
      <c r="R159" s="73">
        <v>2.17</v>
      </c>
      <c r="S159" s="73">
        <v>2.63</v>
      </c>
      <c r="T159" s="73">
        <v>7.73</v>
      </c>
      <c r="U159" s="73">
        <v>5.59</v>
      </c>
      <c r="V159" s="73">
        <v>1.0900000000000001</v>
      </c>
      <c r="W159" s="73">
        <v>3.21</v>
      </c>
      <c r="X159" s="73">
        <v>6.67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10.37</v>
      </c>
      <c r="C162" s="68">
        <v>10.7</v>
      </c>
      <c r="D162" s="68">
        <v>10.54</v>
      </c>
      <c r="E162" s="68">
        <v>10.55</v>
      </c>
      <c r="F162" s="68">
        <v>10.09</v>
      </c>
    </row>
    <row r="163" spans="1:72" s="93" customFormat="1" ht="14.25" thickBot="1" x14ac:dyDescent="0.3">
      <c r="A163" s="225" t="s">
        <v>18</v>
      </c>
      <c r="B163" s="274">
        <v>1.19</v>
      </c>
      <c r="C163" s="274">
        <v>1.1299999999999999</v>
      </c>
      <c r="D163" s="274">
        <v>1.1599999999999999</v>
      </c>
      <c r="E163" s="274">
        <v>1.1299999999999999</v>
      </c>
      <c r="F163" s="274">
        <v>1.0900000000000001</v>
      </c>
    </row>
    <row r="164" spans="1:72" s="93" customFormat="1" ht="14.25" thickBot="1" x14ac:dyDescent="0.3">
      <c r="A164" s="224" t="s">
        <v>15</v>
      </c>
      <c r="B164" s="68">
        <v>1.61</v>
      </c>
      <c r="C164" s="68">
        <v>1.72</v>
      </c>
      <c r="D164" s="68">
        <v>1.58</v>
      </c>
      <c r="E164" s="68">
        <v>1.57</v>
      </c>
      <c r="F164" s="68">
        <v>1.54</v>
      </c>
    </row>
    <row r="165" spans="1:72" s="93" customFormat="1" ht="14.25" thickBot="1" x14ac:dyDescent="0.3">
      <c r="A165" s="225" t="s">
        <v>45</v>
      </c>
      <c r="B165" s="73">
        <v>19.989999999999998</v>
      </c>
      <c r="C165" s="73">
        <v>21.62</v>
      </c>
      <c r="D165" s="73">
        <v>19.82</v>
      </c>
      <c r="E165" s="73">
        <v>19.45</v>
      </c>
      <c r="F165" s="73">
        <v>17.29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115.38</v>
      </c>
      <c r="C168" s="68">
        <v>83.33</v>
      </c>
      <c r="D168" s="68">
        <v>51.43</v>
      </c>
      <c r="E168" s="68">
        <v>97.83</v>
      </c>
      <c r="F168" s="68">
        <v>104.65</v>
      </c>
      <c r="G168" s="68">
        <v>63.83</v>
      </c>
      <c r="H168" s="68">
        <v>52.33</v>
      </c>
      <c r="I168" s="68">
        <v>78.95</v>
      </c>
      <c r="J168" s="68">
        <v>112.5</v>
      </c>
      <c r="K168" s="68">
        <v>60.4</v>
      </c>
      <c r="L168" s="68">
        <v>48.13</v>
      </c>
      <c r="M168" s="68">
        <v>73.77</v>
      </c>
      <c r="N168" s="68">
        <v>107.14</v>
      </c>
      <c r="O168" s="68">
        <v>59.21</v>
      </c>
      <c r="P168" s="68">
        <v>52.02</v>
      </c>
      <c r="Q168" s="68">
        <v>72</v>
      </c>
      <c r="R168" s="68">
        <v>87.38</v>
      </c>
      <c r="S168" s="68">
        <v>52.63</v>
      </c>
      <c r="T168" s="68">
        <v>46.15</v>
      </c>
      <c r="U168" s="68">
        <v>67.16</v>
      </c>
      <c r="V168" s="68">
        <v>98.9</v>
      </c>
      <c r="W168" s="68">
        <v>54.22</v>
      </c>
      <c r="X168" s="68">
        <v>52.63</v>
      </c>
    </row>
    <row r="169" spans="1:72" s="93" customFormat="1" ht="14.25" thickBot="1" x14ac:dyDescent="0.3">
      <c r="A169" s="225" t="s">
        <v>17</v>
      </c>
      <c r="B169" s="274">
        <v>120</v>
      </c>
      <c r="C169" s="274">
        <v>176.47</v>
      </c>
      <c r="D169" s="274">
        <v>80.36</v>
      </c>
      <c r="E169" s="274">
        <v>80.36</v>
      </c>
      <c r="F169" s="274">
        <v>121.62</v>
      </c>
      <c r="G169" s="274">
        <v>152.54</v>
      </c>
      <c r="H169" s="274">
        <v>91.84</v>
      </c>
      <c r="I169" s="274">
        <v>86.54</v>
      </c>
      <c r="J169" s="274">
        <v>150</v>
      </c>
      <c r="K169" s="274">
        <v>200</v>
      </c>
      <c r="L169" s="274">
        <v>91.84</v>
      </c>
      <c r="M169" s="274">
        <v>70.87</v>
      </c>
      <c r="N169" s="274">
        <v>118.42</v>
      </c>
      <c r="O169" s="274">
        <v>140.63</v>
      </c>
      <c r="P169" s="274">
        <v>90.91</v>
      </c>
      <c r="Q169" s="274">
        <v>84.91</v>
      </c>
      <c r="R169" s="274">
        <v>123.29</v>
      </c>
      <c r="S169" s="274">
        <v>209.3</v>
      </c>
      <c r="T169" s="274">
        <v>109.76</v>
      </c>
      <c r="U169" s="274">
        <v>78.260000000000005</v>
      </c>
      <c r="V169" s="274">
        <v>134.33000000000001</v>
      </c>
      <c r="W169" s="274">
        <v>163.63999999999999</v>
      </c>
      <c r="X169" s="274">
        <v>116.88</v>
      </c>
    </row>
    <row r="170" spans="1:72" s="93" customFormat="1" ht="14.25" thickBot="1" x14ac:dyDescent="0.3">
      <c r="A170" s="224" t="s">
        <v>42</v>
      </c>
      <c r="B170" s="72">
        <v>235.38</v>
      </c>
      <c r="C170" s="72">
        <v>259.8</v>
      </c>
      <c r="D170" s="72">
        <v>131.79</v>
      </c>
      <c r="E170" s="72">
        <v>178.18</v>
      </c>
      <c r="F170" s="72">
        <v>226.27</v>
      </c>
      <c r="G170" s="72">
        <v>216.37</v>
      </c>
      <c r="H170" s="72">
        <v>144.16</v>
      </c>
      <c r="I170" s="72">
        <v>165.49</v>
      </c>
      <c r="J170" s="72">
        <v>262.5</v>
      </c>
      <c r="K170" s="72">
        <v>260.39999999999998</v>
      </c>
      <c r="L170" s="72">
        <v>139.97</v>
      </c>
      <c r="M170" s="72">
        <v>144.63999999999999</v>
      </c>
      <c r="N170" s="72">
        <v>225.56</v>
      </c>
      <c r="O170" s="72">
        <v>199.84</v>
      </c>
      <c r="P170" s="72">
        <v>142.93</v>
      </c>
      <c r="Q170" s="72">
        <v>156.91</v>
      </c>
      <c r="R170" s="72">
        <v>210.67</v>
      </c>
      <c r="S170" s="72">
        <v>261.93</v>
      </c>
      <c r="T170" s="72">
        <v>155.91</v>
      </c>
      <c r="U170" s="72">
        <v>145.43</v>
      </c>
      <c r="V170" s="72">
        <v>233.23</v>
      </c>
      <c r="W170" s="72">
        <v>217.85</v>
      </c>
      <c r="X170" s="72">
        <v>169.51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138.11000000000001</v>
      </c>
      <c r="C173" s="72">
        <v>107.3</v>
      </c>
      <c r="D173" s="72">
        <v>158.02000000000001</v>
      </c>
      <c r="E173" s="72">
        <v>150.24</v>
      </c>
      <c r="F173" s="72">
        <v>121.42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12.46</v>
      </c>
      <c r="C176" s="72">
        <v>13.51</v>
      </c>
      <c r="D176" s="72">
        <v>13.57</v>
      </c>
      <c r="E176" s="72">
        <v>13.07</v>
      </c>
      <c r="F176" s="72">
        <v>12.65</v>
      </c>
      <c r="G176" s="72">
        <v>12.4</v>
      </c>
      <c r="H176" s="72">
        <v>13.11</v>
      </c>
      <c r="I176" s="72">
        <v>12.08</v>
      </c>
      <c r="J176" s="72">
        <v>11.8</v>
      </c>
      <c r="K176" s="72">
        <v>11.83</v>
      </c>
      <c r="L176" s="72">
        <v>12</v>
      </c>
      <c r="M176" s="72">
        <v>12.29</v>
      </c>
      <c r="N176" s="72">
        <v>12.33</v>
      </c>
      <c r="O176" s="72">
        <v>13.27</v>
      </c>
      <c r="P176" s="72">
        <v>14.29</v>
      </c>
      <c r="Q176" s="72">
        <v>15.09</v>
      </c>
      <c r="R176" s="72">
        <v>15.44</v>
      </c>
      <c r="S176" s="72">
        <v>15.39</v>
      </c>
      <c r="T176" s="72">
        <v>14.71</v>
      </c>
      <c r="U176" s="72">
        <v>14.12</v>
      </c>
      <c r="V176" s="72">
        <v>14.18</v>
      </c>
      <c r="W176" s="72">
        <v>14.35</v>
      </c>
      <c r="X176" s="72">
        <v>15.06</v>
      </c>
      <c r="Y176" s="72">
        <v>15.34</v>
      </c>
      <c r="Z176" s="72">
        <v>15.49</v>
      </c>
      <c r="AA176" s="72">
        <v>16.07</v>
      </c>
      <c r="AB176" s="72">
        <v>14.99</v>
      </c>
      <c r="AC176" s="72">
        <v>14.16</v>
      </c>
      <c r="AD176" s="72">
        <v>15.11</v>
      </c>
      <c r="AE176" s="72">
        <v>14.36</v>
      </c>
      <c r="AF176" s="72">
        <v>14.12</v>
      </c>
      <c r="AG176" s="72">
        <v>15.01</v>
      </c>
      <c r="AH176" s="72">
        <v>15.11</v>
      </c>
      <c r="AI176" s="72">
        <v>14.18</v>
      </c>
      <c r="AJ176" s="72">
        <v>13.24</v>
      </c>
      <c r="AK176" s="72">
        <v>14.18</v>
      </c>
      <c r="AL176" s="72">
        <v>14.6</v>
      </c>
      <c r="AM176" s="72">
        <v>14.84</v>
      </c>
      <c r="AN176" s="72">
        <v>12.61</v>
      </c>
      <c r="AO176" s="72">
        <v>12.93</v>
      </c>
      <c r="AP176" s="72">
        <v>12.24</v>
      </c>
      <c r="AQ176" s="72">
        <v>12.62</v>
      </c>
      <c r="AR176" s="72">
        <v>12.64</v>
      </c>
      <c r="AS176" s="72">
        <v>13.52</v>
      </c>
      <c r="AT176" s="72">
        <v>14.16</v>
      </c>
      <c r="AU176" s="72">
        <v>13.91</v>
      </c>
      <c r="AV176" s="72">
        <v>14.14</v>
      </c>
      <c r="AW176" s="72">
        <v>15.18</v>
      </c>
      <c r="AX176" s="72">
        <v>13.79</v>
      </c>
      <c r="AY176" s="72">
        <v>13.84</v>
      </c>
      <c r="AZ176" s="72">
        <v>15.54</v>
      </c>
      <c r="BA176" s="72">
        <v>14.68</v>
      </c>
      <c r="BB176" s="72">
        <v>14.25</v>
      </c>
      <c r="BC176" s="72">
        <v>14.19</v>
      </c>
      <c r="BD176" s="72">
        <v>14.28</v>
      </c>
      <c r="BE176" s="72">
        <v>13.65</v>
      </c>
      <c r="BF176" s="72">
        <v>13.07</v>
      </c>
      <c r="BG176" s="72">
        <v>12.39</v>
      </c>
      <c r="BH176" s="72">
        <v>13.56</v>
      </c>
      <c r="BI176" s="72">
        <v>13.76</v>
      </c>
      <c r="BJ176" s="72">
        <v>13.98</v>
      </c>
      <c r="BK176" s="72">
        <v>14.05</v>
      </c>
      <c r="BL176" s="72">
        <v>13.28</v>
      </c>
      <c r="BM176" s="72">
        <v>12.47</v>
      </c>
      <c r="BN176" s="72">
        <v>13.67</v>
      </c>
      <c r="BO176" s="72">
        <v>14.49</v>
      </c>
      <c r="BP176" s="72">
        <v>14.35</v>
      </c>
      <c r="BQ176" s="72">
        <v>13.36</v>
      </c>
      <c r="BR176" s="72">
        <v>14.03</v>
      </c>
      <c r="BS176" s="72">
        <v>13.57</v>
      </c>
      <c r="BT176" s="72">
        <v>14.57</v>
      </c>
    </row>
  </sheetData>
  <phoneticPr fontId="3" type="noConversion"/>
  <conditionalFormatting sqref="E4">
    <cfRule type="cellIs" dxfId="4049" priority="103" operator="greaterThan">
      <formula>0.2</formula>
    </cfRule>
    <cfRule type="cellIs" dxfId="404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404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046" priority="97" operator="greaterThan">
      <formula>$B$19</formula>
    </cfRule>
  </conditionalFormatting>
  <conditionalFormatting sqref="D33:D34">
    <cfRule type="cellIs" dxfId="404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4044" priority="91" operator="lessThan">
      <formula>$H$62</formula>
    </cfRule>
    <cfRule type="cellIs" dxfId="4043" priority="92" operator="greaterThan">
      <formula>$H$62</formula>
    </cfRule>
  </conditionalFormatting>
  <conditionalFormatting sqref="J62">
    <cfRule type="cellIs" dxfId="4042" priority="89" operator="lessThan">
      <formula>$K$62</formula>
    </cfRule>
    <cfRule type="cellIs" dxfId="4041" priority="90" operator="greaterThan">
      <formula>$K$62</formula>
    </cfRule>
  </conditionalFormatting>
  <conditionalFormatting sqref="M62">
    <cfRule type="cellIs" dxfId="4040" priority="87" operator="lessThan">
      <formula>$N$62</formula>
    </cfRule>
    <cfRule type="cellIs" dxfId="4039" priority="88" operator="greaterThan">
      <formula>$N$62</formula>
    </cfRule>
  </conditionalFormatting>
  <conditionalFormatting sqref="B44:E44">
    <cfRule type="cellIs" dxfId="4038" priority="85" operator="greaterThan">
      <formula>0</formula>
    </cfRule>
    <cfRule type="cellIs" dxfId="4037" priority="86" operator="lessThan">
      <formula>0</formula>
    </cfRule>
  </conditionalFormatting>
  <conditionalFormatting sqref="F72">
    <cfRule type="cellIs" dxfId="4036" priority="84" operator="lessThan">
      <formula>$E$72*90%</formula>
    </cfRule>
  </conditionalFormatting>
  <conditionalFormatting sqref="F73">
    <cfRule type="cellIs" dxfId="4035" priority="83" operator="lessThan">
      <formula>$E$73*90%</formula>
    </cfRule>
  </conditionalFormatting>
  <conditionalFormatting sqref="F74">
    <cfRule type="cellIs" dxfId="4034" priority="82" operator="lessThan">
      <formula>$E$74*90%</formula>
    </cfRule>
  </conditionalFormatting>
  <conditionalFormatting sqref="F75">
    <cfRule type="cellIs" dxfId="4033" priority="81" operator="lessThan">
      <formula>$E$75*90%</formula>
    </cfRule>
  </conditionalFormatting>
  <conditionalFormatting sqref="H44:K44">
    <cfRule type="cellIs" dxfId="4032" priority="79" operator="greaterThan">
      <formula>0</formula>
    </cfRule>
    <cfRule type="cellIs" dxfId="4031" priority="80" operator="lessThan">
      <formula>0</formula>
    </cfRule>
  </conditionalFormatting>
  <conditionalFormatting sqref="H51:K51">
    <cfRule type="cellIs" dxfId="4030" priority="77" operator="greaterThan">
      <formula>0</formula>
    </cfRule>
    <cfRule type="cellIs" dxfId="4029" priority="78" operator="lessThan">
      <formula>0</formula>
    </cfRule>
  </conditionalFormatting>
  <conditionalFormatting sqref="B51:E51">
    <cfRule type="cellIs" dxfId="4028" priority="75" operator="greaterThan">
      <formula>0</formula>
    </cfRule>
    <cfRule type="cellIs" dxfId="402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02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02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024" priority="58" operator="lessThan">
      <formula>0</formula>
    </cfRule>
  </conditionalFormatting>
  <conditionalFormatting sqref="A25 E25 C25">
    <cfRule type="cellIs" dxfId="4023" priority="59" operator="lessThan">
      <formula>0</formula>
    </cfRule>
  </conditionalFormatting>
  <conditionalFormatting sqref="F25">
    <cfRule type="cellIs" dxfId="4022" priority="57" operator="lessThan">
      <formula>0</formula>
    </cfRule>
  </conditionalFormatting>
  <conditionalFormatting sqref="E1">
    <cfRule type="containsText" dxfId="4021" priority="56" operator="containsText" text="本季業外損益/平均=-">
      <formula>NOT(ISERROR(SEARCH("本季業外損益/平均=-",E1)))</formula>
    </cfRule>
  </conditionalFormatting>
  <conditionalFormatting sqref="M65">
    <cfRule type="cellIs" dxfId="4020" priority="55" operator="lessThan">
      <formula>$L$65*90%</formula>
    </cfRule>
  </conditionalFormatting>
  <conditionalFormatting sqref="M66">
    <cfRule type="cellIs" dxfId="4019" priority="54" operator="lessThan">
      <formula>$L$66*90%</formula>
    </cfRule>
  </conditionalFormatting>
  <conditionalFormatting sqref="M67">
    <cfRule type="cellIs" dxfId="4018" priority="53" operator="lessThan">
      <formula>$L$67*90%</formula>
    </cfRule>
  </conditionalFormatting>
  <conditionalFormatting sqref="M68">
    <cfRule type="cellIs" dxfId="4017" priority="52" operator="lessThan">
      <formula>$L$68*90%</formula>
    </cfRule>
  </conditionalFormatting>
  <conditionalFormatting sqref="B60">
    <cfRule type="cellIs" dxfId="4016" priority="51" operator="lessThan">
      <formula>0</formula>
    </cfRule>
  </conditionalFormatting>
  <conditionalFormatting sqref="B59:F59">
    <cfRule type="cellIs" dxfId="4015" priority="50" operator="lessThanOrEqual">
      <formula>0</formula>
    </cfRule>
  </conditionalFormatting>
  <conditionalFormatting sqref="D62">
    <cfRule type="cellIs" dxfId="4014" priority="48" operator="lessThan">
      <formula>$E$62</formula>
    </cfRule>
    <cfRule type="cellIs" dxfId="4013" priority="49" operator="greaterThan">
      <formula>$E$62</formula>
    </cfRule>
  </conditionalFormatting>
  <conditionalFormatting sqref="F69">
    <cfRule type="cellIs" dxfId="4012" priority="46" operator="lessThan">
      <formula>0</formula>
    </cfRule>
  </conditionalFormatting>
  <conditionalFormatting sqref="B65:E67 B69:E69 B68:D68">
    <cfRule type="cellIs" dxfId="4011" priority="47" operator="lessThan">
      <formula>0</formula>
    </cfRule>
  </conditionalFormatting>
  <conditionalFormatting sqref="E68">
    <cfRule type="cellIs" dxfId="4010" priority="45" operator="lessThan">
      <formula>0</formula>
    </cfRule>
  </conditionalFormatting>
  <conditionalFormatting sqref="F65:F68">
    <cfRule type="cellIs" dxfId="4009" priority="44" operator="lessThan">
      <formula>0</formula>
    </cfRule>
  </conditionalFormatting>
  <conditionalFormatting sqref="F65:F68">
    <cfRule type="cellIs" dxfId="4008" priority="43" operator="lessThan">
      <formula>$E$65*0.9</formula>
    </cfRule>
  </conditionalFormatting>
  <conditionalFormatting sqref="F66">
    <cfRule type="cellIs" dxfId="4007" priority="42" operator="lessThan">
      <formula>$E$66*0.9</formula>
    </cfRule>
  </conditionalFormatting>
  <conditionalFormatting sqref="F67:F68">
    <cfRule type="cellIs" dxfId="4006" priority="41" operator="lessThan">
      <formula>$E$67*0.9</formula>
    </cfRule>
  </conditionalFormatting>
  <conditionalFormatting sqref="F68">
    <cfRule type="cellIs" dxfId="4005" priority="40" operator="lessThan">
      <formula>$E$68*0.9</formula>
    </cfRule>
  </conditionalFormatting>
  <conditionalFormatting sqref="B13:F13">
    <cfRule type="cellIs" dxfId="4004" priority="29" operator="greaterThan">
      <formula>$I$16</formula>
    </cfRule>
    <cfRule type="cellIs" dxfId="4003" priority="30" operator="lessThanOrEqual">
      <formula>$I$16</formula>
    </cfRule>
  </conditionalFormatting>
  <conditionalFormatting sqref="B10:F10">
    <cfRule type="cellIs" dxfId="4002" priority="31" operator="greaterThan">
      <formula>15</formula>
    </cfRule>
    <cfRule type="cellIs" dxfId="4001" priority="38" operator="lessThan">
      <formula>$I$9</formula>
    </cfRule>
    <cfRule type="cellIs" dxfId="4000" priority="39" operator="greaterThan">
      <formula>$I$9</formula>
    </cfRule>
  </conditionalFormatting>
  <conditionalFormatting sqref="B16:F16">
    <cfRule type="cellIs" dxfId="3999" priority="36" operator="greaterThan">
      <formula>$I$16</formula>
    </cfRule>
    <cfRule type="cellIs" dxfId="3998" priority="37" operator="lessThanOrEqual">
      <formula>$I$16</formula>
    </cfRule>
  </conditionalFormatting>
  <conditionalFormatting sqref="B15:F15">
    <cfRule type="cellIs" dxfId="3997" priority="34" operator="lessThanOrEqual">
      <formula>$I$16</formula>
    </cfRule>
    <cfRule type="cellIs" dxfId="3996" priority="35" operator="greaterThan">
      <formula>$I$16</formula>
    </cfRule>
  </conditionalFormatting>
  <conditionalFormatting sqref="B14:F14">
    <cfRule type="cellIs" dxfId="3995" priority="32" operator="greaterThan">
      <formula>$I$16</formula>
    </cfRule>
    <cfRule type="cellIs" dxfId="3994" priority="33" operator="lessThanOrEqual">
      <formula>$I$16</formula>
    </cfRule>
  </conditionalFormatting>
  <conditionalFormatting sqref="K6">
    <cfRule type="containsText" dxfId="3993" priority="27" operator="containsText" text="衰退">
      <formula>NOT(ISERROR(SEARCH("衰退",K6)))</formula>
    </cfRule>
    <cfRule type="containsText" dxfId="3992" priority="28" operator="containsText" text="成長">
      <formula>NOT(ISERROR(SEARCH("成長",K6)))</formula>
    </cfRule>
  </conditionalFormatting>
  <conditionalFormatting sqref="I4:K4">
    <cfRule type="cellIs" dxfId="3991" priority="25" operator="lessThan">
      <formula>0</formula>
    </cfRule>
    <cfRule type="cellIs" dxfId="399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989" priority="22" operator="lessThanOrEqual">
      <formula>$I$16</formula>
    </cfRule>
    <cfRule type="cellIs" dxfId="3988" priority="23" operator="greaterThan">
      <formula>$I$16</formula>
    </cfRule>
  </conditionalFormatting>
  <conditionalFormatting sqref="I6">
    <cfRule type="containsText" dxfId="3987" priority="20" operator="containsText" text="衰退">
      <formula>NOT(ISERROR(SEARCH("衰退",I6)))</formula>
    </cfRule>
    <cfRule type="containsText" dxfId="3986" priority="21" operator="containsText" text="成長">
      <formula>NOT(ISERROR(SEARCH("成長",I6)))</formula>
    </cfRule>
  </conditionalFormatting>
  <conditionalFormatting sqref="M9">
    <cfRule type="cellIs" dxfId="3985" priority="19" operator="lessThan">
      <formula>$I$9</formula>
    </cfRule>
  </conditionalFormatting>
  <conditionalFormatting sqref="M10">
    <cfRule type="cellIs" dxfId="3984" priority="18" operator="greaterThan">
      <formula>$I$9</formula>
    </cfRule>
  </conditionalFormatting>
  <conditionalFormatting sqref="M11">
    <cfRule type="cellIs" dxfId="398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982" priority="14" operator="lessThan">
      <formula>0</formula>
    </cfRule>
    <cfRule type="cellIs" dxfId="3981" priority="15" operator="greaterThan">
      <formula>0.5</formula>
    </cfRule>
  </conditionalFormatting>
  <conditionalFormatting sqref="N14">
    <cfRule type="cellIs" dxfId="398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979" priority="10" operator="lessThan">
      <formula>0.1</formula>
    </cfRule>
  </conditionalFormatting>
  <conditionalFormatting sqref="I14">
    <cfRule type="cellIs" dxfId="397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97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976" priority="1" operator="lessThan">
      <formula>$N$5*0.9</formula>
    </cfRule>
    <cfRule type="cellIs" dxfId="3975" priority="2" operator="greaterThan">
      <formula>$N$5*1.1</formula>
    </cfRule>
  </conditionalFormatting>
  <hyperlinks>
    <hyperlink ref="L1" location="儀表板!A1" display="(回首頁)" xr:uid="{00000000-0004-0000-3200-000000000000}"/>
  </hyperlink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12.39 ~ 27.67</v>
      </c>
      <c r="L1" s="83" t="s">
        <v>176</v>
      </c>
      <c r="M1" s="84" t="str">
        <f ca="1">VLOOKUP(_xlfn.NUMBERVALUE(N1),儀表板!A:B,2,FALSE)</f>
        <v>太醫</v>
      </c>
      <c r="N1" s="85" t="str">
        <f ca="1">MID(CELL("filename",L1),FIND("]",CELL("filename",L1))+1,255)</f>
        <v>4126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0.19784334859675393</v>
      </c>
    </row>
    <row r="3" spans="1:15" s="93" customFormat="1" x14ac:dyDescent="0.25">
      <c r="A3" s="81" t="s">
        <v>179</v>
      </c>
      <c r="B3" s="94">
        <f>SUM(F19:F22,F24:F27,J19)</f>
        <v>65.383079660636128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61.773140273529478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63.98764907578807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70.320367229615329</v>
      </c>
      <c r="L3" s="100"/>
      <c r="M3" s="79" t="s">
        <v>385</v>
      </c>
      <c r="N3" s="92">
        <f>(F69-E69)/E69</f>
        <v>-0.20059013547276425</v>
      </c>
    </row>
    <row r="4" spans="1:15" s="93" customFormat="1" x14ac:dyDescent="0.25">
      <c r="A4" s="81" t="s">
        <v>182</v>
      </c>
      <c r="B4" s="96">
        <f>SUM(G36:G40)*2</f>
        <v>84</v>
      </c>
      <c r="C4" s="101"/>
      <c r="D4" s="102">
        <f>F4*(1+F141/10)</f>
        <v>6.6</v>
      </c>
      <c r="E4" s="82">
        <f>(D4-F4)/F4</f>
        <v>0</v>
      </c>
      <c r="F4" s="103">
        <v>6.6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4.0210316185719961</v>
      </c>
    </row>
    <row r="5" spans="1:15" s="93" customFormat="1" x14ac:dyDescent="0.25">
      <c r="A5" s="81" t="s">
        <v>184</v>
      </c>
      <c r="B5" s="107">
        <f>SUM(F30:F34)*2</f>
        <v>96.976190476190482</v>
      </c>
      <c r="C5" s="87"/>
      <c r="D5" s="87"/>
      <c r="E5" s="87"/>
      <c r="F5" s="86"/>
      <c r="G5" s="88"/>
      <c r="M5" s="79" t="s">
        <v>375</v>
      </c>
      <c r="N5" s="152">
        <f>D62</f>
        <v>3.87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4.6311335226588373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21.64</v>
      </c>
      <c r="N9" s="129"/>
    </row>
    <row r="10" spans="1:15" s="93" customFormat="1" x14ac:dyDescent="0.25">
      <c r="A10" s="123" t="s">
        <v>194</v>
      </c>
      <c r="B10" s="126">
        <f>PERCENTILE(176:176,B9)</f>
        <v>14.51</v>
      </c>
      <c r="C10" s="126">
        <f>PERCENTILE(176:176,C9)</f>
        <v>15.9</v>
      </c>
      <c r="D10" s="126">
        <f>PERCENTILE(176:176,D9)</f>
        <v>16.47</v>
      </c>
      <c r="E10" s="126">
        <f>PERCENTILE(176:176,E9)</f>
        <v>18.100000000000001</v>
      </c>
      <c r="F10" s="126">
        <f>PERCENTILE(176:176,F9)</f>
        <v>19.170000000000002</v>
      </c>
      <c r="G10" s="95"/>
      <c r="H10" s="135"/>
      <c r="I10" s="135"/>
      <c r="J10" s="135"/>
      <c r="K10" s="135"/>
      <c r="L10" s="136" t="s">
        <v>374</v>
      </c>
      <c r="M10" s="130">
        <f>MIN(176:176)</f>
        <v>11.86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33.64</v>
      </c>
      <c r="L11" s="272" t="s">
        <v>193</v>
      </c>
      <c r="M11" s="128">
        <f>STDEV(176:176)</f>
        <v>2.3602133297163266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35.0140056022409</v>
      </c>
      <c r="C13" s="141">
        <f>$B$34/5.88%</f>
        <v>42.517006802721092</v>
      </c>
      <c r="D13" s="141">
        <f>$B$34/5%</f>
        <v>50</v>
      </c>
      <c r="E13" s="141">
        <f>$B$34/4.35%</f>
        <v>57.471264367816097</v>
      </c>
      <c r="F13" s="141">
        <f>$B$34/3.85%</f>
        <v>64.935064935064929</v>
      </c>
      <c r="G13" s="138" t="str">
        <f>"$"&amp;ROUND(B34,2)&amp;"/"&amp;IF(STDEV(C140:F140)/AVERAGE(C140:F140)&lt;15%,"高",IF(STDEV(C140:F140)/AVERAGE(C140:F140)&lt;30%,"中","低"))</f>
        <v>$2.5/高</v>
      </c>
      <c r="H13" s="142" t="s">
        <v>199</v>
      </c>
      <c r="I13" s="143">
        <f>MAX(0,1-J15)</f>
        <v>0.5029821073558649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73.130399999999995</v>
      </c>
      <c r="C14" s="141">
        <f>$B$33*C10</f>
        <v>80.135999999999996</v>
      </c>
      <c r="D14" s="141">
        <f>$B$33*D10</f>
        <v>83.008799999999994</v>
      </c>
      <c r="E14" s="141">
        <f>$B$33*E10</f>
        <v>91.224000000000004</v>
      </c>
      <c r="F14" s="141">
        <f>$B$33*F10</f>
        <v>96.616800000000012</v>
      </c>
      <c r="G14" s="138" t="str">
        <f>"$"&amp;ROUND(B33,2)&amp;"/"&amp;IF(STDEV(B69:E69)/AVERAGE(B69:E69)&lt;15%,"高",IF(STDEV(B69:E69)/AVERAGE(B69:E69)&lt;30%,"中","低"))</f>
        <v>$5.04/高</v>
      </c>
      <c r="H14" s="142" t="s">
        <v>203</v>
      </c>
      <c r="I14" s="145">
        <f>G62/100*I13</f>
        <v>5.8798608349900604E-2</v>
      </c>
      <c r="J14" s="76" t="s">
        <v>204</v>
      </c>
      <c r="K14" s="146"/>
      <c r="L14" s="147">
        <f>(HLOOKUP($C$1,$105:$106,2,FALSE)-HLOOKUP($C$1,$117:$127,9,FALSE))/(HLOOKUP($C$1,$117:$128,12,FALSE)/K11)</f>
        <v>-4.129275806619388</v>
      </c>
      <c r="M14" s="148">
        <f>E135/E69</f>
        <v>-0.42147117296222664</v>
      </c>
      <c r="N14" s="149">
        <f>F173/100</f>
        <v>1.0206999999999999</v>
      </c>
    </row>
    <row r="15" spans="1:15" s="93" customFormat="1" x14ac:dyDescent="0.25">
      <c r="A15" s="140" t="s">
        <v>375</v>
      </c>
      <c r="B15" s="141">
        <f>$D$62*B10</f>
        <v>56.153700000000001</v>
      </c>
      <c r="C15" s="141">
        <f>$D$62*C10</f>
        <v>61.533000000000001</v>
      </c>
      <c r="D15" s="141">
        <f>$D$62*D10</f>
        <v>63.738899999999994</v>
      </c>
      <c r="E15" s="141">
        <f>$D$62*E10</f>
        <v>70.047000000000011</v>
      </c>
      <c r="F15" s="141">
        <f>$D$62*F10</f>
        <v>74.187900000000013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0.49701789264413515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58.345168785479665</v>
      </c>
      <c r="C16" s="141">
        <f>$F$69*C10</f>
        <v>63.934402735294739</v>
      </c>
      <c r="D16" s="141">
        <f>$F$69*D10</f>
        <v>66.226390757880765</v>
      </c>
      <c r="E16" s="141">
        <f>$F$69*E10</f>
        <v>72.780672296153142</v>
      </c>
      <c r="F16" s="141">
        <f>$F$69*F10</f>
        <v>77.083176128025173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86</v>
      </c>
      <c r="J17" s="92">
        <f ca="1">IF(I17&lt;=0,"",IF(I17&lt;=MIN($B$13:$F$16),(I17-MIN($B$13:$F$16))/MIN($B$13:$F$16),IF(I17&gt;=MAX($B$13:$F$16),I17/MAX($B$13:$F$16),PERCENTRANK($B$13:$F$16,I17))))</f>
        <v>0.91300000000000003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-1.1399999999999999</v>
      </c>
      <c r="C19" s="157" t="s">
        <v>211</v>
      </c>
      <c r="D19" s="158">
        <f>COUNTIF(C135:F135,"&gt;0")/COUNT(C135:F135)</f>
        <v>0.5</v>
      </c>
      <c r="E19" s="140" t="s">
        <v>212</v>
      </c>
      <c r="F19" s="159">
        <f>IF(B19&gt;0,2,0)+D19*8</f>
        <v>4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14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-0.45599999999999996</v>
      </c>
      <c r="C20" s="157" t="s">
        <v>217</v>
      </c>
      <c r="D20" s="236">
        <f>COUNTIF(C143:F143,"&gt;=80%")/COUNT(C143:F143)</f>
        <v>0.25</v>
      </c>
      <c r="E20" s="140" t="s">
        <v>218</v>
      </c>
      <c r="F20" s="159">
        <f>IF(B20&gt;=80%,2,0)+D20*8</f>
        <v>2</v>
      </c>
      <c r="G20" s="88" t="s">
        <v>213</v>
      </c>
      <c r="H20" s="123" t="s">
        <v>219</v>
      </c>
      <c r="I20" s="237">
        <f>HLOOKUP($C$1,$117:$127,11,FALSE)*(1-N22)/HLOOKUP($C$1,$105:$115,11,FALSE)</f>
        <v>0.3529349226690246</v>
      </c>
      <c r="J20" s="171">
        <f>HLOOKUP($C$1,$117:$127,11,FALSE)/HLOOKUP($C$1,$105:$115,11,FALSE)</f>
        <v>0.3961766976284225</v>
      </c>
      <c r="K20" s="163"/>
    </row>
    <row r="21" spans="1:14" s="93" customFormat="1" x14ac:dyDescent="0.25">
      <c r="A21" s="151" t="s">
        <v>201</v>
      </c>
      <c r="B21" s="161">
        <f>AVERAGE(C173:F173)/100</f>
        <v>1.0941000000000001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1.4179925940926317</v>
      </c>
      <c r="J21" s="78"/>
      <c r="K21" s="164" t="s">
        <v>356</v>
      </c>
      <c r="L21" s="165">
        <f>HLOOKUP($C$1,$105:$115,7,FALSE)/HLOOKUP($C$1,$105:$115,11,FALSE)</f>
        <v>0.26655197738407832</v>
      </c>
      <c r="M21" s="123" t="s">
        <v>268</v>
      </c>
      <c r="N21" s="165">
        <f>HLOOKUP($C$1,$117:$127,8,FALSE)/HLOOKUP($C$1,$117:$127,11,FALSE)</f>
        <v>0.47448120990169135</v>
      </c>
    </row>
    <row r="22" spans="1:14" s="93" customFormat="1" x14ac:dyDescent="0.25">
      <c r="A22" s="140" t="s">
        <v>222</v>
      </c>
      <c r="B22" s="161">
        <f>(-1)*SUM(C133:F133)/SUM(C132:F132)</f>
        <v>1.2064428312159712</v>
      </c>
      <c r="C22" s="157"/>
      <c r="D22" s="166"/>
      <c r="E22" s="140"/>
      <c r="F22" s="159">
        <f>IF(B22&lt;=0,10,IF(B22&gt;=100%,0,(1-B22)*10))</f>
        <v>0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1.0455188474556658</v>
      </c>
      <c r="J22" s="78"/>
      <c r="K22" s="142" t="s">
        <v>357</v>
      </c>
      <c r="L22" s="165">
        <f>HLOOKUP($C$1,$105:$115,4,FALSE)/HLOOKUP($C$1,$105:$115,11,FALSE)</f>
        <v>4.7321428814200373E-2</v>
      </c>
      <c r="M22" s="123" t="s">
        <v>353</v>
      </c>
      <c r="N22" s="165">
        <f>HLOOKUP($C$1,$117:$127,4,FALSE)/HLOOKUP($C$1,$117:$127,11,FALSE)</f>
        <v>0.10914769903997408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1.6561136280637037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7.0017018497385508E-2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33.96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5.3949098949551667E-2</v>
      </c>
      <c r="M24" s="123" t="s">
        <v>355</v>
      </c>
      <c r="N24" s="165">
        <f>HLOOKUP($C$1,$117:$127,9,FALSE)/HLOOKUP($C$1,$117:$127,11,FALSE)</f>
        <v>0.5255187900983086</v>
      </c>
    </row>
    <row r="25" spans="1:14" s="93" customFormat="1" x14ac:dyDescent="0.25">
      <c r="A25" s="151" t="s">
        <v>366</v>
      </c>
      <c r="B25" s="255">
        <f>AVERAGE(94:94)</f>
        <v>2738.521739130435</v>
      </c>
      <c r="C25" s="254">
        <f>STDEV(94:94)/AVERAGE(94:94)</f>
        <v>3.6169203393638809</v>
      </c>
      <c r="D25" s="76" t="str">
        <f>IF(C25&lt;=1,"高",IF(C25&lt;=2,"中","低"))</f>
        <v>低</v>
      </c>
      <c r="E25" s="149"/>
      <c r="F25" s="160">
        <f>MAX(0,10-ABS(C25))</f>
        <v>6.3830796606361186</v>
      </c>
      <c r="G25" s="88" t="s">
        <v>213</v>
      </c>
      <c r="H25" s="123" t="s">
        <v>232</v>
      </c>
      <c r="I25" s="170">
        <f>IF(HLOOKUP(C1,167:170,3,FALSE)="無",0,HLOOKUP(C1,167:170,3,FALSE))</f>
        <v>72.58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37.239130434782616</v>
      </c>
      <c r="C26" s="172">
        <f>IF(COUNTIF(168:168,"&gt;0")=0,0,STDEV(168:168))</f>
        <v>2.4935642854856992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76.744347826086965</v>
      </c>
      <c r="C27" s="172">
        <f>IF(COUNTIF(169:169,"&gt;0")=0,0,STDEV(169:169))</f>
        <v>10.238586916920561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0.36745000000000005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0.21334999999999998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18.004999999999999</v>
      </c>
      <c r="C32" s="157" t="s">
        <v>217</v>
      </c>
      <c r="D32" s="174">
        <f>COUNTIF(159:159,"&gt;3")/COUNT(159:159)</f>
        <v>0.82608695652173914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5.04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8.4880952380952372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1565447</v>
      </c>
      <c r="C36" s="178">
        <f>STDEV(C97:F97)</f>
        <v>110768.62893436932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36.745000000000005</v>
      </c>
      <c r="C37" s="180">
        <f>STDEV(C152:F152)</f>
        <v>0.59467077726531381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24.362499999999997</v>
      </c>
      <c r="C38" s="180">
        <f>STDEV(C153:F153)</f>
        <v>0.45901161931553186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18.004999999999999</v>
      </c>
      <c r="C39" s="181">
        <f>STDEV(C165:F165)</f>
        <v>1.5700212312789481</v>
      </c>
      <c r="D39" s="76" t="str">
        <f>IF(C39/B39&lt;15%,"高",IF(C39/B39&lt;30%,"中","低"))</f>
        <v>高</v>
      </c>
      <c r="E39" s="107">
        <f>IF(F165&gt;E165,1,0)+IF(E165&gt;D165,1,0)+IF(D165&gt;C165,1,0)</f>
        <v>0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5.04</v>
      </c>
      <c r="C40" s="183">
        <f>STDEV(B69:E69)</f>
        <v>0.1978214683327707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1.6949152542372899E-2</v>
      </c>
      <c r="C44" s="186">
        <f>(C46-C49)/C49</f>
        <v>-0.38686131386861322</v>
      </c>
      <c r="D44" s="186">
        <f>(D46-D49)/D49</f>
        <v>-0.4140127388535032</v>
      </c>
      <c r="E44" s="186">
        <f>(E46-E49)/E49</f>
        <v>-0.47701149425287354</v>
      </c>
      <c r="G44" s="86" t="s">
        <v>175</v>
      </c>
      <c r="H44" s="186">
        <f>(H47-H50)/H50</f>
        <v>-0.20681063122923582</v>
      </c>
      <c r="I44" s="186">
        <f>(I47-I50)/I50</f>
        <v>-0.3231803797468355</v>
      </c>
      <c r="J44" s="186">
        <f>(J47-J50)/J50</f>
        <v>-0.2688713156002876</v>
      </c>
      <c r="K44" s="186">
        <f>(K47-K50)/K50</f>
        <v>-0.35047410649161204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1.2</v>
      </c>
      <c r="C46" s="152">
        <f>HLOOKUP(C45,$81:$82,2,FALSE)</f>
        <v>0.84</v>
      </c>
      <c r="D46" s="152">
        <f>HLOOKUP(D45,$81:$82,2,FALSE)</f>
        <v>0.92</v>
      </c>
      <c r="E46" s="152">
        <f>HLOOKUP(E45,$81:$82,2,FALSE)</f>
        <v>0.91</v>
      </c>
      <c r="G46" s="86" t="s">
        <v>164</v>
      </c>
      <c r="H46" s="145">
        <f>HLOOKUP(H45,$145:$147,2,FALSE)/100</f>
        <v>0.30680000000000002</v>
      </c>
      <c r="I46" s="145">
        <f>HLOOKUP(I45,$145:$147,2,FALSE)/100</f>
        <v>0.2903</v>
      </c>
      <c r="J46" s="145">
        <f>HLOOKUP(J45,$145:$147,2,FALSE)/100</f>
        <v>0.32619999999999999</v>
      </c>
      <c r="K46" s="145">
        <f>HLOOKUP(K45,$145:$147,2,FALSE)/100</f>
        <v>0.31819999999999998</v>
      </c>
    </row>
    <row r="47" spans="1:14" x14ac:dyDescent="0.25">
      <c r="A47" s="188" t="s">
        <v>165</v>
      </c>
      <c r="B47" s="189">
        <f>HLOOKUP(B45,$157:$159,3,FALSE)</f>
        <v>3.64</v>
      </c>
      <c r="C47" s="189">
        <f>HLOOKUP(C45,$157:$159,3,FALSE)</f>
        <v>2.5299999999999998</v>
      </c>
      <c r="D47" s="189">
        <f>HLOOKUP(D45,$157:$159,3,FALSE)</f>
        <v>2.74</v>
      </c>
      <c r="E47" s="189">
        <f>HLOOKUP(E45,$157:$159,3,FALSE)</f>
        <v>2.78</v>
      </c>
      <c r="G47" s="190" t="s">
        <v>166</v>
      </c>
      <c r="H47" s="145">
        <f>HLOOKUP(H45,$145:$147,3,FALSE)/100</f>
        <v>0.191</v>
      </c>
      <c r="I47" s="145">
        <f>HLOOKUP(I45,$145:$147,3,FALSE)/100</f>
        <v>0.1711</v>
      </c>
      <c r="J47" s="145">
        <f>HLOOKUP(J45,$145:$147,3,FALSE)/100</f>
        <v>0.2034</v>
      </c>
      <c r="K47" s="145">
        <f>HLOOKUP(K45,$145:$147,3,FALSE)/100</f>
        <v>0.17809999999999998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1.18</v>
      </c>
      <c r="C49" s="152">
        <f>HLOOKUP(C48,$81:$82,2,FALSE)</f>
        <v>1.37</v>
      </c>
      <c r="D49" s="152">
        <f>HLOOKUP(D48,$81:$82,2,FALSE)</f>
        <v>1.57</v>
      </c>
      <c r="E49" s="152">
        <f>HLOOKUP(E48,$81:$82,2,FALSE)</f>
        <v>1.74</v>
      </c>
      <c r="G49" s="86" t="s">
        <v>164</v>
      </c>
      <c r="H49" s="145">
        <f>HLOOKUP(H48,$145:$147,2,FALSE)/100</f>
        <v>0.35619999999999996</v>
      </c>
      <c r="I49" s="145">
        <f>HLOOKUP(I48,$145:$147,2,FALSE)/100</f>
        <v>0.37759999999999999</v>
      </c>
      <c r="J49" s="145">
        <f>HLOOKUP(J48,$145:$147,2,FALSE)/100</f>
        <v>0.39950000000000002</v>
      </c>
      <c r="K49" s="145">
        <f>HLOOKUP(K48,$145:$147,2,FALSE)/100</f>
        <v>0.39030000000000004</v>
      </c>
    </row>
    <row r="50" spans="1:15" x14ac:dyDescent="0.25">
      <c r="A50" s="188" t="s">
        <v>165</v>
      </c>
      <c r="B50" s="189">
        <f>HLOOKUP(B48,$157:$159,3,FALSE)</f>
        <v>3.74</v>
      </c>
      <c r="C50" s="189">
        <f>HLOOKUP(C48,$157:$159,3,FALSE)</f>
        <v>4.33</v>
      </c>
      <c r="D50" s="189">
        <f>HLOOKUP(D48,$157:$159,3,FALSE)</f>
        <v>5.01</v>
      </c>
      <c r="E50" s="189">
        <f>HLOOKUP(E48,$157:$159,3,FALSE)</f>
        <v>5.82</v>
      </c>
      <c r="G50" s="190" t="s">
        <v>166</v>
      </c>
      <c r="H50" s="145">
        <f>HLOOKUP(H48,$145:$147,3,FALSE)/100</f>
        <v>0.24079999999999999</v>
      </c>
      <c r="I50" s="145">
        <f>HLOOKUP(I48,$145:$147,3,FALSE)/100</f>
        <v>0.25280000000000002</v>
      </c>
      <c r="J50" s="145">
        <f>HLOOKUP(J48,$145:$147,3,FALSE)/100</f>
        <v>0.2782</v>
      </c>
      <c r="K50" s="145">
        <f>HLOOKUP(K48,$145:$147,3,FALSE)/100</f>
        <v>0.2742</v>
      </c>
    </row>
    <row r="51" spans="1:15" x14ac:dyDescent="0.25">
      <c r="A51" s="86" t="s">
        <v>351</v>
      </c>
      <c r="B51" s="186">
        <f>(B47-B50)/B50</f>
        <v>-2.6737967914438526E-2</v>
      </c>
      <c r="C51" s="186">
        <f>(C47-C50)/C50</f>
        <v>-0.4157043879907622</v>
      </c>
      <c r="D51" s="186">
        <f>(D47-D50)/D50</f>
        <v>-0.45309381237524943</v>
      </c>
      <c r="E51" s="186">
        <f>(E47-E50)/E50</f>
        <v>-0.5223367697594502</v>
      </c>
      <c r="G51" s="235" t="s">
        <v>174</v>
      </c>
      <c r="H51" s="186">
        <f>(H46-H49)/H49</f>
        <v>-0.13868613138686117</v>
      </c>
      <c r="I51" s="186">
        <f>(I46-I49)/I49</f>
        <v>-0.23119703389830507</v>
      </c>
      <c r="J51" s="186">
        <f>(J46-J49)/J49</f>
        <v>-0.18347934918648318</v>
      </c>
      <c r="K51" s="186">
        <f>(K46-K49)/K49</f>
        <v>-0.18472969510632858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4.6311335226588373</v>
      </c>
      <c r="B53" s="193">
        <f>B46</f>
        <v>1.2</v>
      </c>
      <c r="C53" s="193">
        <f>E46/HLOOKUP(E45,$87:$94,5,FALSE)*HLOOKUP(E45,$87:$94,4,FALSE)*($B$25/HLOOKUP(E45,$87:$94,4,FALSE)+SUM($B$57:$D$57)/SUM($B58:$D$58)*$G$69/100/K46)</f>
        <v>1.0610316185719963</v>
      </c>
      <c r="D53" s="193">
        <f>D46/HLOOKUP(D45,$87:$94,5,FALSE)*HLOOKUP(D45,$87:$94,4,FALSE)*($B$25/HLOOKUP(D45,$87:$94,4,FALSE)+SUM($B$57:$D$57)/SUM($B58:$D$58)*$G$69/100/J46)</f>
        <v>1.2889595592913856</v>
      </c>
      <c r="E53" s="193">
        <f>C46/HLOOKUP(C45,$87:$94,5,FALSE)*HLOOKUP(C45,$87:$94,4,FALSE)*($B$25/HLOOKUP(C45,$87:$94,4,FALSE)+SUM($B$57:$D$57)/SUM($B58:$D$58)*$G$69/100/I46)</f>
        <v>1.0811423447954553</v>
      </c>
    </row>
    <row r="54" spans="1:15" x14ac:dyDescent="0.25">
      <c r="A54" s="278">
        <f>SUM(B54:E54)</f>
        <v>3.8499999999999996</v>
      </c>
      <c r="B54" s="277">
        <f t="shared" ref="B54:D54" si="0">HLOOKUP(B52-10,81:82,2,FALSE)</f>
        <v>1.18</v>
      </c>
      <c r="C54" s="277">
        <f t="shared" si="0"/>
        <v>0.91</v>
      </c>
      <c r="D54" s="277">
        <f t="shared" si="0"/>
        <v>0.92</v>
      </c>
      <c r="E54" s="277">
        <f>HLOOKUP(E52-10,81:82,2,FALSE)</f>
        <v>0.84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148984</v>
      </c>
      <c r="C57" s="196">
        <f>HLOOKUP(C56,78:79,2,FALSE)</f>
        <v>156092</v>
      </c>
      <c r="D57" s="196">
        <f>HLOOKUP(D56,78:79,2,FALSE)</f>
        <v>150371</v>
      </c>
      <c r="E57" s="196">
        <f>HLOOKUP(E56,78:79,2,FALSE)</f>
        <v>160243</v>
      </c>
      <c r="F57" s="196">
        <f>HLOOKUP(F56,78:79,2,FALSE)</f>
        <v>191914</v>
      </c>
      <c r="G57" s="196">
        <f t="shared" ref="G57:M57" si="2">HLOOKUP(G56,78:79,2,FALSE)</f>
        <v>154677</v>
      </c>
      <c r="H57" s="196">
        <f t="shared" si="2"/>
        <v>101092</v>
      </c>
      <c r="I57" s="196">
        <f t="shared" si="2"/>
        <v>164954</v>
      </c>
      <c r="J57" s="196">
        <f t="shared" si="2"/>
        <v>121704</v>
      </c>
      <c r="K57" s="196">
        <f t="shared" si="2"/>
        <v>138213</v>
      </c>
      <c r="L57" s="196">
        <f t="shared" si="2"/>
        <v>131356</v>
      </c>
      <c r="M57" s="196">
        <f t="shared" si="2"/>
        <v>114749</v>
      </c>
      <c r="N57" s="197"/>
    </row>
    <row r="58" spans="1:15" x14ac:dyDescent="0.25">
      <c r="A58" s="198" t="s">
        <v>253</v>
      </c>
      <c r="B58" s="196">
        <f>HLOOKUP(B56-100,78:79,2,FALSE)</f>
        <v>119321</v>
      </c>
      <c r="C58" s="196">
        <f>HLOOKUP(C56-100,78:79,2,FALSE)</f>
        <v>136063</v>
      </c>
      <c r="D58" s="196">
        <f>HLOOKUP(D56-100,78:79,2,FALSE)</f>
        <v>140233</v>
      </c>
      <c r="E58" s="196">
        <f>HLOOKUP(E56-100,78:79,2,FALSE)</f>
        <v>143503</v>
      </c>
      <c r="F58" s="196">
        <f>HLOOKUP(F56-100,78:79,2,FALSE)</f>
        <v>137860</v>
      </c>
      <c r="G58" s="196">
        <f t="shared" ref="G58:M58" si="3">HLOOKUP(G56-100,78:79,2,FALSE)</f>
        <v>165617</v>
      </c>
      <c r="H58" s="196">
        <f t="shared" si="3"/>
        <v>148951</v>
      </c>
      <c r="I58" s="196">
        <f t="shared" si="3"/>
        <v>186408</v>
      </c>
      <c r="J58" s="196">
        <f t="shared" si="3"/>
        <v>117829</v>
      </c>
      <c r="K58" s="196">
        <f t="shared" si="3"/>
        <v>147773</v>
      </c>
      <c r="L58" s="196">
        <f t="shared" si="3"/>
        <v>180523</v>
      </c>
      <c r="M58" s="196">
        <f t="shared" si="3"/>
        <v>135278</v>
      </c>
      <c r="N58" s="197"/>
    </row>
    <row r="59" spans="1:15" x14ac:dyDescent="0.25">
      <c r="A59" s="199" t="s">
        <v>254</v>
      </c>
      <c r="B59" s="165">
        <f>IF(B57&lt;&gt;"",(B57-B58)/B58,"")</f>
        <v>0.24859831882066025</v>
      </c>
      <c r="C59" s="165">
        <f>IF(C57&lt;&gt;"",(C57-C58)/C58,"")</f>
        <v>0.14720386879607242</v>
      </c>
      <c r="D59" s="165">
        <f>IF(D57&lt;&gt;"",(D57-D58)/D58,"")</f>
        <v>7.2293967896286893E-2</v>
      </c>
      <c r="E59" s="165">
        <f>IF(E57&lt;&gt;"",(E57-E58)/E58,"")</f>
        <v>0.11665261353421183</v>
      </c>
      <c r="F59" s="165">
        <f>IF(F57&lt;&gt;"",(F57-F58)/F58,"")</f>
        <v>0.39209342811547948</v>
      </c>
      <c r="G59" s="165">
        <f t="shared" ref="G59:M59" si="4">IF(G57&lt;&gt;"",(G57-G58)/G58,"")</f>
        <v>-6.6056020819118808E-2</v>
      </c>
      <c r="H59" s="165">
        <f t="shared" si="4"/>
        <v>-0.32130700700230275</v>
      </c>
      <c r="I59" s="165">
        <f t="shared" si="4"/>
        <v>-0.11509162696879963</v>
      </c>
      <c r="J59" s="165">
        <f t="shared" si="4"/>
        <v>3.2886640809987357E-2</v>
      </c>
      <c r="K59" s="165">
        <f t="shared" si="4"/>
        <v>-6.4693820928045043E-2</v>
      </c>
      <c r="L59" s="165">
        <f t="shared" si="4"/>
        <v>-0.27235864682062672</v>
      </c>
      <c r="M59" s="165">
        <f t="shared" si="4"/>
        <v>-0.15175416549623738</v>
      </c>
    </row>
    <row r="60" spans="1:15" x14ac:dyDescent="0.25">
      <c r="A60" s="195" t="s">
        <v>255</v>
      </c>
      <c r="B60" s="196">
        <f>SUM(B57:M57)</f>
        <v>1734349</v>
      </c>
    </row>
    <row r="61" spans="1:15" x14ac:dyDescent="0.25">
      <c r="A61" s="198" t="s">
        <v>256</v>
      </c>
      <c r="B61" s="196">
        <f>SUM(B58:M58)</f>
        <v>1759359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0.98578459541230645</v>
      </c>
      <c r="D62" s="152">
        <f>SUM(B46:E46)</f>
        <v>3.87</v>
      </c>
      <c r="E62" s="152">
        <f>SUM(B49:E49)</f>
        <v>5.86</v>
      </c>
      <c r="G62" s="126">
        <f>SUM(B47:E47)</f>
        <v>11.69</v>
      </c>
      <c r="H62" s="126">
        <f>SUM(B50:E50)</f>
        <v>18.899999999999999</v>
      </c>
      <c r="J62" s="200">
        <f>AVERAGE(H46:K46)</f>
        <v>0.31037500000000001</v>
      </c>
      <c r="K62" s="200">
        <f>AVERAGE(H49:K49)</f>
        <v>0.38090000000000002</v>
      </c>
      <c r="M62" s="200">
        <f>AVERAGE(H47:K47)</f>
        <v>0.18590000000000001</v>
      </c>
      <c r="N62" s="200">
        <f>AVERAGE(H50:K50)</f>
        <v>0.26150000000000001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1.4</v>
      </c>
      <c r="C65" s="205">
        <f t="shared" si="5"/>
        <v>1.29</v>
      </c>
      <c r="D65" s="205">
        <f t="shared" si="5"/>
        <v>1.03</v>
      </c>
      <c r="E65" s="205">
        <f t="shared" si="5"/>
        <v>1.57</v>
      </c>
      <c r="F65" s="206">
        <f>IF(ISNA(HLOOKUP(F$64*10+$A65,$81:$82,2,FALSE)),(HLOOKUP(E$64*10+$A65,$87:$94,4,FALSE)*$G65+$B$25)/HLOOKUP(E$64*10+$A65,$87:$94,5,FALSE)*$E65,HLOOKUP(F$64*10+$A65,$81:$82,2,FALSE))</f>
        <v>0.92</v>
      </c>
      <c r="G65" s="101">
        <f>MIN(130%,SUM($B$57:$D$57)/SUM($B$58:$D$58)*$G$69/HLOOKUP(E$64*10+$A65,$145:$146,2,FALSE))</f>
        <v>0.97175295048117127</v>
      </c>
      <c r="H65" s="204">
        <v>1</v>
      </c>
      <c r="I65" s="208">
        <f t="shared" ref="I65:M68" si="6">IF(ISNA(HLOOKUP(I$64*10+$H65,$145:$147,3,FALSE)),"",HLOOKUP(I$64*10+$H65,$145:$147,3,FALSE)/100)</f>
        <v>0.26140000000000002</v>
      </c>
      <c r="J65" s="208">
        <f t="shared" si="6"/>
        <v>0.2311</v>
      </c>
      <c r="K65" s="208">
        <f t="shared" si="6"/>
        <v>0.23670000000000002</v>
      </c>
      <c r="L65" s="208">
        <f t="shared" si="6"/>
        <v>0.2782</v>
      </c>
      <c r="M65" s="209">
        <f t="shared" si="6"/>
        <v>0.2034</v>
      </c>
      <c r="N65" s="256">
        <f t="shared" ref="N65:O68" si="7">HLOOKUP(E$64*10+$A65,$87:$94,8,FALSE)</f>
        <v>-759</v>
      </c>
      <c r="O65" s="256">
        <f t="shared" si="7"/>
        <v>-11056</v>
      </c>
      <c r="P65" s="210"/>
    </row>
    <row r="66" spans="1:71" x14ac:dyDescent="0.25">
      <c r="A66" s="204">
        <v>2</v>
      </c>
      <c r="B66" s="205">
        <f t="shared" si="5"/>
        <v>1.36</v>
      </c>
      <c r="C66" s="205">
        <f t="shared" si="5"/>
        <v>0.86</v>
      </c>
      <c r="D66" s="205">
        <f t="shared" si="5"/>
        <v>0.71</v>
      </c>
      <c r="E66" s="205">
        <f t="shared" si="5"/>
        <v>1.37</v>
      </c>
      <c r="F66" s="206">
        <f>IF(ISNA(HLOOKUP(F$64*10+$A66,$81:$82,2,FALSE)),(HLOOKUP(E$64*10+$A66,$87:$94,4,FALSE)*$G66+$B$25)/HLOOKUP(E$64*10+$A66,$87:$94,5,FALSE)*$E66,HLOOKUP(F$64*10+$A66,$81:$82,2,FALSE))</f>
        <v>0.84</v>
      </c>
      <c r="G66" s="101">
        <f>MIN(130%,SUM($B$57:$D$57)/SUM($B$58:$D$58)*$G$69/HLOOKUP(E$64*10+$A66,$145:$146,2,FALSE))</f>
        <v>1.0281125628104555</v>
      </c>
      <c r="H66" s="204">
        <v>2</v>
      </c>
      <c r="I66" s="208">
        <f t="shared" si="6"/>
        <v>0.2671</v>
      </c>
      <c r="J66" s="208">
        <f t="shared" si="6"/>
        <v>0.23769999999999999</v>
      </c>
      <c r="K66" s="208">
        <f t="shared" si="6"/>
        <v>0.2102</v>
      </c>
      <c r="L66" s="208">
        <f t="shared" si="6"/>
        <v>0.25280000000000002</v>
      </c>
      <c r="M66" s="209">
        <f t="shared" si="6"/>
        <v>0.1711</v>
      </c>
      <c r="N66" s="256">
        <f t="shared" si="7"/>
        <v>10620</v>
      </c>
      <c r="O66" s="256">
        <f t="shared" si="7"/>
        <v>5117</v>
      </c>
      <c r="P66" s="210"/>
    </row>
    <row r="67" spans="1:71" x14ac:dyDescent="0.25">
      <c r="A67" s="204">
        <v>3</v>
      </c>
      <c r="B67" s="205">
        <f t="shared" si="5"/>
        <v>1.07</v>
      </c>
      <c r="C67" s="205">
        <f t="shared" si="5"/>
        <v>1.19</v>
      </c>
      <c r="D67" s="205">
        <f t="shared" si="5"/>
        <v>1.84</v>
      </c>
      <c r="E67" s="205">
        <f t="shared" si="5"/>
        <v>1.18</v>
      </c>
      <c r="F67" s="206">
        <f>IF(ISNA(HLOOKUP(F$64*10+$A67,$81:$82,2,FALSE)),(HLOOKUP(E$64*10+$A67,$87:$94,4,FALSE)*$G67+$B$25)/HLOOKUP(E$64*10+$A67,$87:$94,5,FALSE)*$E67,HLOOKUP(F$64*10+$A67,$81:$82,2,FALSE))</f>
        <v>1.2</v>
      </c>
      <c r="G67" s="101">
        <f>MIN(130%,SUM($B$57:$D$57)/SUM($B$58:$D$58)*$G$69/HLOOKUP(E$64*10+$A67,$145:$146,2,FALSE))</f>
        <v>1.0898801339618978</v>
      </c>
      <c r="H67" s="204">
        <v>3</v>
      </c>
      <c r="I67" s="208">
        <f t="shared" si="6"/>
        <v>0.2379</v>
      </c>
      <c r="J67" s="208">
        <f t="shared" si="6"/>
        <v>0.2208</v>
      </c>
      <c r="K67" s="208">
        <f t="shared" si="6"/>
        <v>0.25629999999999997</v>
      </c>
      <c r="L67" s="208">
        <f t="shared" si="6"/>
        <v>0.24079999999999999</v>
      </c>
      <c r="M67" s="209">
        <f t="shared" si="6"/>
        <v>0.191</v>
      </c>
      <c r="N67" s="256">
        <f t="shared" si="7"/>
        <v>-6738</v>
      </c>
      <c r="O67" s="256">
        <f t="shared" si="7"/>
        <v>6524</v>
      </c>
      <c r="P67" s="210"/>
    </row>
    <row r="68" spans="1:71" x14ac:dyDescent="0.25">
      <c r="A68" s="204">
        <v>4</v>
      </c>
      <c r="B68" s="205">
        <f>HLOOKUP(B$64*10+$A68,$81:$82,2,FALSE)</f>
        <v>1.04</v>
      </c>
      <c r="C68" s="205">
        <f>HLOOKUP(C$64*10+$A68,$81:$82,2,FALSE)</f>
        <v>1.6</v>
      </c>
      <c r="D68" s="205">
        <f>HLOOKUP(D$64*10+$A68,$81:$82,2,FALSE)</f>
        <v>1.74</v>
      </c>
      <c r="E68" s="206">
        <f>IF(ISNA(HLOOKUP(E$64*10+$A68,$81:$82,2,FALSE)),D68*(1-$N68)*#REF!*(1+$B$25)/(1+$E$4),HLOOKUP(E$64*10+$A68,$81:$82,2,FALSE))</f>
        <v>0.91</v>
      </c>
      <c r="F68" s="206">
        <f>IF(ISNA(HLOOKUP(F$64*10+$A68,$81:$82,2,FALSE)),(HLOOKUP(E$64*10+$A68,$87:$94,4,FALSE)*$G68+$B$25)/HLOOKUP(E$64*10+$A68,$87:$94,5,FALSE)*$E68,HLOOKUP(F$64*10+$A68,$81:$82,2,FALSE))</f>
        <v>1.0610316185719961</v>
      </c>
      <c r="G68" s="101">
        <f>MIN(130%,SUM($B$57:$D$57)/SUM($B$58:$D$58)*$G$69/HLOOKUP(E$64*10+$A68,$145:$146,2,FALSE))</f>
        <v>1.2200355239384912</v>
      </c>
      <c r="H68" s="204">
        <v>4</v>
      </c>
      <c r="I68" s="208">
        <f t="shared" si="6"/>
        <v>0.22399999999999998</v>
      </c>
      <c r="J68" s="208">
        <f t="shared" si="6"/>
        <v>0.26479999999999998</v>
      </c>
      <c r="K68" s="208">
        <f t="shared" si="6"/>
        <v>0.2742</v>
      </c>
      <c r="L68" s="208">
        <f t="shared" si="6"/>
        <v>0.17809999999999998</v>
      </c>
      <c r="M68" s="209" t="str">
        <f t="shared" si="6"/>
        <v/>
      </c>
      <c r="N68" s="256">
        <f t="shared" si="7"/>
        <v>5366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4.87</v>
      </c>
      <c r="C69" s="213">
        <f>SUM(C65:C68)</f>
        <v>4.9399999999999995</v>
      </c>
      <c r="D69" s="213">
        <f>SUM(D65:D68)</f>
        <v>5.32</v>
      </c>
      <c r="E69" s="213">
        <f>SUM(E65:E68)</f>
        <v>5.03</v>
      </c>
      <c r="F69" s="213">
        <f>SUM(F65:F68)</f>
        <v>4.0210316185719961</v>
      </c>
      <c r="G69" s="257">
        <f>_xlfn.FORECAST.ETS(23,B146:W146,{1,2,3,4,5,6,7,8,9,10,11,12,13,14,15,16,17,18,19,20,21,22})</f>
        <v>33.721722573800804</v>
      </c>
      <c r="H69" s="214" t="s">
        <v>19</v>
      </c>
      <c r="I69" s="215">
        <f>HLOOKUP(I64,151:155,3,FALSE)/100</f>
        <v>0.24809999999999999</v>
      </c>
      <c r="J69" s="215">
        <f>HLOOKUP(J64,151:155,3,FALSE)/100</f>
        <v>0.23899999999999999</v>
      </c>
      <c r="K69" s="215">
        <f>HLOOKUP(K64,151:155,3,FALSE)/100</f>
        <v>0.247</v>
      </c>
      <c r="L69" s="215">
        <f>IF(ISNA(HLOOKUP(L64,151:155,3,FALSE)/100),AVERAGE(L65:L68),HLOOKUP(L64,151:155,3,FALSE)/100)</f>
        <v>0.2404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5.55</v>
      </c>
      <c r="C72" s="205">
        <f t="shared" si="8"/>
        <v>4.9400000000000004</v>
      </c>
      <c r="D72" s="205">
        <f t="shared" si="8"/>
        <v>3.62</v>
      </c>
      <c r="E72" s="205">
        <f t="shared" si="8"/>
        <v>5.01</v>
      </c>
      <c r="F72" s="205">
        <f t="shared" si="8"/>
        <v>2.74</v>
      </c>
    </row>
    <row r="73" spans="1:71" s="135" customFormat="1" x14ac:dyDescent="0.25">
      <c r="A73" s="204">
        <v>2</v>
      </c>
      <c r="B73" s="205">
        <f t="shared" si="8"/>
        <v>5.53</v>
      </c>
      <c r="C73" s="205">
        <f t="shared" si="8"/>
        <v>3.33</v>
      </c>
      <c r="D73" s="205">
        <f t="shared" si="8"/>
        <v>2.5499999999999998</v>
      </c>
      <c r="E73" s="205">
        <f t="shared" si="8"/>
        <v>4.33</v>
      </c>
      <c r="F73" s="205">
        <f t="shared" si="8"/>
        <v>2.5299999999999998</v>
      </c>
    </row>
    <row r="74" spans="1:71" s="135" customFormat="1" x14ac:dyDescent="0.25">
      <c r="A74" s="204">
        <v>3</v>
      </c>
      <c r="B74" s="205">
        <f t="shared" si="8"/>
        <v>4.5</v>
      </c>
      <c r="C74" s="205">
        <f t="shared" si="8"/>
        <v>4.63</v>
      </c>
      <c r="D74" s="205">
        <f t="shared" si="8"/>
        <v>6.56</v>
      </c>
      <c r="E74" s="205">
        <f t="shared" si="8"/>
        <v>3.74</v>
      </c>
      <c r="F74" s="205">
        <f t="shared" si="8"/>
        <v>3.64</v>
      </c>
    </row>
    <row r="75" spans="1:71" s="135" customFormat="1" x14ac:dyDescent="0.25">
      <c r="A75" s="204">
        <v>4</v>
      </c>
      <c r="B75" s="205">
        <f t="shared" si="8"/>
        <v>4.16</v>
      </c>
      <c r="C75" s="205">
        <f t="shared" si="8"/>
        <v>5.91</v>
      </c>
      <c r="D75" s="205">
        <f t="shared" si="8"/>
        <v>5.82</v>
      </c>
      <c r="E75" s="205">
        <f t="shared" si="8"/>
        <v>2.78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19.740000000000002</v>
      </c>
      <c r="C76" s="213">
        <f>SUM(C72:C75)</f>
        <v>18.809999999999999</v>
      </c>
      <c r="D76" s="213">
        <f>SUM(D72:D75)</f>
        <v>18.55</v>
      </c>
      <c r="E76" s="213">
        <f>AVERAGE(E72:E75)*4</f>
        <v>15.86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104166</v>
      </c>
      <c r="C79" s="270">
        <v>110635</v>
      </c>
      <c r="D79" s="270">
        <v>127806</v>
      </c>
      <c r="E79" s="270">
        <v>101001</v>
      </c>
      <c r="F79" s="270">
        <v>132778</v>
      </c>
      <c r="G79" s="270">
        <v>107847</v>
      </c>
      <c r="H79" s="270">
        <v>123673</v>
      </c>
      <c r="I79" s="270">
        <v>136348</v>
      </c>
      <c r="J79" s="270">
        <v>108996</v>
      </c>
      <c r="K79" s="270">
        <v>131530</v>
      </c>
      <c r="L79" s="270">
        <v>123547</v>
      </c>
      <c r="M79" s="270">
        <v>130382</v>
      </c>
      <c r="N79" s="270">
        <v>133421</v>
      </c>
      <c r="O79" s="270">
        <v>90750</v>
      </c>
      <c r="P79" s="270">
        <v>133371</v>
      </c>
      <c r="Q79" s="270">
        <v>121933</v>
      </c>
      <c r="R79" s="270">
        <v>133863</v>
      </c>
      <c r="S79" s="270">
        <v>126707</v>
      </c>
      <c r="T79" s="270">
        <v>117256</v>
      </c>
      <c r="U79" s="270">
        <v>135823</v>
      </c>
      <c r="V79" s="270">
        <v>98822</v>
      </c>
      <c r="W79" s="270">
        <v>112343</v>
      </c>
      <c r="X79" s="270">
        <v>117651</v>
      </c>
      <c r="Y79" s="270">
        <v>121955</v>
      </c>
      <c r="Z79" s="270">
        <v>125563</v>
      </c>
      <c r="AA79" s="270">
        <v>110697</v>
      </c>
      <c r="AB79" s="270">
        <v>135552</v>
      </c>
      <c r="AC79" s="270">
        <v>131144</v>
      </c>
      <c r="AD79" s="270">
        <v>124310</v>
      </c>
      <c r="AE79" s="270">
        <v>107521</v>
      </c>
      <c r="AF79" s="270">
        <v>145135</v>
      </c>
      <c r="AG79" s="270">
        <v>123315</v>
      </c>
      <c r="AH79" s="270">
        <v>108030</v>
      </c>
      <c r="AI79" s="270">
        <v>143807</v>
      </c>
      <c r="AJ79" s="270">
        <v>121682</v>
      </c>
      <c r="AK79" s="270">
        <v>129909</v>
      </c>
      <c r="AL79" s="270">
        <v>134197</v>
      </c>
      <c r="AM79" s="270">
        <v>100330</v>
      </c>
      <c r="AN79" s="270">
        <v>128960</v>
      </c>
      <c r="AO79" s="270">
        <v>122425</v>
      </c>
      <c r="AP79" s="270">
        <v>105268</v>
      </c>
      <c r="AQ79" s="270">
        <v>126012</v>
      </c>
      <c r="AR79" s="270">
        <v>146830</v>
      </c>
      <c r="AS79" s="270">
        <v>153765</v>
      </c>
      <c r="AT79" s="270">
        <v>138906</v>
      </c>
      <c r="AU79" s="270">
        <v>149070</v>
      </c>
      <c r="AV79" s="270">
        <v>135278</v>
      </c>
      <c r="AW79" s="270">
        <v>180523</v>
      </c>
      <c r="AX79" s="270">
        <v>147773</v>
      </c>
      <c r="AY79" s="270">
        <v>117829</v>
      </c>
      <c r="AZ79" s="270">
        <v>186408</v>
      </c>
      <c r="BA79" s="270">
        <v>148951</v>
      </c>
      <c r="BB79" s="270">
        <v>165617</v>
      </c>
      <c r="BC79" s="270">
        <v>137860</v>
      </c>
      <c r="BD79" s="270">
        <v>143503</v>
      </c>
      <c r="BE79" s="270">
        <v>140233</v>
      </c>
      <c r="BF79" s="270">
        <v>136063</v>
      </c>
      <c r="BG79" s="270">
        <v>119321</v>
      </c>
      <c r="BH79" s="270">
        <v>114749</v>
      </c>
      <c r="BI79" s="270">
        <v>131356</v>
      </c>
      <c r="BJ79" s="270">
        <v>138213</v>
      </c>
      <c r="BK79" s="270">
        <v>121704</v>
      </c>
      <c r="BL79" s="270">
        <v>164954</v>
      </c>
      <c r="BM79" s="270">
        <v>101092</v>
      </c>
      <c r="BN79" s="270">
        <v>154677</v>
      </c>
      <c r="BO79" s="270">
        <v>191914</v>
      </c>
      <c r="BP79" s="270">
        <v>160243</v>
      </c>
      <c r="BQ79" s="270">
        <v>150371</v>
      </c>
      <c r="BR79" s="270">
        <v>156092</v>
      </c>
      <c r="BS79" s="270">
        <v>148984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1.25</v>
      </c>
      <c r="C82" s="72">
        <v>1.1499999999999999</v>
      </c>
      <c r="D82" s="72">
        <v>1.28</v>
      </c>
      <c r="E82" s="72">
        <v>1.18</v>
      </c>
      <c r="F82" s="72">
        <v>1.4</v>
      </c>
      <c r="G82" s="72">
        <v>1.36</v>
      </c>
      <c r="H82" s="72">
        <v>1.07</v>
      </c>
      <c r="I82" s="72">
        <v>1.04</v>
      </c>
      <c r="J82" s="72">
        <v>1.29</v>
      </c>
      <c r="K82" s="72">
        <v>0.86</v>
      </c>
      <c r="L82" s="72">
        <v>1.19</v>
      </c>
      <c r="M82" s="72">
        <v>1.6</v>
      </c>
      <c r="N82" s="72">
        <v>1.03</v>
      </c>
      <c r="O82" s="72">
        <v>0.71</v>
      </c>
      <c r="P82" s="72">
        <v>1.84</v>
      </c>
      <c r="Q82" s="72">
        <v>1.74</v>
      </c>
      <c r="R82" s="72">
        <v>1.57</v>
      </c>
      <c r="S82" s="72">
        <v>1.37</v>
      </c>
      <c r="T82" s="72">
        <v>1.18</v>
      </c>
      <c r="U82" s="72">
        <v>0.91</v>
      </c>
      <c r="V82" s="72">
        <v>0.92</v>
      </c>
      <c r="W82" s="72">
        <v>0.84</v>
      </c>
      <c r="X82" s="72">
        <v>1.2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26.4</v>
      </c>
      <c r="C85" s="72">
        <v>24.67</v>
      </c>
      <c r="D85" s="72">
        <v>23.7</v>
      </c>
      <c r="E85" s="72">
        <v>24.88</v>
      </c>
      <c r="F85" s="72">
        <v>25.95</v>
      </c>
      <c r="G85" s="72">
        <v>23.31</v>
      </c>
      <c r="H85" s="72">
        <v>24.39</v>
      </c>
      <c r="I85" s="72">
        <v>25.49</v>
      </c>
      <c r="J85" s="72">
        <v>26.78</v>
      </c>
      <c r="K85" s="72">
        <v>25.15</v>
      </c>
      <c r="L85" s="72">
        <v>26.34</v>
      </c>
      <c r="M85" s="72">
        <v>27.92</v>
      </c>
      <c r="N85" s="72">
        <v>28.95</v>
      </c>
      <c r="O85" s="72">
        <v>27.16</v>
      </c>
      <c r="P85" s="72">
        <v>29</v>
      </c>
      <c r="Q85" s="72">
        <v>30.63</v>
      </c>
      <c r="R85" s="72">
        <v>32.21</v>
      </c>
      <c r="S85" s="72">
        <v>31.08</v>
      </c>
      <c r="T85" s="72">
        <v>32.26</v>
      </c>
      <c r="U85" s="72">
        <v>33.17</v>
      </c>
      <c r="V85" s="72">
        <v>34.1</v>
      </c>
      <c r="W85" s="72">
        <v>32.44</v>
      </c>
      <c r="X85" s="72">
        <v>33.64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342607</v>
      </c>
      <c r="C88" s="273">
        <v>341626</v>
      </c>
      <c r="D88" s="273">
        <v>369016</v>
      </c>
      <c r="E88" s="273">
        <v>385459</v>
      </c>
      <c r="F88" s="273">
        <v>357542</v>
      </c>
      <c r="G88" s="273">
        <v>382503</v>
      </c>
      <c r="H88" s="273">
        <v>351901</v>
      </c>
      <c r="I88" s="273">
        <v>351950</v>
      </c>
      <c r="J88" s="273">
        <v>371812</v>
      </c>
      <c r="K88" s="273">
        <v>362975</v>
      </c>
      <c r="L88" s="273">
        <v>376479</v>
      </c>
      <c r="M88" s="273">
        <v>395398</v>
      </c>
      <c r="N88" s="273">
        <v>363487</v>
      </c>
      <c r="O88" s="273">
        <v>353704</v>
      </c>
      <c r="P88" s="273">
        <v>439502</v>
      </c>
      <c r="Q88" s="273">
        <v>464871</v>
      </c>
      <c r="R88" s="273">
        <v>452010</v>
      </c>
      <c r="S88" s="273">
        <v>452427</v>
      </c>
      <c r="T88" s="273">
        <v>419801</v>
      </c>
      <c r="U88" s="273">
        <v>365426</v>
      </c>
      <c r="V88" s="273">
        <v>424871</v>
      </c>
      <c r="W88" s="273">
        <v>447684</v>
      </c>
      <c r="X88" s="273">
        <v>466706</v>
      </c>
    </row>
    <row r="89" spans="1:25" ht="14.25" thickBot="1" x14ac:dyDescent="0.3">
      <c r="A89" s="250" t="s">
        <v>4</v>
      </c>
      <c r="B89" s="275">
        <v>137005</v>
      </c>
      <c r="C89" s="275">
        <v>127469</v>
      </c>
      <c r="D89" s="275">
        <v>147419</v>
      </c>
      <c r="E89" s="275">
        <v>151268</v>
      </c>
      <c r="F89" s="275">
        <v>139778</v>
      </c>
      <c r="G89" s="275">
        <v>151906</v>
      </c>
      <c r="H89" s="275">
        <v>130461</v>
      </c>
      <c r="I89" s="275">
        <v>118766</v>
      </c>
      <c r="J89" s="275">
        <v>134349</v>
      </c>
      <c r="K89" s="275">
        <v>133628</v>
      </c>
      <c r="L89" s="275">
        <v>129997</v>
      </c>
      <c r="M89" s="275">
        <v>145365</v>
      </c>
      <c r="N89" s="275">
        <v>133287</v>
      </c>
      <c r="O89" s="275">
        <v>123472</v>
      </c>
      <c r="P89" s="275">
        <v>160677</v>
      </c>
      <c r="Q89" s="275">
        <v>181456</v>
      </c>
      <c r="R89" s="275">
        <v>180565</v>
      </c>
      <c r="S89" s="275">
        <v>170853</v>
      </c>
      <c r="T89" s="275">
        <v>149530</v>
      </c>
      <c r="U89" s="275">
        <v>116295</v>
      </c>
      <c r="V89" s="275">
        <v>138584</v>
      </c>
      <c r="W89" s="275">
        <v>129981</v>
      </c>
      <c r="X89" s="275">
        <v>143162</v>
      </c>
    </row>
    <row r="90" spans="1:25" ht="14.25" thickBot="1" x14ac:dyDescent="0.3">
      <c r="A90" s="251" t="s">
        <v>5</v>
      </c>
      <c r="B90" s="273">
        <v>96202</v>
      </c>
      <c r="C90" s="273">
        <v>84289</v>
      </c>
      <c r="D90" s="273">
        <v>100495</v>
      </c>
      <c r="E90" s="273">
        <v>104373</v>
      </c>
      <c r="F90" s="273">
        <v>93457</v>
      </c>
      <c r="G90" s="273">
        <v>102167</v>
      </c>
      <c r="H90" s="273">
        <v>83724</v>
      </c>
      <c r="I90" s="273">
        <v>78837</v>
      </c>
      <c r="J90" s="273">
        <v>85912</v>
      </c>
      <c r="K90" s="273">
        <v>86292</v>
      </c>
      <c r="L90" s="273">
        <v>83144</v>
      </c>
      <c r="M90" s="273">
        <v>104703</v>
      </c>
      <c r="N90" s="273">
        <v>86037</v>
      </c>
      <c r="O90" s="273">
        <v>74360</v>
      </c>
      <c r="P90" s="273">
        <v>112629</v>
      </c>
      <c r="Q90" s="273">
        <v>127483</v>
      </c>
      <c r="R90" s="273">
        <v>125729</v>
      </c>
      <c r="S90" s="273">
        <v>114354</v>
      </c>
      <c r="T90" s="273">
        <v>101076</v>
      </c>
      <c r="U90" s="273">
        <v>65069</v>
      </c>
      <c r="V90" s="273">
        <v>86420</v>
      </c>
      <c r="W90" s="273">
        <v>76618</v>
      </c>
      <c r="X90" s="273">
        <v>89152</v>
      </c>
    </row>
    <row r="91" spans="1:25" ht="14.25" thickBot="1" x14ac:dyDescent="0.3">
      <c r="A91" s="250" t="s">
        <v>6</v>
      </c>
      <c r="B91" s="275">
        <v>85986</v>
      </c>
      <c r="C91" s="275">
        <v>91272</v>
      </c>
      <c r="D91" s="275">
        <v>97077</v>
      </c>
      <c r="E91" s="275">
        <v>92638</v>
      </c>
      <c r="F91" s="275">
        <v>107327</v>
      </c>
      <c r="G91" s="275">
        <v>104735</v>
      </c>
      <c r="H91" s="275">
        <v>81654</v>
      </c>
      <c r="I91" s="275">
        <v>82816</v>
      </c>
      <c r="J91" s="275">
        <v>98719</v>
      </c>
      <c r="K91" s="275">
        <v>80042</v>
      </c>
      <c r="L91" s="275">
        <v>91369</v>
      </c>
      <c r="M91" s="275">
        <v>122353</v>
      </c>
      <c r="N91" s="275">
        <v>80821</v>
      </c>
      <c r="O91" s="275">
        <v>69514</v>
      </c>
      <c r="P91" s="275">
        <v>140649</v>
      </c>
      <c r="Q91" s="275">
        <v>131044</v>
      </c>
      <c r="R91" s="275">
        <v>124970</v>
      </c>
      <c r="S91" s="275">
        <v>124974</v>
      </c>
      <c r="T91" s="275">
        <v>94338</v>
      </c>
      <c r="U91" s="275">
        <v>70435</v>
      </c>
      <c r="V91" s="275">
        <v>75364</v>
      </c>
      <c r="W91" s="275">
        <v>81735</v>
      </c>
      <c r="X91" s="275">
        <v>95676</v>
      </c>
    </row>
    <row r="92" spans="1:25" ht="14.25" thickBot="1" x14ac:dyDescent="0.3">
      <c r="A92" s="251" t="s">
        <v>7</v>
      </c>
      <c r="B92" s="273">
        <v>75155</v>
      </c>
      <c r="C92" s="273">
        <v>75792</v>
      </c>
      <c r="D92" s="273">
        <v>84413</v>
      </c>
      <c r="E92" s="273">
        <v>78108</v>
      </c>
      <c r="F92" s="273">
        <v>92558</v>
      </c>
      <c r="G92" s="273">
        <v>89887</v>
      </c>
      <c r="H92" s="273">
        <v>70912</v>
      </c>
      <c r="I92" s="273">
        <v>68539</v>
      </c>
      <c r="J92" s="273">
        <v>85301</v>
      </c>
      <c r="K92" s="273">
        <v>57025</v>
      </c>
      <c r="L92" s="273">
        <v>78748</v>
      </c>
      <c r="M92" s="273">
        <v>105915</v>
      </c>
      <c r="N92" s="273">
        <v>67955</v>
      </c>
      <c r="O92" s="273">
        <v>47192</v>
      </c>
      <c r="P92" s="273">
        <v>121591</v>
      </c>
      <c r="Q92" s="273">
        <v>114568</v>
      </c>
      <c r="R92" s="273">
        <v>103851</v>
      </c>
      <c r="S92" s="273">
        <v>90494</v>
      </c>
      <c r="T92" s="273">
        <v>78207</v>
      </c>
      <c r="U92" s="273">
        <v>60116</v>
      </c>
      <c r="V92" s="273">
        <v>60940</v>
      </c>
      <c r="W92" s="273">
        <v>55453</v>
      </c>
      <c r="X92" s="273">
        <v>79389</v>
      </c>
    </row>
    <row r="93" spans="1:25" ht="26.25" thickBot="1" x14ac:dyDescent="0.3">
      <c r="A93" s="252" t="s">
        <v>8</v>
      </c>
      <c r="B93" s="276">
        <v>75155</v>
      </c>
      <c r="C93" s="276">
        <v>75792</v>
      </c>
      <c r="D93" s="276">
        <v>84413</v>
      </c>
      <c r="E93" s="276">
        <v>78108</v>
      </c>
      <c r="F93" s="276">
        <v>92558</v>
      </c>
      <c r="G93" s="276">
        <v>89887</v>
      </c>
      <c r="H93" s="276">
        <v>70912</v>
      </c>
      <c r="I93" s="276">
        <v>68539</v>
      </c>
      <c r="J93" s="276">
        <v>85301</v>
      </c>
      <c r="K93" s="276">
        <v>57025</v>
      </c>
      <c r="L93" s="276">
        <v>78748</v>
      </c>
      <c r="M93" s="276">
        <v>105915</v>
      </c>
      <c r="N93" s="276">
        <v>67955</v>
      </c>
      <c r="O93" s="276">
        <v>47192</v>
      </c>
      <c r="P93" s="276">
        <v>121591</v>
      </c>
      <c r="Q93" s="276">
        <v>114568</v>
      </c>
      <c r="R93" s="276">
        <v>103851</v>
      </c>
      <c r="S93" s="276">
        <v>90494</v>
      </c>
      <c r="T93" s="276">
        <v>78207</v>
      </c>
      <c r="U93" s="276">
        <v>60116</v>
      </c>
      <c r="V93" s="276">
        <v>60940</v>
      </c>
      <c r="W93" s="276">
        <v>55453</v>
      </c>
      <c r="X93" s="276">
        <v>79389</v>
      </c>
    </row>
    <row r="94" spans="1:25" x14ac:dyDescent="0.25">
      <c r="A94" s="233" t="s">
        <v>365</v>
      </c>
      <c r="B94" s="253">
        <f>IF(B91="","",B91-B90)</f>
        <v>-10216</v>
      </c>
      <c r="C94" s="253">
        <f>IF(C91="","",C91-C90)</f>
        <v>6983</v>
      </c>
      <c r="D94" s="253">
        <f t="shared" ref="D94:Y94" si="9">IF(D91="","",D91-D90)</f>
        <v>-3418</v>
      </c>
      <c r="E94" s="253">
        <f t="shared" si="9"/>
        <v>-11735</v>
      </c>
      <c r="F94" s="253">
        <f t="shared" si="9"/>
        <v>13870</v>
      </c>
      <c r="G94" s="253">
        <f t="shared" si="9"/>
        <v>2568</v>
      </c>
      <c r="H94" s="253">
        <f t="shared" si="9"/>
        <v>-2070</v>
      </c>
      <c r="I94" s="253">
        <f t="shared" si="9"/>
        <v>3979</v>
      </c>
      <c r="J94" s="253">
        <f t="shared" si="9"/>
        <v>12807</v>
      </c>
      <c r="K94" s="253">
        <f t="shared" si="9"/>
        <v>-6250</v>
      </c>
      <c r="L94" s="253">
        <f t="shared" si="9"/>
        <v>8225</v>
      </c>
      <c r="M94" s="253">
        <f t="shared" si="9"/>
        <v>17650</v>
      </c>
      <c r="N94" s="253">
        <f t="shared" si="9"/>
        <v>-5216</v>
      </c>
      <c r="O94" s="253">
        <f t="shared" si="9"/>
        <v>-4846</v>
      </c>
      <c r="P94" s="253">
        <f t="shared" si="9"/>
        <v>28020</v>
      </c>
      <c r="Q94" s="253">
        <f t="shared" si="9"/>
        <v>3561</v>
      </c>
      <c r="R94" s="253">
        <f t="shared" si="9"/>
        <v>-759</v>
      </c>
      <c r="S94" s="253">
        <f t="shared" si="9"/>
        <v>10620</v>
      </c>
      <c r="T94" s="253">
        <f t="shared" si="9"/>
        <v>-6738</v>
      </c>
      <c r="U94" s="253">
        <f t="shared" si="9"/>
        <v>5366</v>
      </c>
      <c r="V94" s="253">
        <f t="shared" si="9"/>
        <v>-11056</v>
      </c>
      <c r="W94" s="253">
        <f t="shared" si="9"/>
        <v>5117</v>
      </c>
      <c r="X94" s="253">
        <f t="shared" si="9"/>
        <v>6524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1438708</v>
      </c>
      <c r="C97" s="273">
        <v>1443896</v>
      </c>
      <c r="D97" s="273">
        <v>1506664</v>
      </c>
      <c r="E97" s="273">
        <v>1621564</v>
      </c>
      <c r="F97" s="273">
        <v>1689664</v>
      </c>
    </row>
    <row r="98" spans="1:24" ht="14.25" thickBot="1" x14ac:dyDescent="0.3">
      <c r="A98" s="225" t="s">
        <v>4</v>
      </c>
      <c r="B98" s="275">
        <v>564586</v>
      </c>
      <c r="C98" s="275">
        <v>540911</v>
      </c>
      <c r="D98" s="275">
        <v>543339</v>
      </c>
      <c r="E98" s="275">
        <v>598892</v>
      </c>
      <c r="F98" s="275">
        <v>617243</v>
      </c>
    </row>
    <row r="99" spans="1:24" ht="14.25" thickBot="1" x14ac:dyDescent="0.3">
      <c r="A99" s="224" t="s">
        <v>5</v>
      </c>
      <c r="B99" s="273">
        <v>385359</v>
      </c>
      <c r="C99" s="273">
        <v>358185</v>
      </c>
      <c r="D99" s="273">
        <v>360051</v>
      </c>
      <c r="E99" s="273">
        <v>400509</v>
      </c>
      <c r="F99" s="273">
        <v>406228</v>
      </c>
    </row>
    <row r="100" spans="1:24" ht="14.25" thickBot="1" x14ac:dyDescent="0.3">
      <c r="A100" s="225" t="s">
        <v>6</v>
      </c>
      <c r="B100" s="275">
        <v>368972</v>
      </c>
      <c r="C100" s="275">
        <v>376532</v>
      </c>
      <c r="D100" s="275">
        <v>392483</v>
      </c>
      <c r="E100" s="275">
        <v>422028</v>
      </c>
      <c r="F100" s="275">
        <v>414717</v>
      </c>
    </row>
    <row r="101" spans="1:24" ht="14.25" thickBot="1" x14ac:dyDescent="0.3">
      <c r="A101" s="224" t="s">
        <v>7</v>
      </c>
      <c r="B101" s="273">
        <v>315127</v>
      </c>
      <c r="C101" s="273">
        <v>321896</v>
      </c>
      <c r="D101" s="273">
        <v>326989</v>
      </c>
      <c r="E101" s="273">
        <v>351306</v>
      </c>
      <c r="F101" s="273">
        <v>332668</v>
      </c>
    </row>
    <row r="102" spans="1:24" ht="14.25" thickBot="1" x14ac:dyDescent="0.3">
      <c r="A102" s="227" t="s">
        <v>8</v>
      </c>
      <c r="B102" s="276">
        <v>313468</v>
      </c>
      <c r="C102" s="276">
        <v>321896</v>
      </c>
      <c r="D102" s="276">
        <v>326989</v>
      </c>
      <c r="E102" s="276">
        <v>351306</v>
      </c>
      <c r="F102" s="276">
        <v>332668</v>
      </c>
    </row>
    <row r="103" spans="1:24" x14ac:dyDescent="0.25">
      <c r="A103" s="233" t="s">
        <v>262</v>
      </c>
      <c r="B103" s="234">
        <f>IF(OR(B102="",B102="無"),"",B102/B101)</f>
        <v>0.99473545586382628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682320</v>
      </c>
      <c r="C106" s="273">
        <v>801127</v>
      </c>
      <c r="D106" s="273">
        <v>716725</v>
      </c>
      <c r="E106" s="273">
        <v>816281</v>
      </c>
      <c r="F106" s="273">
        <v>883642</v>
      </c>
      <c r="G106" s="273">
        <v>939784</v>
      </c>
      <c r="H106" s="273">
        <v>741381</v>
      </c>
      <c r="I106" s="273">
        <v>834607</v>
      </c>
      <c r="J106" s="273">
        <v>700835</v>
      </c>
      <c r="K106" s="273">
        <v>771451</v>
      </c>
      <c r="L106" s="273">
        <v>647569</v>
      </c>
      <c r="M106" s="273">
        <v>780329</v>
      </c>
      <c r="N106" s="273">
        <v>760449</v>
      </c>
      <c r="O106" s="273">
        <v>774686</v>
      </c>
      <c r="P106" s="273">
        <v>600849</v>
      </c>
      <c r="Q106" s="273">
        <v>654173</v>
      </c>
      <c r="R106" s="273">
        <v>621367</v>
      </c>
      <c r="S106" s="273">
        <v>659450</v>
      </c>
      <c r="T106" s="273">
        <v>492450</v>
      </c>
      <c r="U106" s="273">
        <v>456990</v>
      </c>
      <c r="V106" s="273">
        <v>458004</v>
      </c>
      <c r="W106" s="273">
        <v>497888</v>
      </c>
      <c r="X106" s="273">
        <v>493113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157516</v>
      </c>
      <c r="C108" s="273">
        <v>149019</v>
      </c>
      <c r="D108" s="273">
        <v>162459</v>
      </c>
      <c r="E108" s="273">
        <v>183347</v>
      </c>
      <c r="F108" s="273">
        <v>168305</v>
      </c>
      <c r="G108" s="273">
        <v>184565</v>
      </c>
      <c r="H108" s="273">
        <v>125002</v>
      </c>
      <c r="I108" s="273">
        <v>148580</v>
      </c>
      <c r="J108" s="273">
        <v>159268</v>
      </c>
      <c r="K108" s="273">
        <v>136452</v>
      </c>
      <c r="L108" s="273">
        <v>152652</v>
      </c>
      <c r="M108" s="273">
        <v>161644</v>
      </c>
      <c r="N108" s="273">
        <v>133052</v>
      </c>
      <c r="O108" s="273">
        <v>138519</v>
      </c>
      <c r="P108" s="273">
        <v>198730</v>
      </c>
      <c r="Q108" s="273">
        <v>179396</v>
      </c>
      <c r="R108" s="273">
        <v>206499</v>
      </c>
      <c r="S108" s="273">
        <v>172136</v>
      </c>
      <c r="T108" s="273">
        <v>162513</v>
      </c>
      <c r="U108" s="273">
        <v>158128</v>
      </c>
      <c r="V108" s="273">
        <v>166012</v>
      </c>
      <c r="W108" s="273">
        <v>178732</v>
      </c>
      <c r="X108" s="273">
        <v>174037</v>
      </c>
    </row>
    <row r="109" spans="1:24" ht="14.25" thickBot="1" x14ac:dyDescent="0.3">
      <c r="A109" s="225" t="s">
        <v>264</v>
      </c>
      <c r="B109" s="275">
        <v>196711</v>
      </c>
      <c r="C109" s="275">
        <v>162385</v>
      </c>
      <c r="D109" s="275">
        <v>161805</v>
      </c>
      <c r="E109" s="275">
        <v>163216</v>
      </c>
      <c r="F109" s="275">
        <v>171794</v>
      </c>
      <c r="G109" s="275">
        <v>187742</v>
      </c>
      <c r="H109" s="275">
        <v>191045</v>
      </c>
      <c r="I109" s="275">
        <v>170872</v>
      </c>
      <c r="J109" s="275">
        <v>167970</v>
      </c>
      <c r="K109" s="275">
        <v>185474</v>
      </c>
      <c r="L109" s="275">
        <v>187063</v>
      </c>
      <c r="M109" s="275">
        <v>187627</v>
      </c>
      <c r="N109" s="275">
        <v>197291</v>
      </c>
      <c r="O109" s="275">
        <v>240019</v>
      </c>
      <c r="P109" s="275">
        <v>245764</v>
      </c>
      <c r="Q109" s="275">
        <v>249047</v>
      </c>
      <c r="R109" s="275">
        <v>254746</v>
      </c>
      <c r="S109" s="275">
        <v>265112</v>
      </c>
      <c r="T109" s="275">
        <v>279275</v>
      </c>
      <c r="U109" s="275">
        <v>303111</v>
      </c>
      <c r="V109" s="275">
        <v>282161</v>
      </c>
      <c r="W109" s="275">
        <v>262802</v>
      </c>
      <c r="X109" s="275">
        <v>257506</v>
      </c>
    </row>
    <row r="110" spans="1:24" ht="14.25" thickBot="1" x14ac:dyDescent="0.3">
      <c r="A110" s="224" t="s">
        <v>23</v>
      </c>
      <c r="B110" s="273">
        <v>21364</v>
      </c>
      <c r="C110" s="273">
        <v>22301</v>
      </c>
      <c r="D110" s="273">
        <v>27506</v>
      </c>
      <c r="E110" s="273">
        <v>26205</v>
      </c>
      <c r="F110" s="273">
        <v>48812</v>
      </c>
      <c r="G110" s="273">
        <v>49093</v>
      </c>
      <c r="H110" s="273">
        <v>51941</v>
      </c>
      <c r="I110" s="273">
        <v>53570</v>
      </c>
      <c r="J110" s="273">
        <v>62975</v>
      </c>
      <c r="K110" s="273">
        <v>66047</v>
      </c>
      <c r="L110" s="273">
        <v>65459</v>
      </c>
      <c r="M110" s="273">
        <v>61148</v>
      </c>
      <c r="N110" s="273">
        <v>67615</v>
      </c>
      <c r="O110" s="273">
        <v>61326</v>
      </c>
      <c r="P110" s="273">
        <v>61263</v>
      </c>
      <c r="Q110" s="273">
        <v>75156</v>
      </c>
      <c r="R110" s="273">
        <v>125401</v>
      </c>
      <c r="S110" s="273">
        <v>134712</v>
      </c>
      <c r="T110" s="273">
        <v>157266</v>
      </c>
      <c r="U110" s="273">
        <v>188466</v>
      </c>
      <c r="V110" s="273">
        <v>206202</v>
      </c>
      <c r="W110" s="273">
        <v>193541</v>
      </c>
      <c r="X110" s="273">
        <v>55659</v>
      </c>
    </row>
    <row r="111" spans="1:24" ht="14.25" thickBot="1" x14ac:dyDescent="0.3">
      <c r="A111" s="225" t="s">
        <v>24</v>
      </c>
      <c r="B111" s="275">
        <v>1057911</v>
      </c>
      <c r="C111" s="275">
        <v>1134832</v>
      </c>
      <c r="D111" s="275">
        <v>1068495</v>
      </c>
      <c r="E111" s="275">
        <v>1189049</v>
      </c>
      <c r="F111" s="275">
        <v>1272553</v>
      </c>
      <c r="G111" s="275">
        <v>1361184</v>
      </c>
      <c r="H111" s="275">
        <v>1109369</v>
      </c>
      <c r="I111" s="275">
        <v>1207629</v>
      </c>
      <c r="J111" s="275">
        <v>1091048</v>
      </c>
      <c r="K111" s="275">
        <v>1159424</v>
      </c>
      <c r="L111" s="275">
        <v>1052743</v>
      </c>
      <c r="M111" s="275">
        <v>1190748</v>
      </c>
      <c r="N111" s="275">
        <v>1158407</v>
      </c>
      <c r="O111" s="275">
        <v>1214550</v>
      </c>
      <c r="P111" s="275">
        <v>1106606</v>
      </c>
      <c r="Q111" s="275">
        <v>1157772</v>
      </c>
      <c r="R111" s="275">
        <v>1208013</v>
      </c>
      <c r="S111" s="275">
        <v>1231410</v>
      </c>
      <c r="T111" s="275">
        <v>1091504</v>
      </c>
      <c r="U111" s="275">
        <v>1106695</v>
      </c>
      <c r="V111" s="275">
        <v>1112379</v>
      </c>
      <c r="W111" s="275">
        <v>1132963</v>
      </c>
      <c r="X111" s="275">
        <v>980315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760529</v>
      </c>
      <c r="C113" s="275">
        <v>753237</v>
      </c>
      <c r="D113" s="275">
        <v>753048</v>
      </c>
      <c r="E113" s="275">
        <v>761782</v>
      </c>
      <c r="F113" s="275">
        <v>740626</v>
      </c>
      <c r="G113" s="275">
        <v>771676</v>
      </c>
      <c r="H113" s="275">
        <v>778417</v>
      </c>
      <c r="I113" s="275">
        <v>783815</v>
      </c>
      <c r="J113" s="275">
        <v>973108</v>
      </c>
      <c r="K113" s="275">
        <v>986257</v>
      </c>
      <c r="L113" s="275">
        <v>1004026</v>
      </c>
      <c r="M113" s="275">
        <v>1011476</v>
      </c>
      <c r="N113" s="275">
        <v>1056292</v>
      </c>
      <c r="O113" s="275">
        <v>1162741</v>
      </c>
      <c r="P113" s="275">
        <v>1237527</v>
      </c>
      <c r="Q113" s="275">
        <v>1389372</v>
      </c>
      <c r="R113" s="275">
        <v>1462666</v>
      </c>
      <c r="S113" s="275">
        <v>1691872</v>
      </c>
      <c r="T113" s="275">
        <v>1917547</v>
      </c>
      <c r="U113" s="275">
        <v>2081056</v>
      </c>
      <c r="V113" s="275">
        <v>2117936</v>
      </c>
      <c r="W113" s="275">
        <v>2441776</v>
      </c>
      <c r="X113" s="275">
        <v>2499036</v>
      </c>
    </row>
    <row r="114" spans="1:24" ht="14.25" thickBot="1" x14ac:dyDescent="0.3">
      <c r="A114" s="224" t="s">
        <v>27</v>
      </c>
      <c r="B114" s="273">
        <v>35611</v>
      </c>
      <c r="C114" s="273">
        <v>33092</v>
      </c>
      <c r="D114" s="273">
        <v>33174</v>
      </c>
      <c r="E114" s="273">
        <v>32376</v>
      </c>
      <c r="F114" s="273">
        <v>38944</v>
      </c>
      <c r="G114" s="273">
        <v>37131</v>
      </c>
      <c r="H114" s="273">
        <v>36617</v>
      </c>
      <c r="I114" s="273">
        <v>35158</v>
      </c>
      <c r="J114" s="273">
        <v>29706</v>
      </c>
      <c r="K114" s="273">
        <v>32669</v>
      </c>
      <c r="L114" s="273">
        <v>31336</v>
      </c>
      <c r="M114" s="273">
        <v>41063</v>
      </c>
      <c r="N114" s="273">
        <v>39551</v>
      </c>
      <c r="O114" s="273">
        <v>131072</v>
      </c>
      <c r="P114" s="273">
        <v>125832</v>
      </c>
      <c r="Q114" s="273">
        <v>129056</v>
      </c>
      <c r="R114" s="273">
        <v>129241</v>
      </c>
      <c r="S114" s="273">
        <v>128801</v>
      </c>
      <c r="T114" s="273">
        <v>128692</v>
      </c>
      <c r="U114" s="273">
        <v>133317</v>
      </c>
      <c r="V114" s="273">
        <v>133576</v>
      </c>
      <c r="W114" s="273">
        <v>130166</v>
      </c>
      <c r="X114" s="273">
        <v>198412</v>
      </c>
    </row>
    <row r="115" spans="1:24" ht="14.25" thickBot="1" x14ac:dyDescent="0.3">
      <c r="A115" s="225" t="s">
        <v>265</v>
      </c>
      <c r="B115" s="276">
        <v>1854051</v>
      </c>
      <c r="C115" s="276">
        <v>1921161</v>
      </c>
      <c r="D115" s="276">
        <v>1854717</v>
      </c>
      <c r="E115" s="276">
        <v>1983207</v>
      </c>
      <c r="F115" s="276">
        <v>2052123</v>
      </c>
      <c r="G115" s="276">
        <v>2169991</v>
      </c>
      <c r="H115" s="276">
        <v>1924403</v>
      </c>
      <c r="I115" s="276">
        <v>2026602</v>
      </c>
      <c r="J115" s="276">
        <v>2093862</v>
      </c>
      <c r="K115" s="276">
        <v>2178350</v>
      </c>
      <c r="L115" s="276">
        <v>2088105</v>
      </c>
      <c r="M115" s="276">
        <v>2243287</v>
      </c>
      <c r="N115" s="276">
        <v>2254250</v>
      </c>
      <c r="O115" s="276">
        <v>2508363</v>
      </c>
      <c r="P115" s="276">
        <v>2469965</v>
      </c>
      <c r="Q115" s="276">
        <v>2676200</v>
      </c>
      <c r="R115" s="276">
        <v>2799920</v>
      </c>
      <c r="S115" s="276">
        <v>3052083</v>
      </c>
      <c r="T115" s="276">
        <v>3137743</v>
      </c>
      <c r="U115" s="276">
        <v>3321068</v>
      </c>
      <c r="V115" s="276">
        <v>3363891</v>
      </c>
      <c r="W115" s="276">
        <v>3704905</v>
      </c>
      <c r="X115" s="276">
        <v>3677763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273">
        <v>26989</v>
      </c>
      <c r="N118" s="68">
        <v>0</v>
      </c>
      <c r="O118" s="68">
        <v>0</v>
      </c>
      <c r="P118" s="68">
        <v>0</v>
      </c>
      <c r="Q118" s="68">
        <v>0</v>
      </c>
      <c r="R118" s="273">
        <v>2000</v>
      </c>
      <c r="S118" s="273">
        <v>4000</v>
      </c>
      <c r="T118" s="273">
        <v>187000</v>
      </c>
      <c r="U118" s="273">
        <v>345000</v>
      </c>
      <c r="V118" s="273">
        <v>265000</v>
      </c>
      <c r="W118" s="273">
        <v>215000</v>
      </c>
      <c r="X118" s="273">
        <v>40000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124885</v>
      </c>
      <c r="C120" s="273">
        <v>100883</v>
      </c>
      <c r="D120" s="273">
        <v>131838</v>
      </c>
      <c r="E120" s="273">
        <v>151890</v>
      </c>
      <c r="F120" s="273">
        <v>134901</v>
      </c>
      <c r="G120" s="273">
        <v>165728</v>
      </c>
      <c r="H120" s="273">
        <v>131031</v>
      </c>
      <c r="I120" s="273">
        <v>119796</v>
      </c>
      <c r="J120" s="273">
        <v>131978</v>
      </c>
      <c r="K120" s="273">
        <v>141502</v>
      </c>
      <c r="L120" s="273">
        <v>140037</v>
      </c>
      <c r="M120" s="273">
        <v>140098</v>
      </c>
      <c r="N120" s="273">
        <v>149515</v>
      </c>
      <c r="O120" s="273">
        <v>166570</v>
      </c>
      <c r="P120" s="273">
        <v>170297</v>
      </c>
      <c r="Q120" s="273">
        <v>155271</v>
      </c>
      <c r="R120" s="273">
        <v>160940</v>
      </c>
      <c r="S120" s="273">
        <v>168396</v>
      </c>
      <c r="T120" s="273">
        <v>156676</v>
      </c>
      <c r="U120" s="273">
        <v>144574</v>
      </c>
      <c r="V120" s="273">
        <v>138779</v>
      </c>
      <c r="W120" s="273">
        <v>146297</v>
      </c>
      <c r="X120" s="273">
        <v>159033</v>
      </c>
    </row>
    <row r="121" spans="1:24" ht="14.25" thickBot="1" x14ac:dyDescent="0.3">
      <c r="A121" s="225" t="s">
        <v>267</v>
      </c>
      <c r="B121" s="275">
        <v>24082</v>
      </c>
      <c r="C121" s="275">
        <v>22481</v>
      </c>
      <c r="D121" s="275">
        <v>24110</v>
      </c>
      <c r="E121" s="275">
        <v>22700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273">
        <v>1813</v>
      </c>
      <c r="S122" s="273">
        <v>4829</v>
      </c>
      <c r="T122" s="273">
        <v>12063</v>
      </c>
      <c r="U122" s="273">
        <v>19296</v>
      </c>
      <c r="V122" s="273">
        <v>17371</v>
      </c>
      <c r="W122" s="273">
        <v>19990</v>
      </c>
      <c r="X122" s="273">
        <v>34246</v>
      </c>
    </row>
    <row r="123" spans="1:24" ht="14.25" thickBot="1" x14ac:dyDescent="0.3">
      <c r="A123" s="225" t="s">
        <v>31</v>
      </c>
      <c r="B123" s="275">
        <v>97565</v>
      </c>
      <c r="C123" s="275">
        <v>294763</v>
      </c>
      <c r="D123" s="275">
        <v>111556</v>
      </c>
      <c r="E123" s="275">
        <v>144161</v>
      </c>
      <c r="F123" s="275">
        <v>158861</v>
      </c>
      <c r="G123" s="275">
        <v>420884</v>
      </c>
      <c r="H123" s="275">
        <v>139886</v>
      </c>
      <c r="I123" s="275">
        <v>187807</v>
      </c>
      <c r="J123" s="275">
        <v>158335</v>
      </c>
      <c r="K123" s="275">
        <v>342081</v>
      </c>
      <c r="L123" s="275">
        <v>175353</v>
      </c>
      <c r="M123" s="275">
        <v>199330</v>
      </c>
      <c r="N123" s="275">
        <v>160696</v>
      </c>
      <c r="O123" s="275">
        <v>341132</v>
      </c>
      <c r="P123" s="275">
        <v>178414</v>
      </c>
      <c r="Q123" s="275">
        <v>255073</v>
      </c>
      <c r="R123" s="275">
        <v>268456</v>
      </c>
      <c r="S123" s="275">
        <v>436927</v>
      </c>
      <c r="T123" s="275">
        <v>274365</v>
      </c>
      <c r="U123" s="275">
        <v>252947</v>
      </c>
      <c r="V123" s="275">
        <v>251857</v>
      </c>
      <c r="W123" s="275">
        <v>657139</v>
      </c>
      <c r="X123" s="275">
        <v>458061</v>
      </c>
    </row>
    <row r="124" spans="1:24" ht="14.25" thickBot="1" x14ac:dyDescent="0.3">
      <c r="A124" s="224" t="s">
        <v>268</v>
      </c>
      <c r="B124" s="273">
        <v>246532</v>
      </c>
      <c r="C124" s="273">
        <v>418127</v>
      </c>
      <c r="D124" s="273">
        <v>267504</v>
      </c>
      <c r="E124" s="273">
        <v>318751</v>
      </c>
      <c r="F124" s="273">
        <v>293762</v>
      </c>
      <c r="G124" s="273">
        <v>586612</v>
      </c>
      <c r="H124" s="273">
        <v>270917</v>
      </c>
      <c r="I124" s="273">
        <v>307603</v>
      </c>
      <c r="J124" s="273">
        <v>290313</v>
      </c>
      <c r="K124" s="273">
        <v>483583</v>
      </c>
      <c r="L124" s="273">
        <v>315390</v>
      </c>
      <c r="M124" s="273">
        <v>366417</v>
      </c>
      <c r="N124" s="273">
        <v>310211</v>
      </c>
      <c r="O124" s="273">
        <v>507702</v>
      </c>
      <c r="P124" s="273">
        <v>348711</v>
      </c>
      <c r="Q124" s="273">
        <v>410344</v>
      </c>
      <c r="R124" s="273">
        <v>433209</v>
      </c>
      <c r="S124" s="273">
        <v>614152</v>
      </c>
      <c r="T124" s="273">
        <v>630104</v>
      </c>
      <c r="U124" s="273">
        <v>761817</v>
      </c>
      <c r="V124" s="273">
        <v>673007</v>
      </c>
      <c r="W124" s="273">
        <v>1038426</v>
      </c>
      <c r="X124" s="273">
        <v>691340</v>
      </c>
    </row>
    <row r="125" spans="1:24" ht="14.25" thickBot="1" x14ac:dyDescent="0.3">
      <c r="A125" s="225" t="s">
        <v>32</v>
      </c>
      <c r="B125" s="274">
        <v>0</v>
      </c>
      <c r="C125" s="275">
        <v>45056</v>
      </c>
      <c r="D125" s="274">
        <v>0</v>
      </c>
      <c r="E125" s="274">
        <v>0</v>
      </c>
      <c r="F125" s="275">
        <v>45316</v>
      </c>
      <c r="G125" s="275">
        <v>44508</v>
      </c>
      <c r="H125" s="275">
        <v>43703</v>
      </c>
      <c r="I125" s="275">
        <v>36173</v>
      </c>
      <c r="J125" s="275">
        <v>35422</v>
      </c>
      <c r="K125" s="275">
        <v>34653</v>
      </c>
      <c r="L125" s="275">
        <v>33853</v>
      </c>
      <c r="M125" s="275">
        <v>33957</v>
      </c>
      <c r="N125" s="275">
        <v>33171</v>
      </c>
      <c r="O125" s="275">
        <v>207639</v>
      </c>
      <c r="P125" s="275">
        <v>206641</v>
      </c>
      <c r="Q125" s="275">
        <v>243625</v>
      </c>
      <c r="R125" s="275">
        <v>240629</v>
      </c>
      <c r="S125" s="275">
        <v>386393</v>
      </c>
      <c r="T125" s="275">
        <v>377894</v>
      </c>
      <c r="U125" s="275">
        <v>369276</v>
      </c>
      <c r="V125" s="275">
        <v>439969</v>
      </c>
      <c r="W125" s="275">
        <v>525149</v>
      </c>
      <c r="X125" s="275">
        <v>765704</v>
      </c>
    </row>
    <row r="126" spans="1:24" ht="14.25" thickBot="1" x14ac:dyDescent="0.3">
      <c r="A126" s="224" t="s">
        <v>33</v>
      </c>
      <c r="B126" s="273">
        <v>23003</v>
      </c>
      <c r="C126" s="273">
        <v>-22289</v>
      </c>
      <c r="D126" s="273">
        <v>22533</v>
      </c>
      <c r="E126" s="273">
        <v>22291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269535</v>
      </c>
      <c r="C127" s="275">
        <v>440894</v>
      </c>
      <c r="D127" s="275">
        <v>290037</v>
      </c>
      <c r="E127" s="275">
        <v>341042</v>
      </c>
      <c r="F127" s="275">
        <v>339078</v>
      </c>
      <c r="G127" s="275">
        <v>631120</v>
      </c>
      <c r="H127" s="275">
        <v>314620</v>
      </c>
      <c r="I127" s="275">
        <v>343776</v>
      </c>
      <c r="J127" s="275">
        <v>325735</v>
      </c>
      <c r="K127" s="275">
        <v>518236</v>
      </c>
      <c r="L127" s="275">
        <v>349243</v>
      </c>
      <c r="M127" s="275">
        <v>400374</v>
      </c>
      <c r="N127" s="275">
        <v>343382</v>
      </c>
      <c r="O127" s="275">
        <v>715341</v>
      </c>
      <c r="P127" s="275">
        <v>555352</v>
      </c>
      <c r="Q127" s="275">
        <v>653969</v>
      </c>
      <c r="R127" s="275">
        <v>673838</v>
      </c>
      <c r="S127" s="275">
        <v>1000545</v>
      </c>
      <c r="T127" s="275">
        <v>1007998</v>
      </c>
      <c r="U127" s="275">
        <v>1131093</v>
      </c>
      <c r="V127" s="275">
        <v>1112976</v>
      </c>
      <c r="W127" s="275">
        <v>1563575</v>
      </c>
      <c r="X127" s="275">
        <v>1457044</v>
      </c>
    </row>
    <row r="128" spans="1:24" ht="14.25" thickBot="1" x14ac:dyDescent="0.3">
      <c r="A128" s="224" t="s">
        <v>34</v>
      </c>
      <c r="B128" s="273">
        <v>1584516</v>
      </c>
      <c r="C128" s="273">
        <v>1480267</v>
      </c>
      <c r="D128" s="273">
        <v>1564680</v>
      </c>
      <c r="E128" s="273">
        <v>1642165</v>
      </c>
      <c r="F128" s="273">
        <v>1713045</v>
      </c>
      <c r="G128" s="273">
        <v>1538871</v>
      </c>
      <c r="H128" s="273">
        <v>1609783</v>
      </c>
      <c r="I128" s="273">
        <v>1682826</v>
      </c>
      <c r="J128" s="273">
        <v>1768127</v>
      </c>
      <c r="K128" s="273">
        <v>1660114</v>
      </c>
      <c r="L128" s="273">
        <v>1738862</v>
      </c>
      <c r="M128" s="273">
        <v>1842913</v>
      </c>
      <c r="N128" s="273">
        <v>1910868</v>
      </c>
      <c r="O128" s="273">
        <v>1793022</v>
      </c>
      <c r="P128" s="273">
        <v>1914613</v>
      </c>
      <c r="Q128" s="273">
        <v>2022231</v>
      </c>
      <c r="R128" s="273">
        <v>2126082</v>
      </c>
      <c r="S128" s="273">
        <v>2051538</v>
      </c>
      <c r="T128" s="273">
        <v>2129745</v>
      </c>
      <c r="U128" s="273">
        <v>2189975</v>
      </c>
      <c r="V128" s="273">
        <v>2250915</v>
      </c>
      <c r="W128" s="273">
        <v>2141330</v>
      </c>
      <c r="X128" s="273">
        <v>2220719</v>
      </c>
    </row>
    <row r="129" spans="1:24" ht="14.25" thickBot="1" x14ac:dyDescent="0.3">
      <c r="A129" s="225" t="s">
        <v>35</v>
      </c>
      <c r="B129" s="276">
        <v>1854051</v>
      </c>
      <c r="C129" s="276">
        <v>1921161</v>
      </c>
      <c r="D129" s="276">
        <v>1854717</v>
      </c>
      <c r="E129" s="276">
        <v>1983207</v>
      </c>
      <c r="F129" s="276">
        <v>2052123</v>
      </c>
      <c r="G129" s="276">
        <v>2169991</v>
      </c>
      <c r="H129" s="276">
        <v>1924403</v>
      </c>
      <c r="I129" s="276">
        <v>2026602</v>
      </c>
      <c r="J129" s="276">
        <v>2093862</v>
      </c>
      <c r="K129" s="276">
        <v>2178350</v>
      </c>
      <c r="L129" s="276">
        <v>2088105</v>
      </c>
      <c r="M129" s="276">
        <v>2243287</v>
      </c>
      <c r="N129" s="276">
        <v>2254250</v>
      </c>
      <c r="O129" s="276">
        <v>2508363</v>
      </c>
      <c r="P129" s="276">
        <v>2469965</v>
      </c>
      <c r="Q129" s="276">
        <v>2676200</v>
      </c>
      <c r="R129" s="276">
        <v>2799920</v>
      </c>
      <c r="S129" s="276">
        <v>3052083</v>
      </c>
      <c r="T129" s="276">
        <v>3137743</v>
      </c>
      <c r="U129" s="276">
        <v>3321068</v>
      </c>
      <c r="V129" s="276">
        <v>3363891</v>
      </c>
      <c r="W129" s="276">
        <v>3704905</v>
      </c>
      <c r="X129" s="276">
        <v>3677763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6.21</v>
      </c>
      <c r="C132" s="68">
        <v>5.91</v>
      </c>
      <c r="D132" s="68">
        <v>5.81</v>
      </c>
      <c r="E132" s="68">
        <v>5.18</v>
      </c>
      <c r="F132" s="68">
        <v>5.14</v>
      </c>
    </row>
    <row r="133" spans="1:24" ht="14.25" thickBot="1" x14ac:dyDescent="0.3">
      <c r="A133" s="225" t="s">
        <v>37</v>
      </c>
      <c r="B133" s="274">
        <v>-0.62</v>
      </c>
      <c r="C133" s="274">
        <v>-1.62</v>
      </c>
      <c r="D133" s="274">
        <v>-4.54</v>
      </c>
      <c r="E133" s="274">
        <v>-7.3</v>
      </c>
      <c r="F133" s="274">
        <v>-13.13</v>
      </c>
    </row>
    <row r="134" spans="1:24" ht="14.25" thickBot="1" x14ac:dyDescent="0.3">
      <c r="A134" s="224" t="s">
        <v>38</v>
      </c>
      <c r="B134" s="68">
        <v>-2.72</v>
      </c>
      <c r="C134" s="68">
        <v>-4.01</v>
      </c>
      <c r="D134" s="68">
        <v>-2.09</v>
      </c>
      <c r="E134" s="68">
        <v>0.2</v>
      </c>
      <c r="F134" s="68">
        <v>5</v>
      </c>
    </row>
    <row r="135" spans="1:24" ht="14.25" thickBot="1" x14ac:dyDescent="0.3">
      <c r="A135" s="225" t="s">
        <v>270</v>
      </c>
      <c r="B135" s="274">
        <v>5.59</v>
      </c>
      <c r="C135" s="274">
        <v>4.28</v>
      </c>
      <c r="D135" s="274">
        <v>1.27</v>
      </c>
      <c r="E135" s="274">
        <v>-2.12</v>
      </c>
      <c r="F135" s="274">
        <v>-7.99</v>
      </c>
    </row>
    <row r="136" spans="1:24" ht="14.25" thickBot="1" x14ac:dyDescent="0.3">
      <c r="A136" s="229" t="s">
        <v>39</v>
      </c>
      <c r="B136" s="72">
        <v>2.87</v>
      </c>
      <c r="C136" s="72">
        <v>0.28000000000000003</v>
      </c>
      <c r="D136" s="72">
        <v>-0.82</v>
      </c>
      <c r="E136" s="72">
        <v>-1.92</v>
      </c>
      <c r="F136" s="72">
        <v>-2.99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4</v>
      </c>
      <c r="C140" s="68">
        <v>2.5</v>
      </c>
      <c r="D140" s="68">
        <v>2.5</v>
      </c>
      <c r="E140" s="68">
        <v>2.5</v>
      </c>
      <c r="F140" s="68">
        <v>2.5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0.82304526748971207</v>
      </c>
      <c r="C142" s="234">
        <f>IF(C140&lt;&gt;"無",IF(ISNA(HLOOKUP(C139,$B$64:$F$69,6,FALSE)),"",C140/HLOOKUP(C139,$B$64:$F$69,6,FALSE)),"")</f>
        <v>0.51334702258726894</v>
      </c>
      <c r="D142" s="234">
        <f>IF(D140&lt;&gt;"無",IF(ISNA(HLOOKUP(D139,$B$64:$F$69,6,FALSE)),"",D140/HLOOKUP(D139,$B$64:$F$69,6,FALSE)),"")</f>
        <v>0.50607287449392713</v>
      </c>
      <c r="E142" s="234">
        <f>IF(E140&lt;&gt;"無",IF(ISNA(HLOOKUP(E139,$B$64:$F$69,6,FALSE)),"",E140/HLOOKUP(E139,$B$64:$F$69,6,FALSE)),"")</f>
        <v>0.46992481203007519</v>
      </c>
      <c r="F142" s="234">
        <f>IF(F140&lt;&gt;"無",IF(ISNA(HLOOKUP(F139,$B$64:$F$69,6,FALSE)),"",F140/HLOOKUP(F139,$B$64:$F$69,6,FALSE)),"")</f>
        <v>0.49701789264413515</v>
      </c>
    </row>
    <row r="143" spans="1:24" x14ac:dyDescent="0.25">
      <c r="A143" s="233" t="s">
        <v>216</v>
      </c>
      <c r="B143" s="234">
        <f>IF(OR(B140=0,B140="無"),"",B135/B140)</f>
        <v>1.3975</v>
      </c>
      <c r="C143" s="234">
        <f>IF(OR(C140=0,C140="無"),"",C135/C140)</f>
        <v>1.7120000000000002</v>
      </c>
      <c r="D143" s="234">
        <f>IF(OR(D140=0,D140="無"),"",D135/D140)</f>
        <v>0.50800000000000001</v>
      </c>
      <c r="E143" s="234">
        <f>IF(OR(E140=0,E140="無"),"",E135/E140)</f>
        <v>-0.84800000000000009</v>
      </c>
      <c r="F143" s="234">
        <f>IF(OR(F140=0,F140="無"),"",F135/F140)</f>
        <v>-3.1960000000000002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39.99</v>
      </c>
      <c r="C146" s="68">
        <v>37.31</v>
      </c>
      <c r="D146" s="68">
        <v>39.950000000000003</v>
      </c>
      <c r="E146" s="68">
        <v>39.24</v>
      </c>
      <c r="F146" s="68">
        <v>39.090000000000003</v>
      </c>
      <c r="G146" s="68">
        <v>39.71</v>
      </c>
      <c r="H146" s="68">
        <v>37.07</v>
      </c>
      <c r="I146" s="68">
        <v>33.75</v>
      </c>
      <c r="J146" s="68">
        <v>36.130000000000003</v>
      </c>
      <c r="K146" s="68">
        <v>36.81</v>
      </c>
      <c r="L146" s="68">
        <v>34.53</v>
      </c>
      <c r="M146" s="68">
        <v>36.76</v>
      </c>
      <c r="N146" s="68">
        <v>36.67</v>
      </c>
      <c r="O146" s="68">
        <v>34.909999999999997</v>
      </c>
      <c r="P146" s="68">
        <v>36.56</v>
      </c>
      <c r="Q146" s="68">
        <v>39.03</v>
      </c>
      <c r="R146" s="68">
        <v>39.950000000000003</v>
      </c>
      <c r="S146" s="68">
        <v>37.76</v>
      </c>
      <c r="T146" s="68">
        <v>35.619999999999997</v>
      </c>
      <c r="U146" s="68">
        <v>31.82</v>
      </c>
      <c r="V146" s="68">
        <v>32.619999999999997</v>
      </c>
      <c r="W146" s="68">
        <v>29.03</v>
      </c>
      <c r="X146" s="68">
        <v>30.68</v>
      </c>
    </row>
    <row r="147" spans="1:24" s="93" customFormat="1" ht="14.25" thickBot="1" x14ac:dyDescent="0.3">
      <c r="A147" s="225" t="s">
        <v>19</v>
      </c>
      <c r="B147" s="274">
        <v>28.08</v>
      </c>
      <c r="C147" s="274">
        <v>24.67</v>
      </c>
      <c r="D147" s="274">
        <v>27.23</v>
      </c>
      <c r="E147" s="274">
        <v>27.08</v>
      </c>
      <c r="F147" s="274">
        <v>26.14</v>
      </c>
      <c r="G147" s="274">
        <v>26.71</v>
      </c>
      <c r="H147" s="274">
        <v>23.79</v>
      </c>
      <c r="I147" s="274">
        <v>22.4</v>
      </c>
      <c r="J147" s="274">
        <v>23.11</v>
      </c>
      <c r="K147" s="274">
        <v>23.77</v>
      </c>
      <c r="L147" s="274">
        <v>22.08</v>
      </c>
      <c r="M147" s="274">
        <v>26.48</v>
      </c>
      <c r="N147" s="274">
        <v>23.67</v>
      </c>
      <c r="O147" s="274">
        <v>21.02</v>
      </c>
      <c r="P147" s="274">
        <v>25.63</v>
      </c>
      <c r="Q147" s="274">
        <v>27.42</v>
      </c>
      <c r="R147" s="274">
        <v>27.82</v>
      </c>
      <c r="S147" s="274">
        <v>25.28</v>
      </c>
      <c r="T147" s="274">
        <v>24.08</v>
      </c>
      <c r="U147" s="274">
        <v>17.809999999999999</v>
      </c>
      <c r="V147" s="274">
        <v>20.34</v>
      </c>
      <c r="W147" s="274">
        <v>17.11</v>
      </c>
      <c r="X147" s="274">
        <v>19.100000000000001</v>
      </c>
    </row>
    <row r="148" spans="1:24" s="93" customFormat="1" ht="14.25" thickBot="1" x14ac:dyDescent="0.3">
      <c r="A148" s="224" t="s">
        <v>41</v>
      </c>
      <c r="B148" s="68">
        <v>25.1</v>
      </c>
      <c r="C148" s="68">
        <v>26.72</v>
      </c>
      <c r="D148" s="68">
        <v>26.31</v>
      </c>
      <c r="E148" s="68">
        <v>24.03</v>
      </c>
      <c r="F148" s="68">
        <v>30.02</v>
      </c>
      <c r="G148" s="68">
        <v>27.38</v>
      </c>
      <c r="H148" s="68">
        <v>23.2</v>
      </c>
      <c r="I148" s="68">
        <v>23.53</v>
      </c>
      <c r="J148" s="68">
        <v>26.55</v>
      </c>
      <c r="K148" s="68">
        <v>22.05</v>
      </c>
      <c r="L148" s="68">
        <v>24.27</v>
      </c>
      <c r="M148" s="68">
        <v>30.94</v>
      </c>
      <c r="N148" s="68">
        <v>22.23</v>
      </c>
      <c r="O148" s="68">
        <v>19.649999999999999</v>
      </c>
      <c r="P148" s="68">
        <v>32</v>
      </c>
      <c r="Q148" s="68">
        <v>28.19</v>
      </c>
      <c r="R148" s="68">
        <v>27.65</v>
      </c>
      <c r="S148" s="68">
        <v>27.62</v>
      </c>
      <c r="T148" s="68">
        <v>22.47</v>
      </c>
      <c r="U148" s="68">
        <v>19.27</v>
      </c>
      <c r="V148" s="68">
        <v>17.739999999999998</v>
      </c>
      <c r="W148" s="68">
        <v>18.260000000000002</v>
      </c>
      <c r="X148" s="68">
        <v>20.5</v>
      </c>
    </row>
    <row r="149" spans="1:24" s="93" customFormat="1" ht="14.25" thickBot="1" x14ac:dyDescent="0.3">
      <c r="A149" s="225" t="s">
        <v>13</v>
      </c>
      <c r="B149" s="73">
        <v>21.94</v>
      </c>
      <c r="C149" s="73">
        <v>22.19</v>
      </c>
      <c r="D149" s="73">
        <v>22.88</v>
      </c>
      <c r="E149" s="73">
        <v>20.260000000000002</v>
      </c>
      <c r="F149" s="73">
        <v>25.89</v>
      </c>
      <c r="G149" s="73">
        <v>23.5</v>
      </c>
      <c r="H149" s="73">
        <v>20.149999999999999</v>
      </c>
      <c r="I149" s="73">
        <v>19.47</v>
      </c>
      <c r="J149" s="73">
        <v>22.94</v>
      </c>
      <c r="K149" s="73">
        <v>15.71</v>
      </c>
      <c r="L149" s="73">
        <v>20.92</v>
      </c>
      <c r="M149" s="73">
        <v>26.79</v>
      </c>
      <c r="N149" s="73">
        <v>18.7</v>
      </c>
      <c r="O149" s="73">
        <v>13.34</v>
      </c>
      <c r="P149" s="73">
        <v>27.67</v>
      </c>
      <c r="Q149" s="73">
        <v>24.65</v>
      </c>
      <c r="R149" s="73">
        <v>22.98</v>
      </c>
      <c r="S149" s="73">
        <v>20</v>
      </c>
      <c r="T149" s="73">
        <v>18.63</v>
      </c>
      <c r="U149" s="73">
        <v>16.45</v>
      </c>
      <c r="V149" s="73">
        <v>14.34</v>
      </c>
      <c r="W149" s="73">
        <v>12.39</v>
      </c>
      <c r="X149" s="73">
        <v>17.010000000000002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39.14</v>
      </c>
      <c r="C152" s="68">
        <v>37.46</v>
      </c>
      <c r="D152" s="68">
        <v>36.06</v>
      </c>
      <c r="E152" s="68">
        <v>36.93</v>
      </c>
      <c r="F152" s="68">
        <v>36.53</v>
      </c>
    </row>
    <row r="153" spans="1:24" s="93" customFormat="1" ht="14.25" thickBot="1" x14ac:dyDescent="0.3">
      <c r="A153" s="225" t="s">
        <v>19</v>
      </c>
      <c r="B153" s="274">
        <v>26.79</v>
      </c>
      <c r="C153" s="274">
        <v>24.81</v>
      </c>
      <c r="D153" s="274">
        <v>23.9</v>
      </c>
      <c r="E153" s="274">
        <v>24.7</v>
      </c>
      <c r="F153" s="274">
        <v>24.04</v>
      </c>
    </row>
    <row r="154" spans="1:24" s="93" customFormat="1" ht="14.25" thickBot="1" x14ac:dyDescent="0.3">
      <c r="A154" s="224" t="s">
        <v>41</v>
      </c>
      <c r="B154" s="68">
        <v>25.51</v>
      </c>
      <c r="C154" s="68">
        <v>26.08</v>
      </c>
      <c r="D154" s="68">
        <v>26.05</v>
      </c>
      <c r="E154" s="68">
        <v>26.03</v>
      </c>
      <c r="F154" s="68">
        <v>24.54</v>
      </c>
    </row>
    <row r="155" spans="1:24" s="93" customFormat="1" ht="14.25" thickBot="1" x14ac:dyDescent="0.3">
      <c r="A155" s="225" t="s">
        <v>13</v>
      </c>
      <c r="B155" s="73">
        <v>21.79</v>
      </c>
      <c r="C155" s="73">
        <v>22.29</v>
      </c>
      <c r="D155" s="73">
        <v>21.7</v>
      </c>
      <c r="E155" s="73">
        <v>21.66</v>
      </c>
      <c r="F155" s="73">
        <v>19.690000000000001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4.1399999999999997</v>
      </c>
      <c r="C158" s="68">
        <v>4.0199999999999996</v>
      </c>
      <c r="D158" s="68">
        <v>4.47</v>
      </c>
      <c r="E158" s="68">
        <v>4.08</v>
      </c>
      <c r="F158" s="68">
        <v>4.59</v>
      </c>
      <c r="G158" s="68">
        <v>4.26</v>
      </c>
      <c r="H158" s="68">
        <v>3.47</v>
      </c>
      <c r="I158" s="68">
        <v>3.47</v>
      </c>
      <c r="J158" s="68">
        <v>4.1399999999999997</v>
      </c>
      <c r="K158" s="68">
        <v>2.67</v>
      </c>
      <c r="L158" s="68">
        <v>3.7</v>
      </c>
      <c r="M158" s="68">
        <v>4.9000000000000004</v>
      </c>
      <c r="N158" s="68">
        <v>3.02</v>
      </c>
      <c r="O158" s="68">
        <v>1.99</v>
      </c>
      <c r="P158" s="68">
        <v>4.91</v>
      </c>
      <c r="Q158" s="68">
        <v>4.45</v>
      </c>
      <c r="R158" s="68">
        <v>3.8</v>
      </c>
      <c r="S158" s="68">
        <v>3.1</v>
      </c>
      <c r="T158" s="68">
        <v>2.61</v>
      </c>
      <c r="U158" s="68">
        <v>1.92</v>
      </c>
      <c r="V158" s="68">
        <v>1.88</v>
      </c>
      <c r="W158" s="68">
        <v>1.61</v>
      </c>
      <c r="X158" s="68">
        <v>2.21</v>
      </c>
    </row>
    <row r="159" spans="1:24" s="93" customFormat="1" ht="14.25" thickBot="1" x14ac:dyDescent="0.3">
      <c r="A159" s="225" t="s">
        <v>45</v>
      </c>
      <c r="B159" s="73">
        <v>4.8600000000000003</v>
      </c>
      <c r="C159" s="73">
        <v>4.95</v>
      </c>
      <c r="D159" s="73">
        <v>5.54</v>
      </c>
      <c r="E159" s="73">
        <v>4.87</v>
      </c>
      <c r="F159" s="73">
        <v>5.55</v>
      </c>
      <c r="G159" s="73">
        <v>5.53</v>
      </c>
      <c r="H159" s="73">
        <v>4.5</v>
      </c>
      <c r="I159" s="73">
        <v>4.16</v>
      </c>
      <c r="J159" s="73">
        <v>4.9400000000000004</v>
      </c>
      <c r="K159" s="73">
        <v>3.33</v>
      </c>
      <c r="L159" s="73">
        <v>4.63</v>
      </c>
      <c r="M159" s="73">
        <v>5.91</v>
      </c>
      <c r="N159" s="73">
        <v>3.62</v>
      </c>
      <c r="O159" s="73">
        <v>2.5499999999999998</v>
      </c>
      <c r="P159" s="73">
        <v>6.56</v>
      </c>
      <c r="Q159" s="73">
        <v>5.82</v>
      </c>
      <c r="R159" s="73">
        <v>5.01</v>
      </c>
      <c r="S159" s="73">
        <v>4.33</v>
      </c>
      <c r="T159" s="73">
        <v>3.74</v>
      </c>
      <c r="U159" s="73">
        <v>2.78</v>
      </c>
      <c r="V159" s="73">
        <v>2.74</v>
      </c>
      <c r="W159" s="73">
        <v>2.5299999999999998</v>
      </c>
      <c r="X159" s="73">
        <v>3.64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21.79</v>
      </c>
      <c r="C162" s="68">
        <v>22.29</v>
      </c>
      <c r="D162" s="68">
        <v>21.7</v>
      </c>
      <c r="E162" s="68">
        <v>21.66</v>
      </c>
      <c r="F162" s="68">
        <v>19.690000000000001</v>
      </c>
    </row>
    <row r="163" spans="1:72" s="93" customFormat="1" ht="14.25" thickBot="1" x14ac:dyDescent="0.3">
      <c r="A163" s="225" t="s">
        <v>18</v>
      </c>
      <c r="B163" s="274">
        <v>0.73</v>
      </c>
      <c r="C163" s="274">
        <v>0.71</v>
      </c>
      <c r="D163" s="274">
        <v>0.67</v>
      </c>
      <c r="E163" s="274">
        <v>0.61</v>
      </c>
      <c r="F163" s="274">
        <v>0.51</v>
      </c>
    </row>
    <row r="164" spans="1:72" s="93" customFormat="1" ht="14.25" thickBot="1" x14ac:dyDescent="0.3">
      <c r="A164" s="224" t="s">
        <v>15</v>
      </c>
      <c r="B164" s="68">
        <v>1.23</v>
      </c>
      <c r="C164" s="68">
        <v>1.2</v>
      </c>
      <c r="D164" s="68">
        <v>1.22</v>
      </c>
      <c r="E164" s="68">
        <v>1.32</v>
      </c>
      <c r="F164" s="68">
        <v>1.52</v>
      </c>
    </row>
    <row r="165" spans="1:72" s="93" customFormat="1" ht="14.25" thickBot="1" x14ac:dyDescent="0.3">
      <c r="A165" s="225" t="s">
        <v>45</v>
      </c>
      <c r="B165" s="73">
        <v>19.89</v>
      </c>
      <c r="C165" s="73">
        <v>19.489999999999998</v>
      </c>
      <c r="D165" s="73">
        <v>18.55</v>
      </c>
      <c r="E165" s="73">
        <v>18.18</v>
      </c>
      <c r="F165" s="73">
        <v>15.8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38.46</v>
      </c>
      <c r="C168" s="68">
        <v>40.36</v>
      </c>
      <c r="D168" s="68">
        <v>37.97</v>
      </c>
      <c r="E168" s="68">
        <v>40.36</v>
      </c>
      <c r="F168" s="68">
        <v>42.45</v>
      </c>
      <c r="G168" s="68">
        <v>41.47</v>
      </c>
      <c r="H168" s="68">
        <v>39.65</v>
      </c>
      <c r="I168" s="68">
        <v>35.020000000000003</v>
      </c>
      <c r="J168" s="68">
        <v>37.19</v>
      </c>
      <c r="K168" s="68">
        <v>36.729999999999997</v>
      </c>
      <c r="L168" s="68">
        <v>34.619999999999997</v>
      </c>
      <c r="M168" s="68">
        <v>35.71</v>
      </c>
      <c r="N168" s="68">
        <v>36.44</v>
      </c>
      <c r="O168" s="68">
        <v>34.619999999999997</v>
      </c>
      <c r="P168" s="68">
        <v>34.479999999999997</v>
      </c>
      <c r="Q168" s="68">
        <v>36.590000000000003</v>
      </c>
      <c r="R168" s="68">
        <v>38.46</v>
      </c>
      <c r="S168" s="68">
        <v>37.659999999999997</v>
      </c>
      <c r="T168" s="68">
        <v>35.86</v>
      </c>
      <c r="U168" s="68">
        <v>39.47</v>
      </c>
      <c r="V168" s="68">
        <v>34.35</v>
      </c>
      <c r="W168" s="68">
        <v>34.619999999999997</v>
      </c>
      <c r="X168" s="68">
        <v>33.96</v>
      </c>
    </row>
    <row r="169" spans="1:72" s="93" customFormat="1" ht="14.25" thickBot="1" x14ac:dyDescent="0.3">
      <c r="A169" s="225" t="s">
        <v>17</v>
      </c>
      <c r="B169" s="274">
        <v>84.91</v>
      </c>
      <c r="C169" s="274">
        <v>75.63</v>
      </c>
      <c r="D169" s="274">
        <v>65.69</v>
      </c>
      <c r="E169" s="274">
        <v>62.5</v>
      </c>
      <c r="F169" s="274">
        <v>69.23</v>
      </c>
      <c r="G169" s="274">
        <v>70.31</v>
      </c>
      <c r="H169" s="274">
        <v>76.92</v>
      </c>
      <c r="I169" s="274">
        <v>69.77</v>
      </c>
      <c r="J169" s="274">
        <v>64.290000000000006</v>
      </c>
      <c r="K169" s="274">
        <v>69.23</v>
      </c>
      <c r="L169" s="274">
        <v>68.180000000000007</v>
      </c>
      <c r="M169" s="274">
        <v>67.67</v>
      </c>
      <c r="N169" s="274">
        <v>75</v>
      </c>
      <c r="O169" s="274">
        <v>85.71</v>
      </c>
      <c r="P169" s="274">
        <v>78.260000000000005</v>
      </c>
      <c r="Q169" s="274">
        <v>78.260000000000005</v>
      </c>
      <c r="R169" s="274">
        <v>83.33</v>
      </c>
      <c r="S169" s="274">
        <v>83.33</v>
      </c>
      <c r="T169" s="274">
        <v>90.91</v>
      </c>
      <c r="U169" s="274">
        <v>104.65</v>
      </c>
      <c r="V169" s="274">
        <v>91.84</v>
      </c>
      <c r="W169" s="274">
        <v>76.92</v>
      </c>
      <c r="X169" s="274">
        <v>72.58</v>
      </c>
    </row>
    <row r="170" spans="1:72" s="93" customFormat="1" ht="14.25" thickBot="1" x14ac:dyDescent="0.3">
      <c r="A170" s="224" t="s">
        <v>42</v>
      </c>
      <c r="B170" s="72">
        <v>123.37</v>
      </c>
      <c r="C170" s="72">
        <v>115.99</v>
      </c>
      <c r="D170" s="72">
        <v>103.67</v>
      </c>
      <c r="E170" s="72">
        <v>102.86</v>
      </c>
      <c r="F170" s="72">
        <v>111.68</v>
      </c>
      <c r="G170" s="72">
        <v>111.79</v>
      </c>
      <c r="H170" s="72">
        <v>116.57</v>
      </c>
      <c r="I170" s="72">
        <v>104.79</v>
      </c>
      <c r="J170" s="72">
        <v>101.48</v>
      </c>
      <c r="K170" s="72">
        <v>105.97</v>
      </c>
      <c r="L170" s="72">
        <v>102.8</v>
      </c>
      <c r="M170" s="72">
        <v>103.38</v>
      </c>
      <c r="N170" s="72">
        <v>111.44</v>
      </c>
      <c r="O170" s="72">
        <v>120.33</v>
      </c>
      <c r="P170" s="72">
        <v>112.74</v>
      </c>
      <c r="Q170" s="72">
        <v>114.85</v>
      </c>
      <c r="R170" s="72">
        <v>121.79</v>
      </c>
      <c r="S170" s="72">
        <v>120.99</v>
      </c>
      <c r="T170" s="72">
        <v>126.77</v>
      </c>
      <c r="U170" s="72">
        <v>144.12</v>
      </c>
      <c r="V170" s="72">
        <v>126.19</v>
      </c>
      <c r="W170" s="72">
        <v>111.54</v>
      </c>
      <c r="X170" s="72">
        <v>106.54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131.13</v>
      </c>
      <c r="C173" s="72">
        <v>120.93</v>
      </c>
      <c r="D173" s="72">
        <v>117.53</v>
      </c>
      <c r="E173" s="72">
        <v>97.11</v>
      </c>
      <c r="F173" s="72">
        <v>102.07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13.51</v>
      </c>
      <c r="C176" s="72">
        <v>15.8</v>
      </c>
      <c r="D176" s="72">
        <v>16.22</v>
      </c>
      <c r="E176" s="72">
        <v>16.47</v>
      </c>
      <c r="F176" s="72">
        <v>16.82</v>
      </c>
      <c r="G176" s="72">
        <v>16.38</v>
      </c>
      <c r="H176" s="72">
        <v>15.45</v>
      </c>
      <c r="I176" s="72">
        <v>18.07</v>
      </c>
      <c r="J176" s="72">
        <v>19.02</v>
      </c>
      <c r="K176" s="72">
        <v>19.420000000000002</v>
      </c>
      <c r="L176" s="72">
        <v>19.11</v>
      </c>
      <c r="M176" s="72">
        <v>18.68</v>
      </c>
      <c r="N176" s="72">
        <v>18.329999999999998</v>
      </c>
      <c r="O176" s="72">
        <v>19.170000000000002</v>
      </c>
      <c r="P176" s="72">
        <v>19.63</v>
      </c>
      <c r="Q176" s="72">
        <v>20.54</v>
      </c>
      <c r="R176" s="72">
        <v>19.829999999999998</v>
      </c>
      <c r="S176" s="72">
        <v>20.71</v>
      </c>
      <c r="T176" s="72">
        <v>20.21</v>
      </c>
      <c r="U176" s="72">
        <v>20.190000000000001</v>
      </c>
      <c r="V176" s="72">
        <v>19.48</v>
      </c>
      <c r="W176" s="72">
        <v>19.920000000000002</v>
      </c>
      <c r="X176" s="72">
        <v>21.29</v>
      </c>
      <c r="Y176" s="72">
        <v>20.56</v>
      </c>
      <c r="Z176" s="72">
        <v>18.79</v>
      </c>
      <c r="AA176" s="72">
        <v>18.13</v>
      </c>
      <c r="AB176" s="72">
        <v>17.600000000000001</v>
      </c>
      <c r="AC176" s="72">
        <v>16.350000000000001</v>
      </c>
      <c r="AD176" s="72">
        <v>16.399999999999999</v>
      </c>
      <c r="AE176" s="72">
        <v>16.5</v>
      </c>
      <c r="AF176" s="72">
        <v>16.309999999999999</v>
      </c>
      <c r="AG176" s="72">
        <v>16.48</v>
      </c>
      <c r="AH176" s="72">
        <v>16.100000000000001</v>
      </c>
      <c r="AI176" s="72">
        <v>15.32</v>
      </c>
      <c r="AJ176" s="72">
        <v>14.81</v>
      </c>
      <c r="AK176" s="72">
        <v>15.92</v>
      </c>
      <c r="AL176" s="72">
        <v>15.9</v>
      </c>
      <c r="AM176" s="72">
        <v>15.9</v>
      </c>
      <c r="AN176" s="72">
        <v>14.39</v>
      </c>
      <c r="AO176" s="72">
        <v>13.78</v>
      </c>
      <c r="AP176" s="72">
        <v>13.82</v>
      </c>
      <c r="AQ176" s="72">
        <v>13.33</v>
      </c>
      <c r="AR176" s="72">
        <v>12.78</v>
      </c>
      <c r="AS176" s="72">
        <v>11.86</v>
      </c>
      <c r="AT176" s="72">
        <v>13.37</v>
      </c>
      <c r="AU176" s="72">
        <v>14.33</v>
      </c>
      <c r="AV176" s="72">
        <v>14.34</v>
      </c>
      <c r="AW176" s="72">
        <v>14.81</v>
      </c>
      <c r="AX176" s="72">
        <v>15.35</v>
      </c>
      <c r="AY176" s="72">
        <v>16.87</v>
      </c>
      <c r="AZ176" s="72">
        <v>15.91</v>
      </c>
      <c r="BA176" s="72">
        <v>17.399999999999999</v>
      </c>
      <c r="BB176" s="72">
        <v>18</v>
      </c>
      <c r="BC176" s="72">
        <v>20</v>
      </c>
      <c r="BD176" s="72">
        <v>18.170000000000002</v>
      </c>
      <c r="BE176" s="72">
        <v>15.02</v>
      </c>
      <c r="BF176" s="72">
        <v>14.81</v>
      </c>
      <c r="BG176" s="72">
        <v>14.51</v>
      </c>
      <c r="BH176" s="72">
        <v>14.01</v>
      </c>
      <c r="BI176" s="72">
        <v>14.19</v>
      </c>
      <c r="BJ176" s="72">
        <v>13.91</v>
      </c>
      <c r="BK176" s="72">
        <v>14.11</v>
      </c>
      <c r="BL176" s="72">
        <v>16.25</v>
      </c>
      <c r="BM176" s="72">
        <v>15.59</v>
      </c>
      <c r="BN176" s="72">
        <v>17.940000000000001</v>
      </c>
      <c r="BO176" s="72">
        <v>18.3</v>
      </c>
      <c r="BP176" s="72">
        <v>17.850000000000001</v>
      </c>
      <c r="BQ176" s="72">
        <v>19.14</v>
      </c>
      <c r="BR176" s="72">
        <v>18.829999999999998</v>
      </c>
      <c r="BS176" s="72">
        <v>19.23</v>
      </c>
      <c r="BT176" s="72">
        <v>21.64</v>
      </c>
    </row>
  </sheetData>
  <phoneticPr fontId="3" type="noConversion"/>
  <conditionalFormatting sqref="E4">
    <cfRule type="cellIs" dxfId="3974" priority="101" operator="greaterThan">
      <formula>0.2</formula>
    </cfRule>
    <cfRule type="cellIs" dxfId="397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397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971" priority="95" operator="greaterThan">
      <formula>$B$19</formula>
    </cfRule>
  </conditionalFormatting>
  <conditionalFormatting sqref="D33:D34">
    <cfRule type="cellIs" dxfId="397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3969" priority="89" operator="lessThan">
      <formula>$H$62</formula>
    </cfRule>
    <cfRule type="cellIs" dxfId="3968" priority="90" operator="greaterThan">
      <formula>$H$62</formula>
    </cfRule>
  </conditionalFormatting>
  <conditionalFormatting sqref="J62">
    <cfRule type="cellIs" dxfId="3967" priority="87" operator="lessThan">
      <formula>$K$62</formula>
    </cfRule>
    <cfRule type="cellIs" dxfId="3966" priority="88" operator="greaterThan">
      <formula>$K$62</formula>
    </cfRule>
  </conditionalFormatting>
  <conditionalFormatting sqref="M62">
    <cfRule type="cellIs" dxfId="3965" priority="85" operator="lessThan">
      <formula>$N$62</formula>
    </cfRule>
    <cfRule type="cellIs" dxfId="3964" priority="86" operator="greaterThan">
      <formula>$N$62</formula>
    </cfRule>
  </conditionalFormatting>
  <conditionalFormatting sqref="B44:E44">
    <cfRule type="cellIs" dxfId="3963" priority="83" operator="greaterThan">
      <formula>0</formula>
    </cfRule>
    <cfRule type="cellIs" dxfId="3962" priority="84" operator="lessThan">
      <formula>0</formula>
    </cfRule>
  </conditionalFormatting>
  <conditionalFormatting sqref="F72">
    <cfRule type="cellIs" dxfId="3961" priority="82" operator="lessThan">
      <formula>$E$72*90%</formula>
    </cfRule>
  </conditionalFormatting>
  <conditionalFormatting sqref="F73">
    <cfRule type="cellIs" dxfId="3960" priority="81" operator="lessThan">
      <formula>$E$73*90%</formula>
    </cfRule>
  </conditionalFormatting>
  <conditionalFormatting sqref="F74">
    <cfRule type="cellIs" dxfId="3959" priority="80" operator="lessThan">
      <formula>$E$74*90%</formula>
    </cfRule>
  </conditionalFormatting>
  <conditionalFormatting sqref="F75">
    <cfRule type="cellIs" dxfId="3958" priority="79" operator="lessThan">
      <formula>$E$75*90%</formula>
    </cfRule>
  </conditionalFormatting>
  <conditionalFormatting sqref="H44:K44">
    <cfRule type="cellIs" dxfId="3957" priority="77" operator="greaterThan">
      <formula>0</formula>
    </cfRule>
    <cfRule type="cellIs" dxfId="3956" priority="78" operator="lessThan">
      <formula>0</formula>
    </cfRule>
  </conditionalFormatting>
  <conditionalFormatting sqref="H51:K51">
    <cfRule type="cellIs" dxfId="3955" priority="75" operator="greaterThan">
      <formula>0</formula>
    </cfRule>
    <cfRule type="cellIs" dxfId="3954" priority="76" operator="lessThan">
      <formula>0</formula>
    </cfRule>
  </conditionalFormatting>
  <conditionalFormatting sqref="B51:E51">
    <cfRule type="cellIs" dxfId="3953" priority="73" operator="greaterThan">
      <formula>0</formula>
    </cfRule>
    <cfRule type="cellIs" dxfId="395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95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95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949" priority="56" operator="lessThan">
      <formula>0</formula>
    </cfRule>
  </conditionalFormatting>
  <conditionalFormatting sqref="A25 E25 C25">
    <cfRule type="cellIs" dxfId="3948" priority="57" operator="lessThan">
      <formula>0</formula>
    </cfRule>
  </conditionalFormatting>
  <conditionalFormatting sqref="F25">
    <cfRule type="cellIs" dxfId="3947" priority="55" operator="lessThan">
      <formula>0</formula>
    </cfRule>
  </conditionalFormatting>
  <conditionalFormatting sqref="E1">
    <cfRule type="containsText" dxfId="3946" priority="54" operator="containsText" text="本季業外損益/平均=-">
      <formula>NOT(ISERROR(SEARCH("本季業外損益/平均=-",E1)))</formula>
    </cfRule>
  </conditionalFormatting>
  <conditionalFormatting sqref="M65">
    <cfRule type="cellIs" dxfId="3945" priority="53" operator="lessThan">
      <formula>$L$65*90%</formula>
    </cfRule>
  </conditionalFormatting>
  <conditionalFormatting sqref="M66">
    <cfRule type="cellIs" dxfId="3944" priority="52" operator="lessThan">
      <formula>$L$66*90%</formula>
    </cfRule>
  </conditionalFormatting>
  <conditionalFormatting sqref="M67">
    <cfRule type="cellIs" dxfId="3943" priority="51" operator="lessThan">
      <formula>$L$67*90%</formula>
    </cfRule>
  </conditionalFormatting>
  <conditionalFormatting sqref="M68">
    <cfRule type="cellIs" dxfId="3942" priority="50" operator="lessThan">
      <formula>$L$68*90%</formula>
    </cfRule>
  </conditionalFormatting>
  <conditionalFormatting sqref="B60">
    <cfRule type="cellIs" dxfId="3941" priority="49" operator="lessThan">
      <formula>0</formula>
    </cfRule>
  </conditionalFormatting>
  <conditionalFormatting sqref="B59:F59">
    <cfRule type="cellIs" dxfId="3940" priority="48" operator="lessThanOrEqual">
      <formula>0</formula>
    </cfRule>
  </conditionalFormatting>
  <conditionalFormatting sqref="D62">
    <cfRule type="cellIs" dxfId="3939" priority="46" operator="lessThan">
      <formula>$E$62</formula>
    </cfRule>
    <cfRule type="cellIs" dxfId="3938" priority="47" operator="greaterThan">
      <formula>$E$62</formula>
    </cfRule>
  </conditionalFormatting>
  <conditionalFormatting sqref="F69">
    <cfRule type="cellIs" dxfId="3937" priority="44" operator="lessThan">
      <formula>0</formula>
    </cfRule>
  </conditionalFormatting>
  <conditionalFormatting sqref="B65:E67 B69:E69 B68:D68">
    <cfRule type="cellIs" dxfId="3936" priority="45" operator="lessThan">
      <formula>0</formula>
    </cfRule>
  </conditionalFormatting>
  <conditionalFormatting sqref="E68">
    <cfRule type="cellIs" dxfId="3935" priority="43" operator="lessThan">
      <formula>0</formula>
    </cfRule>
  </conditionalFormatting>
  <conditionalFormatting sqref="F65:F68">
    <cfRule type="cellIs" dxfId="3934" priority="42" operator="lessThan">
      <formula>0</formula>
    </cfRule>
  </conditionalFormatting>
  <conditionalFormatting sqref="F65:F68">
    <cfRule type="cellIs" dxfId="3933" priority="41" operator="lessThan">
      <formula>$E$65*0.9</formula>
    </cfRule>
  </conditionalFormatting>
  <conditionalFormatting sqref="F66">
    <cfRule type="cellIs" dxfId="3932" priority="40" operator="lessThan">
      <formula>$E$66*0.9</formula>
    </cfRule>
  </conditionalFormatting>
  <conditionalFormatting sqref="F67:F68">
    <cfRule type="cellIs" dxfId="3931" priority="39" operator="lessThan">
      <formula>$E$67*0.9</formula>
    </cfRule>
  </conditionalFormatting>
  <conditionalFormatting sqref="F68">
    <cfRule type="cellIs" dxfId="3930" priority="38" operator="lessThan">
      <formula>$E$68*0.9</formula>
    </cfRule>
  </conditionalFormatting>
  <conditionalFormatting sqref="B13:F13">
    <cfRule type="cellIs" dxfId="3929" priority="27" operator="greaterThan">
      <formula>$I$16</formula>
    </cfRule>
    <cfRule type="cellIs" dxfId="3928" priority="28" operator="lessThanOrEqual">
      <formula>$I$16</formula>
    </cfRule>
  </conditionalFormatting>
  <conditionalFormatting sqref="B10:F10">
    <cfRule type="cellIs" dxfId="3927" priority="29" operator="greaterThan">
      <formula>15</formula>
    </cfRule>
    <cfRule type="cellIs" dxfId="3926" priority="36" operator="lessThan">
      <formula>$I$9</formula>
    </cfRule>
    <cfRule type="cellIs" dxfId="3925" priority="37" operator="greaterThan">
      <formula>$I$9</formula>
    </cfRule>
  </conditionalFormatting>
  <conditionalFormatting sqref="B16:F16">
    <cfRule type="cellIs" dxfId="3924" priority="34" operator="greaterThan">
      <formula>$I$16</formula>
    </cfRule>
    <cfRule type="cellIs" dxfId="3923" priority="35" operator="lessThanOrEqual">
      <formula>$I$16</formula>
    </cfRule>
  </conditionalFormatting>
  <conditionalFormatting sqref="B15:F15">
    <cfRule type="cellIs" dxfId="3922" priority="32" operator="lessThanOrEqual">
      <formula>$I$16</formula>
    </cfRule>
    <cfRule type="cellIs" dxfId="3921" priority="33" operator="greaterThan">
      <formula>$I$16</formula>
    </cfRule>
  </conditionalFormatting>
  <conditionalFormatting sqref="B14:F14">
    <cfRule type="cellIs" dxfId="3920" priority="30" operator="greaterThan">
      <formula>$I$16</formula>
    </cfRule>
    <cfRule type="cellIs" dxfId="3919" priority="31" operator="lessThanOrEqual">
      <formula>$I$16</formula>
    </cfRule>
  </conditionalFormatting>
  <conditionalFormatting sqref="K6">
    <cfRule type="containsText" dxfId="3918" priority="25" operator="containsText" text="衰退">
      <formula>NOT(ISERROR(SEARCH("衰退",K6)))</formula>
    </cfRule>
    <cfRule type="containsText" dxfId="3917" priority="26" operator="containsText" text="成長">
      <formula>NOT(ISERROR(SEARCH("成長",K6)))</formula>
    </cfRule>
  </conditionalFormatting>
  <conditionalFormatting sqref="I4:K4">
    <cfRule type="cellIs" dxfId="3916" priority="23" operator="lessThan">
      <formula>0</formula>
    </cfRule>
    <cfRule type="cellIs" dxfId="391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914" priority="20" operator="lessThanOrEqual">
      <formula>$I$16</formula>
    </cfRule>
    <cfRule type="cellIs" dxfId="3913" priority="21" operator="greaterThan">
      <formula>$I$16</formula>
    </cfRule>
  </conditionalFormatting>
  <conditionalFormatting sqref="I6">
    <cfRule type="containsText" dxfId="3912" priority="18" operator="containsText" text="衰退">
      <formula>NOT(ISERROR(SEARCH("衰退",I6)))</formula>
    </cfRule>
    <cfRule type="containsText" dxfId="3911" priority="19" operator="containsText" text="成長">
      <formula>NOT(ISERROR(SEARCH("成長",I6)))</formula>
    </cfRule>
  </conditionalFormatting>
  <conditionalFormatting sqref="M9">
    <cfRule type="cellIs" dxfId="3910" priority="17" operator="lessThan">
      <formula>$I$9</formula>
    </cfRule>
  </conditionalFormatting>
  <conditionalFormatting sqref="M10">
    <cfRule type="cellIs" dxfId="3909" priority="16" operator="greaterThan">
      <formula>$I$9</formula>
    </cfRule>
  </conditionalFormatting>
  <conditionalFormatting sqref="M11">
    <cfRule type="cellIs" dxfId="390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907" priority="12" operator="lessThan">
      <formula>0</formula>
    </cfRule>
    <cfRule type="cellIs" dxfId="3906" priority="13" operator="greaterThan">
      <formula>0.5</formula>
    </cfRule>
  </conditionalFormatting>
  <conditionalFormatting sqref="N14">
    <cfRule type="cellIs" dxfId="390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904" priority="8" operator="lessThan">
      <formula>0.1</formula>
    </cfRule>
  </conditionalFormatting>
  <conditionalFormatting sqref="I14">
    <cfRule type="cellIs" dxfId="390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90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901" priority="1" operator="lessThan">
      <formula>$N$5*0.9</formula>
    </cfRule>
    <cfRule type="cellIs" dxfId="3900" priority="2" operator="greaterThan">
      <formula>$N$5*1.1</formula>
    </cfRule>
  </conditionalFormatting>
  <hyperlinks>
    <hyperlink ref="L1" location="儀表板!A1" display="(回首頁)" xr:uid="{00000000-0004-0000-3300-000000000000}"/>
  </hyperlink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4 ~ 25.77</v>
      </c>
      <c r="L1" s="83" t="s">
        <v>176</v>
      </c>
      <c r="M1" s="84" t="str">
        <f ca="1">VLOOKUP(_xlfn.NUMBERVALUE(N1),儀表板!A:B,2,FALSE)</f>
        <v>鐿鈦科技</v>
      </c>
      <c r="N1" s="85" t="str">
        <f ca="1">MID(CELL("filename",L1),FIND("]",CELL("filename",L1))+1,255)</f>
        <v>4163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0.16373335234225564</v>
      </c>
    </row>
    <row r="3" spans="1:15" s="93" customFormat="1" x14ac:dyDescent="0.25">
      <c r="A3" s="81" t="s">
        <v>179</v>
      </c>
      <c r="B3" s="94">
        <f>SUM(F19:F22,F24:F27,J19)</f>
        <v>79.592054205404139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77.118941102432956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84.248837671104255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94.945815946184453</v>
      </c>
      <c r="L3" s="100"/>
      <c r="M3" s="79" t="s">
        <v>385</v>
      </c>
      <c r="N3" s="92">
        <f>(F69-E69)/E69</f>
        <v>-0.52141661632735303</v>
      </c>
    </row>
    <row r="4" spans="1:15" s="93" customFormat="1" x14ac:dyDescent="0.25">
      <c r="A4" s="81" t="s">
        <v>182</v>
      </c>
      <c r="B4" s="96">
        <f>SUM(G36:G40)*2</f>
        <v>90</v>
      </c>
      <c r="C4" s="101"/>
      <c r="D4" s="102">
        <f>F4*(1+F141/10)</f>
        <v>4.0199999999999996</v>
      </c>
      <c r="E4" s="82">
        <f>(D4-F4)/F4</f>
        <v>0</v>
      </c>
      <c r="F4" s="103">
        <v>4.0199999999999996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4.1876046071356612</v>
      </c>
    </row>
    <row r="5" spans="1:15" s="93" customFormat="1" x14ac:dyDescent="0.25">
      <c r="A5" s="81" t="s">
        <v>184</v>
      </c>
      <c r="B5" s="107">
        <f>SUM(F30:F34)*2</f>
        <v>98.104104104104096</v>
      </c>
      <c r="C5" s="87"/>
      <c r="D5" s="87"/>
      <c r="E5" s="87"/>
      <c r="F5" s="86"/>
      <c r="G5" s="88"/>
      <c r="M5" s="79" t="s">
        <v>386</v>
      </c>
      <c r="N5" s="152">
        <f>D62</f>
        <v>4.9800000000000004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5.3578442534663919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31.71</v>
      </c>
      <c r="N9" s="129"/>
    </row>
    <row r="10" spans="1:15" s="93" customFormat="1" x14ac:dyDescent="0.25">
      <c r="A10" s="123" t="s">
        <v>194</v>
      </c>
      <c r="B10" s="126">
        <f>PERCENTILE(176:176,B9)</f>
        <v>16.739999999999998</v>
      </c>
      <c r="C10" s="126">
        <f>PERCENTILE(176:176,C9)</f>
        <v>18.074000000000002</v>
      </c>
      <c r="D10" s="126">
        <f>PERCENTILE(176:176,D9)</f>
        <v>19.744999999999997</v>
      </c>
      <c r="E10" s="126">
        <f>PERCENTILE(176:176,E9)</f>
        <v>22.251999999999999</v>
      </c>
      <c r="F10" s="126">
        <f>PERCENTILE(176:176,F9)</f>
        <v>24.071999999999999</v>
      </c>
      <c r="G10" s="95"/>
      <c r="H10" s="135"/>
      <c r="I10" s="135"/>
      <c r="J10" s="135"/>
      <c r="K10" s="135"/>
      <c r="L10" s="136" t="s">
        <v>374</v>
      </c>
      <c r="M10" s="130">
        <f>MIN(176:176)</f>
        <v>13.21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34.93</v>
      </c>
      <c r="L11" s="272" t="s">
        <v>193</v>
      </c>
      <c r="M11" s="128">
        <f>STDEV(176:176)</f>
        <v>4.3883694431556854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71.778711484593842</v>
      </c>
      <c r="C13" s="141">
        <f>$B$34/5.88%</f>
        <v>87.159863945578238</v>
      </c>
      <c r="D13" s="141">
        <f>$B$34/5%</f>
        <v>102.5</v>
      </c>
      <c r="E13" s="141">
        <f>$B$34/4.35%</f>
        <v>117.81609195402299</v>
      </c>
      <c r="F13" s="141">
        <f>$B$34/3.85%</f>
        <v>133.11688311688312</v>
      </c>
      <c r="G13" s="138" t="str">
        <f>"$"&amp;ROUND(B34,2)&amp;"/"&amp;IF(STDEV(C140:F140)/AVERAGE(C140:F140)&lt;15%,"高",IF(STDEV(C140:F140)/AVERAGE(C140:F140)&lt;30%,"中","低"))</f>
        <v>$5.13/高</v>
      </c>
      <c r="H13" s="142" t="s">
        <v>199</v>
      </c>
      <c r="I13" s="143">
        <f>MAX(0,1-J15)</f>
        <v>0.31428571428571428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125.42444999999998</v>
      </c>
      <c r="C14" s="141">
        <f>$B$33*C10</f>
        <v>135.419445</v>
      </c>
      <c r="D14" s="141">
        <f>$B$33*D10</f>
        <v>147.93941249999997</v>
      </c>
      <c r="E14" s="141">
        <f>$B$33*E10</f>
        <v>166.72310999999999</v>
      </c>
      <c r="F14" s="141">
        <f>$B$33*F10</f>
        <v>180.35945999999998</v>
      </c>
      <c r="G14" s="138" t="str">
        <f>"$"&amp;ROUND(B33,2)&amp;"/"&amp;IF(STDEV(B69:E69)/AVERAGE(B69:E69)&lt;15%,"高",IF(STDEV(B69:E69)/AVERAGE(B69:E69)&lt;30%,"中","低"))</f>
        <v>$7.49/中</v>
      </c>
      <c r="H14" s="142" t="s">
        <v>203</v>
      </c>
      <c r="I14" s="145">
        <f>G62/100*I13</f>
        <v>4.3214285714285719E-2</v>
      </c>
      <c r="J14" s="76" t="s">
        <v>204</v>
      </c>
      <c r="K14" s="146"/>
      <c r="L14" s="147">
        <f>(HLOOKUP($C$1,$105:$106,2,FALSE)-HLOOKUP($C$1,$117:$127,9,FALSE))/(HLOOKUP($C$1,$117:$128,12,FALSE)/K11)</f>
        <v>21.015515330918717</v>
      </c>
      <c r="M14" s="148">
        <f>E135/E69</f>
        <v>0.52571428571428569</v>
      </c>
      <c r="N14" s="149">
        <f>F173/100</f>
        <v>1.3852000000000002</v>
      </c>
    </row>
    <row r="15" spans="1:15" s="93" customFormat="1" x14ac:dyDescent="0.25">
      <c r="A15" s="140" t="s">
        <v>375</v>
      </c>
      <c r="B15" s="141">
        <f>$D$62*B10</f>
        <v>83.365200000000002</v>
      </c>
      <c r="C15" s="141">
        <f>$D$62*C10</f>
        <v>90.008520000000019</v>
      </c>
      <c r="D15" s="141">
        <f>$D$62*D10</f>
        <v>98.330100000000002</v>
      </c>
      <c r="E15" s="141">
        <f>$D$62*E10</f>
        <v>110.81496</v>
      </c>
      <c r="F15" s="141">
        <f>$D$62*F10</f>
        <v>119.87856000000001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0.68571428571428572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70.100501123450968</v>
      </c>
      <c r="C16" s="141">
        <f>$F$69*C10</f>
        <v>75.686765669369947</v>
      </c>
      <c r="D16" s="141">
        <f>$F$69*D10</f>
        <v>82.684252967893613</v>
      </c>
      <c r="E16" s="141">
        <f>$F$69*E10</f>
        <v>93.182577717982724</v>
      </c>
      <c r="F16" s="141">
        <f>$F$69*F10</f>
        <v>100.80401810296964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212</v>
      </c>
      <c r="J17" s="92">
        <f ca="1">IF(I17&lt;=0,"",IF(I17&lt;=MIN($B$13:$F$16),(I17-MIN($B$13:$F$16))/MIN($B$13:$F$16),IF(I17&gt;=MAX($B$13:$F$16),I17/MAX($B$13:$F$16),PERCENTRANK($B$13:$F$16,I17))))</f>
        <v>1.175430443182742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5.7475000000000005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12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1.1214634146341464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0.41303140644557085</v>
      </c>
      <c r="J20" s="171">
        <f>HLOOKUP($C$1,$117:$127,11,FALSE)/HLOOKUP($C$1,$105:$115,11,FALSE)</f>
        <v>0.50071358098993246</v>
      </c>
      <c r="K20" s="163"/>
    </row>
    <row r="21" spans="1:14" s="93" customFormat="1" x14ac:dyDescent="0.25">
      <c r="A21" s="151" t="s">
        <v>201</v>
      </c>
      <c r="B21" s="161">
        <f>AVERAGE(C173:F173)/100</f>
        <v>1.1274999999999999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1.3518669577725575</v>
      </c>
      <c r="J21" s="78"/>
      <c r="K21" s="164" t="s">
        <v>356</v>
      </c>
      <c r="L21" s="165">
        <f>HLOOKUP($C$1,$105:$115,7,FALSE)/HLOOKUP($C$1,$105:$115,11,FALSE)</f>
        <v>0.63707665213450781</v>
      </c>
      <c r="M21" s="123" t="s">
        <v>268</v>
      </c>
      <c r="N21" s="165">
        <f>HLOOKUP($C$1,$117:$127,8,FALSE)/HLOOKUP($C$1,$117:$127,11,FALSE)</f>
        <v>0.94117062724793821</v>
      </c>
    </row>
    <row r="22" spans="1:14" s="93" customFormat="1" x14ac:dyDescent="0.25">
      <c r="A22" s="140" t="s">
        <v>222</v>
      </c>
      <c r="B22" s="161">
        <f>(-1)*SUM(C133:F133)/SUM(C132:F132)</f>
        <v>0.32481644640234952</v>
      </c>
      <c r="C22" s="157"/>
      <c r="D22" s="166"/>
      <c r="E22" s="140"/>
      <c r="F22" s="159">
        <f>IF(B22&lt;=0,10,IF(B22&gt;=100%,0,(1-B22)*10))</f>
        <v>6.7518355359765048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0.91992979683904841</v>
      </c>
      <c r="J22" s="78"/>
      <c r="K22" s="142" t="s">
        <v>357</v>
      </c>
      <c r="L22" s="165">
        <f>HLOOKUP($C$1,$105:$115,4,FALSE)/HLOOKUP($C$1,$105:$115,11,FALSE)</f>
        <v>6.0493264413643201E-2</v>
      </c>
      <c r="M22" s="123" t="s">
        <v>353</v>
      </c>
      <c r="N22" s="165">
        <f>HLOOKUP($C$1,$117:$127,4,FALSE)/HLOOKUP($C$1,$117:$127,11,FALSE)</f>
        <v>0.17511443242863539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2.0028584033643342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0.20355337397506001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32.14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3.0421252598433143E-2</v>
      </c>
      <c r="M24" s="123" t="s">
        <v>355</v>
      </c>
      <c r="N24" s="165">
        <f>HLOOKUP($C$1,$117:$127,9,FALSE)/HLOOKUP($C$1,$117:$127,11,FALSE)</f>
        <v>5.8829372752061772E-2</v>
      </c>
    </row>
    <row r="25" spans="1:14" s="93" customFormat="1" x14ac:dyDescent="0.25">
      <c r="A25" s="151" t="s">
        <v>366</v>
      </c>
      <c r="B25" s="255">
        <f>AVERAGE(94:94)</f>
        <v>7509.739130434783</v>
      </c>
      <c r="C25" s="254">
        <f>STDEV(94:94)/AVERAGE(94:94)</f>
        <v>3.1597813305723701</v>
      </c>
      <c r="D25" s="76" t="str">
        <f>IF(C25&lt;=1,"高",IF(C25&lt;=2,"中","低"))</f>
        <v>低</v>
      </c>
      <c r="E25" s="149"/>
      <c r="F25" s="160">
        <f>MAX(0,10-ABS(C25))</f>
        <v>6.8402186694276299</v>
      </c>
      <c r="G25" s="88" t="s">
        <v>213</v>
      </c>
      <c r="H25" s="123" t="s">
        <v>232</v>
      </c>
      <c r="I25" s="170">
        <f>IF(HLOOKUP(C1,167:170,3,FALSE)="無",0,HLOOKUP(C1,167:170,3,FALSE))</f>
        <v>166.67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33.828260869565227</v>
      </c>
      <c r="C26" s="172">
        <f>IF(COUNTIF(168:168,"&gt;0")=0,0,STDEV(168:168))</f>
        <v>6.0115053720298413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167.07260869565218</v>
      </c>
      <c r="C27" s="172">
        <f>IF(COUNTIF(169:169,"&gt;0")=0,0,STDEV(169:169))</f>
        <v>16.046513135085341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4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0.39567499999999994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0.16589999999999999</v>
      </c>
      <c r="C31" s="157" t="s">
        <v>217</v>
      </c>
      <c r="D31" s="174">
        <f>COUNTIF(149:149,"&gt;8")/COUNT(149:149)</f>
        <v>0.86956521739130432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23.557500000000001</v>
      </c>
      <c r="C32" s="157" t="s">
        <v>217</v>
      </c>
      <c r="D32" s="174">
        <f>COUNTIF(159:159,"&gt;3")/COUNT(159:159)</f>
        <v>0.78260869565217395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7.4924999999999997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5.125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9.0520520520520513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1814167.75</v>
      </c>
      <c r="C36" s="178">
        <f>STDEV(C97:F97)</f>
        <v>225249.32027921861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39.567499999999995</v>
      </c>
      <c r="C37" s="180">
        <f>STDEV(C152:F152)</f>
        <v>1.9486127544144516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17.669999999999998</v>
      </c>
      <c r="C38" s="180">
        <f>STDEV(C153:F153)</f>
        <v>1.3464768843169928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23.557500000000001</v>
      </c>
      <c r="C39" s="181">
        <f>STDEV(C165:F165)</f>
        <v>1.922452860280325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7.4924999999999997</v>
      </c>
      <c r="C40" s="183">
        <f>STDEV(B69:E69)</f>
        <v>1.1316175738001493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-0.16867469879518074</v>
      </c>
      <c r="C44" s="186">
        <f>(C46-C49)/C49</f>
        <v>-0.65705128205128194</v>
      </c>
      <c r="D44" s="186">
        <f>(D46-D49)/D49</f>
        <v>-0.76595744680851063</v>
      </c>
      <c r="E44" s="186">
        <f>(E46-E49)/E49</f>
        <v>-9.4786729857819999E-3</v>
      </c>
      <c r="G44" s="86" t="s">
        <v>175</v>
      </c>
      <c r="H44" s="186">
        <f>(H47-H50)/H50</f>
        <v>-0.23925139099645934</v>
      </c>
      <c r="I44" s="186">
        <f>(I47-I50)/I50</f>
        <v>-0.5403329065300897</v>
      </c>
      <c r="J44" s="186">
        <f>(J47-J50)/J50</f>
        <v>-0.10825780463242694</v>
      </c>
      <c r="K44" s="186">
        <f>(K47-K50)/K50</f>
        <v>-0.26830571886691618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1.38</v>
      </c>
      <c r="C46" s="152">
        <f>HLOOKUP(C45,$81:$82,2,FALSE)</f>
        <v>1.07</v>
      </c>
      <c r="D46" s="152">
        <f>HLOOKUP(D45,$81:$82,2,FALSE)</f>
        <v>0.44</v>
      </c>
      <c r="E46" s="152">
        <f>HLOOKUP(E45,$81:$82,2,FALSE)</f>
        <v>2.09</v>
      </c>
      <c r="G46" s="86" t="s">
        <v>164</v>
      </c>
      <c r="H46" s="145">
        <f>HLOOKUP(H45,$145:$147,2,FALSE)/100</f>
        <v>0.36759999999999998</v>
      </c>
      <c r="I46" s="145">
        <f>HLOOKUP(I45,$145:$147,2,FALSE)/100</f>
        <v>0.3392</v>
      </c>
      <c r="J46" s="145">
        <f>HLOOKUP(J45,$145:$147,2,FALSE)/100</f>
        <v>0.40159999999999996</v>
      </c>
      <c r="K46" s="145">
        <f>HLOOKUP(K45,$145:$147,2,FALSE)/100</f>
        <v>0.40990000000000004</v>
      </c>
    </row>
    <row r="47" spans="1:14" x14ac:dyDescent="0.25">
      <c r="A47" s="188" t="s">
        <v>165</v>
      </c>
      <c r="B47" s="189">
        <f>HLOOKUP(B45,$157:$159,3,FALSE)</f>
        <v>4.03</v>
      </c>
      <c r="C47" s="189">
        <f>HLOOKUP(C45,$157:$159,3,FALSE)</f>
        <v>2.96</v>
      </c>
      <c r="D47" s="189">
        <f>HLOOKUP(D45,$157:$159,3,FALSE)</f>
        <v>1.1499999999999999</v>
      </c>
      <c r="E47" s="189">
        <f>HLOOKUP(E45,$157:$159,3,FALSE)</f>
        <v>5.61</v>
      </c>
      <c r="G47" s="190" t="s">
        <v>166</v>
      </c>
      <c r="H47" s="145">
        <f>HLOOKUP(H45,$145:$147,3,FALSE)/100</f>
        <v>0.15039999999999998</v>
      </c>
      <c r="I47" s="145">
        <f>HLOOKUP(I45,$145:$147,3,FALSE)/100</f>
        <v>0.10769999999999999</v>
      </c>
      <c r="J47" s="145">
        <f>HLOOKUP(J45,$145:$147,3,FALSE)/100</f>
        <v>0.17710000000000001</v>
      </c>
      <c r="K47" s="145">
        <f>HLOOKUP(K45,$145:$147,3,FALSE)/100</f>
        <v>0.13689999999999999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1.66</v>
      </c>
      <c r="C49" s="152">
        <f>HLOOKUP(C48,$81:$82,2,FALSE)</f>
        <v>3.12</v>
      </c>
      <c r="D49" s="152">
        <f>HLOOKUP(D48,$81:$82,2,FALSE)</f>
        <v>1.88</v>
      </c>
      <c r="E49" s="152">
        <f>HLOOKUP(E48,$81:$82,2,FALSE)</f>
        <v>2.11</v>
      </c>
      <c r="G49" s="86" t="s">
        <v>164</v>
      </c>
      <c r="H49" s="145">
        <f>HLOOKUP(H48,$145:$147,2,FALSE)/100</f>
        <v>0.42520000000000002</v>
      </c>
      <c r="I49" s="145">
        <f>HLOOKUP(I48,$145:$147,2,FALSE)/100</f>
        <v>0.43320000000000003</v>
      </c>
      <c r="J49" s="145">
        <f>HLOOKUP(J48,$145:$147,2,FALSE)/100</f>
        <v>0.42109999999999997</v>
      </c>
      <c r="K49" s="145">
        <f>HLOOKUP(K48,$145:$147,2,FALSE)/100</f>
        <v>0.43709999999999999</v>
      </c>
    </row>
    <row r="50" spans="1:15" x14ac:dyDescent="0.25">
      <c r="A50" s="188" t="s">
        <v>165</v>
      </c>
      <c r="B50" s="189">
        <f>HLOOKUP(B48,$157:$159,3,FALSE)</f>
        <v>4.68</v>
      </c>
      <c r="C50" s="189">
        <f>HLOOKUP(C48,$157:$159,3,FALSE)</f>
        <v>8.82</v>
      </c>
      <c r="D50" s="189">
        <f>HLOOKUP(D48,$157:$159,3,FALSE)</f>
        <v>5.35</v>
      </c>
      <c r="E50" s="189">
        <f>HLOOKUP(E48,$157:$159,3,FALSE)</f>
        <v>6.34</v>
      </c>
      <c r="G50" s="190" t="s">
        <v>166</v>
      </c>
      <c r="H50" s="145">
        <f>HLOOKUP(H48,$145:$147,3,FALSE)/100</f>
        <v>0.19769999999999999</v>
      </c>
      <c r="I50" s="145">
        <f>HLOOKUP(I48,$145:$147,3,FALSE)/100</f>
        <v>0.23430000000000001</v>
      </c>
      <c r="J50" s="145">
        <f>HLOOKUP(J48,$145:$147,3,FALSE)/100</f>
        <v>0.1986</v>
      </c>
      <c r="K50" s="145">
        <f>HLOOKUP(K48,$145:$147,3,FALSE)/100</f>
        <v>0.18710000000000002</v>
      </c>
    </row>
    <row r="51" spans="1:15" x14ac:dyDescent="0.25">
      <c r="A51" s="86" t="s">
        <v>351</v>
      </c>
      <c r="B51" s="186">
        <f>(B47-B50)/B50</f>
        <v>-0.13888888888888878</v>
      </c>
      <c r="C51" s="186">
        <f>(C47-C50)/C50</f>
        <v>-0.66439909297052158</v>
      </c>
      <c r="D51" s="186">
        <f>(D47-D50)/D50</f>
        <v>-0.78504672897196248</v>
      </c>
      <c r="E51" s="186">
        <f>(E47-E50)/E50</f>
        <v>-0.11514195583596208</v>
      </c>
      <c r="G51" s="235" t="s">
        <v>174</v>
      </c>
      <c r="H51" s="186">
        <f>(H46-H49)/H49</f>
        <v>-0.1354656632173096</v>
      </c>
      <c r="I51" s="186">
        <f>(I46-I49)/I49</f>
        <v>-0.21698984302862423</v>
      </c>
      <c r="J51" s="186">
        <f>(J46-J49)/J49</f>
        <v>-4.6307290429826689E-2</v>
      </c>
      <c r="K51" s="186">
        <f>(K46-K49)/K49</f>
        <v>-6.2228323038206239E-2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5.3578442534663919</v>
      </c>
      <c r="B53" s="193">
        <f>B46</f>
        <v>1.38</v>
      </c>
      <c r="C53" s="193">
        <f>E46/HLOOKUP(E45,$87:$94,5,FALSE)*HLOOKUP(E45,$87:$94,4,FALSE)*($B$25/HLOOKUP(E45,$87:$94,4,FALSE)+SUM($B$57:$D$57)/SUM($B58:$D$58)*$G$69/100/K46)</f>
        <v>1.2976046071356613</v>
      </c>
      <c r="D53" s="193">
        <f>D46/HLOOKUP(D45,$87:$94,5,FALSE)*HLOOKUP(D45,$87:$94,4,FALSE)*($B$25/HLOOKUP(D45,$87:$94,4,FALSE)+SUM($B$57:$D$57)/SUM($B58:$D$58)*$G$69/100/J46)</f>
        <v>1.5871516303666868</v>
      </c>
      <c r="E53" s="193">
        <f>C46/HLOOKUP(C45,$87:$94,5,FALSE)*HLOOKUP(C45,$87:$94,4,FALSE)*($B$25/HLOOKUP(C45,$87:$94,4,FALSE)+SUM($B$57:$D$57)/SUM($B58:$D$58)*$G$69/100/I46)</f>
        <v>1.093088015964043</v>
      </c>
    </row>
    <row r="54" spans="1:15" x14ac:dyDescent="0.25">
      <c r="A54" s="278">
        <f>SUM(B54:E54)</f>
        <v>5.2600000000000007</v>
      </c>
      <c r="B54" s="277">
        <f t="shared" ref="B54:D54" si="0">HLOOKUP(B52-10,81:82,2,FALSE)</f>
        <v>1.66</v>
      </c>
      <c r="C54" s="277">
        <f t="shared" si="0"/>
        <v>2.09</v>
      </c>
      <c r="D54" s="277">
        <f t="shared" si="0"/>
        <v>0.44</v>
      </c>
      <c r="E54" s="277">
        <f>HLOOKUP(E52-10,81:82,2,FALSE)</f>
        <v>1.07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148720</v>
      </c>
      <c r="C57" s="196">
        <f>HLOOKUP(C56,78:79,2,FALSE)</f>
        <v>166658</v>
      </c>
      <c r="D57" s="196">
        <f>HLOOKUP(D56,78:79,2,FALSE)</f>
        <v>155446</v>
      </c>
      <c r="E57" s="196">
        <f>HLOOKUP(E56,78:79,2,FALSE)</f>
        <v>165030</v>
      </c>
      <c r="F57" s="196">
        <f>HLOOKUP(F56,78:79,2,FALSE)</f>
        <v>158918</v>
      </c>
      <c r="G57" s="196">
        <f t="shared" ref="G57:M57" si="2">HLOOKUP(G56,78:79,2,FALSE)</f>
        <v>146156</v>
      </c>
      <c r="H57" s="196">
        <f t="shared" si="2"/>
        <v>147791</v>
      </c>
      <c r="I57" s="196">
        <f t="shared" si="2"/>
        <v>152247</v>
      </c>
      <c r="J57" s="196">
        <f t="shared" si="2"/>
        <v>156353</v>
      </c>
      <c r="K57" s="196">
        <f t="shared" si="2"/>
        <v>135039</v>
      </c>
      <c r="L57" s="196">
        <f t="shared" si="2"/>
        <v>114444</v>
      </c>
      <c r="M57" s="196">
        <f t="shared" si="2"/>
        <v>175945</v>
      </c>
      <c r="N57" s="197"/>
    </row>
    <row r="58" spans="1:15" x14ac:dyDescent="0.25">
      <c r="A58" s="198" t="s">
        <v>253</v>
      </c>
      <c r="B58" s="196">
        <f>HLOOKUP(B56-100,78:79,2,FALSE)</f>
        <v>171311</v>
      </c>
      <c r="C58" s="196">
        <f>HLOOKUP(C56-100,78:79,2,FALSE)</f>
        <v>158111</v>
      </c>
      <c r="D58" s="196">
        <f>HLOOKUP(D56-100,78:79,2,FALSE)</f>
        <v>159402</v>
      </c>
      <c r="E58" s="196">
        <f>HLOOKUP(E56-100,78:79,2,FALSE)</f>
        <v>186961</v>
      </c>
      <c r="F58" s="196">
        <f>HLOOKUP(F56-100,78:79,2,FALSE)</f>
        <v>229264</v>
      </c>
      <c r="G58" s="196">
        <f t="shared" ref="G58:M58" si="3">HLOOKUP(G56-100,78:79,2,FALSE)</f>
        <v>178468</v>
      </c>
      <c r="H58" s="196">
        <f t="shared" si="3"/>
        <v>188959</v>
      </c>
      <c r="I58" s="196">
        <f t="shared" si="3"/>
        <v>155907</v>
      </c>
      <c r="J58" s="196">
        <f t="shared" si="3"/>
        <v>167314</v>
      </c>
      <c r="K58" s="196">
        <f t="shared" si="3"/>
        <v>167270</v>
      </c>
      <c r="L58" s="196">
        <f t="shared" si="3"/>
        <v>161076</v>
      </c>
      <c r="M58" s="196">
        <f t="shared" si="3"/>
        <v>159351</v>
      </c>
      <c r="N58" s="197"/>
    </row>
    <row r="59" spans="1:15" x14ac:dyDescent="0.25">
      <c r="A59" s="199" t="s">
        <v>254</v>
      </c>
      <c r="B59" s="165">
        <f>IF(B57&lt;&gt;"",(B57-B58)/B58,"")</f>
        <v>-0.13187127504947144</v>
      </c>
      <c r="C59" s="165">
        <f>IF(C57&lt;&gt;"",(C57-C58)/C58,"")</f>
        <v>5.4056959983808842E-2</v>
      </c>
      <c r="D59" s="165">
        <f>IF(D57&lt;&gt;"",(D57-D58)/D58,"")</f>
        <v>-2.481775636441199E-2</v>
      </c>
      <c r="E59" s="165">
        <f>IF(E57&lt;&gt;"",(E57-E58)/E58,"")</f>
        <v>-0.11730253903220458</v>
      </c>
      <c r="F59" s="165">
        <f>IF(F57&lt;&gt;"",(F57-F58)/F58,"")</f>
        <v>-0.30683404285016402</v>
      </c>
      <c r="G59" s="165">
        <f t="shared" ref="G59:M59" si="4">IF(G57&lt;&gt;"",(G57-G58)/G58,"")</f>
        <v>-0.18105206535625434</v>
      </c>
      <c r="H59" s="165">
        <f t="shared" si="4"/>
        <v>-0.21786736805338724</v>
      </c>
      <c r="I59" s="165">
        <f t="shared" si="4"/>
        <v>-2.3475533491119707E-2</v>
      </c>
      <c r="J59" s="165">
        <f t="shared" si="4"/>
        <v>-6.5511553127652195E-2</v>
      </c>
      <c r="K59" s="165">
        <f t="shared" si="4"/>
        <v>-0.19268846774675674</v>
      </c>
      <c r="L59" s="165">
        <f t="shared" si="4"/>
        <v>-0.28950309170826194</v>
      </c>
      <c r="M59" s="165">
        <f t="shared" si="4"/>
        <v>0.10413489717667287</v>
      </c>
    </row>
    <row r="60" spans="1:15" x14ac:dyDescent="0.25">
      <c r="A60" s="195" t="s">
        <v>255</v>
      </c>
      <c r="B60" s="196">
        <f>SUM(B57:M57)</f>
        <v>1822747</v>
      </c>
    </row>
    <row r="61" spans="1:15" x14ac:dyDescent="0.25">
      <c r="A61" s="198" t="s">
        <v>256</v>
      </c>
      <c r="B61" s="196">
        <f>SUM(B58:M58)</f>
        <v>2083394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0.87489308311341973</v>
      </c>
      <c r="D62" s="152">
        <f>SUM(B46:E46)</f>
        <v>4.9800000000000004</v>
      </c>
      <c r="E62" s="152">
        <f>SUM(B49:E49)</f>
        <v>8.77</v>
      </c>
      <c r="G62" s="126">
        <f>SUM(B47:E47)</f>
        <v>13.75</v>
      </c>
      <c r="H62" s="126">
        <f>SUM(B50:E50)</f>
        <v>25.19</v>
      </c>
      <c r="J62" s="200">
        <f>AVERAGE(H46:K46)</f>
        <v>0.379575</v>
      </c>
      <c r="K62" s="200">
        <f>AVERAGE(H49:K49)</f>
        <v>0.42915000000000003</v>
      </c>
      <c r="M62" s="200">
        <f>AVERAGE(H47:K47)</f>
        <v>0.14302500000000001</v>
      </c>
      <c r="N62" s="200">
        <f>AVERAGE(H50:K50)</f>
        <v>0.20442500000000002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1.48</v>
      </c>
      <c r="C65" s="205">
        <f t="shared" si="5"/>
        <v>1.67</v>
      </c>
      <c r="D65" s="205">
        <f t="shared" si="5"/>
        <v>1.65</v>
      </c>
      <c r="E65" s="205">
        <f t="shared" si="5"/>
        <v>1.88</v>
      </c>
      <c r="F65" s="206">
        <f>IF(ISNA(HLOOKUP(F$64*10+$A65,$81:$82,2,FALSE)),(HLOOKUP(E$64*10+$A65,$87:$94,4,FALSE)*$G65+$B$25)/HLOOKUP(E$64*10+$A65,$87:$94,5,FALSE)*$E65,HLOOKUP(F$64*10+$A65,$81:$82,2,FALSE))</f>
        <v>0.44</v>
      </c>
      <c r="G65" s="101">
        <f>MIN(130%,SUM($B$57:$D$57)/SUM($B$58:$D$58)*$G$69/HLOOKUP(E$64*10+$A65,$145:$146,2,FALSE))</f>
        <v>0.87437800082767525</v>
      </c>
      <c r="H65" s="204">
        <v>1</v>
      </c>
      <c r="I65" s="208">
        <f t="shared" ref="I65:M68" si="6">IF(ISNA(HLOOKUP(I$64*10+$H65,$145:$147,3,FALSE)),"",HLOOKUP(I$64*10+$H65,$145:$147,3,FALSE)/100)</f>
        <v>0.16500000000000001</v>
      </c>
      <c r="J65" s="208">
        <f t="shared" si="6"/>
        <v>0.1704</v>
      </c>
      <c r="K65" s="208">
        <f t="shared" si="6"/>
        <v>0.16329999999999997</v>
      </c>
      <c r="L65" s="208">
        <f t="shared" si="6"/>
        <v>0.1986</v>
      </c>
      <c r="M65" s="209">
        <f t="shared" si="6"/>
        <v>0.17710000000000001</v>
      </c>
      <c r="N65" s="256">
        <f t="shared" ref="N65:O68" si="7">HLOOKUP(E$64*10+$A65,$87:$94,8,FALSE)</f>
        <v>-8135</v>
      </c>
      <c r="O65" s="256">
        <f t="shared" si="7"/>
        <v>-56506</v>
      </c>
      <c r="P65" s="210"/>
    </row>
    <row r="66" spans="1:71" x14ac:dyDescent="0.25">
      <c r="A66" s="204">
        <v>2</v>
      </c>
      <c r="B66" s="205">
        <f t="shared" si="5"/>
        <v>1.71</v>
      </c>
      <c r="C66" s="205">
        <f t="shared" si="5"/>
        <v>2.0499999999999998</v>
      </c>
      <c r="D66" s="205">
        <f t="shared" si="5"/>
        <v>0.93</v>
      </c>
      <c r="E66" s="205">
        <f t="shared" si="5"/>
        <v>3.12</v>
      </c>
      <c r="F66" s="206">
        <f>IF(ISNA(HLOOKUP(F$64*10+$A66,$81:$82,2,FALSE)),(HLOOKUP(E$64*10+$A66,$87:$94,4,FALSE)*$G66+$B$25)/HLOOKUP(E$64*10+$A66,$87:$94,5,FALSE)*$E66,HLOOKUP(F$64*10+$A66,$81:$82,2,FALSE))</f>
        <v>1.07</v>
      </c>
      <c r="G66" s="101">
        <f>MIN(130%,SUM($B$57:$D$57)/SUM($B$58:$D$58)*$G$69/HLOOKUP(E$64*10+$A66,$145:$146,2,FALSE))</f>
        <v>0.84995516193105736</v>
      </c>
      <c r="H66" s="204">
        <v>2</v>
      </c>
      <c r="I66" s="208">
        <f t="shared" si="6"/>
        <v>0.18739999999999998</v>
      </c>
      <c r="J66" s="208">
        <f t="shared" si="6"/>
        <v>0.21379999999999999</v>
      </c>
      <c r="K66" s="208">
        <f t="shared" si="6"/>
        <v>0.1537</v>
      </c>
      <c r="L66" s="208">
        <f t="shared" si="6"/>
        <v>0.23430000000000001</v>
      </c>
      <c r="M66" s="209">
        <f t="shared" si="6"/>
        <v>0.10769999999999999</v>
      </c>
      <c r="N66" s="256">
        <f t="shared" si="7"/>
        <v>10968</v>
      </c>
      <c r="O66" s="256">
        <f t="shared" si="7"/>
        <v>10403</v>
      </c>
      <c r="P66" s="210"/>
    </row>
    <row r="67" spans="1:71" x14ac:dyDescent="0.25">
      <c r="A67" s="204">
        <v>3</v>
      </c>
      <c r="B67" s="205">
        <f t="shared" si="5"/>
        <v>1.62</v>
      </c>
      <c r="C67" s="205">
        <f t="shared" si="5"/>
        <v>2.4500000000000002</v>
      </c>
      <c r="D67" s="205">
        <f t="shared" si="5"/>
        <v>2.61</v>
      </c>
      <c r="E67" s="205">
        <f t="shared" si="5"/>
        <v>1.66</v>
      </c>
      <c r="F67" s="206">
        <f>IF(ISNA(HLOOKUP(F$64*10+$A67,$81:$82,2,FALSE)),(HLOOKUP(E$64*10+$A67,$87:$94,4,FALSE)*$G67+$B$25)/HLOOKUP(E$64*10+$A67,$87:$94,5,FALSE)*$E67,HLOOKUP(F$64*10+$A67,$81:$82,2,FALSE))</f>
        <v>1.38</v>
      </c>
      <c r="G67" s="101">
        <f>MIN(130%,SUM($B$57:$D$57)/SUM($B$58:$D$58)*$G$69/HLOOKUP(E$64*10+$A67,$145:$146,2,FALSE))</f>
        <v>0.86594679244716377</v>
      </c>
      <c r="H67" s="204">
        <v>3</v>
      </c>
      <c r="I67" s="208">
        <f t="shared" si="6"/>
        <v>0.1865</v>
      </c>
      <c r="J67" s="208">
        <f t="shared" si="6"/>
        <v>0.1968</v>
      </c>
      <c r="K67" s="208">
        <f t="shared" si="6"/>
        <v>0.1573</v>
      </c>
      <c r="L67" s="208">
        <f t="shared" si="6"/>
        <v>0.19769999999999999</v>
      </c>
      <c r="M67" s="209">
        <f t="shared" si="6"/>
        <v>0.15039999999999998</v>
      </c>
      <c r="N67" s="256">
        <f t="shared" si="7"/>
        <v>-22426</v>
      </c>
      <c r="O67" s="256">
        <f t="shared" si="7"/>
        <v>-5092</v>
      </c>
      <c r="P67" s="210"/>
    </row>
    <row r="68" spans="1:71" x14ac:dyDescent="0.25">
      <c r="A68" s="204">
        <v>4</v>
      </c>
      <c r="B68" s="205">
        <f>HLOOKUP(B$64*10+$A68,$81:$82,2,FALSE)</f>
        <v>1.24</v>
      </c>
      <c r="C68" s="205">
        <f>HLOOKUP(C$64*10+$A68,$81:$82,2,FALSE)</f>
        <v>1.7</v>
      </c>
      <c r="D68" s="205">
        <f>HLOOKUP(D$64*10+$A68,$81:$82,2,FALSE)</f>
        <v>2.11</v>
      </c>
      <c r="E68" s="206">
        <f>IF(ISNA(HLOOKUP(E$64*10+$A68,$81:$82,2,FALSE)),D68*(1-$N68)*#REF!*(1+$B$25)/(1+$E$4),HLOOKUP(E$64*10+$A68,$81:$82,2,FALSE))</f>
        <v>2.09</v>
      </c>
      <c r="F68" s="206">
        <f>IF(ISNA(HLOOKUP(F$64*10+$A68,$81:$82,2,FALSE)),(HLOOKUP(E$64*10+$A68,$87:$94,4,FALSE)*$G68+$B$25)/HLOOKUP(E$64*10+$A68,$87:$94,5,FALSE)*$E68,HLOOKUP(F$64*10+$A68,$81:$82,2,FALSE))</f>
        <v>1.2976046071356613</v>
      </c>
      <c r="G68" s="101">
        <f>MIN(130%,SUM($B$57:$D$57)/SUM($B$58:$D$58)*$G$69/HLOOKUP(E$64*10+$A68,$145:$146,2,FALSE))</f>
        <v>0.89826927579539895</v>
      </c>
      <c r="H68" s="204">
        <v>4</v>
      </c>
      <c r="I68" s="208">
        <f t="shared" si="6"/>
        <v>0.12939999999999999</v>
      </c>
      <c r="J68" s="208">
        <f t="shared" si="6"/>
        <v>0.12909999999999999</v>
      </c>
      <c r="K68" s="208">
        <f t="shared" si="6"/>
        <v>0.18710000000000002</v>
      </c>
      <c r="L68" s="208">
        <f t="shared" si="6"/>
        <v>0.13689999999999999</v>
      </c>
      <c r="M68" s="209" t="str">
        <f t="shared" si="6"/>
        <v/>
      </c>
      <c r="N68" s="256">
        <f t="shared" si="7"/>
        <v>40328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6.0500000000000007</v>
      </c>
      <c r="C69" s="213">
        <f>SUM(C65:C68)</f>
        <v>7.87</v>
      </c>
      <c r="D69" s="213">
        <f>SUM(D65:D68)</f>
        <v>7.2999999999999989</v>
      </c>
      <c r="E69" s="213">
        <f>SUM(E65:E68)</f>
        <v>8.75</v>
      </c>
      <c r="F69" s="213">
        <f>SUM(F65:F68)</f>
        <v>4.1876046071356612</v>
      </c>
      <c r="G69" s="257">
        <f>_xlfn.FORECAST.ETS(23,B146:W146,{1,2,3,4,5,6,7,8,9,10,11,12,13,14,15,16,17,18,19,20,21,22})</f>
        <v>38.22771957997702</v>
      </c>
      <c r="H69" s="214" t="s">
        <v>19</v>
      </c>
      <c r="I69" s="215">
        <f>HLOOKUP(I64,151:155,3,FALSE)/100</f>
        <v>0.16760000000000003</v>
      </c>
      <c r="J69" s="215">
        <f>HLOOKUP(J64,151:155,3,FALSE)/100</f>
        <v>0.17879999999999999</v>
      </c>
      <c r="K69" s="215">
        <f>HLOOKUP(K64,151:155,3,FALSE)/100</f>
        <v>0.16550000000000001</v>
      </c>
      <c r="L69" s="215">
        <f>IF(ISNA(HLOOKUP(L64,151:155,3,FALSE)/100),AVERAGE(L65:L68),HLOOKUP(L64,151:155,3,FALSE)/100)</f>
        <v>0.19489999999999999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5.53</v>
      </c>
      <c r="C72" s="205">
        <f t="shared" si="8"/>
        <v>5.72</v>
      </c>
      <c r="D72" s="205">
        <f t="shared" si="8"/>
        <v>5.0199999999999996</v>
      </c>
      <c r="E72" s="205">
        <f t="shared" si="8"/>
        <v>5.35</v>
      </c>
      <c r="F72" s="205">
        <f t="shared" si="8"/>
        <v>1.1499999999999999</v>
      </c>
    </row>
    <row r="73" spans="1:71" s="135" customFormat="1" x14ac:dyDescent="0.25">
      <c r="A73" s="204">
        <v>2</v>
      </c>
      <c r="B73" s="205">
        <f t="shared" si="8"/>
        <v>6.5</v>
      </c>
      <c r="C73" s="205">
        <f t="shared" si="8"/>
        <v>7.15</v>
      </c>
      <c r="D73" s="205">
        <f t="shared" si="8"/>
        <v>2.95</v>
      </c>
      <c r="E73" s="205">
        <f t="shared" si="8"/>
        <v>8.82</v>
      </c>
      <c r="F73" s="205">
        <f t="shared" si="8"/>
        <v>2.96</v>
      </c>
    </row>
    <row r="74" spans="1:71" s="135" customFormat="1" x14ac:dyDescent="0.25">
      <c r="A74" s="204">
        <v>3</v>
      </c>
      <c r="B74" s="205">
        <f t="shared" si="8"/>
        <v>6.1</v>
      </c>
      <c r="C74" s="205">
        <f t="shared" si="8"/>
        <v>8.5</v>
      </c>
      <c r="D74" s="205">
        <f t="shared" si="8"/>
        <v>8.42</v>
      </c>
      <c r="E74" s="205">
        <f t="shared" si="8"/>
        <v>4.68</v>
      </c>
      <c r="F74" s="205">
        <f t="shared" si="8"/>
        <v>4.03</v>
      </c>
    </row>
    <row r="75" spans="1:71" s="135" customFormat="1" x14ac:dyDescent="0.25">
      <c r="A75" s="204">
        <v>4</v>
      </c>
      <c r="B75" s="205">
        <f t="shared" si="8"/>
        <v>4.47</v>
      </c>
      <c r="C75" s="205">
        <f t="shared" si="8"/>
        <v>5.43</v>
      </c>
      <c r="D75" s="205">
        <f t="shared" si="8"/>
        <v>6.34</v>
      </c>
      <c r="E75" s="205">
        <f t="shared" si="8"/>
        <v>5.61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22.6</v>
      </c>
      <c r="C76" s="213">
        <f>SUM(C72:C75)</f>
        <v>26.8</v>
      </c>
      <c r="D76" s="213">
        <f>SUM(D72:D75)</f>
        <v>22.73</v>
      </c>
      <c r="E76" s="213">
        <f>AVERAGE(E72:E75)*4</f>
        <v>24.46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105116</v>
      </c>
      <c r="C79" s="270">
        <v>101831</v>
      </c>
      <c r="D79" s="270">
        <v>103591</v>
      </c>
      <c r="E79" s="270">
        <v>107159</v>
      </c>
      <c r="F79" s="270">
        <v>130056</v>
      </c>
      <c r="G79" s="270">
        <v>120689</v>
      </c>
      <c r="H79" s="270">
        <v>124281</v>
      </c>
      <c r="I79" s="270">
        <v>121034</v>
      </c>
      <c r="J79" s="270">
        <v>117103</v>
      </c>
      <c r="K79" s="270">
        <v>97934</v>
      </c>
      <c r="L79" s="270">
        <v>117226</v>
      </c>
      <c r="M79" s="270">
        <v>87952</v>
      </c>
      <c r="N79" s="270">
        <v>112579</v>
      </c>
      <c r="O79" s="270">
        <v>97282</v>
      </c>
      <c r="P79" s="270">
        <v>119842</v>
      </c>
      <c r="Q79" s="270">
        <v>126913</v>
      </c>
      <c r="R79" s="270">
        <v>126882</v>
      </c>
      <c r="S79" s="270">
        <v>143356</v>
      </c>
      <c r="T79" s="270">
        <v>129928</v>
      </c>
      <c r="U79" s="270">
        <v>146577</v>
      </c>
      <c r="V79" s="270">
        <v>128950</v>
      </c>
      <c r="W79" s="270">
        <v>136601</v>
      </c>
      <c r="X79" s="270">
        <v>140036</v>
      </c>
      <c r="Y79" s="270">
        <v>105249</v>
      </c>
      <c r="Z79" s="270">
        <v>138171</v>
      </c>
      <c r="AA79" s="270">
        <v>126424</v>
      </c>
      <c r="AB79" s="270">
        <v>119711</v>
      </c>
      <c r="AC79" s="270">
        <v>154233</v>
      </c>
      <c r="AD79" s="270">
        <v>141116</v>
      </c>
      <c r="AE79" s="270">
        <v>164047</v>
      </c>
      <c r="AF79" s="270">
        <v>183244</v>
      </c>
      <c r="AG79" s="270">
        <v>157421</v>
      </c>
      <c r="AH79" s="270">
        <v>175388</v>
      </c>
      <c r="AI79" s="270">
        <v>184701</v>
      </c>
      <c r="AJ79" s="270">
        <v>123932</v>
      </c>
      <c r="AK79" s="270">
        <v>135898</v>
      </c>
      <c r="AL79" s="270">
        <v>153795</v>
      </c>
      <c r="AM79" s="270">
        <v>152828</v>
      </c>
      <c r="AN79" s="270">
        <v>173061</v>
      </c>
      <c r="AO79" s="270">
        <v>152006</v>
      </c>
      <c r="AP79" s="270">
        <v>143375</v>
      </c>
      <c r="AQ79" s="270">
        <v>172049</v>
      </c>
      <c r="AR79" s="270">
        <v>172733</v>
      </c>
      <c r="AS79" s="270">
        <v>146591</v>
      </c>
      <c r="AT79" s="270">
        <v>139724</v>
      </c>
      <c r="AU79" s="270">
        <v>158144</v>
      </c>
      <c r="AV79" s="270">
        <v>159351</v>
      </c>
      <c r="AW79" s="270">
        <v>161076</v>
      </c>
      <c r="AX79" s="270">
        <v>167270</v>
      </c>
      <c r="AY79" s="270">
        <v>167314</v>
      </c>
      <c r="AZ79" s="270">
        <v>155907</v>
      </c>
      <c r="BA79" s="270">
        <v>188959</v>
      </c>
      <c r="BB79" s="270">
        <v>178468</v>
      </c>
      <c r="BC79" s="270">
        <v>229264</v>
      </c>
      <c r="BD79" s="270">
        <v>186961</v>
      </c>
      <c r="BE79" s="270">
        <v>159402</v>
      </c>
      <c r="BF79" s="270">
        <v>158111</v>
      </c>
      <c r="BG79" s="270">
        <v>171311</v>
      </c>
      <c r="BH79" s="270">
        <v>175945</v>
      </c>
      <c r="BI79" s="270">
        <v>114444</v>
      </c>
      <c r="BJ79" s="270">
        <v>135039</v>
      </c>
      <c r="BK79" s="270">
        <v>156353</v>
      </c>
      <c r="BL79" s="270">
        <v>152247</v>
      </c>
      <c r="BM79" s="270">
        <v>147791</v>
      </c>
      <c r="BN79" s="270">
        <v>146156</v>
      </c>
      <c r="BO79" s="270">
        <v>158918</v>
      </c>
      <c r="BP79" s="270">
        <v>165030</v>
      </c>
      <c r="BQ79" s="270">
        <v>155446</v>
      </c>
      <c r="BR79" s="270">
        <v>166658</v>
      </c>
      <c r="BS79" s="270">
        <v>148720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0.61</v>
      </c>
      <c r="C82" s="72">
        <v>1.18</v>
      </c>
      <c r="D82" s="72">
        <v>2.41</v>
      </c>
      <c r="E82" s="72">
        <v>0.54</v>
      </c>
      <c r="F82" s="72">
        <v>1.48</v>
      </c>
      <c r="G82" s="72">
        <v>1.71</v>
      </c>
      <c r="H82" s="72">
        <v>1.62</v>
      </c>
      <c r="I82" s="72">
        <v>1.24</v>
      </c>
      <c r="J82" s="72">
        <v>1.67</v>
      </c>
      <c r="K82" s="72">
        <v>2.0499999999999998</v>
      </c>
      <c r="L82" s="72">
        <v>2.4500000000000002</v>
      </c>
      <c r="M82" s="72">
        <v>1.7</v>
      </c>
      <c r="N82" s="72">
        <v>1.65</v>
      </c>
      <c r="O82" s="72">
        <v>0.93</v>
      </c>
      <c r="P82" s="72">
        <v>2.61</v>
      </c>
      <c r="Q82" s="72">
        <v>2.11</v>
      </c>
      <c r="R82" s="72">
        <v>1.88</v>
      </c>
      <c r="S82" s="72">
        <v>3.12</v>
      </c>
      <c r="T82" s="72">
        <v>1.66</v>
      </c>
      <c r="U82" s="72">
        <v>2.09</v>
      </c>
      <c r="V82" s="72">
        <v>0.44</v>
      </c>
      <c r="W82" s="72">
        <v>1.07</v>
      </c>
      <c r="X82" s="72">
        <v>1.38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20.82</v>
      </c>
      <c r="C85" s="72">
        <v>20.010000000000002</v>
      </c>
      <c r="D85" s="72">
        <v>22.4</v>
      </c>
      <c r="E85" s="72">
        <v>26.57</v>
      </c>
      <c r="F85" s="72">
        <v>26.95</v>
      </c>
      <c r="G85" s="72">
        <v>25.67</v>
      </c>
      <c r="H85" s="72">
        <v>27.26</v>
      </c>
      <c r="I85" s="72">
        <v>28.4</v>
      </c>
      <c r="J85" s="72">
        <v>30.1</v>
      </c>
      <c r="K85" s="72">
        <v>27.12</v>
      </c>
      <c r="L85" s="72">
        <v>30.5</v>
      </c>
      <c r="M85" s="72">
        <v>32.08</v>
      </c>
      <c r="N85" s="72">
        <v>33.71</v>
      </c>
      <c r="O85" s="72">
        <v>29.63</v>
      </c>
      <c r="P85" s="72">
        <v>32.35</v>
      </c>
      <c r="Q85" s="72">
        <v>34.22</v>
      </c>
      <c r="R85" s="72">
        <v>36.06</v>
      </c>
      <c r="S85" s="72">
        <v>34.69</v>
      </c>
      <c r="T85" s="72">
        <v>36.29</v>
      </c>
      <c r="U85" s="72">
        <v>38.159999999999997</v>
      </c>
      <c r="V85" s="72">
        <v>38.47</v>
      </c>
      <c r="W85" s="72">
        <v>33.549999999999997</v>
      </c>
      <c r="X85" s="72">
        <v>34.93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312947</v>
      </c>
      <c r="C88" s="273">
        <v>365608</v>
      </c>
      <c r="D88" s="273">
        <v>346279</v>
      </c>
      <c r="E88" s="273">
        <v>323452</v>
      </c>
      <c r="F88" s="273">
        <v>329704</v>
      </c>
      <c r="G88" s="273">
        <v>397251</v>
      </c>
      <c r="H88" s="273">
        <v>405454</v>
      </c>
      <c r="I88" s="273">
        <v>381886</v>
      </c>
      <c r="J88" s="273">
        <v>384306</v>
      </c>
      <c r="K88" s="273">
        <v>459396</v>
      </c>
      <c r="L88" s="273">
        <v>516053</v>
      </c>
      <c r="M88" s="273">
        <v>444532</v>
      </c>
      <c r="N88" s="273">
        <v>479684</v>
      </c>
      <c r="O88" s="273">
        <v>467430</v>
      </c>
      <c r="P88" s="273">
        <v>459048</v>
      </c>
      <c r="Q88" s="273">
        <v>478571</v>
      </c>
      <c r="R88" s="273">
        <v>490491</v>
      </c>
      <c r="S88" s="273">
        <v>596691</v>
      </c>
      <c r="T88" s="273">
        <v>504474</v>
      </c>
      <c r="U88" s="273">
        <v>461700</v>
      </c>
      <c r="V88" s="273">
        <v>443639</v>
      </c>
      <c r="W88" s="273">
        <v>452865</v>
      </c>
      <c r="X88" s="273">
        <v>487134</v>
      </c>
    </row>
    <row r="89" spans="1:25" ht="14.25" thickBot="1" x14ac:dyDescent="0.3">
      <c r="A89" s="250" t="s">
        <v>4</v>
      </c>
      <c r="B89" s="275">
        <v>96516</v>
      </c>
      <c r="C89" s="275">
        <v>120304</v>
      </c>
      <c r="D89" s="275">
        <v>105463</v>
      </c>
      <c r="E89" s="275">
        <v>106494</v>
      </c>
      <c r="F89" s="275">
        <v>120937</v>
      </c>
      <c r="G89" s="275">
        <v>146181</v>
      </c>
      <c r="H89" s="275">
        <v>159160</v>
      </c>
      <c r="I89" s="275">
        <v>145136</v>
      </c>
      <c r="J89" s="275">
        <v>142329</v>
      </c>
      <c r="K89" s="275">
        <v>188307</v>
      </c>
      <c r="L89" s="275">
        <v>206735</v>
      </c>
      <c r="M89" s="275">
        <v>164711</v>
      </c>
      <c r="N89" s="275">
        <v>181178</v>
      </c>
      <c r="O89" s="275">
        <v>174642</v>
      </c>
      <c r="P89" s="275">
        <v>176112</v>
      </c>
      <c r="Q89" s="275">
        <v>209189</v>
      </c>
      <c r="R89" s="275">
        <v>206521</v>
      </c>
      <c r="S89" s="275">
        <v>258484</v>
      </c>
      <c r="T89" s="275">
        <v>214492</v>
      </c>
      <c r="U89" s="275">
        <v>189270</v>
      </c>
      <c r="V89" s="275">
        <v>178172</v>
      </c>
      <c r="W89" s="275">
        <v>153624</v>
      </c>
      <c r="X89" s="275">
        <v>179080</v>
      </c>
    </row>
    <row r="90" spans="1:25" ht="14.25" thickBot="1" x14ac:dyDescent="0.3">
      <c r="A90" s="251" t="s">
        <v>5</v>
      </c>
      <c r="B90" s="273">
        <v>32255</v>
      </c>
      <c r="C90" s="273">
        <v>46635</v>
      </c>
      <c r="D90" s="273">
        <v>28312</v>
      </c>
      <c r="E90" s="273">
        <v>20074</v>
      </c>
      <c r="F90" s="273">
        <v>54393</v>
      </c>
      <c r="G90" s="273">
        <v>74455</v>
      </c>
      <c r="H90" s="273">
        <v>75599</v>
      </c>
      <c r="I90" s="273">
        <v>49401</v>
      </c>
      <c r="J90" s="273">
        <v>65467</v>
      </c>
      <c r="K90" s="273">
        <v>98215</v>
      </c>
      <c r="L90" s="273">
        <v>101572</v>
      </c>
      <c r="M90" s="273">
        <v>57385</v>
      </c>
      <c r="N90" s="273">
        <v>78355</v>
      </c>
      <c r="O90" s="273">
        <v>71865</v>
      </c>
      <c r="P90" s="273">
        <v>72209</v>
      </c>
      <c r="Q90" s="273">
        <v>89517</v>
      </c>
      <c r="R90" s="273">
        <v>97389</v>
      </c>
      <c r="S90" s="273">
        <v>139814</v>
      </c>
      <c r="T90" s="273">
        <v>99730</v>
      </c>
      <c r="U90" s="273">
        <v>63187</v>
      </c>
      <c r="V90" s="273">
        <v>78554</v>
      </c>
      <c r="W90" s="273">
        <v>48776</v>
      </c>
      <c r="X90" s="273">
        <v>73254</v>
      </c>
    </row>
    <row r="91" spans="1:25" ht="14.25" thickBot="1" x14ac:dyDescent="0.3">
      <c r="A91" s="250" t="s">
        <v>6</v>
      </c>
      <c r="B91" s="275">
        <v>25948</v>
      </c>
      <c r="C91" s="275">
        <v>59308</v>
      </c>
      <c r="D91" s="275">
        <v>94322</v>
      </c>
      <c r="E91" s="275">
        <v>26307</v>
      </c>
      <c r="F91" s="275">
        <v>67189</v>
      </c>
      <c r="G91" s="275">
        <v>83920</v>
      </c>
      <c r="H91" s="275">
        <v>78680</v>
      </c>
      <c r="I91" s="275">
        <v>57732</v>
      </c>
      <c r="J91" s="275">
        <v>76961</v>
      </c>
      <c r="K91" s="275">
        <v>94487</v>
      </c>
      <c r="L91" s="275">
        <v>114130</v>
      </c>
      <c r="M91" s="275">
        <v>79911</v>
      </c>
      <c r="N91" s="275">
        <v>74181</v>
      </c>
      <c r="O91" s="275">
        <v>68850</v>
      </c>
      <c r="P91" s="275">
        <v>119190</v>
      </c>
      <c r="Q91" s="275">
        <v>97777</v>
      </c>
      <c r="R91" s="275">
        <v>89254</v>
      </c>
      <c r="S91" s="275">
        <v>150782</v>
      </c>
      <c r="T91" s="275">
        <v>77304</v>
      </c>
      <c r="U91" s="275">
        <v>103515</v>
      </c>
      <c r="V91" s="275">
        <v>22048</v>
      </c>
      <c r="W91" s="275">
        <v>59179</v>
      </c>
      <c r="X91" s="275">
        <v>68162</v>
      </c>
    </row>
    <row r="92" spans="1:25" ht="14.25" thickBot="1" x14ac:dyDescent="0.3">
      <c r="A92" s="251" t="s">
        <v>7</v>
      </c>
      <c r="B92" s="273">
        <v>22492</v>
      </c>
      <c r="C92" s="273">
        <v>43609</v>
      </c>
      <c r="D92" s="273">
        <v>89239</v>
      </c>
      <c r="E92" s="273">
        <v>20149</v>
      </c>
      <c r="F92" s="273">
        <v>59530</v>
      </c>
      <c r="G92" s="273">
        <v>68830</v>
      </c>
      <c r="H92" s="273">
        <v>64994</v>
      </c>
      <c r="I92" s="273">
        <v>50070</v>
      </c>
      <c r="J92" s="273">
        <v>67339</v>
      </c>
      <c r="K92" s="273">
        <v>82346</v>
      </c>
      <c r="L92" s="273">
        <v>98480</v>
      </c>
      <c r="M92" s="273">
        <v>68308</v>
      </c>
      <c r="N92" s="273">
        <v>66399</v>
      </c>
      <c r="O92" s="273">
        <v>37619</v>
      </c>
      <c r="P92" s="273">
        <v>105042</v>
      </c>
      <c r="Q92" s="273">
        <v>84974</v>
      </c>
      <c r="R92" s="273">
        <v>75644</v>
      </c>
      <c r="S92" s="273">
        <v>125523</v>
      </c>
      <c r="T92" s="273">
        <v>66798</v>
      </c>
      <c r="U92" s="273">
        <v>83982</v>
      </c>
      <c r="V92" s="273">
        <v>17763</v>
      </c>
      <c r="W92" s="273">
        <v>42923</v>
      </c>
      <c r="X92" s="273">
        <v>55560</v>
      </c>
    </row>
    <row r="93" spans="1:25" ht="26.25" thickBot="1" x14ac:dyDescent="0.3">
      <c r="A93" s="252" t="s">
        <v>8</v>
      </c>
      <c r="B93" s="276">
        <v>22492</v>
      </c>
      <c r="C93" s="276">
        <v>43609</v>
      </c>
      <c r="D93" s="276">
        <v>89239</v>
      </c>
      <c r="E93" s="276">
        <v>20149</v>
      </c>
      <c r="F93" s="276">
        <v>59530</v>
      </c>
      <c r="G93" s="276">
        <v>68830</v>
      </c>
      <c r="H93" s="276">
        <v>64994</v>
      </c>
      <c r="I93" s="276">
        <v>50070</v>
      </c>
      <c r="J93" s="276">
        <v>67339</v>
      </c>
      <c r="K93" s="276">
        <v>82346</v>
      </c>
      <c r="L93" s="276">
        <v>98480</v>
      </c>
      <c r="M93" s="276">
        <v>68308</v>
      </c>
      <c r="N93" s="276">
        <v>66399</v>
      </c>
      <c r="O93" s="276">
        <v>37619</v>
      </c>
      <c r="P93" s="276">
        <v>105042</v>
      </c>
      <c r="Q93" s="276">
        <v>84974</v>
      </c>
      <c r="R93" s="276">
        <v>75644</v>
      </c>
      <c r="S93" s="276">
        <v>125523</v>
      </c>
      <c r="T93" s="276">
        <v>66798</v>
      </c>
      <c r="U93" s="276">
        <v>83982</v>
      </c>
      <c r="V93" s="276">
        <v>17763</v>
      </c>
      <c r="W93" s="276">
        <v>42923</v>
      </c>
      <c r="X93" s="276">
        <v>55560</v>
      </c>
    </row>
    <row r="94" spans="1:25" x14ac:dyDescent="0.25">
      <c r="A94" s="233" t="s">
        <v>365</v>
      </c>
      <c r="B94" s="253">
        <f>IF(B91="","",B91-B90)</f>
        <v>-6307</v>
      </c>
      <c r="C94" s="253">
        <f>IF(C91="","",C91-C90)</f>
        <v>12673</v>
      </c>
      <c r="D94" s="253">
        <f t="shared" ref="D94:Y94" si="9">IF(D91="","",D91-D90)</f>
        <v>66010</v>
      </c>
      <c r="E94" s="253">
        <f t="shared" si="9"/>
        <v>6233</v>
      </c>
      <c r="F94" s="253">
        <f t="shared" si="9"/>
        <v>12796</v>
      </c>
      <c r="G94" s="253">
        <f t="shared" si="9"/>
        <v>9465</v>
      </c>
      <c r="H94" s="253">
        <f t="shared" si="9"/>
        <v>3081</v>
      </c>
      <c r="I94" s="253">
        <f t="shared" si="9"/>
        <v>8331</v>
      </c>
      <c r="J94" s="253">
        <f t="shared" si="9"/>
        <v>11494</v>
      </c>
      <c r="K94" s="253">
        <f t="shared" si="9"/>
        <v>-3728</v>
      </c>
      <c r="L94" s="253">
        <f t="shared" si="9"/>
        <v>12558</v>
      </c>
      <c r="M94" s="253">
        <f t="shared" si="9"/>
        <v>22526</v>
      </c>
      <c r="N94" s="253">
        <f t="shared" si="9"/>
        <v>-4174</v>
      </c>
      <c r="O94" s="253">
        <f t="shared" si="9"/>
        <v>-3015</v>
      </c>
      <c r="P94" s="253">
        <f t="shared" si="9"/>
        <v>46981</v>
      </c>
      <c r="Q94" s="253">
        <f t="shared" si="9"/>
        <v>8260</v>
      </c>
      <c r="R94" s="253">
        <f t="shared" si="9"/>
        <v>-8135</v>
      </c>
      <c r="S94" s="253">
        <f t="shared" si="9"/>
        <v>10968</v>
      </c>
      <c r="T94" s="253">
        <f t="shared" si="9"/>
        <v>-22426</v>
      </c>
      <c r="U94" s="253">
        <f t="shared" si="9"/>
        <v>40328</v>
      </c>
      <c r="V94" s="253">
        <f t="shared" si="9"/>
        <v>-56506</v>
      </c>
      <c r="W94" s="253">
        <f t="shared" si="9"/>
        <v>10403</v>
      </c>
      <c r="X94" s="253">
        <f t="shared" si="9"/>
        <v>-5092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1348286</v>
      </c>
      <c r="C97" s="273">
        <v>1514295</v>
      </c>
      <c r="D97" s="273">
        <v>1804287</v>
      </c>
      <c r="E97" s="273">
        <v>1884733</v>
      </c>
      <c r="F97" s="273">
        <v>2053356</v>
      </c>
    </row>
    <row r="98" spans="1:24" ht="14.25" thickBot="1" x14ac:dyDescent="0.3">
      <c r="A98" s="225" t="s">
        <v>4</v>
      </c>
      <c r="B98" s="275">
        <v>428777</v>
      </c>
      <c r="C98" s="275">
        <v>571414</v>
      </c>
      <c r="D98" s="275">
        <v>702082</v>
      </c>
      <c r="E98" s="275">
        <v>741121</v>
      </c>
      <c r="F98" s="275">
        <v>868767</v>
      </c>
    </row>
    <row r="99" spans="1:24" ht="14.25" thickBot="1" x14ac:dyDescent="0.3">
      <c r="A99" s="224" t="s">
        <v>5</v>
      </c>
      <c r="B99" s="273">
        <v>127276</v>
      </c>
      <c r="C99" s="273">
        <v>253848</v>
      </c>
      <c r="D99" s="273">
        <v>322639</v>
      </c>
      <c r="E99" s="273">
        <v>311946</v>
      </c>
      <c r="F99" s="273">
        <v>400120</v>
      </c>
    </row>
    <row r="100" spans="1:24" ht="14.25" thickBot="1" x14ac:dyDescent="0.3">
      <c r="A100" s="225" t="s">
        <v>6</v>
      </c>
      <c r="B100" s="275">
        <v>205885</v>
      </c>
      <c r="C100" s="275">
        <v>287521</v>
      </c>
      <c r="D100" s="275">
        <v>365489</v>
      </c>
      <c r="E100" s="275">
        <v>359998</v>
      </c>
      <c r="F100" s="275">
        <v>420855</v>
      </c>
    </row>
    <row r="101" spans="1:24" ht="14.25" thickBot="1" x14ac:dyDescent="0.3">
      <c r="A101" s="224" t="s">
        <v>7</v>
      </c>
      <c r="B101" s="273">
        <v>175489</v>
      </c>
      <c r="C101" s="273">
        <v>243424</v>
      </c>
      <c r="D101" s="273">
        <v>316473</v>
      </c>
      <c r="E101" s="273">
        <v>294034</v>
      </c>
      <c r="F101" s="273">
        <v>351947</v>
      </c>
    </row>
    <row r="102" spans="1:24" ht="14.25" thickBot="1" x14ac:dyDescent="0.3">
      <c r="A102" s="227" t="s">
        <v>8</v>
      </c>
      <c r="B102" s="276">
        <v>175489</v>
      </c>
      <c r="C102" s="276">
        <v>243424</v>
      </c>
      <c r="D102" s="276">
        <v>316473</v>
      </c>
      <c r="E102" s="276">
        <v>294034</v>
      </c>
      <c r="F102" s="276">
        <v>351947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256373</v>
      </c>
      <c r="C106" s="273">
        <v>358061</v>
      </c>
      <c r="D106" s="273">
        <v>338736</v>
      </c>
      <c r="E106" s="273">
        <v>394715</v>
      </c>
      <c r="F106" s="273">
        <v>329597</v>
      </c>
      <c r="G106" s="273">
        <v>239370</v>
      </c>
      <c r="H106" s="273">
        <v>222552</v>
      </c>
      <c r="I106" s="273">
        <v>237243</v>
      </c>
      <c r="J106" s="273">
        <v>149304</v>
      </c>
      <c r="K106" s="273">
        <v>256498</v>
      </c>
      <c r="L106" s="273">
        <v>495372</v>
      </c>
      <c r="M106" s="273">
        <v>546683</v>
      </c>
      <c r="N106" s="273">
        <v>521420</v>
      </c>
      <c r="O106" s="273">
        <v>541647</v>
      </c>
      <c r="P106" s="273">
        <v>401610</v>
      </c>
      <c r="Q106" s="273">
        <v>534889</v>
      </c>
      <c r="R106" s="273">
        <v>623913</v>
      </c>
      <c r="S106" s="273">
        <v>713574</v>
      </c>
      <c r="T106" s="273">
        <v>957155</v>
      </c>
      <c r="U106" s="273">
        <v>1061918</v>
      </c>
      <c r="V106" s="273">
        <v>968894</v>
      </c>
      <c r="W106" s="273">
        <v>1000996</v>
      </c>
      <c r="X106" s="273">
        <v>928423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5">
        <v>1552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300</v>
      </c>
      <c r="T107" s="274">
        <v>0</v>
      </c>
      <c r="U107" s="274">
        <v>0</v>
      </c>
      <c r="V107" s="274">
        <v>0</v>
      </c>
      <c r="W107" s="274">
        <v>932</v>
      </c>
      <c r="X107" s="274">
        <v>265</v>
      </c>
    </row>
    <row r="108" spans="1:24" ht="14.25" thickBot="1" x14ac:dyDescent="0.3">
      <c r="A108" s="224" t="s">
        <v>263</v>
      </c>
      <c r="B108" s="68">
        <v>0</v>
      </c>
      <c r="C108" s="273">
        <v>174343</v>
      </c>
      <c r="D108" s="273">
        <v>173422</v>
      </c>
      <c r="E108" s="273">
        <v>151985</v>
      </c>
      <c r="F108" s="273">
        <v>144663</v>
      </c>
      <c r="G108" s="273">
        <v>175345</v>
      </c>
      <c r="H108" s="273">
        <v>170483</v>
      </c>
      <c r="I108" s="273">
        <v>144098</v>
      </c>
      <c r="J108" s="273">
        <v>155812</v>
      </c>
      <c r="K108" s="273">
        <v>193698</v>
      </c>
      <c r="L108" s="273">
        <v>180431</v>
      </c>
      <c r="M108" s="273">
        <v>178222</v>
      </c>
      <c r="N108" s="273">
        <v>210412</v>
      </c>
      <c r="O108" s="273">
        <v>168974</v>
      </c>
      <c r="P108" s="273">
        <v>182615</v>
      </c>
      <c r="Q108" s="273">
        <v>176936</v>
      </c>
      <c r="R108" s="273">
        <v>158703</v>
      </c>
      <c r="S108" s="273">
        <v>198516</v>
      </c>
      <c r="T108" s="273">
        <v>141560</v>
      </c>
      <c r="U108" s="273">
        <v>159682</v>
      </c>
      <c r="V108" s="273">
        <v>150858</v>
      </c>
      <c r="W108" s="273">
        <v>177145</v>
      </c>
      <c r="X108" s="273">
        <v>170269</v>
      </c>
    </row>
    <row r="109" spans="1:24" ht="14.25" thickBot="1" x14ac:dyDescent="0.3">
      <c r="A109" s="225" t="s">
        <v>264</v>
      </c>
      <c r="B109" s="275">
        <v>386605</v>
      </c>
      <c r="C109" s="275">
        <v>386353</v>
      </c>
      <c r="D109" s="275">
        <v>399215</v>
      </c>
      <c r="E109" s="275">
        <v>377428</v>
      </c>
      <c r="F109" s="275">
        <v>378846</v>
      </c>
      <c r="G109" s="275">
        <v>399598</v>
      </c>
      <c r="H109" s="275">
        <v>427855</v>
      </c>
      <c r="I109" s="275">
        <v>460982</v>
      </c>
      <c r="J109" s="275">
        <v>499554</v>
      </c>
      <c r="K109" s="275">
        <v>530786</v>
      </c>
      <c r="L109" s="275">
        <v>497206</v>
      </c>
      <c r="M109" s="275">
        <v>518661</v>
      </c>
      <c r="N109" s="275">
        <v>553782</v>
      </c>
      <c r="O109" s="275">
        <v>570642</v>
      </c>
      <c r="P109" s="275">
        <v>601736</v>
      </c>
      <c r="Q109" s="275">
        <v>588326</v>
      </c>
      <c r="R109" s="275">
        <v>574377</v>
      </c>
      <c r="S109" s="275">
        <v>565278</v>
      </c>
      <c r="T109" s="275">
        <v>558811</v>
      </c>
      <c r="U109" s="275">
        <v>557710</v>
      </c>
      <c r="V109" s="275">
        <v>562740</v>
      </c>
      <c r="W109" s="275">
        <v>577297</v>
      </c>
      <c r="X109" s="275">
        <v>572937</v>
      </c>
    </row>
    <row r="110" spans="1:24" ht="14.25" thickBot="1" x14ac:dyDescent="0.3">
      <c r="A110" s="224" t="s">
        <v>23</v>
      </c>
      <c r="B110" s="273">
        <v>244715</v>
      </c>
      <c r="C110" s="273">
        <v>58087</v>
      </c>
      <c r="D110" s="273">
        <v>34320</v>
      </c>
      <c r="E110" s="273">
        <v>24642</v>
      </c>
      <c r="F110" s="273">
        <v>20606</v>
      </c>
      <c r="G110" s="273">
        <v>25412</v>
      </c>
      <c r="H110" s="273">
        <v>36980</v>
      </c>
      <c r="I110" s="273">
        <v>32257</v>
      </c>
      <c r="J110" s="273">
        <v>38382</v>
      </c>
      <c r="K110" s="273">
        <v>34808</v>
      </c>
      <c r="L110" s="273">
        <v>33587</v>
      </c>
      <c r="M110" s="273">
        <v>30855</v>
      </c>
      <c r="N110" s="273">
        <v>39348</v>
      </c>
      <c r="O110" s="273">
        <v>36144</v>
      </c>
      <c r="P110" s="273">
        <v>34845</v>
      </c>
      <c r="Q110" s="273">
        <v>26056</v>
      </c>
      <c r="R110" s="273">
        <v>39810</v>
      </c>
      <c r="S110" s="273">
        <v>28498</v>
      </c>
      <c r="T110" s="273">
        <v>41739</v>
      </c>
      <c r="U110" s="273">
        <v>28016</v>
      </c>
      <c r="V110" s="273">
        <v>38936</v>
      </c>
      <c r="W110" s="273">
        <v>42983</v>
      </c>
      <c r="X110" s="273">
        <v>121271</v>
      </c>
    </row>
    <row r="111" spans="1:24" ht="14.25" thickBot="1" x14ac:dyDescent="0.3">
      <c r="A111" s="225" t="s">
        <v>24</v>
      </c>
      <c r="B111" s="275">
        <v>887693</v>
      </c>
      <c r="C111" s="275">
        <v>976844</v>
      </c>
      <c r="D111" s="275">
        <v>945693</v>
      </c>
      <c r="E111" s="275">
        <v>948770</v>
      </c>
      <c r="F111" s="275">
        <v>873712</v>
      </c>
      <c r="G111" s="275">
        <v>839725</v>
      </c>
      <c r="H111" s="275">
        <v>857870</v>
      </c>
      <c r="I111" s="275">
        <v>874580</v>
      </c>
      <c r="J111" s="275">
        <v>843052</v>
      </c>
      <c r="K111" s="275">
        <v>1015790</v>
      </c>
      <c r="L111" s="275">
        <v>1208148</v>
      </c>
      <c r="M111" s="275">
        <v>1274421</v>
      </c>
      <c r="N111" s="275">
        <v>1324962</v>
      </c>
      <c r="O111" s="275">
        <v>1317407</v>
      </c>
      <c r="P111" s="275">
        <v>1220806</v>
      </c>
      <c r="Q111" s="275">
        <v>1326207</v>
      </c>
      <c r="R111" s="275">
        <v>1396803</v>
      </c>
      <c r="S111" s="275">
        <v>1506166</v>
      </c>
      <c r="T111" s="275">
        <v>1699265</v>
      </c>
      <c r="U111" s="275">
        <v>1807326</v>
      </c>
      <c r="V111" s="275">
        <v>1721428</v>
      </c>
      <c r="W111" s="275">
        <v>1799353</v>
      </c>
      <c r="X111" s="275">
        <v>1793165</v>
      </c>
    </row>
    <row r="112" spans="1:24" ht="14.25" thickBot="1" x14ac:dyDescent="0.3">
      <c r="A112" s="224" t="s">
        <v>25</v>
      </c>
      <c r="B112" s="68">
        <v>0</v>
      </c>
      <c r="C112" s="273">
        <v>16106</v>
      </c>
      <c r="D112" s="273">
        <v>16039</v>
      </c>
      <c r="E112" s="273">
        <v>16481</v>
      </c>
      <c r="F112" s="273">
        <v>15836</v>
      </c>
      <c r="G112" s="273">
        <v>15367</v>
      </c>
      <c r="H112" s="273">
        <v>16152</v>
      </c>
      <c r="I112" s="273">
        <v>37279</v>
      </c>
      <c r="J112" s="273">
        <v>36370</v>
      </c>
      <c r="K112" s="273">
        <v>35638</v>
      </c>
      <c r="L112" s="273">
        <v>36134</v>
      </c>
      <c r="M112" s="273">
        <v>33517</v>
      </c>
      <c r="N112" s="273">
        <v>32709</v>
      </c>
      <c r="O112" s="273">
        <v>33421</v>
      </c>
      <c r="P112" s="273">
        <v>33856</v>
      </c>
      <c r="Q112" s="273">
        <v>33636</v>
      </c>
      <c r="R112" s="273">
        <v>33451</v>
      </c>
      <c r="S112" s="273">
        <v>88834</v>
      </c>
      <c r="T112" s="273">
        <v>87931</v>
      </c>
      <c r="U112" s="273">
        <v>87591</v>
      </c>
      <c r="V112" s="273">
        <v>86815</v>
      </c>
      <c r="W112" s="273">
        <v>85128</v>
      </c>
      <c r="X112" s="273">
        <v>84813</v>
      </c>
    </row>
    <row r="113" spans="1:24" ht="14.25" thickBot="1" x14ac:dyDescent="0.3">
      <c r="A113" s="225" t="s">
        <v>26</v>
      </c>
      <c r="B113" s="275">
        <v>800172</v>
      </c>
      <c r="C113" s="275">
        <v>801268</v>
      </c>
      <c r="D113" s="275">
        <v>800898</v>
      </c>
      <c r="E113" s="275">
        <v>798919</v>
      </c>
      <c r="F113" s="275">
        <v>786240</v>
      </c>
      <c r="G113" s="275">
        <v>793654</v>
      </c>
      <c r="H113" s="275">
        <v>784237</v>
      </c>
      <c r="I113" s="275">
        <v>785985</v>
      </c>
      <c r="J113" s="275">
        <v>782246</v>
      </c>
      <c r="K113" s="275">
        <v>798154</v>
      </c>
      <c r="L113" s="275">
        <v>818685</v>
      </c>
      <c r="M113" s="275">
        <v>857185</v>
      </c>
      <c r="N113" s="275">
        <v>854595</v>
      </c>
      <c r="O113" s="275">
        <v>871666</v>
      </c>
      <c r="P113" s="275">
        <v>866588</v>
      </c>
      <c r="Q113" s="275">
        <v>869239</v>
      </c>
      <c r="R113" s="275">
        <v>879880</v>
      </c>
      <c r="S113" s="275">
        <v>869251</v>
      </c>
      <c r="T113" s="275">
        <v>864197</v>
      </c>
      <c r="U113" s="275">
        <v>867450</v>
      </c>
      <c r="V113" s="275">
        <v>854520</v>
      </c>
      <c r="W113" s="275">
        <v>858771</v>
      </c>
      <c r="X113" s="275">
        <v>851073</v>
      </c>
    </row>
    <row r="114" spans="1:24" ht="14.25" thickBot="1" x14ac:dyDescent="0.3">
      <c r="A114" s="224" t="s">
        <v>27</v>
      </c>
      <c r="B114" s="273">
        <v>139991</v>
      </c>
      <c r="C114" s="273">
        <v>113975</v>
      </c>
      <c r="D114" s="273">
        <v>44820</v>
      </c>
      <c r="E114" s="273">
        <v>44560</v>
      </c>
      <c r="F114" s="273">
        <v>42607</v>
      </c>
      <c r="G114" s="273">
        <v>29974</v>
      </c>
      <c r="H114" s="273">
        <v>34729</v>
      </c>
      <c r="I114" s="273">
        <v>30218</v>
      </c>
      <c r="J114" s="273">
        <v>40746</v>
      </c>
      <c r="K114" s="273">
        <v>48741</v>
      </c>
      <c r="L114" s="273">
        <v>56060</v>
      </c>
      <c r="M114" s="273">
        <v>67519</v>
      </c>
      <c r="N114" s="273">
        <v>72251</v>
      </c>
      <c r="O114" s="273">
        <v>64955</v>
      </c>
      <c r="P114" s="273">
        <v>70804</v>
      </c>
      <c r="Q114" s="273">
        <v>72041</v>
      </c>
      <c r="R114" s="273">
        <v>63263</v>
      </c>
      <c r="S114" s="273">
        <v>71819</v>
      </c>
      <c r="T114" s="273">
        <v>78791</v>
      </c>
      <c r="U114" s="273">
        <v>63907</v>
      </c>
      <c r="V114" s="273">
        <v>80357</v>
      </c>
      <c r="W114" s="273">
        <v>75988</v>
      </c>
      <c r="X114" s="273">
        <v>85626</v>
      </c>
    </row>
    <row r="115" spans="1:24" ht="14.25" thickBot="1" x14ac:dyDescent="0.3">
      <c r="A115" s="225" t="s">
        <v>265</v>
      </c>
      <c r="B115" s="276">
        <v>1827856</v>
      </c>
      <c r="C115" s="276">
        <v>1908193</v>
      </c>
      <c r="D115" s="276">
        <v>1807450</v>
      </c>
      <c r="E115" s="276">
        <v>1808730</v>
      </c>
      <c r="F115" s="276">
        <v>1718395</v>
      </c>
      <c r="G115" s="276">
        <v>1678720</v>
      </c>
      <c r="H115" s="276">
        <v>1692988</v>
      </c>
      <c r="I115" s="276">
        <v>1728062</v>
      </c>
      <c r="J115" s="276">
        <v>1702414</v>
      </c>
      <c r="K115" s="276">
        <v>1898323</v>
      </c>
      <c r="L115" s="276">
        <v>2119027</v>
      </c>
      <c r="M115" s="276">
        <v>2232642</v>
      </c>
      <c r="N115" s="276">
        <v>2284517</v>
      </c>
      <c r="O115" s="276">
        <v>2287449</v>
      </c>
      <c r="P115" s="276">
        <v>2192054</v>
      </c>
      <c r="Q115" s="276">
        <v>2301123</v>
      </c>
      <c r="R115" s="276">
        <v>2373397</v>
      </c>
      <c r="S115" s="276">
        <v>2536070</v>
      </c>
      <c r="T115" s="276">
        <v>2730184</v>
      </c>
      <c r="U115" s="276">
        <v>2826274</v>
      </c>
      <c r="V115" s="276">
        <v>2743120</v>
      </c>
      <c r="W115" s="276">
        <v>2819240</v>
      </c>
      <c r="X115" s="276">
        <v>2814677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102463</v>
      </c>
      <c r="C118" s="273">
        <v>57940</v>
      </c>
      <c r="D118" s="273">
        <v>107930</v>
      </c>
      <c r="E118" s="68">
        <v>0</v>
      </c>
      <c r="F118" s="68">
        <v>0</v>
      </c>
      <c r="G118" s="273">
        <v>50000</v>
      </c>
      <c r="H118" s="273">
        <v>137103</v>
      </c>
      <c r="I118" s="273">
        <v>115000</v>
      </c>
      <c r="J118" s="273">
        <v>20000</v>
      </c>
      <c r="K118" s="273">
        <v>102007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273">
        <v>305000</v>
      </c>
      <c r="U118" s="273">
        <v>335000</v>
      </c>
      <c r="V118" s="273">
        <v>220000</v>
      </c>
      <c r="W118" s="273">
        <v>220000</v>
      </c>
      <c r="X118" s="273">
        <v>350000</v>
      </c>
    </row>
    <row r="119" spans="1:24" ht="14.25" thickBot="1" x14ac:dyDescent="0.3">
      <c r="A119" s="225" t="s">
        <v>29</v>
      </c>
      <c r="B119" s="275">
        <v>19976</v>
      </c>
      <c r="C119" s="275">
        <v>49894</v>
      </c>
      <c r="D119" s="274">
        <v>0</v>
      </c>
      <c r="E119" s="274">
        <v>0</v>
      </c>
      <c r="F119" s="274">
        <v>0</v>
      </c>
      <c r="G119" s="274">
        <v>0</v>
      </c>
      <c r="H119" s="275">
        <v>59868</v>
      </c>
      <c r="I119" s="275">
        <v>44913</v>
      </c>
      <c r="J119" s="275">
        <v>59892</v>
      </c>
      <c r="K119" s="275">
        <v>59915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5">
        <v>29973</v>
      </c>
      <c r="U119" s="274">
        <v>0</v>
      </c>
      <c r="V119" s="275">
        <v>29976</v>
      </c>
      <c r="W119" s="275">
        <v>29951</v>
      </c>
      <c r="X119" s="275">
        <v>99821</v>
      </c>
    </row>
    <row r="120" spans="1:24" ht="14.25" thickBot="1" x14ac:dyDescent="0.3">
      <c r="A120" s="224" t="s">
        <v>266</v>
      </c>
      <c r="B120" s="68">
        <v>0</v>
      </c>
      <c r="C120" s="273">
        <v>186342</v>
      </c>
      <c r="D120" s="273">
        <v>215064</v>
      </c>
      <c r="E120" s="273">
        <v>148606</v>
      </c>
      <c r="F120" s="273">
        <v>153724</v>
      </c>
      <c r="G120" s="273">
        <v>196125</v>
      </c>
      <c r="H120" s="273">
        <v>196374</v>
      </c>
      <c r="I120" s="273">
        <v>188430</v>
      </c>
      <c r="J120" s="273">
        <v>203065</v>
      </c>
      <c r="K120" s="273">
        <v>226310</v>
      </c>
      <c r="L120" s="273">
        <v>200227</v>
      </c>
      <c r="M120" s="273">
        <v>229960</v>
      </c>
      <c r="N120" s="273">
        <v>241214</v>
      </c>
      <c r="O120" s="273">
        <v>210455</v>
      </c>
      <c r="P120" s="273">
        <v>206519</v>
      </c>
      <c r="Q120" s="273">
        <v>203363</v>
      </c>
      <c r="R120" s="273">
        <v>219856</v>
      </c>
      <c r="S120" s="273">
        <v>247748</v>
      </c>
      <c r="T120" s="273">
        <v>219544</v>
      </c>
      <c r="U120" s="273">
        <v>194849</v>
      </c>
      <c r="V120" s="273">
        <v>208391</v>
      </c>
      <c r="W120" s="273">
        <v>240767</v>
      </c>
      <c r="X120" s="273">
        <v>246797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2012</v>
      </c>
      <c r="C122" s="273">
        <v>2121</v>
      </c>
      <c r="D122" s="273">
        <v>2115</v>
      </c>
      <c r="E122" s="68">
        <v>0</v>
      </c>
      <c r="F122" s="273">
        <v>100000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273">
        <v>464517</v>
      </c>
      <c r="Q122" s="273">
        <v>466752</v>
      </c>
      <c r="R122" s="273">
        <v>468998</v>
      </c>
      <c r="S122" s="273">
        <v>471255</v>
      </c>
      <c r="T122" s="68">
        <v>0</v>
      </c>
      <c r="U122" s="68">
        <v>0</v>
      </c>
      <c r="V122" s="68">
        <v>0</v>
      </c>
      <c r="W122" s="68">
        <v>0</v>
      </c>
      <c r="X122" s="273">
        <v>482704</v>
      </c>
    </row>
    <row r="123" spans="1:24" ht="14.25" thickBot="1" x14ac:dyDescent="0.3">
      <c r="A123" s="225" t="s">
        <v>31</v>
      </c>
      <c r="B123" s="275">
        <v>354691</v>
      </c>
      <c r="C123" s="275">
        <v>265437</v>
      </c>
      <c r="D123" s="275">
        <v>126950</v>
      </c>
      <c r="E123" s="275">
        <v>141500</v>
      </c>
      <c r="F123" s="275">
        <v>116266</v>
      </c>
      <c r="G123" s="275">
        <v>235353</v>
      </c>
      <c r="H123" s="275">
        <v>138654</v>
      </c>
      <c r="I123" s="275">
        <v>167826</v>
      </c>
      <c r="J123" s="275">
        <v>138284</v>
      </c>
      <c r="K123" s="275">
        <v>352369</v>
      </c>
      <c r="L123" s="275">
        <v>169085</v>
      </c>
      <c r="M123" s="275">
        <v>185562</v>
      </c>
      <c r="N123" s="275">
        <v>161956</v>
      </c>
      <c r="O123" s="275">
        <v>359517</v>
      </c>
      <c r="P123" s="275">
        <v>161477</v>
      </c>
      <c r="Q123" s="275">
        <v>187358</v>
      </c>
      <c r="R123" s="275">
        <v>166380</v>
      </c>
      <c r="S123" s="275">
        <v>353846</v>
      </c>
      <c r="T123" s="275">
        <v>173844</v>
      </c>
      <c r="U123" s="275">
        <v>200701</v>
      </c>
      <c r="V123" s="275">
        <v>173281</v>
      </c>
      <c r="W123" s="275">
        <v>411598</v>
      </c>
      <c r="X123" s="275">
        <v>147114</v>
      </c>
    </row>
    <row r="124" spans="1:24" ht="14.25" thickBot="1" x14ac:dyDescent="0.3">
      <c r="A124" s="224" t="s">
        <v>268</v>
      </c>
      <c r="B124" s="273">
        <v>479142</v>
      </c>
      <c r="C124" s="273">
        <v>561734</v>
      </c>
      <c r="D124" s="273">
        <v>452059</v>
      </c>
      <c r="E124" s="273">
        <v>290106</v>
      </c>
      <c r="F124" s="273">
        <v>369990</v>
      </c>
      <c r="G124" s="273">
        <v>481478</v>
      </c>
      <c r="H124" s="273">
        <v>531999</v>
      </c>
      <c r="I124" s="273">
        <v>516169</v>
      </c>
      <c r="J124" s="273">
        <v>421241</v>
      </c>
      <c r="K124" s="273">
        <v>740601</v>
      </c>
      <c r="L124" s="273">
        <v>369312</v>
      </c>
      <c r="M124" s="273">
        <v>415522</v>
      </c>
      <c r="N124" s="273">
        <v>403170</v>
      </c>
      <c r="O124" s="273">
        <v>569972</v>
      </c>
      <c r="P124" s="273">
        <v>832513</v>
      </c>
      <c r="Q124" s="273">
        <v>857473</v>
      </c>
      <c r="R124" s="273">
        <v>855234</v>
      </c>
      <c r="S124" s="273">
        <v>1072849</v>
      </c>
      <c r="T124" s="273">
        <v>728361</v>
      </c>
      <c r="U124" s="273">
        <v>730550</v>
      </c>
      <c r="V124" s="273">
        <v>631648</v>
      </c>
      <c r="W124" s="273">
        <v>902316</v>
      </c>
      <c r="X124" s="273">
        <v>1326436</v>
      </c>
    </row>
    <row r="125" spans="1:24" ht="14.25" thickBot="1" x14ac:dyDescent="0.3">
      <c r="A125" s="225" t="s">
        <v>32</v>
      </c>
      <c r="B125" s="275">
        <v>593482</v>
      </c>
      <c r="C125" s="275">
        <v>561287</v>
      </c>
      <c r="D125" s="275">
        <v>480872</v>
      </c>
      <c r="E125" s="275">
        <v>400636</v>
      </c>
      <c r="F125" s="275">
        <v>264059</v>
      </c>
      <c r="G125" s="275">
        <v>164469</v>
      </c>
      <c r="H125" s="275">
        <v>64012</v>
      </c>
      <c r="I125" s="275">
        <v>69154</v>
      </c>
      <c r="J125" s="275">
        <v>69858</v>
      </c>
      <c r="K125" s="275">
        <v>66414</v>
      </c>
      <c r="L125" s="275">
        <v>522502</v>
      </c>
      <c r="M125" s="275">
        <v>526203</v>
      </c>
      <c r="N125" s="275">
        <v>524757</v>
      </c>
      <c r="O125" s="275">
        <v>525369</v>
      </c>
      <c r="P125" s="275">
        <v>57959</v>
      </c>
      <c r="Q125" s="275">
        <v>66687</v>
      </c>
      <c r="R125" s="275">
        <v>67103</v>
      </c>
      <c r="S125" s="275">
        <v>67517</v>
      </c>
      <c r="T125" s="275">
        <v>541704</v>
      </c>
      <c r="U125" s="275">
        <v>560171</v>
      </c>
      <c r="V125" s="275">
        <v>563315</v>
      </c>
      <c r="W125" s="275">
        <v>567017</v>
      </c>
      <c r="X125" s="275">
        <v>82911</v>
      </c>
    </row>
    <row r="126" spans="1:24" ht="14.25" thickBot="1" x14ac:dyDescent="0.3">
      <c r="A126" s="224" t="s">
        <v>33</v>
      </c>
      <c r="B126" s="273">
        <v>-15129</v>
      </c>
      <c r="C126" s="273">
        <v>44622</v>
      </c>
      <c r="D126" s="273">
        <v>45681</v>
      </c>
      <c r="E126" s="273">
        <v>49035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1057495</v>
      </c>
      <c r="C127" s="275">
        <v>1167643</v>
      </c>
      <c r="D127" s="275">
        <v>978612</v>
      </c>
      <c r="E127" s="275">
        <v>739777</v>
      </c>
      <c r="F127" s="275">
        <v>634049</v>
      </c>
      <c r="G127" s="275">
        <v>645947</v>
      </c>
      <c r="H127" s="275">
        <v>596011</v>
      </c>
      <c r="I127" s="275">
        <v>585323</v>
      </c>
      <c r="J127" s="275">
        <v>491099</v>
      </c>
      <c r="K127" s="275">
        <v>807015</v>
      </c>
      <c r="L127" s="275">
        <v>891814</v>
      </c>
      <c r="M127" s="275">
        <v>941725</v>
      </c>
      <c r="N127" s="275">
        <v>927927</v>
      </c>
      <c r="O127" s="275">
        <v>1095341</v>
      </c>
      <c r="P127" s="275">
        <v>890472</v>
      </c>
      <c r="Q127" s="275">
        <v>924160</v>
      </c>
      <c r="R127" s="275">
        <v>922337</v>
      </c>
      <c r="S127" s="275">
        <v>1140366</v>
      </c>
      <c r="T127" s="275">
        <v>1270065</v>
      </c>
      <c r="U127" s="275">
        <v>1290721</v>
      </c>
      <c r="V127" s="275">
        <v>1194963</v>
      </c>
      <c r="W127" s="275">
        <v>1469333</v>
      </c>
      <c r="X127" s="275">
        <v>1409347</v>
      </c>
    </row>
    <row r="128" spans="1:24" ht="14.25" thickBot="1" x14ac:dyDescent="0.3">
      <c r="A128" s="224" t="s">
        <v>34</v>
      </c>
      <c r="B128" s="273">
        <v>770361</v>
      </c>
      <c r="C128" s="273">
        <v>740550</v>
      </c>
      <c r="D128" s="273">
        <v>828838</v>
      </c>
      <c r="E128" s="273">
        <v>1068953</v>
      </c>
      <c r="F128" s="273">
        <v>1084346</v>
      </c>
      <c r="G128" s="273">
        <v>1032773</v>
      </c>
      <c r="H128" s="273">
        <v>1096977</v>
      </c>
      <c r="I128" s="273">
        <v>1142739</v>
      </c>
      <c r="J128" s="273">
        <v>1211315</v>
      </c>
      <c r="K128" s="273">
        <v>1091308</v>
      </c>
      <c r="L128" s="273">
        <v>1227213</v>
      </c>
      <c r="M128" s="273">
        <v>1290917</v>
      </c>
      <c r="N128" s="273">
        <v>1356590</v>
      </c>
      <c r="O128" s="273">
        <v>1192108</v>
      </c>
      <c r="P128" s="273">
        <v>1301582</v>
      </c>
      <c r="Q128" s="273">
        <v>1376963</v>
      </c>
      <c r="R128" s="273">
        <v>1451060</v>
      </c>
      <c r="S128" s="273">
        <v>1395704</v>
      </c>
      <c r="T128" s="273">
        <v>1460119</v>
      </c>
      <c r="U128" s="273">
        <v>1535553</v>
      </c>
      <c r="V128" s="273">
        <v>1548157</v>
      </c>
      <c r="W128" s="273">
        <v>1349907</v>
      </c>
      <c r="X128" s="273">
        <v>1405330</v>
      </c>
    </row>
    <row r="129" spans="1:24" ht="14.25" thickBot="1" x14ac:dyDescent="0.3">
      <c r="A129" s="225" t="s">
        <v>35</v>
      </c>
      <c r="B129" s="276">
        <v>1827856</v>
      </c>
      <c r="C129" s="276">
        <v>1908193</v>
      </c>
      <c r="D129" s="276">
        <v>1807450</v>
      </c>
      <c r="E129" s="276">
        <v>1808730</v>
      </c>
      <c r="F129" s="276">
        <v>1718395</v>
      </c>
      <c r="G129" s="276">
        <v>1678720</v>
      </c>
      <c r="H129" s="276">
        <v>1692988</v>
      </c>
      <c r="I129" s="276">
        <v>1728062</v>
      </c>
      <c r="J129" s="276">
        <v>1702414</v>
      </c>
      <c r="K129" s="276">
        <v>1898323</v>
      </c>
      <c r="L129" s="276">
        <v>2119027</v>
      </c>
      <c r="M129" s="276">
        <v>2232642</v>
      </c>
      <c r="N129" s="276">
        <v>2284517</v>
      </c>
      <c r="O129" s="276">
        <v>2287449</v>
      </c>
      <c r="P129" s="276">
        <v>2192054</v>
      </c>
      <c r="Q129" s="276">
        <v>2301123</v>
      </c>
      <c r="R129" s="276">
        <v>2373397</v>
      </c>
      <c r="S129" s="276">
        <v>2536070</v>
      </c>
      <c r="T129" s="276">
        <v>2730184</v>
      </c>
      <c r="U129" s="276">
        <v>2826274</v>
      </c>
      <c r="V129" s="276">
        <v>2743120</v>
      </c>
      <c r="W129" s="276">
        <v>2819240</v>
      </c>
      <c r="X129" s="276">
        <v>2814677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4.25</v>
      </c>
      <c r="C132" s="68">
        <v>6.91</v>
      </c>
      <c r="D132" s="68">
        <v>7.86</v>
      </c>
      <c r="E132" s="68">
        <v>7.16</v>
      </c>
      <c r="F132" s="68">
        <v>12.12</v>
      </c>
    </row>
    <row r="133" spans="1:24" ht="14.25" thickBot="1" x14ac:dyDescent="0.3">
      <c r="A133" s="225" t="s">
        <v>37</v>
      </c>
      <c r="B133" s="274">
        <v>0.01</v>
      </c>
      <c r="C133" s="274">
        <v>-2.08</v>
      </c>
      <c r="D133" s="274">
        <v>-3.66</v>
      </c>
      <c r="E133" s="274">
        <v>-2.56</v>
      </c>
      <c r="F133" s="274">
        <v>-2.76</v>
      </c>
    </row>
    <row r="134" spans="1:24" ht="14.25" thickBot="1" x14ac:dyDescent="0.3">
      <c r="A134" s="224" t="s">
        <v>38</v>
      </c>
      <c r="B134" s="68">
        <v>-0.52</v>
      </c>
      <c r="C134" s="68">
        <v>-8.9499999999999993</v>
      </c>
      <c r="D134" s="68">
        <v>3.33</v>
      </c>
      <c r="E134" s="68">
        <v>-5</v>
      </c>
      <c r="F134" s="68">
        <v>3.83</v>
      </c>
    </row>
    <row r="135" spans="1:24" ht="14.25" thickBot="1" x14ac:dyDescent="0.3">
      <c r="A135" s="225" t="s">
        <v>270</v>
      </c>
      <c r="B135" s="274">
        <v>4.26</v>
      </c>
      <c r="C135" s="274">
        <v>4.83</v>
      </c>
      <c r="D135" s="274">
        <v>4.2</v>
      </c>
      <c r="E135" s="274">
        <v>4.5999999999999996</v>
      </c>
      <c r="F135" s="274">
        <v>9.36</v>
      </c>
    </row>
    <row r="136" spans="1:24" ht="14.25" thickBot="1" x14ac:dyDescent="0.3">
      <c r="A136" s="229" t="s">
        <v>39</v>
      </c>
      <c r="B136" s="72">
        <v>3.74</v>
      </c>
      <c r="C136" s="72">
        <v>-4.12</v>
      </c>
      <c r="D136" s="72">
        <v>7.53</v>
      </c>
      <c r="E136" s="72">
        <v>-0.39</v>
      </c>
      <c r="F136" s="72">
        <v>13.19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</v>
      </c>
      <c r="C140" s="68">
        <v>5</v>
      </c>
      <c r="D140" s="68">
        <v>5</v>
      </c>
      <c r="E140" s="68">
        <v>4.5</v>
      </c>
      <c r="F140" s="68">
        <v>6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0.63291139240506322</v>
      </c>
      <c r="C142" s="234">
        <f>IF(C140&lt;&gt;"無",IF(ISNA(HLOOKUP(C139,$B$64:$F$69,6,FALSE)),"",C140/HLOOKUP(C139,$B$64:$F$69,6,FALSE)),"")</f>
        <v>0.82644628099173545</v>
      </c>
      <c r="D142" s="234">
        <f>IF(D140&lt;&gt;"無",IF(ISNA(HLOOKUP(D139,$B$64:$F$69,6,FALSE)),"",D140/HLOOKUP(D139,$B$64:$F$69,6,FALSE)),"")</f>
        <v>0.63532401524777637</v>
      </c>
      <c r="E142" s="234">
        <f>IF(E140&lt;&gt;"無",IF(ISNA(HLOOKUP(E139,$B$64:$F$69,6,FALSE)),"",E140/HLOOKUP(E139,$B$64:$F$69,6,FALSE)),"")</f>
        <v>0.61643835616438369</v>
      </c>
      <c r="F142" s="234">
        <f>IF(F140&lt;&gt;"無",IF(ISNA(HLOOKUP(F139,$B$64:$F$69,6,FALSE)),"",F140/HLOOKUP(F139,$B$64:$F$69,6,FALSE)),"")</f>
        <v>0.68571428571428572</v>
      </c>
    </row>
    <row r="143" spans="1:24" x14ac:dyDescent="0.25">
      <c r="A143" s="233" t="s">
        <v>216</v>
      </c>
      <c r="B143" s="234">
        <f>IF(OR(B140=0,B140="無"),"",B135/B140)</f>
        <v>1.42</v>
      </c>
      <c r="C143" s="234">
        <f>IF(OR(C140=0,C140="無"),"",C135/C140)</f>
        <v>0.96599999999999997</v>
      </c>
      <c r="D143" s="234">
        <f>IF(OR(D140=0,D140="無"),"",D135/D140)</f>
        <v>0.84000000000000008</v>
      </c>
      <c r="E143" s="234">
        <f>IF(OR(E140=0,E140="無"),"",E135/E140)</f>
        <v>1.0222222222222221</v>
      </c>
      <c r="F143" s="234">
        <f>IF(OR(F140=0,F140="無"),"",F135/F140)</f>
        <v>1.5599999999999998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30.84</v>
      </c>
      <c r="C146" s="68">
        <v>32.909999999999997</v>
      </c>
      <c r="D146" s="68">
        <v>30.46</v>
      </c>
      <c r="E146" s="68">
        <v>32.92</v>
      </c>
      <c r="F146" s="68">
        <v>36.68</v>
      </c>
      <c r="G146" s="68">
        <v>36.799999999999997</v>
      </c>
      <c r="H146" s="68">
        <v>39.25</v>
      </c>
      <c r="I146" s="68">
        <v>38.01</v>
      </c>
      <c r="J146" s="68">
        <v>37.04</v>
      </c>
      <c r="K146" s="68">
        <v>40.99</v>
      </c>
      <c r="L146" s="68">
        <v>40.06</v>
      </c>
      <c r="M146" s="68">
        <v>37.049999999999997</v>
      </c>
      <c r="N146" s="68">
        <v>37.770000000000003</v>
      </c>
      <c r="O146" s="68">
        <v>37.36</v>
      </c>
      <c r="P146" s="68">
        <v>38.36</v>
      </c>
      <c r="Q146" s="68">
        <v>43.71</v>
      </c>
      <c r="R146" s="68">
        <v>42.11</v>
      </c>
      <c r="S146" s="68">
        <v>43.32</v>
      </c>
      <c r="T146" s="68">
        <v>42.52</v>
      </c>
      <c r="U146" s="68">
        <v>40.99</v>
      </c>
      <c r="V146" s="68">
        <v>40.159999999999997</v>
      </c>
      <c r="W146" s="68">
        <v>33.92</v>
      </c>
      <c r="X146" s="68">
        <v>36.76</v>
      </c>
    </row>
    <row r="147" spans="1:24" s="93" customFormat="1" ht="14.25" thickBot="1" x14ac:dyDescent="0.3">
      <c r="A147" s="225" t="s">
        <v>19</v>
      </c>
      <c r="B147" s="274">
        <v>10.31</v>
      </c>
      <c r="C147" s="274">
        <v>12.76</v>
      </c>
      <c r="D147" s="274">
        <v>8.18</v>
      </c>
      <c r="E147" s="274">
        <v>6.21</v>
      </c>
      <c r="F147" s="274">
        <v>16.5</v>
      </c>
      <c r="G147" s="274">
        <v>18.739999999999998</v>
      </c>
      <c r="H147" s="274">
        <v>18.649999999999999</v>
      </c>
      <c r="I147" s="274">
        <v>12.94</v>
      </c>
      <c r="J147" s="274">
        <v>17.04</v>
      </c>
      <c r="K147" s="274">
        <v>21.38</v>
      </c>
      <c r="L147" s="274">
        <v>19.68</v>
      </c>
      <c r="M147" s="274">
        <v>12.91</v>
      </c>
      <c r="N147" s="274">
        <v>16.329999999999998</v>
      </c>
      <c r="O147" s="274">
        <v>15.37</v>
      </c>
      <c r="P147" s="274">
        <v>15.73</v>
      </c>
      <c r="Q147" s="274">
        <v>18.71</v>
      </c>
      <c r="R147" s="274">
        <v>19.86</v>
      </c>
      <c r="S147" s="274">
        <v>23.43</v>
      </c>
      <c r="T147" s="274">
        <v>19.77</v>
      </c>
      <c r="U147" s="274">
        <v>13.69</v>
      </c>
      <c r="V147" s="274">
        <v>17.71</v>
      </c>
      <c r="W147" s="274">
        <v>10.77</v>
      </c>
      <c r="X147" s="274">
        <v>15.04</v>
      </c>
    </row>
    <row r="148" spans="1:24" s="93" customFormat="1" ht="14.25" thickBot="1" x14ac:dyDescent="0.3">
      <c r="A148" s="224" t="s">
        <v>41</v>
      </c>
      <c r="B148" s="68">
        <v>8.2899999999999991</v>
      </c>
      <c r="C148" s="68">
        <v>16.22</v>
      </c>
      <c r="D148" s="68">
        <v>27.24</v>
      </c>
      <c r="E148" s="68">
        <v>8.1300000000000008</v>
      </c>
      <c r="F148" s="68">
        <v>20.38</v>
      </c>
      <c r="G148" s="68">
        <v>21.13</v>
      </c>
      <c r="H148" s="68">
        <v>19.41</v>
      </c>
      <c r="I148" s="68">
        <v>15.12</v>
      </c>
      <c r="J148" s="68">
        <v>20.03</v>
      </c>
      <c r="K148" s="68">
        <v>20.57</v>
      </c>
      <c r="L148" s="68">
        <v>22.12</v>
      </c>
      <c r="M148" s="68">
        <v>17.98</v>
      </c>
      <c r="N148" s="68">
        <v>15.46</v>
      </c>
      <c r="O148" s="68">
        <v>14.73</v>
      </c>
      <c r="P148" s="68">
        <v>25.96</v>
      </c>
      <c r="Q148" s="68">
        <v>20.43</v>
      </c>
      <c r="R148" s="68">
        <v>18.2</v>
      </c>
      <c r="S148" s="68">
        <v>25.27</v>
      </c>
      <c r="T148" s="68">
        <v>15.32</v>
      </c>
      <c r="U148" s="68">
        <v>22.42</v>
      </c>
      <c r="V148" s="68">
        <v>4.97</v>
      </c>
      <c r="W148" s="68">
        <v>13.07</v>
      </c>
      <c r="X148" s="68">
        <v>13.99</v>
      </c>
    </row>
    <row r="149" spans="1:24" s="93" customFormat="1" ht="14.25" thickBot="1" x14ac:dyDescent="0.3">
      <c r="A149" s="225" t="s">
        <v>13</v>
      </c>
      <c r="B149" s="73">
        <v>7.19</v>
      </c>
      <c r="C149" s="73">
        <v>11.93</v>
      </c>
      <c r="D149" s="73">
        <v>25.77</v>
      </c>
      <c r="E149" s="73">
        <v>6.23</v>
      </c>
      <c r="F149" s="73">
        <v>18.059999999999999</v>
      </c>
      <c r="G149" s="73">
        <v>17.329999999999998</v>
      </c>
      <c r="H149" s="73">
        <v>16.03</v>
      </c>
      <c r="I149" s="73">
        <v>13.11</v>
      </c>
      <c r="J149" s="73">
        <v>17.52</v>
      </c>
      <c r="K149" s="73">
        <v>17.920000000000002</v>
      </c>
      <c r="L149" s="73">
        <v>19.079999999999998</v>
      </c>
      <c r="M149" s="73">
        <v>15.37</v>
      </c>
      <c r="N149" s="73">
        <v>13.84</v>
      </c>
      <c r="O149" s="73">
        <v>8.0500000000000007</v>
      </c>
      <c r="P149" s="73">
        <v>22.88</v>
      </c>
      <c r="Q149" s="73">
        <v>17.760000000000002</v>
      </c>
      <c r="R149" s="73">
        <v>15.42</v>
      </c>
      <c r="S149" s="73">
        <v>21.04</v>
      </c>
      <c r="T149" s="73">
        <v>13.24</v>
      </c>
      <c r="U149" s="73">
        <v>18.190000000000001</v>
      </c>
      <c r="V149" s="73">
        <v>4</v>
      </c>
      <c r="W149" s="73">
        <v>9.48</v>
      </c>
      <c r="X149" s="73">
        <v>11.41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31.8</v>
      </c>
      <c r="C152" s="68">
        <v>37.729999999999997</v>
      </c>
      <c r="D152" s="68">
        <v>38.909999999999997</v>
      </c>
      <c r="E152" s="68">
        <v>39.32</v>
      </c>
      <c r="F152" s="68">
        <v>42.31</v>
      </c>
    </row>
    <row r="153" spans="1:24" s="93" customFormat="1" ht="14.25" thickBot="1" x14ac:dyDescent="0.3">
      <c r="A153" s="225" t="s">
        <v>19</v>
      </c>
      <c r="B153" s="274">
        <v>9.44</v>
      </c>
      <c r="C153" s="274">
        <v>16.760000000000002</v>
      </c>
      <c r="D153" s="274">
        <v>17.88</v>
      </c>
      <c r="E153" s="274">
        <v>16.55</v>
      </c>
      <c r="F153" s="274">
        <v>19.489999999999998</v>
      </c>
    </row>
    <row r="154" spans="1:24" s="93" customFormat="1" ht="14.25" thickBot="1" x14ac:dyDescent="0.3">
      <c r="A154" s="224" t="s">
        <v>41</v>
      </c>
      <c r="B154" s="68">
        <v>15.27</v>
      </c>
      <c r="C154" s="68">
        <v>18.989999999999998</v>
      </c>
      <c r="D154" s="68">
        <v>20.260000000000002</v>
      </c>
      <c r="E154" s="68">
        <v>19.100000000000001</v>
      </c>
      <c r="F154" s="68">
        <v>20.5</v>
      </c>
    </row>
    <row r="155" spans="1:24" s="93" customFormat="1" ht="14.25" thickBot="1" x14ac:dyDescent="0.3">
      <c r="A155" s="225" t="s">
        <v>13</v>
      </c>
      <c r="B155" s="73">
        <v>13.02</v>
      </c>
      <c r="C155" s="73">
        <v>16.079999999999998</v>
      </c>
      <c r="D155" s="73">
        <v>17.54</v>
      </c>
      <c r="E155" s="73">
        <v>15.6</v>
      </c>
      <c r="F155" s="73">
        <v>17.14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1.23</v>
      </c>
      <c r="C158" s="68">
        <v>2.33</v>
      </c>
      <c r="D158" s="68">
        <v>4.9400000000000004</v>
      </c>
      <c r="E158" s="68">
        <v>1.21</v>
      </c>
      <c r="F158" s="68">
        <v>3.45</v>
      </c>
      <c r="G158" s="68">
        <v>4.0999999999999996</v>
      </c>
      <c r="H158" s="68">
        <v>3.89</v>
      </c>
      <c r="I158" s="68">
        <v>2.96</v>
      </c>
      <c r="J158" s="68">
        <v>3.94</v>
      </c>
      <c r="K158" s="68">
        <v>4.59</v>
      </c>
      <c r="L158" s="68">
        <v>4.9800000000000004</v>
      </c>
      <c r="M158" s="68">
        <v>3.23</v>
      </c>
      <c r="N158" s="68">
        <v>3.03</v>
      </c>
      <c r="O158" s="68">
        <v>1.7</v>
      </c>
      <c r="P158" s="68">
        <v>4.78</v>
      </c>
      <c r="Q158" s="68">
        <v>3.87</v>
      </c>
      <c r="R158" s="68">
        <v>3.32</v>
      </c>
      <c r="S158" s="68">
        <v>5.19</v>
      </c>
      <c r="T158" s="68">
        <v>2.63</v>
      </c>
      <c r="U158" s="68">
        <v>3.12</v>
      </c>
      <c r="V158" s="68">
        <v>0.72</v>
      </c>
      <c r="W158" s="68">
        <v>1.62</v>
      </c>
      <c r="X158" s="68">
        <v>2.0699999999999998</v>
      </c>
    </row>
    <row r="159" spans="1:24" s="93" customFormat="1" ht="14.25" thickBot="1" x14ac:dyDescent="0.3">
      <c r="A159" s="225" t="s">
        <v>45</v>
      </c>
      <c r="B159" s="73">
        <v>2.96</v>
      </c>
      <c r="C159" s="73">
        <v>5.77</v>
      </c>
      <c r="D159" s="73">
        <v>11.37</v>
      </c>
      <c r="E159" s="73">
        <v>2.12</v>
      </c>
      <c r="F159" s="73">
        <v>5.53</v>
      </c>
      <c r="G159" s="73">
        <v>6.5</v>
      </c>
      <c r="H159" s="73">
        <v>6.1</v>
      </c>
      <c r="I159" s="73">
        <v>4.47</v>
      </c>
      <c r="J159" s="73">
        <v>5.72</v>
      </c>
      <c r="K159" s="73">
        <v>7.15</v>
      </c>
      <c r="L159" s="73">
        <v>8.5</v>
      </c>
      <c r="M159" s="73">
        <v>5.43</v>
      </c>
      <c r="N159" s="73">
        <v>5.0199999999999996</v>
      </c>
      <c r="O159" s="73">
        <v>2.95</v>
      </c>
      <c r="P159" s="73">
        <v>8.42</v>
      </c>
      <c r="Q159" s="73">
        <v>6.34</v>
      </c>
      <c r="R159" s="73">
        <v>5.35</v>
      </c>
      <c r="S159" s="73">
        <v>8.82</v>
      </c>
      <c r="T159" s="73">
        <v>4.68</v>
      </c>
      <c r="U159" s="73">
        <v>5.61</v>
      </c>
      <c r="V159" s="73">
        <v>1.1499999999999999</v>
      </c>
      <c r="W159" s="73">
        <v>2.96</v>
      </c>
      <c r="X159" s="73">
        <v>4.03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13.02</v>
      </c>
      <c r="C162" s="68">
        <v>16.079999999999998</v>
      </c>
      <c r="D162" s="68">
        <v>17.54</v>
      </c>
      <c r="E162" s="68">
        <v>15.6</v>
      </c>
      <c r="F162" s="68">
        <v>17.14</v>
      </c>
    </row>
    <row r="163" spans="1:72" s="93" customFormat="1" ht="14.25" thickBot="1" x14ac:dyDescent="0.3">
      <c r="A163" s="225" t="s">
        <v>18</v>
      </c>
      <c r="B163" s="274">
        <v>0.75</v>
      </c>
      <c r="C163" s="274">
        <v>0.88</v>
      </c>
      <c r="D163" s="274">
        <v>0.81</v>
      </c>
      <c r="E163" s="274">
        <v>0.82</v>
      </c>
      <c r="F163" s="274">
        <v>0.73</v>
      </c>
    </row>
    <row r="164" spans="1:72" s="93" customFormat="1" ht="14.25" thickBot="1" x14ac:dyDescent="0.3">
      <c r="A164" s="224" t="s">
        <v>15</v>
      </c>
      <c r="B164" s="68">
        <v>1.69</v>
      </c>
      <c r="C164" s="68">
        <v>1.51</v>
      </c>
      <c r="D164" s="68">
        <v>1.73</v>
      </c>
      <c r="E164" s="68">
        <v>1.67</v>
      </c>
      <c r="F164" s="68">
        <v>1.84</v>
      </c>
    </row>
    <row r="165" spans="1:72" s="93" customFormat="1" ht="14.25" thickBot="1" x14ac:dyDescent="0.3">
      <c r="A165" s="225" t="s">
        <v>45</v>
      </c>
      <c r="B165" s="73">
        <v>19.309999999999999</v>
      </c>
      <c r="C165" s="73">
        <v>22.01</v>
      </c>
      <c r="D165" s="73">
        <v>26.01</v>
      </c>
      <c r="E165" s="73">
        <v>22.04</v>
      </c>
      <c r="F165" s="73">
        <v>24.17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20.55</v>
      </c>
      <c r="C168" s="68">
        <v>21.48</v>
      </c>
      <c r="D168" s="68">
        <v>45.23</v>
      </c>
      <c r="E168" s="68">
        <v>45.23</v>
      </c>
      <c r="F168" s="68">
        <v>40.54</v>
      </c>
      <c r="G168" s="68">
        <v>36.29</v>
      </c>
      <c r="H168" s="68">
        <v>38.46</v>
      </c>
      <c r="I168" s="68">
        <v>37.04</v>
      </c>
      <c r="J168" s="68">
        <v>35.159999999999997</v>
      </c>
      <c r="K168" s="68">
        <v>34.22</v>
      </c>
      <c r="L168" s="68">
        <v>32.61</v>
      </c>
      <c r="M168" s="68">
        <v>36.29</v>
      </c>
      <c r="N168" s="68">
        <v>36.44</v>
      </c>
      <c r="O168" s="68">
        <v>36.590000000000003</v>
      </c>
      <c r="P168" s="68">
        <v>34.479999999999997</v>
      </c>
      <c r="Q168" s="68">
        <v>33.83</v>
      </c>
      <c r="R168" s="68">
        <v>30.82</v>
      </c>
      <c r="S168" s="68">
        <v>26.95</v>
      </c>
      <c r="T168" s="68">
        <v>30.3</v>
      </c>
      <c r="U168" s="68">
        <v>29.32</v>
      </c>
      <c r="V168" s="68">
        <v>31.47</v>
      </c>
      <c r="W168" s="68">
        <v>32.61</v>
      </c>
      <c r="X168" s="68">
        <v>32.14</v>
      </c>
    </row>
    <row r="169" spans="1:72" s="93" customFormat="1" ht="14.25" thickBot="1" x14ac:dyDescent="0.3">
      <c r="A169" s="225" t="s">
        <v>17</v>
      </c>
      <c r="B169" s="274">
        <v>160.71</v>
      </c>
      <c r="C169" s="274">
        <v>142.86000000000001</v>
      </c>
      <c r="D169" s="274">
        <v>147.54</v>
      </c>
      <c r="E169" s="274">
        <v>160.71</v>
      </c>
      <c r="F169" s="274">
        <v>163.63999999999999</v>
      </c>
      <c r="G169" s="274">
        <v>138.46</v>
      </c>
      <c r="H169" s="274">
        <v>150</v>
      </c>
      <c r="I169" s="274">
        <v>169.81</v>
      </c>
      <c r="J169" s="274">
        <v>180</v>
      </c>
      <c r="K169" s="274">
        <v>169.81</v>
      </c>
      <c r="L169" s="274">
        <v>150</v>
      </c>
      <c r="M169" s="274">
        <v>163.63999999999999</v>
      </c>
      <c r="N169" s="274">
        <v>160.71</v>
      </c>
      <c r="O169" s="274">
        <v>173.08</v>
      </c>
      <c r="P169" s="274">
        <v>187.5</v>
      </c>
      <c r="Q169" s="274">
        <v>200</v>
      </c>
      <c r="R169" s="274">
        <v>183.67</v>
      </c>
      <c r="S169" s="274">
        <v>152.54</v>
      </c>
      <c r="T169" s="274">
        <v>173.08</v>
      </c>
      <c r="U169" s="274">
        <v>183.67</v>
      </c>
      <c r="V169" s="274">
        <v>191.49</v>
      </c>
      <c r="W169" s="274">
        <v>173.08</v>
      </c>
      <c r="X169" s="274">
        <v>166.67</v>
      </c>
    </row>
    <row r="170" spans="1:72" s="93" customFormat="1" ht="14.25" thickBot="1" x14ac:dyDescent="0.3">
      <c r="A170" s="224" t="s">
        <v>42</v>
      </c>
      <c r="B170" s="72">
        <v>181.26</v>
      </c>
      <c r="C170" s="72">
        <v>164.34</v>
      </c>
      <c r="D170" s="72">
        <v>192.77</v>
      </c>
      <c r="E170" s="72">
        <v>205.94</v>
      </c>
      <c r="F170" s="72">
        <v>204.18</v>
      </c>
      <c r="G170" s="72">
        <v>174.75</v>
      </c>
      <c r="H170" s="72">
        <v>188.46</v>
      </c>
      <c r="I170" s="72">
        <v>206.85</v>
      </c>
      <c r="J170" s="72">
        <v>215.16</v>
      </c>
      <c r="K170" s="72">
        <v>204.03</v>
      </c>
      <c r="L170" s="72">
        <v>182.61</v>
      </c>
      <c r="M170" s="72">
        <v>199.93</v>
      </c>
      <c r="N170" s="72">
        <v>197.15</v>
      </c>
      <c r="O170" s="72">
        <v>209.66</v>
      </c>
      <c r="P170" s="72">
        <v>221.98</v>
      </c>
      <c r="Q170" s="72">
        <v>233.83</v>
      </c>
      <c r="R170" s="72">
        <v>214.5</v>
      </c>
      <c r="S170" s="72">
        <v>179.49</v>
      </c>
      <c r="T170" s="72">
        <v>203.38</v>
      </c>
      <c r="U170" s="72">
        <v>212.99</v>
      </c>
      <c r="V170" s="72">
        <v>222.96</v>
      </c>
      <c r="W170" s="72">
        <v>205.69</v>
      </c>
      <c r="X170" s="72">
        <v>198.81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90.34</v>
      </c>
      <c r="C173" s="72">
        <v>114.67</v>
      </c>
      <c r="D173" s="72">
        <v>99.74</v>
      </c>
      <c r="E173" s="72">
        <v>98.07</v>
      </c>
      <c r="F173" s="72">
        <v>138.52000000000001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 t="s">
        <v>43</v>
      </c>
      <c r="C176" s="72" t="s">
        <v>43</v>
      </c>
      <c r="D176" s="72" t="s">
        <v>43</v>
      </c>
      <c r="E176" s="72">
        <v>18.23</v>
      </c>
      <c r="F176" s="72">
        <v>24.22</v>
      </c>
      <c r="G176" s="72">
        <v>24.39</v>
      </c>
      <c r="H176" s="72">
        <v>23.58</v>
      </c>
      <c r="I176" s="72">
        <v>19.59</v>
      </c>
      <c r="J176" s="72">
        <v>21.92</v>
      </c>
      <c r="K176" s="72">
        <v>29.38</v>
      </c>
      <c r="L176" s="72">
        <v>15.92</v>
      </c>
      <c r="M176" s="72">
        <v>15.09</v>
      </c>
      <c r="N176" s="72">
        <v>13.21</v>
      </c>
      <c r="O176" s="72">
        <v>13.6</v>
      </c>
      <c r="P176" s="72">
        <v>13.32</v>
      </c>
      <c r="Q176" s="72">
        <v>18.14</v>
      </c>
      <c r="R176" s="72">
        <v>18.3</v>
      </c>
      <c r="S176" s="72">
        <v>19.920000000000002</v>
      </c>
      <c r="T176" s="72">
        <v>23.03</v>
      </c>
      <c r="U176" s="72">
        <v>22.06</v>
      </c>
      <c r="V176" s="72">
        <v>23.51</v>
      </c>
      <c r="W176" s="72">
        <v>23.97</v>
      </c>
      <c r="X176" s="72">
        <v>26.26</v>
      </c>
      <c r="Y176" s="72">
        <v>25.74</v>
      </c>
      <c r="Z176" s="72">
        <v>22.95</v>
      </c>
      <c r="AA176" s="72">
        <v>25.67</v>
      </c>
      <c r="AB176" s="72">
        <v>27.07</v>
      </c>
      <c r="AC176" s="72">
        <v>29.71</v>
      </c>
      <c r="AD176" s="72">
        <v>29.34</v>
      </c>
      <c r="AE176" s="72">
        <v>31.71</v>
      </c>
      <c r="AF176" s="72">
        <v>28.44</v>
      </c>
      <c r="AG176" s="72">
        <v>26.13</v>
      </c>
      <c r="AH176" s="72">
        <v>25.98</v>
      </c>
      <c r="AI176" s="72">
        <v>23.72</v>
      </c>
      <c r="AJ176" s="72">
        <v>20.84</v>
      </c>
      <c r="AK176" s="72">
        <v>23.27</v>
      </c>
      <c r="AL176" s="72">
        <v>22.27</v>
      </c>
      <c r="AM176" s="72">
        <v>22.19</v>
      </c>
      <c r="AN176" s="72">
        <v>22.03</v>
      </c>
      <c r="AO176" s="72">
        <v>21.98</v>
      </c>
      <c r="AP176" s="72">
        <v>18.829999999999998</v>
      </c>
      <c r="AQ176" s="72">
        <v>18.02</v>
      </c>
      <c r="AR176" s="72">
        <v>15.89</v>
      </c>
      <c r="AS176" s="72">
        <v>14.53</v>
      </c>
      <c r="AT176" s="72">
        <v>16.170000000000002</v>
      </c>
      <c r="AU176" s="72">
        <v>16.010000000000002</v>
      </c>
      <c r="AV176" s="72">
        <v>17.98</v>
      </c>
      <c r="AW176" s="72">
        <v>18.670000000000002</v>
      </c>
      <c r="AX176" s="72">
        <v>17.16</v>
      </c>
      <c r="AY176" s="72">
        <v>18.2</v>
      </c>
      <c r="AZ176" s="72">
        <v>19.899999999999999</v>
      </c>
      <c r="BA176" s="72">
        <v>22.5</v>
      </c>
      <c r="BB176" s="72">
        <v>22.23</v>
      </c>
      <c r="BC176" s="72">
        <v>23.12</v>
      </c>
      <c r="BD176" s="72">
        <v>24.14</v>
      </c>
      <c r="BE176" s="72">
        <v>17.95</v>
      </c>
      <c r="BF176" s="72">
        <v>16.7</v>
      </c>
      <c r="BG176" s="72">
        <v>16.079999999999998</v>
      </c>
      <c r="BH176" s="72">
        <v>16.510000000000002</v>
      </c>
      <c r="BI176" s="72">
        <v>17.09</v>
      </c>
      <c r="BJ176" s="72">
        <v>17.260000000000002</v>
      </c>
      <c r="BK176" s="72">
        <v>17.54</v>
      </c>
      <c r="BL176" s="72">
        <v>16.8</v>
      </c>
      <c r="BM176" s="72">
        <v>15.41</v>
      </c>
      <c r="BN176" s="72">
        <v>16.97</v>
      </c>
      <c r="BO176" s="72">
        <v>17.11</v>
      </c>
      <c r="BP176" s="72">
        <v>15.3</v>
      </c>
      <c r="BQ176" s="72">
        <v>18.91</v>
      </c>
      <c r="BR176" s="72">
        <v>18.989999999999998</v>
      </c>
      <c r="BS176" s="72">
        <v>19.05</v>
      </c>
      <c r="BT176" s="72">
        <v>20.07</v>
      </c>
    </row>
  </sheetData>
  <phoneticPr fontId="3" type="noConversion"/>
  <conditionalFormatting sqref="E4">
    <cfRule type="cellIs" dxfId="3899" priority="103" operator="greaterThan">
      <formula>0.2</formula>
    </cfRule>
    <cfRule type="cellIs" dxfId="389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389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896" priority="97" operator="greaterThan">
      <formula>$B$19</formula>
    </cfRule>
  </conditionalFormatting>
  <conditionalFormatting sqref="D33:D34">
    <cfRule type="cellIs" dxfId="389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3894" priority="91" operator="lessThan">
      <formula>$H$62</formula>
    </cfRule>
    <cfRule type="cellIs" dxfId="3893" priority="92" operator="greaterThan">
      <formula>$H$62</formula>
    </cfRule>
  </conditionalFormatting>
  <conditionalFormatting sqref="J62">
    <cfRule type="cellIs" dxfId="3892" priority="89" operator="lessThan">
      <formula>$K$62</formula>
    </cfRule>
    <cfRule type="cellIs" dxfId="3891" priority="90" operator="greaterThan">
      <formula>$K$62</formula>
    </cfRule>
  </conditionalFormatting>
  <conditionalFormatting sqref="M62">
    <cfRule type="cellIs" dxfId="3890" priority="87" operator="lessThan">
      <formula>$N$62</formula>
    </cfRule>
    <cfRule type="cellIs" dxfId="3889" priority="88" operator="greaterThan">
      <formula>$N$62</formula>
    </cfRule>
  </conditionalFormatting>
  <conditionalFormatting sqref="B44:E44">
    <cfRule type="cellIs" dxfId="3888" priority="85" operator="greaterThan">
      <formula>0</formula>
    </cfRule>
    <cfRule type="cellIs" dxfId="3887" priority="86" operator="lessThan">
      <formula>0</formula>
    </cfRule>
  </conditionalFormatting>
  <conditionalFormatting sqref="F72">
    <cfRule type="cellIs" dxfId="3886" priority="84" operator="lessThan">
      <formula>$E$72*90%</formula>
    </cfRule>
  </conditionalFormatting>
  <conditionalFormatting sqref="F73">
    <cfRule type="cellIs" dxfId="3885" priority="83" operator="lessThan">
      <formula>$E$73*90%</formula>
    </cfRule>
  </conditionalFormatting>
  <conditionalFormatting sqref="F74">
    <cfRule type="cellIs" dxfId="3884" priority="82" operator="lessThan">
      <formula>$E$74*90%</formula>
    </cfRule>
  </conditionalFormatting>
  <conditionalFormatting sqref="F75">
    <cfRule type="cellIs" dxfId="3883" priority="81" operator="lessThan">
      <formula>$E$75*90%</formula>
    </cfRule>
  </conditionalFormatting>
  <conditionalFormatting sqref="H44:K44">
    <cfRule type="cellIs" dxfId="3882" priority="79" operator="greaterThan">
      <formula>0</formula>
    </cfRule>
    <cfRule type="cellIs" dxfId="3881" priority="80" operator="lessThan">
      <formula>0</formula>
    </cfRule>
  </conditionalFormatting>
  <conditionalFormatting sqref="H51:K51">
    <cfRule type="cellIs" dxfId="3880" priority="77" operator="greaterThan">
      <formula>0</formula>
    </cfRule>
    <cfRule type="cellIs" dxfId="3879" priority="78" operator="lessThan">
      <formula>0</formula>
    </cfRule>
  </conditionalFormatting>
  <conditionalFormatting sqref="B51:E51">
    <cfRule type="cellIs" dxfId="3878" priority="75" operator="greaterThan">
      <formula>0</formula>
    </cfRule>
    <cfRule type="cellIs" dxfId="387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87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87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874" priority="58" operator="lessThan">
      <formula>0</formula>
    </cfRule>
  </conditionalFormatting>
  <conditionalFormatting sqref="A25 E25 C25">
    <cfRule type="cellIs" dxfId="3873" priority="59" operator="lessThan">
      <formula>0</formula>
    </cfRule>
  </conditionalFormatting>
  <conditionalFormatting sqref="F25">
    <cfRule type="cellIs" dxfId="3872" priority="57" operator="lessThan">
      <formula>0</formula>
    </cfRule>
  </conditionalFormatting>
  <conditionalFormatting sqref="E1">
    <cfRule type="containsText" dxfId="3871" priority="56" operator="containsText" text="本季業外損益/平均=-">
      <formula>NOT(ISERROR(SEARCH("本季業外損益/平均=-",E1)))</formula>
    </cfRule>
  </conditionalFormatting>
  <conditionalFormatting sqref="M65">
    <cfRule type="cellIs" dxfId="3870" priority="55" operator="lessThan">
      <formula>$L$65*90%</formula>
    </cfRule>
  </conditionalFormatting>
  <conditionalFormatting sqref="M66">
    <cfRule type="cellIs" dxfId="3869" priority="54" operator="lessThan">
      <formula>$L$66*90%</formula>
    </cfRule>
  </conditionalFormatting>
  <conditionalFormatting sqref="M67">
    <cfRule type="cellIs" dxfId="3868" priority="53" operator="lessThan">
      <formula>$L$67*90%</formula>
    </cfRule>
  </conditionalFormatting>
  <conditionalFormatting sqref="M68">
    <cfRule type="cellIs" dxfId="3867" priority="52" operator="lessThan">
      <formula>$L$68*90%</formula>
    </cfRule>
  </conditionalFormatting>
  <conditionalFormatting sqref="B60">
    <cfRule type="cellIs" dxfId="3866" priority="51" operator="lessThan">
      <formula>0</formula>
    </cfRule>
  </conditionalFormatting>
  <conditionalFormatting sqref="B59:F59">
    <cfRule type="cellIs" dxfId="3865" priority="50" operator="lessThanOrEqual">
      <formula>0</formula>
    </cfRule>
  </conditionalFormatting>
  <conditionalFormatting sqref="D62">
    <cfRule type="cellIs" dxfId="3864" priority="48" operator="lessThan">
      <formula>$E$62</formula>
    </cfRule>
    <cfRule type="cellIs" dxfId="3863" priority="49" operator="greaterThan">
      <formula>$E$62</formula>
    </cfRule>
  </conditionalFormatting>
  <conditionalFormatting sqref="F69">
    <cfRule type="cellIs" dxfId="3862" priority="46" operator="lessThan">
      <formula>0</formula>
    </cfRule>
  </conditionalFormatting>
  <conditionalFormatting sqref="B65:E67 B69:E69 B68:D68">
    <cfRule type="cellIs" dxfId="3861" priority="47" operator="lessThan">
      <formula>0</formula>
    </cfRule>
  </conditionalFormatting>
  <conditionalFormatting sqref="E68">
    <cfRule type="cellIs" dxfId="3860" priority="45" operator="lessThan">
      <formula>0</formula>
    </cfRule>
  </conditionalFormatting>
  <conditionalFormatting sqref="F65:F68">
    <cfRule type="cellIs" dxfId="3859" priority="44" operator="lessThan">
      <formula>0</formula>
    </cfRule>
  </conditionalFormatting>
  <conditionalFormatting sqref="F65:F68">
    <cfRule type="cellIs" dxfId="3858" priority="43" operator="lessThan">
      <formula>$E$65*0.9</formula>
    </cfRule>
  </conditionalFormatting>
  <conditionalFormatting sqref="F66">
    <cfRule type="cellIs" dxfId="3857" priority="42" operator="lessThan">
      <formula>$E$66*0.9</formula>
    </cfRule>
  </conditionalFormatting>
  <conditionalFormatting sqref="F67:F68">
    <cfRule type="cellIs" dxfId="3856" priority="41" operator="lessThan">
      <formula>$E$67*0.9</formula>
    </cfRule>
  </conditionalFormatting>
  <conditionalFormatting sqref="F68">
    <cfRule type="cellIs" dxfId="3855" priority="40" operator="lessThan">
      <formula>$E$68*0.9</formula>
    </cfRule>
  </conditionalFormatting>
  <conditionalFormatting sqref="B13:F13">
    <cfRule type="cellIs" dxfId="3854" priority="29" operator="greaterThan">
      <formula>$I$16</formula>
    </cfRule>
    <cfRule type="cellIs" dxfId="3853" priority="30" operator="lessThanOrEqual">
      <formula>$I$16</formula>
    </cfRule>
  </conditionalFormatting>
  <conditionalFormatting sqref="B10:F10">
    <cfRule type="cellIs" dxfId="3852" priority="31" operator="greaterThan">
      <formula>15</formula>
    </cfRule>
    <cfRule type="cellIs" dxfId="3851" priority="38" operator="lessThan">
      <formula>$I$9</formula>
    </cfRule>
    <cfRule type="cellIs" dxfId="3850" priority="39" operator="greaterThan">
      <formula>$I$9</formula>
    </cfRule>
  </conditionalFormatting>
  <conditionalFormatting sqref="B16:F16">
    <cfRule type="cellIs" dxfId="3849" priority="36" operator="greaterThan">
      <formula>$I$16</formula>
    </cfRule>
    <cfRule type="cellIs" dxfId="3848" priority="37" operator="lessThanOrEqual">
      <formula>$I$16</formula>
    </cfRule>
  </conditionalFormatting>
  <conditionalFormatting sqref="B15:F15">
    <cfRule type="cellIs" dxfId="3847" priority="34" operator="lessThanOrEqual">
      <formula>$I$16</formula>
    </cfRule>
    <cfRule type="cellIs" dxfId="3846" priority="35" operator="greaterThan">
      <formula>$I$16</formula>
    </cfRule>
  </conditionalFormatting>
  <conditionalFormatting sqref="B14:F14">
    <cfRule type="cellIs" dxfId="3845" priority="32" operator="greaterThan">
      <formula>$I$16</formula>
    </cfRule>
    <cfRule type="cellIs" dxfId="3844" priority="33" operator="lessThanOrEqual">
      <formula>$I$16</formula>
    </cfRule>
  </conditionalFormatting>
  <conditionalFormatting sqref="K6">
    <cfRule type="containsText" dxfId="3843" priority="27" operator="containsText" text="衰退">
      <formula>NOT(ISERROR(SEARCH("衰退",K6)))</formula>
    </cfRule>
    <cfRule type="containsText" dxfId="3842" priority="28" operator="containsText" text="成長">
      <formula>NOT(ISERROR(SEARCH("成長",K6)))</formula>
    </cfRule>
  </conditionalFormatting>
  <conditionalFormatting sqref="I4:K4">
    <cfRule type="cellIs" dxfId="3841" priority="25" operator="lessThan">
      <formula>0</formula>
    </cfRule>
    <cfRule type="cellIs" dxfId="384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839" priority="22" operator="lessThanOrEqual">
      <formula>$I$16</formula>
    </cfRule>
    <cfRule type="cellIs" dxfId="3838" priority="23" operator="greaterThan">
      <formula>$I$16</formula>
    </cfRule>
  </conditionalFormatting>
  <conditionalFormatting sqref="I6">
    <cfRule type="containsText" dxfId="3837" priority="20" operator="containsText" text="衰退">
      <formula>NOT(ISERROR(SEARCH("衰退",I6)))</formula>
    </cfRule>
    <cfRule type="containsText" dxfId="3836" priority="21" operator="containsText" text="成長">
      <formula>NOT(ISERROR(SEARCH("成長",I6)))</formula>
    </cfRule>
  </conditionalFormatting>
  <conditionalFormatting sqref="M9">
    <cfRule type="cellIs" dxfId="3835" priority="19" operator="lessThan">
      <formula>$I$9</formula>
    </cfRule>
  </conditionalFormatting>
  <conditionalFormatting sqref="M10">
    <cfRule type="cellIs" dxfId="3834" priority="18" operator="greaterThan">
      <formula>$I$9</formula>
    </cfRule>
  </conditionalFormatting>
  <conditionalFormatting sqref="M11">
    <cfRule type="cellIs" dxfId="383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832" priority="14" operator="lessThan">
      <formula>0</formula>
    </cfRule>
    <cfRule type="cellIs" dxfId="3831" priority="15" operator="greaterThan">
      <formula>0.5</formula>
    </cfRule>
  </conditionalFormatting>
  <conditionalFormatting sqref="N14">
    <cfRule type="cellIs" dxfId="383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829" priority="10" operator="lessThan">
      <formula>0.1</formula>
    </cfRule>
  </conditionalFormatting>
  <conditionalFormatting sqref="I14">
    <cfRule type="cellIs" dxfId="382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82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826" priority="1" operator="lessThan">
      <formula>$N$5*0.9</formula>
    </cfRule>
    <cfRule type="cellIs" dxfId="3825" priority="2" operator="greaterThan">
      <formula>$N$5*1.1</formula>
    </cfRule>
  </conditionalFormatting>
  <hyperlinks>
    <hyperlink ref="L1" location="儀表板!A1" display="(回首頁)" xr:uid="{00000000-0004-0000-3400-000000000000}"/>
  </hyperlink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201801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9.94 ~ 18.29</v>
      </c>
      <c r="L1" s="83" t="s">
        <v>176</v>
      </c>
      <c r="M1" s="84" t="str">
        <f ca="1">VLOOKUP(_xlfn.NUMBERVALUE(N1),儀表板!A:B,2,FALSE)</f>
        <v>中華食品</v>
      </c>
      <c r="N1" s="85" t="str">
        <f ca="1">MID(CELL("filename",L1),FIND("]",CELL("filename",L1))+1,255)</f>
        <v>4205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0.17840785408007481</v>
      </c>
    </row>
    <row r="3" spans="1:15" s="93" customFormat="1" x14ac:dyDescent="0.25">
      <c r="A3" s="81" t="s">
        <v>179</v>
      </c>
      <c r="B3" s="94">
        <f>SUM(F19:F22,F24:F27,J19)</f>
        <v>91.110986362627614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53.421691433403524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58.87806371757538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63.271712330120749</v>
      </c>
      <c r="L3" s="100"/>
      <c r="M3" s="79" t="s">
        <v>385</v>
      </c>
      <c r="N3" s="92">
        <f>(F69-E69)/E69</f>
        <v>4.0329752454224752E-2</v>
      </c>
    </row>
    <row r="4" spans="1:15" s="93" customFormat="1" x14ac:dyDescent="0.25">
      <c r="A4" s="81" t="s">
        <v>182</v>
      </c>
      <c r="B4" s="96">
        <f>SUM(G36:G40)*2</f>
        <v>82</v>
      </c>
      <c r="C4" s="101"/>
      <c r="D4" s="102">
        <f>F4*(1+F141/10)</f>
        <v>8.069700000000001</v>
      </c>
      <c r="E4" s="82">
        <f>(D4-F4)/F4</f>
        <v>0.11000000000000019</v>
      </c>
      <c r="F4" s="103">
        <v>7.27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3.2146189350835543</v>
      </c>
    </row>
    <row r="5" spans="1:15" s="93" customFormat="1" x14ac:dyDescent="0.25">
      <c r="A5" s="81" t="s">
        <v>184</v>
      </c>
      <c r="B5" s="107">
        <f>SUM(F30:F34)*2</f>
        <v>97.31505807814149</v>
      </c>
      <c r="C5" s="87"/>
      <c r="D5" s="87"/>
      <c r="E5" s="87"/>
      <c r="F5" s="86"/>
      <c r="G5" s="88"/>
      <c r="M5" s="79" t="s">
        <v>386</v>
      </c>
      <c r="N5" s="152">
        <f>D62</f>
        <v>3.13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連2月成長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3.3617999710442823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22.11</v>
      </c>
      <c r="N9" s="129"/>
    </row>
    <row r="10" spans="1:15" s="93" customFormat="1" x14ac:dyDescent="0.25">
      <c r="A10" s="123" t="s">
        <v>194</v>
      </c>
      <c r="B10" s="126">
        <f>PERCENTILE(176:176,B9)</f>
        <v>16.3</v>
      </c>
      <c r="C10" s="126">
        <f>PERCENTILE(176:176,C9)</f>
        <v>16.84</v>
      </c>
      <c r="D10" s="126">
        <f>PERCENTILE(176:176,D9)</f>
        <v>18.559999999999999</v>
      </c>
      <c r="E10" s="126">
        <f>PERCENTILE(176:176,E9)</f>
        <v>19.945</v>
      </c>
      <c r="F10" s="126">
        <f>PERCENTILE(176:176,F9)</f>
        <v>20.69</v>
      </c>
      <c r="G10" s="95"/>
      <c r="H10" s="135"/>
      <c r="I10" s="135"/>
      <c r="J10" s="135"/>
      <c r="K10" s="135"/>
      <c r="L10" s="136" t="s">
        <v>374</v>
      </c>
      <c r="M10" s="130">
        <f>MIN(176:176)</f>
        <v>14.47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17.190000000000001</v>
      </c>
      <c r="L11" s="272" t="s">
        <v>193</v>
      </c>
      <c r="M11" s="128">
        <f>STDEV(176:176)</f>
        <v>2.2750472434124154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24.509803921568629</v>
      </c>
      <c r="C13" s="141">
        <f>$B$34/5.88%</f>
        <v>29.761904761904763</v>
      </c>
      <c r="D13" s="141">
        <f>$B$34/5%</f>
        <v>35</v>
      </c>
      <c r="E13" s="141">
        <f>$B$34/4.35%</f>
        <v>40.229885057471265</v>
      </c>
      <c r="F13" s="141">
        <f>$B$34/3.85%</f>
        <v>45.454545454545453</v>
      </c>
      <c r="G13" s="138" t="str">
        <f>"$"&amp;ROUND(B34,2)&amp;"/"&amp;IF(STDEV(C140:F140)/AVERAGE(C140:F140)&lt;15%,"高",IF(STDEV(C140:F140)/AVERAGE(C140:F140)&lt;30%,"中","低"))</f>
        <v>$1.75/中</v>
      </c>
      <c r="H13" s="142" t="s">
        <v>199</v>
      </c>
      <c r="I13" s="143">
        <f>MAX(0,1-J15)</f>
        <v>0.5145631067961165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38.590250000000005</v>
      </c>
      <c r="C14" s="141">
        <f>$B$33*C10</f>
        <v>39.868700000000004</v>
      </c>
      <c r="D14" s="141">
        <f>$B$33*D10</f>
        <v>43.940800000000003</v>
      </c>
      <c r="E14" s="141">
        <f>$B$33*E10</f>
        <v>47.219787500000002</v>
      </c>
      <c r="F14" s="141">
        <f>$B$33*F10</f>
        <v>48.983575000000009</v>
      </c>
      <c r="G14" s="138" t="str">
        <f>"$"&amp;ROUND(B33,2)&amp;"/"&amp;IF(STDEV(B69:E69)/AVERAGE(B69:E69)&lt;15%,"高",IF(STDEV(B69:E69)/AVERAGE(B69:E69)&lt;30%,"中","低"))</f>
        <v>$2.37/中</v>
      </c>
      <c r="H14" s="142" t="s">
        <v>203</v>
      </c>
      <c r="I14" s="145">
        <f>G62/100*I13</f>
        <v>9.3290291262135921E-2</v>
      </c>
      <c r="J14" s="76" t="s">
        <v>204</v>
      </c>
      <c r="K14" s="146"/>
      <c r="L14" s="147">
        <f>(HLOOKUP($C$1,$105:$106,2,FALSE)-HLOOKUP($C$1,$117:$127,9,FALSE))/(HLOOKUP($C$1,$117:$128,12,FALSE)/K11)</f>
        <v>7.9186472806089681</v>
      </c>
      <c r="M14" s="148">
        <f>E135/E69</f>
        <v>0.77346278317152106</v>
      </c>
      <c r="N14" s="149">
        <f>F173/100</f>
        <v>1.2509000000000001</v>
      </c>
    </row>
    <row r="15" spans="1:15" s="93" customFormat="1" x14ac:dyDescent="0.25">
      <c r="A15" s="140" t="s">
        <v>375</v>
      </c>
      <c r="B15" s="141">
        <f>$D$62*B10</f>
        <v>51.018999999999998</v>
      </c>
      <c r="C15" s="141">
        <f>$D$62*C10</f>
        <v>52.709199999999996</v>
      </c>
      <c r="D15" s="141">
        <f>$D$62*D10</f>
        <v>58.092799999999997</v>
      </c>
      <c r="E15" s="141">
        <f>$D$62*E10</f>
        <v>62.427849999999999</v>
      </c>
      <c r="F15" s="141">
        <f>$D$62*F10</f>
        <v>64.759699999999995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0.4854368932038835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52.398288641861939</v>
      </c>
      <c r="C16" s="141">
        <f>$F$69*C10</f>
        <v>54.134182866807052</v>
      </c>
      <c r="D16" s="141">
        <f>$F$69*D10</f>
        <v>59.663327435150762</v>
      </c>
      <c r="E16" s="141">
        <f>$F$69*E10</f>
        <v>64.115574660241492</v>
      </c>
      <c r="F16" s="141">
        <f>$F$69*F10</f>
        <v>66.510465766878738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21</v>
      </c>
      <c r="J17" s="92">
        <f ca="1">IF(I17&lt;=0,"",IF(I17&lt;=MIN($B$13:$F$16),(I17-MIN($B$13:$F$16))/MIN($B$13:$F$16),IF(I17&gt;=MAX($B$13:$F$16),I17/MAX($B$13:$F$16),PERCENTRANK($B$13:$F$16,I17))))</f>
        <v>-0.14320000000000005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2.0775000000000001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1.1871428571428573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0.11165306446754565</v>
      </c>
      <c r="J20" s="171">
        <f>HLOOKUP($C$1,$117:$127,11,FALSE)/HLOOKUP($C$1,$105:$115,11,FALSE)</f>
        <v>0.17765812111768095</v>
      </c>
      <c r="K20" s="163"/>
    </row>
    <row r="21" spans="1:14" s="93" customFormat="1" x14ac:dyDescent="0.25">
      <c r="A21" s="151" t="s">
        <v>201</v>
      </c>
      <c r="B21" s="161">
        <f>AVERAGE(C173:F173)/100</f>
        <v>1.3084499999999999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4.6899996193875522</v>
      </c>
      <c r="J21" s="78"/>
      <c r="K21" s="164" t="s">
        <v>356</v>
      </c>
      <c r="L21" s="165">
        <f>HLOOKUP($C$1,$105:$115,7,FALSE)/HLOOKUP($C$1,$105:$115,11,FALSE)</f>
        <v>0.6575791643245269</v>
      </c>
      <c r="M21" s="123" t="s">
        <v>268</v>
      </c>
      <c r="N21" s="165">
        <f>HLOOKUP($C$1,$117:$127,8,FALSE)/HLOOKUP($C$1,$117:$127,11,FALSE)</f>
        <v>0.7892056244764184</v>
      </c>
    </row>
    <row r="22" spans="1:14" s="93" customFormat="1" x14ac:dyDescent="0.25">
      <c r="A22" s="140" t="s">
        <v>222</v>
      </c>
      <c r="B22" s="161">
        <f>(-1)*SUM(C133:F133)/SUM(C132:F132)</f>
        <v>0.30775646371976645</v>
      </c>
      <c r="C22" s="157"/>
      <c r="D22" s="166"/>
      <c r="E22" s="140"/>
      <c r="F22" s="159">
        <f>IF(B22&lt;=0,10,IF(B22&gt;=100%,0,(1-B22)*10))</f>
        <v>6.922435362802335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4.5161992886776252</v>
      </c>
      <c r="J22" s="78"/>
      <c r="K22" s="142" t="s">
        <v>357</v>
      </c>
      <c r="L22" s="165">
        <f>HLOOKUP($C$1,$105:$115,4,FALSE)/HLOOKUP($C$1,$105:$115,11,FALSE)</f>
        <v>8.4012850342604653E-2</v>
      </c>
      <c r="M22" s="123" t="s">
        <v>353</v>
      </c>
      <c r="N22" s="165">
        <f>HLOOKUP($C$1,$117:$127,4,FALSE)/HLOOKUP($C$1,$117:$127,11,FALSE)</f>
        <v>0.37152850787166369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1.216039248006126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2.4368333795831823E-2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36.14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4.0486406102133894E-3</v>
      </c>
      <c r="M24" s="123" t="s">
        <v>355</v>
      </c>
      <c r="N24" s="165">
        <f>HLOOKUP($C$1,$117:$127,9,FALSE)/HLOOKUP($C$1,$117:$127,11,FALSE)</f>
        <v>0.21079437552358163</v>
      </c>
    </row>
    <row r="25" spans="1:14" s="93" customFormat="1" x14ac:dyDescent="0.25">
      <c r="A25" s="151" t="s">
        <v>366</v>
      </c>
      <c r="B25" s="255">
        <f>AVERAGE(94:94)</f>
        <v>543.86956521739125</v>
      </c>
      <c r="C25" s="254">
        <f>STDEV(94:94)/AVERAGE(94:94)</f>
        <v>2.8114490001747265</v>
      </c>
      <c r="D25" s="76" t="str">
        <f>IF(C25&lt;=1,"高",IF(C25&lt;=2,"中","低"))</f>
        <v>低</v>
      </c>
      <c r="E25" s="149"/>
      <c r="F25" s="160">
        <f>MAX(0,10-ABS(C25))</f>
        <v>7.1885509998252735</v>
      </c>
      <c r="G25" s="88" t="s">
        <v>213</v>
      </c>
      <c r="H25" s="123" t="s">
        <v>232</v>
      </c>
      <c r="I25" s="170">
        <f>IF(HLOOKUP(C1,167:170,3,FALSE)="無",0,HLOOKUP(C1,167:170,3,FALSE))</f>
        <v>16.61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38.021304347826081</v>
      </c>
      <c r="C26" s="172">
        <f>IF(COUNTIF(168:168,"&gt;0")=0,0,STDEV(168:168))</f>
        <v>1.6450264003071529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15.141739130434782</v>
      </c>
      <c r="C27" s="172">
        <f>IF(COUNTIF(169:169,"&gt;0")=0,0,STDEV(169:169))</f>
        <v>2.0920230577860126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0.33447500000000008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0.13112500000000002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14.16</v>
      </c>
      <c r="C32" s="157" t="s">
        <v>217</v>
      </c>
      <c r="D32" s="174">
        <f>COUNTIF(159:159,"&gt;3")/COUNT(159:159)</f>
        <v>0.65217391304347827</v>
      </c>
      <c r="E32" s="140" t="s">
        <v>242</v>
      </c>
      <c r="F32" s="159">
        <f>MIN(B32/15*10,10)</f>
        <v>9.4400000000000013</v>
      </c>
      <c r="G32" s="135"/>
    </row>
    <row r="33" spans="1:14" x14ac:dyDescent="0.25">
      <c r="A33" s="155" t="s">
        <v>14</v>
      </c>
      <c r="B33" s="156">
        <f>AVERAGE(B69:E69)</f>
        <v>2.3675000000000002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1.75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9.2175290390707492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1286405</v>
      </c>
      <c r="C36" s="178">
        <f>STDEV(C97:F97)</f>
        <v>84967.142221763192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33.447500000000005</v>
      </c>
      <c r="C37" s="180">
        <f>STDEV(C152:F152)</f>
        <v>2.3033797631596347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15.827500000000001</v>
      </c>
      <c r="C38" s="180">
        <f>STDEV(C153:F153)</f>
        <v>2.7469301046804908</v>
      </c>
      <c r="D38" s="76" t="str">
        <f>IF(C38/B38&lt;15%,"高",IF(C38/B38&lt;30%,"中","低"))</f>
        <v>中</v>
      </c>
      <c r="E38" s="107">
        <f>IF(F153&gt;E153,1,0)+IF(E153&gt;D153,1,0)+IF(D153&gt;C153,1,0)</f>
        <v>2</v>
      </c>
      <c r="F38" s="179"/>
      <c r="G38" s="160">
        <f>IF(D38="高",6,IF(D38="中",4,2))+E38+1</f>
        <v>7</v>
      </c>
    </row>
    <row r="39" spans="1:14" x14ac:dyDescent="0.25">
      <c r="A39" s="142" t="s">
        <v>46</v>
      </c>
      <c r="B39" s="181">
        <f>AVERAGE(C165:F165)</f>
        <v>14.16</v>
      </c>
      <c r="C39" s="181">
        <f>STDEV(C165:F165)</f>
        <v>2.8297114104916532</v>
      </c>
      <c r="D39" s="76" t="str">
        <f>IF(C39/B39&lt;15%,"高",IF(C39/B39&lt;30%,"中","低"))</f>
        <v>中</v>
      </c>
      <c r="E39" s="107">
        <f>IF(F165&gt;E165,1,0)+IF(E165&gt;D165,1,0)+IF(D165&gt;C165,1,0)</f>
        <v>3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2.3675000000000002</v>
      </c>
      <c r="C40" s="183">
        <f>STDEV(B69:E69)</f>
        <v>0.55307473877104996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-5.7471264367816147E-2</v>
      </c>
      <c r="C44" s="186">
        <f>(C46-C49)/C49</f>
        <v>0</v>
      </c>
      <c r="D44" s="186">
        <f>(D46-D49)/D49</f>
        <v>0.13043478260869579</v>
      </c>
      <c r="E44" s="186">
        <f>(E46-E49)/E49</f>
        <v>0.23437500000000003</v>
      </c>
      <c r="G44" s="86" t="s">
        <v>175</v>
      </c>
      <c r="H44" s="186">
        <f>(H47-H50)/H50</f>
        <v>3.6754176610978448E-2</v>
      </c>
      <c r="I44" s="186">
        <f>(I47-I50)/I50</f>
        <v>0.12060041407867488</v>
      </c>
      <c r="J44" s="186">
        <f>(J47-J50)/J50</f>
        <v>0.15516224188790556</v>
      </c>
      <c r="K44" s="186">
        <f>(K47-K50)/K50</f>
        <v>0.24437499999999998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0.82</v>
      </c>
      <c r="C46" s="152">
        <f>HLOOKUP(C45,$81:$82,2,FALSE)</f>
        <v>0.74</v>
      </c>
      <c r="D46" s="152">
        <f>HLOOKUP(D45,$81:$82,2,FALSE)</f>
        <v>0.78</v>
      </c>
      <c r="E46" s="152">
        <f>HLOOKUP(E45,$81:$82,2,FALSE)</f>
        <v>0.79</v>
      </c>
      <c r="G46" s="86" t="s">
        <v>164</v>
      </c>
      <c r="H46" s="145">
        <f>HLOOKUP(H45,$145:$147,2,FALSE)/100</f>
        <v>0.40329999999999999</v>
      </c>
      <c r="I46" s="145">
        <f>HLOOKUP(I45,$145:$147,2,FALSE)/100</f>
        <v>0.38100000000000001</v>
      </c>
      <c r="J46" s="145">
        <f>HLOOKUP(J45,$145:$147,2,FALSE)/100</f>
        <v>0.3589</v>
      </c>
      <c r="K46" s="145">
        <f>HLOOKUP(K45,$145:$147,2,FALSE)/100</f>
        <v>0.36180000000000001</v>
      </c>
    </row>
    <row r="47" spans="1:14" x14ac:dyDescent="0.25">
      <c r="A47" s="188" t="s">
        <v>165</v>
      </c>
      <c r="B47" s="189">
        <f>HLOOKUP(B45,$157:$159,3,FALSE)</f>
        <v>4.92</v>
      </c>
      <c r="C47" s="189">
        <f>HLOOKUP(C45,$157:$159,3,FALSE)</f>
        <v>4.46</v>
      </c>
      <c r="D47" s="189">
        <f>HLOOKUP(D45,$157:$159,3,FALSE)</f>
        <v>4.24</v>
      </c>
      <c r="E47" s="189">
        <f>HLOOKUP(E45,$157:$159,3,FALSE)</f>
        <v>4.51</v>
      </c>
      <c r="G47" s="190" t="s">
        <v>166</v>
      </c>
      <c r="H47" s="145">
        <f>HLOOKUP(H45,$145:$147,3,FALSE)/100</f>
        <v>0.21719999999999998</v>
      </c>
      <c r="I47" s="145">
        <f>HLOOKUP(I45,$145:$147,3,FALSE)/100</f>
        <v>0.2165</v>
      </c>
      <c r="J47" s="145">
        <f>HLOOKUP(J45,$145:$147,3,FALSE)/100</f>
        <v>0.19579999999999997</v>
      </c>
      <c r="K47" s="145">
        <f>HLOOKUP(K45,$145:$147,3,FALSE)/100</f>
        <v>0.1991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0.87</v>
      </c>
      <c r="C49" s="152">
        <f>HLOOKUP(C48,$81:$82,2,FALSE)</f>
        <v>0.74</v>
      </c>
      <c r="D49" s="152">
        <f>HLOOKUP(D48,$81:$82,2,FALSE)</f>
        <v>0.69</v>
      </c>
      <c r="E49" s="152">
        <f>HLOOKUP(E48,$81:$82,2,FALSE)</f>
        <v>0.64</v>
      </c>
      <c r="G49" s="86" t="s">
        <v>164</v>
      </c>
      <c r="H49" s="145">
        <f>HLOOKUP(H48,$145:$147,2,FALSE)/100</f>
        <v>0.3856</v>
      </c>
      <c r="I49" s="145">
        <f>HLOOKUP(I48,$145:$147,2,FALSE)/100</f>
        <v>0.37270000000000003</v>
      </c>
      <c r="J49" s="145">
        <f>HLOOKUP(J48,$145:$147,2,FALSE)/100</f>
        <v>0.33039999999999997</v>
      </c>
      <c r="K49" s="145">
        <f>HLOOKUP(K48,$145:$147,2,FALSE)/100</f>
        <v>0.33130000000000004</v>
      </c>
    </row>
    <row r="50" spans="1:15" x14ac:dyDescent="0.25">
      <c r="A50" s="188" t="s">
        <v>165</v>
      </c>
      <c r="B50" s="189">
        <f>HLOOKUP(B48,$157:$159,3,FALSE)</f>
        <v>5.16</v>
      </c>
      <c r="C50" s="189">
        <f>HLOOKUP(C48,$157:$159,3,FALSE)</f>
        <v>4.37</v>
      </c>
      <c r="D50" s="189">
        <f>HLOOKUP(D48,$157:$159,3,FALSE)</f>
        <v>3.97</v>
      </c>
      <c r="E50" s="189">
        <f>HLOOKUP(E48,$157:$159,3,FALSE)</f>
        <v>3.85</v>
      </c>
      <c r="G50" s="190" t="s">
        <v>166</v>
      </c>
      <c r="H50" s="145">
        <f>HLOOKUP(H48,$145:$147,3,FALSE)/100</f>
        <v>0.20949999999999999</v>
      </c>
      <c r="I50" s="145">
        <f>HLOOKUP(I48,$145:$147,3,FALSE)/100</f>
        <v>0.19320000000000001</v>
      </c>
      <c r="J50" s="145">
        <f>HLOOKUP(J48,$145:$147,3,FALSE)/100</f>
        <v>0.16949999999999998</v>
      </c>
      <c r="K50" s="145">
        <f>HLOOKUP(K48,$145:$147,3,FALSE)/100</f>
        <v>0.16</v>
      </c>
    </row>
    <row r="51" spans="1:15" x14ac:dyDescent="0.25">
      <c r="A51" s="86" t="s">
        <v>351</v>
      </c>
      <c r="B51" s="186">
        <f>(B47-B50)/B50</f>
        <v>-4.6511627906976785E-2</v>
      </c>
      <c r="C51" s="186">
        <f>(C47-C50)/C50</f>
        <v>2.0594965675057177E-2</v>
      </c>
      <c r="D51" s="186">
        <f>(D47-D50)/D50</f>
        <v>6.8010075566750636E-2</v>
      </c>
      <c r="E51" s="186">
        <f>(E47-E50)/E50</f>
        <v>0.17142857142857135</v>
      </c>
      <c r="G51" s="235" t="s">
        <v>174</v>
      </c>
      <c r="H51" s="186">
        <f>(H46-H49)/H49</f>
        <v>4.5902489626555999E-2</v>
      </c>
      <c r="I51" s="186">
        <f>(I46-I49)/I49</f>
        <v>2.2269922189428422E-2</v>
      </c>
      <c r="J51" s="186">
        <f>(J46-J49)/J49</f>
        <v>8.6259079903147781E-2</v>
      </c>
      <c r="K51" s="186">
        <f>(K46-K49)/K49</f>
        <v>9.2061575611228394E-2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3.3617999710442823</v>
      </c>
      <c r="B53" s="193">
        <f>B46</f>
        <v>0.82</v>
      </c>
      <c r="C53" s="193">
        <f>E46/HLOOKUP(E45,$87:$94,5,FALSE)*HLOOKUP(E45,$87:$94,4,FALSE)*($B$25/HLOOKUP(E45,$87:$94,4,FALSE)+SUM($B$57:$D$57)/SUM($B58:$D$58)*$G$69/100/K46)</f>
        <v>0.87461893508355448</v>
      </c>
      <c r="D53" s="193">
        <f>D46/HLOOKUP(D45,$87:$94,5,FALSE)*HLOOKUP(D45,$87:$94,4,FALSE)*($B$25/HLOOKUP(D45,$87:$94,4,FALSE)+SUM($B$57:$D$57)/SUM($B58:$D$58)*$G$69/100/J46)</f>
        <v>0.87349010941561378</v>
      </c>
      <c r="E53" s="193">
        <f>C46/HLOOKUP(C45,$87:$94,5,FALSE)*HLOOKUP(C45,$87:$94,4,FALSE)*($B$25/HLOOKUP(C45,$87:$94,4,FALSE)+SUM($B$57:$D$57)/SUM($B58:$D$58)*$G$69/100/I46)</f>
        <v>0.79369092654511408</v>
      </c>
    </row>
    <row r="54" spans="1:15" x14ac:dyDescent="0.25">
      <c r="A54" s="278">
        <f>SUM(B54:E54)</f>
        <v>3.1800000000000006</v>
      </c>
      <c r="B54" s="277">
        <f t="shared" ref="B54:D54" si="0">HLOOKUP(B52-10,81:82,2,FALSE)</f>
        <v>0.87</v>
      </c>
      <c r="C54" s="277">
        <f t="shared" si="0"/>
        <v>0.79</v>
      </c>
      <c r="D54" s="277">
        <f t="shared" si="0"/>
        <v>0.78</v>
      </c>
      <c r="E54" s="277">
        <f>HLOOKUP(E52-10,81:82,2,FALSE)</f>
        <v>0.74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201801</v>
      </c>
      <c r="C56" s="194">
        <f>IF(B56-ROUNDDOWN(B56/100,0)*100-1=0,(ROUNDDOWN(B56/100,0)-1)*100+12,B56-1)</f>
        <v>201712</v>
      </c>
      <c r="D56" s="194">
        <f>IF(C56-ROUNDDOWN(C56/100,0)*100-1=0,(ROUNDDOWN(C56/100,0)-1)*100+12,C56-1)</f>
        <v>201711</v>
      </c>
      <c r="E56" s="194">
        <f>IF(D56-ROUNDDOWN(D56/100,0)*100-1=0,(ROUNDDOWN(D56/100,0)-1)*100+12,D56-1)</f>
        <v>201710</v>
      </c>
      <c r="F56" s="194">
        <f>IF(E56-ROUNDDOWN(E56/100,0)*100-1=0,(ROUNDDOWN(E56/100,0)-1)*100+12,E56-1)</f>
        <v>201709</v>
      </c>
      <c r="G56" s="194">
        <f t="shared" ref="G56:M56" si="1">IF(F56-ROUNDDOWN(F56/100,0)*100-1=0,(ROUNDDOWN(F56/100,0)-1)*100+12,F56-1)</f>
        <v>201708</v>
      </c>
      <c r="H56" s="194">
        <f t="shared" si="1"/>
        <v>201707</v>
      </c>
      <c r="I56" s="194">
        <f t="shared" si="1"/>
        <v>201706</v>
      </c>
      <c r="J56" s="194">
        <f t="shared" si="1"/>
        <v>201705</v>
      </c>
      <c r="K56" s="194">
        <f t="shared" si="1"/>
        <v>201704</v>
      </c>
      <c r="L56" s="194">
        <f t="shared" si="1"/>
        <v>201703</v>
      </c>
      <c r="M56" s="194">
        <f t="shared" si="1"/>
        <v>201702</v>
      </c>
      <c r="N56" s="138"/>
    </row>
    <row r="57" spans="1:15" x14ac:dyDescent="0.25">
      <c r="A57" s="195" t="s">
        <v>252</v>
      </c>
      <c r="B57" s="196">
        <f>HLOOKUP(B56,78:79,2,FALSE)</f>
        <v>136172</v>
      </c>
      <c r="C57" s="196">
        <f>HLOOKUP(C56,78:79,2,FALSE)</f>
        <v>121898</v>
      </c>
      <c r="D57" s="196">
        <f>HLOOKUP(D56,78:79,2,FALSE)</f>
        <v>118853</v>
      </c>
      <c r="E57" s="196">
        <f>HLOOKUP(E56,78:79,2,FALSE)</f>
        <v>122124</v>
      </c>
      <c r="F57" s="196">
        <f>HLOOKUP(F56,78:79,2,FALSE)</f>
        <v>109330</v>
      </c>
      <c r="G57" s="196">
        <f t="shared" ref="G57:M57" si="2">HLOOKUP(G56,78:79,2,FALSE)</f>
        <v>126737</v>
      </c>
      <c r="H57" s="196">
        <f t="shared" si="2"/>
        <v>127821</v>
      </c>
      <c r="I57" s="196">
        <f t="shared" si="2"/>
        <v>119991</v>
      </c>
      <c r="J57" s="196">
        <f t="shared" si="2"/>
        <v>117258</v>
      </c>
      <c r="K57" s="196">
        <f t="shared" si="2"/>
        <v>101045</v>
      </c>
      <c r="L57" s="196">
        <f t="shared" si="2"/>
        <v>117021</v>
      </c>
      <c r="M57" s="196">
        <f t="shared" si="2"/>
        <v>101899</v>
      </c>
      <c r="N57" s="197"/>
    </row>
    <row r="58" spans="1:15" x14ac:dyDescent="0.25">
      <c r="A58" s="198" t="s">
        <v>253</v>
      </c>
      <c r="B58" s="196">
        <f>HLOOKUP(B56-100,78:79,2,FALSE)</f>
        <v>129207</v>
      </c>
      <c r="C58" s="196">
        <f>HLOOKUP(C56-100,78:79,2,FALSE)</f>
        <v>121057</v>
      </c>
      <c r="D58" s="196">
        <f>HLOOKUP(D56-100,78:79,2,FALSE)</f>
        <v>118867</v>
      </c>
      <c r="E58" s="196">
        <f>HLOOKUP(E56-100,78:79,2,FALSE)</f>
        <v>121577</v>
      </c>
      <c r="F58" s="196">
        <f>HLOOKUP(F56-100,78:79,2,FALSE)</f>
        <v>104187</v>
      </c>
      <c r="G58" s="196">
        <f t="shared" ref="G58:M58" si="3">HLOOKUP(G56-100,78:79,2,FALSE)</f>
        <v>126222</v>
      </c>
      <c r="H58" s="196">
        <f t="shared" si="3"/>
        <v>128372</v>
      </c>
      <c r="I58" s="196">
        <f t="shared" si="3"/>
        <v>115207</v>
      </c>
      <c r="J58" s="196">
        <f t="shared" si="3"/>
        <v>112251</v>
      </c>
      <c r="K58" s="196">
        <f t="shared" si="3"/>
        <v>105380</v>
      </c>
      <c r="L58" s="196">
        <f t="shared" si="3"/>
        <v>111600</v>
      </c>
      <c r="M58" s="196">
        <f t="shared" si="3"/>
        <v>106574</v>
      </c>
      <c r="N58" s="197"/>
    </row>
    <row r="59" spans="1:15" x14ac:dyDescent="0.25">
      <c r="A59" s="199" t="s">
        <v>254</v>
      </c>
      <c r="B59" s="165">
        <f>IF(B57&lt;&gt;"",(B57-B58)/B58,"")</f>
        <v>5.390574814058062E-2</v>
      </c>
      <c r="C59" s="165">
        <f>IF(C57&lt;&gt;"",(C57-C58)/C58,"")</f>
        <v>6.9471406031869284E-3</v>
      </c>
      <c r="D59" s="165">
        <f>IF(D57&lt;&gt;"",(D57-D58)/D58,"")</f>
        <v>-1.1777869383428538E-4</v>
      </c>
      <c r="E59" s="165">
        <f>IF(E57&lt;&gt;"",(E57-E58)/E58,"")</f>
        <v>4.4992062643427625E-3</v>
      </c>
      <c r="F59" s="165">
        <f>IF(F57&lt;&gt;"",(F57-F58)/F58,"")</f>
        <v>4.9363164310326627E-2</v>
      </c>
      <c r="G59" s="165">
        <f t="shared" ref="G59:M59" si="4">IF(G57&lt;&gt;"",(G57-G58)/G58,"")</f>
        <v>4.0801128171000303E-3</v>
      </c>
      <c r="H59" s="165">
        <f t="shared" si="4"/>
        <v>-4.2922132552269962E-3</v>
      </c>
      <c r="I59" s="165">
        <f t="shared" si="4"/>
        <v>4.1525254541824715E-2</v>
      </c>
      <c r="J59" s="165">
        <f t="shared" si="4"/>
        <v>4.4605393270438567E-2</v>
      </c>
      <c r="K59" s="165">
        <f t="shared" si="4"/>
        <v>-4.1136838109698232E-2</v>
      </c>
      <c r="L59" s="165">
        <f t="shared" si="4"/>
        <v>4.8575268817204302E-2</v>
      </c>
      <c r="M59" s="165">
        <f t="shared" si="4"/>
        <v>-4.3866233790605585E-2</v>
      </c>
    </row>
    <row r="60" spans="1:15" x14ac:dyDescent="0.25">
      <c r="A60" s="195" t="s">
        <v>255</v>
      </c>
      <c r="B60" s="196">
        <f>SUM(B57:M57)</f>
        <v>1420149</v>
      </c>
    </row>
    <row r="61" spans="1:15" x14ac:dyDescent="0.25">
      <c r="A61" s="198" t="s">
        <v>256</v>
      </c>
      <c r="B61" s="196">
        <f>SUM(B58:M58)</f>
        <v>1400501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1.0140292652415099</v>
      </c>
      <c r="D62" s="152">
        <f>SUM(B46:E46)</f>
        <v>3.13</v>
      </c>
      <c r="E62" s="152">
        <f>SUM(B49:E49)</f>
        <v>2.94</v>
      </c>
      <c r="G62" s="126">
        <f>SUM(B47:E47)</f>
        <v>18.13</v>
      </c>
      <c r="H62" s="126">
        <f>SUM(B50:E50)</f>
        <v>17.350000000000001</v>
      </c>
      <c r="J62" s="200">
        <f>AVERAGE(H46:K46)</f>
        <v>0.37624999999999997</v>
      </c>
      <c r="K62" s="200">
        <f>AVERAGE(H49:K49)</f>
        <v>0.35499999999999998</v>
      </c>
      <c r="M62" s="200">
        <f>AVERAGE(H47:K47)</f>
        <v>0.20715</v>
      </c>
      <c r="N62" s="200">
        <f>AVERAGE(H50:K50)</f>
        <v>0.18305000000000002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2" x14ac:dyDescent="0.25">
      <c r="A65" s="204">
        <v>1</v>
      </c>
      <c r="B65" s="205">
        <f t="shared" ref="B65:E67" si="5">HLOOKUP(B$64*10+$A65,$81:$82,2,FALSE)</f>
        <v>0.44</v>
      </c>
      <c r="C65" s="205">
        <f t="shared" si="5"/>
        <v>0.44</v>
      </c>
      <c r="D65" s="205">
        <f t="shared" si="5"/>
        <v>0.48</v>
      </c>
      <c r="E65" s="205">
        <f t="shared" si="5"/>
        <v>0.69</v>
      </c>
      <c r="F65" s="206">
        <f>IF(ISNA(HLOOKUP(F$64*10+$A65,$81:$82,2,FALSE)),(HLOOKUP(E$64*10+$A65,$87:$94,4,FALSE)*$G65+$B$25)/HLOOKUP(E$64*10+$A65,$87:$94,5,FALSE)*$E65,HLOOKUP(F$64*10+$A65,$81:$82,2,FALSE))</f>
        <v>0.78</v>
      </c>
      <c r="G65" s="101">
        <f>MIN(130%,SUM($B$57:$D$57)/SUM($B$58:$D$58)*$G$69/HLOOKUP(E$64*10+$A65,$145:$146,2,FALSE))</f>
        <v>1.2126442228994201</v>
      </c>
      <c r="H65" s="204">
        <v>1</v>
      </c>
      <c r="I65" s="208">
        <f t="shared" ref="I65:M68" si="6">IF(ISNA(HLOOKUP(I$64*10+$H65,$145:$147,3,FALSE)),"",HLOOKUP(I$64*10+$H65,$145:$147,3,FALSE)/100)</f>
        <v>0.14230000000000001</v>
      </c>
      <c r="J65" s="208">
        <f t="shared" si="6"/>
        <v>0.128</v>
      </c>
      <c r="K65" s="208">
        <f t="shared" si="6"/>
        <v>0.13320000000000001</v>
      </c>
      <c r="L65" s="208">
        <f t="shared" si="6"/>
        <v>0.16949999999999998</v>
      </c>
      <c r="M65" s="209">
        <f t="shared" si="6"/>
        <v>0.19579999999999997</v>
      </c>
      <c r="N65" s="256">
        <f t="shared" ref="N65:O68" si="7">HLOOKUP(E$64*10+$A65,$87:$94,8,FALSE)</f>
        <v>1694</v>
      </c>
      <c r="O65" s="256">
        <f t="shared" si="7"/>
        <v>272</v>
      </c>
      <c r="P65" s="210"/>
    </row>
    <row r="66" spans="1:72" x14ac:dyDescent="0.25">
      <c r="A66" s="204">
        <v>2</v>
      </c>
      <c r="B66" s="205">
        <f t="shared" si="5"/>
        <v>0.6</v>
      </c>
      <c r="C66" s="205">
        <f t="shared" si="5"/>
        <v>0.42</v>
      </c>
      <c r="D66" s="205">
        <f t="shared" si="5"/>
        <v>0.6</v>
      </c>
      <c r="E66" s="205">
        <f t="shared" si="5"/>
        <v>0.74</v>
      </c>
      <c r="F66" s="206">
        <f>IF(ISNA(HLOOKUP(F$64*10+$A66,$81:$82,2,FALSE)),(HLOOKUP(E$64*10+$A66,$87:$94,4,FALSE)*$G66+$B$25)/HLOOKUP(E$64*10+$A66,$87:$94,5,FALSE)*$E66,HLOOKUP(F$64*10+$A66,$81:$82,2,FALSE))</f>
        <v>0.74</v>
      </c>
      <c r="G66" s="101">
        <f>MIN(130%,SUM($B$57:$D$57)/SUM($B$58:$D$58)*$G$69/HLOOKUP(E$64*10+$A66,$145:$146,2,FALSE))</f>
        <v>1.0750138214273366</v>
      </c>
      <c r="H66" s="204">
        <v>2</v>
      </c>
      <c r="I66" s="208">
        <f t="shared" si="6"/>
        <v>0.16339999999999999</v>
      </c>
      <c r="J66" s="208">
        <f t="shared" si="6"/>
        <v>0.11230000000000001</v>
      </c>
      <c r="K66" s="208">
        <f t="shared" si="6"/>
        <v>0.16390000000000002</v>
      </c>
      <c r="L66" s="208">
        <f t="shared" si="6"/>
        <v>0.19320000000000001</v>
      </c>
      <c r="M66" s="209">
        <f t="shared" si="6"/>
        <v>0.2165</v>
      </c>
      <c r="N66" s="256">
        <f t="shared" si="7"/>
        <v>817</v>
      </c>
      <c r="O66" s="256">
        <f t="shared" si="7"/>
        <v>-924</v>
      </c>
      <c r="P66" s="210"/>
    </row>
    <row r="67" spans="1:72" x14ac:dyDescent="0.25">
      <c r="A67" s="204">
        <v>3</v>
      </c>
      <c r="B67" s="205">
        <f t="shared" si="5"/>
        <v>0.46</v>
      </c>
      <c r="C67" s="205">
        <f t="shared" si="5"/>
        <v>0.57999999999999996</v>
      </c>
      <c r="D67" s="205">
        <f t="shared" si="5"/>
        <v>0.79</v>
      </c>
      <c r="E67" s="205">
        <f t="shared" si="5"/>
        <v>0.87</v>
      </c>
      <c r="F67" s="206">
        <f>IF(ISNA(HLOOKUP(F$64*10+$A67,$81:$82,2,FALSE)),(HLOOKUP(E$64*10+$A67,$87:$94,4,FALSE)*$G67+$B$25)/HLOOKUP(E$64*10+$A67,$87:$94,5,FALSE)*$E67,HLOOKUP(F$64*10+$A67,$81:$82,2,FALSE))</f>
        <v>0.82</v>
      </c>
      <c r="G67" s="101">
        <f>MIN(130%,SUM($B$57:$D$57)/SUM($B$58:$D$58)*$G$69/HLOOKUP(E$64*10+$A67,$145:$146,2,FALSE))</f>
        <v>1.0390499254304157</v>
      </c>
      <c r="H67" s="204">
        <v>3</v>
      </c>
      <c r="I67" s="208">
        <f t="shared" si="6"/>
        <v>0.14810000000000001</v>
      </c>
      <c r="J67" s="208">
        <f t="shared" si="6"/>
        <v>0.15279999999999999</v>
      </c>
      <c r="K67" s="208">
        <f t="shared" si="6"/>
        <v>0.20420000000000002</v>
      </c>
      <c r="L67" s="208">
        <f t="shared" si="6"/>
        <v>0.20949999999999999</v>
      </c>
      <c r="M67" s="209">
        <f t="shared" si="6"/>
        <v>0.21719999999999998</v>
      </c>
      <c r="N67" s="256">
        <f t="shared" si="7"/>
        <v>921</v>
      </c>
      <c r="O67" s="256">
        <f t="shared" si="7"/>
        <v>1143</v>
      </c>
      <c r="P67" s="210"/>
    </row>
    <row r="68" spans="1:72" x14ac:dyDescent="0.25">
      <c r="A68" s="204">
        <v>4</v>
      </c>
      <c r="B68" s="205">
        <f>HLOOKUP(B$64*10+$A68,$81:$82,2,FALSE)</f>
        <v>0.46</v>
      </c>
      <c r="C68" s="205">
        <f>HLOOKUP(C$64*10+$A68,$81:$82,2,FALSE)</f>
        <v>0.47</v>
      </c>
      <c r="D68" s="205">
        <f>HLOOKUP(D$64*10+$A68,$81:$82,2,FALSE)</f>
        <v>0.64</v>
      </c>
      <c r="E68" s="206">
        <f>IF(ISNA(HLOOKUP(E$64*10+$A68,$81:$82,2,FALSE)),D68*(1-$N68)*#REF!*(1+$B$25)/(1+$E$4),HLOOKUP(E$64*10+$A68,$81:$82,2,FALSE))</f>
        <v>0.79</v>
      </c>
      <c r="F68" s="206">
        <f>IF(ISNA(HLOOKUP(F$64*10+$A68,$81:$82,2,FALSE)),(HLOOKUP(E$64*10+$A68,$87:$94,4,FALSE)*$G68+$B$25)/HLOOKUP(E$64*10+$A68,$87:$94,5,FALSE)*$E68,HLOOKUP(F$64*10+$A68,$81:$82,2,FALSE))</f>
        <v>0.87461893508355459</v>
      </c>
      <c r="G68" s="101">
        <f>MIN(130%,SUM($B$57:$D$57)/SUM($B$58:$D$58)*$G$69/HLOOKUP(E$64*10+$A68,$145:$146,2,FALSE))</f>
        <v>1.1074009155499402</v>
      </c>
      <c r="H68" s="204">
        <v>4</v>
      </c>
      <c r="I68" s="208">
        <f t="shared" si="6"/>
        <v>0.11749999999999999</v>
      </c>
      <c r="J68" s="208">
        <f t="shared" si="6"/>
        <v>0.12890000000000001</v>
      </c>
      <c r="K68" s="208">
        <f t="shared" si="6"/>
        <v>0.16</v>
      </c>
      <c r="L68" s="208">
        <f t="shared" si="6"/>
        <v>0.1991</v>
      </c>
      <c r="M68" s="209" t="str">
        <f t="shared" si="6"/>
        <v/>
      </c>
      <c r="N68" s="256">
        <f t="shared" si="7"/>
        <v>510</v>
      </c>
      <c r="O68" s="256" t="e">
        <f t="shared" si="7"/>
        <v>#N/A</v>
      </c>
    </row>
    <row r="69" spans="1:72" x14ac:dyDescent="0.25">
      <c r="A69" s="212" t="s">
        <v>162</v>
      </c>
      <c r="B69" s="213">
        <f>SUM(B65:B68)</f>
        <v>1.96</v>
      </c>
      <c r="C69" s="213">
        <f>SUM(C65:C68)</f>
        <v>1.91</v>
      </c>
      <c r="D69" s="213">
        <f>SUM(D65:D68)</f>
        <v>2.5100000000000002</v>
      </c>
      <c r="E69" s="213">
        <f>SUM(E65:E68)</f>
        <v>3.09</v>
      </c>
      <c r="F69" s="213">
        <f>SUM(F65:F68)</f>
        <v>3.2146189350835543</v>
      </c>
      <c r="G69" s="257">
        <f>_xlfn.FORECAST.ETS(23,B146:W146,{1,2,3,4,5,6,7,8,9,10,11,12,13,14,15,16,17,18,19,20,21,22})</f>
        <v>39.237499293509693</v>
      </c>
      <c r="H69" s="214" t="s">
        <v>19</v>
      </c>
      <c r="I69" s="215">
        <f>HLOOKUP(I64,151:155,3,FALSE)/100</f>
        <v>0.14269999999999999</v>
      </c>
      <c r="J69" s="215">
        <f>HLOOKUP(J64,151:155,3,FALSE)/100</f>
        <v>0.13100000000000001</v>
      </c>
      <c r="K69" s="215">
        <f>HLOOKUP(K64,151:155,3,FALSE)/100</f>
        <v>0.1663</v>
      </c>
      <c r="L69" s="215">
        <f>IF(ISNA(HLOOKUP(L64,151:155,3,FALSE)/100),AVERAGE(L65:L68),HLOOKUP(L64,151:155,3,FALSE)/100)</f>
        <v>0.19309999999999999</v>
      </c>
      <c r="M69" s="215"/>
      <c r="N69" s="216"/>
    </row>
    <row r="70" spans="1:72" s="135" customFormat="1" x14ac:dyDescent="0.25">
      <c r="A70" s="217"/>
      <c r="B70" s="218"/>
      <c r="C70" s="218"/>
      <c r="D70" s="218"/>
      <c r="E70" s="218"/>
      <c r="F70" s="218"/>
    </row>
    <row r="71" spans="1:72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2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2.6</v>
      </c>
      <c r="C72" s="205">
        <f t="shared" si="8"/>
        <v>2.68</v>
      </c>
      <c r="D72" s="205">
        <f t="shared" si="8"/>
        <v>2.94</v>
      </c>
      <c r="E72" s="205">
        <f t="shared" si="8"/>
        <v>3.97</v>
      </c>
      <c r="F72" s="205">
        <f t="shared" si="8"/>
        <v>4.24</v>
      </c>
    </row>
    <row r="73" spans="1:72" s="135" customFormat="1" x14ac:dyDescent="0.25">
      <c r="A73" s="204">
        <v>2</v>
      </c>
      <c r="B73" s="205">
        <f t="shared" si="8"/>
        <v>3.54</v>
      </c>
      <c r="C73" s="205">
        <f t="shared" si="8"/>
        <v>2.66</v>
      </c>
      <c r="D73" s="205">
        <f t="shared" si="8"/>
        <v>3.74</v>
      </c>
      <c r="E73" s="205">
        <f t="shared" si="8"/>
        <v>4.37</v>
      </c>
      <c r="F73" s="205">
        <f t="shared" si="8"/>
        <v>4.46</v>
      </c>
    </row>
    <row r="74" spans="1:72" s="135" customFormat="1" x14ac:dyDescent="0.25">
      <c r="A74" s="204">
        <v>3</v>
      </c>
      <c r="B74" s="205">
        <f t="shared" si="8"/>
        <v>2.97</v>
      </c>
      <c r="C74" s="205">
        <f t="shared" si="8"/>
        <v>3.81</v>
      </c>
      <c r="D74" s="205">
        <f t="shared" si="8"/>
        <v>4.99</v>
      </c>
      <c r="E74" s="205">
        <f t="shared" si="8"/>
        <v>5.16</v>
      </c>
      <c r="F74" s="205">
        <f t="shared" si="8"/>
        <v>4.92</v>
      </c>
    </row>
    <row r="75" spans="1:72" s="135" customFormat="1" x14ac:dyDescent="0.25">
      <c r="A75" s="204">
        <v>4</v>
      </c>
      <c r="B75" s="205">
        <f t="shared" si="8"/>
        <v>2.91</v>
      </c>
      <c r="C75" s="205">
        <f t="shared" si="8"/>
        <v>2.99</v>
      </c>
      <c r="D75" s="205">
        <f t="shared" si="8"/>
        <v>3.85</v>
      </c>
      <c r="E75" s="205">
        <f t="shared" si="8"/>
        <v>4.51</v>
      </c>
      <c r="F75" s="205" t="str">
        <f t="shared" si="8"/>
        <v/>
      </c>
    </row>
    <row r="76" spans="1:72" s="135" customFormat="1" x14ac:dyDescent="0.25">
      <c r="A76" s="212" t="s">
        <v>165</v>
      </c>
      <c r="B76" s="213">
        <f>SUM(B72:B75)</f>
        <v>12.020000000000001</v>
      </c>
      <c r="C76" s="213">
        <f>SUM(C72:C75)</f>
        <v>12.14</v>
      </c>
      <c r="D76" s="213">
        <f>SUM(D72:D75)</f>
        <v>15.52</v>
      </c>
      <c r="E76" s="213">
        <f>AVERAGE(E72:E75)*4</f>
        <v>18.009999999999998</v>
      </c>
      <c r="F76" s="213"/>
    </row>
    <row r="77" spans="1:72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2" s="135" customFormat="1" ht="14.25" thickBot="1" x14ac:dyDescent="0.3">
      <c r="A78" s="217"/>
      <c r="B78" s="69">
        <v>201301</v>
      </c>
      <c r="C78" s="70">
        <v>201302</v>
      </c>
      <c r="D78" s="70">
        <v>201303</v>
      </c>
      <c r="E78" s="70">
        <v>201304</v>
      </c>
      <c r="F78" s="70">
        <v>201305</v>
      </c>
      <c r="G78" s="70">
        <v>201306</v>
      </c>
      <c r="H78" s="70">
        <v>201307</v>
      </c>
      <c r="I78" s="70">
        <v>201308</v>
      </c>
      <c r="J78" s="70">
        <v>201309</v>
      </c>
      <c r="K78" s="70">
        <v>201310</v>
      </c>
      <c r="L78" s="70">
        <v>201311</v>
      </c>
      <c r="M78" s="70">
        <v>201312</v>
      </c>
      <c r="N78" s="70">
        <v>201401</v>
      </c>
      <c r="O78" s="70">
        <v>201402</v>
      </c>
      <c r="P78" s="70">
        <v>201403</v>
      </c>
      <c r="Q78" s="70">
        <v>201404</v>
      </c>
      <c r="R78" s="70">
        <v>201405</v>
      </c>
      <c r="S78" s="70">
        <v>201406</v>
      </c>
      <c r="T78" s="70">
        <v>201407</v>
      </c>
      <c r="U78" s="70">
        <v>201408</v>
      </c>
      <c r="V78" s="70">
        <v>201409</v>
      </c>
      <c r="W78" s="70">
        <v>201410</v>
      </c>
      <c r="X78" s="70">
        <v>201411</v>
      </c>
      <c r="Y78" s="70">
        <v>201412</v>
      </c>
      <c r="Z78" s="70">
        <v>201501</v>
      </c>
      <c r="AA78" s="70">
        <v>201502</v>
      </c>
      <c r="AB78" s="70">
        <v>201503</v>
      </c>
      <c r="AC78" s="70">
        <v>201504</v>
      </c>
      <c r="AD78" s="70">
        <v>201505</v>
      </c>
      <c r="AE78" s="70">
        <v>201506</v>
      </c>
      <c r="AF78" s="70">
        <v>201507</v>
      </c>
      <c r="AG78" s="70">
        <v>201508</v>
      </c>
      <c r="AH78" s="70">
        <v>201509</v>
      </c>
      <c r="AI78" s="70">
        <v>201510</v>
      </c>
      <c r="AJ78" s="70">
        <v>201511</v>
      </c>
      <c r="AK78" s="70">
        <v>201512</v>
      </c>
      <c r="AL78" s="70">
        <v>201601</v>
      </c>
      <c r="AM78" s="70">
        <v>201602</v>
      </c>
      <c r="AN78" s="70">
        <v>201603</v>
      </c>
      <c r="AO78" s="70">
        <v>201604</v>
      </c>
      <c r="AP78" s="70">
        <v>201605</v>
      </c>
      <c r="AQ78" s="70">
        <v>201606</v>
      </c>
      <c r="AR78" s="70">
        <v>201607</v>
      </c>
      <c r="AS78" s="70">
        <v>201608</v>
      </c>
      <c r="AT78" s="70">
        <v>201609</v>
      </c>
      <c r="AU78" s="70">
        <v>201610</v>
      </c>
      <c r="AV78" s="70">
        <v>201611</v>
      </c>
      <c r="AW78" s="70">
        <v>201612</v>
      </c>
      <c r="AX78" s="70">
        <v>201701</v>
      </c>
      <c r="AY78" s="70">
        <v>201702</v>
      </c>
      <c r="AZ78" s="70">
        <v>201703</v>
      </c>
      <c r="BA78" s="70">
        <v>201704</v>
      </c>
      <c r="BB78" s="70">
        <v>201705</v>
      </c>
      <c r="BC78" s="70">
        <v>201706</v>
      </c>
      <c r="BD78" s="70">
        <v>201707</v>
      </c>
      <c r="BE78" s="70">
        <v>201708</v>
      </c>
      <c r="BF78" s="70">
        <v>201709</v>
      </c>
      <c r="BG78" s="70">
        <v>201710</v>
      </c>
      <c r="BH78" s="70">
        <v>201711</v>
      </c>
      <c r="BI78" s="70">
        <v>201712</v>
      </c>
      <c r="BJ78" s="71">
        <v>201801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0">
        <v>201710</v>
      </c>
      <c r="BT78" s="71">
        <v>201711</v>
      </c>
    </row>
    <row r="79" spans="1:72" ht="14.25" thickBot="1" x14ac:dyDescent="0.3">
      <c r="A79" s="222" t="s">
        <v>9</v>
      </c>
      <c r="B79" s="270">
        <v>117405</v>
      </c>
      <c r="C79" s="270">
        <v>79346</v>
      </c>
      <c r="D79" s="270">
        <v>94825</v>
      </c>
      <c r="E79" s="270">
        <v>93870</v>
      </c>
      <c r="F79" s="270">
        <v>104210</v>
      </c>
      <c r="G79" s="270">
        <v>97656</v>
      </c>
      <c r="H79" s="270">
        <v>107759</v>
      </c>
      <c r="I79" s="270">
        <v>106475</v>
      </c>
      <c r="J79" s="270">
        <v>102328</v>
      </c>
      <c r="K79" s="270">
        <v>98546</v>
      </c>
      <c r="L79" s="270">
        <v>102345</v>
      </c>
      <c r="M79" s="270">
        <v>104581</v>
      </c>
      <c r="N79" s="270">
        <v>116780</v>
      </c>
      <c r="O79" s="270">
        <v>76007</v>
      </c>
      <c r="P79" s="270">
        <v>98488</v>
      </c>
      <c r="Q79" s="270">
        <v>95717</v>
      </c>
      <c r="R79" s="270">
        <v>105926</v>
      </c>
      <c r="S79" s="270">
        <v>95455</v>
      </c>
      <c r="T79" s="270">
        <v>115024</v>
      </c>
      <c r="U79" s="270">
        <v>115053</v>
      </c>
      <c r="V79" s="270">
        <v>96535</v>
      </c>
      <c r="W79" s="270">
        <v>105035</v>
      </c>
      <c r="X79" s="270">
        <v>98689</v>
      </c>
      <c r="Y79" s="270">
        <v>113628</v>
      </c>
      <c r="Z79" s="270">
        <v>110062</v>
      </c>
      <c r="AA79" s="270">
        <v>98232</v>
      </c>
      <c r="AB79" s="270">
        <v>98127</v>
      </c>
      <c r="AC79" s="270">
        <v>100933</v>
      </c>
      <c r="AD79" s="270">
        <v>109316</v>
      </c>
      <c r="AE79" s="270">
        <v>104382</v>
      </c>
      <c r="AF79" s="270">
        <v>121540</v>
      </c>
      <c r="AG79" s="270">
        <v>118674</v>
      </c>
      <c r="AH79" s="270">
        <v>102809</v>
      </c>
      <c r="AI79" s="270">
        <v>116468</v>
      </c>
      <c r="AJ79" s="270">
        <v>107945</v>
      </c>
      <c r="AK79" s="270">
        <v>117662</v>
      </c>
      <c r="AL79" s="270">
        <v>126496</v>
      </c>
      <c r="AM79" s="270">
        <v>106574</v>
      </c>
      <c r="AN79" s="270">
        <v>111600</v>
      </c>
      <c r="AO79" s="270">
        <v>105380</v>
      </c>
      <c r="AP79" s="270">
        <v>112251</v>
      </c>
      <c r="AQ79" s="270">
        <v>115207</v>
      </c>
      <c r="AR79" s="270">
        <v>128372</v>
      </c>
      <c r="AS79" s="270">
        <v>126222</v>
      </c>
      <c r="AT79" s="270">
        <v>104187</v>
      </c>
      <c r="AU79" s="270">
        <v>121577</v>
      </c>
      <c r="AV79" s="270">
        <v>118867</v>
      </c>
      <c r="AW79" s="270">
        <v>121057</v>
      </c>
      <c r="AX79" s="270">
        <v>129207</v>
      </c>
      <c r="AY79" s="270">
        <v>101899</v>
      </c>
      <c r="AZ79" s="270">
        <v>117021</v>
      </c>
      <c r="BA79" s="270">
        <v>101045</v>
      </c>
      <c r="BB79" s="270">
        <v>117258</v>
      </c>
      <c r="BC79" s="270">
        <v>119991</v>
      </c>
      <c r="BD79" s="270">
        <v>127821</v>
      </c>
      <c r="BE79" s="270">
        <v>126737</v>
      </c>
      <c r="BF79" s="270">
        <v>109330</v>
      </c>
      <c r="BG79" s="270">
        <v>122124</v>
      </c>
      <c r="BH79" s="270">
        <v>118853</v>
      </c>
      <c r="BI79" s="270">
        <v>121898</v>
      </c>
      <c r="BJ79" s="270">
        <v>136172</v>
      </c>
      <c r="BK79" s="270">
        <v>101899</v>
      </c>
      <c r="BL79" s="270">
        <v>117021</v>
      </c>
      <c r="BM79" s="270">
        <v>101045</v>
      </c>
      <c r="BN79" s="270">
        <v>117258</v>
      </c>
      <c r="BO79" s="270">
        <v>119991</v>
      </c>
      <c r="BP79" s="270">
        <v>127821</v>
      </c>
      <c r="BQ79" s="270">
        <v>126737</v>
      </c>
      <c r="BR79" s="270">
        <v>109330</v>
      </c>
      <c r="BS79" s="270">
        <v>122124</v>
      </c>
      <c r="BT79" s="270">
        <v>118853</v>
      </c>
    </row>
    <row r="80" spans="1:72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0.62</v>
      </c>
      <c r="C82" s="72">
        <v>0.59</v>
      </c>
      <c r="D82" s="72">
        <v>0.55000000000000004</v>
      </c>
      <c r="E82" s="72">
        <v>0.46</v>
      </c>
      <c r="F82" s="72">
        <v>0.44</v>
      </c>
      <c r="G82" s="72">
        <v>0.6</v>
      </c>
      <c r="H82" s="72">
        <v>0.46</v>
      </c>
      <c r="I82" s="72">
        <v>0.46</v>
      </c>
      <c r="J82" s="72">
        <v>0.44</v>
      </c>
      <c r="K82" s="72">
        <v>0.42</v>
      </c>
      <c r="L82" s="72">
        <v>0.57999999999999996</v>
      </c>
      <c r="M82" s="72">
        <v>0.47</v>
      </c>
      <c r="N82" s="72">
        <v>0.48</v>
      </c>
      <c r="O82" s="72">
        <v>0.6</v>
      </c>
      <c r="P82" s="72">
        <v>0.79</v>
      </c>
      <c r="Q82" s="72">
        <v>0.64</v>
      </c>
      <c r="R82" s="72">
        <v>0.69</v>
      </c>
      <c r="S82" s="72">
        <v>0.74</v>
      </c>
      <c r="T82" s="72">
        <v>0.87</v>
      </c>
      <c r="U82" s="72">
        <v>0.79</v>
      </c>
      <c r="V82" s="72">
        <v>0.78</v>
      </c>
      <c r="W82" s="72">
        <v>0.74</v>
      </c>
      <c r="X82" s="72">
        <v>0.82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17.3</v>
      </c>
      <c r="C85" s="72">
        <v>15.89</v>
      </c>
      <c r="D85" s="72">
        <v>16.440000000000001</v>
      </c>
      <c r="E85" s="72">
        <v>16.899999999999999</v>
      </c>
      <c r="F85" s="72">
        <v>17.05</v>
      </c>
      <c r="G85" s="72">
        <v>16.649999999999999</v>
      </c>
      <c r="H85" s="72">
        <v>15.59</v>
      </c>
      <c r="I85" s="72">
        <v>16.05</v>
      </c>
      <c r="J85" s="72">
        <v>16.489999999999998</v>
      </c>
      <c r="K85" s="72">
        <v>14.9</v>
      </c>
      <c r="L85" s="72">
        <v>15.48</v>
      </c>
      <c r="M85" s="72">
        <v>15.95</v>
      </c>
      <c r="N85" s="72">
        <v>16.43</v>
      </c>
      <c r="O85" s="72">
        <v>15.53</v>
      </c>
      <c r="P85" s="72">
        <v>16.32</v>
      </c>
      <c r="Q85" s="72">
        <v>16.96</v>
      </c>
      <c r="R85" s="72">
        <v>17.649999999999999</v>
      </c>
      <c r="S85" s="72">
        <v>16.39</v>
      </c>
      <c r="T85" s="72">
        <v>17.260000000000002</v>
      </c>
      <c r="U85" s="72">
        <v>18.05</v>
      </c>
      <c r="V85" s="72">
        <v>18.829999999999998</v>
      </c>
      <c r="W85" s="72">
        <v>18.16</v>
      </c>
      <c r="X85" s="72">
        <v>17.190000000000001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292652</v>
      </c>
      <c r="C88" s="273">
        <v>291794</v>
      </c>
      <c r="D88" s="273">
        <v>322178</v>
      </c>
      <c r="E88" s="273">
        <v>306677</v>
      </c>
      <c r="F88" s="273">
        <v>291576</v>
      </c>
      <c r="G88" s="273">
        <v>295736</v>
      </c>
      <c r="H88" s="273">
        <v>316562</v>
      </c>
      <c r="I88" s="273">
        <v>305472</v>
      </c>
      <c r="J88" s="273">
        <v>291275</v>
      </c>
      <c r="K88" s="273">
        <v>297098</v>
      </c>
      <c r="L88" s="273">
        <v>326612</v>
      </c>
      <c r="M88" s="273">
        <v>317349</v>
      </c>
      <c r="N88" s="273">
        <v>306423</v>
      </c>
      <c r="O88" s="273">
        <v>314630</v>
      </c>
      <c r="P88" s="273">
        <v>343022</v>
      </c>
      <c r="Q88" s="273">
        <v>342075</v>
      </c>
      <c r="R88" s="273">
        <v>344670</v>
      </c>
      <c r="S88" s="273">
        <v>332838</v>
      </c>
      <c r="T88" s="273">
        <v>358779</v>
      </c>
      <c r="U88" s="273">
        <v>361503</v>
      </c>
      <c r="V88" s="273">
        <v>348128</v>
      </c>
      <c r="W88" s="273">
        <v>338293</v>
      </c>
      <c r="X88" s="273">
        <v>363888</v>
      </c>
    </row>
    <row r="89" spans="1:25" ht="14.25" thickBot="1" x14ac:dyDescent="0.3">
      <c r="A89" s="250" t="s">
        <v>4</v>
      </c>
      <c r="B89" s="275">
        <v>103567</v>
      </c>
      <c r="C89" s="275">
        <v>97842</v>
      </c>
      <c r="D89" s="275">
        <v>108555</v>
      </c>
      <c r="E89" s="275">
        <v>91634</v>
      </c>
      <c r="F89" s="275">
        <v>92745</v>
      </c>
      <c r="G89" s="275">
        <v>99723</v>
      </c>
      <c r="H89" s="275">
        <v>107989</v>
      </c>
      <c r="I89" s="275">
        <v>92119</v>
      </c>
      <c r="J89" s="275">
        <v>88215</v>
      </c>
      <c r="K89" s="275">
        <v>93224</v>
      </c>
      <c r="L89" s="275">
        <v>108288</v>
      </c>
      <c r="M89" s="275">
        <v>91129</v>
      </c>
      <c r="N89" s="275">
        <v>95782</v>
      </c>
      <c r="O89" s="275">
        <v>113467</v>
      </c>
      <c r="P89" s="275">
        <v>123355</v>
      </c>
      <c r="Q89" s="275">
        <v>113315</v>
      </c>
      <c r="R89" s="275">
        <v>113888</v>
      </c>
      <c r="S89" s="275">
        <v>124056</v>
      </c>
      <c r="T89" s="275">
        <v>138344</v>
      </c>
      <c r="U89" s="275">
        <v>130804</v>
      </c>
      <c r="V89" s="275">
        <v>124935</v>
      </c>
      <c r="W89" s="275">
        <v>128880</v>
      </c>
      <c r="X89" s="275">
        <v>146738</v>
      </c>
    </row>
    <row r="90" spans="1:25" ht="14.25" thickBot="1" x14ac:dyDescent="0.3">
      <c r="A90" s="251" t="s">
        <v>5</v>
      </c>
      <c r="B90" s="273">
        <v>48226</v>
      </c>
      <c r="C90" s="273">
        <v>44933</v>
      </c>
      <c r="D90" s="273">
        <v>42733</v>
      </c>
      <c r="E90" s="273">
        <v>39306</v>
      </c>
      <c r="F90" s="273">
        <v>41496</v>
      </c>
      <c r="G90" s="273">
        <v>48321</v>
      </c>
      <c r="H90" s="273">
        <v>46871</v>
      </c>
      <c r="I90" s="273">
        <v>35898</v>
      </c>
      <c r="J90" s="273">
        <v>37274</v>
      </c>
      <c r="K90" s="273">
        <v>33374</v>
      </c>
      <c r="L90" s="273">
        <v>49921</v>
      </c>
      <c r="M90" s="273">
        <v>40921</v>
      </c>
      <c r="N90" s="273">
        <v>40811</v>
      </c>
      <c r="O90" s="273">
        <v>51574</v>
      </c>
      <c r="P90" s="273">
        <v>70057</v>
      </c>
      <c r="Q90" s="273">
        <v>54729</v>
      </c>
      <c r="R90" s="273">
        <v>58413</v>
      </c>
      <c r="S90" s="273">
        <v>64297</v>
      </c>
      <c r="T90" s="273">
        <v>75151</v>
      </c>
      <c r="U90" s="273">
        <v>71991</v>
      </c>
      <c r="V90" s="273">
        <v>68165</v>
      </c>
      <c r="W90" s="273">
        <v>73229</v>
      </c>
      <c r="X90" s="273">
        <v>79038</v>
      </c>
    </row>
    <row r="91" spans="1:25" ht="14.25" thickBot="1" x14ac:dyDescent="0.3">
      <c r="A91" s="250" t="s">
        <v>6</v>
      </c>
      <c r="B91" s="275">
        <v>49108</v>
      </c>
      <c r="C91" s="275">
        <v>46678</v>
      </c>
      <c r="D91" s="275">
        <v>43754</v>
      </c>
      <c r="E91" s="275">
        <v>39694</v>
      </c>
      <c r="F91" s="275">
        <v>35562</v>
      </c>
      <c r="G91" s="275">
        <v>49472</v>
      </c>
      <c r="H91" s="275">
        <v>47334</v>
      </c>
      <c r="I91" s="275">
        <v>36203</v>
      </c>
      <c r="J91" s="275">
        <v>38314</v>
      </c>
      <c r="K91" s="275">
        <v>34617</v>
      </c>
      <c r="L91" s="275">
        <v>50652</v>
      </c>
      <c r="M91" s="275">
        <v>41165</v>
      </c>
      <c r="N91" s="275">
        <v>41873</v>
      </c>
      <c r="O91" s="275">
        <v>52300</v>
      </c>
      <c r="P91" s="275">
        <v>71782</v>
      </c>
      <c r="Q91" s="275">
        <v>56013</v>
      </c>
      <c r="R91" s="275">
        <v>60107</v>
      </c>
      <c r="S91" s="275">
        <v>65114</v>
      </c>
      <c r="T91" s="275">
        <v>76072</v>
      </c>
      <c r="U91" s="275">
        <v>72501</v>
      </c>
      <c r="V91" s="275">
        <v>68437</v>
      </c>
      <c r="W91" s="275">
        <v>72305</v>
      </c>
      <c r="X91" s="275">
        <v>80181</v>
      </c>
    </row>
    <row r="92" spans="1:25" ht="14.25" thickBot="1" x14ac:dyDescent="0.3">
      <c r="A92" s="251" t="s">
        <v>7</v>
      </c>
      <c r="B92" s="273">
        <v>40873</v>
      </c>
      <c r="C92" s="273">
        <v>38732</v>
      </c>
      <c r="D92" s="273">
        <v>36547</v>
      </c>
      <c r="E92" s="273">
        <v>30469</v>
      </c>
      <c r="F92" s="273">
        <v>29134</v>
      </c>
      <c r="G92" s="273">
        <v>39367</v>
      </c>
      <c r="H92" s="273">
        <v>33214</v>
      </c>
      <c r="I92" s="273">
        <v>33509</v>
      </c>
      <c r="J92" s="273">
        <v>31711</v>
      </c>
      <c r="K92" s="273">
        <v>30331</v>
      </c>
      <c r="L92" s="273">
        <v>42065</v>
      </c>
      <c r="M92" s="273">
        <v>34170</v>
      </c>
      <c r="N92" s="273">
        <v>34654</v>
      </c>
      <c r="O92" s="273">
        <v>43409</v>
      </c>
      <c r="P92" s="273">
        <v>57747</v>
      </c>
      <c r="Q92" s="273">
        <v>46532</v>
      </c>
      <c r="R92" s="273">
        <v>49889</v>
      </c>
      <c r="S92" s="273">
        <v>54044</v>
      </c>
      <c r="T92" s="273">
        <v>63140</v>
      </c>
      <c r="U92" s="273">
        <v>57874</v>
      </c>
      <c r="V92" s="273">
        <v>56803</v>
      </c>
      <c r="W92" s="273">
        <v>60013</v>
      </c>
      <c r="X92" s="273">
        <v>66550</v>
      </c>
    </row>
    <row r="93" spans="1:25" ht="26.25" thickBot="1" x14ac:dyDescent="0.3">
      <c r="A93" s="252" t="s">
        <v>8</v>
      </c>
      <c r="B93" s="276">
        <v>40873</v>
      </c>
      <c r="C93" s="276">
        <v>38732</v>
      </c>
      <c r="D93" s="276">
        <v>36547</v>
      </c>
      <c r="E93" s="276">
        <v>30469</v>
      </c>
      <c r="F93" s="276">
        <v>29134</v>
      </c>
      <c r="G93" s="276">
        <v>39367</v>
      </c>
      <c r="H93" s="276">
        <v>33214</v>
      </c>
      <c r="I93" s="276">
        <v>33509</v>
      </c>
      <c r="J93" s="276">
        <v>31711</v>
      </c>
      <c r="K93" s="276">
        <v>30331</v>
      </c>
      <c r="L93" s="276">
        <v>42065</v>
      </c>
      <c r="M93" s="276">
        <v>34170</v>
      </c>
      <c r="N93" s="276">
        <v>34654</v>
      </c>
      <c r="O93" s="276">
        <v>43409</v>
      </c>
      <c r="P93" s="276">
        <v>57747</v>
      </c>
      <c r="Q93" s="276">
        <v>46532</v>
      </c>
      <c r="R93" s="276">
        <v>49889</v>
      </c>
      <c r="S93" s="276">
        <v>54044</v>
      </c>
      <c r="T93" s="276">
        <v>63140</v>
      </c>
      <c r="U93" s="276">
        <v>57874</v>
      </c>
      <c r="V93" s="276">
        <v>56803</v>
      </c>
      <c r="W93" s="276">
        <v>60013</v>
      </c>
      <c r="X93" s="276">
        <v>66550</v>
      </c>
    </row>
    <row r="94" spans="1:25" x14ac:dyDescent="0.25">
      <c r="A94" s="233" t="s">
        <v>365</v>
      </c>
      <c r="B94" s="253">
        <f>IF(B91="","",B91-B90)</f>
        <v>882</v>
      </c>
      <c r="C94" s="253">
        <f>IF(C91="","",C91-C90)</f>
        <v>1745</v>
      </c>
      <c r="D94" s="253">
        <f t="shared" ref="D94:Y94" si="9">IF(D91="","",D91-D90)</f>
        <v>1021</v>
      </c>
      <c r="E94" s="253">
        <f t="shared" si="9"/>
        <v>388</v>
      </c>
      <c r="F94" s="253">
        <f t="shared" si="9"/>
        <v>-5934</v>
      </c>
      <c r="G94" s="253">
        <f t="shared" si="9"/>
        <v>1151</v>
      </c>
      <c r="H94" s="253">
        <f t="shared" si="9"/>
        <v>463</v>
      </c>
      <c r="I94" s="253">
        <f t="shared" si="9"/>
        <v>305</v>
      </c>
      <c r="J94" s="253">
        <f t="shared" si="9"/>
        <v>1040</v>
      </c>
      <c r="K94" s="253">
        <f t="shared" si="9"/>
        <v>1243</v>
      </c>
      <c r="L94" s="253">
        <f t="shared" si="9"/>
        <v>731</v>
      </c>
      <c r="M94" s="253">
        <f t="shared" si="9"/>
        <v>244</v>
      </c>
      <c r="N94" s="253">
        <f t="shared" si="9"/>
        <v>1062</v>
      </c>
      <c r="O94" s="253">
        <f t="shared" si="9"/>
        <v>726</v>
      </c>
      <c r="P94" s="253">
        <f t="shared" si="9"/>
        <v>1725</v>
      </c>
      <c r="Q94" s="253">
        <f t="shared" si="9"/>
        <v>1284</v>
      </c>
      <c r="R94" s="253">
        <f t="shared" si="9"/>
        <v>1694</v>
      </c>
      <c r="S94" s="253">
        <f t="shared" si="9"/>
        <v>817</v>
      </c>
      <c r="T94" s="253">
        <f t="shared" si="9"/>
        <v>921</v>
      </c>
      <c r="U94" s="253">
        <f t="shared" si="9"/>
        <v>510</v>
      </c>
      <c r="V94" s="253">
        <f t="shared" si="9"/>
        <v>272</v>
      </c>
      <c r="W94" s="253">
        <f t="shared" si="9"/>
        <v>-924</v>
      </c>
      <c r="X94" s="253">
        <f t="shared" si="9"/>
        <v>1143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1213301</v>
      </c>
      <c r="C97" s="273">
        <v>1209346</v>
      </c>
      <c r="D97" s="273">
        <v>1232334</v>
      </c>
      <c r="E97" s="273">
        <v>1306150</v>
      </c>
      <c r="F97" s="273">
        <v>1397790</v>
      </c>
    </row>
    <row r="98" spans="1:24" ht="14.25" thickBot="1" x14ac:dyDescent="0.3">
      <c r="A98" s="225" t="s">
        <v>4</v>
      </c>
      <c r="B98" s="275">
        <v>401598</v>
      </c>
      <c r="C98" s="275">
        <v>392576</v>
      </c>
      <c r="D98" s="275">
        <v>380856</v>
      </c>
      <c r="E98" s="275">
        <v>445919</v>
      </c>
      <c r="F98" s="275">
        <v>507092</v>
      </c>
    </row>
    <row r="99" spans="1:24" ht="14.25" thickBot="1" x14ac:dyDescent="0.3">
      <c r="A99" s="224" t="s">
        <v>5</v>
      </c>
      <c r="B99" s="273">
        <v>175198</v>
      </c>
      <c r="C99" s="273">
        <v>172586</v>
      </c>
      <c r="D99" s="273">
        <v>161490</v>
      </c>
      <c r="E99" s="273">
        <v>217171</v>
      </c>
      <c r="F99" s="273">
        <v>269852</v>
      </c>
    </row>
    <row r="100" spans="1:24" ht="14.25" thickBot="1" x14ac:dyDescent="0.3">
      <c r="A100" s="225" t="s">
        <v>6</v>
      </c>
      <c r="B100" s="275">
        <v>179234</v>
      </c>
      <c r="C100" s="275">
        <v>168571</v>
      </c>
      <c r="D100" s="275">
        <v>164748</v>
      </c>
      <c r="E100" s="275">
        <v>221968</v>
      </c>
      <c r="F100" s="275">
        <v>273794</v>
      </c>
    </row>
    <row r="101" spans="1:24" ht="14.25" thickBot="1" x14ac:dyDescent="0.3">
      <c r="A101" s="224" t="s">
        <v>7</v>
      </c>
      <c r="B101" s="273">
        <v>146621</v>
      </c>
      <c r="C101" s="273">
        <v>135224</v>
      </c>
      <c r="D101" s="273">
        <v>138277</v>
      </c>
      <c r="E101" s="273">
        <v>182342</v>
      </c>
      <c r="F101" s="273">
        <v>224947</v>
      </c>
    </row>
    <row r="102" spans="1:24" ht="14.25" thickBot="1" x14ac:dyDescent="0.3">
      <c r="A102" s="227" t="s">
        <v>8</v>
      </c>
      <c r="B102" s="276">
        <v>146621</v>
      </c>
      <c r="C102" s="276">
        <v>135224</v>
      </c>
      <c r="D102" s="276">
        <v>138277</v>
      </c>
      <c r="E102" s="276">
        <v>182342</v>
      </c>
      <c r="F102" s="276">
        <v>224947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504649</v>
      </c>
      <c r="C106" s="273">
        <v>516639</v>
      </c>
      <c r="D106" s="273">
        <v>430021</v>
      </c>
      <c r="E106" s="273">
        <v>521423</v>
      </c>
      <c r="F106" s="273">
        <v>439302</v>
      </c>
      <c r="G106" s="273">
        <v>339433</v>
      </c>
      <c r="H106" s="273">
        <v>441159</v>
      </c>
      <c r="I106" s="273">
        <v>431678</v>
      </c>
      <c r="J106" s="273">
        <v>449653</v>
      </c>
      <c r="K106" s="273">
        <v>516416</v>
      </c>
      <c r="L106" s="273">
        <v>376805</v>
      </c>
      <c r="M106" s="273">
        <v>446287</v>
      </c>
      <c r="N106" s="273">
        <v>462968</v>
      </c>
      <c r="O106" s="273">
        <v>485309</v>
      </c>
      <c r="P106" s="273">
        <v>462255</v>
      </c>
      <c r="Q106" s="273">
        <v>514348</v>
      </c>
      <c r="R106" s="273">
        <v>570663</v>
      </c>
      <c r="S106" s="273">
        <v>635278</v>
      </c>
      <c r="T106" s="273">
        <v>563133</v>
      </c>
      <c r="U106" s="273">
        <v>638762</v>
      </c>
      <c r="V106" s="273">
        <v>654682</v>
      </c>
      <c r="W106" s="273">
        <v>700503</v>
      </c>
      <c r="X106" s="273">
        <v>702027</v>
      </c>
    </row>
    <row r="107" spans="1:24" ht="14.25" thickBot="1" x14ac:dyDescent="0.3">
      <c r="A107" s="225" t="s">
        <v>22</v>
      </c>
      <c r="B107" s="275">
        <v>168616</v>
      </c>
      <c r="C107" s="275">
        <v>188914</v>
      </c>
      <c r="D107" s="275">
        <v>209378</v>
      </c>
      <c r="E107" s="275">
        <v>126876</v>
      </c>
      <c r="F107" s="275">
        <v>167202</v>
      </c>
      <c r="G107" s="275">
        <v>146859</v>
      </c>
      <c r="H107" s="275">
        <v>96036</v>
      </c>
      <c r="I107" s="275">
        <v>96138</v>
      </c>
      <c r="J107" s="275">
        <v>76393</v>
      </c>
      <c r="K107" s="275">
        <v>76565</v>
      </c>
      <c r="L107" s="275">
        <v>96548</v>
      </c>
      <c r="M107" s="275">
        <v>96548</v>
      </c>
      <c r="N107" s="275">
        <v>96798</v>
      </c>
      <c r="O107" s="275">
        <v>116787</v>
      </c>
      <c r="P107" s="275">
        <v>86672</v>
      </c>
      <c r="Q107" s="275">
        <v>106795</v>
      </c>
      <c r="R107" s="275">
        <v>106999</v>
      </c>
      <c r="S107" s="275">
        <v>87159</v>
      </c>
      <c r="T107" s="275">
        <v>81782</v>
      </c>
      <c r="U107" s="275">
        <v>81795</v>
      </c>
      <c r="V107" s="275">
        <v>101849</v>
      </c>
      <c r="W107" s="275">
        <v>101865</v>
      </c>
      <c r="X107" s="275">
        <v>101961</v>
      </c>
    </row>
    <row r="108" spans="1:24" ht="14.25" thickBot="1" x14ac:dyDescent="0.3">
      <c r="A108" s="224" t="s">
        <v>263</v>
      </c>
      <c r="B108" s="273">
        <v>123335</v>
      </c>
      <c r="C108" s="273">
        <v>140613</v>
      </c>
      <c r="D108" s="273">
        <v>138897</v>
      </c>
      <c r="E108" s="273">
        <v>141022</v>
      </c>
      <c r="F108" s="273">
        <v>121988</v>
      </c>
      <c r="G108" s="273">
        <v>132683</v>
      </c>
      <c r="H108" s="273">
        <v>135799</v>
      </c>
      <c r="I108" s="273">
        <v>128135</v>
      </c>
      <c r="J108" s="273">
        <v>120820</v>
      </c>
      <c r="K108" s="273">
        <v>128627</v>
      </c>
      <c r="L108" s="273">
        <v>134385</v>
      </c>
      <c r="M108" s="273">
        <v>129927</v>
      </c>
      <c r="N108" s="273">
        <v>116555</v>
      </c>
      <c r="O108" s="273">
        <v>134169</v>
      </c>
      <c r="P108" s="273">
        <v>143709</v>
      </c>
      <c r="Q108" s="273">
        <v>149217</v>
      </c>
      <c r="R108" s="273">
        <v>141662</v>
      </c>
      <c r="S108" s="273">
        <v>135672</v>
      </c>
      <c r="T108" s="273">
        <v>142338</v>
      </c>
      <c r="U108" s="273">
        <v>151899</v>
      </c>
      <c r="V108" s="273">
        <v>145018</v>
      </c>
      <c r="W108" s="273">
        <v>150610</v>
      </c>
      <c r="X108" s="273">
        <v>141687</v>
      </c>
    </row>
    <row r="109" spans="1:24" ht="14.25" thickBot="1" x14ac:dyDescent="0.3">
      <c r="A109" s="225" t="s">
        <v>264</v>
      </c>
      <c r="B109" s="275">
        <v>32434</v>
      </c>
      <c r="C109" s="275">
        <v>27389</v>
      </c>
      <c r="D109" s="275">
        <v>26924</v>
      </c>
      <c r="E109" s="275">
        <v>28286</v>
      </c>
      <c r="F109" s="275">
        <v>30231</v>
      </c>
      <c r="G109" s="275">
        <v>30565</v>
      </c>
      <c r="H109" s="275">
        <v>29263</v>
      </c>
      <c r="I109" s="275">
        <v>34871</v>
      </c>
      <c r="J109" s="275">
        <v>35378</v>
      </c>
      <c r="K109" s="275">
        <v>37607</v>
      </c>
      <c r="L109" s="275">
        <v>36378</v>
      </c>
      <c r="M109" s="275">
        <v>37679</v>
      </c>
      <c r="N109" s="275">
        <v>47360</v>
      </c>
      <c r="O109" s="275">
        <v>43199</v>
      </c>
      <c r="P109" s="275">
        <v>42864</v>
      </c>
      <c r="Q109" s="275">
        <v>42618</v>
      </c>
      <c r="R109" s="275">
        <v>38538</v>
      </c>
      <c r="S109" s="275">
        <v>35391</v>
      </c>
      <c r="T109" s="275">
        <v>32056</v>
      </c>
      <c r="U109" s="275">
        <v>38178</v>
      </c>
      <c r="V109" s="275">
        <v>38415</v>
      </c>
      <c r="W109" s="275">
        <v>39007</v>
      </c>
      <c r="X109" s="275">
        <v>41097</v>
      </c>
    </row>
    <row r="110" spans="1:24" ht="14.25" thickBot="1" x14ac:dyDescent="0.3">
      <c r="A110" s="224" t="s">
        <v>23</v>
      </c>
      <c r="B110" s="273">
        <v>14628</v>
      </c>
      <c r="C110" s="273">
        <v>16129</v>
      </c>
      <c r="D110" s="273">
        <v>6883</v>
      </c>
      <c r="E110" s="273">
        <v>20625</v>
      </c>
      <c r="F110" s="273">
        <v>46339</v>
      </c>
      <c r="G110" s="273">
        <v>37735</v>
      </c>
      <c r="H110" s="273">
        <v>27660</v>
      </c>
      <c r="I110" s="273">
        <v>13452</v>
      </c>
      <c r="J110" s="273">
        <v>22824</v>
      </c>
      <c r="K110" s="273">
        <v>5980</v>
      </c>
      <c r="L110" s="273">
        <v>12950</v>
      </c>
      <c r="M110" s="273">
        <v>6759</v>
      </c>
      <c r="N110" s="273">
        <v>9557</v>
      </c>
      <c r="O110" s="273">
        <v>4859</v>
      </c>
      <c r="P110" s="273">
        <v>10717</v>
      </c>
      <c r="Q110" s="273">
        <v>5695</v>
      </c>
      <c r="R110" s="273">
        <v>2915</v>
      </c>
      <c r="S110" s="273">
        <v>6507</v>
      </c>
      <c r="T110" s="273">
        <v>9750</v>
      </c>
      <c r="U110" s="273">
        <v>9562</v>
      </c>
      <c r="V110" s="273">
        <v>13276</v>
      </c>
      <c r="W110" s="273">
        <v>9810</v>
      </c>
      <c r="X110" s="273">
        <v>122230</v>
      </c>
    </row>
    <row r="111" spans="1:24" ht="14.25" thickBot="1" x14ac:dyDescent="0.3">
      <c r="A111" s="225" t="s">
        <v>24</v>
      </c>
      <c r="B111" s="275">
        <v>843662</v>
      </c>
      <c r="C111" s="275">
        <v>889684</v>
      </c>
      <c r="D111" s="275">
        <v>812103</v>
      </c>
      <c r="E111" s="275">
        <v>838232</v>
      </c>
      <c r="F111" s="275">
        <v>805062</v>
      </c>
      <c r="G111" s="275">
        <v>687275</v>
      </c>
      <c r="H111" s="275">
        <v>729917</v>
      </c>
      <c r="I111" s="275">
        <v>704274</v>
      </c>
      <c r="J111" s="275">
        <v>705068</v>
      </c>
      <c r="K111" s="275">
        <v>765195</v>
      </c>
      <c r="L111" s="275">
        <v>657066</v>
      </c>
      <c r="M111" s="275">
        <v>717200</v>
      </c>
      <c r="N111" s="275">
        <v>733238</v>
      </c>
      <c r="O111" s="275">
        <v>784323</v>
      </c>
      <c r="P111" s="275">
        <v>746217</v>
      </c>
      <c r="Q111" s="275">
        <v>818673</v>
      </c>
      <c r="R111" s="275">
        <v>860777</v>
      </c>
      <c r="S111" s="275">
        <v>900007</v>
      </c>
      <c r="T111" s="275">
        <v>829059</v>
      </c>
      <c r="U111" s="275">
        <v>920196</v>
      </c>
      <c r="V111" s="275">
        <v>953240</v>
      </c>
      <c r="W111" s="275">
        <v>1001795</v>
      </c>
      <c r="X111" s="275">
        <v>1109002</v>
      </c>
    </row>
    <row r="112" spans="1:24" ht="14.25" thickBot="1" x14ac:dyDescent="0.3">
      <c r="A112" s="224" t="s">
        <v>25</v>
      </c>
      <c r="B112" s="68">
        <v>247</v>
      </c>
      <c r="C112" s="68">
        <v>247</v>
      </c>
      <c r="D112" s="68">
        <v>247</v>
      </c>
      <c r="E112" s="68">
        <v>261</v>
      </c>
      <c r="F112" s="68">
        <v>261</v>
      </c>
      <c r="G112" s="68">
        <v>261</v>
      </c>
      <c r="H112" s="68">
        <v>261</v>
      </c>
      <c r="I112" s="68">
        <v>261</v>
      </c>
      <c r="J112" s="68">
        <v>261</v>
      </c>
      <c r="K112" s="68">
        <v>261</v>
      </c>
      <c r="L112" s="68">
        <v>261</v>
      </c>
      <c r="M112" s="68">
        <v>261</v>
      </c>
      <c r="N112" s="68">
        <v>261</v>
      </c>
      <c r="O112" s="68">
        <v>261</v>
      </c>
      <c r="P112" s="68">
        <v>261</v>
      </c>
      <c r="Q112" s="68">
        <v>261</v>
      </c>
      <c r="R112" s="68">
        <v>261</v>
      </c>
      <c r="S112" s="68">
        <v>261</v>
      </c>
      <c r="T112" s="68">
        <v>261</v>
      </c>
      <c r="U112" s="68">
        <v>261</v>
      </c>
      <c r="V112" s="68">
        <v>261</v>
      </c>
      <c r="W112" s="68">
        <v>261</v>
      </c>
      <c r="X112" s="68">
        <v>261</v>
      </c>
    </row>
    <row r="113" spans="1:24" ht="14.25" thickBot="1" x14ac:dyDescent="0.3">
      <c r="A113" s="225" t="s">
        <v>26</v>
      </c>
      <c r="B113" s="275">
        <v>452027</v>
      </c>
      <c r="C113" s="275">
        <v>450249</v>
      </c>
      <c r="D113" s="275">
        <v>447428</v>
      </c>
      <c r="E113" s="275">
        <v>454556</v>
      </c>
      <c r="F113" s="275">
        <v>488242</v>
      </c>
      <c r="G113" s="275">
        <v>660395</v>
      </c>
      <c r="H113" s="275">
        <v>676350</v>
      </c>
      <c r="I113" s="275">
        <v>554224</v>
      </c>
      <c r="J113" s="275">
        <v>552728</v>
      </c>
      <c r="K113" s="275">
        <v>548832</v>
      </c>
      <c r="L113" s="275">
        <v>546565</v>
      </c>
      <c r="M113" s="275">
        <v>544795</v>
      </c>
      <c r="N113" s="275">
        <v>543520</v>
      </c>
      <c r="O113" s="275">
        <v>544223</v>
      </c>
      <c r="P113" s="275">
        <v>680349</v>
      </c>
      <c r="Q113" s="275">
        <v>677664</v>
      </c>
      <c r="R113" s="275">
        <v>673854</v>
      </c>
      <c r="S113" s="275">
        <v>673024</v>
      </c>
      <c r="T113" s="275">
        <v>674150</v>
      </c>
      <c r="U113" s="275">
        <v>670743</v>
      </c>
      <c r="V113" s="275">
        <v>678675</v>
      </c>
      <c r="W113" s="275">
        <v>683785</v>
      </c>
      <c r="X113" s="275">
        <v>570401</v>
      </c>
    </row>
    <row r="114" spans="1:24" ht="14.25" thickBot="1" x14ac:dyDescent="0.3">
      <c r="A114" s="224" t="s">
        <v>27</v>
      </c>
      <c r="B114" s="273">
        <v>70874</v>
      </c>
      <c r="C114" s="273">
        <v>60382</v>
      </c>
      <c r="D114" s="273">
        <v>50807</v>
      </c>
      <c r="E114" s="273">
        <v>49903</v>
      </c>
      <c r="F114" s="273">
        <v>54300</v>
      </c>
      <c r="G114" s="273">
        <v>50981</v>
      </c>
      <c r="H114" s="273">
        <v>18895</v>
      </c>
      <c r="I114" s="273">
        <v>143514</v>
      </c>
      <c r="J114" s="273">
        <v>144053</v>
      </c>
      <c r="K114" s="273">
        <v>143823</v>
      </c>
      <c r="L114" s="273">
        <v>143598</v>
      </c>
      <c r="M114" s="273">
        <v>143755</v>
      </c>
      <c r="N114" s="273">
        <v>146114</v>
      </c>
      <c r="O114" s="273">
        <v>144290</v>
      </c>
      <c r="P114" s="273">
        <v>6597</v>
      </c>
      <c r="Q114" s="273">
        <v>6767</v>
      </c>
      <c r="R114" s="273">
        <v>8199</v>
      </c>
      <c r="S114" s="273">
        <v>6258</v>
      </c>
      <c r="T114" s="273">
        <v>8915</v>
      </c>
      <c r="U114" s="273">
        <v>9577</v>
      </c>
      <c r="V114" s="273">
        <v>9584</v>
      </c>
      <c r="W114" s="273">
        <v>7226</v>
      </c>
      <c r="X114" s="273">
        <v>6828</v>
      </c>
    </row>
    <row r="115" spans="1:24" ht="14.25" thickBot="1" x14ac:dyDescent="0.3">
      <c r="A115" s="225" t="s">
        <v>265</v>
      </c>
      <c r="B115" s="276">
        <v>1366810</v>
      </c>
      <c r="C115" s="276">
        <v>1400562</v>
      </c>
      <c r="D115" s="276">
        <v>1310585</v>
      </c>
      <c r="E115" s="276">
        <v>1342952</v>
      </c>
      <c r="F115" s="276">
        <v>1347865</v>
      </c>
      <c r="G115" s="276">
        <v>1398912</v>
      </c>
      <c r="H115" s="276">
        <v>1425423</v>
      </c>
      <c r="I115" s="276">
        <v>1402273</v>
      </c>
      <c r="J115" s="276">
        <v>1402110</v>
      </c>
      <c r="K115" s="276">
        <v>1458111</v>
      </c>
      <c r="L115" s="276">
        <v>1347490</v>
      </c>
      <c r="M115" s="276">
        <v>1406011</v>
      </c>
      <c r="N115" s="276">
        <v>1423133</v>
      </c>
      <c r="O115" s="276">
        <v>1473097</v>
      </c>
      <c r="P115" s="276">
        <v>1433424</v>
      </c>
      <c r="Q115" s="276">
        <v>1503365</v>
      </c>
      <c r="R115" s="276">
        <v>1543091</v>
      </c>
      <c r="S115" s="276">
        <v>1579550</v>
      </c>
      <c r="T115" s="276">
        <v>1512385</v>
      </c>
      <c r="U115" s="276">
        <v>1600777</v>
      </c>
      <c r="V115" s="276">
        <v>1641760</v>
      </c>
      <c r="W115" s="276">
        <v>1693067</v>
      </c>
      <c r="X115" s="276">
        <v>1686492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95319</v>
      </c>
      <c r="C120" s="273">
        <v>101998</v>
      </c>
      <c r="D120" s="273">
        <v>115974</v>
      </c>
      <c r="E120" s="273">
        <v>117201</v>
      </c>
      <c r="F120" s="273">
        <v>102899</v>
      </c>
      <c r="G120" s="273">
        <v>112907</v>
      </c>
      <c r="H120" s="273">
        <v>101612</v>
      </c>
      <c r="I120" s="273">
        <v>102285</v>
      </c>
      <c r="J120" s="273">
        <v>81812</v>
      </c>
      <c r="K120" s="273">
        <v>98886</v>
      </c>
      <c r="L120" s="273">
        <v>102685</v>
      </c>
      <c r="M120" s="273">
        <v>111823</v>
      </c>
      <c r="N120" s="273">
        <v>103981</v>
      </c>
      <c r="O120" s="273">
        <v>97285</v>
      </c>
      <c r="P120" s="273">
        <v>110442</v>
      </c>
      <c r="Q120" s="273">
        <v>115831</v>
      </c>
      <c r="R120" s="273">
        <v>108427</v>
      </c>
      <c r="S120" s="273">
        <v>103120</v>
      </c>
      <c r="T120" s="273">
        <v>116027</v>
      </c>
      <c r="U120" s="273">
        <v>120255</v>
      </c>
      <c r="V120" s="273">
        <v>109215</v>
      </c>
      <c r="W120" s="273">
        <v>101161</v>
      </c>
      <c r="X120" s="273">
        <v>111317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85370</v>
      </c>
      <c r="C123" s="275">
        <v>205055</v>
      </c>
      <c r="D123" s="275">
        <v>62202</v>
      </c>
      <c r="E123" s="275">
        <v>58819</v>
      </c>
      <c r="F123" s="275">
        <v>70790</v>
      </c>
      <c r="G123" s="275">
        <v>135269</v>
      </c>
      <c r="H123" s="275">
        <v>138027</v>
      </c>
      <c r="I123" s="275">
        <v>80314</v>
      </c>
      <c r="J123" s="275">
        <v>68523</v>
      </c>
      <c r="K123" s="275">
        <v>222654</v>
      </c>
      <c r="L123" s="275">
        <v>65528</v>
      </c>
      <c r="M123" s="275">
        <v>80841</v>
      </c>
      <c r="N123" s="275">
        <v>70908</v>
      </c>
      <c r="O123" s="275">
        <v>189715</v>
      </c>
      <c r="P123" s="275">
        <v>78404</v>
      </c>
      <c r="Q123" s="275">
        <v>96021</v>
      </c>
      <c r="R123" s="275">
        <v>92262</v>
      </c>
      <c r="S123" s="275">
        <v>225693</v>
      </c>
      <c r="T123" s="275">
        <v>82581</v>
      </c>
      <c r="U123" s="275">
        <v>106029</v>
      </c>
      <c r="V123" s="275">
        <v>101250</v>
      </c>
      <c r="W123" s="275">
        <v>209654</v>
      </c>
      <c r="X123" s="275">
        <v>125144</v>
      </c>
    </row>
    <row r="124" spans="1:24" ht="14.25" thickBot="1" x14ac:dyDescent="0.3">
      <c r="A124" s="224" t="s">
        <v>268</v>
      </c>
      <c r="B124" s="273">
        <v>180689</v>
      </c>
      <c r="C124" s="273">
        <v>307053</v>
      </c>
      <c r="D124" s="273">
        <v>178176</v>
      </c>
      <c r="E124" s="273">
        <v>176020</v>
      </c>
      <c r="F124" s="273">
        <v>173689</v>
      </c>
      <c r="G124" s="273">
        <v>248176</v>
      </c>
      <c r="H124" s="273">
        <v>239639</v>
      </c>
      <c r="I124" s="273">
        <v>182599</v>
      </c>
      <c r="J124" s="273">
        <v>150335</v>
      </c>
      <c r="K124" s="273">
        <v>321540</v>
      </c>
      <c r="L124" s="273">
        <v>168213</v>
      </c>
      <c r="M124" s="273">
        <v>192664</v>
      </c>
      <c r="N124" s="273">
        <v>174889</v>
      </c>
      <c r="O124" s="273">
        <v>287000</v>
      </c>
      <c r="P124" s="273">
        <v>188846</v>
      </c>
      <c r="Q124" s="273">
        <v>211852</v>
      </c>
      <c r="R124" s="273">
        <v>200689</v>
      </c>
      <c r="S124" s="273">
        <v>328813</v>
      </c>
      <c r="T124" s="273">
        <v>198608</v>
      </c>
      <c r="U124" s="273">
        <v>226284</v>
      </c>
      <c r="V124" s="273">
        <v>210465</v>
      </c>
      <c r="W124" s="273">
        <v>310815</v>
      </c>
      <c r="X124" s="273">
        <v>236461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47298</v>
      </c>
      <c r="G125" s="275">
        <v>50586</v>
      </c>
      <c r="H125" s="275">
        <v>52420</v>
      </c>
      <c r="I125" s="275">
        <v>52801</v>
      </c>
      <c r="J125" s="275">
        <v>53191</v>
      </c>
      <c r="K125" s="275">
        <v>53065</v>
      </c>
      <c r="L125" s="275">
        <v>53706</v>
      </c>
      <c r="M125" s="275">
        <v>53606</v>
      </c>
      <c r="N125" s="275">
        <v>53849</v>
      </c>
      <c r="O125" s="275">
        <v>57349</v>
      </c>
      <c r="P125" s="275">
        <v>58083</v>
      </c>
      <c r="Q125" s="275">
        <v>58486</v>
      </c>
      <c r="R125" s="275">
        <v>59486</v>
      </c>
      <c r="S125" s="275">
        <v>59186</v>
      </c>
      <c r="T125" s="275">
        <v>59086</v>
      </c>
      <c r="U125" s="275">
        <v>61928</v>
      </c>
      <c r="V125" s="275">
        <v>61927</v>
      </c>
      <c r="W125" s="275">
        <v>61928</v>
      </c>
      <c r="X125" s="275">
        <v>63158</v>
      </c>
    </row>
    <row r="126" spans="1:24" ht="14.25" thickBot="1" x14ac:dyDescent="0.3">
      <c r="A126" s="224" t="s">
        <v>33</v>
      </c>
      <c r="B126" s="273">
        <v>42552</v>
      </c>
      <c r="C126" s="273">
        <v>43398</v>
      </c>
      <c r="D126" s="273">
        <v>45751</v>
      </c>
      <c r="E126" s="273">
        <v>49805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223241</v>
      </c>
      <c r="C127" s="275">
        <v>350451</v>
      </c>
      <c r="D127" s="275">
        <v>223927</v>
      </c>
      <c r="E127" s="275">
        <v>225825</v>
      </c>
      <c r="F127" s="275">
        <v>220987</v>
      </c>
      <c r="G127" s="275">
        <v>298762</v>
      </c>
      <c r="H127" s="275">
        <v>292059</v>
      </c>
      <c r="I127" s="275">
        <v>235400</v>
      </c>
      <c r="J127" s="275">
        <v>203526</v>
      </c>
      <c r="K127" s="275">
        <v>374605</v>
      </c>
      <c r="L127" s="275">
        <v>221919</v>
      </c>
      <c r="M127" s="275">
        <v>246270</v>
      </c>
      <c r="N127" s="275">
        <v>228738</v>
      </c>
      <c r="O127" s="275">
        <v>344349</v>
      </c>
      <c r="P127" s="275">
        <v>246929</v>
      </c>
      <c r="Q127" s="275">
        <v>270338</v>
      </c>
      <c r="R127" s="275">
        <v>260175</v>
      </c>
      <c r="S127" s="275">
        <v>387999</v>
      </c>
      <c r="T127" s="275">
        <v>257694</v>
      </c>
      <c r="U127" s="275">
        <v>288212</v>
      </c>
      <c r="V127" s="275">
        <v>272392</v>
      </c>
      <c r="W127" s="275">
        <v>372743</v>
      </c>
      <c r="X127" s="275">
        <v>299619</v>
      </c>
    </row>
    <row r="128" spans="1:24" ht="14.25" thickBot="1" x14ac:dyDescent="0.3">
      <c r="A128" s="224" t="s">
        <v>34</v>
      </c>
      <c r="B128" s="273">
        <v>1143569</v>
      </c>
      <c r="C128" s="273">
        <v>1050111</v>
      </c>
      <c r="D128" s="273">
        <v>1086658</v>
      </c>
      <c r="E128" s="273">
        <v>1117127</v>
      </c>
      <c r="F128" s="273">
        <v>1126878</v>
      </c>
      <c r="G128" s="273">
        <v>1100150</v>
      </c>
      <c r="H128" s="273">
        <v>1133364</v>
      </c>
      <c r="I128" s="273">
        <v>1166873</v>
      </c>
      <c r="J128" s="273">
        <v>1198584</v>
      </c>
      <c r="K128" s="273">
        <v>1083506</v>
      </c>
      <c r="L128" s="273">
        <v>1125571</v>
      </c>
      <c r="M128" s="273">
        <v>1159741</v>
      </c>
      <c r="N128" s="273">
        <v>1194395</v>
      </c>
      <c r="O128" s="273">
        <v>1128748</v>
      </c>
      <c r="P128" s="273">
        <v>1186495</v>
      </c>
      <c r="Q128" s="273">
        <v>1233027</v>
      </c>
      <c r="R128" s="273">
        <v>1282916</v>
      </c>
      <c r="S128" s="273">
        <v>1191551</v>
      </c>
      <c r="T128" s="273">
        <v>1254691</v>
      </c>
      <c r="U128" s="273">
        <v>1312565</v>
      </c>
      <c r="V128" s="273">
        <v>1369368</v>
      </c>
      <c r="W128" s="273">
        <v>1320324</v>
      </c>
      <c r="X128" s="273">
        <v>1386873</v>
      </c>
    </row>
    <row r="129" spans="1:24" ht="14.25" thickBot="1" x14ac:dyDescent="0.3">
      <c r="A129" s="225" t="s">
        <v>35</v>
      </c>
      <c r="B129" s="276">
        <v>1366810</v>
      </c>
      <c r="C129" s="276">
        <v>1400562</v>
      </c>
      <c r="D129" s="276">
        <v>1310585</v>
      </c>
      <c r="E129" s="276">
        <v>1342952</v>
      </c>
      <c r="F129" s="276">
        <v>1347865</v>
      </c>
      <c r="G129" s="276">
        <v>1398912</v>
      </c>
      <c r="H129" s="276">
        <v>1425423</v>
      </c>
      <c r="I129" s="276">
        <v>1402273</v>
      </c>
      <c r="J129" s="276">
        <v>1402110</v>
      </c>
      <c r="K129" s="276">
        <v>1458111</v>
      </c>
      <c r="L129" s="276">
        <v>1347490</v>
      </c>
      <c r="M129" s="276">
        <v>1406011</v>
      </c>
      <c r="N129" s="276">
        <v>1423133</v>
      </c>
      <c r="O129" s="276">
        <v>1473097</v>
      </c>
      <c r="P129" s="276">
        <v>1433424</v>
      </c>
      <c r="Q129" s="276">
        <v>1503365</v>
      </c>
      <c r="R129" s="276">
        <v>1543091</v>
      </c>
      <c r="S129" s="276">
        <v>1579550</v>
      </c>
      <c r="T129" s="276">
        <v>1512385</v>
      </c>
      <c r="U129" s="276">
        <v>1600777</v>
      </c>
      <c r="V129" s="276">
        <v>1641760</v>
      </c>
      <c r="W129" s="276">
        <v>1693067</v>
      </c>
      <c r="X129" s="276">
        <v>1686492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3.01</v>
      </c>
      <c r="C132" s="68">
        <v>3.21</v>
      </c>
      <c r="D132" s="68">
        <v>2.33</v>
      </c>
      <c r="E132" s="68">
        <v>2.58</v>
      </c>
      <c r="F132" s="68">
        <v>3.87</v>
      </c>
    </row>
    <row r="133" spans="1:24" ht="14.25" thickBot="1" x14ac:dyDescent="0.3">
      <c r="A133" s="225" t="s">
        <v>37</v>
      </c>
      <c r="B133" s="274">
        <v>-0.19</v>
      </c>
      <c r="C133" s="274">
        <v>-3.16</v>
      </c>
      <c r="D133" s="274">
        <v>-0.13</v>
      </c>
      <c r="E133" s="274">
        <v>-0.2</v>
      </c>
      <c r="F133" s="274">
        <v>-0.2</v>
      </c>
    </row>
    <row r="134" spans="1:24" ht="14.25" thickBot="1" x14ac:dyDescent="0.3">
      <c r="A134" s="224" t="s">
        <v>38</v>
      </c>
      <c r="B134" s="68">
        <v>-1.88</v>
      </c>
      <c r="C134" s="68">
        <v>-0.87</v>
      </c>
      <c r="D134" s="68">
        <v>-2</v>
      </c>
      <c r="E134" s="68">
        <v>-1.45</v>
      </c>
      <c r="F134" s="68">
        <v>-1.96</v>
      </c>
    </row>
    <row r="135" spans="1:24" ht="14.25" thickBot="1" x14ac:dyDescent="0.3">
      <c r="A135" s="225" t="s">
        <v>270</v>
      </c>
      <c r="B135" s="274">
        <v>2.82</v>
      </c>
      <c r="C135" s="274">
        <v>0.05</v>
      </c>
      <c r="D135" s="274">
        <v>2.2000000000000002</v>
      </c>
      <c r="E135" s="274">
        <v>2.39</v>
      </c>
      <c r="F135" s="274">
        <v>3.67</v>
      </c>
    </row>
    <row r="136" spans="1:24" ht="14.25" thickBot="1" x14ac:dyDescent="0.3">
      <c r="A136" s="229" t="s">
        <v>39</v>
      </c>
      <c r="B136" s="72">
        <v>0.94</v>
      </c>
      <c r="C136" s="72">
        <v>-0.82</v>
      </c>
      <c r="D136" s="72">
        <v>0.2</v>
      </c>
      <c r="E136" s="72">
        <v>0.94</v>
      </c>
      <c r="F136" s="72">
        <v>1.71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</v>
      </c>
      <c r="C140" s="68">
        <v>2</v>
      </c>
      <c r="D140" s="68">
        <v>1.5</v>
      </c>
      <c r="E140" s="68">
        <v>2</v>
      </c>
      <c r="F140" s="68">
        <v>1.5</v>
      </c>
    </row>
    <row r="141" spans="1:24" ht="14.25" thickBot="1" x14ac:dyDescent="0.3">
      <c r="A141" s="227" t="s">
        <v>1</v>
      </c>
      <c r="B141" s="73">
        <v>1</v>
      </c>
      <c r="C141" s="73">
        <v>0</v>
      </c>
      <c r="D141" s="73">
        <v>0</v>
      </c>
      <c r="E141" s="73">
        <v>0</v>
      </c>
      <c r="F141" s="73">
        <v>1.1000000000000001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0.4504504504504504</v>
      </c>
      <c r="C142" s="234">
        <f>IF(C140&lt;&gt;"無",IF(ISNA(HLOOKUP(C139,$B$64:$F$69,6,FALSE)),"",C140/HLOOKUP(C139,$B$64:$F$69,6,FALSE)),"")</f>
        <v>1.0204081632653061</v>
      </c>
      <c r="D142" s="234">
        <f>IF(D140&lt;&gt;"無",IF(ISNA(HLOOKUP(D139,$B$64:$F$69,6,FALSE)),"",D140/HLOOKUP(D139,$B$64:$F$69,6,FALSE)),"")</f>
        <v>0.78534031413612571</v>
      </c>
      <c r="E142" s="234">
        <f>IF(E140&lt;&gt;"無",IF(ISNA(HLOOKUP(E139,$B$64:$F$69,6,FALSE)),"",E140/HLOOKUP(E139,$B$64:$F$69,6,FALSE)),"")</f>
        <v>0.79681274900398402</v>
      </c>
      <c r="F142" s="234">
        <f>IF(F140&lt;&gt;"無",IF(ISNA(HLOOKUP(F139,$B$64:$F$69,6,FALSE)),"",F140/HLOOKUP(F139,$B$64:$F$69,6,FALSE)),"")</f>
        <v>0.4854368932038835</v>
      </c>
    </row>
    <row r="143" spans="1:24" x14ac:dyDescent="0.25">
      <c r="A143" s="233" t="s">
        <v>216</v>
      </c>
      <c r="B143" s="234">
        <f>IF(OR(B140=0,B140="無"),"",B135/B140)</f>
        <v>2.82</v>
      </c>
      <c r="C143" s="234">
        <f>IF(OR(C140=0,C140="無"),"",C135/C140)</f>
        <v>2.5000000000000001E-2</v>
      </c>
      <c r="D143" s="234">
        <f>IF(OR(D140=0,D140="無"),"",D135/D140)</f>
        <v>1.4666666666666668</v>
      </c>
      <c r="E143" s="234">
        <f>IF(OR(E140=0,E140="無"),"",E135/E140)</f>
        <v>1.1950000000000001</v>
      </c>
      <c r="F143" s="234">
        <f>IF(OR(F140=0,F140="無"),"",F135/F140)</f>
        <v>2.4466666666666668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35.39</v>
      </c>
      <c r="C146" s="68">
        <v>33.53</v>
      </c>
      <c r="D146" s="68">
        <v>33.69</v>
      </c>
      <c r="E146" s="68">
        <v>29.88</v>
      </c>
      <c r="F146" s="68">
        <v>31.81</v>
      </c>
      <c r="G146" s="68">
        <v>33.72</v>
      </c>
      <c r="H146" s="68">
        <v>34.11</v>
      </c>
      <c r="I146" s="68">
        <v>30.16</v>
      </c>
      <c r="J146" s="68">
        <v>30.29</v>
      </c>
      <c r="K146" s="68">
        <v>31.38</v>
      </c>
      <c r="L146" s="68">
        <v>33.15</v>
      </c>
      <c r="M146" s="68">
        <v>28.72</v>
      </c>
      <c r="N146" s="68">
        <v>31.26</v>
      </c>
      <c r="O146" s="68">
        <v>36.06</v>
      </c>
      <c r="P146" s="68">
        <v>35.96</v>
      </c>
      <c r="Q146" s="68">
        <v>33.130000000000003</v>
      </c>
      <c r="R146" s="68">
        <v>33.04</v>
      </c>
      <c r="S146" s="68">
        <v>37.270000000000003</v>
      </c>
      <c r="T146" s="68">
        <v>38.56</v>
      </c>
      <c r="U146" s="68">
        <v>36.18</v>
      </c>
      <c r="V146" s="68">
        <v>35.89</v>
      </c>
      <c r="W146" s="68">
        <v>38.1</v>
      </c>
      <c r="X146" s="68">
        <v>40.33</v>
      </c>
    </row>
    <row r="147" spans="1:24" s="93" customFormat="1" ht="14.25" thickBot="1" x14ac:dyDescent="0.3">
      <c r="A147" s="225" t="s">
        <v>19</v>
      </c>
      <c r="B147" s="274">
        <v>16.48</v>
      </c>
      <c r="C147" s="274">
        <v>15.4</v>
      </c>
      <c r="D147" s="274">
        <v>13.26</v>
      </c>
      <c r="E147" s="274">
        <v>12.82</v>
      </c>
      <c r="F147" s="274">
        <v>14.23</v>
      </c>
      <c r="G147" s="274">
        <v>16.34</v>
      </c>
      <c r="H147" s="274">
        <v>14.81</v>
      </c>
      <c r="I147" s="274">
        <v>11.75</v>
      </c>
      <c r="J147" s="274">
        <v>12.8</v>
      </c>
      <c r="K147" s="274">
        <v>11.23</v>
      </c>
      <c r="L147" s="274">
        <v>15.28</v>
      </c>
      <c r="M147" s="274">
        <v>12.89</v>
      </c>
      <c r="N147" s="274">
        <v>13.32</v>
      </c>
      <c r="O147" s="274">
        <v>16.39</v>
      </c>
      <c r="P147" s="274">
        <v>20.420000000000002</v>
      </c>
      <c r="Q147" s="274">
        <v>16</v>
      </c>
      <c r="R147" s="274">
        <v>16.95</v>
      </c>
      <c r="S147" s="274">
        <v>19.32</v>
      </c>
      <c r="T147" s="274">
        <v>20.95</v>
      </c>
      <c r="U147" s="274">
        <v>19.91</v>
      </c>
      <c r="V147" s="274">
        <v>19.579999999999998</v>
      </c>
      <c r="W147" s="274">
        <v>21.65</v>
      </c>
      <c r="X147" s="274">
        <v>21.72</v>
      </c>
    </row>
    <row r="148" spans="1:24" s="93" customFormat="1" ht="14.25" thickBot="1" x14ac:dyDescent="0.3">
      <c r="A148" s="224" t="s">
        <v>41</v>
      </c>
      <c r="B148" s="68">
        <v>16.78</v>
      </c>
      <c r="C148" s="68">
        <v>16</v>
      </c>
      <c r="D148" s="68">
        <v>13.58</v>
      </c>
      <c r="E148" s="68">
        <v>12.94</v>
      </c>
      <c r="F148" s="68">
        <v>12.2</v>
      </c>
      <c r="G148" s="68">
        <v>16.73</v>
      </c>
      <c r="H148" s="68">
        <v>14.95</v>
      </c>
      <c r="I148" s="68">
        <v>11.85</v>
      </c>
      <c r="J148" s="68">
        <v>13.15</v>
      </c>
      <c r="K148" s="68">
        <v>11.65</v>
      </c>
      <c r="L148" s="68">
        <v>15.51</v>
      </c>
      <c r="M148" s="68">
        <v>12.97</v>
      </c>
      <c r="N148" s="68">
        <v>13.67</v>
      </c>
      <c r="O148" s="68">
        <v>16.62</v>
      </c>
      <c r="P148" s="68">
        <v>20.93</v>
      </c>
      <c r="Q148" s="68">
        <v>16.37</v>
      </c>
      <c r="R148" s="68">
        <v>17.440000000000001</v>
      </c>
      <c r="S148" s="68">
        <v>19.559999999999999</v>
      </c>
      <c r="T148" s="68">
        <v>21.2</v>
      </c>
      <c r="U148" s="68">
        <v>20.059999999999999</v>
      </c>
      <c r="V148" s="68">
        <v>19.66</v>
      </c>
      <c r="W148" s="68">
        <v>21.37</v>
      </c>
      <c r="X148" s="68">
        <v>22.03</v>
      </c>
    </row>
    <row r="149" spans="1:24" s="93" customFormat="1" ht="14.25" thickBot="1" x14ac:dyDescent="0.3">
      <c r="A149" s="225" t="s">
        <v>13</v>
      </c>
      <c r="B149" s="73">
        <v>13.97</v>
      </c>
      <c r="C149" s="73">
        <v>13.27</v>
      </c>
      <c r="D149" s="73">
        <v>11.34</v>
      </c>
      <c r="E149" s="73">
        <v>9.94</v>
      </c>
      <c r="F149" s="73">
        <v>9.99</v>
      </c>
      <c r="G149" s="73">
        <v>13.31</v>
      </c>
      <c r="H149" s="73">
        <v>10.49</v>
      </c>
      <c r="I149" s="73">
        <v>10.97</v>
      </c>
      <c r="J149" s="73">
        <v>10.89</v>
      </c>
      <c r="K149" s="73">
        <v>10.210000000000001</v>
      </c>
      <c r="L149" s="73">
        <v>12.88</v>
      </c>
      <c r="M149" s="73">
        <v>10.77</v>
      </c>
      <c r="N149" s="73">
        <v>11.31</v>
      </c>
      <c r="O149" s="73">
        <v>13.8</v>
      </c>
      <c r="P149" s="73">
        <v>16.829999999999998</v>
      </c>
      <c r="Q149" s="73">
        <v>13.6</v>
      </c>
      <c r="R149" s="73">
        <v>14.47</v>
      </c>
      <c r="S149" s="73">
        <v>16.239999999999998</v>
      </c>
      <c r="T149" s="73">
        <v>17.600000000000001</v>
      </c>
      <c r="U149" s="73">
        <v>16.010000000000002</v>
      </c>
      <c r="V149" s="73">
        <v>16.32</v>
      </c>
      <c r="W149" s="73">
        <v>17.739999999999998</v>
      </c>
      <c r="X149" s="73">
        <v>18.29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33.1</v>
      </c>
      <c r="C152" s="68">
        <v>32.46</v>
      </c>
      <c r="D152" s="68">
        <v>30.91</v>
      </c>
      <c r="E152" s="68">
        <v>34.14</v>
      </c>
      <c r="F152" s="68">
        <v>36.28</v>
      </c>
    </row>
    <row r="153" spans="1:24" s="93" customFormat="1" ht="14.25" thickBot="1" x14ac:dyDescent="0.3">
      <c r="A153" s="225" t="s">
        <v>19</v>
      </c>
      <c r="B153" s="274">
        <v>14.44</v>
      </c>
      <c r="C153" s="274">
        <v>14.27</v>
      </c>
      <c r="D153" s="274">
        <v>13.1</v>
      </c>
      <c r="E153" s="274">
        <v>16.63</v>
      </c>
      <c r="F153" s="274">
        <v>19.309999999999999</v>
      </c>
    </row>
    <row r="154" spans="1:24" s="93" customFormat="1" ht="14.25" thickBot="1" x14ac:dyDescent="0.3">
      <c r="A154" s="224" t="s">
        <v>41</v>
      </c>
      <c r="B154" s="68">
        <v>14.77</v>
      </c>
      <c r="C154" s="68">
        <v>13.94</v>
      </c>
      <c r="D154" s="68">
        <v>13.37</v>
      </c>
      <c r="E154" s="68">
        <v>16.989999999999998</v>
      </c>
      <c r="F154" s="68">
        <v>19.59</v>
      </c>
    </row>
    <row r="155" spans="1:24" s="93" customFormat="1" ht="14.25" thickBot="1" x14ac:dyDescent="0.3">
      <c r="A155" s="225" t="s">
        <v>13</v>
      </c>
      <c r="B155" s="73">
        <v>12.08</v>
      </c>
      <c r="C155" s="73">
        <v>11.18</v>
      </c>
      <c r="D155" s="73">
        <v>11.22</v>
      </c>
      <c r="E155" s="73">
        <v>13.96</v>
      </c>
      <c r="F155" s="73">
        <v>16.09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3.04</v>
      </c>
      <c r="C158" s="68">
        <v>2.82</v>
      </c>
      <c r="D158" s="68">
        <v>2.71</v>
      </c>
      <c r="E158" s="68">
        <v>2.31</v>
      </c>
      <c r="F158" s="68">
        <v>2.1800000000000002</v>
      </c>
      <c r="G158" s="68">
        <v>2.89</v>
      </c>
      <c r="H158" s="68">
        <v>2.37</v>
      </c>
      <c r="I158" s="68">
        <v>2.39</v>
      </c>
      <c r="J158" s="68">
        <v>2.2799999999999998</v>
      </c>
      <c r="K158" s="68">
        <v>2.14</v>
      </c>
      <c r="L158" s="68">
        <v>3.02</v>
      </c>
      <c r="M158" s="68">
        <v>2.5</v>
      </c>
      <c r="N158" s="68">
        <v>2.4700000000000002</v>
      </c>
      <c r="O158" s="68">
        <v>3.02</v>
      </c>
      <c r="P158" s="68">
        <v>3.99</v>
      </c>
      <c r="Q158" s="68">
        <v>3.19</v>
      </c>
      <c r="R158" s="68">
        <v>3.3</v>
      </c>
      <c r="S158" s="68">
        <v>3.48</v>
      </c>
      <c r="T158" s="68">
        <v>4.0999999999999996</v>
      </c>
      <c r="U158" s="68">
        <v>3.74</v>
      </c>
      <c r="V158" s="68">
        <v>3.52</v>
      </c>
      <c r="W158" s="68">
        <v>3.62</v>
      </c>
      <c r="X158" s="68">
        <v>3.96</v>
      </c>
    </row>
    <row r="159" spans="1:24" s="93" customFormat="1" ht="14.25" thickBot="1" x14ac:dyDescent="0.3">
      <c r="A159" s="225" t="s">
        <v>45</v>
      </c>
      <c r="B159" s="73">
        <v>3.64</v>
      </c>
      <c r="C159" s="73">
        <v>3.53</v>
      </c>
      <c r="D159" s="73">
        <v>3.42</v>
      </c>
      <c r="E159" s="73">
        <v>2.77</v>
      </c>
      <c r="F159" s="73">
        <v>2.6</v>
      </c>
      <c r="G159" s="73">
        <v>3.54</v>
      </c>
      <c r="H159" s="73">
        <v>2.97</v>
      </c>
      <c r="I159" s="73">
        <v>2.91</v>
      </c>
      <c r="J159" s="73">
        <v>2.68</v>
      </c>
      <c r="K159" s="73">
        <v>2.66</v>
      </c>
      <c r="L159" s="73">
        <v>3.81</v>
      </c>
      <c r="M159" s="73">
        <v>2.99</v>
      </c>
      <c r="N159" s="73">
        <v>2.94</v>
      </c>
      <c r="O159" s="73">
        <v>3.74</v>
      </c>
      <c r="P159" s="73">
        <v>4.99</v>
      </c>
      <c r="Q159" s="73">
        <v>3.85</v>
      </c>
      <c r="R159" s="73">
        <v>3.97</v>
      </c>
      <c r="S159" s="73">
        <v>4.37</v>
      </c>
      <c r="T159" s="73">
        <v>5.16</v>
      </c>
      <c r="U159" s="73">
        <v>4.51</v>
      </c>
      <c r="V159" s="73">
        <v>4.24</v>
      </c>
      <c r="W159" s="73">
        <v>4.46</v>
      </c>
      <c r="X159" s="73">
        <v>4.92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12.08</v>
      </c>
      <c r="C162" s="68">
        <v>11.18</v>
      </c>
      <c r="D162" s="68">
        <v>11.22</v>
      </c>
      <c r="E162" s="68">
        <v>13.96</v>
      </c>
      <c r="F162" s="68">
        <v>16.09</v>
      </c>
    </row>
    <row r="163" spans="1:72" s="93" customFormat="1" ht="14.25" thickBot="1" x14ac:dyDescent="0.3">
      <c r="A163" s="225" t="s">
        <v>18</v>
      </c>
      <c r="B163" s="274">
        <v>0.9</v>
      </c>
      <c r="C163" s="274">
        <v>0.86</v>
      </c>
      <c r="D163" s="274">
        <v>0.88</v>
      </c>
      <c r="E163" s="274">
        <v>0.87</v>
      </c>
      <c r="F163" s="274">
        <v>0.87</v>
      </c>
    </row>
    <row r="164" spans="1:72" s="93" customFormat="1" ht="14.25" thickBot="1" x14ac:dyDescent="0.3">
      <c r="A164" s="224" t="s">
        <v>15</v>
      </c>
      <c r="B164" s="68">
        <v>1.2</v>
      </c>
      <c r="C164" s="68">
        <v>1.2</v>
      </c>
      <c r="D164" s="68">
        <v>1.21</v>
      </c>
      <c r="E164" s="68">
        <v>1.22</v>
      </c>
      <c r="F164" s="68">
        <v>1.22</v>
      </c>
    </row>
    <row r="165" spans="1:72" s="93" customFormat="1" ht="14.25" thickBot="1" x14ac:dyDescent="0.3">
      <c r="A165" s="225" t="s">
        <v>45</v>
      </c>
      <c r="B165" s="73">
        <v>13.21</v>
      </c>
      <c r="C165" s="73">
        <v>11.84</v>
      </c>
      <c r="D165" s="73">
        <v>11.89</v>
      </c>
      <c r="E165" s="73">
        <v>15.24</v>
      </c>
      <c r="F165" s="73">
        <v>17.670000000000002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39.47</v>
      </c>
      <c r="C168" s="68">
        <v>40.72</v>
      </c>
      <c r="D168" s="68">
        <v>38.96</v>
      </c>
      <c r="E168" s="68">
        <v>41.1</v>
      </c>
      <c r="F168" s="68">
        <v>40.54</v>
      </c>
      <c r="G168" s="68">
        <v>38.79</v>
      </c>
      <c r="H168" s="68">
        <v>38.14</v>
      </c>
      <c r="I168" s="68">
        <v>38.96</v>
      </c>
      <c r="J168" s="68">
        <v>38.46</v>
      </c>
      <c r="K168" s="68">
        <v>37.82</v>
      </c>
      <c r="L168" s="68">
        <v>36.29</v>
      </c>
      <c r="M168" s="68">
        <v>37.5</v>
      </c>
      <c r="N168" s="68">
        <v>36.14</v>
      </c>
      <c r="O168" s="68">
        <v>35.86</v>
      </c>
      <c r="P168" s="68">
        <v>36.44</v>
      </c>
      <c r="Q168" s="68">
        <v>38.46</v>
      </c>
      <c r="R168" s="68">
        <v>37.97</v>
      </c>
      <c r="S168" s="68">
        <v>37.5</v>
      </c>
      <c r="T168" s="68">
        <v>34.880000000000003</v>
      </c>
      <c r="U168" s="68">
        <v>36.590000000000003</v>
      </c>
      <c r="V168" s="68">
        <v>38.46</v>
      </c>
      <c r="W168" s="68">
        <v>39.299999999999997</v>
      </c>
      <c r="X168" s="68">
        <v>36.14</v>
      </c>
    </row>
    <row r="169" spans="1:72" s="93" customFormat="1" ht="14.25" thickBot="1" x14ac:dyDescent="0.3">
      <c r="A169" s="225" t="s">
        <v>17</v>
      </c>
      <c r="B169" s="274">
        <v>15.28</v>
      </c>
      <c r="C169" s="274">
        <v>13.89</v>
      </c>
      <c r="D169" s="274">
        <v>11.44</v>
      </c>
      <c r="E169" s="274">
        <v>11.55</v>
      </c>
      <c r="F169" s="274">
        <v>13.24</v>
      </c>
      <c r="G169" s="274">
        <v>13.95</v>
      </c>
      <c r="H169" s="274">
        <v>12.91</v>
      </c>
      <c r="I169" s="274">
        <v>13.53</v>
      </c>
      <c r="J169" s="274">
        <v>15.57</v>
      </c>
      <c r="K169" s="274">
        <v>16.100000000000001</v>
      </c>
      <c r="L169" s="274">
        <v>15.25</v>
      </c>
      <c r="M169" s="274">
        <v>14.73</v>
      </c>
      <c r="N169" s="274">
        <v>18.18</v>
      </c>
      <c r="O169" s="274">
        <v>20.27</v>
      </c>
      <c r="P169" s="274">
        <v>17.649999999999999</v>
      </c>
      <c r="Q169" s="274">
        <v>16.82</v>
      </c>
      <c r="R169" s="274">
        <v>15.82</v>
      </c>
      <c r="S169" s="274">
        <v>15.93</v>
      </c>
      <c r="T169" s="274">
        <v>13.76</v>
      </c>
      <c r="U169" s="274">
        <v>13.7</v>
      </c>
      <c r="V169" s="274">
        <v>15.44</v>
      </c>
      <c r="W169" s="274">
        <v>16.64</v>
      </c>
      <c r="X169" s="274">
        <v>16.61</v>
      </c>
    </row>
    <row r="170" spans="1:72" s="93" customFormat="1" ht="14.25" thickBot="1" x14ac:dyDescent="0.3">
      <c r="A170" s="224" t="s">
        <v>42</v>
      </c>
      <c r="B170" s="72">
        <v>54.75</v>
      </c>
      <c r="C170" s="72">
        <v>54.61</v>
      </c>
      <c r="D170" s="72">
        <v>50.4</v>
      </c>
      <c r="E170" s="72">
        <v>52.65</v>
      </c>
      <c r="F170" s="72">
        <v>53.78</v>
      </c>
      <c r="G170" s="72">
        <v>52.75</v>
      </c>
      <c r="H170" s="72">
        <v>51.05</v>
      </c>
      <c r="I170" s="72">
        <v>52.49</v>
      </c>
      <c r="J170" s="72">
        <v>54.03</v>
      </c>
      <c r="K170" s="72">
        <v>53.92</v>
      </c>
      <c r="L170" s="72">
        <v>51.54</v>
      </c>
      <c r="M170" s="72">
        <v>52.23</v>
      </c>
      <c r="N170" s="72">
        <v>54.33</v>
      </c>
      <c r="O170" s="72">
        <v>56.13</v>
      </c>
      <c r="P170" s="72">
        <v>54.08</v>
      </c>
      <c r="Q170" s="72">
        <v>55.28</v>
      </c>
      <c r="R170" s="72">
        <v>53.79</v>
      </c>
      <c r="S170" s="72">
        <v>53.43</v>
      </c>
      <c r="T170" s="72">
        <v>48.65</v>
      </c>
      <c r="U170" s="72">
        <v>50.28</v>
      </c>
      <c r="V170" s="72">
        <v>53.9</v>
      </c>
      <c r="W170" s="72">
        <v>55.94</v>
      </c>
      <c r="X170" s="72">
        <v>52.75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136.1</v>
      </c>
      <c r="C173" s="72">
        <v>172.78</v>
      </c>
      <c r="D173" s="72">
        <v>122.55</v>
      </c>
      <c r="E173" s="72">
        <v>102.96</v>
      </c>
      <c r="F173" s="72">
        <v>125.09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14.47</v>
      </c>
      <c r="C176" s="72">
        <v>14.88</v>
      </c>
      <c r="D176" s="72">
        <v>15.34</v>
      </c>
      <c r="E176" s="72">
        <v>17.28</v>
      </c>
      <c r="F176" s="72">
        <v>16.43</v>
      </c>
      <c r="G176" s="72">
        <v>16.28</v>
      </c>
      <c r="H176" s="72">
        <v>17.23</v>
      </c>
      <c r="I176" s="72">
        <v>15.66</v>
      </c>
      <c r="J176" s="72">
        <v>16.47</v>
      </c>
      <c r="K176" s="72">
        <v>16.68</v>
      </c>
      <c r="L176" s="72">
        <v>16.05</v>
      </c>
      <c r="M176" s="72">
        <v>16.329999999999998</v>
      </c>
      <c r="N176" s="72">
        <v>16.59</v>
      </c>
      <c r="O176" s="72">
        <v>17.12</v>
      </c>
      <c r="P176" s="72">
        <v>18.2</v>
      </c>
      <c r="Q176" s="72">
        <v>19.03</v>
      </c>
      <c r="R176" s="72">
        <v>20.3</v>
      </c>
      <c r="S176" s="72">
        <v>20</v>
      </c>
      <c r="T176" s="72">
        <v>20.54</v>
      </c>
      <c r="U176" s="72">
        <v>20.84</v>
      </c>
      <c r="V176" s="72">
        <v>20.03</v>
      </c>
      <c r="W176" s="72">
        <v>19.82</v>
      </c>
      <c r="X176" s="72">
        <v>21.61</v>
      </c>
      <c r="Y176" s="72">
        <v>21.41</v>
      </c>
      <c r="Z176" s="72">
        <v>21.35</v>
      </c>
      <c r="AA176" s="72">
        <v>21.36</v>
      </c>
      <c r="AB176" s="72">
        <v>21.26</v>
      </c>
      <c r="AC176" s="72">
        <v>21.26</v>
      </c>
      <c r="AD176" s="72">
        <v>20.48</v>
      </c>
      <c r="AE176" s="72">
        <v>20.57</v>
      </c>
      <c r="AF176" s="72">
        <v>20.69</v>
      </c>
      <c r="AG176" s="72">
        <v>21.69</v>
      </c>
      <c r="AH176" s="72">
        <v>21.75</v>
      </c>
      <c r="AI176" s="72">
        <v>21.55</v>
      </c>
      <c r="AJ176" s="72">
        <v>19.97</v>
      </c>
      <c r="AK176" s="72">
        <v>19.93</v>
      </c>
      <c r="AL176" s="72">
        <v>19.95</v>
      </c>
      <c r="AM176" s="72">
        <v>19.989999999999998</v>
      </c>
      <c r="AN176" s="72">
        <v>19.940000000000001</v>
      </c>
      <c r="AO176" s="72">
        <v>19.87</v>
      </c>
      <c r="AP176" s="72">
        <v>19.260000000000002</v>
      </c>
      <c r="AQ176" s="72">
        <v>19.309999999999999</v>
      </c>
      <c r="AR176" s="72">
        <v>19.02</v>
      </c>
      <c r="AS176" s="72">
        <v>17.11</v>
      </c>
      <c r="AT176" s="72">
        <v>17.18</v>
      </c>
      <c r="AU176" s="72">
        <v>17.309999999999999</v>
      </c>
      <c r="AV176" s="72">
        <v>16.38</v>
      </c>
      <c r="AW176" s="72">
        <v>16.66</v>
      </c>
      <c r="AX176" s="72">
        <v>16.579999999999998</v>
      </c>
      <c r="AY176" s="72">
        <v>16.93</v>
      </c>
      <c r="AZ176" s="72">
        <v>16.13</v>
      </c>
      <c r="BA176" s="72">
        <v>16.3</v>
      </c>
      <c r="BB176" s="72">
        <v>15.01</v>
      </c>
      <c r="BC176" s="72">
        <v>15.32</v>
      </c>
      <c r="BD176" s="72">
        <v>15.75</v>
      </c>
      <c r="BE176" s="72">
        <v>15.28</v>
      </c>
      <c r="BF176" s="72">
        <v>15.45</v>
      </c>
      <c r="BG176" s="72">
        <v>15.58</v>
      </c>
      <c r="BH176" s="72">
        <v>16.100000000000001</v>
      </c>
      <c r="BI176" s="72">
        <v>16.89</v>
      </c>
      <c r="BJ176" s="72">
        <v>16.71</v>
      </c>
      <c r="BK176" s="72">
        <v>16.79</v>
      </c>
      <c r="BL176" s="72">
        <v>17.25</v>
      </c>
      <c r="BM176" s="72">
        <v>18.670000000000002</v>
      </c>
      <c r="BN176" s="72">
        <v>18.559999999999999</v>
      </c>
      <c r="BO176" s="72">
        <v>18.7</v>
      </c>
      <c r="BP176" s="72">
        <v>20.65</v>
      </c>
      <c r="BQ176" s="72">
        <v>22.11</v>
      </c>
      <c r="BR176" s="72">
        <v>21.88</v>
      </c>
      <c r="BS176" s="72">
        <v>21.84</v>
      </c>
      <c r="BT176" s="72">
        <v>21.5</v>
      </c>
    </row>
  </sheetData>
  <phoneticPr fontId="3" type="noConversion"/>
  <conditionalFormatting sqref="E4">
    <cfRule type="cellIs" dxfId="3824" priority="103" operator="greaterThan">
      <formula>0.2</formula>
    </cfRule>
    <cfRule type="cellIs" dxfId="382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382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821" priority="97" operator="greaterThan">
      <formula>$B$19</formula>
    </cfRule>
  </conditionalFormatting>
  <conditionalFormatting sqref="D33:D34">
    <cfRule type="cellIs" dxfId="382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3819" priority="91" operator="lessThan">
      <formula>$H$62</formula>
    </cfRule>
    <cfRule type="cellIs" dxfId="3818" priority="92" operator="greaterThan">
      <formula>$H$62</formula>
    </cfRule>
  </conditionalFormatting>
  <conditionalFormatting sqref="J62">
    <cfRule type="cellIs" dxfId="3817" priority="89" operator="lessThan">
      <formula>$K$62</formula>
    </cfRule>
    <cfRule type="cellIs" dxfId="3816" priority="90" operator="greaterThan">
      <formula>$K$62</formula>
    </cfRule>
  </conditionalFormatting>
  <conditionalFormatting sqref="M62">
    <cfRule type="cellIs" dxfId="3815" priority="87" operator="lessThan">
      <formula>$N$62</formula>
    </cfRule>
    <cfRule type="cellIs" dxfId="3814" priority="88" operator="greaterThan">
      <formula>$N$62</formula>
    </cfRule>
  </conditionalFormatting>
  <conditionalFormatting sqref="B44:E44">
    <cfRule type="cellIs" dxfId="3813" priority="85" operator="greaterThan">
      <formula>0</formula>
    </cfRule>
    <cfRule type="cellIs" dxfId="3812" priority="86" operator="lessThan">
      <formula>0</formula>
    </cfRule>
  </conditionalFormatting>
  <conditionalFormatting sqref="F72">
    <cfRule type="cellIs" dxfId="3811" priority="84" operator="lessThan">
      <formula>$E$72*90%</formula>
    </cfRule>
  </conditionalFormatting>
  <conditionalFormatting sqref="F73">
    <cfRule type="cellIs" dxfId="3810" priority="83" operator="lessThan">
      <formula>$E$73*90%</formula>
    </cfRule>
  </conditionalFormatting>
  <conditionalFormatting sqref="F74">
    <cfRule type="cellIs" dxfId="3809" priority="82" operator="lessThan">
      <formula>$E$74*90%</formula>
    </cfRule>
  </conditionalFormatting>
  <conditionalFormatting sqref="F75">
    <cfRule type="cellIs" dxfId="3808" priority="81" operator="lessThan">
      <formula>$E$75*90%</formula>
    </cfRule>
  </conditionalFormatting>
  <conditionalFormatting sqref="H44:K44">
    <cfRule type="cellIs" dxfId="3807" priority="79" operator="greaterThan">
      <formula>0</formula>
    </cfRule>
    <cfRule type="cellIs" dxfId="3806" priority="80" operator="lessThan">
      <formula>0</formula>
    </cfRule>
  </conditionalFormatting>
  <conditionalFormatting sqref="H51:K51">
    <cfRule type="cellIs" dxfId="3805" priority="77" operator="greaterThan">
      <formula>0</formula>
    </cfRule>
    <cfRule type="cellIs" dxfId="3804" priority="78" operator="lessThan">
      <formula>0</formula>
    </cfRule>
  </conditionalFormatting>
  <conditionalFormatting sqref="B51:E51">
    <cfRule type="cellIs" dxfId="3803" priority="75" operator="greaterThan">
      <formula>0</formula>
    </cfRule>
    <cfRule type="cellIs" dxfId="380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80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80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799" priority="58" operator="lessThan">
      <formula>0</formula>
    </cfRule>
  </conditionalFormatting>
  <conditionalFormatting sqref="A25 E25 C25">
    <cfRule type="cellIs" dxfId="3798" priority="59" operator="lessThan">
      <formula>0</formula>
    </cfRule>
  </conditionalFormatting>
  <conditionalFormatting sqref="F25">
    <cfRule type="cellIs" dxfId="3797" priority="57" operator="lessThan">
      <formula>0</formula>
    </cfRule>
  </conditionalFormatting>
  <conditionalFormatting sqref="E1">
    <cfRule type="containsText" dxfId="3796" priority="56" operator="containsText" text="本季業外損益/平均=-">
      <formula>NOT(ISERROR(SEARCH("本季業外損益/平均=-",E1)))</formula>
    </cfRule>
  </conditionalFormatting>
  <conditionalFormatting sqref="M65">
    <cfRule type="cellIs" dxfId="3795" priority="55" operator="lessThan">
      <formula>$L$65*90%</formula>
    </cfRule>
  </conditionalFormatting>
  <conditionalFormatting sqref="M66">
    <cfRule type="cellIs" dxfId="3794" priority="54" operator="lessThan">
      <formula>$L$66*90%</formula>
    </cfRule>
  </conditionalFormatting>
  <conditionalFormatting sqref="M67">
    <cfRule type="cellIs" dxfId="3793" priority="53" operator="lessThan">
      <formula>$L$67*90%</formula>
    </cfRule>
  </conditionalFormatting>
  <conditionalFormatting sqref="M68">
    <cfRule type="cellIs" dxfId="3792" priority="52" operator="lessThan">
      <formula>$L$68*90%</formula>
    </cfRule>
  </conditionalFormatting>
  <conditionalFormatting sqref="B60">
    <cfRule type="cellIs" dxfId="3791" priority="51" operator="lessThan">
      <formula>0</formula>
    </cfRule>
  </conditionalFormatting>
  <conditionalFormatting sqref="B59:F59">
    <cfRule type="cellIs" dxfId="3790" priority="50" operator="lessThanOrEqual">
      <formula>0</formula>
    </cfRule>
  </conditionalFormatting>
  <conditionalFormatting sqref="D62">
    <cfRule type="cellIs" dxfId="3789" priority="48" operator="lessThan">
      <formula>$E$62</formula>
    </cfRule>
    <cfRule type="cellIs" dxfId="3788" priority="49" operator="greaterThan">
      <formula>$E$62</formula>
    </cfRule>
  </conditionalFormatting>
  <conditionalFormatting sqref="F69">
    <cfRule type="cellIs" dxfId="3787" priority="46" operator="lessThan">
      <formula>0</formula>
    </cfRule>
  </conditionalFormatting>
  <conditionalFormatting sqref="B65:E67 B69:E69 B68:D68">
    <cfRule type="cellIs" dxfId="3786" priority="47" operator="lessThan">
      <formula>0</formula>
    </cfRule>
  </conditionalFormatting>
  <conditionalFormatting sqref="E68">
    <cfRule type="cellIs" dxfId="3785" priority="45" operator="lessThan">
      <formula>0</formula>
    </cfRule>
  </conditionalFormatting>
  <conditionalFormatting sqref="F65:F68">
    <cfRule type="cellIs" dxfId="3784" priority="44" operator="lessThan">
      <formula>0</formula>
    </cfRule>
  </conditionalFormatting>
  <conditionalFormatting sqref="F65:F68">
    <cfRule type="cellIs" dxfId="3783" priority="43" operator="lessThan">
      <formula>$E$65*0.9</formula>
    </cfRule>
  </conditionalFormatting>
  <conditionalFormatting sqref="F66">
    <cfRule type="cellIs" dxfId="3782" priority="42" operator="lessThan">
      <formula>$E$66*0.9</formula>
    </cfRule>
  </conditionalFormatting>
  <conditionalFormatting sqref="F67:F68">
    <cfRule type="cellIs" dxfId="3781" priority="41" operator="lessThan">
      <formula>$E$67*0.9</formula>
    </cfRule>
  </conditionalFormatting>
  <conditionalFormatting sqref="F68">
    <cfRule type="cellIs" dxfId="3780" priority="40" operator="lessThan">
      <formula>$E$68*0.9</formula>
    </cfRule>
  </conditionalFormatting>
  <conditionalFormatting sqref="B13:F13">
    <cfRule type="cellIs" dxfId="3779" priority="29" operator="greaterThan">
      <formula>$I$16</formula>
    </cfRule>
    <cfRule type="cellIs" dxfId="3778" priority="30" operator="lessThanOrEqual">
      <formula>$I$16</formula>
    </cfRule>
  </conditionalFormatting>
  <conditionalFormatting sqref="B10:F10">
    <cfRule type="cellIs" dxfId="3777" priority="31" operator="greaterThan">
      <formula>15</formula>
    </cfRule>
    <cfRule type="cellIs" dxfId="3776" priority="38" operator="lessThan">
      <formula>$I$9</formula>
    </cfRule>
    <cfRule type="cellIs" dxfId="3775" priority="39" operator="greaterThan">
      <formula>$I$9</formula>
    </cfRule>
  </conditionalFormatting>
  <conditionalFormatting sqref="B16:F16">
    <cfRule type="cellIs" dxfId="3774" priority="36" operator="greaterThan">
      <formula>$I$16</formula>
    </cfRule>
    <cfRule type="cellIs" dxfId="3773" priority="37" operator="lessThanOrEqual">
      <formula>$I$16</formula>
    </cfRule>
  </conditionalFormatting>
  <conditionalFormatting sqref="B15:F15">
    <cfRule type="cellIs" dxfId="3772" priority="34" operator="lessThanOrEqual">
      <formula>$I$16</formula>
    </cfRule>
    <cfRule type="cellIs" dxfId="3771" priority="35" operator="greaterThan">
      <formula>$I$16</formula>
    </cfRule>
  </conditionalFormatting>
  <conditionalFormatting sqref="B14:F14">
    <cfRule type="cellIs" dxfId="3770" priority="32" operator="greaterThan">
      <formula>$I$16</formula>
    </cfRule>
    <cfRule type="cellIs" dxfId="3769" priority="33" operator="lessThanOrEqual">
      <formula>$I$16</formula>
    </cfRule>
  </conditionalFormatting>
  <conditionalFormatting sqref="K6">
    <cfRule type="containsText" dxfId="3768" priority="27" operator="containsText" text="衰退">
      <formula>NOT(ISERROR(SEARCH("衰退",K6)))</formula>
    </cfRule>
    <cfRule type="containsText" dxfId="3767" priority="28" operator="containsText" text="成長">
      <formula>NOT(ISERROR(SEARCH("成長",K6)))</formula>
    </cfRule>
  </conditionalFormatting>
  <conditionalFormatting sqref="I4:K4">
    <cfRule type="cellIs" dxfId="3766" priority="25" operator="lessThan">
      <formula>0</formula>
    </cfRule>
    <cfRule type="cellIs" dxfId="376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764" priority="22" operator="lessThanOrEqual">
      <formula>$I$16</formula>
    </cfRule>
    <cfRule type="cellIs" dxfId="3763" priority="23" operator="greaterThan">
      <formula>$I$16</formula>
    </cfRule>
  </conditionalFormatting>
  <conditionalFormatting sqref="I6">
    <cfRule type="containsText" dxfId="3762" priority="20" operator="containsText" text="衰退">
      <formula>NOT(ISERROR(SEARCH("衰退",I6)))</formula>
    </cfRule>
    <cfRule type="containsText" dxfId="3761" priority="21" operator="containsText" text="成長">
      <formula>NOT(ISERROR(SEARCH("成長",I6)))</formula>
    </cfRule>
  </conditionalFormatting>
  <conditionalFormatting sqref="M9">
    <cfRule type="cellIs" dxfId="3760" priority="19" operator="lessThan">
      <formula>$I$9</formula>
    </cfRule>
  </conditionalFormatting>
  <conditionalFormatting sqref="M10">
    <cfRule type="cellIs" dxfId="3759" priority="18" operator="greaterThan">
      <formula>$I$9</formula>
    </cfRule>
  </conditionalFormatting>
  <conditionalFormatting sqref="M11">
    <cfRule type="cellIs" dxfId="375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757" priority="14" operator="lessThan">
      <formula>0</formula>
    </cfRule>
    <cfRule type="cellIs" dxfId="3756" priority="15" operator="greaterThan">
      <formula>0.5</formula>
    </cfRule>
  </conditionalFormatting>
  <conditionalFormatting sqref="N14">
    <cfRule type="cellIs" dxfId="375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754" priority="10" operator="lessThan">
      <formula>0.1</formula>
    </cfRule>
  </conditionalFormatting>
  <conditionalFormatting sqref="I14">
    <cfRule type="cellIs" dxfId="375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75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751" priority="1" operator="lessThan">
      <formula>$N$5*0.9</formula>
    </cfRule>
    <cfRule type="cellIs" dxfId="3750" priority="2" operator="greaterThan">
      <formula>$N$5*1.1</formula>
    </cfRule>
  </conditionalFormatting>
  <hyperlinks>
    <hyperlink ref="L1" location="儀表板!A1" display="(回首頁)" xr:uid="{00000000-0004-0000-3500-000000000000}"/>
  </hyperlink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7.09 ~ 14.34</v>
      </c>
      <c r="L1" s="83" t="s">
        <v>176</v>
      </c>
      <c r="M1" s="84" t="str">
        <f ca="1">VLOOKUP(_xlfn.NUMBERVALUE(N1),儀表板!A:B,2,FALSE)</f>
        <v>東隆興業</v>
      </c>
      <c r="N1" s="85" t="str">
        <f ca="1">MID(CELL("filename",L1),FIND("]",CELL("filename",L1))+1,255)</f>
        <v>4401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0.18424966242107951</v>
      </c>
    </row>
    <row r="3" spans="1:15" s="93" customFormat="1" x14ac:dyDescent="0.25">
      <c r="A3" s="81" t="s">
        <v>179</v>
      </c>
      <c r="B3" s="94">
        <f>SUM(F19:F22,F24:F27,J19)</f>
        <v>70.421611294228427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81.926181198330511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84.490667585757294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94.840201935015372</v>
      </c>
      <c r="L3" s="100"/>
      <c r="M3" s="79" t="s">
        <v>385</v>
      </c>
      <c r="N3" s="92">
        <f>(F69-E69)/E69</f>
        <v>6.4622417066293167E-2</v>
      </c>
    </row>
    <row r="4" spans="1:15" s="93" customFormat="1" x14ac:dyDescent="0.25">
      <c r="A4" s="81" t="s">
        <v>182</v>
      </c>
      <c r="B4" s="96">
        <f>SUM(G36:G40)*2</f>
        <v>72</v>
      </c>
      <c r="C4" s="101"/>
      <c r="D4" s="102">
        <f>F4*(1+F141/10)</f>
        <v>12</v>
      </c>
      <c r="E4" s="82">
        <f>(D4-F4)/F4</f>
        <v>0</v>
      </c>
      <c r="F4" s="103">
        <v>12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4.6523999625797012</v>
      </c>
    </row>
    <row r="5" spans="1:15" s="93" customFormat="1" x14ac:dyDescent="0.25">
      <c r="A5" s="81" t="s">
        <v>184</v>
      </c>
      <c r="B5" s="107">
        <f>SUM(F30:F34)*2</f>
        <v>94.488815642458107</v>
      </c>
      <c r="C5" s="87"/>
      <c r="D5" s="87"/>
      <c r="E5" s="87"/>
      <c r="F5" s="86"/>
      <c r="G5" s="88"/>
      <c r="M5" s="79" t="s">
        <v>386</v>
      </c>
      <c r="N5" s="152">
        <f>D62</f>
        <v>4.4700000000000006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4.7617663627730913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37.590000000000003</v>
      </c>
      <c r="N9" s="129"/>
    </row>
    <row r="10" spans="1:15" s="93" customFormat="1" x14ac:dyDescent="0.25">
      <c r="A10" s="123" t="s">
        <v>194</v>
      </c>
      <c r="B10" s="126">
        <f>PERCENTILE(176:176,B9)</f>
        <v>15.19</v>
      </c>
      <c r="C10" s="126">
        <f>PERCENTILE(176:176,C9)</f>
        <v>17.89</v>
      </c>
      <c r="D10" s="126">
        <f>PERCENTILE(176:176,D9)</f>
        <v>18.45</v>
      </c>
      <c r="E10" s="126">
        <f>PERCENTILE(176:176,E9)</f>
        <v>20.71</v>
      </c>
      <c r="F10" s="126">
        <f>PERCENTILE(176:176,F9)</f>
        <v>23.55</v>
      </c>
      <c r="G10" s="95"/>
      <c r="H10" s="135"/>
      <c r="I10" s="135"/>
      <c r="J10" s="135"/>
      <c r="K10" s="135"/>
      <c r="L10" s="136" t="s">
        <v>374</v>
      </c>
      <c r="M10" s="130">
        <f>MIN(176:176)</f>
        <v>5.94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21.29</v>
      </c>
      <c r="L11" s="272" t="s">
        <v>193</v>
      </c>
      <c r="M11" s="128">
        <f>STDEV(176:176)</f>
        <v>6.7941484439531301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50.420168067226896</v>
      </c>
      <c r="C13" s="141">
        <f>$B$34/5.88%</f>
        <v>61.224489795918373</v>
      </c>
      <c r="D13" s="141">
        <f>$B$34/5%</f>
        <v>72</v>
      </c>
      <c r="E13" s="141">
        <f>$B$34/4.35%</f>
        <v>82.758620689655174</v>
      </c>
      <c r="F13" s="141">
        <f>$B$34/3.85%</f>
        <v>93.506493506493513</v>
      </c>
      <c r="G13" s="138" t="str">
        <f>"$"&amp;ROUND(B34,2)&amp;"/"&amp;IF(STDEV(C140:F140)/AVERAGE(C140:F140)&lt;15%,"高",IF(STDEV(C140:F140)/AVERAGE(C140:F140)&lt;30%,"中","低"))</f>
        <v>$3.6/高</v>
      </c>
      <c r="H13" s="142" t="s">
        <v>199</v>
      </c>
      <c r="I13" s="143">
        <f>MAX(0,1-J15)</f>
        <v>0.17620137299771166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67.975250000000003</v>
      </c>
      <c r="C14" s="141">
        <f>$B$33*C10</f>
        <v>80.057750000000013</v>
      </c>
      <c r="D14" s="141">
        <f>$B$33*D10</f>
        <v>82.563750000000013</v>
      </c>
      <c r="E14" s="141">
        <f>$B$33*E10</f>
        <v>92.677250000000015</v>
      </c>
      <c r="F14" s="141">
        <f>$B$33*F10</f>
        <v>105.38625000000002</v>
      </c>
      <c r="G14" s="138" t="str">
        <f>"$"&amp;ROUND(B33,2)&amp;"/"&amp;IF(STDEV(B69:E69)/AVERAGE(B69:E69)&lt;15%,"高",IF(STDEV(B69:E69)/AVERAGE(B69:E69)&lt;30%,"中","低"))</f>
        <v>$4.48/中</v>
      </c>
      <c r="H14" s="142" t="s">
        <v>203</v>
      </c>
      <c r="I14" s="145">
        <f>G62/100*I13</f>
        <v>3.7002288329519448E-2</v>
      </c>
      <c r="J14" s="76" t="s">
        <v>204</v>
      </c>
      <c r="K14" s="146"/>
      <c r="L14" s="147">
        <f>(HLOOKUP($C$1,$105:$106,2,FALSE)-HLOOKUP($C$1,$117:$127,9,FALSE))/(HLOOKUP($C$1,$117:$128,12,FALSE)/K11)</f>
        <v>-1.8588543471828094</v>
      </c>
      <c r="M14" s="148">
        <f>E135/E69</f>
        <v>0.9565217391304347</v>
      </c>
      <c r="N14" s="149">
        <f>F173/100</f>
        <v>1.5119999999999998</v>
      </c>
    </row>
    <row r="15" spans="1:15" s="93" customFormat="1" x14ac:dyDescent="0.25">
      <c r="A15" s="140" t="s">
        <v>375</v>
      </c>
      <c r="B15" s="141">
        <f>$D$62*B10</f>
        <v>67.899300000000011</v>
      </c>
      <c r="C15" s="141">
        <f>$D$62*C10</f>
        <v>79.968300000000013</v>
      </c>
      <c r="D15" s="141">
        <f>$D$62*D10</f>
        <v>82.471500000000006</v>
      </c>
      <c r="E15" s="141">
        <f>$D$62*E10</f>
        <v>92.573700000000017</v>
      </c>
      <c r="F15" s="141">
        <f>$D$62*F10</f>
        <v>105.26850000000002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0.82379862700228834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70.669955431585663</v>
      </c>
      <c r="C16" s="141">
        <f>$F$69*C10</f>
        <v>83.231435330550852</v>
      </c>
      <c r="D16" s="141">
        <f>$F$69*D10</f>
        <v>85.836779309595485</v>
      </c>
      <c r="E16" s="141">
        <f>$F$69*E10</f>
        <v>96.351203225025614</v>
      </c>
      <c r="F16" s="141">
        <f>$F$69*F10</f>
        <v>109.56401911875197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30</v>
      </c>
      <c r="J17" s="92">
        <f ca="1">IF(I17&lt;=0,"",IF(I17&lt;=MIN($B$13:$F$16),(I17-MIN($B$13:$F$16))/MIN($B$13:$F$16),IF(I17&gt;=MAX($B$13:$F$16),I17/MAX($B$13:$F$16),PERCENTRANK($B$13:$F$16,I17))))</f>
        <v>-0.40500000000000008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2.4750000000000001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11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0.6875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4</v>
      </c>
      <c r="G20" s="88" t="s">
        <v>213</v>
      </c>
      <c r="H20" s="123" t="s">
        <v>219</v>
      </c>
      <c r="I20" s="237">
        <f>HLOOKUP($C$1,$117:$127,11,FALSE)*(1-N22)/HLOOKUP($C$1,$105:$115,11,FALSE)</f>
        <v>0.42997834792633288</v>
      </c>
      <c r="J20" s="171">
        <f>HLOOKUP($C$1,$117:$127,11,FALSE)/HLOOKUP($C$1,$105:$115,11,FALSE)</f>
        <v>0.50082310746907688</v>
      </c>
      <c r="K20" s="163"/>
    </row>
    <row r="21" spans="1:14" s="93" customFormat="1" x14ac:dyDescent="0.25">
      <c r="A21" s="151" t="s">
        <v>201</v>
      </c>
      <c r="B21" s="161">
        <f>AVERAGE(C173:F173)/100</f>
        <v>1.2754000000000001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1.2416154204469212</v>
      </c>
      <c r="J21" s="78"/>
      <c r="K21" s="164" t="s">
        <v>356</v>
      </c>
      <c r="L21" s="165">
        <f>HLOOKUP($C$1,$105:$115,7,FALSE)/HLOOKUP($C$1,$105:$115,11,FALSE)</f>
        <v>0.44414630618222023</v>
      </c>
      <c r="M21" s="123" t="s">
        <v>268</v>
      </c>
      <c r="N21" s="165">
        <f>HLOOKUP($C$1,$117:$127,8,FALSE)/HLOOKUP($C$1,$117:$127,11,FALSE)</f>
        <v>0.7142571528427466</v>
      </c>
    </row>
    <row r="22" spans="1:14" s="93" customFormat="1" x14ac:dyDescent="0.25">
      <c r="A22" s="140" t="s">
        <v>222</v>
      </c>
      <c r="B22" s="161">
        <f>(-1)*SUM(C133:F133)/SUM(C132:F132)</f>
        <v>0.58097251585623688</v>
      </c>
      <c r="C22" s="157"/>
      <c r="D22" s="166"/>
      <c r="E22" s="140"/>
      <c r="F22" s="159">
        <f>IF(B22&lt;=0,10,IF(B22&gt;=100%,0,(1-B22)*10))</f>
        <v>4.1902748414376312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0.59450226708432874</v>
      </c>
      <c r="J22" s="78"/>
      <c r="K22" s="142" t="s">
        <v>357</v>
      </c>
      <c r="L22" s="165">
        <f>HLOOKUP($C$1,$105:$115,4,FALSE)/HLOOKUP($C$1,$105:$115,11,FALSE)</f>
        <v>8.7474301180325606E-2</v>
      </c>
      <c r="M22" s="123" t="s">
        <v>353</v>
      </c>
      <c r="N22" s="165">
        <f>HLOOKUP($C$1,$117:$127,4,FALSE)/HLOOKUP($C$1,$117:$127,11,FALSE)</f>
        <v>0.14145665103345548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2.0032978588608281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0.23148304379504997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0.97384025030013666</v>
      </c>
      <c r="C24" s="169">
        <f>STDEV(C103:F103)</f>
        <v>7.3901378342870368E-3</v>
      </c>
      <c r="D24" s="76" t="str">
        <f>IF(C24/B24&lt;15%,"高",IF(C24/B24&lt;30%,"中","低"))</f>
        <v>高</v>
      </c>
      <c r="E24" s="149"/>
      <c r="F24" s="160">
        <f>MIN(100%,B24)*5</f>
        <v>4.8692012515006837</v>
      </c>
      <c r="G24" s="88" t="s">
        <v>229</v>
      </c>
      <c r="H24" s="123" t="s">
        <v>16</v>
      </c>
      <c r="I24" s="170">
        <f>HLOOKUP(C1,167:170,2,FALSE)</f>
        <v>35.159999999999997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1.7707654775255832E-2</v>
      </c>
      <c r="M24" s="123" t="s">
        <v>355</v>
      </c>
      <c r="N24" s="165">
        <f>HLOOKUP($C$1,$117:$127,9,FALSE)/HLOOKUP($C$1,$117:$127,11,FALSE)</f>
        <v>0.2857428471572534</v>
      </c>
    </row>
    <row r="25" spans="1:14" s="93" customFormat="1" x14ac:dyDescent="0.25">
      <c r="A25" s="151" t="s">
        <v>366</v>
      </c>
      <c r="B25" s="255">
        <f>AVERAGE(94:94)</f>
        <v>2498.0434782608695</v>
      </c>
      <c r="C25" s="254">
        <f>STDEV(94:94)/AVERAGE(94:94)</f>
        <v>2.637864798709884</v>
      </c>
      <c r="D25" s="76" t="str">
        <f>IF(C25&lt;=1,"高",IF(C25&lt;=2,"中","低"))</f>
        <v>低</v>
      </c>
      <c r="E25" s="149"/>
      <c r="F25" s="160">
        <f>MAX(0,10-ABS(C25))</f>
        <v>7.3621352012901156</v>
      </c>
      <c r="G25" s="88" t="s">
        <v>213</v>
      </c>
      <c r="H25" s="123" t="s">
        <v>232</v>
      </c>
      <c r="I25" s="170">
        <f>IF(HLOOKUP(C1,167:170,3,FALSE)="無",0,HLOOKUP(C1,167:170,3,FALSE))</f>
        <v>120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35.249130434782607</v>
      </c>
      <c r="C26" s="172">
        <f>IF(COUNTIF(168:168,"&gt;0")=0,0,STDEV(168:168))</f>
        <v>3.5050702405664209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105.8</v>
      </c>
      <c r="C27" s="172">
        <f>IF(COUNTIF(169:169,"&gt;0")=0,0,STDEV(169:169))</f>
        <v>16.724170043274526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6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0.195775</v>
      </c>
      <c r="C30" s="157" t="s">
        <v>217</v>
      </c>
      <c r="D30" s="174">
        <f>COUNTIF(146:146,"&gt;20")/COUNT(146:146)</f>
        <v>0.39130434782608697</v>
      </c>
      <c r="E30" s="140" t="s">
        <v>239</v>
      </c>
      <c r="F30" s="159">
        <f>MIN(B30/25%*10,10)</f>
        <v>7.8310000000000004</v>
      </c>
      <c r="G30" s="175"/>
      <c r="H30" s="176"/>
    </row>
    <row r="31" spans="1:14" x14ac:dyDescent="0.25">
      <c r="A31" s="164" t="s">
        <v>240</v>
      </c>
      <c r="B31" s="173">
        <f>AVERAGE(C155:F155)/100</f>
        <v>0.11960000000000001</v>
      </c>
      <c r="C31" s="157" t="s">
        <v>217</v>
      </c>
      <c r="D31" s="174">
        <f>COUNTIF(149:149,"&gt;8")/COUNT(149:149)</f>
        <v>0.86956521739130432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22.695</v>
      </c>
      <c r="C32" s="157" t="s">
        <v>217</v>
      </c>
      <c r="D32" s="174">
        <f>COUNTIF(159:159,"&gt;3")/COUNT(159:159)</f>
        <v>0.91304347826086951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4.4750000000000005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3.6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9.4134078212290504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4597824</v>
      </c>
      <c r="C36" s="178">
        <f>STDEV(C97:F97)</f>
        <v>252870.97091468077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19.577500000000001</v>
      </c>
      <c r="C37" s="180">
        <f>STDEV(C152:F152)</f>
        <v>1.0640292915767564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14.585000000000001</v>
      </c>
      <c r="C38" s="180">
        <f>STDEV(C153:F153)</f>
        <v>1.1092790451459908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22.695</v>
      </c>
      <c r="C39" s="181">
        <f>STDEV(C165:F165)</f>
        <v>4.4285625959973318</v>
      </c>
      <c r="D39" s="76" t="str">
        <f>IF(C39/B39&lt;15%,"高",IF(C39/B39&lt;30%,"中","低"))</f>
        <v>中</v>
      </c>
      <c r="E39" s="107">
        <f>IF(F165&gt;E165,1,0)+IF(E165&gt;D165,1,0)+IF(D165&gt;C165,1,0)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4.4750000000000005</v>
      </c>
      <c r="C40" s="183">
        <f>STDEV(B69:E69)</f>
        <v>0.6818846432254243</v>
      </c>
      <c r="D40" s="76" t="str">
        <f>IF(C40/B40&lt;15%,"高",IF(C40/B40&lt;30%,"中","低"))</f>
        <v>中</v>
      </c>
      <c r="E40" s="107">
        <f>IF(E69&gt;D69,1,0)+IF(D69&gt;C69,1,0)+IF(C69&gt;B69,1,0)</f>
        <v>1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-6.8376068376068258E-2</v>
      </c>
      <c r="C44" s="186">
        <f>(C46-C49)/C49</f>
        <v>6.9565217391304418E-2</v>
      </c>
      <c r="D44" s="186">
        <f>(D46-D49)/D49</f>
        <v>9.5238095238095108E-2</v>
      </c>
      <c r="E44" s="186">
        <f>(E46-E49)/E49</f>
        <v>-7.4074074074074139E-2</v>
      </c>
      <c r="G44" s="86" t="s">
        <v>175</v>
      </c>
      <c r="H44" s="186">
        <f>(H47-H50)/H50</f>
        <v>-4.3362241494329587E-2</v>
      </c>
      <c r="I44" s="186">
        <f>(I47-I50)/I50</f>
        <v>3.1229668184775527E-2</v>
      </c>
      <c r="J44" s="186">
        <f>(J47-J50)/J50</f>
        <v>7.7217613273771357E-2</v>
      </c>
      <c r="K44" s="186">
        <f>(K47-K50)/K50</f>
        <v>-0.14804660726525024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1.0900000000000001</v>
      </c>
      <c r="C46" s="152">
        <f>HLOOKUP(C45,$81:$82,2,FALSE)</f>
        <v>1.23</v>
      </c>
      <c r="D46" s="152">
        <f>HLOOKUP(D45,$81:$82,2,FALSE)</f>
        <v>1.1499999999999999</v>
      </c>
      <c r="E46" s="152">
        <f>HLOOKUP(E45,$81:$82,2,FALSE)</f>
        <v>1</v>
      </c>
      <c r="G46" s="86" t="s">
        <v>164</v>
      </c>
      <c r="H46" s="145">
        <f>HLOOKUP(H45,$145:$147,2,FALSE)/100</f>
        <v>0.19059999999999999</v>
      </c>
      <c r="I46" s="145">
        <f>HLOOKUP(I45,$145:$147,2,FALSE)/100</f>
        <v>0.21109999999999998</v>
      </c>
      <c r="J46" s="145">
        <f>HLOOKUP(J45,$145:$147,2,FALSE)/100</f>
        <v>0.22719999999999999</v>
      </c>
      <c r="K46" s="145">
        <f>HLOOKUP(K45,$145:$147,2,FALSE)/100</f>
        <v>0.17809999999999998</v>
      </c>
    </row>
    <row r="47" spans="1:14" x14ac:dyDescent="0.25">
      <c r="A47" s="188" t="s">
        <v>165</v>
      </c>
      <c r="B47" s="189">
        <f>HLOOKUP(B45,$157:$159,3,FALSE)</f>
        <v>5.28</v>
      </c>
      <c r="C47" s="189">
        <f>HLOOKUP(C45,$157:$159,3,FALSE)</f>
        <v>5.77</v>
      </c>
      <c r="D47" s="189">
        <f>HLOOKUP(D45,$157:$159,3,FALSE)</f>
        <v>5.21</v>
      </c>
      <c r="E47" s="189">
        <f>HLOOKUP(E45,$157:$159,3,FALSE)</f>
        <v>4.74</v>
      </c>
      <c r="G47" s="190" t="s">
        <v>166</v>
      </c>
      <c r="H47" s="145">
        <f>HLOOKUP(H45,$145:$147,3,FALSE)/100</f>
        <v>0.1434</v>
      </c>
      <c r="I47" s="145">
        <f>HLOOKUP(I45,$145:$147,3,FALSE)/100</f>
        <v>0.1585</v>
      </c>
      <c r="J47" s="145">
        <f>HLOOKUP(J45,$145:$147,3,FALSE)/100</f>
        <v>0.16879999999999998</v>
      </c>
      <c r="K47" s="145">
        <f>HLOOKUP(K45,$145:$147,3,FALSE)/100</f>
        <v>0.12429999999999999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1.17</v>
      </c>
      <c r="C49" s="152">
        <f>HLOOKUP(C48,$81:$82,2,FALSE)</f>
        <v>1.1499999999999999</v>
      </c>
      <c r="D49" s="152">
        <f>HLOOKUP(D48,$81:$82,2,FALSE)</f>
        <v>1.05</v>
      </c>
      <c r="E49" s="152">
        <f>HLOOKUP(E48,$81:$82,2,FALSE)</f>
        <v>1.08</v>
      </c>
      <c r="G49" s="86" t="s">
        <v>164</v>
      </c>
      <c r="H49" s="145">
        <f>HLOOKUP(H48,$145:$147,2,FALSE)/100</f>
        <v>0.2</v>
      </c>
      <c r="I49" s="145">
        <f>HLOOKUP(I48,$145:$147,2,FALSE)/100</f>
        <v>0.21460000000000001</v>
      </c>
      <c r="J49" s="145">
        <f>HLOOKUP(J48,$145:$147,2,FALSE)/100</f>
        <v>0.21600000000000003</v>
      </c>
      <c r="K49" s="145">
        <f>HLOOKUP(K48,$145:$147,2,FALSE)/100</f>
        <v>0.20949999999999999</v>
      </c>
    </row>
    <row r="50" spans="1:15" x14ac:dyDescent="0.25">
      <c r="A50" s="188" t="s">
        <v>165</v>
      </c>
      <c r="B50" s="189">
        <f>HLOOKUP(B48,$157:$159,3,FALSE)</f>
        <v>5.87</v>
      </c>
      <c r="C50" s="189">
        <f>HLOOKUP(C48,$157:$159,3,FALSE)</f>
        <v>5.6</v>
      </c>
      <c r="D50" s="189">
        <f>HLOOKUP(D48,$157:$159,3,FALSE)</f>
        <v>4.91</v>
      </c>
      <c r="E50" s="189">
        <f>HLOOKUP(E48,$157:$159,3,FALSE)</f>
        <v>5.28</v>
      </c>
      <c r="G50" s="190" t="s">
        <v>166</v>
      </c>
      <c r="H50" s="145">
        <f>HLOOKUP(H48,$145:$147,3,FALSE)/100</f>
        <v>0.14990000000000001</v>
      </c>
      <c r="I50" s="145">
        <f>HLOOKUP(I48,$145:$147,3,FALSE)/100</f>
        <v>0.1537</v>
      </c>
      <c r="J50" s="145">
        <f>HLOOKUP(J48,$145:$147,3,FALSE)/100</f>
        <v>0.15670000000000001</v>
      </c>
      <c r="K50" s="145">
        <f>HLOOKUP(K48,$145:$147,3,FALSE)/100</f>
        <v>0.1459</v>
      </c>
    </row>
    <row r="51" spans="1:15" x14ac:dyDescent="0.25">
      <c r="A51" s="86" t="s">
        <v>351</v>
      </c>
      <c r="B51" s="186">
        <f>(B47-B50)/B50</f>
        <v>-0.10051107325383302</v>
      </c>
      <c r="C51" s="186">
        <f>(C47-C50)/C50</f>
        <v>3.0357142857142846E-2</v>
      </c>
      <c r="D51" s="186">
        <f>(D47-D50)/D50</f>
        <v>6.1099796334012184E-2</v>
      </c>
      <c r="E51" s="186">
        <f>(E47-E50)/E50</f>
        <v>-0.10227272727272728</v>
      </c>
      <c r="G51" s="235" t="s">
        <v>174</v>
      </c>
      <c r="H51" s="186">
        <f>(H46-H49)/H49</f>
        <v>-4.7000000000000097E-2</v>
      </c>
      <c r="I51" s="186">
        <f>(I46-I49)/I49</f>
        <v>-1.6309412861137143E-2</v>
      </c>
      <c r="J51" s="186">
        <f>(J46-J49)/J49</f>
        <v>5.1851851851851663E-2</v>
      </c>
      <c r="K51" s="186">
        <f>(K46-K49)/K49</f>
        <v>-0.14988066825775662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4.7617663627730913</v>
      </c>
      <c r="B53" s="193">
        <f>B46</f>
        <v>1.0900000000000001</v>
      </c>
      <c r="C53" s="193">
        <f>E46/HLOOKUP(E45,$87:$94,5,FALSE)*HLOOKUP(E45,$87:$94,4,FALSE)*($B$25/HLOOKUP(E45,$87:$94,4,FALSE)+SUM($B$57:$D$57)/SUM($B58:$D$58)*$G$69/100/K46)</f>
        <v>1.1823999625797017</v>
      </c>
      <c r="D53" s="193">
        <f>D46/HLOOKUP(D45,$87:$94,5,FALSE)*HLOOKUP(D45,$87:$94,4,FALSE)*($B$25/HLOOKUP(D45,$87:$94,4,FALSE)+SUM($B$57:$D$57)/SUM($B58:$D$58)*$G$69/100/J46)</f>
        <v>1.1827372893794093</v>
      </c>
      <c r="E53" s="193">
        <f>C46/HLOOKUP(C45,$87:$94,5,FALSE)*HLOOKUP(C45,$87:$94,4,FALSE)*($B$25/HLOOKUP(C45,$87:$94,4,FALSE)+SUM($B$57:$D$57)/SUM($B58:$D$58)*$G$69/100/I46)</f>
        <v>1.3066291108139807</v>
      </c>
    </row>
    <row r="54" spans="1:15" x14ac:dyDescent="0.25">
      <c r="A54" s="278">
        <f>SUM(B54:E54)</f>
        <v>4.55</v>
      </c>
      <c r="B54" s="277">
        <f t="shared" ref="B54:D54" si="0">HLOOKUP(B52-10,81:82,2,FALSE)</f>
        <v>1.17</v>
      </c>
      <c r="C54" s="277">
        <f t="shared" si="0"/>
        <v>1</v>
      </c>
      <c r="D54" s="277">
        <f t="shared" si="0"/>
        <v>1.1499999999999999</v>
      </c>
      <c r="E54" s="277">
        <f>HLOOKUP(E52-10,81:82,2,FALSE)</f>
        <v>1.23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413917</v>
      </c>
      <c r="C57" s="196">
        <f>HLOOKUP(C56,78:79,2,FALSE)</f>
        <v>395643</v>
      </c>
      <c r="D57" s="196">
        <f>HLOOKUP(D56,78:79,2,FALSE)</f>
        <v>396830</v>
      </c>
      <c r="E57" s="196">
        <f>HLOOKUP(E56,78:79,2,FALSE)</f>
        <v>362210</v>
      </c>
      <c r="F57" s="196">
        <f>HLOOKUP(F56,78:79,2,FALSE)</f>
        <v>389830</v>
      </c>
      <c r="G57" s="196">
        <f t="shared" ref="G57:M57" si="2">HLOOKUP(G56,78:79,2,FALSE)</f>
        <v>439865</v>
      </c>
      <c r="H57" s="196">
        <f t="shared" si="2"/>
        <v>362811</v>
      </c>
      <c r="I57" s="196">
        <f t="shared" si="2"/>
        <v>475224</v>
      </c>
      <c r="J57" s="196">
        <f t="shared" si="2"/>
        <v>344053</v>
      </c>
      <c r="K57" s="196">
        <f t="shared" si="2"/>
        <v>250014</v>
      </c>
      <c r="L57" s="196">
        <f t="shared" si="2"/>
        <v>356712</v>
      </c>
      <c r="M57" s="196">
        <f t="shared" si="2"/>
        <v>382396</v>
      </c>
      <c r="N57" s="197"/>
    </row>
    <row r="58" spans="1:15" x14ac:dyDescent="0.25">
      <c r="A58" s="198" t="s">
        <v>253</v>
      </c>
      <c r="B58" s="196">
        <f>HLOOKUP(B56-100,78:79,2,FALSE)</f>
        <v>399558</v>
      </c>
      <c r="C58" s="196">
        <f>HLOOKUP(C56-100,78:79,2,FALSE)</f>
        <v>399177</v>
      </c>
      <c r="D58" s="196">
        <f>HLOOKUP(D56-100,78:79,2,FALSE)</f>
        <v>429033</v>
      </c>
      <c r="E58" s="196">
        <f>HLOOKUP(E56-100,78:79,2,FALSE)</f>
        <v>363278</v>
      </c>
      <c r="F58" s="196">
        <f>HLOOKUP(F56-100,78:79,2,FALSE)</f>
        <v>349967</v>
      </c>
      <c r="G58" s="196">
        <f t="shared" ref="G58:M58" si="3">HLOOKUP(G56-100,78:79,2,FALSE)</f>
        <v>416571</v>
      </c>
      <c r="H58" s="196">
        <f t="shared" si="3"/>
        <v>369390</v>
      </c>
      <c r="I58" s="196">
        <f t="shared" si="3"/>
        <v>430352</v>
      </c>
      <c r="J58" s="196">
        <f t="shared" si="3"/>
        <v>274430</v>
      </c>
      <c r="K58" s="196">
        <f t="shared" si="3"/>
        <v>328309</v>
      </c>
      <c r="L58" s="196">
        <f t="shared" si="3"/>
        <v>336980</v>
      </c>
      <c r="M58" s="196">
        <f t="shared" si="3"/>
        <v>407987</v>
      </c>
      <c r="N58" s="197"/>
    </row>
    <row r="59" spans="1:15" x14ac:dyDescent="0.25">
      <c r="A59" s="199" t="s">
        <v>254</v>
      </c>
      <c r="B59" s="165">
        <f>IF(B57&lt;&gt;"",(B57-B58)/B58,"")</f>
        <v>3.5937210617732591E-2</v>
      </c>
      <c r="C59" s="165">
        <f>IF(C57&lt;&gt;"",(C57-C58)/C58,"")</f>
        <v>-8.8532154908724705E-3</v>
      </c>
      <c r="D59" s="165">
        <f>IF(D57&lt;&gt;"",(D57-D58)/D58,"")</f>
        <v>-7.5059494258017445E-2</v>
      </c>
      <c r="E59" s="165">
        <f>IF(E57&lt;&gt;"",(E57-E58)/E58,"")</f>
        <v>-2.9398972687583614E-3</v>
      </c>
      <c r="F59" s="165">
        <f>IF(F57&lt;&gt;"",(F57-F58)/F58,"")</f>
        <v>0.11390502533095978</v>
      </c>
      <c r="G59" s="165">
        <f t="shared" ref="G59:M59" si="4">IF(G57&lt;&gt;"",(G57-G58)/G58,"")</f>
        <v>5.5918438873565374E-2</v>
      </c>
      <c r="H59" s="165">
        <f t="shared" si="4"/>
        <v>-1.7810444245918947E-2</v>
      </c>
      <c r="I59" s="165">
        <f t="shared" si="4"/>
        <v>0.10426813399263858</v>
      </c>
      <c r="J59" s="165">
        <f t="shared" si="4"/>
        <v>0.25370039718689646</v>
      </c>
      <c r="K59" s="165">
        <f t="shared" si="4"/>
        <v>-0.23847960305687629</v>
      </c>
      <c r="L59" s="165">
        <f t="shared" si="4"/>
        <v>5.8555403881535996E-2</v>
      </c>
      <c r="M59" s="165">
        <f t="shared" si="4"/>
        <v>-6.2725037807577197E-2</v>
      </c>
    </row>
    <row r="60" spans="1:15" x14ac:dyDescent="0.25">
      <c r="A60" s="195" t="s">
        <v>255</v>
      </c>
      <c r="B60" s="196">
        <f>SUM(B57:M57)</f>
        <v>4569505</v>
      </c>
    </row>
    <row r="61" spans="1:15" x14ac:dyDescent="0.25">
      <c r="A61" s="198" t="s">
        <v>256</v>
      </c>
      <c r="B61" s="196">
        <f>SUM(B58:M58)</f>
        <v>4505032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1.0143113300860016</v>
      </c>
      <c r="D62" s="152">
        <f>SUM(B46:E46)</f>
        <v>4.4700000000000006</v>
      </c>
      <c r="E62" s="152">
        <f>SUM(B49:E49)</f>
        <v>4.45</v>
      </c>
      <c r="G62" s="126">
        <f>SUM(B47:E47)</f>
        <v>21</v>
      </c>
      <c r="H62" s="126">
        <f>SUM(B50:E50)</f>
        <v>21.66</v>
      </c>
      <c r="J62" s="200">
        <f>AVERAGE(H46:K46)</f>
        <v>0.20174999999999998</v>
      </c>
      <c r="K62" s="200">
        <f>AVERAGE(H49:K49)</f>
        <v>0.21002500000000002</v>
      </c>
      <c r="M62" s="200">
        <f>AVERAGE(H47:K47)</f>
        <v>0.14874999999999999</v>
      </c>
      <c r="N62" s="200">
        <f>AVERAGE(H50:K50)</f>
        <v>0.15154999999999999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1.1000000000000001</v>
      </c>
      <c r="C65" s="205">
        <f t="shared" si="5"/>
        <v>0.94</v>
      </c>
      <c r="D65" s="205">
        <f t="shared" si="5"/>
        <v>0.89</v>
      </c>
      <c r="E65" s="205">
        <f t="shared" si="5"/>
        <v>1.05</v>
      </c>
      <c r="F65" s="206">
        <f>IF(ISNA(HLOOKUP(F$64*10+$A65,$81:$82,2,FALSE)),(HLOOKUP(E$64*10+$A65,$87:$94,4,FALSE)*$G65+$B$25)/HLOOKUP(E$64*10+$A65,$87:$94,5,FALSE)*$E65,HLOOKUP(F$64*10+$A65,$81:$82,2,FALSE))</f>
        <v>1.1499999999999999</v>
      </c>
      <c r="G65" s="101">
        <f>MIN(130%,SUM($B$57:$D$57)/SUM($B$58:$D$58)*$G$69/HLOOKUP(E$64*10+$A65,$145:$146,2,FALSE))</f>
        <v>1.0139794085355394</v>
      </c>
      <c r="H65" s="204">
        <v>1</v>
      </c>
      <c r="I65" s="208">
        <f t="shared" ref="I65:M68" si="6">IF(ISNA(HLOOKUP(I$64*10+$H65,$145:$147,3,FALSE)),"",HLOOKUP(I$64*10+$H65,$145:$147,3,FALSE)/100)</f>
        <v>0.13789999999999999</v>
      </c>
      <c r="J65" s="208">
        <f t="shared" si="6"/>
        <v>0.14150000000000001</v>
      </c>
      <c r="K65" s="208">
        <f t="shared" si="6"/>
        <v>0.13869999999999999</v>
      </c>
      <c r="L65" s="208">
        <f t="shared" si="6"/>
        <v>0.15670000000000001</v>
      </c>
      <c r="M65" s="209">
        <f t="shared" si="6"/>
        <v>0.16879999999999998</v>
      </c>
      <c r="N65" s="256">
        <f t="shared" ref="N65:O68" si="7">HLOOKUP(E$64*10+$A65,$87:$94,8,FALSE)</f>
        <v>-5593</v>
      </c>
      <c r="O65" s="256">
        <f t="shared" si="7"/>
        <v>-8887</v>
      </c>
      <c r="P65" s="210"/>
    </row>
    <row r="66" spans="1:71" x14ac:dyDescent="0.25">
      <c r="A66" s="204">
        <v>2</v>
      </c>
      <c r="B66" s="205">
        <f t="shared" si="5"/>
        <v>1.33</v>
      </c>
      <c r="C66" s="205">
        <f t="shared" si="5"/>
        <v>1</v>
      </c>
      <c r="D66" s="205">
        <f t="shared" si="5"/>
        <v>1.46</v>
      </c>
      <c r="E66" s="205">
        <f t="shared" si="5"/>
        <v>1.1499999999999999</v>
      </c>
      <c r="F66" s="206">
        <f>IF(ISNA(HLOOKUP(F$64*10+$A66,$81:$82,2,FALSE)),(HLOOKUP(E$64*10+$A66,$87:$94,4,FALSE)*$G66+$B$25)/HLOOKUP(E$64*10+$A66,$87:$94,5,FALSE)*$E66,HLOOKUP(F$64*10+$A66,$81:$82,2,FALSE))</f>
        <v>1.23</v>
      </c>
      <c r="G66" s="101">
        <f>MIN(130%,SUM($B$57:$D$57)/SUM($B$58:$D$58)*$G$69/HLOOKUP(E$64*10+$A66,$145:$146,2,FALSE))</f>
        <v>1.0205943720581383</v>
      </c>
      <c r="H66" s="204">
        <v>2</v>
      </c>
      <c r="I66" s="208">
        <f t="shared" si="6"/>
        <v>0.15329999999999999</v>
      </c>
      <c r="J66" s="208">
        <f t="shared" si="6"/>
        <v>0.15429999999999999</v>
      </c>
      <c r="K66" s="208">
        <f t="shared" si="6"/>
        <v>0.1598</v>
      </c>
      <c r="L66" s="208">
        <f t="shared" si="6"/>
        <v>0.1537</v>
      </c>
      <c r="M66" s="209">
        <f t="shared" si="6"/>
        <v>0.1585</v>
      </c>
      <c r="N66" s="256">
        <f t="shared" si="7"/>
        <v>2079</v>
      </c>
      <c r="O66" s="256">
        <f t="shared" si="7"/>
        <v>-2057</v>
      </c>
      <c r="P66" s="210"/>
    </row>
    <row r="67" spans="1:71" x14ac:dyDescent="0.25">
      <c r="A67" s="204">
        <v>3</v>
      </c>
      <c r="B67" s="205">
        <f t="shared" si="5"/>
        <v>1.36</v>
      </c>
      <c r="C67" s="205">
        <f t="shared" si="5"/>
        <v>1.02</v>
      </c>
      <c r="D67" s="205">
        <f t="shared" si="5"/>
        <v>1.1200000000000001</v>
      </c>
      <c r="E67" s="205">
        <f t="shared" si="5"/>
        <v>1.17</v>
      </c>
      <c r="F67" s="206">
        <f>IF(ISNA(HLOOKUP(F$64*10+$A67,$81:$82,2,FALSE)),(HLOOKUP(E$64*10+$A67,$87:$94,4,FALSE)*$G67+$B$25)/HLOOKUP(E$64*10+$A67,$87:$94,5,FALSE)*$E67,HLOOKUP(F$64*10+$A67,$81:$82,2,FALSE))</f>
        <v>1.0900000000000001</v>
      </c>
      <c r="G67" s="101">
        <f>MIN(130%,SUM($B$57:$D$57)/SUM($B$58:$D$58)*$G$69/HLOOKUP(E$64*10+$A67,$145:$146,2,FALSE))</f>
        <v>1.0950977612183825</v>
      </c>
      <c r="H67" s="204">
        <v>3</v>
      </c>
      <c r="I67" s="208">
        <f t="shared" si="6"/>
        <v>0.15579999999999999</v>
      </c>
      <c r="J67" s="208">
        <f t="shared" si="6"/>
        <v>0.12330000000000001</v>
      </c>
      <c r="K67" s="208">
        <f t="shared" si="6"/>
        <v>0.1593</v>
      </c>
      <c r="L67" s="208">
        <f t="shared" si="6"/>
        <v>0.14990000000000001</v>
      </c>
      <c r="M67" s="209">
        <f t="shared" si="6"/>
        <v>0.1434</v>
      </c>
      <c r="N67" s="256">
        <f t="shared" si="7"/>
        <v>-3212</v>
      </c>
      <c r="O67" s="256">
        <f t="shared" si="7"/>
        <v>-1390</v>
      </c>
      <c r="P67" s="210"/>
    </row>
    <row r="68" spans="1:71" x14ac:dyDescent="0.25">
      <c r="A68" s="204">
        <v>4</v>
      </c>
      <c r="B68" s="205">
        <f>HLOOKUP(B$64*10+$A68,$81:$82,2,FALSE)</f>
        <v>1.53</v>
      </c>
      <c r="C68" s="205">
        <f>HLOOKUP(C$64*10+$A68,$81:$82,2,FALSE)</f>
        <v>0.7</v>
      </c>
      <c r="D68" s="205">
        <f>HLOOKUP(D$64*10+$A68,$81:$82,2,FALSE)</f>
        <v>1.08</v>
      </c>
      <c r="E68" s="206">
        <f>IF(ISNA(HLOOKUP(E$64*10+$A68,$81:$82,2,FALSE)),D68*(1-$N68)*#REF!*(1+$B$25)/(1+$E$4),HLOOKUP(E$64*10+$A68,$81:$82,2,FALSE))</f>
        <v>1</v>
      </c>
      <c r="F68" s="206">
        <f>IF(ISNA(HLOOKUP(F$64*10+$A68,$81:$82,2,FALSE)),(HLOOKUP(E$64*10+$A68,$87:$94,4,FALSE)*$G68+$B$25)/HLOOKUP(E$64*10+$A68,$87:$94,5,FALSE)*$E68,HLOOKUP(F$64*10+$A68,$81:$82,2,FALSE))</f>
        <v>1.1823999625797017</v>
      </c>
      <c r="G68" s="101">
        <f>MIN(130%,SUM($B$57:$D$57)/SUM($B$58:$D$58)*$G$69/HLOOKUP(E$64*10+$A68,$145:$146,2,FALSE))</f>
        <v>1.2297560485327148</v>
      </c>
      <c r="H68" s="204">
        <v>4</v>
      </c>
      <c r="I68" s="208">
        <f t="shared" si="6"/>
        <v>0.17199999999999999</v>
      </c>
      <c r="J68" s="208">
        <f t="shared" si="6"/>
        <v>0.10099999999999999</v>
      </c>
      <c r="K68" s="208">
        <f t="shared" si="6"/>
        <v>0.1459</v>
      </c>
      <c r="L68" s="208">
        <f t="shared" si="6"/>
        <v>0.12429999999999999</v>
      </c>
      <c r="M68" s="209" t="str">
        <f t="shared" si="6"/>
        <v/>
      </c>
      <c r="N68" s="256">
        <f t="shared" si="7"/>
        <v>7780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5.32</v>
      </c>
      <c r="C69" s="213">
        <f>SUM(C65:C68)</f>
        <v>3.66</v>
      </c>
      <c r="D69" s="213">
        <f>SUM(D65:D68)</f>
        <v>4.5500000000000007</v>
      </c>
      <c r="E69" s="213">
        <f>SUM(E65:E68)</f>
        <v>4.37</v>
      </c>
      <c r="F69" s="213">
        <f>SUM(F65:F68)</f>
        <v>4.6523999625797012</v>
      </c>
      <c r="G69" s="257">
        <f>_xlfn.FORECAST.ETS(23,B146:W146,{1,2,3,4,5,6,7,8,9,10,11,12,13,14,15,16,17,18,19,20,21,22})</f>
        <v>22.290071835734231</v>
      </c>
      <c r="H69" s="214" t="s">
        <v>19</v>
      </c>
      <c r="I69" s="215">
        <f>HLOOKUP(I64,151:155,3,FALSE)/100</f>
        <v>0.1555</v>
      </c>
      <c r="J69" s="215">
        <f>HLOOKUP(J64,151:155,3,FALSE)/100</f>
        <v>0.1303</v>
      </c>
      <c r="K69" s="215">
        <f>HLOOKUP(K64,151:155,3,FALSE)/100</f>
        <v>0.1517</v>
      </c>
      <c r="L69" s="215">
        <f>IF(ISNA(HLOOKUP(L64,151:155,3,FALSE)/100),AVERAGE(L65:L68),HLOOKUP(L64,151:155,3,FALSE)/100)</f>
        <v>0.1459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6.32</v>
      </c>
      <c r="C72" s="205">
        <f t="shared" si="8"/>
        <v>4.7</v>
      </c>
      <c r="D72" s="205">
        <f t="shared" si="8"/>
        <v>4.46</v>
      </c>
      <c r="E72" s="205">
        <f t="shared" si="8"/>
        <v>4.91</v>
      </c>
      <c r="F72" s="205">
        <f t="shared" si="8"/>
        <v>5.21</v>
      </c>
    </row>
    <row r="73" spans="1:71" s="135" customFormat="1" x14ac:dyDescent="0.25">
      <c r="A73" s="204">
        <v>2</v>
      </c>
      <c r="B73" s="205">
        <f t="shared" si="8"/>
        <v>7.62</v>
      </c>
      <c r="C73" s="205">
        <f t="shared" si="8"/>
        <v>5.21</v>
      </c>
      <c r="D73" s="205">
        <f t="shared" si="8"/>
        <v>7.48</v>
      </c>
      <c r="E73" s="205">
        <f t="shared" si="8"/>
        <v>5.6</v>
      </c>
      <c r="F73" s="205">
        <f t="shared" si="8"/>
        <v>5.77</v>
      </c>
    </row>
    <row r="74" spans="1:71" s="135" customFormat="1" x14ac:dyDescent="0.25">
      <c r="A74" s="204">
        <v>3</v>
      </c>
      <c r="B74" s="205">
        <f t="shared" si="8"/>
        <v>7.7</v>
      </c>
      <c r="C74" s="205">
        <f t="shared" si="8"/>
        <v>5.53</v>
      </c>
      <c r="D74" s="205">
        <f t="shared" si="8"/>
        <v>5.91</v>
      </c>
      <c r="E74" s="205">
        <f t="shared" si="8"/>
        <v>5.87</v>
      </c>
      <c r="F74" s="205">
        <f t="shared" si="8"/>
        <v>5.28</v>
      </c>
    </row>
    <row r="75" spans="1:71" s="135" customFormat="1" x14ac:dyDescent="0.25">
      <c r="A75" s="204">
        <v>4</v>
      </c>
      <c r="B75" s="205">
        <f t="shared" si="8"/>
        <v>7.95</v>
      </c>
      <c r="C75" s="205">
        <f t="shared" si="8"/>
        <v>3.66</v>
      </c>
      <c r="D75" s="205">
        <f t="shared" si="8"/>
        <v>5.28</v>
      </c>
      <c r="E75" s="205">
        <f t="shared" si="8"/>
        <v>4.74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29.59</v>
      </c>
      <c r="C76" s="213">
        <f>SUM(C72:C75)</f>
        <v>19.100000000000001</v>
      </c>
      <c r="D76" s="213">
        <f>SUM(D72:D75)</f>
        <v>23.130000000000003</v>
      </c>
      <c r="E76" s="213">
        <f>AVERAGE(E72:E75)*4</f>
        <v>21.119999999999997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207107</v>
      </c>
      <c r="C79" s="270">
        <v>250394</v>
      </c>
      <c r="D79" s="270">
        <v>344589</v>
      </c>
      <c r="E79" s="270">
        <v>245114</v>
      </c>
      <c r="F79" s="270">
        <v>230676</v>
      </c>
      <c r="G79" s="270">
        <v>284717</v>
      </c>
      <c r="H79" s="270">
        <v>330806</v>
      </c>
      <c r="I79" s="270">
        <v>351527</v>
      </c>
      <c r="J79" s="270">
        <v>326788</v>
      </c>
      <c r="K79" s="270">
        <v>341093</v>
      </c>
      <c r="L79" s="270">
        <v>321937</v>
      </c>
      <c r="M79" s="270">
        <v>321445</v>
      </c>
      <c r="N79" s="270">
        <v>336079</v>
      </c>
      <c r="O79" s="270">
        <v>291495</v>
      </c>
      <c r="P79" s="270">
        <v>455370</v>
      </c>
      <c r="Q79" s="270">
        <v>416328</v>
      </c>
      <c r="R79" s="270">
        <v>406991</v>
      </c>
      <c r="S79" s="270">
        <v>433863</v>
      </c>
      <c r="T79" s="270">
        <v>437445</v>
      </c>
      <c r="U79" s="270">
        <v>431094</v>
      </c>
      <c r="V79" s="270">
        <v>414719</v>
      </c>
      <c r="W79" s="270">
        <v>449770</v>
      </c>
      <c r="X79" s="270">
        <v>451166</v>
      </c>
      <c r="Y79" s="270">
        <v>395638</v>
      </c>
      <c r="Z79" s="270">
        <v>296370</v>
      </c>
      <c r="AA79" s="270">
        <v>310613</v>
      </c>
      <c r="AB79" s="270">
        <v>361312</v>
      </c>
      <c r="AC79" s="270">
        <v>401674</v>
      </c>
      <c r="AD79" s="270">
        <v>412943</v>
      </c>
      <c r="AE79" s="270">
        <v>337553</v>
      </c>
      <c r="AF79" s="270">
        <v>403101</v>
      </c>
      <c r="AG79" s="270">
        <v>403898</v>
      </c>
      <c r="AH79" s="270">
        <v>366549</v>
      </c>
      <c r="AI79" s="270">
        <v>376209</v>
      </c>
      <c r="AJ79" s="270">
        <v>303191</v>
      </c>
      <c r="AK79" s="270">
        <v>349753</v>
      </c>
      <c r="AL79" s="270">
        <v>329957</v>
      </c>
      <c r="AM79" s="270">
        <v>268373</v>
      </c>
      <c r="AN79" s="270">
        <v>417144</v>
      </c>
      <c r="AO79" s="270">
        <v>468163</v>
      </c>
      <c r="AP79" s="270">
        <v>501529</v>
      </c>
      <c r="AQ79" s="270">
        <v>399721</v>
      </c>
      <c r="AR79" s="270">
        <v>335957</v>
      </c>
      <c r="AS79" s="270">
        <v>407960</v>
      </c>
      <c r="AT79" s="270">
        <v>381853</v>
      </c>
      <c r="AU79" s="270">
        <v>392884</v>
      </c>
      <c r="AV79" s="270">
        <v>407987</v>
      </c>
      <c r="AW79" s="270">
        <v>336980</v>
      </c>
      <c r="AX79" s="270">
        <v>328309</v>
      </c>
      <c r="AY79" s="270">
        <v>274430</v>
      </c>
      <c r="AZ79" s="270">
        <v>430352</v>
      </c>
      <c r="BA79" s="270">
        <v>369390</v>
      </c>
      <c r="BB79" s="270">
        <v>416571</v>
      </c>
      <c r="BC79" s="270">
        <v>349967</v>
      </c>
      <c r="BD79" s="270">
        <v>363278</v>
      </c>
      <c r="BE79" s="270">
        <v>429033</v>
      </c>
      <c r="BF79" s="270">
        <v>399177</v>
      </c>
      <c r="BG79" s="270">
        <v>399558</v>
      </c>
      <c r="BH79" s="270">
        <v>382396</v>
      </c>
      <c r="BI79" s="270">
        <v>356712</v>
      </c>
      <c r="BJ79" s="270">
        <v>250014</v>
      </c>
      <c r="BK79" s="270">
        <v>344053</v>
      </c>
      <c r="BL79" s="270">
        <v>475224</v>
      </c>
      <c r="BM79" s="270">
        <v>362811</v>
      </c>
      <c r="BN79" s="270">
        <v>439865</v>
      </c>
      <c r="BO79" s="270">
        <v>389830</v>
      </c>
      <c r="BP79" s="270">
        <v>362210</v>
      </c>
      <c r="BQ79" s="270">
        <v>396830</v>
      </c>
      <c r="BR79" s="270">
        <v>395643</v>
      </c>
      <c r="BS79" s="270">
        <v>413917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0.49</v>
      </c>
      <c r="C82" s="72">
        <v>0.45</v>
      </c>
      <c r="D82" s="72">
        <v>0.75</v>
      </c>
      <c r="E82" s="72">
        <v>0.67</v>
      </c>
      <c r="F82" s="72">
        <v>1.1000000000000001</v>
      </c>
      <c r="G82" s="72">
        <v>1.33</v>
      </c>
      <c r="H82" s="72">
        <v>1.36</v>
      </c>
      <c r="I82" s="72">
        <v>1.53</v>
      </c>
      <c r="J82" s="72">
        <v>0.94</v>
      </c>
      <c r="K82" s="72">
        <v>1</v>
      </c>
      <c r="L82" s="72">
        <v>1.02</v>
      </c>
      <c r="M82" s="72">
        <v>0.7</v>
      </c>
      <c r="N82" s="72">
        <v>0.89</v>
      </c>
      <c r="O82" s="72">
        <v>1.46</v>
      </c>
      <c r="P82" s="72">
        <v>1.1200000000000001</v>
      </c>
      <c r="Q82" s="72">
        <v>1.08</v>
      </c>
      <c r="R82" s="72">
        <v>1.05</v>
      </c>
      <c r="S82" s="72">
        <v>1.1499999999999999</v>
      </c>
      <c r="T82" s="72">
        <v>1.17</v>
      </c>
      <c r="U82" s="72">
        <v>1</v>
      </c>
      <c r="V82" s="72">
        <v>1.1499999999999999</v>
      </c>
      <c r="W82" s="72">
        <v>1.23</v>
      </c>
      <c r="X82" s="72">
        <v>1.0900000000000001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17.440000000000001</v>
      </c>
      <c r="C85" s="72">
        <v>15.72</v>
      </c>
      <c r="D85" s="72">
        <v>16.399999999999999</v>
      </c>
      <c r="E85" s="72">
        <v>16.940000000000001</v>
      </c>
      <c r="F85" s="72">
        <v>17.920000000000002</v>
      </c>
      <c r="G85" s="72">
        <v>17.04</v>
      </c>
      <c r="H85" s="72">
        <v>18.39</v>
      </c>
      <c r="I85" s="72">
        <v>19.829999999999998</v>
      </c>
      <c r="J85" s="72">
        <v>20.8</v>
      </c>
      <c r="K85" s="72">
        <v>18.059999999999999</v>
      </c>
      <c r="L85" s="72">
        <v>19.100000000000001</v>
      </c>
      <c r="M85" s="72">
        <v>19.850000000000001</v>
      </c>
      <c r="N85" s="72">
        <v>20.71</v>
      </c>
      <c r="O85" s="72">
        <v>18.649999999999999</v>
      </c>
      <c r="P85" s="72">
        <v>19.850000000000001</v>
      </c>
      <c r="Q85" s="72">
        <v>20.86</v>
      </c>
      <c r="R85" s="72">
        <v>21.85</v>
      </c>
      <c r="S85" s="72">
        <v>19.41</v>
      </c>
      <c r="T85" s="72">
        <v>20.54</v>
      </c>
      <c r="U85" s="72">
        <v>21.49</v>
      </c>
      <c r="V85" s="72">
        <v>22.54</v>
      </c>
      <c r="W85" s="72">
        <v>20.190000000000001</v>
      </c>
      <c r="X85" s="72">
        <v>21.29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854790</v>
      </c>
      <c r="C88" s="273">
        <v>839983</v>
      </c>
      <c r="D88" s="273">
        <v>1081028</v>
      </c>
      <c r="E88" s="273">
        <v>1048958</v>
      </c>
      <c r="F88" s="273">
        <v>1082944</v>
      </c>
      <c r="G88" s="273">
        <v>1257182</v>
      </c>
      <c r="H88" s="273">
        <v>1283258</v>
      </c>
      <c r="I88" s="273">
        <v>1297073</v>
      </c>
      <c r="J88" s="273">
        <v>968295</v>
      </c>
      <c r="K88" s="273">
        <v>1152170</v>
      </c>
      <c r="L88" s="273">
        <v>1173548</v>
      </c>
      <c r="M88" s="273">
        <v>1029154</v>
      </c>
      <c r="N88" s="273">
        <v>1015474</v>
      </c>
      <c r="O88" s="273">
        <v>1369413</v>
      </c>
      <c r="P88" s="273">
        <v>1125770</v>
      </c>
      <c r="Q88" s="273">
        <v>1137851</v>
      </c>
      <c r="R88" s="273">
        <v>1033091</v>
      </c>
      <c r="S88" s="273">
        <v>1135928</v>
      </c>
      <c r="T88" s="273">
        <v>1191488</v>
      </c>
      <c r="U88" s="273">
        <v>1138657</v>
      </c>
      <c r="V88" s="273">
        <v>1069368</v>
      </c>
      <c r="W88" s="273">
        <v>1192429</v>
      </c>
      <c r="X88" s="273">
        <v>1154683</v>
      </c>
    </row>
    <row r="89" spans="1:25" ht="14.25" thickBot="1" x14ac:dyDescent="0.3">
      <c r="A89" s="250" t="s">
        <v>4</v>
      </c>
      <c r="B89" s="275">
        <v>101974</v>
      </c>
      <c r="C89" s="275">
        <v>121105</v>
      </c>
      <c r="D89" s="275">
        <v>158933</v>
      </c>
      <c r="E89" s="275">
        <v>144548</v>
      </c>
      <c r="F89" s="275">
        <v>190211</v>
      </c>
      <c r="G89" s="275">
        <v>245556</v>
      </c>
      <c r="H89" s="275">
        <v>250613</v>
      </c>
      <c r="I89" s="275">
        <v>280046</v>
      </c>
      <c r="J89" s="275">
        <v>189042</v>
      </c>
      <c r="K89" s="275">
        <v>232322</v>
      </c>
      <c r="L89" s="275">
        <v>197828</v>
      </c>
      <c r="M89" s="275">
        <v>161718</v>
      </c>
      <c r="N89" s="275">
        <v>193173</v>
      </c>
      <c r="O89" s="275">
        <v>278626</v>
      </c>
      <c r="P89" s="275">
        <v>239379</v>
      </c>
      <c r="Q89" s="275">
        <v>238333</v>
      </c>
      <c r="R89" s="275">
        <v>223108</v>
      </c>
      <c r="S89" s="275">
        <v>243800</v>
      </c>
      <c r="T89" s="275">
        <v>238296</v>
      </c>
      <c r="U89" s="275">
        <v>202775</v>
      </c>
      <c r="V89" s="275">
        <v>242939</v>
      </c>
      <c r="W89" s="275">
        <v>251778</v>
      </c>
      <c r="X89" s="275">
        <v>220113</v>
      </c>
    </row>
    <row r="90" spans="1:25" ht="14.25" thickBot="1" x14ac:dyDescent="0.3">
      <c r="A90" s="251" t="s">
        <v>5</v>
      </c>
      <c r="B90" s="273">
        <v>57473</v>
      </c>
      <c r="C90" s="273">
        <v>74250</v>
      </c>
      <c r="D90" s="273">
        <v>116483</v>
      </c>
      <c r="E90" s="273">
        <v>98909</v>
      </c>
      <c r="F90" s="273">
        <v>149355</v>
      </c>
      <c r="G90" s="273">
        <v>192754</v>
      </c>
      <c r="H90" s="273">
        <v>199933</v>
      </c>
      <c r="I90" s="273">
        <v>223072</v>
      </c>
      <c r="J90" s="273">
        <v>137000</v>
      </c>
      <c r="K90" s="273">
        <v>177824</v>
      </c>
      <c r="L90" s="273">
        <v>144754</v>
      </c>
      <c r="M90" s="273">
        <v>103928</v>
      </c>
      <c r="N90" s="273">
        <v>140843</v>
      </c>
      <c r="O90" s="273">
        <v>218826</v>
      </c>
      <c r="P90" s="273">
        <v>179343</v>
      </c>
      <c r="Q90" s="273">
        <v>166013</v>
      </c>
      <c r="R90" s="273">
        <v>161916</v>
      </c>
      <c r="S90" s="273">
        <v>174567</v>
      </c>
      <c r="T90" s="273">
        <v>178584</v>
      </c>
      <c r="U90" s="273">
        <v>141503</v>
      </c>
      <c r="V90" s="273">
        <v>180511</v>
      </c>
      <c r="W90" s="273">
        <v>188957</v>
      </c>
      <c r="X90" s="273">
        <v>165583</v>
      </c>
    </row>
    <row r="91" spans="1:25" ht="14.25" thickBot="1" x14ac:dyDescent="0.3">
      <c r="A91" s="250" t="s">
        <v>6</v>
      </c>
      <c r="B91" s="275">
        <v>73816</v>
      </c>
      <c r="C91" s="275">
        <v>83494</v>
      </c>
      <c r="D91" s="275">
        <v>119641</v>
      </c>
      <c r="E91" s="275">
        <v>100665</v>
      </c>
      <c r="F91" s="275">
        <v>163742</v>
      </c>
      <c r="G91" s="275">
        <v>198842</v>
      </c>
      <c r="H91" s="275">
        <v>203305</v>
      </c>
      <c r="I91" s="275">
        <v>228814</v>
      </c>
      <c r="J91" s="275">
        <v>142427</v>
      </c>
      <c r="K91" s="275">
        <v>181270</v>
      </c>
      <c r="L91" s="275">
        <v>154808</v>
      </c>
      <c r="M91" s="275">
        <v>108193</v>
      </c>
      <c r="N91" s="275">
        <v>135590</v>
      </c>
      <c r="O91" s="275">
        <v>219810</v>
      </c>
      <c r="P91" s="275">
        <v>171834</v>
      </c>
      <c r="Q91" s="275">
        <v>163244</v>
      </c>
      <c r="R91" s="275">
        <v>156323</v>
      </c>
      <c r="S91" s="275">
        <v>176646</v>
      </c>
      <c r="T91" s="275">
        <v>175372</v>
      </c>
      <c r="U91" s="275">
        <v>149283</v>
      </c>
      <c r="V91" s="275">
        <v>171624</v>
      </c>
      <c r="W91" s="275">
        <v>186900</v>
      </c>
      <c r="X91" s="275">
        <v>164193</v>
      </c>
    </row>
    <row r="92" spans="1:25" ht="14.25" thickBot="1" x14ac:dyDescent="0.3">
      <c r="A92" s="251" t="s">
        <v>7</v>
      </c>
      <c r="B92" s="273">
        <v>61859</v>
      </c>
      <c r="C92" s="273">
        <v>59589</v>
      </c>
      <c r="D92" s="273">
        <v>96014</v>
      </c>
      <c r="E92" s="273">
        <v>83010</v>
      </c>
      <c r="F92" s="273">
        <v>135207</v>
      </c>
      <c r="G92" s="273">
        <v>163596</v>
      </c>
      <c r="H92" s="273">
        <v>167363</v>
      </c>
      <c r="I92" s="273">
        <v>186027</v>
      </c>
      <c r="J92" s="273">
        <v>117142</v>
      </c>
      <c r="K92" s="273">
        <v>124225</v>
      </c>
      <c r="L92" s="273">
        <v>126410</v>
      </c>
      <c r="M92" s="273">
        <v>87689</v>
      </c>
      <c r="N92" s="273">
        <v>110983</v>
      </c>
      <c r="O92" s="273">
        <v>180830</v>
      </c>
      <c r="P92" s="273">
        <v>139964</v>
      </c>
      <c r="Q92" s="273">
        <v>132133</v>
      </c>
      <c r="R92" s="273">
        <v>128652</v>
      </c>
      <c r="S92" s="273">
        <v>141694</v>
      </c>
      <c r="T92" s="273">
        <v>143794</v>
      </c>
      <c r="U92" s="273">
        <v>122317</v>
      </c>
      <c r="V92" s="273">
        <v>140647</v>
      </c>
      <c r="W92" s="273">
        <v>151221</v>
      </c>
      <c r="X92" s="273">
        <v>134423</v>
      </c>
    </row>
    <row r="93" spans="1:25" ht="26.25" thickBot="1" x14ac:dyDescent="0.3">
      <c r="A93" s="252" t="s">
        <v>8</v>
      </c>
      <c r="B93" s="276">
        <v>58563</v>
      </c>
      <c r="C93" s="276">
        <v>53721</v>
      </c>
      <c r="D93" s="276">
        <v>89620</v>
      </c>
      <c r="E93" s="276">
        <v>80931</v>
      </c>
      <c r="F93" s="276">
        <v>131794</v>
      </c>
      <c r="G93" s="276">
        <v>159913</v>
      </c>
      <c r="H93" s="276">
        <v>163786</v>
      </c>
      <c r="I93" s="276">
        <v>183906</v>
      </c>
      <c r="J93" s="276">
        <v>113093</v>
      </c>
      <c r="K93" s="276">
        <v>119725</v>
      </c>
      <c r="L93" s="276">
        <v>122188</v>
      </c>
      <c r="M93" s="276">
        <v>84534</v>
      </c>
      <c r="N93" s="276">
        <v>107309</v>
      </c>
      <c r="O93" s="276">
        <v>175929</v>
      </c>
      <c r="P93" s="276">
        <v>134497</v>
      </c>
      <c r="Q93" s="276">
        <v>129511</v>
      </c>
      <c r="R93" s="276">
        <v>125877</v>
      </c>
      <c r="S93" s="276">
        <v>138417</v>
      </c>
      <c r="T93" s="276">
        <v>140502</v>
      </c>
      <c r="U93" s="276">
        <v>120661</v>
      </c>
      <c r="V93" s="276">
        <v>138104</v>
      </c>
      <c r="W93" s="276">
        <v>148324</v>
      </c>
      <c r="X93" s="276">
        <v>131309</v>
      </c>
    </row>
    <row r="94" spans="1:25" x14ac:dyDescent="0.25">
      <c r="A94" s="233" t="s">
        <v>365</v>
      </c>
      <c r="B94" s="253">
        <f>IF(B91="","",B91-B90)</f>
        <v>16343</v>
      </c>
      <c r="C94" s="253">
        <f>IF(C91="","",C91-C90)</f>
        <v>9244</v>
      </c>
      <c r="D94" s="253">
        <f t="shared" ref="D94:Y94" si="9">IF(D91="","",D91-D90)</f>
        <v>3158</v>
      </c>
      <c r="E94" s="253">
        <f t="shared" si="9"/>
        <v>1756</v>
      </c>
      <c r="F94" s="253">
        <f t="shared" si="9"/>
        <v>14387</v>
      </c>
      <c r="G94" s="253">
        <f t="shared" si="9"/>
        <v>6088</v>
      </c>
      <c r="H94" s="253">
        <f t="shared" si="9"/>
        <v>3372</v>
      </c>
      <c r="I94" s="253">
        <f t="shared" si="9"/>
        <v>5742</v>
      </c>
      <c r="J94" s="253">
        <f t="shared" si="9"/>
        <v>5427</v>
      </c>
      <c r="K94" s="253">
        <f t="shared" si="9"/>
        <v>3446</v>
      </c>
      <c r="L94" s="253">
        <f t="shared" si="9"/>
        <v>10054</v>
      </c>
      <c r="M94" s="253">
        <f t="shared" si="9"/>
        <v>4265</v>
      </c>
      <c r="N94" s="253">
        <f t="shared" si="9"/>
        <v>-5253</v>
      </c>
      <c r="O94" s="253">
        <f t="shared" si="9"/>
        <v>984</v>
      </c>
      <c r="P94" s="253">
        <f t="shared" si="9"/>
        <v>-7509</v>
      </c>
      <c r="Q94" s="253">
        <f t="shared" si="9"/>
        <v>-2769</v>
      </c>
      <c r="R94" s="253">
        <f t="shared" si="9"/>
        <v>-5593</v>
      </c>
      <c r="S94" s="253">
        <f t="shared" si="9"/>
        <v>2079</v>
      </c>
      <c r="T94" s="253">
        <f t="shared" si="9"/>
        <v>-3212</v>
      </c>
      <c r="U94" s="253">
        <f t="shared" si="9"/>
        <v>7780</v>
      </c>
      <c r="V94" s="253">
        <f t="shared" si="9"/>
        <v>-8887</v>
      </c>
      <c r="W94" s="253">
        <f t="shared" si="9"/>
        <v>-2057</v>
      </c>
      <c r="X94" s="253">
        <f t="shared" si="9"/>
        <v>-1390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3824759</v>
      </c>
      <c r="C97" s="273">
        <v>4920457</v>
      </c>
      <c r="D97" s="273">
        <v>4323167</v>
      </c>
      <c r="E97" s="273">
        <v>4648508</v>
      </c>
      <c r="F97" s="273">
        <v>4499164</v>
      </c>
    </row>
    <row r="98" spans="1:24" ht="14.25" thickBot="1" x14ac:dyDescent="0.3">
      <c r="A98" s="225" t="s">
        <v>4</v>
      </c>
      <c r="B98" s="275">
        <v>526560</v>
      </c>
      <c r="C98" s="275">
        <v>966426</v>
      </c>
      <c r="D98" s="275">
        <v>780910</v>
      </c>
      <c r="E98" s="275">
        <v>949511</v>
      </c>
      <c r="F98" s="275">
        <v>907979</v>
      </c>
    </row>
    <row r="99" spans="1:24" ht="14.25" thickBot="1" x14ac:dyDescent="0.3">
      <c r="A99" s="224" t="s">
        <v>5</v>
      </c>
      <c r="B99" s="273">
        <v>347115</v>
      </c>
      <c r="C99" s="273">
        <v>765114</v>
      </c>
      <c r="D99" s="273">
        <v>563506</v>
      </c>
      <c r="E99" s="273">
        <v>705025</v>
      </c>
      <c r="F99" s="273">
        <v>656570</v>
      </c>
    </row>
    <row r="100" spans="1:24" ht="14.25" thickBot="1" x14ac:dyDescent="0.3">
      <c r="A100" s="225" t="s">
        <v>6</v>
      </c>
      <c r="B100" s="275">
        <v>377616</v>
      </c>
      <c r="C100" s="275">
        <v>794703</v>
      </c>
      <c r="D100" s="275">
        <v>586698</v>
      </c>
      <c r="E100" s="275">
        <v>690478</v>
      </c>
      <c r="F100" s="275">
        <v>657624</v>
      </c>
    </row>
    <row r="101" spans="1:24" ht="14.25" thickBot="1" x14ac:dyDescent="0.3">
      <c r="A101" s="224" t="s">
        <v>7</v>
      </c>
      <c r="B101" s="273">
        <v>300472</v>
      </c>
      <c r="C101" s="273">
        <v>652193</v>
      </c>
      <c r="D101" s="273">
        <v>455466</v>
      </c>
      <c r="E101" s="273">
        <v>563910</v>
      </c>
      <c r="F101" s="273">
        <v>536457</v>
      </c>
    </row>
    <row r="102" spans="1:24" ht="14.25" thickBot="1" x14ac:dyDescent="0.3">
      <c r="A102" s="227" t="s">
        <v>8</v>
      </c>
      <c r="B102" s="276">
        <v>282835</v>
      </c>
      <c r="C102" s="276">
        <v>639399</v>
      </c>
      <c r="D102" s="276">
        <v>439540</v>
      </c>
      <c r="E102" s="276">
        <v>547246</v>
      </c>
      <c r="F102" s="276">
        <v>525457</v>
      </c>
    </row>
    <row r="103" spans="1:24" x14ac:dyDescent="0.25">
      <c r="A103" s="233" t="s">
        <v>262</v>
      </c>
      <c r="B103" s="234">
        <f>IF(OR(B102="",B102="無"),"",B102/B101)</f>
        <v>0.94130235096781067</v>
      </c>
      <c r="C103" s="234">
        <f>IF(OR(C102="",C102="無"),"",C102/C101)</f>
        <v>0.9803831074543885</v>
      </c>
      <c r="D103" s="234">
        <f>IF(OR(D102="",D102="無"),"",D102/D101)</f>
        <v>0.96503361392507891</v>
      </c>
      <c r="E103" s="234">
        <f>IF(OR(E102="",E102="無"),"",E102/E101)</f>
        <v>0.9704491851536593</v>
      </c>
      <c r="F103" s="234">
        <f>IF(OR(F102="",F102="無"),"",F102/F101)</f>
        <v>0.9794950946674198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331428</v>
      </c>
      <c r="C106" s="273">
        <v>280575</v>
      </c>
      <c r="D106" s="273">
        <v>274622</v>
      </c>
      <c r="E106" s="273">
        <v>406455</v>
      </c>
      <c r="F106" s="273">
        <v>351735</v>
      </c>
      <c r="G106" s="273">
        <v>417471</v>
      </c>
      <c r="H106" s="273">
        <v>429838</v>
      </c>
      <c r="I106" s="273">
        <v>425526</v>
      </c>
      <c r="J106" s="273">
        <v>448027</v>
      </c>
      <c r="K106" s="273">
        <v>467398</v>
      </c>
      <c r="L106" s="273">
        <v>354334</v>
      </c>
      <c r="M106" s="273">
        <v>346879</v>
      </c>
      <c r="N106" s="273">
        <v>407602</v>
      </c>
      <c r="O106" s="273">
        <v>515749</v>
      </c>
      <c r="P106" s="273">
        <v>413606</v>
      </c>
      <c r="Q106" s="273">
        <v>448775</v>
      </c>
      <c r="R106" s="273">
        <v>436772</v>
      </c>
      <c r="S106" s="273">
        <v>533696</v>
      </c>
      <c r="T106" s="273">
        <v>464852</v>
      </c>
      <c r="U106" s="273">
        <v>389630</v>
      </c>
      <c r="V106" s="273">
        <v>450575</v>
      </c>
      <c r="W106" s="273">
        <v>597705</v>
      </c>
      <c r="X106" s="273">
        <v>520825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5">
        <v>49473</v>
      </c>
      <c r="G107" s="275">
        <v>27328</v>
      </c>
      <c r="H107" s="275">
        <v>25088</v>
      </c>
      <c r="I107" s="275">
        <v>25097</v>
      </c>
      <c r="J107" s="275">
        <v>20097</v>
      </c>
      <c r="K107" s="275">
        <v>20106</v>
      </c>
      <c r="L107" s="275">
        <v>20106</v>
      </c>
      <c r="M107" s="275">
        <v>12115</v>
      </c>
      <c r="N107" s="275">
        <v>12115</v>
      </c>
      <c r="O107" s="275">
        <v>12125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391609</v>
      </c>
      <c r="C108" s="273">
        <v>383461</v>
      </c>
      <c r="D108" s="273">
        <v>526239</v>
      </c>
      <c r="E108" s="273">
        <v>353391</v>
      </c>
      <c r="F108" s="273">
        <v>558947</v>
      </c>
      <c r="G108" s="273">
        <v>580715</v>
      </c>
      <c r="H108" s="273">
        <v>457940</v>
      </c>
      <c r="I108" s="273">
        <v>433255</v>
      </c>
      <c r="J108" s="273">
        <v>436243</v>
      </c>
      <c r="K108" s="273">
        <v>430377</v>
      </c>
      <c r="L108" s="273">
        <v>373915</v>
      </c>
      <c r="M108" s="273">
        <v>347417</v>
      </c>
      <c r="N108" s="273">
        <v>454448</v>
      </c>
      <c r="O108" s="273">
        <v>469508</v>
      </c>
      <c r="P108" s="273">
        <v>451566</v>
      </c>
      <c r="Q108" s="273">
        <v>358239</v>
      </c>
      <c r="R108" s="273">
        <v>406099</v>
      </c>
      <c r="S108" s="273">
        <v>401378</v>
      </c>
      <c r="T108" s="273">
        <v>414102</v>
      </c>
      <c r="U108" s="273">
        <v>404802</v>
      </c>
      <c r="V108" s="273">
        <v>495756</v>
      </c>
      <c r="W108" s="273">
        <v>444666</v>
      </c>
      <c r="X108" s="273">
        <v>457772</v>
      </c>
    </row>
    <row r="109" spans="1:24" ht="14.25" thickBot="1" x14ac:dyDescent="0.3">
      <c r="A109" s="225" t="s">
        <v>264</v>
      </c>
      <c r="B109" s="275">
        <v>994293</v>
      </c>
      <c r="C109" s="275">
        <v>1071492</v>
      </c>
      <c r="D109" s="275">
        <v>874124</v>
      </c>
      <c r="E109" s="275">
        <v>798214</v>
      </c>
      <c r="F109" s="275">
        <v>845782</v>
      </c>
      <c r="G109" s="275">
        <v>822676</v>
      </c>
      <c r="H109" s="275">
        <v>887988</v>
      </c>
      <c r="I109" s="275">
        <v>989416</v>
      </c>
      <c r="J109" s="275">
        <v>1181399</v>
      </c>
      <c r="K109" s="275">
        <v>1220489</v>
      </c>
      <c r="L109" s="275">
        <v>1089062</v>
      </c>
      <c r="M109" s="275">
        <v>1059876</v>
      </c>
      <c r="N109" s="275">
        <v>1085373</v>
      </c>
      <c r="O109" s="275">
        <v>1092629</v>
      </c>
      <c r="P109" s="275">
        <v>1055364</v>
      </c>
      <c r="Q109" s="275">
        <v>1075960</v>
      </c>
      <c r="R109" s="275">
        <v>1126157</v>
      </c>
      <c r="S109" s="275">
        <v>1205873</v>
      </c>
      <c r="T109" s="275">
        <v>1120456</v>
      </c>
      <c r="U109" s="275">
        <v>1075878</v>
      </c>
      <c r="V109" s="275">
        <v>1148412</v>
      </c>
      <c r="W109" s="275">
        <v>1281641</v>
      </c>
      <c r="X109" s="275">
        <v>1211401</v>
      </c>
    </row>
    <row r="110" spans="1:24" ht="14.25" thickBot="1" x14ac:dyDescent="0.3">
      <c r="A110" s="224" t="s">
        <v>23</v>
      </c>
      <c r="B110" s="273">
        <v>140506</v>
      </c>
      <c r="C110" s="273">
        <v>76728</v>
      </c>
      <c r="D110" s="273">
        <v>101672</v>
      </c>
      <c r="E110" s="273">
        <v>120198</v>
      </c>
      <c r="F110" s="273">
        <v>55310</v>
      </c>
      <c r="G110" s="273">
        <v>54200</v>
      </c>
      <c r="H110" s="273">
        <v>65091</v>
      </c>
      <c r="I110" s="273">
        <v>26981</v>
      </c>
      <c r="J110" s="273">
        <v>65938</v>
      </c>
      <c r="K110" s="273">
        <v>49709</v>
      </c>
      <c r="L110" s="273">
        <v>64570</v>
      </c>
      <c r="M110" s="273">
        <v>29998</v>
      </c>
      <c r="N110" s="273">
        <v>73461</v>
      </c>
      <c r="O110" s="273">
        <v>59648</v>
      </c>
      <c r="P110" s="273">
        <v>170552</v>
      </c>
      <c r="Q110" s="273">
        <v>139627</v>
      </c>
      <c r="R110" s="273">
        <v>175230</v>
      </c>
      <c r="S110" s="273">
        <v>76101</v>
      </c>
      <c r="T110" s="273">
        <v>160495</v>
      </c>
      <c r="U110" s="273">
        <v>127095</v>
      </c>
      <c r="V110" s="273">
        <v>170270</v>
      </c>
      <c r="W110" s="273">
        <v>154969</v>
      </c>
      <c r="X110" s="273">
        <v>134316</v>
      </c>
    </row>
    <row r="111" spans="1:24" ht="14.25" thickBot="1" x14ac:dyDescent="0.3">
      <c r="A111" s="225" t="s">
        <v>24</v>
      </c>
      <c r="B111" s="275">
        <v>1857836</v>
      </c>
      <c r="C111" s="275">
        <v>1812256</v>
      </c>
      <c r="D111" s="275">
        <v>1776657</v>
      </c>
      <c r="E111" s="275">
        <v>1678258</v>
      </c>
      <c r="F111" s="275">
        <v>1861247</v>
      </c>
      <c r="G111" s="275">
        <v>1902390</v>
      </c>
      <c r="H111" s="275">
        <v>1865945</v>
      </c>
      <c r="I111" s="275">
        <v>1900275</v>
      </c>
      <c r="J111" s="275">
        <v>2151704</v>
      </c>
      <c r="K111" s="275">
        <v>2188079</v>
      </c>
      <c r="L111" s="275">
        <v>1901987</v>
      </c>
      <c r="M111" s="275">
        <v>1796285</v>
      </c>
      <c r="N111" s="275">
        <v>2032999</v>
      </c>
      <c r="O111" s="275">
        <v>2149659</v>
      </c>
      <c r="P111" s="275">
        <v>2091088</v>
      </c>
      <c r="Q111" s="275">
        <v>2022601</v>
      </c>
      <c r="R111" s="275">
        <v>2144258</v>
      </c>
      <c r="S111" s="275">
        <v>2217048</v>
      </c>
      <c r="T111" s="275">
        <v>2159905</v>
      </c>
      <c r="U111" s="275">
        <v>1997405</v>
      </c>
      <c r="V111" s="275">
        <v>2265013</v>
      </c>
      <c r="W111" s="275">
        <v>2478981</v>
      </c>
      <c r="X111" s="275">
        <v>2324314</v>
      </c>
    </row>
    <row r="112" spans="1:24" ht="14.25" thickBot="1" x14ac:dyDescent="0.3">
      <c r="A112" s="224" t="s">
        <v>25</v>
      </c>
      <c r="B112" s="273">
        <v>94994</v>
      </c>
      <c r="C112" s="273">
        <v>91319</v>
      </c>
      <c r="D112" s="273">
        <v>90161</v>
      </c>
      <c r="E112" s="273">
        <v>86241</v>
      </c>
      <c r="F112" s="273">
        <v>89140</v>
      </c>
      <c r="G112" s="273">
        <v>90107</v>
      </c>
      <c r="H112" s="273">
        <v>92403</v>
      </c>
      <c r="I112" s="273">
        <v>93819</v>
      </c>
      <c r="J112" s="273">
        <v>96067</v>
      </c>
      <c r="K112" s="273">
        <v>95361</v>
      </c>
      <c r="L112" s="273">
        <v>98372</v>
      </c>
      <c r="M112" s="273">
        <v>100532</v>
      </c>
      <c r="N112" s="273">
        <v>99899</v>
      </c>
      <c r="O112" s="273">
        <v>98266</v>
      </c>
      <c r="P112" s="273">
        <v>102258</v>
      </c>
      <c r="Q112" s="273">
        <v>104258</v>
      </c>
      <c r="R112" s="273">
        <v>103760</v>
      </c>
      <c r="S112" s="273">
        <v>105161</v>
      </c>
      <c r="T112" s="273">
        <v>95507</v>
      </c>
      <c r="U112" s="273">
        <v>97381</v>
      </c>
      <c r="V112" s="273">
        <v>96008</v>
      </c>
      <c r="W112" s="273">
        <v>87618</v>
      </c>
      <c r="X112" s="273">
        <v>87989</v>
      </c>
    </row>
    <row r="113" spans="1:24" ht="14.25" thickBot="1" x14ac:dyDescent="0.3">
      <c r="A113" s="225" t="s">
        <v>26</v>
      </c>
      <c r="B113" s="275">
        <v>1966704</v>
      </c>
      <c r="C113" s="275">
        <v>1978175</v>
      </c>
      <c r="D113" s="275">
        <v>1952416</v>
      </c>
      <c r="E113" s="275">
        <v>1964042</v>
      </c>
      <c r="F113" s="275">
        <v>1880067</v>
      </c>
      <c r="G113" s="275">
        <v>1875744</v>
      </c>
      <c r="H113" s="275">
        <v>2099756</v>
      </c>
      <c r="I113" s="275">
        <v>2154269</v>
      </c>
      <c r="J113" s="275">
        <v>2140470</v>
      </c>
      <c r="K113" s="275">
        <v>2271538</v>
      </c>
      <c r="L113" s="275">
        <v>2301483</v>
      </c>
      <c r="M113" s="275">
        <v>2376146</v>
      </c>
      <c r="N113" s="275">
        <v>2477199</v>
      </c>
      <c r="O113" s="275">
        <v>2451657</v>
      </c>
      <c r="P113" s="275">
        <v>2415221</v>
      </c>
      <c r="Q113" s="275">
        <v>2375991</v>
      </c>
      <c r="R113" s="275">
        <v>2538211</v>
      </c>
      <c r="S113" s="275">
        <v>2498084</v>
      </c>
      <c r="T113" s="275">
        <v>2464754</v>
      </c>
      <c r="U113" s="275">
        <v>2530000</v>
      </c>
      <c r="V113" s="275">
        <v>2488192</v>
      </c>
      <c r="W113" s="275">
        <v>2727849</v>
      </c>
      <c r="X113" s="275">
        <v>2728246</v>
      </c>
    </row>
    <row r="114" spans="1:24" ht="14.25" thickBot="1" x14ac:dyDescent="0.3">
      <c r="A114" s="224" t="s">
        <v>27</v>
      </c>
      <c r="B114" s="273">
        <v>38660</v>
      </c>
      <c r="C114" s="273">
        <v>39027</v>
      </c>
      <c r="D114" s="273">
        <v>39634</v>
      </c>
      <c r="E114" s="273">
        <v>38502</v>
      </c>
      <c r="F114" s="273">
        <v>186787</v>
      </c>
      <c r="G114" s="273">
        <v>190645</v>
      </c>
      <c r="H114" s="273">
        <v>62520</v>
      </c>
      <c r="I114" s="273">
        <v>213216</v>
      </c>
      <c r="J114" s="273">
        <v>307650</v>
      </c>
      <c r="K114" s="273">
        <v>307195</v>
      </c>
      <c r="L114" s="273">
        <v>317656</v>
      </c>
      <c r="M114" s="273">
        <v>244447</v>
      </c>
      <c r="N114" s="273">
        <v>109926</v>
      </c>
      <c r="O114" s="273">
        <v>104232</v>
      </c>
      <c r="P114" s="273">
        <v>177127</v>
      </c>
      <c r="Q114" s="273">
        <v>262327</v>
      </c>
      <c r="R114" s="273">
        <v>127052</v>
      </c>
      <c r="S114" s="273">
        <v>152161</v>
      </c>
      <c r="T114" s="273">
        <v>201518</v>
      </c>
      <c r="U114" s="273">
        <v>163192</v>
      </c>
      <c r="V114" s="273">
        <v>251092</v>
      </c>
      <c r="W114" s="273">
        <v>142011</v>
      </c>
      <c r="X114" s="273">
        <v>92668</v>
      </c>
    </row>
    <row r="115" spans="1:24" ht="14.25" thickBot="1" x14ac:dyDescent="0.3">
      <c r="A115" s="225" t="s">
        <v>265</v>
      </c>
      <c r="B115" s="276">
        <v>3958194</v>
      </c>
      <c r="C115" s="276">
        <v>3920777</v>
      </c>
      <c r="D115" s="276">
        <v>3858868</v>
      </c>
      <c r="E115" s="276">
        <v>3767043</v>
      </c>
      <c r="F115" s="276">
        <v>4017241</v>
      </c>
      <c r="G115" s="276">
        <v>4058886</v>
      </c>
      <c r="H115" s="276">
        <v>4120624</v>
      </c>
      <c r="I115" s="276">
        <v>4361579</v>
      </c>
      <c r="J115" s="276">
        <v>4695891</v>
      </c>
      <c r="K115" s="276">
        <v>4862173</v>
      </c>
      <c r="L115" s="276">
        <v>4619498</v>
      </c>
      <c r="M115" s="276">
        <v>4517410</v>
      </c>
      <c r="N115" s="276">
        <v>4720023</v>
      </c>
      <c r="O115" s="276">
        <v>4803814</v>
      </c>
      <c r="P115" s="276">
        <v>4785694</v>
      </c>
      <c r="Q115" s="276">
        <v>4765177</v>
      </c>
      <c r="R115" s="276">
        <v>4913281</v>
      </c>
      <c r="S115" s="276">
        <v>4972454</v>
      </c>
      <c r="T115" s="276">
        <v>4921684</v>
      </c>
      <c r="U115" s="276">
        <v>4787978</v>
      </c>
      <c r="V115" s="276">
        <v>5100305</v>
      </c>
      <c r="W115" s="276">
        <v>5436459</v>
      </c>
      <c r="X115" s="276">
        <v>5233217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620182</v>
      </c>
      <c r="C118" s="273">
        <v>487282</v>
      </c>
      <c r="D118" s="273">
        <v>543399</v>
      </c>
      <c r="E118" s="273">
        <v>330885</v>
      </c>
      <c r="F118" s="273">
        <v>383041</v>
      </c>
      <c r="G118" s="273">
        <v>323277</v>
      </c>
      <c r="H118" s="273">
        <v>327698</v>
      </c>
      <c r="I118" s="273">
        <v>348530</v>
      </c>
      <c r="J118" s="273">
        <v>484800</v>
      </c>
      <c r="K118" s="273">
        <v>542121</v>
      </c>
      <c r="L118" s="273">
        <v>530351</v>
      </c>
      <c r="M118" s="273">
        <v>498964</v>
      </c>
      <c r="N118" s="273">
        <v>408271</v>
      </c>
      <c r="O118" s="273">
        <v>418394</v>
      </c>
      <c r="P118" s="273">
        <v>751648</v>
      </c>
      <c r="Q118" s="273">
        <v>662130</v>
      </c>
      <c r="R118" s="273">
        <v>654407</v>
      </c>
      <c r="S118" s="273">
        <v>487618</v>
      </c>
      <c r="T118" s="273">
        <v>845365</v>
      </c>
      <c r="U118" s="273">
        <v>628874</v>
      </c>
      <c r="V118" s="273">
        <v>602922</v>
      </c>
      <c r="W118" s="273">
        <v>741346</v>
      </c>
      <c r="X118" s="273">
        <v>840392</v>
      </c>
    </row>
    <row r="119" spans="1:24" ht="14.25" thickBot="1" x14ac:dyDescent="0.3">
      <c r="A119" s="225" t="s">
        <v>29</v>
      </c>
      <c r="B119" s="275">
        <v>149911</v>
      </c>
      <c r="C119" s="275">
        <v>179877</v>
      </c>
      <c r="D119" s="275">
        <v>149913</v>
      </c>
      <c r="E119" s="275">
        <v>149901</v>
      </c>
      <c r="F119" s="275">
        <v>119961</v>
      </c>
      <c r="G119" s="275">
        <v>59965</v>
      </c>
      <c r="H119" s="275">
        <v>59989</v>
      </c>
      <c r="I119" s="275">
        <v>29989</v>
      </c>
      <c r="J119" s="275">
        <v>139964</v>
      </c>
      <c r="K119" s="275">
        <v>159926</v>
      </c>
      <c r="L119" s="275">
        <v>169947</v>
      </c>
      <c r="M119" s="275">
        <v>169929</v>
      </c>
      <c r="N119" s="275">
        <v>169926</v>
      </c>
      <c r="O119" s="275">
        <v>99968</v>
      </c>
      <c r="P119" s="275">
        <v>129929</v>
      </c>
      <c r="Q119" s="275">
        <v>79932</v>
      </c>
      <c r="R119" s="275">
        <v>159847</v>
      </c>
      <c r="S119" s="275">
        <v>139902</v>
      </c>
      <c r="T119" s="275">
        <v>99930</v>
      </c>
      <c r="U119" s="275">
        <v>149974</v>
      </c>
      <c r="V119" s="275">
        <v>259896</v>
      </c>
      <c r="W119" s="275">
        <v>279960</v>
      </c>
      <c r="X119" s="275">
        <v>259939</v>
      </c>
    </row>
    <row r="120" spans="1:24" ht="14.25" thickBot="1" x14ac:dyDescent="0.3">
      <c r="A120" s="224" t="s">
        <v>266</v>
      </c>
      <c r="B120" s="273">
        <v>448810</v>
      </c>
      <c r="C120" s="273">
        <v>351116</v>
      </c>
      <c r="D120" s="273">
        <v>369314</v>
      </c>
      <c r="E120" s="273">
        <v>373957</v>
      </c>
      <c r="F120" s="273">
        <v>476381</v>
      </c>
      <c r="G120" s="273">
        <v>503970</v>
      </c>
      <c r="H120" s="273">
        <v>525285</v>
      </c>
      <c r="I120" s="273">
        <v>532414</v>
      </c>
      <c r="J120" s="273">
        <v>469514</v>
      </c>
      <c r="K120" s="273">
        <v>485639</v>
      </c>
      <c r="L120" s="273">
        <v>447443</v>
      </c>
      <c r="M120" s="273">
        <v>342462</v>
      </c>
      <c r="N120" s="273">
        <v>454142</v>
      </c>
      <c r="O120" s="273">
        <v>570192</v>
      </c>
      <c r="P120" s="273">
        <v>454120</v>
      </c>
      <c r="Q120" s="273">
        <v>396235</v>
      </c>
      <c r="R120" s="273">
        <v>418747</v>
      </c>
      <c r="S120" s="273">
        <v>473558</v>
      </c>
      <c r="T120" s="273">
        <v>383068</v>
      </c>
      <c r="U120" s="273">
        <v>322526</v>
      </c>
      <c r="V120" s="273">
        <v>457642</v>
      </c>
      <c r="W120" s="273">
        <v>467853</v>
      </c>
      <c r="X120" s="273">
        <v>370746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88038</v>
      </c>
      <c r="C122" s="273">
        <v>107580</v>
      </c>
      <c r="D122" s="273">
        <v>112308</v>
      </c>
      <c r="E122" s="273">
        <v>121107</v>
      </c>
      <c r="F122" s="273">
        <v>177407</v>
      </c>
      <c r="G122" s="273">
        <v>117143</v>
      </c>
      <c r="H122" s="273">
        <v>124306</v>
      </c>
      <c r="I122" s="273">
        <v>131466</v>
      </c>
      <c r="J122" s="273">
        <v>141429</v>
      </c>
      <c r="K122" s="273">
        <v>138892</v>
      </c>
      <c r="L122" s="273">
        <v>134175</v>
      </c>
      <c r="M122" s="273">
        <v>133567</v>
      </c>
      <c r="N122" s="273">
        <v>130192</v>
      </c>
      <c r="O122" s="273">
        <v>144196</v>
      </c>
      <c r="P122" s="273">
        <v>153900</v>
      </c>
      <c r="Q122" s="273">
        <v>153275</v>
      </c>
      <c r="R122" s="273">
        <v>170153</v>
      </c>
      <c r="S122" s="273">
        <v>262152</v>
      </c>
      <c r="T122" s="273">
        <v>260081</v>
      </c>
      <c r="U122" s="273">
        <v>146009</v>
      </c>
      <c r="V122" s="68">
        <v>0</v>
      </c>
      <c r="W122" s="273">
        <v>155370</v>
      </c>
      <c r="X122" s="273">
        <v>160873</v>
      </c>
    </row>
    <row r="123" spans="1:24" ht="14.25" thickBot="1" x14ac:dyDescent="0.3">
      <c r="A123" s="225" t="s">
        <v>31</v>
      </c>
      <c r="B123" s="275">
        <v>198323</v>
      </c>
      <c r="C123" s="275">
        <v>419283</v>
      </c>
      <c r="D123" s="275">
        <v>146914</v>
      </c>
      <c r="E123" s="275">
        <v>176200</v>
      </c>
      <c r="F123" s="275">
        <v>187843</v>
      </c>
      <c r="G123" s="275">
        <v>457149</v>
      </c>
      <c r="H123" s="275">
        <v>209744</v>
      </c>
      <c r="I123" s="275">
        <v>256637</v>
      </c>
      <c r="J123" s="275">
        <v>273043</v>
      </c>
      <c r="K123" s="275">
        <v>633645</v>
      </c>
      <c r="L123" s="275">
        <v>163134</v>
      </c>
      <c r="M123" s="275">
        <v>180729</v>
      </c>
      <c r="N123" s="275">
        <v>208933</v>
      </c>
      <c r="O123" s="275">
        <v>605973</v>
      </c>
      <c r="P123" s="275">
        <v>181596</v>
      </c>
      <c r="Q123" s="275">
        <v>218536</v>
      </c>
      <c r="R123" s="275">
        <v>244723</v>
      </c>
      <c r="S123" s="275">
        <v>640682</v>
      </c>
      <c r="T123" s="275">
        <v>250408</v>
      </c>
      <c r="U123" s="275">
        <v>257063</v>
      </c>
      <c r="V123" s="275">
        <v>407698</v>
      </c>
      <c r="W123" s="275">
        <v>681755</v>
      </c>
      <c r="X123" s="275">
        <v>240058</v>
      </c>
    </row>
    <row r="124" spans="1:24" ht="14.25" thickBot="1" x14ac:dyDescent="0.3">
      <c r="A124" s="224" t="s">
        <v>268</v>
      </c>
      <c r="B124" s="273">
        <v>1505264</v>
      </c>
      <c r="C124" s="273">
        <v>1545138</v>
      </c>
      <c r="D124" s="273">
        <v>1321848</v>
      </c>
      <c r="E124" s="273">
        <v>1152050</v>
      </c>
      <c r="F124" s="273">
        <v>1344633</v>
      </c>
      <c r="G124" s="273">
        <v>1461504</v>
      </c>
      <c r="H124" s="273">
        <v>1247022</v>
      </c>
      <c r="I124" s="273">
        <v>1299036</v>
      </c>
      <c r="J124" s="273">
        <v>1508750</v>
      </c>
      <c r="K124" s="273">
        <v>1960223</v>
      </c>
      <c r="L124" s="273">
        <v>1445050</v>
      </c>
      <c r="M124" s="273">
        <v>1325651</v>
      </c>
      <c r="N124" s="273">
        <v>1371464</v>
      </c>
      <c r="O124" s="273">
        <v>1838723</v>
      </c>
      <c r="P124" s="273">
        <v>1671193</v>
      </c>
      <c r="Q124" s="273">
        <v>1510108</v>
      </c>
      <c r="R124" s="273">
        <v>1647877</v>
      </c>
      <c r="S124" s="273">
        <v>2003912</v>
      </c>
      <c r="T124" s="273">
        <v>1838852</v>
      </c>
      <c r="U124" s="273">
        <v>1504446</v>
      </c>
      <c r="V124" s="273">
        <v>1728158</v>
      </c>
      <c r="W124" s="273">
        <v>2326284</v>
      </c>
      <c r="X124" s="273">
        <v>1872008</v>
      </c>
    </row>
    <row r="125" spans="1:24" ht="14.25" thickBot="1" x14ac:dyDescent="0.3">
      <c r="A125" s="225" t="s">
        <v>32</v>
      </c>
      <c r="B125" s="275">
        <v>282264</v>
      </c>
      <c r="C125" s="275">
        <v>403000</v>
      </c>
      <c r="D125" s="275">
        <v>474500</v>
      </c>
      <c r="E125" s="275">
        <v>481929</v>
      </c>
      <c r="F125" s="275">
        <v>475904</v>
      </c>
      <c r="G125" s="275">
        <v>502122</v>
      </c>
      <c r="H125" s="275">
        <v>620069</v>
      </c>
      <c r="I125" s="275">
        <v>633359</v>
      </c>
      <c r="J125" s="275">
        <v>636392</v>
      </c>
      <c r="K125" s="275">
        <v>680886</v>
      </c>
      <c r="L125" s="275">
        <v>827020</v>
      </c>
      <c r="M125" s="275">
        <v>748462</v>
      </c>
      <c r="N125" s="275">
        <v>809438</v>
      </c>
      <c r="O125" s="275">
        <v>670857</v>
      </c>
      <c r="P125" s="275">
        <v>671907</v>
      </c>
      <c r="Q125" s="275">
        <v>692626</v>
      </c>
      <c r="R125" s="275">
        <v>582443</v>
      </c>
      <c r="S125" s="275">
        <v>586487</v>
      </c>
      <c r="T125" s="275">
        <v>563168</v>
      </c>
      <c r="U125" s="275">
        <v>647387</v>
      </c>
      <c r="V125" s="275">
        <v>609305</v>
      </c>
      <c r="W125" s="275">
        <v>632584</v>
      </c>
      <c r="X125" s="275">
        <v>748908</v>
      </c>
    </row>
    <row r="126" spans="1:24" ht="14.25" thickBot="1" x14ac:dyDescent="0.3">
      <c r="A126" s="224" t="s">
        <v>33</v>
      </c>
      <c r="B126" s="273">
        <v>41048</v>
      </c>
      <c r="C126" s="273">
        <v>43303</v>
      </c>
      <c r="D126" s="273">
        <v>46102</v>
      </c>
      <c r="E126" s="273">
        <v>50067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1828576</v>
      </c>
      <c r="C127" s="275">
        <v>1991441</v>
      </c>
      <c r="D127" s="275">
        <v>1842450</v>
      </c>
      <c r="E127" s="275">
        <v>1684046</v>
      </c>
      <c r="F127" s="275">
        <v>1820537</v>
      </c>
      <c r="G127" s="275">
        <v>1963626</v>
      </c>
      <c r="H127" s="275">
        <v>1867091</v>
      </c>
      <c r="I127" s="275">
        <v>1932395</v>
      </c>
      <c r="J127" s="275">
        <v>2145142</v>
      </c>
      <c r="K127" s="275">
        <v>2641109</v>
      </c>
      <c r="L127" s="275">
        <v>2272070</v>
      </c>
      <c r="M127" s="275">
        <v>2074113</v>
      </c>
      <c r="N127" s="275">
        <v>2180902</v>
      </c>
      <c r="O127" s="275">
        <v>2509580</v>
      </c>
      <c r="P127" s="275">
        <v>2343100</v>
      </c>
      <c r="Q127" s="275">
        <v>2202734</v>
      </c>
      <c r="R127" s="275">
        <v>2230320</v>
      </c>
      <c r="S127" s="275">
        <v>2590399</v>
      </c>
      <c r="T127" s="275">
        <v>2402020</v>
      </c>
      <c r="U127" s="275">
        <v>2151833</v>
      </c>
      <c r="V127" s="275">
        <v>2337463</v>
      </c>
      <c r="W127" s="275">
        <v>2958868</v>
      </c>
      <c r="X127" s="275">
        <v>2620916</v>
      </c>
    </row>
    <row r="128" spans="1:24" ht="14.25" thickBot="1" x14ac:dyDescent="0.3">
      <c r="A128" s="224" t="s">
        <v>34</v>
      </c>
      <c r="B128" s="273">
        <v>2129618</v>
      </c>
      <c r="C128" s="273">
        <v>1929336</v>
      </c>
      <c r="D128" s="273">
        <v>2016418</v>
      </c>
      <c r="E128" s="273">
        <v>2082997</v>
      </c>
      <c r="F128" s="273">
        <v>2196704</v>
      </c>
      <c r="G128" s="273">
        <v>2095260</v>
      </c>
      <c r="H128" s="273">
        <v>2253533</v>
      </c>
      <c r="I128" s="273">
        <v>2429184</v>
      </c>
      <c r="J128" s="273">
        <v>2550749</v>
      </c>
      <c r="K128" s="273">
        <v>2221064</v>
      </c>
      <c r="L128" s="273">
        <v>2347428</v>
      </c>
      <c r="M128" s="273">
        <v>2443297</v>
      </c>
      <c r="N128" s="273">
        <v>2539121</v>
      </c>
      <c r="O128" s="273">
        <v>2294234</v>
      </c>
      <c r="P128" s="273">
        <v>2442594</v>
      </c>
      <c r="Q128" s="273">
        <v>2562443</v>
      </c>
      <c r="R128" s="273">
        <v>2682961</v>
      </c>
      <c r="S128" s="273">
        <v>2382055</v>
      </c>
      <c r="T128" s="273">
        <v>2519664</v>
      </c>
      <c r="U128" s="273">
        <v>2636145</v>
      </c>
      <c r="V128" s="273">
        <v>2762842</v>
      </c>
      <c r="W128" s="273">
        <v>2477591</v>
      </c>
      <c r="X128" s="273">
        <v>2612301</v>
      </c>
    </row>
    <row r="129" spans="1:24" ht="14.25" thickBot="1" x14ac:dyDescent="0.3">
      <c r="A129" s="225" t="s">
        <v>35</v>
      </c>
      <c r="B129" s="276">
        <v>3958194</v>
      </c>
      <c r="C129" s="276">
        <v>3920777</v>
      </c>
      <c r="D129" s="276">
        <v>3858868</v>
      </c>
      <c r="E129" s="276">
        <v>3767043</v>
      </c>
      <c r="F129" s="276">
        <v>4017241</v>
      </c>
      <c r="G129" s="276">
        <v>4058886</v>
      </c>
      <c r="H129" s="276">
        <v>4120624</v>
      </c>
      <c r="I129" s="276">
        <v>4361579</v>
      </c>
      <c r="J129" s="276">
        <v>4695891</v>
      </c>
      <c r="K129" s="276">
        <v>4862173</v>
      </c>
      <c r="L129" s="276">
        <v>4619498</v>
      </c>
      <c r="M129" s="276">
        <v>4517410</v>
      </c>
      <c r="N129" s="276">
        <v>4720023</v>
      </c>
      <c r="O129" s="276">
        <v>4803814</v>
      </c>
      <c r="P129" s="276">
        <v>4785694</v>
      </c>
      <c r="Q129" s="276">
        <v>4765177</v>
      </c>
      <c r="R129" s="276">
        <v>4913281</v>
      </c>
      <c r="S129" s="276">
        <v>4972454</v>
      </c>
      <c r="T129" s="276">
        <v>4921684</v>
      </c>
      <c r="U129" s="276">
        <v>4787978</v>
      </c>
      <c r="V129" s="276">
        <v>5100305</v>
      </c>
      <c r="W129" s="276">
        <v>5436459</v>
      </c>
      <c r="X129" s="276">
        <v>5233217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5.49</v>
      </c>
      <c r="C132" s="68">
        <v>6.81</v>
      </c>
      <c r="D132" s="68">
        <v>3.59</v>
      </c>
      <c r="E132" s="68">
        <v>6.5</v>
      </c>
      <c r="F132" s="68">
        <v>6.75</v>
      </c>
    </row>
    <row r="133" spans="1:24" ht="14.25" thickBot="1" x14ac:dyDescent="0.3">
      <c r="A133" s="225" t="s">
        <v>37</v>
      </c>
      <c r="B133" s="274">
        <v>-2.09</v>
      </c>
      <c r="C133" s="274">
        <v>-4.2300000000000004</v>
      </c>
      <c r="D133" s="274">
        <v>-3.95</v>
      </c>
      <c r="E133" s="274">
        <v>-2.3199999999999998</v>
      </c>
      <c r="F133" s="274">
        <v>-3.24</v>
      </c>
    </row>
    <row r="134" spans="1:24" ht="14.25" thickBot="1" x14ac:dyDescent="0.3">
      <c r="A134" s="224" t="s">
        <v>38</v>
      </c>
      <c r="B134" s="68">
        <v>-2.84</v>
      </c>
      <c r="C134" s="68">
        <v>-2.44</v>
      </c>
      <c r="D134" s="68">
        <v>-0.35</v>
      </c>
      <c r="E134" s="68">
        <v>-3.33</v>
      </c>
      <c r="F134" s="68">
        <v>-3.94</v>
      </c>
    </row>
    <row r="135" spans="1:24" ht="14.25" thickBot="1" x14ac:dyDescent="0.3">
      <c r="A135" s="225" t="s">
        <v>270</v>
      </c>
      <c r="B135" s="274">
        <v>3.4</v>
      </c>
      <c r="C135" s="274">
        <v>2.58</v>
      </c>
      <c r="D135" s="274">
        <v>-0.36</v>
      </c>
      <c r="E135" s="274">
        <v>4.18</v>
      </c>
      <c r="F135" s="274">
        <v>3.5</v>
      </c>
    </row>
    <row r="136" spans="1:24" ht="14.25" thickBot="1" x14ac:dyDescent="0.3">
      <c r="A136" s="229" t="s">
        <v>39</v>
      </c>
      <c r="B136" s="72">
        <v>0.56000000000000005</v>
      </c>
      <c r="C136" s="72">
        <v>0.14000000000000001</v>
      </c>
      <c r="D136" s="72">
        <v>-0.71</v>
      </c>
      <c r="E136" s="72">
        <v>0.85</v>
      </c>
      <c r="F136" s="72">
        <v>-0.43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2.2000000000000002</v>
      </c>
      <c r="C140" s="68">
        <v>3.7</v>
      </c>
      <c r="D140" s="68">
        <v>3.5</v>
      </c>
      <c r="E140" s="68">
        <v>3.6</v>
      </c>
      <c r="F140" s="68">
        <v>3.6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0.93220338983050854</v>
      </c>
      <c r="C142" s="234">
        <f>IF(C140&lt;&gt;"無",IF(ISNA(HLOOKUP(C139,$B$64:$F$69,6,FALSE)),"",C140/HLOOKUP(C139,$B$64:$F$69,6,FALSE)),"")</f>
        <v>0.69548872180451127</v>
      </c>
      <c r="D142" s="234">
        <f>IF(D140&lt;&gt;"無",IF(ISNA(HLOOKUP(D139,$B$64:$F$69,6,FALSE)),"",D140/HLOOKUP(D139,$B$64:$F$69,6,FALSE)),"")</f>
        <v>0.95628415300546443</v>
      </c>
      <c r="E142" s="234">
        <f>IF(E140&lt;&gt;"無",IF(ISNA(HLOOKUP(E139,$B$64:$F$69,6,FALSE)),"",E140/HLOOKUP(E139,$B$64:$F$69,6,FALSE)),"")</f>
        <v>0.79120879120879106</v>
      </c>
      <c r="F142" s="234">
        <f>IF(F140&lt;&gt;"無",IF(ISNA(HLOOKUP(F139,$B$64:$F$69,6,FALSE)),"",F140/HLOOKUP(F139,$B$64:$F$69,6,FALSE)),"")</f>
        <v>0.82379862700228834</v>
      </c>
    </row>
    <row r="143" spans="1:24" x14ac:dyDescent="0.25">
      <c r="A143" s="233" t="s">
        <v>216</v>
      </c>
      <c r="B143" s="234">
        <f>IF(OR(B140=0,B140="無"),"",B135/B140)</f>
        <v>1.5454545454545452</v>
      </c>
      <c r="C143" s="234">
        <f>IF(OR(C140=0,C140="無"),"",C135/C140)</f>
        <v>0.69729729729729728</v>
      </c>
      <c r="D143" s="234">
        <f>IF(OR(D140=0,D140="無"),"",D135/D140)</f>
        <v>-0.10285714285714286</v>
      </c>
      <c r="E143" s="234">
        <f>IF(OR(E140=0,E140="無"),"",E135/E140)</f>
        <v>1.161111111111111</v>
      </c>
      <c r="F143" s="234">
        <f>IF(OR(F140=0,F140="無"),"",F135/F140)</f>
        <v>0.97222222222222221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11.93</v>
      </c>
      <c r="C146" s="68">
        <v>14.42</v>
      </c>
      <c r="D146" s="68">
        <v>14.7</v>
      </c>
      <c r="E146" s="68">
        <v>13.78</v>
      </c>
      <c r="F146" s="68">
        <v>17.559999999999999</v>
      </c>
      <c r="G146" s="68">
        <v>19.53</v>
      </c>
      <c r="H146" s="68">
        <v>19.53</v>
      </c>
      <c r="I146" s="68">
        <v>21.59</v>
      </c>
      <c r="J146" s="68">
        <v>19.52</v>
      </c>
      <c r="K146" s="68">
        <v>20.16</v>
      </c>
      <c r="L146" s="68">
        <v>16.86</v>
      </c>
      <c r="M146" s="68">
        <v>15.71</v>
      </c>
      <c r="N146" s="68">
        <v>19.02</v>
      </c>
      <c r="O146" s="68">
        <v>20.350000000000001</v>
      </c>
      <c r="P146" s="68">
        <v>21.26</v>
      </c>
      <c r="Q146" s="68">
        <v>20.95</v>
      </c>
      <c r="R146" s="68">
        <v>21.6</v>
      </c>
      <c r="S146" s="68">
        <v>21.46</v>
      </c>
      <c r="T146" s="68">
        <v>20</v>
      </c>
      <c r="U146" s="68">
        <v>17.809999999999999</v>
      </c>
      <c r="V146" s="68">
        <v>22.72</v>
      </c>
      <c r="W146" s="68">
        <v>21.11</v>
      </c>
      <c r="X146" s="68">
        <v>19.059999999999999</v>
      </c>
    </row>
    <row r="147" spans="1:24" s="93" customFormat="1" ht="14.25" thickBot="1" x14ac:dyDescent="0.3">
      <c r="A147" s="225" t="s">
        <v>19</v>
      </c>
      <c r="B147" s="274">
        <v>6.72</v>
      </c>
      <c r="C147" s="274">
        <v>8.84</v>
      </c>
      <c r="D147" s="274">
        <v>10.78</v>
      </c>
      <c r="E147" s="274">
        <v>9.43</v>
      </c>
      <c r="F147" s="274">
        <v>13.79</v>
      </c>
      <c r="G147" s="274">
        <v>15.33</v>
      </c>
      <c r="H147" s="274">
        <v>15.58</v>
      </c>
      <c r="I147" s="274">
        <v>17.2</v>
      </c>
      <c r="J147" s="274">
        <v>14.15</v>
      </c>
      <c r="K147" s="274">
        <v>15.43</v>
      </c>
      <c r="L147" s="274">
        <v>12.33</v>
      </c>
      <c r="M147" s="274">
        <v>10.1</v>
      </c>
      <c r="N147" s="274">
        <v>13.87</v>
      </c>
      <c r="O147" s="274">
        <v>15.98</v>
      </c>
      <c r="P147" s="274">
        <v>15.93</v>
      </c>
      <c r="Q147" s="274">
        <v>14.59</v>
      </c>
      <c r="R147" s="274">
        <v>15.67</v>
      </c>
      <c r="S147" s="274">
        <v>15.37</v>
      </c>
      <c r="T147" s="274">
        <v>14.99</v>
      </c>
      <c r="U147" s="274">
        <v>12.43</v>
      </c>
      <c r="V147" s="274">
        <v>16.88</v>
      </c>
      <c r="W147" s="274">
        <v>15.85</v>
      </c>
      <c r="X147" s="274">
        <v>14.34</v>
      </c>
    </row>
    <row r="148" spans="1:24" s="93" customFormat="1" ht="14.25" thickBot="1" x14ac:dyDescent="0.3">
      <c r="A148" s="224" t="s">
        <v>41</v>
      </c>
      <c r="B148" s="68">
        <v>8.64</v>
      </c>
      <c r="C148" s="68">
        <v>9.94</v>
      </c>
      <c r="D148" s="68">
        <v>11.07</v>
      </c>
      <c r="E148" s="68">
        <v>9.6</v>
      </c>
      <c r="F148" s="68">
        <v>15.12</v>
      </c>
      <c r="G148" s="68">
        <v>15.82</v>
      </c>
      <c r="H148" s="68">
        <v>15.84</v>
      </c>
      <c r="I148" s="68">
        <v>17.64</v>
      </c>
      <c r="J148" s="68">
        <v>14.71</v>
      </c>
      <c r="K148" s="68">
        <v>15.73</v>
      </c>
      <c r="L148" s="68">
        <v>13.19</v>
      </c>
      <c r="M148" s="68">
        <v>10.51</v>
      </c>
      <c r="N148" s="68">
        <v>13.35</v>
      </c>
      <c r="O148" s="68">
        <v>16.05</v>
      </c>
      <c r="P148" s="68">
        <v>15.26</v>
      </c>
      <c r="Q148" s="68">
        <v>14.35</v>
      </c>
      <c r="R148" s="68">
        <v>15.13</v>
      </c>
      <c r="S148" s="68">
        <v>15.55</v>
      </c>
      <c r="T148" s="68">
        <v>14.72</v>
      </c>
      <c r="U148" s="68">
        <v>13.11</v>
      </c>
      <c r="V148" s="68">
        <v>16.05</v>
      </c>
      <c r="W148" s="68">
        <v>15.67</v>
      </c>
      <c r="X148" s="68">
        <v>14.22</v>
      </c>
    </row>
    <row r="149" spans="1:24" s="93" customFormat="1" ht="14.25" thickBot="1" x14ac:dyDescent="0.3">
      <c r="A149" s="225" t="s">
        <v>13</v>
      </c>
      <c r="B149" s="73">
        <v>7.24</v>
      </c>
      <c r="C149" s="73">
        <v>7.09</v>
      </c>
      <c r="D149" s="73">
        <v>8.8800000000000008</v>
      </c>
      <c r="E149" s="73">
        <v>7.91</v>
      </c>
      <c r="F149" s="73">
        <v>12.49</v>
      </c>
      <c r="G149" s="73">
        <v>13.01</v>
      </c>
      <c r="H149" s="73">
        <v>13.04</v>
      </c>
      <c r="I149" s="73">
        <v>14.34</v>
      </c>
      <c r="J149" s="73">
        <v>12.1</v>
      </c>
      <c r="K149" s="73">
        <v>10.78</v>
      </c>
      <c r="L149" s="73">
        <v>10.77</v>
      </c>
      <c r="M149" s="73">
        <v>8.52</v>
      </c>
      <c r="N149" s="73">
        <v>10.93</v>
      </c>
      <c r="O149" s="73">
        <v>13.2</v>
      </c>
      <c r="P149" s="73">
        <v>12.43</v>
      </c>
      <c r="Q149" s="73">
        <v>11.61</v>
      </c>
      <c r="R149" s="73">
        <v>12.45</v>
      </c>
      <c r="S149" s="73">
        <v>12.47</v>
      </c>
      <c r="T149" s="73">
        <v>12.07</v>
      </c>
      <c r="U149" s="73">
        <v>10.74</v>
      </c>
      <c r="V149" s="73">
        <v>13.15</v>
      </c>
      <c r="W149" s="73">
        <v>12.68</v>
      </c>
      <c r="X149" s="73">
        <v>11.64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13.77</v>
      </c>
      <c r="C152" s="68">
        <v>19.64</v>
      </c>
      <c r="D152" s="68">
        <v>18.059999999999999</v>
      </c>
      <c r="E152" s="68">
        <v>20.43</v>
      </c>
      <c r="F152" s="68">
        <v>20.18</v>
      </c>
    </row>
    <row r="153" spans="1:24" s="93" customFormat="1" ht="14.25" thickBot="1" x14ac:dyDescent="0.3">
      <c r="A153" s="225" t="s">
        <v>19</v>
      </c>
      <c r="B153" s="274">
        <v>9.08</v>
      </c>
      <c r="C153" s="274">
        <v>15.55</v>
      </c>
      <c r="D153" s="274">
        <v>13.03</v>
      </c>
      <c r="E153" s="274">
        <v>15.17</v>
      </c>
      <c r="F153" s="274">
        <v>14.59</v>
      </c>
    </row>
    <row r="154" spans="1:24" s="93" customFormat="1" ht="14.25" thickBot="1" x14ac:dyDescent="0.3">
      <c r="A154" s="224" t="s">
        <v>41</v>
      </c>
      <c r="B154" s="68">
        <v>9.8699999999999992</v>
      </c>
      <c r="C154" s="68">
        <v>16.149999999999999</v>
      </c>
      <c r="D154" s="68">
        <v>13.57</v>
      </c>
      <c r="E154" s="68">
        <v>14.85</v>
      </c>
      <c r="F154" s="68">
        <v>14.62</v>
      </c>
    </row>
    <row r="155" spans="1:24" s="93" customFormat="1" ht="14.25" thickBot="1" x14ac:dyDescent="0.3">
      <c r="A155" s="225" t="s">
        <v>13</v>
      </c>
      <c r="B155" s="73">
        <v>7.86</v>
      </c>
      <c r="C155" s="73">
        <v>13.25</v>
      </c>
      <c r="D155" s="73">
        <v>10.54</v>
      </c>
      <c r="E155" s="73">
        <v>12.13</v>
      </c>
      <c r="F155" s="73">
        <v>11.92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1.65</v>
      </c>
      <c r="C158" s="68">
        <v>1.57</v>
      </c>
      <c r="D158" s="68">
        <v>2.56</v>
      </c>
      <c r="E158" s="68">
        <v>2.2799999999999998</v>
      </c>
      <c r="F158" s="68">
        <v>3.56</v>
      </c>
      <c r="G158" s="68">
        <v>4.12</v>
      </c>
      <c r="H158" s="68">
        <v>4.17</v>
      </c>
      <c r="I158" s="68">
        <v>4.46</v>
      </c>
      <c r="J158" s="68">
        <v>2.65</v>
      </c>
      <c r="K158" s="68">
        <v>2.66</v>
      </c>
      <c r="L158" s="68">
        <v>2.74</v>
      </c>
      <c r="M158" s="68">
        <v>2.02</v>
      </c>
      <c r="N158" s="68">
        <v>2.4900000000000002</v>
      </c>
      <c r="O158" s="68">
        <v>3.88</v>
      </c>
      <c r="P158" s="68">
        <v>3</v>
      </c>
      <c r="Q158" s="68">
        <v>2.85</v>
      </c>
      <c r="R158" s="68">
        <v>2.74</v>
      </c>
      <c r="S158" s="68">
        <v>2.94</v>
      </c>
      <c r="T158" s="68">
        <v>2.98</v>
      </c>
      <c r="U158" s="68">
        <v>2.6</v>
      </c>
      <c r="V158" s="68">
        <v>2.91</v>
      </c>
      <c r="W158" s="68">
        <v>2.94</v>
      </c>
      <c r="X158" s="68">
        <v>2.6</v>
      </c>
    </row>
    <row r="159" spans="1:24" s="93" customFormat="1" ht="14.25" thickBot="1" x14ac:dyDescent="0.3">
      <c r="A159" s="225" t="s">
        <v>45</v>
      </c>
      <c r="B159" s="73">
        <v>2.94</v>
      </c>
      <c r="C159" s="73">
        <v>2.94</v>
      </c>
      <c r="D159" s="73">
        <v>4.87</v>
      </c>
      <c r="E159" s="73">
        <v>4.05</v>
      </c>
      <c r="F159" s="73">
        <v>6.32</v>
      </c>
      <c r="G159" s="73">
        <v>7.62</v>
      </c>
      <c r="H159" s="73">
        <v>7.7</v>
      </c>
      <c r="I159" s="73">
        <v>7.95</v>
      </c>
      <c r="J159" s="73">
        <v>4.7</v>
      </c>
      <c r="K159" s="73">
        <v>5.21</v>
      </c>
      <c r="L159" s="73">
        <v>5.53</v>
      </c>
      <c r="M159" s="73">
        <v>3.66</v>
      </c>
      <c r="N159" s="73">
        <v>4.46</v>
      </c>
      <c r="O159" s="73">
        <v>7.48</v>
      </c>
      <c r="P159" s="73">
        <v>5.91</v>
      </c>
      <c r="Q159" s="73">
        <v>5.28</v>
      </c>
      <c r="R159" s="73">
        <v>4.91</v>
      </c>
      <c r="S159" s="73">
        <v>5.6</v>
      </c>
      <c r="T159" s="73">
        <v>5.87</v>
      </c>
      <c r="U159" s="73">
        <v>4.74</v>
      </c>
      <c r="V159" s="73">
        <v>5.21</v>
      </c>
      <c r="W159" s="73">
        <v>5.77</v>
      </c>
      <c r="X159" s="73">
        <v>5.28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7.86</v>
      </c>
      <c r="C162" s="68">
        <v>13.25</v>
      </c>
      <c r="D162" s="68">
        <v>10.54</v>
      </c>
      <c r="E162" s="68">
        <v>12.13</v>
      </c>
      <c r="F162" s="68">
        <v>11.92</v>
      </c>
    </row>
    <row r="163" spans="1:72" s="93" customFormat="1" ht="14.25" thickBot="1" x14ac:dyDescent="0.3">
      <c r="A163" s="225" t="s">
        <v>18</v>
      </c>
      <c r="B163" s="274">
        <v>1.02</v>
      </c>
      <c r="C163" s="274">
        <v>1.1299999999999999</v>
      </c>
      <c r="D163" s="274">
        <v>0.96</v>
      </c>
      <c r="E163" s="274">
        <v>0.98</v>
      </c>
      <c r="F163" s="274">
        <v>0.94</v>
      </c>
    </row>
    <row r="164" spans="1:72" s="93" customFormat="1" ht="14.25" thickBot="1" x14ac:dyDescent="0.3">
      <c r="A164" s="224" t="s">
        <v>15</v>
      </c>
      <c r="B164" s="68">
        <v>1.81</v>
      </c>
      <c r="C164" s="68">
        <v>1.8</v>
      </c>
      <c r="D164" s="68">
        <v>1.85</v>
      </c>
      <c r="E164" s="68">
        <v>1.86</v>
      </c>
      <c r="F164" s="68">
        <v>1.82</v>
      </c>
    </row>
    <row r="165" spans="1:72" s="93" customFormat="1" ht="14.25" thickBot="1" x14ac:dyDescent="0.3">
      <c r="A165" s="225" t="s">
        <v>45</v>
      </c>
      <c r="B165" s="73">
        <v>14.44</v>
      </c>
      <c r="C165" s="73">
        <v>28.91</v>
      </c>
      <c r="D165" s="73">
        <v>18.7</v>
      </c>
      <c r="E165" s="73">
        <v>22.53</v>
      </c>
      <c r="F165" s="73">
        <v>20.64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38.96</v>
      </c>
      <c r="C168" s="68">
        <v>41.47</v>
      </c>
      <c r="D168" s="68">
        <v>37.82</v>
      </c>
      <c r="E168" s="68">
        <v>37.82</v>
      </c>
      <c r="F168" s="68">
        <v>37.97</v>
      </c>
      <c r="G168" s="68">
        <v>40.72</v>
      </c>
      <c r="H168" s="68">
        <v>36.44</v>
      </c>
      <c r="I168" s="68">
        <v>30.93</v>
      </c>
      <c r="J168" s="68">
        <v>40.36</v>
      </c>
      <c r="K168" s="68">
        <v>33.83</v>
      </c>
      <c r="L168" s="68">
        <v>30.82</v>
      </c>
      <c r="M168" s="68">
        <v>31.58</v>
      </c>
      <c r="N168" s="68">
        <v>35.57</v>
      </c>
      <c r="O168" s="68">
        <v>30.41</v>
      </c>
      <c r="P168" s="68">
        <v>36.89</v>
      </c>
      <c r="Q168" s="68">
        <v>32.03</v>
      </c>
      <c r="R168" s="68">
        <v>33.33</v>
      </c>
      <c r="S168" s="68">
        <v>32.03</v>
      </c>
      <c r="T168" s="68">
        <v>30.82</v>
      </c>
      <c r="U168" s="68">
        <v>32.369999999999997</v>
      </c>
      <c r="V168" s="68">
        <v>37.97</v>
      </c>
      <c r="W168" s="68">
        <v>35.43</v>
      </c>
      <c r="X168" s="68">
        <v>35.159999999999997</v>
      </c>
    </row>
    <row r="169" spans="1:72" s="93" customFormat="1" ht="14.25" thickBot="1" x14ac:dyDescent="0.3">
      <c r="A169" s="225" t="s">
        <v>17</v>
      </c>
      <c r="B169" s="274">
        <v>116.88</v>
      </c>
      <c r="C169" s="274">
        <v>128.57</v>
      </c>
      <c r="D169" s="274">
        <v>94.74</v>
      </c>
      <c r="E169" s="274">
        <v>83.33</v>
      </c>
      <c r="F169" s="274">
        <v>82.57</v>
      </c>
      <c r="G169" s="274">
        <v>74.38</v>
      </c>
      <c r="H169" s="274">
        <v>74.38</v>
      </c>
      <c r="I169" s="274">
        <v>83.33</v>
      </c>
      <c r="J169" s="274">
        <v>125</v>
      </c>
      <c r="K169" s="274">
        <v>116.88</v>
      </c>
      <c r="L169" s="274">
        <v>107.14</v>
      </c>
      <c r="M169" s="274">
        <v>111.11</v>
      </c>
      <c r="N169" s="274">
        <v>116.88</v>
      </c>
      <c r="O169" s="274">
        <v>90</v>
      </c>
      <c r="P169" s="274">
        <v>108.43</v>
      </c>
      <c r="Q169" s="274">
        <v>107.14</v>
      </c>
      <c r="R169" s="274">
        <v>121.62</v>
      </c>
      <c r="S169" s="274">
        <v>116.88</v>
      </c>
      <c r="T169" s="274">
        <v>109.76</v>
      </c>
      <c r="U169" s="274">
        <v>105.88</v>
      </c>
      <c r="V169" s="274">
        <v>121.62</v>
      </c>
      <c r="W169" s="274">
        <v>116.88</v>
      </c>
      <c r="X169" s="274">
        <v>120</v>
      </c>
    </row>
    <row r="170" spans="1:72" s="93" customFormat="1" ht="14.25" thickBot="1" x14ac:dyDescent="0.3">
      <c r="A170" s="224" t="s">
        <v>42</v>
      </c>
      <c r="B170" s="72">
        <v>155.84</v>
      </c>
      <c r="C170" s="72">
        <v>170.05</v>
      </c>
      <c r="D170" s="72">
        <v>132.55000000000001</v>
      </c>
      <c r="E170" s="72">
        <v>121.15</v>
      </c>
      <c r="F170" s="72">
        <v>120.54</v>
      </c>
      <c r="G170" s="72">
        <v>115.1</v>
      </c>
      <c r="H170" s="72">
        <v>110.82</v>
      </c>
      <c r="I170" s="72">
        <v>114.26</v>
      </c>
      <c r="J170" s="72">
        <v>165.36</v>
      </c>
      <c r="K170" s="72">
        <v>150.72</v>
      </c>
      <c r="L170" s="72">
        <v>137.96</v>
      </c>
      <c r="M170" s="72">
        <v>142.69</v>
      </c>
      <c r="N170" s="72">
        <v>152.46</v>
      </c>
      <c r="O170" s="72">
        <v>120.41</v>
      </c>
      <c r="P170" s="72">
        <v>145.32</v>
      </c>
      <c r="Q170" s="72">
        <v>139.16999999999999</v>
      </c>
      <c r="R170" s="72">
        <v>154.94999999999999</v>
      </c>
      <c r="S170" s="72">
        <v>148.91</v>
      </c>
      <c r="T170" s="72">
        <v>140.58000000000001</v>
      </c>
      <c r="U170" s="72">
        <v>138.26</v>
      </c>
      <c r="V170" s="72">
        <v>159.6</v>
      </c>
      <c r="W170" s="72">
        <v>152.32</v>
      </c>
      <c r="X170" s="72">
        <v>155.16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220.56</v>
      </c>
      <c r="C173" s="72">
        <v>125.43</v>
      </c>
      <c r="D173" s="72">
        <v>95.31</v>
      </c>
      <c r="E173" s="72">
        <v>138.22</v>
      </c>
      <c r="F173" s="72">
        <v>151.19999999999999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5.94</v>
      </c>
      <c r="C176" s="72">
        <v>7.31</v>
      </c>
      <c r="D176" s="72">
        <v>8.33</v>
      </c>
      <c r="E176" s="72">
        <v>8.57</v>
      </c>
      <c r="F176" s="72">
        <v>8.6300000000000008</v>
      </c>
      <c r="G176" s="72">
        <v>8.18</v>
      </c>
      <c r="H176" s="72">
        <v>8.11</v>
      </c>
      <c r="I176" s="72">
        <v>9.6999999999999993</v>
      </c>
      <c r="J176" s="72">
        <v>10.32</v>
      </c>
      <c r="K176" s="72">
        <v>9.6999999999999993</v>
      </c>
      <c r="L176" s="72">
        <v>10.15</v>
      </c>
      <c r="M176" s="72">
        <v>10.75</v>
      </c>
      <c r="N176" s="72">
        <v>11.85</v>
      </c>
      <c r="O176" s="72">
        <v>12.17</v>
      </c>
      <c r="P176" s="72">
        <v>15.19</v>
      </c>
      <c r="Q176" s="72">
        <v>18.350000000000001</v>
      </c>
      <c r="R176" s="72">
        <v>22.04</v>
      </c>
      <c r="S176" s="72">
        <v>28.6</v>
      </c>
      <c r="T176" s="72">
        <v>29.61</v>
      </c>
      <c r="U176" s="72">
        <v>22.26</v>
      </c>
      <c r="V176" s="72">
        <v>21.92</v>
      </c>
      <c r="W176" s="72">
        <v>26.09</v>
      </c>
      <c r="X176" s="72">
        <v>26.95</v>
      </c>
      <c r="Y176" s="72">
        <v>25.54</v>
      </c>
      <c r="Z176" s="72">
        <v>21.92</v>
      </c>
      <c r="AA176" s="72">
        <v>23.65</v>
      </c>
      <c r="AB176" s="72">
        <v>19.79</v>
      </c>
      <c r="AC176" s="72">
        <v>16.68</v>
      </c>
      <c r="AD176" s="72">
        <v>16.96</v>
      </c>
      <c r="AE176" s="72">
        <v>19.27</v>
      </c>
      <c r="AF176" s="72">
        <v>17.649999999999999</v>
      </c>
      <c r="AG176" s="72">
        <v>17.84</v>
      </c>
      <c r="AH176" s="72">
        <v>18.100000000000001</v>
      </c>
      <c r="AI176" s="72">
        <v>18.57</v>
      </c>
      <c r="AJ176" s="72">
        <v>18.329999999999998</v>
      </c>
      <c r="AK176" s="72">
        <v>17.21</v>
      </c>
      <c r="AL176" s="72">
        <v>17.89</v>
      </c>
      <c r="AM176" s="72">
        <v>21.07</v>
      </c>
      <c r="AN176" s="72">
        <v>29.72</v>
      </c>
      <c r="AO176" s="72">
        <v>31.56</v>
      </c>
      <c r="AP176" s="72">
        <v>35.42</v>
      </c>
      <c r="AQ176" s="72">
        <v>37.590000000000003</v>
      </c>
      <c r="AR176" s="72">
        <v>32.71</v>
      </c>
      <c r="AS176" s="72">
        <v>28.77</v>
      </c>
      <c r="AT176" s="72">
        <v>29.88</v>
      </c>
      <c r="AU176" s="72">
        <v>25.64</v>
      </c>
      <c r="AV176" s="72">
        <v>23.55</v>
      </c>
      <c r="AW176" s="72">
        <v>22.12</v>
      </c>
      <c r="AX176" s="72">
        <v>20.65</v>
      </c>
      <c r="AY176" s="72">
        <v>21.46</v>
      </c>
      <c r="AZ176" s="72">
        <v>20.059999999999999</v>
      </c>
      <c r="BA176" s="72">
        <v>18.45</v>
      </c>
      <c r="BB176" s="72">
        <v>17.23</v>
      </c>
      <c r="BC176" s="72">
        <v>18.68</v>
      </c>
      <c r="BD176" s="72">
        <v>19.38</v>
      </c>
      <c r="BE176" s="72">
        <v>21.33</v>
      </c>
      <c r="BF176" s="72">
        <v>21.62</v>
      </c>
      <c r="BG176" s="72">
        <v>20.77</v>
      </c>
      <c r="BH176" s="72">
        <v>17.79</v>
      </c>
      <c r="BI176" s="72">
        <v>18.149999999999999</v>
      </c>
      <c r="BJ176" s="72">
        <v>17.940000000000001</v>
      </c>
      <c r="BK176" s="72">
        <v>17.559999999999999</v>
      </c>
      <c r="BL176" s="72">
        <v>17.98</v>
      </c>
      <c r="BM176" s="72">
        <v>18.14</v>
      </c>
      <c r="BN176" s="72">
        <v>18.010000000000002</v>
      </c>
      <c r="BO176" s="72">
        <v>19.38</v>
      </c>
      <c r="BP176" s="72">
        <v>20.34</v>
      </c>
      <c r="BQ176" s="72">
        <v>18.46</v>
      </c>
      <c r="BR176" s="72">
        <v>18.29</v>
      </c>
      <c r="BS176" s="72">
        <v>17.89</v>
      </c>
      <c r="BT176" s="72">
        <v>16.62</v>
      </c>
    </row>
  </sheetData>
  <phoneticPr fontId="3" type="noConversion"/>
  <conditionalFormatting sqref="E4">
    <cfRule type="cellIs" dxfId="3749" priority="103" operator="greaterThan">
      <formula>0.2</formula>
    </cfRule>
    <cfRule type="cellIs" dxfId="374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374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746" priority="97" operator="greaterThan">
      <formula>$B$19</formula>
    </cfRule>
  </conditionalFormatting>
  <conditionalFormatting sqref="D33:D34">
    <cfRule type="cellIs" dxfId="374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3744" priority="91" operator="lessThan">
      <formula>$H$62</formula>
    </cfRule>
    <cfRule type="cellIs" dxfId="3743" priority="92" operator="greaterThan">
      <formula>$H$62</formula>
    </cfRule>
  </conditionalFormatting>
  <conditionalFormatting sqref="J62">
    <cfRule type="cellIs" dxfId="3742" priority="89" operator="lessThan">
      <formula>$K$62</formula>
    </cfRule>
    <cfRule type="cellIs" dxfId="3741" priority="90" operator="greaterThan">
      <formula>$K$62</formula>
    </cfRule>
  </conditionalFormatting>
  <conditionalFormatting sqref="M62">
    <cfRule type="cellIs" dxfId="3740" priority="87" operator="lessThan">
      <formula>$N$62</formula>
    </cfRule>
    <cfRule type="cellIs" dxfId="3739" priority="88" operator="greaterThan">
      <formula>$N$62</formula>
    </cfRule>
  </conditionalFormatting>
  <conditionalFormatting sqref="B44:E44">
    <cfRule type="cellIs" dxfId="3738" priority="85" operator="greaterThan">
      <formula>0</formula>
    </cfRule>
    <cfRule type="cellIs" dxfId="3737" priority="86" operator="lessThan">
      <formula>0</formula>
    </cfRule>
  </conditionalFormatting>
  <conditionalFormatting sqref="F72">
    <cfRule type="cellIs" dxfId="3736" priority="84" operator="lessThan">
      <formula>$E$72*90%</formula>
    </cfRule>
  </conditionalFormatting>
  <conditionalFormatting sqref="F73">
    <cfRule type="cellIs" dxfId="3735" priority="83" operator="lessThan">
      <formula>$E$73*90%</formula>
    </cfRule>
  </conditionalFormatting>
  <conditionalFormatting sqref="F74">
    <cfRule type="cellIs" dxfId="3734" priority="82" operator="lessThan">
      <formula>$E$74*90%</formula>
    </cfRule>
  </conditionalFormatting>
  <conditionalFormatting sqref="F75">
    <cfRule type="cellIs" dxfId="3733" priority="81" operator="lessThan">
      <formula>$E$75*90%</formula>
    </cfRule>
  </conditionalFormatting>
  <conditionalFormatting sqref="H44:K44">
    <cfRule type="cellIs" dxfId="3732" priority="79" operator="greaterThan">
      <formula>0</formula>
    </cfRule>
    <cfRule type="cellIs" dxfId="3731" priority="80" operator="lessThan">
      <formula>0</formula>
    </cfRule>
  </conditionalFormatting>
  <conditionalFormatting sqref="H51:K51">
    <cfRule type="cellIs" dxfId="3730" priority="77" operator="greaterThan">
      <formula>0</formula>
    </cfRule>
    <cfRule type="cellIs" dxfId="3729" priority="78" operator="lessThan">
      <formula>0</formula>
    </cfRule>
  </conditionalFormatting>
  <conditionalFormatting sqref="B51:E51">
    <cfRule type="cellIs" dxfId="3728" priority="75" operator="greaterThan">
      <formula>0</formula>
    </cfRule>
    <cfRule type="cellIs" dxfId="372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72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72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724" priority="58" operator="lessThan">
      <formula>0</formula>
    </cfRule>
  </conditionalFormatting>
  <conditionalFormatting sqref="A25 E25 C25">
    <cfRule type="cellIs" dxfId="3723" priority="59" operator="lessThan">
      <formula>0</formula>
    </cfRule>
  </conditionalFormatting>
  <conditionalFormatting sqref="F25">
    <cfRule type="cellIs" dxfId="3722" priority="57" operator="lessThan">
      <formula>0</formula>
    </cfRule>
  </conditionalFormatting>
  <conditionalFormatting sqref="E1">
    <cfRule type="containsText" dxfId="3721" priority="56" operator="containsText" text="本季業外損益/平均=-">
      <formula>NOT(ISERROR(SEARCH("本季業外損益/平均=-",E1)))</formula>
    </cfRule>
  </conditionalFormatting>
  <conditionalFormatting sqref="M65">
    <cfRule type="cellIs" dxfId="3720" priority="55" operator="lessThan">
      <formula>$L$65*90%</formula>
    </cfRule>
  </conditionalFormatting>
  <conditionalFormatting sqref="M66">
    <cfRule type="cellIs" dxfId="3719" priority="54" operator="lessThan">
      <formula>$L$66*90%</formula>
    </cfRule>
  </conditionalFormatting>
  <conditionalFormatting sqref="M67">
    <cfRule type="cellIs" dxfId="3718" priority="53" operator="lessThan">
      <formula>$L$67*90%</formula>
    </cfRule>
  </conditionalFormatting>
  <conditionalFormatting sqref="M68">
    <cfRule type="cellIs" dxfId="3717" priority="52" operator="lessThan">
      <formula>$L$68*90%</formula>
    </cfRule>
  </conditionalFormatting>
  <conditionalFormatting sqref="B60">
    <cfRule type="cellIs" dxfId="3716" priority="51" operator="lessThan">
      <formula>0</formula>
    </cfRule>
  </conditionalFormatting>
  <conditionalFormatting sqref="B59:F59">
    <cfRule type="cellIs" dxfId="3715" priority="50" operator="lessThanOrEqual">
      <formula>0</formula>
    </cfRule>
  </conditionalFormatting>
  <conditionalFormatting sqref="D62">
    <cfRule type="cellIs" dxfId="3714" priority="48" operator="lessThan">
      <formula>$E$62</formula>
    </cfRule>
    <cfRule type="cellIs" dxfId="3713" priority="49" operator="greaterThan">
      <formula>$E$62</formula>
    </cfRule>
  </conditionalFormatting>
  <conditionalFormatting sqref="F69">
    <cfRule type="cellIs" dxfId="3712" priority="46" operator="lessThan">
      <formula>0</formula>
    </cfRule>
  </conditionalFormatting>
  <conditionalFormatting sqref="B65:E67 B69:E69 B68:D68">
    <cfRule type="cellIs" dxfId="3711" priority="47" operator="lessThan">
      <formula>0</formula>
    </cfRule>
  </conditionalFormatting>
  <conditionalFormatting sqref="E68">
    <cfRule type="cellIs" dxfId="3710" priority="45" operator="lessThan">
      <formula>0</formula>
    </cfRule>
  </conditionalFormatting>
  <conditionalFormatting sqref="F65:F68">
    <cfRule type="cellIs" dxfId="3709" priority="44" operator="lessThan">
      <formula>0</formula>
    </cfRule>
  </conditionalFormatting>
  <conditionalFormatting sqref="F65:F68">
    <cfRule type="cellIs" dxfId="3708" priority="43" operator="lessThan">
      <formula>$E$65*0.9</formula>
    </cfRule>
  </conditionalFormatting>
  <conditionalFormatting sqref="F66">
    <cfRule type="cellIs" dxfId="3707" priority="42" operator="lessThan">
      <formula>$E$66*0.9</formula>
    </cfRule>
  </conditionalFormatting>
  <conditionalFormatting sqref="F67:F68">
    <cfRule type="cellIs" dxfId="3706" priority="41" operator="lessThan">
      <formula>$E$67*0.9</formula>
    </cfRule>
  </conditionalFormatting>
  <conditionalFormatting sqref="F68">
    <cfRule type="cellIs" dxfId="3705" priority="40" operator="lessThan">
      <formula>$E$68*0.9</formula>
    </cfRule>
  </conditionalFormatting>
  <conditionalFormatting sqref="B13:F13">
    <cfRule type="cellIs" dxfId="3704" priority="29" operator="greaterThan">
      <formula>$I$16</formula>
    </cfRule>
    <cfRule type="cellIs" dxfId="3703" priority="30" operator="lessThanOrEqual">
      <formula>$I$16</formula>
    </cfRule>
  </conditionalFormatting>
  <conditionalFormatting sqref="B10:F10">
    <cfRule type="cellIs" dxfId="3702" priority="31" operator="greaterThan">
      <formula>15</formula>
    </cfRule>
    <cfRule type="cellIs" dxfId="3701" priority="38" operator="lessThan">
      <formula>$I$9</formula>
    </cfRule>
    <cfRule type="cellIs" dxfId="3700" priority="39" operator="greaterThan">
      <formula>$I$9</formula>
    </cfRule>
  </conditionalFormatting>
  <conditionalFormatting sqref="B16:F16">
    <cfRule type="cellIs" dxfId="3699" priority="36" operator="greaterThan">
      <formula>$I$16</formula>
    </cfRule>
    <cfRule type="cellIs" dxfId="3698" priority="37" operator="lessThanOrEqual">
      <formula>$I$16</formula>
    </cfRule>
  </conditionalFormatting>
  <conditionalFormatting sqref="B15:F15">
    <cfRule type="cellIs" dxfId="3697" priority="34" operator="lessThanOrEqual">
      <formula>$I$16</formula>
    </cfRule>
    <cfRule type="cellIs" dxfId="3696" priority="35" operator="greaterThan">
      <formula>$I$16</formula>
    </cfRule>
  </conditionalFormatting>
  <conditionalFormatting sqref="B14:F14">
    <cfRule type="cellIs" dxfId="3695" priority="32" operator="greaterThan">
      <formula>$I$16</formula>
    </cfRule>
    <cfRule type="cellIs" dxfId="3694" priority="33" operator="lessThanOrEqual">
      <formula>$I$16</formula>
    </cfRule>
  </conditionalFormatting>
  <conditionalFormatting sqref="K6">
    <cfRule type="containsText" dxfId="3693" priority="27" operator="containsText" text="衰退">
      <formula>NOT(ISERROR(SEARCH("衰退",K6)))</formula>
    </cfRule>
    <cfRule type="containsText" dxfId="3692" priority="28" operator="containsText" text="成長">
      <formula>NOT(ISERROR(SEARCH("成長",K6)))</formula>
    </cfRule>
  </conditionalFormatting>
  <conditionalFormatting sqref="I4:K4">
    <cfRule type="cellIs" dxfId="3691" priority="25" operator="lessThan">
      <formula>0</formula>
    </cfRule>
    <cfRule type="cellIs" dxfId="369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689" priority="22" operator="lessThanOrEqual">
      <formula>$I$16</formula>
    </cfRule>
    <cfRule type="cellIs" dxfId="3688" priority="23" operator="greaterThan">
      <formula>$I$16</formula>
    </cfRule>
  </conditionalFormatting>
  <conditionalFormatting sqref="I6">
    <cfRule type="containsText" dxfId="3687" priority="20" operator="containsText" text="衰退">
      <formula>NOT(ISERROR(SEARCH("衰退",I6)))</formula>
    </cfRule>
    <cfRule type="containsText" dxfId="3686" priority="21" operator="containsText" text="成長">
      <formula>NOT(ISERROR(SEARCH("成長",I6)))</formula>
    </cfRule>
  </conditionalFormatting>
  <conditionalFormatting sqref="M9">
    <cfRule type="cellIs" dxfId="3685" priority="19" operator="lessThan">
      <formula>$I$9</formula>
    </cfRule>
  </conditionalFormatting>
  <conditionalFormatting sqref="M10">
    <cfRule type="cellIs" dxfId="3684" priority="18" operator="greaterThan">
      <formula>$I$9</formula>
    </cfRule>
  </conditionalFormatting>
  <conditionalFormatting sqref="M11">
    <cfRule type="cellIs" dxfId="368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682" priority="14" operator="lessThan">
      <formula>0</formula>
    </cfRule>
    <cfRule type="cellIs" dxfId="3681" priority="15" operator="greaterThan">
      <formula>0.5</formula>
    </cfRule>
  </conditionalFormatting>
  <conditionalFormatting sqref="N14">
    <cfRule type="cellIs" dxfId="368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679" priority="10" operator="lessThan">
      <formula>0.1</formula>
    </cfRule>
  </conditionalFormatting>
  <conditionalFormatting sqref="I14">
    <cfRule type="cellIs" dxfId="367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67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676" priority="1" operator="lessThan">
      <formula>$N$5*0.9</formula>
    </cfRule>
    <cfRule type="cellIs" dxfId="3675" priority="2" operator="greaterThan">
      <formula>$N$5*1.1</formula>
    </cfRule>
  </conditionalFormatting>
  <hyperlinks>
    <hyperlink ref="L1" location="儀表板!A1" display="(回首頁)" xr:uid="{00000000-0004-0000-3600-000000000000}"/>
  </hyperlink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3.15 ~ 11.79</v>
      </c>
      <c r="L1" s="83" t="s">
        <v>176</v>
      </c>
      <c r="M1" s="84" t="str">
        <f ca="1">VLOOKUP(_xlfn.NUMBERVALUE(N1),儀表板!A:B,2,FALSE)</f>
        <v>大恭</v>
      </c>
      <c r="N1" s="85" t="str">
        <f ca="1">MID(CELL("filename",L1),FIND("]",CELL("filename",L1))+1,255)</f>
        <v>4706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0.1898699209057072</v>
      </c>
    </row>
    <row r="3" spans="1:15" s="93" customFormat="1" x14ac:dyDescent="0.25">
      <c r="A3" s="81" t="s">
        <v>179</v>
      </c>
      <c r="B3" s="94">
        <f>SUM(F19:F22,F24:F27,J19)</f>
        <v>88.797745530067047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22.554198365241938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25.430237082957351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27.066930169025664</v>
      </c>
      <c r="L3" s="100"/>
      <c r="M3" s="79" t="s">
        <v>385</v>
      </c>
      <c r="N3" s="92">
        <f>(F69-E69)/E69</f>
        <v>-0.11195121737082037</v>
      </c>
    </row>
    <row r="4" spans="1:15" s="93" customFormat="1" x14ac:dyDescent="0.25">
      <c r="A4" s="81" t="s">
        <v>182</v>
      </c>
      <c r="B4" s="96">
        <f>SUM(G36:G40)*2</f>
        <v>60</v>
      </c>
      <c r="C4" s="101"/>
      <c r="D4" s="102">
        <f>F4*(1+F141/10)</f>
        <v>7.9</v>
      </c>
      <c r="E4" s="82">
        <f>(D4-F4)/F4</f>
        <v>0</v>
      </c>
      <c r="F4" s="103">
        <v>7.9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1.8826634191738609</v>
      </c>
    </row>
    <row r="5" spans="1:15" s="93" customFormat="1" x14ac:dyDescent="0.25">
      <c r="A5" s="81" t="s">
        <v>184</v>
      </c>
      <c r="B5" s="107">
        <f>SUM(F30:F34)*2</f>
        <v>78.624052631578934</v>
      </c>
      <c r="C5" s="87"/>
      <c r="D5" s="87"/>
      <c r="E5" s="87"/>
      <c r="F5" s="86"/>
      <c r="G5" s="88"/>
      <c r="M5" s="79" t="s">
        <v>386</v>
      </c>
      <c r="N5" s="152">
        <f>D62</f>
        <v>1.93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2.0434182699558368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19.72</v>
      </c>
      <c r="N9" s="129"/>
    </row>
    <row r="10" spans="1:15" s="93" customFormat="1" x14ac:dyDescent="0.25">
      <c r="A10" s="123" t="s">
        <v>194</v>
      </c>
      <c r="B10" s="126">
        <f>PERCENTILE(176:176,B9)</f>
        <v>11.15</v>
      </c>
      <c r="C10" s="126">
        <f>PERCENTILE(176:176,C9)</f>
        <v>11.92</v>
      </c>
      <c r="D10" s="126">
        <f>PERCENTILE(176:176,D9)</f>
        <v>13.44</v>
      </c>
      <c r="E10" s="126">
        <f>PERCENTILE(176:176,E9)</f>
        <v>14.305</v>
      </c>
      <c r="F10" s="126">
        <f>PERCENTILE(176:176,F9)</f>
        <v>15.26</v>
      </c>
      <c r="G10" s="95"/>
      <c r="H10" s="135"/>
      <c r="I10" s="135"/>
      <c r="J10" s="135"/>
      <c r="K10" s="135"/>
      <c r="L10" s="136" t="s">
        <v>374</v>
      </c>
      <c r="M10" s="130">
        <f>MIN(176:176)</f>
        <v>10.09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17.8</v>
      </c>
      <c r="L11" s="272" t="s">
        <v>193</v>
      </c>
      <c r="M11" s="128">
        <f>STDEV(176:176)</f>
        <v>2.249525574842667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14.705882352941179</v>
      </c>
      <c r="C13" s="141">
        <f>$B$34/5.88%</f>
        <v>17.857142857142858</v>
      </c>
      <c r="D13" s="141">
        <f>$B$34/5%</f>
        <v>21</v>
      </c>
      <c r="E13" s="141">
        <f>$B$34/4.35%</f>
        <v>24.137931034482762</v>
      </c>
      <c r="F13" s="141">
        <f>$B$34/3.85%</f>
        <v>27.272727272727273</v>
      </c>
      <c r="G13" s="138" t="str">
        <f>"$"&amp;ROUND(B34,2)&amp;"/"&amp;IF(STDEV(C140:F140)/AVERAGE(C140:F140)&lt;15%,"高",IF(STDEV(C140:F140)/AVERAGE(C140:F140)&lt;30%,"中","低"))</f>
        <v>$1.05/中</v>
      </c>
      <c r="H13" s="142" t="s">
        <v>199</v>
      </c>
      <c r="I13" s="143">
        <f>MAX(0,1-J15)</f>
        <v>0.3867924528301887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15.888750000000002</v>
      </c>
      <c r="C14" s="141">
        <f>$B$33*C10</f>
        <v>16.986000000000001</v>
      </c>
      <c r="D14" s="141">
        <f>$B$33*D10</f>
        <v>19.152000000000001</v>
      </c>
      <c r="E14" s="141">
        <f>$B$33*E10</f>
        <v>20.384625</v>
      </c>
      <c r="F14" s="141">
        <f>$B$33*F10</f>
        <v>21.7455</v>
      </c>
      <c r="G14" s="138" t="str">
        <f>"$"&amp;ROUND(B33,2)&amp;"/"&amp;IF(STDEV(B69:E69)/AVERAGE(B69:E69)&lt;15%,"高",IF(STDEV(B69:E69)/AVERAGE(B69:E69)&lt;30%,"中","低"))</f>
        <v>$1.43/低</v>
      </c>
      <c r="H14" s="142" t="s">
        <v>203</v>
      </c>
      <c r="I14" s="145">
        <f>G62/100*I13</f>
        <v>4.2276415094339624E-2</v>
      </c>
      <c r="J14" s="76" t="s">
        <v>204</v>
      </c>
      <c r="K14" s="146"/>
      <c r="L14" s="147">
        <f>(HLOOKUP($C$1,$105:$106,2,FALSE)-HLOOKUP($C$1,$117:$127,9,FALSE))/(HLOOKUP($C$1,$117:$128,12,FALSE)/K11)</f>
        <v>3.5107361366215932</v>
      </c>
      <c r="M14" s="148">
        <f>E135/E69</f>
        <v>1.1698113207547169</v>
      </c>
      <c r="N14" s="149">
        <f>F173/100</f>
        <v>0.70269999999999999</v>
      </c>
    </row>
    <row r="15" spans="1:15" s="93" customFormat="1" x14ac:dyDescent="0.25">
      <c r="A15" s="140" t="s">
        <v>375</v>
      </c>
      <c r="B15" s="141">
        <f>$D$62*B10</f>
        <v>21.519500000000001</v>
      </c>
      <c r="C15" s="141">
        <f>$D$62*C10</f>
        <v>23.005599999999998</v>
      </c>
      <c r="D15" s="141">
        <f>$D$62*D10</f>
        <v>25.9392</v>
      </c>
      <c r="E15" s="141">
        <f>$D$62*E10</f>
        <v>27.608649999999997</v>
      </c>
      <c r="F15" s="141">
        <f>$D$62*F10</f>
        <v>29.451799999999999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0.6132075471698113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20.991697123788551</v>
      </c>
      <c r="C16" s="141">
        <f>$F$69*C10</f>
        <v>22.441347956552423</v>
      </c>
      <c r="D16" s="141">
        <f>$F$69*D10</f>
        <v>25.302996353696688</v>
      </c>
      <c r="E16" s="141">
        <f>$F$69*E10</f>
        <v>26.931500211282081</v>
      </c>
      <c r="F16" s="141">
        <f>$F$69*F10</f>
        <v>28.729443776593119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30</v>
      </c>
      <c r="J17" s="92">
        <f ca="1">IF(I17&lt;=0,"",IF(I17&lt;=MIN($B$13:$F$16),(I17-MIN($B$13:$F$16))/MIN($B$13:$F$16),IF(I17&gt;=MAX($B$13:$F$16),I17/MAX($B$13:$F$16),PERCENTRANK($B$13:$F$16,I17))))</f>
        <v>1.018613463353683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1.45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20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1.3809523809523809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8.3374035539070496E-2</v>
      </c>
      <c r="J20" s="171">
        <f>HLOOKUP($C$1,$117:$127,11,FALSE)/HLOOKUP($C$1,$105:$115,11,FALSE)</f>
        <v>0.14893017677653039</v>
      </c>
      <c r="K20" s="163"/>
    </row>
    <row r="21" spans="1:14" s="93" customFormat="1" x14ac:dyDescent="0.25">
      <c r="A21" s="151" t="s">
        <v>201</v>
      </c>
      <c r="B21" s="161">
        <f>AVERAGE(C173:F173)/100</f>
        <v>1.2766249999999999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5.8715437095083436</v>
      </c>
      <c r="J21" s="78"/>
      <c r="K21" s="164" t="s">
        <v>356</v>
      </c>
      <c r="L21" s="165">
        <f>HLOOKUP($C$1,$105:$115,7,FALSE)/HLOOKUP($C$1,$105:$115,11,FALSE)</f>
        <v>0.82614435661902497</v>
      </c>
      <c r="M21" s="123" t="s">
        <v>268</v>
      </c>
      <c r="N21" s="165">
        <f>HLOOKUP($C$1,$117:$127,8,FALSE)/HLOOKUP($C$1,$117:$127,11,FALSE)</f>
        <v>0.94475878136491676</v>
      </c>
    </row>
    <row r="22" spans="1:14" s="93" customFormat="1" x14ac:dyDescent="0.25">
      <c r="A22" s="140" t="s">
        <v>222</v>
      </c>
      <c r="B22" s="161">
        <f>(-1)*SUM(C133:F133)/SUM(C132:F132)</f>
        <v>0.16305916305916304</v>
      </c>
      <c r="C22" s="157"/>
      <c r="D22" s="166"/>
      <c r="E22" s="140"/>
      <c r="F22" s="159">
        <f>IF(B22&lt;=0,10,IF(B22&gt;=100%,0,(1-B22)*10))</f>
        <v>8.3694083694083705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3.2749995703802992</v>
      </c>
      <c r="J22" s="78"/>
      <c r="K22" s="142" t="s">
        <v>357</v>
      </c>
      <c r="L22" s="165">
        <f>HLOOKUP($C$1,$105:$115,4,FALSE)/HLOOKUP($C$1,$105:$115,11,FALSE)</f>
        <v>0.25876810139926931</v>
      </c>
      <c r="M22" s="123" t="s">
        <v>353</v>
      </c>
      <c r="N22" s="165">
        <f>HLOOKUP($C$1,$117:$127,4,FALSE)/HLOOKUP($C$1,$117:$127,11,FALSE)</f>
        <v>0.44018037617605754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1.1749917253703697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0.36534178972031539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0.99976136026226536</v>
      </c>
      <c r="C24" s="169">
        <f>STDEV(C103:F103)</f>
        <v>1.1352232823005804E-4</v>
      </c>
      <c r="D24" s="76" t="str">
        <f>IF(C24/B24&lt;15%,"高",IF(C24/B24&lt;30%,"中","低"))</f>
        <v>高</v>
      </c>
      <c r="E24" s="149"/>
      <c r="F24" s="160">
        <f>MIN(100%,B24)*5</f>
        <v>4.9988068013113267</v>
      </c>
      <c r="G24" s="88" t="s">
        <v>229</v>
      </c>
      <c r="H24" s="123" t="s">
        <v>16</v>
      </c>
      <c r="I24" s="170">
        <f>HLOOKUP(C1,167:170,2,FALSE)</f>
        <v>88.24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2.2336443626639071E-2</v>
      </c>
      <c r="M24" s="123" t="s">
        <v>355</v>
      </c>
      <c r="N24" s="165">
        <f>HLOOKUP($C$1,$117:$127,9,FALSE)/HLOOKUP($C$1,$117:$127,11,FALSE)</f>
        <v>5.5241218635083245E-2</v>
      </c>
    </row>
    <row r="25" spans="1:14" s="93" customFormat="1" x14ac:dyDescent="0.25">
      <c r="A25" s="151" t="s">
        <v>366</v>
      </c>
      <c r="B25" s="255">
        <f>AVERAGE(94:94)</f>
        <v>1647.2608695652175</v>
      </c>
      <c r="C25" s="254">
        <f>STDEV(94:94)/AVERAGE(94:94)</f>
        <v>3.0704696406526506</v>
      </c>
      <c r="D25" s="76" t="str">
        <f>IF(C25&lt;=1,"高",IF(C25&lt;=2,"中","低"))</f>
        <v>低</v>
      </c>
      <c r="E25" s="149"/>
      <c r="F25" s="160">
        <f>MAX(0,10-ABS(C25))</f>
        <v>6.9295303593473498</v>
      </c>
      <c r="G25" s="88" t="s">
        <v>213</v>
      </c>
      <c r="H25" s="123" t="s">
        <v>232</v>
      </c>
      <c r="I25" s="170">
        <f>IF(HLOOKUP(C1,167:170,3,FALSE)="無",0,HLOOKUP(C1,167:170,3,FALSE))</f>
        <v>163.63999999999999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89.881304347826088</v>
      </c>
      <c r="C26" s="172">
        <f>IF(COUNTIF(168:168,"&gt;0")=0,0,STDEV(168:168))</f>
        <v>3.2832831466908048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156.93695652173915</v>
      </c>
      <c r="C27" s="172">
        <f>IF(COUNTIF(169:169,"&gt;0")=0,0,STDEV(169:169))</f>
        <v>10.741961660525771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6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0.20172499999999999</v>
      </c>
      <c r="C30" s="157" t="s">
        <v>217</v>
      </c>
      <c r="D30" s="174">
        <f>COUNTIF(146:146,"&gt;20")/COUNT(146:146)</f>
        <v>0.47826086956521741</v>
      </c>
      <c r="E30" s="140" t="s">
        <v>239</v>
      </c>
      <c r="F30" s="159">
        <f>MIN(B30/25%*10,10)</f>
        <v>8.0689999999999991</v>
      </c>
      <c r="G30" s="175"/>
      <c r="H30" s="176"/>
    </row>
    <row r="31" spans="1:14" x14ac:dyDescent="0.25">
      <c r="A31" s="164" t="s">
        <v>240</v>
      </c>
      <c r="B31" s="173">
        <f>AVERAGE(C155:F155)/100</f>
        <v>7.0124999999999993E-2</v>
      </c>
      <c r="C31" s="157" t="s">
        <v>217</v>
      </c>
      <c r="D31" s="174">
        <f>COUNTIF(149:149,"&gt;8")/COUNT(149:149)</f>
        <v>0.39130434782608697</v>
      </c>
      <c r="E31" s="140" t="s">
        <v>241</v>
      </c>
      <c r="F31" s="159">
        <f>MIN(B31/10%*10,10)</f>
        <v>7.0124999999999993</v>
      </c>
      <c r="G31" s="175"/>
    </row>
    <row r="32" spans="1:14" x14ac:dyDescent="0.25">
      <c r="A32" s="155" t="s">
        <v>47</v>
      </c>
      <c r="B32" s="177">
        <f>AVERAGE(C165:F165)</f>
        <v>8.3925000000000001</v>
      </c>
      <c r="C32" s="157" t="s">
        <v>217</v>
      </c>
      <c r="D32" s="174">
        <f>COUNTIF(159:159,"&gt;3")/COUNT(159:159)</f>
        <v>0.17391304347826086</v>
      </c>
      <c r="E32" s="140" t="s">
        <v>242</v>
      </c>
      <c r="F32" s="159">
        <f>MIN(B32/15*10,10)</f>
        <v>5.5949999999999998</v>
      </c>
      <c r="G32" s="135"/>
    </row>
    <row r="33" spans="1:14" x14ac:dyDescent="0.25">
      <c r="A33" s="155" t="s">
        <v>14</v>
      </c>
      <c r="B33" s="156">
        <f>AVERAGE(B69:E69)</f>
        <v>1.425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9.4250000000000007</v>
      </c>
      <c r="G33" s="135"/>
    </row>
    <row r="34" spans="1:14" x14ac:dyDescent="0.25">
      <c r="A34" s="155" t="s">
        <v>244</v>
      </c>
      <c r="B34" s="156">
        <f>AVERAGE(C140:F140)</f>
        <v>1.05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9.2105263157894726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1593080.5</v>
      </c>
      <c r="C36" s="178">
        <f>STDEV(C97:F97)</f>
        <v>105124.81644375573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20.172499999999999</v>
      </c>
      <c r="C37" s="180">
        <f>STDEV(C152:F152)</f>
        <v>3.0933948449344024</v>
      </c>
      <c r="D37" s="76" t="str">
        <f>IF(C37/B37&lt;15%,"高",IF(C37/B37&lt;30%,"中","低"))</f>
        <v>中</v>
      </c>
      <c r="E37" s="107">
        <f>IF(F152&gt;E152,1,0)+IF(E152&gt;D152,1,0)+IF(D152&gt;C152,1,0)</f>
        <v>2</v>
      </c>
      <c r="F37" s="179"/>
      <c r="G37" s="160">
        <f>IF(D37="高",6,IF(D37="中",4,2))+E37+1</f>
        <v>7</v>
      </c>
    </row>
    <row r="38" spans="1:14" x14ac:dyDescent="0.25">
      <c r="A38" s="164" t="s">
        <v>249</v>
      </c>
      <c r="B38" s="180">
        <f>AVERAGE(C153:F153)</f>
        <v>7.8100000000000005</v>
      </c>
      <c r="C38" s="180">
        <f>STDEV(C153:F153)</f>
        <v>2.7047735579896508</v>
      </c>
      <c r="D38" s="76" t="str">
        <f>IF(C38/B38&lt;15%,"高",IF(C38/B38&lt;30%,"中","低"))</f>
        <v>低</v>
      </c>
      <c r="E38" s="107">
        <f>IF(F153&gt;E153,1,0)+IF(E153&gt;D153,1,0)+IF(D153&gt;C153,1,0)</f>
        <v>2</v>
      </c>
      <c r="F38" s="179"/>
      <c r="G38" s="160">
        <f>IF(D38="高",6,IF(D38="中",4,2))+E38+1</f>
        <v>5</v>
      </c>
    </row>
    <row r="39" spans="1:14" x14ac:dyDescent="0.25">
      <c r="A39" s="142" t="s">
        <v>46</v>
      </c>
      <c r="B39" s="181">
        <f>AVERAGE(C165:F165)</f>
        <v>8.3925000000000001</v>
      </c>
      <c r="C39" s="181">
        <f>STDEV(C165:F165)</f>
        <v>2.6818075372156498</v>
      </c>
      <c r="D39" s="76" t="str">
        <f>IF(C39/B39&lt;15%,"高",IF(C39/B39&lt;30%,"中","低"))</f>
        <v>低</v>
      </c>
      <c r="E39" s="107">
        <f>IF(F165&gt;E165,1,0)+IF(E165&gt;D165,1,0)+IF(D165&gt;C165,1,0)</f>
        <v>2</v>
      </c>
      <c r="F39" s="182"/>
      <c r="G39" s="160">
        <f>IF(D39="高",6,IF(D39="中",4,2))+E39+1</f>
        <v>5</v>
      </c>
    </row>
    <row r="40" spans="1:14" x14ac:dyDescent="0.25">
      <c r="A40" s="164" t="s">
        <v>14</v>
      </c>
      <c r="B40" s="183">
        <f>AVERAGE(B69:E69)</f>
        <v>1.425</v>
      </c>
      <c r="C40" s="183">
        <f>STDEV(B69:E69)</f>
        <v>0.49034001808269101</v>
      </c>
      <c r="D40" s="76" t="str">
        <f>IF(C40/B40&lt;15%,"高",IF(C40/B40&lt;30%,"中","低"))</f>
        <v>低</v>
      </c>
      <c r="E40" s="107">
        <f>IF(E69&gt;D69,1,0)+IF(D69&gt;C69,1,0)+IF(C69&gt;B69,1,0)</f>
        <v>2</v>
      </c>
      <c r="G40" s="160">
        <f>IF(D40="高",6,IF(D40="中",4,2))+E40+1</f>
        <v>5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7.8431372549019676E-2</v>
      </c>
      <c r="C44" s="186">
        <f>(C46-C49)/C49</f>
        <v>-0.25396825396825401</v>
      </c>
      <c r="D44" s="186">
        <f>(D46-D49)/D49</f>
        <v>-0.16279069767441862</v>
      </c>
      <c r="E44" s="186">
        <f>(E46-E49)/E49</f>
        <v>-1.785714285714287E-2</v>
      </c>
      <c r="G44" s="86" t="s">
        <v>175</v>
      </c>
      <c r="H44" s="186">
        <f>(H47-H50)/H50</f>
        <v>-6.199677938808372E-2</v>
      </c>
      <c r="I44" s="186">
        <f>(I47-I50)/I50</f>
        <v>-0.19545131485429981</v>
      </c>
      <c r="J44" s="186">
        <f>(J47-J50)/J50</f>
        <v>0.20594262295081975</v>
      </c>
      <c r="K44" s="186">
        <f>(K47-K50)/K50</f>
        <v>-4.9765258215962435E-2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0.55000000000000004</v>
      </c>
      <c r="C46" s="152">
        <f>HLOOKUP(C45,$81:$82,2,FALSE)</f>
        <v>0.47</v>
      </c>
      <c r="D46" s="152">
        <f>HLOOKUP(D45,$81:$82,2,FALSE)</f>
        <v>0.36</v>
      </c>
      <c r="E46" s="152">
        <f>HLOOKUP(E45,$81:$82,2,FALSE)</f>
        <v>0.55000000000000004</v>
      </c>
      <c r="G46" s="86" t="s">
        <v>164</v>
      </c>
      <c r="H46" s="145">
        <f>HLOOKUP(H45,$145:$147,2,FALSE)/100</f>
        <v>0.2306</v>
      </c>
      <c r="I46" s="145">
        <f>HLOOKUP(I45,$145:$147,2,FALSE)/100</f>
        <v>0.23250000000000001</v>
      </c>
      <c r="J46" s="145">
        <f>HLOOKUP(J45,$145:$147,2,FALSE)/100</f>
        <v>0.23600000000000002</v>
      </c>
      <c r="K46" s="145">
        <f>HLOOKUP(K45,$145:$147,2,FALSE)/100</f>
        <v>0.24399999999999999</v>
      </c>
    </row>
    <row r="47" spans="1:14" x14ac:dyDescent="0.25">
      <c r="A47" s="188" t="s">
        <v>165</v>
      </c>
      <c r="B47" s="189">
        <f>HLOOKUP(B45,$157:$159,3,FALSE)</f>
        <v>3.12</v>
      </c>
      <c r="C47" s="189">
        <f>HLOOKUP(C45,$157:$159,3,FALSE)</f>
        <v>2.67</v>
      </c>
      <c r="D47" s="189">
        <f>HLOOKUP(D45,$157:$159,3,FALSE)</f>
        <v>2.04</v>
      </c>
      <c r="E47" s="189">
        <f>HLOOKUP(E45,$157:$159,3,FALSE)</f>
        <v>3.1</v>
      </c>
      <c r="G47" s="190" t="s">
        <v>166</v>
      </c>
      <c r="H47" s="145">
        <f>HLOOKUP(H45,$145:$147,3,FALSE)/100</f>
        <v>0.11650000000000001</v>
      </c>
      <c r="I47" s="145">
        <f>HLOOKUP(I45,$145:$147,3,FALSE)/100</f>
        <v>0.11320000000000001</v>
      </c>
      <c r="J47" s="145">
        <f>HLOOKUP(J45,$145:$147,3,FALSE)/100</f>
        <v>0.1177</v>
      </c>
      <c r="K47" s="145">
        <f>HLOOKUP(K45,$145:$147,3,FALSE)/100</f>
        <v>0.1012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0.51</v>
      </c>
      <c r="C49" s="152">
        <f>HLOOKUP(C48,$81:$82,2,FALSE)</f>
        <v>0.63</v>
      </c>
      <c r="D49" s="152">
        <f>HLOOKUP(D48,$81:$82,2,FALSE)</f>
        <v>0.43</v>
      </c>
      <c r="E49" s="152">
        <f>HLOOKUP(E48,$81:$82,2,FALSE)</f>
        <v>0.56000000000000005</v>
      </c>
      <c r="G49" s="86" t="s">
        <v>164</v>
      </c>
      <c r="H49" s="145">
        <f>HLOOKUP(H48,$145:$147,2,FALSE)/100</f>
        <v>0.24909999999999999</v>
      </c>
      <c r="I49" s="145">
        <f>HLOOKUP(I48,$145:$147,2,FALSE)/100</f>
        <v>0.26030000000000003</v>
      </c>
      <c r="J49" s="145">
        <f>HLOOKUP(J48,$145:$147,2,FALSE)/100</f>
        <v>0.2218</v>
      </c>
      <c r="K49" s="145">
        <f>HLOOKUP(K48,$145:$147,2,FALSE)/100</f>
        <v>0.23910000000000001</v>
      </c>
    </row>
    <row r="50" spans="1:15" x14ac:dyDescent="0.25">
      <c r="A50" s="188" t="s">
        <v>165</v>
      </c>
      <c r="B50" s="189">
        <f>HLOOKUP(B48,$157:$159,3,FALSE)</f>
        <v>2.92</v>
      </c>
      <c r="C50" s="189">
        <f>HLOOKUP(C48,$157:$159,3,FALSE)</f>
        <v>3.67</v>
      </c>
      <c r="D50" s="189">
        <f>HLOOKUP(D48,$157:$159,3,FALSE)</f>
        <v>2.5</v>
      </c>
      <c r="E50" s="189">
        <f>HLOOKUP(E48,$157:$159,3,FALSE)</f>
        <v>3.31</v>
      </c>
      <c r="G50" s="190" t="s">
        <v>166</v>
      </c>
      <c r="H50" s="145">
        <f>HLOOKUP(H48,$145:$147,3,FALSE)/100</f>
        <v>0.1242</v>
      </c>
      <c r="I50" s="145">
        <f>HLOOKUP(I48,$145:$147,3,FALSE)/100</f>
        <v>0.14069999999999999</v>
      </c>
      <c r="J50" s="145">
        <f>HLOOKUP(J48,$145:$147,3,FALSE)/100</f>
        <v>9.7599999999999992E-2</v>
      </c>
      <c r="K50" s="145">
        <f>HLOOKUP(K48,$145:$147,3,FALSE)/100</f>
        <v>0.1065</v>
      </c>
    </row>
    <row r="51" spans="1:15" x14ac:dyDescent="0.25">
      <c r="A51" s="86" t="s">
        <v>351</v>
      </c>
      <c r="B51" s="186">
        <f>(B47-B50)/B50</f>
        <v>6.8493150684931572E-2</v>
      </c>
      <c r="C51" s="186">
        <f>(C47-C50)/C50</f>
        <v>-0.27247956403269757</v>
      </c>
      <c r="D51" s="186">
        <f>(D47-D50)/D50</f>
        <v>-0.184</v>
      </c>
      <c r="E51" s="186">
        <f>(E47-E50)/E50</f>
        <v>-6.344410876132929E-2</v>
      </c>
      <c r="G51" s="235" t="s">
        <v>174</v>
      </c>
      <c r="H51" s="186">
        <f>(H46-H49)/H49</f>
        <v>-7.4267362505018017E-2</v>
      </c>
      <c r="I51" s="186">
        <f>(I46-I49)/I49</f>
        <v>-0.10679984633115643</v>
      </c>
      <c r="J51" s="186">
        <f>(J46-J49)/J49</f>
        <v>6.4021641118124514E-2</v>
      </c>
      <c r="K51" s="186">
        <f>(K46-K49)/K49</f>
        <v>2.0493517356754445E-2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2.0434182699558368</v>
      </c>
      <c r="B53" s="193">
        <f>B46</f>
        <v>0.55000000000000004</v>
      </c>
      <c r="C53" s="193">
        <f>E46/HLOOKUP(E45,$87:$94,5,FALSE)*HLOOKUP(E45,$87:$94,4,FALSE)*($B$25/HLOOKUP(E45,$87:$94,4,FALSE)+SUM($B$57:$D$57)/SUM($B58:$D$58)*$G$69/100/K46)</f>
        <v>0.50266341917386093</v>
      </c>
      <c r="D53" s="193">
        <f>D46/HLOOKUP(D45,$87:$94,5,FALSE)*HLOOKUP(D45,$87:$94,4,FALSE)*($B$25/HLOOKUP(D45,$87:$94,4,FALSE)+SUM($B$57:$D$57)/SUM($B58:$D$58)*$G$69/100/J46)</f>
        <v>0.51862783881433094</v>
      </c>
      <c r="E53" s="193">
        <f>C46/HLOOKUP(C45,$87:$94,5,FALSE)*HLOOKUP(C45,$87:$94,4,FALSE)*($B$25/HLOOKUP(C45,$87:$94,4,FALSE)+SUM($B$57:$D$57)/SUM($B58:$D$58)*$G$69/100/I46)</f>
        <v>0.47212701196764523</v>
      </c>
    </row>
    <row r="54" spans="1:15" x14ac:dyDescent="0.25">
      <c r="A54" s="278">
        <f>SUM(B54:E54)</f>
        <v>1.89</v>
      </c>
      <c r="B54" s="277">
        <f t="shared" ref="B54:D54" si="0">HLOOKUP(B52-10,81:82,2,FALSE)</f>
        <v>0.51</v>
      </c>
      <c r="C54" s="277">
        <f t="shared" si="0"/>
        <v>0.55000000000000004</v>
      </c>
      <c r="D54" s="277">
        <f t="shared" si="0"/>
        <v>0.36</v>
      </c>
      <c r="E54" s="277">
        <f>HLOOKUP(E52-10,81:82,2,FALSE)</f>
        <v>0.47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134539</v>
      </c>
      <c r="C57" s="196">
        <f>HLOOKUP(C56,78:79,2,FALSE)</f>
        <v>147429</v>
      </c>
      <c r="D57" s="196">
        <f>HLOOKUP(D56,78:79,2,FALSE)</f>
        <v>147102</v>
      </c>
      <c r="E57" s="196">
        <f>HLOOKUP(E56,78:79,2,FALSE)</f>
        <v>137400</v>
      </c>
      <c r="F57" s="196">
        <f>HLOOKUP(F56,78:79,2,FALSE)</f>
        <v>144693</v>
      </c>
      <c r="G57" s="196">
        <f t="shared" ref="G57:M57" si="2">HLOOKUP(G56,78:79,2,FALSE)</f>
        <v>152823</v>
      </c>
      <c r="H57" s="196">
        <f t="shared" si="2"/>
        <v>114133</v>
      </c>
      <c r="I57" s="196">
        <f t="shared" si="2"/>
        <v>164959</v>
      </c>
      <c r="J57" s="196">
        <f t="shared" si="2"/>
        <v>108683</v>
      </c>
      <c r="K57" s="196">
        <f t="shared" si="2"/>
        <v>135144</v>
      </c>
      <c r="L57" s="196">
        <f t="shared" si="2"/>
        <v>155214</v>
      </c>
      <c r="M57" s="196">
        <f t="shared" si="2"/>
        <v>159792</v>
      </c>
      <c r="N57" s="197"/>
    </row>
    <row r="58" spans="1:15" x14ac:dyDescent="0.25">
      <c r="A58" s="198" t="s">
        <v>253</v>
      </c>
      <c r="B58" s="196">
        <f>HLOOKUP(B56-100,78:79,2,FALSE)</f>
        <v>149498</v>
      </c>
      <c r="C58" s="196">
        <f>HLOOKUP(C56-100,78:79,2,FALSE)</f>
        <v>144730</v>
      </c>
      <c r="D58" s="196">
        <f>HLOOKUP(D56-100,78:79,2,FALSE)</f>
        <v>146926</v>
      </c>
      <c r="E58" s="196">
        <f>HLOOKUP(E56-100,78:79,2,FALSE)</f>
        <v>129871</v>
      </c>
      <c r="F58" s="196">
        <f>HLOOKUP(F56-100,78:79,2,FALSE)</f>
        <v>145048</v>
      </c>
      <c r="G58" s="196">
        <f t="shared" ref="G58:M58" si="3">HLOOKUP(G56-100,78:79,2,FALSE)</f>
        <v>147271</v>
      </c>
      <c r="H58" s="196">
        <f t="shared" si="3"/>
        <v>132391</v>
      </c>
      <c r="I58" s="196">
        <f t="shared" si="3"/>
        <v>177374</v>
      </c>
      <c r="J58" s="196">
        <f t="shared" si="3"/>
        <v>99223</v>
      </c>
      <c r="K58" s="196">
        <f t="shared" si="3"/>
        <v>144928</v>
      </c>
      <c r="L58" s="196">
        <f t="shared" si="3"/>
        <v>141653</v>
      </c>
      <c r="M58" s="196">
        <f t="shared" si="3"/>
        <v>137774</v>
      </c>
      <c r="N58" s="197"/>
    </row>
    <row r="59" spans="1:15" x14ac:dyDescent="0.25">
      <c r="A59" s="199" t="s">
        <v>254</v>
      </c>
      <c r="B59" s="165">
        <f>IF(B57&lt;&gt;"",(B57-B58)/B58,"")</f>
        <v>-0.10006153928480649</v>
      </c>
      <c r="C59" s="165">
        <f>IF(C57&lt;&gt;"",(C57-C58)/C58,"")</f>
        <v>1.8648517929938505E-2</v>
      </c>
      <c r="D59" s="165">
        <f>IF(D57&lt;&gt;"",(D57-D58)/D58,"")</f>
        <v>1.197881926956427E-3</v>
      </c>
      <c r="E59" s="165">
        <f>IF(E57&lt;&gt;"",(E57-E58)/E58,"")</f>
        <v>5.7972911581492405E-2</v>
      </c>
      <c r="F59" s="165">
        <f>IF(F57&lt;&gt;"",(F57-F58)/F58,"")</f>
        <v>-2.4474656665379735E-3</v>
      </c>
      <c r="G59" s="165">
        <f t="shared" ref="G59:M59" si="4">IF(G57&lt;&gt;"",(G57-G58)/G58,"")</f>
        <v>3.7699207583298817E-2</v>
      </c>
      <c r="H59" s="165">
        <f t="shared" si="4"/>
        <v>-0.13790967663965073</v>
      </c>
      <c r="I59" s="165">
        <f t="shared" si="4"/>
        <v>-6.9993347390260127E-2</v>
      </c>
      <c r="J59" s="165">
        <f t="shared" si="4"/>
        <v>9.5340798000463606E-2</v>
      </c>
      <c r="K59" s="165">
        <f t="shared" si="4"/>
        <v>-6.750938396997129E-2</v>
      </c>
      <c r="L59" s="165">
        <f t="shared" si="4"/>
        <v>9.5733941391993108E-2</v>
      </c>
      <c r="M59" s="165">
        <f t="shared" si="4"/>
        <v>0.15981244647030646</v>
      </c>
    </row>
    <row r="60" spans="1:15" x14ac:dyDescent="0.25">
      <c r="A60" s="195" t="s">
        <v>255</v>
      </c>
      <c r="B60" s="196">
        <f>SUM(B57:M57)</f>
        <v>1701911</v>
      </c>
    </row>
    <row r="61" spans="1:15" x14ac:dyDescent="0.25">
      <c r="A61" s="198" t="s">
        <v>256</v>
      </c>
      <c r="B61" s="196">
        <f>SUM(B58:M58)</f>
        <v>1696687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1.0030789414900922</v>
      </c>
      <c r="D62" s="152">
        <f>SUM(B46:E46)</f>
        <v>1.93</v>
      </c>
      <c r="E62" s="152">
        <f>SUM(B49:E49)</f>
        <v>2.13</v>
      </c>
      <c r="G62" s="126">
        <f>SUM(B47:E47)</f>
        <v>10.93</v>
      </c>
      <c r="H62" s="126">
        <f>SUM(B50:E50)</f>
        <v>12.4</v>
      </c>
      <c r="J62" s="200">
        <f>AVERAGE(H46:K46)</f>
        <v>0.23577500000000001</v>
      </c>
      <c r="K62" s="200">
        <f>AVERAGE(H49:K49)</f>
        <v>0.24257500000000001</v>
      </c>
      <c r="M62" s="200">
        <f>AVERAGE(H47:K47)</f>
        <v>0.11215000000000001</v>
      </c>
      <c r="N62" s="200">
        <f>AVERAGE(H50:K50)</f>
        <v>0.11725000000000001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0.26</v>
      </c>
      <c r="C65" s="205">
        <f t="shared" si="5"/>
        <v>0.28000000000000003</v>
      </c>
      <c r="D65" s="205">
        <f t="shared" si="5"/>
        <v>0.15</v>
      </c>
      <c r="E65" s="205">
        <f t="shared" si="5"/>
        <v>0.43</v>
      </c>
      <c r="F65" s="206">
        <f>IF(ISNA(HLOOKUP(F$64*10+$A65,$81:$82,2,FALSE)),(HLOOKUP(E$64*10+$A65,$87:$94,4,FALSE)*$G65+$B$25)/HLOOKUP(E$64*10+$A65,$87:$94,5,FALSE)*$E65,HLOOKUP(F$64*10+$A65,$81:$82,2,FALSE))</f>
        <v>0.36</v>
      </c>
      <c r="G65" s="101">
        <f>MIN(130%,SUM($B$57:$D$57)/SUM($B$58:$D$58)*$G$69/HLOOKUP(E$64*10+$A65,$145:$146,2,FALSE))</f>
        <v>1.0964012259498612</v>
      </c>
      <c r="H65" s="204">
        <v>1</v>
      </c>
      <c r="I65" s="208">
        <f t="shared" ref="I65:M68" si="6">IF(ISNA(HLOOKUP(I$64*10+$H65,$145:$147,3,FALSE)),"",HLOOKUP(I$64*10+$H65,$145:$147,3,FALSE)/100)</f>
        <v>5.0999999999999997E-2</v>
      </c>
      <c r="J65" s="208">
        <f t="shared" si="6"/>
        <v>6.3600000000000004E-2</v>
      </c>
      <c r="K65" s="208">
        <f t="shared" si="6"/>
        <v>3.4099999999999998E-2</v>
      </c>
      <c r="L65" s="208">
        <f t="shared" si="6"/>
        <v>9.7599999999999992E-2</v>
      </c>
      <c r="M65" s="209">
        <f t="shared" si="6"/>
        <v>0.1177</v>
      </c>
      <c r="N65" s="256">
        <f t="shared" ref="N65:O68" si="7">HLOOKUP(E$64*10+$A65,$87:$94,8,FALSE)</f>
        <v>670</v>
      </c>
      <c r="O65" s="256">
        <f t="shared" si="7"/>
        <v>-12551</v>
      </c>
      <c r="P65" s="210"/>
    </row>
    <row r="66" spans="1:71" x14ac:dyDescent="0.25">
      <c r="A66" s="204">
        <v>2</v>
      </c>
      <c r="B66" s="205">
        <f t="shared" si="5"/>
        <v>0.34</v>
      </c>
      <c r="C66" s="205">
        <f t="shared" si="5"/>
        <v>0.16</v>
      </c>
      <c r="D66" s="205">
        <f t="shared" si="5"/>
        <v>0.2</v>
      </c>
      <c r="E66" s="205">
        <f t="shared" si="5"/>
        <v>0.63</v>
      </c>
      <c r="F66" s="206">
        <f>IF(ISNA(HLOOKUP(F$64*10+$A66,$81:$82,2,FALSE)),(HLOOKUP(E$64*10+$A66,$87:$94,4,FALSE)*$G66+$B$25)/HLOOKUP(E$64*10+$A66,$87:$94,5,FALSE)*$E66,HLOOKUP(F$64*10+$A66,$81:$82,2,FALSE))</f>
        <v>0.47</v>
      </c>
      <c r="G66" s="101">
        <f>MIN(130%,SUM($B$57:$D$57)/SUM($B$58:$D$58)*$G$69/HLOOKUP(E$64*10+$A66,$145:$146,2,FALSE))</f>
        <v>0.9342366189615029</v>
      </c>
      <c r="H66" s="204">
        <v>2</v>
      </c>
      <c r="I66" s="208">
        <f t="shared" si="6"/>
        <v>6.1200000000000004E-2</v>
      </c>
      <c r="J66" s="208">
        <f t="shared" si="6"/>
        <v>4.1399999999999999E-2</v>
      </c>
      <c r="K66" s="208">
        <f t="shared" si="6"/>
        <v>6.1799999999999994E-2</v>
      </c>
      <c r="L66" s="208">
        <f t="shared" si="6"/>
        <v>0.14069999999999999</v>
      </c>
      <c r="M66" s="209">
        <f t="shared" si="6"/>
        <v>0.11320000000000001</v>
      </c>
      <c r="N66" s="256">
        <f t="shared" si="7"/>
        <v>2595</v>
      </c>
      <c r="O66" s="256">
        <f t="shared" si="7"/>
        <v>3561</v>
      </c>
      <c r="P66" s="210"/>
    </row>
    <row r="67" spans="1:71" x14ac:dyDescent="0.25">
      <c r="A67" s="204">
        <v>3</v>
      </c>
      <c r="B67" s="205">
        <f t="shared" si="5"/>
        <v>0.43</v>
      </c>
      <c r="C67" s="205">
        <f t="shared" si="5"/>
        <v>0.36</v>
      </c>
      <c r="D67" s="205">
        <f t="shared" si="5"/>
        <v>0.43</v>
      </c>
      <c r="E67" s="205">
        <f t="shared" si="5"/>
        <v>0.51</v>
      </c>
      <c r="F67" s="206">
        <f>IF(ISNA(HLOOKUP(F$64*10+$A67,$81:$82,2,FALSE)),(HLOOKUP(E$64*10+$A67,$87:$94,4,FALSE)*$G67+$B$25)/HLOOKUP(E$64*10+$A67,$87:$94,5,FALSE)*$E67,HLOOKUP(F$64*10+$A67,$81:$82,2,FALSE))</f>
        <v>0.55000000000000004</v>
      </c>
      <c r="G67" s="101">
        <f>MIN(130%,SUM($B$57:$D$57)/SUM($B$58:$D$58)*$G$69/HLOOKUP(E$64*10+$A67,$145:$146,2,FALSE))</f>
        <v>0.97624163755792537</v>
      </c>
      <c r="H67" s="204">
        <v>3</v>
      </c>
      <c r="I67" s="208">
        <f t="shared" si="6"/>
        <v>8.4000000000000005E-2</v>
      </c>
      <c r="J67" s="208">
        <f t="shared" si="6"/>
        <v>8.1600000000000006E-2</v>
      </c>
      <c r="K67" s="208">
        <f t="shared" si="6"/>
        <v>0.1116</v>
      </c>
      <c r="L67" s="208">
        <f t="shared" si="6"/>
        <v>0.1242</v>
      </c>
      <c r="M67" s="209">
        <f t="shared" si="6"/>
        <v>0.11650000000000001</v>
      </c>
      <c r="N67" s="256">
        <f t="shared" si="7"/>
        <v>-3176</v>
      </c>
      <c r="O67" s="256">
        <f t="shared" si="7"/>
        <v>1886</v>
      </c>
      <c r="P67" s="210"/>
    </row>
    <row r="68" spans="1:71" x14ac:dyDescent="0.25">
      <c r="A68" s="204">
        <v>4</v>
      </c>
      <c r="B68" s="205">
        <f>HLOOKUP(B$64*10+$A68,$81:$82,2,FALSE)</f>
        <v>0.24</v>
      </c>
      <c r="C68" s="205">
        <f>HLOOKUP(C$64*10+$A68,$81:$82,2,FALSE)</f>
        <v>0.17</v>
      </c>
      <c r="D68" s="205">
        <f>HLOOKUP(D$64*10+$A68,$81:$82,2,FALSE)</f>
        <v>0.56000000000000005</v>
      </c>
      <c r="E68" s="206">
        <f>IF(ISNA(HLOOKUP(E$64*10+$A68,$81:$82,2,FALSE)),D68*(1-$N68)*#REF!*(1+$B$25)/(1+$E$4),HLOOKUP(E$64*10+$A68,$81:$82,2,FALSE))</f>
        <v>0.55000000000000004</v>
      </c>
      <c r="F68" s="206">
        <f>IF(ISNA(HLOOKUP(F$64*10+$A68,$81:$82,2,FALSE)),(HLOOKUP(E$64*10+$A68,$87:$94,4,FALSE)*$G68+$B$25)/HLOOKUP(E$64*10+$A68,$87:$94,5,FALSE)*$E68,HLOOKUP(F$64*10+$A68,$81:$82,2,FALSE))</f>
        <v>0.50266341917386093</v>
      </c>
      <c r="G68" s="101">
        <f>MIN(130%,SUM($B$57:$D$57)/SUM($B$58:$D$58)*$G$69/HLOOKUP(E$64*10+$A68,$145:$146,2,FALSE))</f>
        <v>0.99664668817901325</v>
      </c>
      <c r="H68" s="204">
        <v>4</v>
      </c>
      <c r="I68" s="208">
        <f t="shared" si="6"/>
        <v>4.6199999999999998E-2</v>
      </c>
      <c r="J68" s="208">
        <f t="shared" si="6"/>
        <v>3.6600000000000001E-2</v>
      </c>
      <c r="K68" s="208">
        <f t="shared" si="6"/>
        <v>0.1065</v>
      </c>
      <c r="L68" s="208">
        <f t="shared" si="6"/>
        <v>0.1012</v>
      </c>
      <c r="M68" s="209" t="str">
        <f t="shared" si="6"/>
        <v/>
      </c>
      <c r="N68" s="256">
        <f t="shared" si="7"/>
        <v>6056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1.27</v>
      </c>
      <c r="C69" s="213">
        <f>SUM(C65:C68)</f>
        <v>0.97000000000000008</v>
      </c>
      <c r="D69" s="213">
        <f>SUM(D65:D68)</f>
        <v>1.34</v>
      </c>
      <c r="E69" s="213">
        <f>SUM(E65:E68)</f>
        <v>2.12</v>
      </c>
      <c r="F69" s="213">
        <f>SUM(F65:F68)</f>
        <v>1.8826634191738609</v>
      </c>
      <c r="G69" s="257">
        <f>_xlfn.FORECAST.ETS(23,B146:W146,{1,2,3,4,5,6,7,8,9,10,11,12,13,14,15,16,17,18,19,20,21,22})</f>
        <v>25.003057829904105</v>
      </c>
      <c r="H69" s="214" t="s">
        <v>19</v>
      </c>
      <c r="I69" s="215">
        <f>HLOOKUP(I64,151:155,3,FALSE)/100</f>
        <v>6.0999999999999999E-2</v>
      </c>
      <c r="J69" s="215">
        <f>HLOOKUP(J64,151:155,3,FALSE)/100</f>
        <v>5.5899999999999998E-2</v>
      </c>
      <c r="K69" s="215">
        <f>HLOOKUP(K64,151:155,3,FALSE)/100</f>
        <v>7.9899999999999999E-2</v>
      </c>
      <c r="L69" s="215">
        <f>IF(ISNA(HLOOKUP(L64,151:155,3,FALSE)/100),AVERAGE(L65:L68),HLOOKUP(L64,151:155,3,FALSE)/100)</f>
        <v>0.11560000000000001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1.55</v>
      </c>
      <c r="C72" s="205">
        <f t="shared" si="8"/>
        <v>1.67</v>
      </c>
      <c r="D72" s="205">
        <f t="shared" si="8"/>
        <v>0.92</v>
      </c>
      <c r="E72" s="205">
        <f t="shared" si="8"/>
        <v>2.5</v>
      </c>
      <c r="F72" s="205">
        <f t="shared" si="8"/>
        <v>2.04</v>
      </c>
    </row>
    <row r="73" spans="1:71" s="135" customFormat="1" x14ac:dyDescent="0.25">
      <c r="A73" s="204">
        <v>2</v>
      </c>
      <c r="B73" s="205">
        <f t="shared" si="8"/>
        <v>2.1</v>
      </c>
      <c r="C73" s="205">
        <f t="shared" si="8"/>
        <v>0.96</v>
      </c>
      <c r="D73" s="205">
        <f t="shared" si="8"/>
        <v>1.22</v>
      </c>
      <c r="E73" s="205">
        <f t="shared" si="8"/>
        <v>3.67</v>
      </c>
      <c r="F73" s="205">
        <f t="shared" si="8"/>
        <v>2.67</v>
      </c>
    </row>
    <row r="74" spans="1:71" s="135" customFormat="1" x14ac:dyDescent="0.25">
      <c r="A74" s="204">
        <v>3</v>
      </c>
      <c r="B74" s="205">
        <f t="shared" si="8"/>
        <v>2.66</v>
      </c>
      <c r="C74" s="205">
        <f t="shared" si="8"/>
        <v>2.2200000000000002</v>
      </c>
      <c r="D74" s="205">
        <f t="shared" si="8"/>
        <v>2.65</v>
      </c>
      <c r="E74" s="205">
        <f t="shared" si="8"/>
        <v>2.92</v>
      </c>
      <c r="F74" s="205">
        <f t="shared" si="8"/>
        <v>3.12</v>
      </c>
    </row>
    <row r="75" spans="1:71" s="135" customFormat="1" x14ac:dyDescent="0.25">
      <c r="A75" s="204">
        <v>4</v>
      </c>
      <c r="B75" s="205">
        <f t="shared" si="8"/>
        <v>1.44</v>
      </c>
      <c r="C75" s="205">
        <f t="shared" si="8"/>
        <v>1.03</v>
      </c>
      <c r="D75" s="205">
        <f t="shared" si="8"/>
        <v>3.31</v>
      </c>
      <c r="E75" s="205">
        <f t="shared" si="8"/>
        <v>3.1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7.75</v>
      </c>
      <c r="C76" s="213">
        <f>SUM(C72:C75)</f>
        <v>5.88</v>
      </c>
      <c r="D76" s="213">
        <f>SUM(D72:D75)</f>
        <v>8.1</v>
      </c>
      <c r="E76" s="213">
        <f>AVERAGE(E72:E75)*4</f>
        <v>12.19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88974</v>
      </c>
      <c r="C79" s="270">
        <v>103580</v>
      </c>
      <c r="D79" s="270">
        <v>127333</v>
      </c>
      <c r="E79" s="270">
        <v>108848</v>
      </c>
      <c r="F79" s="270">
        <v>101884</v>
      </c>
      <c r="G79" s="270">
        <v>106018</v>
      </c>
      <c r="H79" s="270">
        <v>123412</v>
      </c>
      <c r="I79" s="270">
        <v>113400</v>
      </c>
      <c r="J79" s="270">
        <v>99866</v>
      </c>
      <c r="K79" s="270">
        <v>121304</v>
      </c>
      <c r="L79" s="270">
        <v>124255</v>
      </c>
      <c r="M79" s="270">
        <v>100698</v>
      </c>
      <c r="N79" s="270">
        <v>150500</v>
      </c>
      <c r="O79" s="270">
        <v>82995</v>
      </c>
      <c r="P79" s="270">
        <v>170012</v>
      </c>
      <c r="Q79" s="270">
        <v>138189</v>
      </c>
      <c r="R79" s="270">
        <v>137308</v>
      </c>
      <c r="S79" s="270">
        <v>115761</v>
      </c>
      <c r="T79" s="270">
        <v>142187</v>
      </c>
      <c r="U79" s="270">
        <v>141306</v>
      </c>
      <c r="V79" s="270">
        <v>141688</v>
      </c>
      <c r="W79" s="270">
        <v>144011</v>
      </c>
      <c r="X79" s="270">
        <v>131203</v>
      </c>
      <c r="Y79" s="270">
        <v>123916</v>
      </c>
      <c r="Z79" s="270">
        <v>119478</v>
      </c>
      <c r="AA79" s="270">
        <v>112650</v>
      </c>
      <c r="AB79" s="270">
        <v>138409</v>
      </c>
      <c r="AC79" s="270">
        <v>137613</v>
      </c>
      <c r="AD79" s="270">
        <v>130484</v>
      </c>
      <c r="AE79" s="270">
        <v>129941</v>
      </c>
      <c r="AF79" s="270">
        <v>127863</v>
      </c>
      <c r="AG79" s="270">
        <v>126436</v>
      </c>
      <c r="AH79" s="270">
        <v>131124</v>
      </c>
      <c r="AI79" s="270">
        <v>131175</v>
      </c>
      <c r="AJ79" s="270">
        <v>118153</v>
      </c>
      <c r="AK79" s="270">
        <v>115560</v>
      </c>
      <c r="AL79" s="270">
        <v>140481</v>
      </c>
      <c r="AM79" s="270">
        <v>82463</v>
      </c>
      <c r="AN79" s="270">
        <v>135136</v>
      </c>
      <c r="AO79" s="270">
        <v>121979</v>
      </c>
      <c r="AP79" s="270">
        <v>126496</v>
      </c>
      <c r="AQ79" s="270">
        <v>111835</v>
      </c>
      <c r="AR79" s="270">
        <v>123654</v>
      </c>
      <c r="AS79" s="270">
        <v>117767</v>
      </c>
      <c r="AT79" s="270">
        <v>133384</v>
      </c>
      <c r="AU79" s="270">
        <v>133158</v>
      </c>
      <c r="AV79" s="270">
        <v>137774</v>
      </c>
      <c r="AW79" s="270">
        <v>141653</v>
      </c>
      <c r="AX79" s="270">
        <v>144928</v>
      </c>
      <c r="AY79" s="270">
        <v>99223</v>
      </c>
      <c r="AZ79" s="270">
        <v>177374</v>
      </c>
      <c r="BA79" s="270">
        <v>132391</v>
      </c>
      <c r="BB79" s="270">
        <v>147271</v>
      </c>
      <c r="BC79" s="270">
        <v>145048</v>
      </c>
      <c r="BD79" s="270">
        <v>129871</v>
      </c>
      <c r="BE79" s="270">
        <v>146926</v>
      </c>
      <c r="BF79" s="270">
        <v>144730</v>
      </c>
      <c r="BG79" s="270">
        <v>149498</v>
      </c>
      <c r="BH79" s="270">
        <v>159792</v>
      </c>
      <c r="BI79" s="270">
        <v>155214</v>
      </c>
      <c r="BJ79" s="270">
        <v>135144</v>
      </c>
      <c r="BK79" s="270">
        <v>108683</v>
      </c>
      <c r="BL79" s="270">
        <v>164959</v>
      </c>
      <c r="BM79" s="270">
        <v>114133</v>
      </c>
      <c r="BN79" s="270">
        <v>152823</v>
      </c>
      <c r="BO79" s="270">
        <v>144693</v>
      </c>
      <c r="BP79" s="270">
        <v>137400</v>
      </c>
      <c r="BQ79" s="270">
        <v>147102</v>
      </c>
      <c r="BR79" s="270">
        <v>147429</v>
      </c>
      <c r="BS79" s="270">
        <v>134539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0.19</v>
      </c>
      <c r="C82" s="72">
        <v>0.28999999999999998</v>
      </c>
      <c r="D82" s="72">
        <v>0.4</v>
      </c>
      <c r="E82" s="72">
        <v>0.16</v>
      </c>
      <c r="F82" s="72">
        <v>0.26</v>
      </c>
      <c r="G82" s="72">
        <v>0.34</v>
      </c>
      <c r="H82" s="72">
        <v>0.43</v>
      </c>
      <c r="I82" s="72">
        <v>0.24</v>
      </c>
      <c r="J82" s="72">
        <v>0.28000000000000003</v>
      </c>
      <c r="K82" s="72">
        <v>0.16</v>
      </c>
      <c r="L82" s="72">
        <v>0.36</v>
      </c>
      <c r="M82" s="72">
        <v>0.17</v>
      </c>
      <c r="N82" s="72">
        <v>0.15</v>
      </c>
      <c r="O82" s="72">
        <v>0.2</v>
      </c>
      <c r="P82" s="72">
        <v>0.43</v>
      </c>
      <c r="Q82" s="72">
        <v>0.56000000000000005</v>
      </c>
      <c r="R82" s="72">
        <v>0.43</v>
      </c>
      <c r="S82" s="72">
        <v>0.63</v>
      </c>
      <c r="T82" s="72">
        <v>0.51</v>
      </c>
      <c r="U82" s="72">
        <v>0.55000000000000004</v>
      </c>
      <c r="V82" s="72">
        <v>0.36</v>
      </c>
      <c r="W82" s="72">
        <v>0.47</v>
      </c>
      <c r="X82" s="72">
        <v>0.55000000000000004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16.82</v>
      </c>
      <c r="C85" s="72">
        <v>16.14</v>
      </c>
      <c r="D85" s="72">
        <v>16.47</v>
      </c>
      <c r="E85" s="72">
        <v>16.64</v>
      </c>
      <c r="F85" s="72">
        <v>16.66</v>
      </c>
      <c r="G85" s="72">
        <v>16.07</v>
      </c>
      <c r="H85" s="72">
        <v>16.46</v>
      </c>
      <c r="I85" s="72">
        <v>16.739999999999998</v>
      </c>
      <c r="J85" s="72">
        <v>17.010000000000002</v>
      </c>
      <c r="K85" s="72">
        <v>16.100000000000001</v>
      </c>
      <c r="L85" s="72">
        <v>16.55</v>
      </c>
      <c r="M85" s="72">
        <v>16.84</v>
      </c>
      <c r="N85" s="72">
        <v>16.96</v>
      </c>
      <c r="O85" s="72">
        <v>16.11</v>
      </c>
      <c r="P85" s="72">
        <v>16.71</v>
      </c>
      <c r="Q85" s="72">
        <v>17.010000000000002</v>
      </c>
      <c r="R85" s="72">
        <v>17.420000000000002</v>
      </c>
      <c r="S85" s="72">
        <v>17.05</v>
      </c>
      <c r="T85" s="72">
        <v>17.41</v>
      </c>
      <c r="U85" s="72">
        <v>17.78</v>
      </c>
      <c r="V85" s="72">
        <v>17.95</v>
      </c>
      <c r="W85" s="72">
        <v>17.2</v>
      </c>
      <c r="X85" s="72">
        <v>17.8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392711</v>
      </c>
      <c r="C88" s="273">
        <v>375990</v>
      </c>
      <c r="D88" s="273">
        <v>401328</v>
      </c>
      <c r="E88" s="273">
        <v>410762</v>
      </c>
      <c r="F88" s="273">
        <v>403507</v>
      </c>
      <c r="G88" s="273">
        <v>391258</v>
      </c>
      <c r="H88" s="273">
        <v>425181</v>
      </c>
      <c r="I88" s="273">
        <v>397278</v>
      </c>
      <c r="J88" s="273">
        <v>370995</v>
      </c>
      <c r="K88" s="273">
        <v>397258</v>
      </c>
      <c r="L88" s="273">
        <v>385237</v>
      </c>
      <c r="M88" s="273">
        <v>364747</v>
      </c>
      <c r="N88" s="273">
        <v>357515</v>
      </c>
      <c r="O88" s="273">
        <v>360550</v>
      </c>
      <c r="P88" s="273">
        <v>374618</v>
      </c>
      <c r="Q88" s="273">
        <v>412425</v>
      </c>
      <c r="R88" s="273">
        <v>421338</v>
      </c>
      <c r="S88" s="273">
        <v>424665</v>
      </c>
      <c r="T88" s="273">
        <v>421396</v>
      </c>
      <c r="U88" s="273">
        <v>464354</v>
      </c>
      <c r="V88" s="273">
        <v>408626</v>
      </c>
      <c r="W88" s="273">
        <v>411503</v>
      </c>
      <c r="X88" s="273">
        <v>431800</v>
      </c>
    </row>
    <row r="89" spans="1:25" ht="14.25" thickBot="1" x14ac:dyDescent="0.3">
      <c r="A89" s="250" t="s">
        <v>4</v>
      </c>
      <c r="B89" s="275">
        <v>68350</v>
      </c>
      <c r="C89" s="275">
        <v>72829</v>
      </c>
      <c r="D89" s="275">
        <v>83587</v>
      </c>
      <c r="E89" s="275">
        <v>65857</v>
      </c>
      <c r="F89" s="275">
        <v>67853</v>
      </c>
      <c r="G89" s="275">
        <v>71274</v>
      </c>
      <c r="H89" s="275">
        <v>88625</v>
      </c>
      <c r="I89" s="275">
        <v>61794</v>
      </c>
      <c r="J89" s="275">
        <v>69005</v>
      </c>
      <c r="K89" s="275">
        <v>66154</v>
      </c>
      <c r="L89" s="275">
        <v>74736</v>
      </c>
      <c r="M89" s="275">
        <v>60445</v>
      </c>
      <c r="N89" s="275">
        <v>58020</v>
      </c>
      <c r="O89" s="275">
        <v>66642</v>
      </c>
      <c r="P89" s="275">
        <v>86701</v>
      </c>
      <c r="Q89" s="275">
        <v>98593</v>
      </c>
      <c r="R89" s="275">
        <v>93468</v>
      </c>
      <c r="S89" s="275">
        <v>110552</v>
      </c>
      <c r="T89" s="275">
        <v>104980</v>
      </c>
      <c r="U89" s="275">
        <v>113289</v>
      </c>
      <c r="V89" s="275">
        <v>96435</v>
      </c>
      <c r="W89" s="275">
        <v>95688</v>
      </c>
      <c r="X89" s="275">
        <v>99574</v>
      </c>
    </row>
    <row r="90" spans="1:25" ht="14.25" thickBot="1" x14ac:dyDescent="0.3">
      <c r="A90" s="251" t="s">
        <v>5</v>
      </c>
      <c r="B90" s="273">
        <v>23627</v>
      </c>
      <c r="C90" s="273">
        <v>24199</v>
      </c>
      <c r="D90" s="273">
        <v>34030</v>
      </c>
      <c r="E90" s="273">
        <v>24598</v>
      </c>
      <c r="F90" s="273">
        <v>20599</v>
      </c>
      <c r="G90" s="273">
        <v>23936</v>
      </c>
      <c r="H90" s="273">
        <v>35719</v>
      </c>
      <c r="I90" s="273">
        <v>18371</v>
      </c>
      <c r="J90" s="273">
        <v>23587</v>
      </c>
      <c r="K90" s="273">
        <v>16457</v>
      </c>
      <c r="L90" s="273">
        <v>31451</v>
      </c>
      <c r="M90" s="273">
        <v>13362</v>
      </c>
      <c r="N90" s="273">
        <v>12181</v>
      </c>
      <c r="O90" s="273">
        <v>22298</v>
      </c>
      <c r="P90" s="273">
        <v>41812</v>
      </c>
      <c r="Q90" s="273">
        <v>43905</v>
      </c>
      <c r="R90" s="273">
        <v>41110</v>
      </c>
      <c r="S90" s="273">
        <v>59730</v>
      </c>
      <c r="T90" s="273">
        <v>52351</v>
      </c>
      <c r="U90" s="273">
        <v>47000</v>
      </c>
      <c r="V90" s="273">
        <v>48095</v>
      </c>
      <c r="W90" s="273">
        <v>46595</v>
      </c>
      <c r="X90" s="273">
        <v>50319</v>
      </c>
    </row>
    <row r="91" spans="1:25" ht="14.25" thickBot="1" x14ac:dyDescent="0.3">
      <c r="A91" s="250" t="s">
        <v>6</v>
      </c>
      <c r="B91" s="275">
        <v>17307</v>
      </c>
      <c r="C91" s="275">
        <v>30105</v>
      </c>
      <c r="D91" s="275">
        <v>35197</v>
      </c>
      <c r="E91" s="275">
        <v>17822</v>
      </c>
      <c r="F91" s="275">
        <v>24279</v>
      </c>
      <c r="G91" s="275">
        <v>32928</v>
      </c>
      <c r="H91" s="275">
        <v>41870</v>
      </c>
      <c r="I91" s="275">
        <v>22904</v>
      </c>
      <c r="J91" s="275">
        <v>27426</v>
      </c>
      <c r="K91" s="275">
        <v>17790</v>
      </c>
      <c r="L91" s="275">
        <v>33060</v>
      </c>
      <c r="M91" s="275">
        <v>15910</v>
      </c>
      <c r="N91" s="275">
        <v>15065</v>
      </c>
      <c r="O91" s="275">
        <v>21533</v>
      </c>
      <c r="P91" s="275">
        <v>42516</v>
      </c>
      <c r="Q91" s="275">
        <v>53266</v>
      </c>
      <c r="R91" s="275">
        <v>41780</v>
      </c>
      <c r="S91" s="275">
        <v>62325</v>
      </c>
      <c r="T91" s="275">
        <v>49175</v>
      </c>
      <c r="U91" s="275">
        <v>53056</v>
      </c>
      <c r="V91" s="275">
        <v>35544</v>
      </c>
      <c r="W91" s="275">
        <v>50156</v>
      </c>
      <c r="X91" s="275">
        <v>52205</v>
      </c>
    </row>
    <row r="92" spans="1:25" ht="14.25" thickBot="1" x14ac:dyDescent="0.3">
      <c r="A92" s="251" t="s">
        <v>7</v>
      </c>
      <c r="B92" s="273">
        <v>14842</v>
      </c>
      <c r="C92" s="273">
        <v>23203</v>
      </c>
      <c r="D92" s="273">
        <v>31265</v>
      </c>
      <c r="E92" s="273">
        <v>12977</v>
      </c>
      <c r="F92" s="273">
        <v>20386</v>
      </c>
      <c r="G92" s="273">
        <v>27197</v>
      </c>
      <c r="H92" s="273">
        <v>34233</v>
      </c>
      <c r="I92" s="273">
        <v>18946</v>
      </c>
      <c r="J92" s="273">
        <v>22238</v>
      </c>
      <c r="K92" s="273">
        <v>12517</v>
      </c>
      <c r="L92" s="273">
        <v>28622</v>
      </c>
      <c r="M92" s="273">
        <v>13576</v>
      </c>
      <c r="N92" s="273">
        <v>12263</v>
      </c>
      <c r="O92" s="273">
        <v>15997</v>
      </c>
      <c r="P92" s="273">
        <v>34368</v>
      </c>
      <c r="Q92" s="273">
        <v>44171</v>
      </c>
      <c r="R92" s="273">
        <v>34071</v>
      </c>
      <c r="S92" s="273">
        <v>50069</v>
      </c>
      <c r="T92" s="273">
        <v>39832</v>
      </c>
      <c r="U92" s="273">
        <v>43187</v>
      </c>
      <c r="V92" s="273">
        <v>28840</v>
      </c>
      <c r="W92" s="273">
        <v>37043</v>
      </c>
      <c r="X92" s="273">
        <v>43179</v>
      </c>
    </row>
    <row r="93" spans="1:25" ht="26.25" thickBot="1" x14ac:dyDescent="0.3">
      <c r="A93" s="252" t="s">
        <v>8</v>
      </c>
      <c r="B93" s="276">
        <v>14827</v>
      </c>
      <c r="C93" s="276">
        <v>23213</v>
      </c>
      <c r="D93" s="276">
        <v>31261</v>
      </c>
      <c r="E93" s="276">
        <v>12984</v>
      </c>
      <c r="F93" s="276">
        <v>20381</v>
      </c>
      <c r="G93" s="276">
        <v>27194</v>
      </c>
      <c r="H93" s="276">
        <v>34234</v>
      </c>
      <c r="I93" s="276">
        <v>18919</v>
      </c>
      <c r="J93" s="276">
        <v>22242</v>
      </c>
      <c r="K93" s="276">
        <v>12516</v>
      </c>
      <c r="L93" s="276">
        <v>28620</v>
      </c>
      <c r="M93" s="276">
        <v>13567</v>
      </c>
      <c r="N93" s="276">
        <v>12238</v>
      </c>
      <c r="O93" s="276">
        <v>16038</v>
      </c>
      <c r="P93" s="276">
        <v>34393</v>
      </c>
      <c r="Q93" s="276">
        <v>44095</v>
      </c>
      <c r="R93" s="276">
        <v>34069</v>
      </c>
      <c r="S93" s="276">
        <v>50039</v>
      </c>
      <c r="T93" s="276">
        <v>39832</v>
      </c>
      <c r="U93" s="276">
        <v>43188</v>
      </c>
      <c r="V93" s="276">
        <v>28841</v>
      </c>
      <c r="W93" s="276">
        <v>37049</v>
      </c>
      <c r="X93" s="276">
        <v>43149</v>
      </c>
    </row>
    <row r="94" spans="1:25" x14ac:dyDescent="0.25">
      <c r="A94" s="233" t="s">
        <v>365</v>
      </c>
      <c r="B94" s="253">
        <f>IF(B91="","",B91-B90)</f>
        <v>-6320</v>
      </c>
      <c r="C94" s="253">
        <f>IF(C91="","",C91-C90)</f>
        <v>5906</v>
      </c>
      <c r="D94" s="253">
        <f t="shared" ref="D94:Y94" si="9">IF(D91="","",D91-D90)</f>
        <v>1167</v>
      </c>
      <c r="E94" s="253">
        <f t="shared" si="9"/>
        <v>-6776</v>
      </c>
      <c r="F94" s="253">
        <f t="shared" si="9"/>
        <v>3680</v>
      </c>
      <c r="G94" s="253">
        <f t="shared" si="9"/>
        <v>8992</v>
      </c>
      <c r="H94" s="253">
        <f t="shared" si="9"/>
        <v>6151</v>
      </c>
      <c r="I94" s="253">
        <f t="shared" si="9"/>
        <v>4533</v>
      </c>
      <c r="J94" s="253">
        <f t="shared" si="9"/>
        <v>3839</v>
      </c>
      <c r="K94" s="253">
        <f t="shared" si="9"/>
        <v>1333</v>
      </c>
      <c r="L94" s="253">
        <f t="shared" si="9"/>
        <v>1609</v>
      </c>
      <c r="M94" s="253">
        <f t="shared" si="9"/>
        <v>2548</v>
      </c>
      <c r="N94" s="253">
        <f t="shared" si="9"/>
        <v>2884</v>
      </c>
      <c r="O94" s="253">
        <f t="shared" si="9"/>
        <v>-765</v>
      </c>
      <c r="P94" s="253">
        <f t="shared" si="9"/>
        <v>704</v>
      </c>
      <c r="Q94" s="253">
        <f t="shared" si="9"/>
        <v>9361</v>
      </c>
      <c r="R94" s="253">
        <f t="shared" si="9"/>
        <v>670</v>
      </c>
      <c r="S94" s="253">
        <f t="shared" si="9"/>
        <v>2595</v>
      </c>
      <c r="T94" s="253">
        <f t="shared" si="9"/>
        <v>-3176</v>
      </c>
      <c r="U94" s="253">
        <f t="shared" si="9"/>
        <v>6056</v>
      </c>
      <c r="V94" s="253">
        <f t="shared" si="9"/>
        <v>-12551</v>
      </c>
      <c r="W94" s="253">
        <f t="shared" si="9"/>
        <v>3561</v>
      </c>
      <c r="X94" s="253">
        <f t="shared" si="9"/>
        <v>1886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1580791</v>
      </c>
      <c r="C97" s="273">
        <v>1617224</v>
      </c>
      <c r="D97" s="273">
        <v>1518237</v>
      </c>
      <c r="E97" s="273">
        <v>1505108</v>
      </c>
      <c r="F97" s="273">
        <v>1731753</v>
      </c>
    </row>
    <row r="98" spans="1:24" ht="14.25" thickBot="1" x14ac:dyDescent="0.3">
      <c r="A98" s="225" t="s">
        <v>4</v>
      </c>
      <c r="B98" s="275">
        <v>290623</v>
      </c>
      <c r="C98" s="275">
        <v>289546</v>
      </c>
      <c r="D98" s="275">
        <v>270340</v>
      </c>
      <c r="E98" s="275">
        <v>309956</v>
      </c>
      <c r="F98" s="275">
        <v>422289</v>
      </c>
    </row>
    <row r="99" spans="1:24" ht="14.25" thickBot="1" x14ac:dyDescent="0.3">
      <c r="A99" s="224" t="s">
        <v>5</v>
      </c>
      <c r="B99" s="273">
        <v>106454</v>
      </c>
      <c r="C99" s="273">
        <v>98625</v>
      </c>
      <c r="D99" s="273">
        <v>84857</v>
      </c>
      <c r="E99" s="273">
        <v>120196</v>
      </c>
      <c r="F99" s="273">
        <v>200191</v>
      </c>
    </row>
    <row r="100" spans="1:24" ht="14.25" thickBot="1" x14ac:dyDescent="0.3">
      <c r="A100" s="225" t="s">
        <v>6</v>
      </c>
      <c r="B100" s="275">
        <v>100431</v>
      </c>
      <c r="C100" s="275">
        <v>121981</v>
      </c>
      <c r="D100" s="275">
        <v>94186</v>
      </c>
      <c r="E100" s="275">
        <v>132380</v>
      </c>
      <c r="F100" s="275">
        <v>206336</v>
      </c>
    </row>
    <row r="101" spans="1:24" ht="14.25" thickBot="1" x14ac:dyDescent="0.3">
      <c r="A101" s="224" t="s">
        <v>7</v>
      </c>
      <c r="B101" s="273">
        <v>82287</v>
      </c>
      <c r="C101" s="273">
        <v>100762</v>
      </c>
      <c r="D101" s="273">
        <v>76953</v>
      </c>
      <c r="E101" s="273">
        <v>106799</v>
      </c>
      <c r="F101" s="273">
        <v>167159</v>
      </c>
    </row>
    <row r="102" spans="1:24" ht="14.25" thickBot="1" x14ac:dyDescent="0.3">
      <c r="A102" s="227" t="s">
        <v>8</v>
      </c>
      <c r="B102" s="276">
        <v>82285</v>
      </c>
      <c r="C102" s="276">
        <v>100728</v>
      </c>
      <c r="D102" s="276">
        <v>76945</v>
      </c>
      <c r="E102" s="276">
        <v>106764</v>
      </c>
      <c r="F102" s="276">
        <v>167128</v>
      </c>
    </row>
    <row r="103" spans="1:24" x14ac:dyDescent="0.25">
      <c r="A103" s="233" t="s">
        <v>262</v>
      </c>
      <c r="B103" s="234">
        <f>IF(OR(B102="",B102="無"),"",B102/B101)</f>
        <v>0.99997569482421278</v>
      </c>
      <c r="C103" s="234">
        <f>IF(OR(C102="",C102="無"),"",C102/C101)</f>
        <v>0.99966257120739965</v>
      </c>
      <c r="D103" s="234">
        <f>IF(OR(D102="",D102="無"),"",D102/D101)</f>
        <v>0.9998960404402687</v>
      </c>
      <c r="E103" s="234">
        <f>IF(OR(E102="",E102="無"),"",E102/E101)</f>
        <v>0.99967228157567023</v>
      </c>
      <c r="F103" s="234">
        <f>IF(OR(F102="",F102="無"),"",F102/F101)</f>
        <v>0.99981454782572277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237468</v>
      </c>
      <c r="C106" s="273">
        <v>292164</v>
      </c>
      <c r="D106" s="273">
        <v>234428</v>
      </c>
      <c r="E106" s="273">
        <v>264326</v>
      </c>
      <c r="F106" s="273">
        <v>373888</v>
      </c>
      <c r="G106" s="273">
        <v>433478</v>
      </c>
      <c r="H106" s="273">
        <v>355730</v>
      </c>
      <c r="I106" s="273">
        <v>384816</v>
      </c>
      <c r="J106" s="273">
        <v>421573</v>
      </c>
      <c r="K106" s="273">
        <v>340194</v>
      </c>
      <c r="L106" s="273">
        <v>246560</v>
      </c>
      <c r="M106" s="273">
        <v>432027</v>
      </c>
      <c r="N106" s="273">
        <v>398590</v>
      </c>
      <c r="O106" s="273">
        <v>429976</v>
      </c>
      <c r="P106" s="273">
        <v>405735</v>
      </c>
      <c r="Q106" s="273">
        <v>461889</v>
      </c>
      <c r="R106" s="273">
        <v>387522</v>
      </c>
      <c r="S106" s="273">
        <v>438614</v>
      </c>
      <c r="T106" s="273">
        <v>320002</v>
      </c>
      <c r="U106" s="273">
        <v>476266</v>
      </c>
      <c r="V106" s="273">
        <v>370921</v>
      </c>
      <c r="W106" s="273">
        <v>341233</v>
      </c>
      <c r="X106" s="273">
        <v>291297</v>
      </c>
    </row>
    <row r="107" spans="1:24" ht="14.25" thickBot="1" x14ac:dyDescent="0.3">
      <c r="A107" s="225" t="s">
        <v>22</v>
      </c>
      <c r="B107" s="275">
        <v>25564</v>
      </c>
      <c r="C107" s="275">
        <v>26575</v>
      </c>
      <c r="D107" s="275">
        <v>25171</v>
      </c>
      <c r="E107" s="275">
        <v>24808</v>
      </c>
      <c r="F107" s="275">
        <v>25120</v>
      </c>
      <c r="G107" s="275">
        <v>32662</v>
      </c>
      <c r="H107" s="275">
        <v>50532</v>
      </c>
      <c r="I107" s="275">
        <v>51981</v>
      </c>
      <c r="J107" s="275">
        <v>51509</v>
      </c>
      <c r="K107" s="275">
        <v>56786</v>
      </c>
      <c r="L107" s="275">
        <v>54903</v>
      </c>
      <c r="M107" s="275">
        <v>56463</v>
      </c>
      <c r="N107" s="275">
        <v>51996</v>
      </c>
      <c r="O107" s="275">
        <v>66755</v>
      </c>
      <c r="P107" s="275">
        <v>57218</v>
      </c>
      <c r="Q107" s="275">
        <v>30892</v>
      </c>
      <c r="R107" s="275">
        <v>28950</v>
      </c>
      <c r="S107" s="275">
        <v>24197</v>
      </c>
      <c r="T107" s="275">
        <v>15861</v>
      </c>
      <c r="U107" s="275">
        <v>15847</v>
      </c>
      <c r="V107" s="275">
        <v>21884</v>
      </c>
      <c r="W107" s="275">
        <v>14250</v>
      </c>
      <c r="X107" s="275">
        <v>23802</v>
      </c>
    </row>
    <row r="108" spans="1:24" ht="14.25" thickBot="1" x14ac:dyDescent="0.3">
      <c r="A108" s="224" t="s">
        <v>263</v>
      </c>
      <c r="B108" s="273">
        <v>377230</v>
      </c>
      <c r="C108" s="273">
        <v>384692</v>
      </c>
      <c r="D108" s="273">
        <v>388869</v>
      </c>
      <c r="E108" s="273">
        <v>391398</v>
      </c>
      <c r="F108" s="273">
        <v>407610</v>
      </c>
      <c r="G108" s="273">
        <v>404397</v>
      </c>
      <c r="H108" s="273">
        <v>394262</v>
      </c>
      <c r="I108" s="273">
        <v>392772</v>
      </c>
      <c r="J108" s="273">
        <v>378098</v>
      </c>
      <c r="K108" s="273">
        <v>391615</v>
      </c>
      <c r="L108" s="273">
        <v>396055</v>
      </c>
      <c r="M108" s="273">
        <v>380598</v>
      </c>
      <c r="N108" s="273">
        <v>374466</v>
      </c>
      <c r="O108" s="273">
        <v>373471</v>
      </c>
      <c r="P108" s="273">
        <v>390723</v>
      </c>
      <c r="Q108" s="273">
        <v>408047</v>
      </c>
      <c r="R108" s="273">
        <v>427130</v>
      </c>
      <c r="S108" s="273">
        <v>426834</v>
      </c>
      <c r="T108" s="273">
        <v>426365</v>
      </c>
      <c r="U108" s="273">
        <v>456723</v>
      </c>
      <c r="V108" s="273">
        <v>388217</v>
      </c>
      <c r="W108" s="273">
        <v>417852</v>
      </c>
      <c r="X108" s="273">
        <v>428078</v>
      </c>
    </row>
    <row r="109" spans="1:24" ht="14.25" thickBot="1" x14ac:dyDescent="0.3">
      <c r="A109" s="225" t="s">
        <v>264</v>
      </c>
      <c r="B109" s="275">
        <v>542258</v>
      </c>
      <c r="C109" s="275">
        <v>547780</v>
      </c>
      <c r="D109" s="275">
        <v>557364</v>
      </c>
      <c r="E109" s="275">
        <v>518366</v>
      </c>
      <c r="F109" s="275">
        <v>522943</v>
      </c>
      <c r="G109" s="275">
        <v>544165</v>
      </c>
      <c r="H109" s="275">
        <v>543383</v>
      </c>
      <c r="I109" s="275">
        <v>546833</v>
      </c>
      <c r="J109" s="275">
        <v>567323</v>
      </c>
      <c r="K109" s="275">
        <v>556346</v>
      </c>
      <c r="L109" s="275">
        <v>598308</v>
      </c>
      <c r="M109" s="275">
        <v>563831</v>
      </c>
      <c r="N109" s="275">
        <v>548341</v>
      </c>
      <c r="O109" s="275">
        <v>536501</v>
      </c>
      <c r="P109" s="275">
        <v>544992</v>
      </c>
      <c r="Q109" s="275">
        <v>524066</v>
      </c>
      <c r="R109" s="275">
        <v>506195</v>
      </c>
      <c r="S109" s="275">
        <v>540111</v>
      </c>
      <c r="T109" s="275">
        <v>595214</v>
      </c>
      <c r="U109" s="275">
        <v>557103</v>
      </c>
      <c r="V109" s="275">
        <v>598397</v>
      </c>
      <c r="W109" s="275">
        <v>607357</v>
      </c>
      <c r="X109" s="275">
        <v>604382</v>
      </c>
    </row>
    <row r="110" spans="1:24" ht="14.25" thickBot="1" x14ac:dyDescent="0.3">
      <c r="A110" s="224" t="s">
        <v>23</v>
      </c>
      <c r="B110" s="273">
        <v>10838</v>
      </c>
      <c r="C110" s="273">
        <v>17552</v>
      </c>
      <c r="D110" s="273">
        <v>19394</v>
      </c>
      <c r="E110" s="273">
        <v>13727</v>
      </c>
      <c r="F110" s="273">
        <v>25147</v>
      </c>
      <c r="G110" s="273">
        <v>12920</v>
      </c>
      <c r="H110" s="273">
        <v>13556</v>
      </c>
      <c r="I110" s="273">
        <v>13534</v>
      </c>
      <c r="J110" s="273">
        <v>17889</v>
      </c>
      <c r="K110" s="273">
        <v>14894</v>
      </c>
      <c r="L110" s="273">
        <v>19277</v>
      </c>
      <c r="M110" s="273">
        <v>14755</v>
      </c>
      <c r="N110" s="273">
        <v>15767</v>
      </c>
      <c r="O110" s="273">
        <v>16439</v>
      </c>
      <c r="P110" s="273">
        <v>15698</v>
      </c>
      <c r="Q110" s="273">
        <v>19587</v>
      </c>
      <c r="R110" s="273">
        <v>19189</v>
      </c>
      <c r="S110" s="273">
        <v>18149</v>
      </c>
      <c r="T110" s="273">
        <v>17491</v>
      </c>
      <c r="U110" s="273">
        <v>21426</v>
      </c>
      <c r="V110" s="273">
        <v>20660</v>
      </c>
      <c r="W110" s="273">
        <v>13857</v>
      </c>
      <c r="X110" s="273">
        <v>19125</v>
      </c>
    </row>
    <row r="111" spans="1:24" ht="14.25" thickBot="1" x14ac:dyDescent="0.3">
      <c r="A111" s="225" t="s">
        <v>24</v>
      </c>
      <c r="B111" s="275">
        <v>1193358</v>
      </c>
      <c r="C111" s="275">
        <v>1268763</v>
      </c>
      <c r="D111" s="275">
        <v>1225226</v>
      </c>
      <c r="E111" s="275">
        <v>1212625</v>
      </c>
      <c r="F111" s="275">
        <v>1354708</v>
      </c>
      <c r="G111" s="275">
        <v>1427622</v>
      </c>
      <c r="H111" s="275">
        <v>1357463</v>
      </c>
      <c r="I111" s="275">
        <v>1389936</v>
      </c>
      <c r="J111" s="275">
        <v>1436392</v>
      </c>
      <c r="K111" s="275">
        <v>1359835</v>
      </c>
      <c r="L111" s="275">
        <v>1315103</v>
      </c>
      <c r="M111" s="275">
        <v>1447674</v>
      </c>
      <c r="N111" s="275">
        <v>1389160</v>
      </c>
      <c r="O111" s="275">
        <v>1423142</v>
      </c>
      <c r="P111" s="275">
        <v>1414366</v>
      </c>
      <c r="Q111" s="275">
        <v>1444481</v>
      </c>
      <c r="R111" s="275">
        <v>1368986</v>
      </c>
      <c r="S111" s="275">
        <v>1447905</v>
      </c>
      <c r="T111" s="275">
        <v>1374933</v>
      </c>
      <c r="U111" s="275">
        <v>1527365</v>
      </c>
      <c r="V111" s="275">
        <v>1400079</v>
      </c>
      <c r="W111" s="275">
        <v>1394549</v>
      </c>
      <c r="X111" s="275">
        <v>1366684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399463</v>
      </c>
      <c r="C113" s="275">
        <v>389770</v>
      </c>
      <c r="D113" s="275">
        <v>375423</v>
      </c>
      <c r="E113" s="275">
        <v>360665</v>
      </c>
      <c r="F113" s="275">
        <v>348410</v>
      </c>
      <c r="G113" s="275">
        <v>341385</v>
      </c>
      <c r="H113" s="275">
        <v>332007</v>
      </c>
      <c r="I113" s="275">
        <v>322551</v>
      </c>
      <c r="J113" s="275">
        <v>311526</v>
      </c>
      <c r="K113" s="275">
        <v>296519</v>
      </c>
      <c r="L113" s="275">
        <v>293321</v>
      </c>
      <c r="M113" s="275">
        <v>287405</v>
      </c>
      <c r="N113" s="275">
        <v>277800</v>
      </c>
      <c r="O113" s="275">
        <v>268076</v>
      </c>
      <c r="P113" s="275">
        <v>271582</v>
      </c>
      <c r="Q113" s="275">
        <v>263823</v>
      </c>
      <c r="R113" s="275">
        <v>259569</v>
      </c>
      <c r="S113" s="275">
        <v>258755</v>
      </c>
      <c r="T113" s="275">
        <v>260421</v>
      </c>
      <c r="U113" s="275">
        <v>257644</v>
      </c>
      <c r="V113" s="275">
        <v>251157</v>
      </c>
      <c r="W113" s="275">
        <v>247968</v>
      </c>
      <c r="X113" s="275">
        <v>250657</v>
      </c>
    </row>
    <row r="114" spans="1:24" ht="14.25" thickBot="1" x14ac:dyDescent="0.3">
      <c r="A114" s="224" t="s">
        <v>27</v>
      </c>
      <c r="B114" s="273">
        <v>24951</v>
      </c>
      <c r="C114" s="273">
        <v>24558</v>
      </c>
      <c r="D114" s="273">
        <v>25150</v>
      </c>
      <c r="E114" s="273">
        <v>24969</v>
      </c>
      <c r="F114" s="273">
        <v>40522</v>
      </c>
      <c r="G114" s="273">
        <v>40186</v>
      </c>
      <c r="H114" s="273">
        <v>40431</v>
      </c>
      <c r="I114" s="273">
        <v>44245</v>
      </c>
      <c r="J114" s="273">
        <v>43828</v>
      </c>
      <c r="K114" s="273">
        <v>43133</v>
      </c>
      <c r="L114" s="273">
        <v>39681</v>
      </c>
      <c r="M114" s="273">
        <v>39637</v>
      </c>
      <c r="N114" s="273">
        <v>39083</v>
      </c>
      <c r="O114" s="273">
        <v>41192</v>
      </c>
      <c r="P114" s="273">
        <v>42498</v>
      </c>
      <c r="Q114" s="273">
        <v>47825</v>
      </c>
      <c r="R114" s="273">
        <v>43700</v>
      </c>
      <c r="S114" s="273">
        <v>34511</v>
      </c>
      <c r="T114" s="273">
        <v>35388</v>
      </c>
      <c r="U114" s="273">
        <v>31364</v>
      </c>
      <c r="V114" s="273">
        <v>31752</v>
      </c>
      <c r="W114" s="273">
        <v>39173</v>
      </c>
      <c r="X114" s="273">
        <v>36951</v>
      </c>
    </row>
    <row r="115" spans="1:24" ht="14.25" thickBot="1" x14ac:dyDescent="0.3">
      <c r="A115" s="225" t="s">
        <v>265</v>
      </c>
      <c r="B115" s="276">
        <v>1617772</v>
      </c>
      <c r="C115" s="276">
        <v>1683091</v>
      </c>
      <c r="D115" s="276">
        <v>1625799</v>
      </c>
      <c r="E115" s="276">
        <v>1598259</v>
      </c>
      <c r="F115" s="276">
        <v>1743640</v>
      </c>
      <c r="G115" s="276">
        <v>1809193</v>
      </c>
      <c r="H115" s="276">
        <v>1729901</v>
      </c>
      <c r="I115" s="276">
        <v>1756732</v>
      </c>
      <c r="J115" s="276">
        <v>1791746</v>
      </c>
      <c r="K115" s="276">
        <v>1699487</v>
      </c>
      <c r="L115" s="276">
        <v>1648105</v>
      </c>
      <c r="M115" s="276">
        <v>1774716</v>
      </c>
      <c r="N115" s="276">
        <v>1706043</v>
      </c>
      <c r="O115" s="276">
        <v>1732410</v>
      </c>
      <c r="P115" s="276">
        <v>1728446</v>
      </c>
      <c r="Q115" s="276">
        <v>1756129</v>
      </c>
      <c r="R115" s="276">
        <v>1672255</v>
      </c>
      <c r="S115" s="276">
        <v>1741171</v>
      </c>
      <c r="T115" s="276">
        <v>1670742</v>
      </c>
      <c r="U115" s="276">
        <v>1816373</v>
      </c>
      <c r="V115" s="276">
        <v>1682988</v>
      </c>
      <c r="W115" s="276">
        <v>1681690</v>
      </c>
      <c r="X115" s="276">
        <v>1654292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76949</v>
      </c>
      <c r="C118" s="273">
        <v>117048</v>
      </c>
      <c r="D118" s="273">
        <v>97450</v>
      </c>
      <c r="E118" s="273">
        <v>71314</v>
      </c>
      <c r="F118" s="273">
        <v>161124</v>
      </c>
      <c r="G118" s="273">
        <v>202550</v>
      </c>
      <c r="H118" s="273">
        <v>154809</v>
      </c>
      <c r="I118" s="273">
        <v>147095</v>
      </c>
      <c r="J118" s="273">
        <v>203424</v>
      </c>
      <c r="K118" s="273">
        <v>96269</v>
      </c>
      <c r="L118" s="273">
        <v>75071</v>
      </c>
      <c r="M118" s="273">
        <v>203149</v>
      </c>
      <c r="N118" s="273">
        <v>135295</v>
      </c>
      <c r="O118" s="273">
        <v>146763</v>
      </c>
      <c r="P118" s="273">
        <v>160481</v>
      </c>
      <c r="Q118" s="273">
        <v>118094</v>
      </c>
      <c r="R118" s="273">
        <v>99111</v>
      </c>
      <c r="S118" s="273">
        <v>120279</v>
      </c>
      <c r="T118" s="273">
        <v>51436</v>
      </c>
      <c r="U118" s="273">
        <v>138800</v>
      </c>
      <c r="V118" s="273">
        <v>34239</v>
      </c>
      <c r="W118" s="68">
        <v>0</v>
      </c>
      <c r="X118" s="273">
        <v>2764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89556</v>
      </c>
      <c r="C120" s="273">
        <v>83351</v>
      </c>
      <c r="D120" s="273">
        <v>93015</v>
      </c>
      <c r="E120" s="273">
        <v>75663</v>
      </c>
      <c r="F120" s="273">
        <v>98923</v>
      </c>
      <c r="G120" s="273">
        <v>79145</v>
      </c>
      <c r="H120" s="273">
        <v>95611</v>
      </c>
      <c r="I120" s="273">
        <v>92250</v>
      </c>
      <c r="J120" s="273">
        <v>72691</v>
      </c>
      <c r="K120" s="273">
        <v>78396</v>
      </c>
      <c r="L120" s="273">
        <v>94472</v>
      </c>
      <c r="M120" s="273">
        <v>63640</v>
      </c>
      <c r="N120" s="273">
        <v>71892</v>
      </c>
      <c r="O120" s="273">
        <v>75166</v>
      </c>
      <c r="P120" s="273">
        <v>88873</v>
      </c>
      <c r="Q120" s="273">
        <v>97296</v>
      </c>
      <c r="R120" s="273">
        <v>95934</v>
      </c>
      <c r="S120" s="273">
        <v>107826</v>
      </c>
      <c r="T120" s="273">
        <v>130705</v>
      </c>
      <c r="U120" s="273">
        <v>102912</v>
      </c>
      <c r="V120" s="273">
        <v>120230</v>
      </c>
      <c r="W120" s="273">
        <v>103079</v>
      </c>
      <c r="X120" s="273">
        <v>108449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72577</v>
      </c>
      <c r="C123" s="275">
        <v>158039</v>
      </c>
      <c r="D123" s="275">
        <v>84688</v>
      </c>
      <c r="E123" s="275">
        <v>87987</v>
      </c>
      <c r="F123" s="275">
        <v>84832</v>
      </c>
      <c r="G123" s="275">
        <v>176147</v>
      </c>
      <c r="H123" s="275">
        <v>98838</v>
      </c>
      <c r="I123" s="275">
        <v>113929</v>
      </c>
      <c r="J123" s="275">
        <v>91324</v>
      </c>
      <c r="K123" s="275">
        <v>173585</v>
      </c>
      <c r="L123" s="275">
        <v>92161</v>
      </c>
      <c r="M123" s="275">
        <v>99700</v>
      </c>
      <c r="N123" s="275">
        <v>81878</v>
      </c>
      <c r="O123" s="275">
        <v>161876</v>
      </c>
      <c r="P123" s="275">
        <v>83915</v>
      </c>
      <c r="Q123" s="275">
        <v>113574</v>
      </c>
      <c r="R123" s="275">
        <v>94226</v>
      </c>
      <c r="S123" s="275">
        <v>159528</v>
      </c>
      <c r="T123" s="275">
        <v>106131</v>
      </c>
      <c r="U123" s="275">
        <v>154243</v>
      </c>
      <c r="V123" s="275">
        <v>95119</v>
      </c>
      <c r="W123" s="275">
        <v>204691</v>
      </c>
      <c r="X123" s="275">
        <v>121551</v>
      </c>
    </row>
    <row r="124" spans="1:24" ht="14.25" thickBot="1" x14ac:dyDescent="0.3">
      <c r="A124" s="224" t="s">
        <v>268</v>
      </c>
      <c r="B124" s="273">
        <v>239082</v>
      </c>
      <c r="C124" s="273">
        <v>358438</v>
      </c>
      <c r="D124" s="273">
        <v>275153</v>
      </c>
      <c r="E124" s="273">
        <v>234964</v>
      </c>
      <c r="F124" s="273">
        <v>344879</v>
      </c>
      <c r="G124" s="273">
        <v>457842</v>
      </c>
      <c r="H124" s="273">
        <v>349258</v>
      </c>
      <c r="I124" s="273">
        <v>353274</v>
      </c>
      <c r="J124" s="273">
        <v>367439</v>
      </c>
      <c r="K124" s="273">
        <v>348250</v>
      </c>
      <c r="L124" s="273">
        <v>261704</v>
      </c>
      <c r="M124" s="273">
        <v>366489</v>
      </c>
      <c r="N124" s="273">
        <v>289065</v>
      </c>
      <c r="O124" s="273">
        <v>383805</v>
      </c>
      <c r="P124" s="273">
        <v>333269</v>
      </c>
      <c r="Q124" s="273">
        <v>328964</v>
      </c>
      <c r="R124" s="273">
        <v>289271</v>
      </c>
      <c r="S124" s="273">
        <v>387633</v>
      </c>
      <c r="T124" s="273">
        <v>288272</v>
      </c>
      <c r="U124" s="273">
        <v>395955</v>
      </c>
      <c r="V124" s="273">
        <v>249588</v>
      </c>
      <c r="W124" s="273">
        <v>307770</v>
      </c>
      <c r="X124" s="273">
        <v>232764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81188</v>
      </c>
      <c r="G125" s="275">
        <v>80568</v>
      </c>
      <c r="H125" s="275">
        <v>79004</v>
      </c>
      <c r="I125" s="275">
        <v>79904</v>
      </c>
      <c r="J125" s="275">
        <v>79663</v>
      </c>
      <c r="K125" s="275">
        <v>78491</v>
      </c>
      <c r="L125" s="275">
        <v>77668</v>
      </c>
      <c r="M125" s="275">
        <v>76305</v>
      </c>
      <c r="N125" s="275">
        <v>75746</v>
      </c>
      <c r="O125" s="275">
        <v>74803</v>
      </c>
      <c r="P125" s="275">
        <v>74082</v>
      </c>
      <c r="Q125" s="275">
        <v>81997</v>
      </c>
      <c r="R125" s="275">
        <v>5340</v>
      </c>
      <c r="S125" s="275">
        <v>5610</v>
      </c>
      <c r="T125" s="275">
        <v>5356</v>
      </c>
      <c r="U125" s="275">
        <v>14175</v>
      </c>
      <c r="V125" s="275">
        <v>13804</v>
      </c>
      <c r="W125" s="275">
        <v>14098</v>
      </c>
      <c r="X125" s="275">
        <v>13610</v>
      </c>
    </row>
    <row r="126" spans="1:24" ht="14.25" thickBot="1" x14ac:dyDescent="0.3">
      <c r="A126" s="224" t="s">
        <v>33</v>
      </c>
      <c r="B126" s="273">
        <v>48369</v>
      </c>
      <c r="C126" s="273">
        <v>48311</v>
      </c>
      <c r="D126" s="273">
        <v>48185</v>
      </c>
      <c r="E126" s="273">
        <v>47449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287451</v>
      </c>
      <c r="C127" s="275">
        <v>406749</v>
      </c>
      <c r="D127" s="275">
        <v>323338</v>
      </c>
      <c r="E127" s="275">
        <v>282413</v>
      </c>
      <c r="F127" s="275">
        <v>426067</v>
      </c>
      <c r="G127" s="275">
        <v>538410</v>
      </c>
      <c r="H127" s="275">
        <v>428262</v>
      </c>
      <c r="I127" s="275">
        <v>433178</v>
      </c>
      <c r="J127" s="275">
        <v>447102</v>
      </c>
      <c r="K127" s="275">
        <v>426741</v>
      </c>
      <c r="L127" s="275">
        <v>339372</v>
      </c>
      <c r="M127" s="275">
        <v>442794</v>
      </c>
      <c r="N127" s="275">
        <v>364811</v>
      </c>
      <c r="O127" s="275">
        <v>458608</v>
      </c>
      <c r="P127" s="275">
        <v>407351</v>
      </c>
      <c r="Q127" s="275">
        <v>410961</v>
      </c>
      <c r="R127" s="275">
        <v>294611</v>
      </c>
      <c r="S127" s="275">
        <v>393243</v>
      </c>
      <c r="T127" s="275">
        <v>293628</v>
      </c>
      <c r="U127" s="275">
        <v>410130</v>
      </c>
      <c r="V127" s="275">
        <v>263392</v>
      </c>
      <c r="W127" s="275">
        <v>321868</v>
      </c>
      <c r="X127" s="275">
        <v>246374</v>
      </c>
    </row>
    <row r="128" spans="1:24" ht="14.25" thickBot="1" x14ac:dyDescent="0.3">
      <c r="A128" s="224" t="s">
        <v>34</v>
      </c>
      <c r="B128" s="273">
        <v>1330321</v>
      </c>
      <c r="C128" s="273">
        <v>1276342</v>
      </c>
      <c r="D128" s="273">
        <v>1302461</v>
      </c>
      <c r="E128" s="273">
        <v>1315846</v>
      </c>
      <c r="F128" s="273">
        <v>1317573</v>
      </c>
      <c r="G128" s="273">
        <v>1270783</v>
      </c>
      <c r="H128" s="273">
        <v>1301639</v>
      </c>
      <c r="I128" s="273">
        <v>1323554</v>
      </c>
      <c r="J128" s="273">
        <v>1344644</v>
      </c>
      <c r="K128" s="273">
        <v>1272746</v>
      </c>
      <c r="L128" s="273">
        <v>1308733</v>
      </c>
      <c r="M128" s="273">
        <v>1331922</v>
      </c>
      <c r="N128" s="273">
        <v>1341232</v>
      </c>
      <c r="O128" s="273">
        <v>1273802</v>
      </c>
      <c r="P128" s="273">
        <v>1321095</v>
      </c>
      <c r="Q128" s="273">
        <v>1345168</v>
      </c>
      <c r="R128" s="273">
        <v>1377644</v>
      </c>
      <c r="S128" s="273">
        <v>1347928</v>
      </c>
      <c r="T128" s="273">
        <v>1377114</v>
      </c>
      <c r="U128" s="273">
        <v>1406243</v>
      </c>
      <c r="V128" s="273">
        <v>1419596</v>
      </c>
      <c r="W128" s="273">
        <v>1359822</v>
      </c>
      <c r="X128" s="273">
        <v>1407918</v>
      </c>
    </row>
    <row r="129" spans="1:24" ht="14.25" thickBot="1" x14ac:dyDescent="0.3">
      <c r="A129" s="225" t="s">
        <v>35</v>
      </c>
      <c r="B129" s="276">
        <v>1617772</v>
      </c>
      <c r="C129" s="276">
        <v>1683091</v>
      </c>
      <c r="D129" s="276">
        <v>1625799</v>
      </c>
      <c r="E129" s="276">
        <v>1598259</v>
      </c>
      <c r="F129" s="276">
        <v>1743640</v>
      </c>
      <c r="G129" s="276">
        <v>1809193</v>
      </c>
      <c r="H129" s="276">
        <v>1729901</v>
      </c>
      <c r="I129" s="276">
        <v>1756732</v>
      </c>
      <c r="J129" s="276">
        <v>1791746</v>
      </c>
      <c r="K129" s="276">
        <v>1699487</v>
      </c>
      <c r="L129" s="276">
        <v>1648105</v>
      </c>
      <c r="M129" s="276">
        <v>1774716</v>
      </c>
      <c r="N129" s="276">
        <v>1706043</v>
      </c>
      <c r="O129" s="276">
        <v>1732410</v>
      </c>
      <c r="P129" s="276">
        <v>1728446</v>
      </c>
      <c r="Q129" s="276">
        <v>1756129</v>
      </c>
      <c r="R129" s="276">
        <v>1672255</v>
      </c>
      <c r="S129" s="276">
        <v>1741171</v>
      </c>
      <c r="T129" s="276">
        <v>1670742</v>
      </c>
      <c r="U129" s="276">
        <v>1816373</v>
      </c>
      <c r="V129" s="276">
        <v>1682988</v>
      </c>
      <c r="W129" s="276">
        <v>1681690</v>
      </c>
      <c r="X129" s="276">
        <v>1654292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2.13</v>
      </c>
      <c r="C132" s="68">
        <v>1.94</v>
      </c>
      <c r="D132" s="68">
        <v>1</v>
      </c>
      <c r="E132" s="68">
        <v>2.5099999999999998</v>
      </c>
      <c r="F132" s="68">
        <v>1.48</v>
      </c>
    </row>
    <row r="133" spans="1:24" ht="14.25" thickBot="1" x14ac:dyDescent="0.3">
      <c r="A133" s="225" t="s">
        <v>37</v>
      </c>
      <c r="B133" s="274">
        <v>-0.18</v>
      </c>
      <c r="C133" s="274">
        <v>-0.52</v>
      </c>
      <c r="D133" s="274">
        <v>-0.18</v>
      </c>
      <c r="E133" s="274">
        <v>-0.03</v>
      </c>
      <c r="F133" s="274">
        <v>-0.4</v>
      </c>
    </row>
    <row r="134" spans="1:24" ht="14.25" thickBot="1" x14ac:dyDescent="0.3">
      <c r="A134" s="224" t="s">
        <v>38</v>
      </c>
      <c r="B134" s="68">
        <v>-1.1100000000000001</v>
      </c>
      <c r="C134" s="68">
        <v>-0.04</v>
      </c>
      <c r="D134" s="68">
        <v>-0.32</v>
      </c>
      <c r="E134" s="68">
        <v>-2.0699999999999998</v>
      </c>
      <c r="F134" s="68">
        <v>-0.63</v>
      </c>
    </row>
    <row r="135" spans="1:24" ht="14.25" thickBot="1" x14ac:dyDescent="0.3">
      <c r="A135" s="225" t="s">
        <v>270</v>
      </c>
      <c r="B135" s="274">
        <v>1.95</v>
      </c>
      <c r="C135" s="274">
        <v>1.42</v>
      </c>
      <c r="D135" s="274">
        <v>0.82</v>
      </c>
      <c r="E135" s="274">
        <v>2.48</v>
      </c>
      <c r="F135" s="274">
        <v>1.08</v>
      </c>
    </row>
    <row r="136" spans="1:24" ht="14.25" thickBot="1" x14ac:dyDescent="0.3">
      <c r="A136" s="229" t="s">
        <v>39</v>
      </c>
      <c r="B136" s="72">
        <v>0.84</v>
      </c>
      <c r="C136" s="72">
        <v>1.38</v>
      </c>
      <c r="D136" s="72">
        <v>0.5</v>
      </c>
      <c r="E136" s="72">
        <v>0.42</v>
      </c>
      <c r="F136" s="72">
        <v>0.45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</v>
      </c>
      <c r="C140" s="68">
        <v>1</v>
      </c>
      <c r="D140" s="68">
        <v>1</v>
      </c>
      <c r="E140" s="68">
        <v>0.9</v>
      </c>
      <c r="F140" s="68">
        <v>1.3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0.96153846153846145</v>
      </c>
      <c r="C142" s="234">
        <f>IF(C140&lt;&gt;"無",IF(ISNA(HLOOKUP(C139,$B$64:$F$69,6,FALSE)),"",C140/HLOOKUP(C139,$B$64:$F$69,6,FALSE)),"")</f>
        <v>0.78740157480314954</v>
      </c>
      <c r="D142" s="234">
        <f>IF(D140&lt;&gt;"無",IF(ISNA(HLOOKUP(D139,$B$64:$F$69,6,FALSE)),"",D140/HLOOKUP(D139,$B$64:$F$69,6,FALSE)),"")</f>
        <v>1.0309278350515463</v>
      </c>
      <c r="E142" s="234">
        <f>IF(E140&lt;&gt;"無",IF(ISNA(HLOOKUP(E139,$B$64:$F$69,6,FALSE)),"",E140/HLOOKUP(E139,$B$64:$F$69,6,FALSE)),"")</f>
        <v>0.67164179104477606</v>
      </c>
      <c r="F142" s="234">
        <f>IF(F140&lt;&gt;"無",IF(ISNA(HLOOKUP(F139,$B$64:$F$69,6,FALSE)),"",F140/HLOOKUP(F139,$B$64:$F$69,6,FALSE)),"")</f>
        <v>0.6132075471698113</v>
      </c>
    </row>
    <row r="143" spans="1:24" x14ac:dyDescent="0.25">
      <c r="A143" s="233" t="s">
        <v>216</v>
      </c>
      <c r="B143" s="234">
        <f>IF(OR(B140=0,B140="無"),"",B135/B140)</f>
        <v>1.95</v>
      </c>
      <c r="C143" s="234">
        <f>IF(OR(C140=0,C140="無"),"",C135/C140)</f>
        <v>1.42</v>
      </c>
      <c r="D143" s="234">
        <f>IF(OR(D140=0,D140="無"),"",D135/D140)</f>
        <v>0.82</v>
      </c>
      <c r="E143" s="234">
        <f>IF(OR(E140=0,E140="無"),"",E135/E140)</f>
        <v>2.7555555555555555</v>
      </c>
      <c r="F143" s="234">
        <f>IF(OR(F140=0,F140="無"),"",F135/F140)</f>
        <v>0.83076923076923082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17.399999999999999</v>
      </c>
      <c r="C146" s="68">
        <v>19.37</v>
      </c>
      <c r="D146" s="68">
        <v>20.83</v>
      </c>
      <c r="E146" s="68">
        <v>16.03</v>
      </c>
      <c r="F146" s="68">
        <v>16.82</v>
      </c>
      <c r="G146" s="68">
        <v>18.22</v>
      </c>
      <c r="H146" s="68">
        <v>20.84</v>
      </c>
      <c r="I146" s="68">
        <v>15.55</v>
      </c>
      <c r="J146" s="68">
        <v>18.600000000000001</v>
      </c>
      <c r="K146" s="68">
        <v>16.649999999999999</v>
      </c>
      <c r="L146" s="68">
        <v>19.399999999999999</v>
      </c>
      <c r="M146" s="68">
        <v>16.57</v>
      </c>
      <c r="N146" s="68">
        <v>16.23</v>
      </c>
      <c r="O146" s="68">
        <v>18.48</v>
      </c>
      <c r="P146" s="68">
        <v>23.14</v>
      </c>
      <c r="Q146" s="68">
        <v>23.91</v>
      </c>
      <c r="R146" s="68">
        <v>22.18</v>
      </c>
      <c r="S146" s="68">
        <v>26.03</v>
      </c>
      <c r="T146" s="68">
        <v>24.91</v>
      </c>
      <c r="U146" s="68">
        <v>24.4</v>
      </c>
      <c r="V146" s="68">
        <v>23.6</v>
      </c>
      <c r="W146" s="68">
        <v>23.25</v>
      </c>
      <c r="X146" s="68">
        <v>23.06</v>
      </c>
    </row>
    <row r="147" spans="1:24" s="93" customFormat="1" ht="14.25" thickBot="1" x14ac:dyDescent="0.3">
      <c r="A147" s="225" t="s">
        <v>19</v>
      </c>
      <c r="B147" s="274">
        <v>6.02</v>
      </c>
      <c r="C147" s="274">
        <v>6.44</v>
      </c>
      <c r="D147" s="274">
        <v>8.48</v>
      </c>
      <c r="E147" s="274">
        <v>5.99</v>
      </c>
      <c r="F147" s="274">
        <v>5.0999999999999996</v>
      </c>
      <c r="G147" s="274">
        <v>6.12</v>
      </c>
      <c r="H147" s="274">
        <v>8.4</v>
      </c>
      <c r="I147" s="274">
        <v>4.62</v>
      </c>
      <c r="J147" s="274">
        <v>6.36</v>
      </c>
      <c r="K147" s="274">
        <v>4.1399999999999997</v>
      </c>
      <c r="L147" s="274">
        <v>8.16</v>
      </c>
      <c r="M147" s="274">
        <v>3.66</v>
      </c>
      <c r="N147" s="274">
        <v>3.41</v>
      </c>
      <c r="O147" s="274">
        <v>6.18</v>
      </c>
      <c r="P147" s="274">
        <v>11.16</v>
      </c>
      <c r="Q147" s="274">
        <v>10.65</v>
      </c>
      <c r="R147" s="274">
        <v>9.76</v>
      </c>
      <c r="S147" s="274">
        <v>14.07</v>
      </c>
      <c r="T147" s="274">
        <v>12.42</v>
      </c>
      <c r="U147" s="274">
        <v>10.119999999999999</v>
      </c>
      <c r="V147" s="274">
        <v>11.77</v>
      </c>
      <c r="W147" s="274">
        <v>11.32</v>
      </c>
      <c r="X147" s="274">
        <v>11.65</v>
      </c>
    </row>
    <row r="148" spans="1:24" s="93" customFormat="1" ht="14.25" thickBot="1" x14ac:dyDescent="0.3">
      <c r="A148" s="224" t="s">
        <v>41</v>
      </c>
      <c r="B148" s="68">
        <v>4.41</v>
      </c>
      <c r="C148" s="68">
        <v>8.01</v>
      </c>
      <c r="D148" s="68">
        <v>8.77</v>
      </c>
      <c r="E148" s="68">
        <v>4.34</v>
      </c>
      <c r="F148" s="68">
        <v>6.02</v>
      </c>
      <c r="G148" s="68">
        <v>8.42</v>
      </c>
      <c r="H148" s="68">
        <v>9.85</v>
      </c>
      <c r="I148" s="68">
        <v>5.77</v>
      </c>
      <c r="J148" s="68">
        <v>7.39</v>
      </c>
      <c r="K148" s="68">
        <v>4.4800000000000004</v>
      </c>
      <c r="L148" s="68">
        <v>8.58</v>
      </c>
      <c r="M148" s="68">
        <v>4.3600000000000003</v>
      </c>
      <c r="N148" s="68">
        <v>4.21</v>
      </c>
      <c r="O148" s="68">
        <v>5.97</v>
      </c>
      <c r="P148" s="68">
        <v>11.35</v>
      </c>
      <c r="Q148" s="68">
        <v>12.92</v>
      </c>
      <c r="R148" s="68">
        <v>9.92</v>
      </c>
      <c r="S148" s="68">
        <v>14.68</v>
      </c>
      <c r="T148" s="68">
        <v>11.67</v>
      </c>
      <c r="U148" s="68">
        <v>11.43</v>
      </c>
      <c r="V148" s="68">
        <v>8.6999999999999993</v>
      </c>
      <c r="W148" s="68">
        <v>12.19</v>
      </c>
      <c r="X148" s="68">
        <v>12.09</v>
      </c>
    </row>
    <row r="149" spans="1:24" s="93" customFormat="1" ht="14.25" thickBot="1" x14ac:dyDescent="0.3">
      <c r="A149" s="225" t="s">
        <v>13</v>
      </c>
      <c r="B149" s="73">
        <v>3.78</v>
      </c>
      <c r="C149" s="73">
        <v>6.17</v>
      </c>
      <c r="D149" s="73">
        <v>7.79</v>
      </c>
      <c r="E149" s="73">
        <v>3.16</v>
      </c>
      <c r="F149" s="73">
        <v>5.05</v>
      </c>
      <c r="G149" s="73">
        <v>6.95</v>
      </c>
      <c r="H149" s="73">
        <v>8.0500000000000007</v>
      </c>
      <c r="I149" s="73">
        <v>4.7699999999999996</v>
      </c>
      <c r="J149" s="73">
        <v>5.99</v>
      </c>
      <c r="K149" s="73">
        <v>3.15</v>
      </c>
      <c r="L149" s="73">
        <v>7.43</v>
      </c>
      <c r="M149" s="73">
        <v>3.72</v>
      </c>
      <c r="N149" s="73">
        <v>3.43</v>
      </c>
      <c r="O149" s="73">
        <v>4.4400000000000004</v>
      </c>
      <c r="P149" s="73">
        <v>9.17</v>
      </c>
      <c r="Q149" s="73">
        <v>10.71</v>
      </c>
      <c r="R149" s="73">
        <v>8.09</v>
      </c>
      <c r="S149" s="73">
        <v>11.79</v>
      </c>
      <c r="T149" s="73">
        <v>9.4499999999999993</v>
      </c>
      <c r="U149" s="73">
        <v>9.3000000000000007</v>
      </c>
      <c r="V149" s="73">
        <v>7.06</v>
      </c>
      <c r="W149" s="73">
        <v>9</v>
      </c>
      <c r="X149" s="73">
        <v>10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18.38</v>
      </c>
      <c r="C152" s="68">
        <v>17.899999999999999</v>
      </c>
      <c r="D152" s="68">
        <v>17.809999999999999</v>
      </c>
      <c r="E152" s="68">
        <v>20.59</v>
      </c>
      <c r="F152" s="68">
        <v>24.39</v>
      </c>
    </row>
    <row r="153" spans="1:24" s="93" customFormat="1" ht="14.25" thickBot="1" x14ac:dyDescent="0.3">
      <c r="A153" s="225" t="s">
        <v>19</v>
      </c>
      <c r="B153" s="274">
        <v>6.73</v>
      </c>
      <c r="C153" s="274">
        <v>6.1</v>
      </c>
      <c r="D153" s="274">
        <v>5.59</v>
      </c>
      <c r="E153" s="274">
        <v>7.99</v>
      </c>
      <c r="F153" s="274">
        <v>11.56</v>
      </c>
    </row>
    <row r="154" spans="1:24" s="93" customFormat="1" ht="14.25" thickBot="1" x14ac:dyDescent="0.3">
      <c r="A154" s="224" t="s">
        <v>41</v>
      </c>
      <c r="B154" s="68">
        <v>6.35</v>
      </c>
      <c r="C154" s="68">
        <v>7.54</v>
      </c>
      <c r="D154" s="68">
        <v>6.2</v>
      </c>
      <c r="E154" s="68">
        <v>8.8000000000000007</v>
      </c>
      <c r="F154" s="68">
        <v>11.91</v>
      </c>
    </row>
    <row r="155" spans="1:24" s="93" customFormat="1" ht="14.25" thickBot="1" x14ac:dyDescent="0.3">
      <c r="A155" s="225" t="s">
        <v>13</v>
      </c>
      <c r="B155" s="73">
        <v>5.21</v>
      </c>
      <c r="C155" s="73">
        <v>6.23</v>
      </c>
      <c r="D155" s="73">
        <v>5.07</v>
      </c>
      <c r="E155" s="73">
        <v>7.1</v>
      </c>
      <c r="F155" s="73">
        <v>9.65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0.92</v>
      </c>
      <c r="C158" s="68">
        <v>1.41</v>
      </c>
      <c r="D158" s="68">
        <v>1.91</v>
      </c>
      <c r="E158" s="68">
        <v>0.82</v>
      </c>
      <c r="F158" s="68">
        <v>1.24</v>
      </c>
      <c r="G158" s="68">
        <v>1.56</v>
      </c>
      <c r="H158" s="68">
        <v>1.96</v>
      </c>
      <c r="I158" s="68">
        <v>1.1200000000000001</v>
      </c>
      <c r="J158" s="68">
        <v>1.28</v>
      </c>
      <c r="K158" s="68">
        <v>0.74</v>
      </c>
      <c r="L158" s="68">
        <v>1.73</v>
      </c>
      <c r="M158" s="68">
        <v>0.83</v>
      </c>
      <c r="N158" s="68">
        <v>0.72</v>
      </c>
      <c r="O158" s="68">
        <v>0.97</v>
      </c>
      <c r="P158" s="68">
        <v>2</v>
      </c>
      <c r="Q158" s="68">
        <v>2.5499999999999998</v>
      </c>
      <c r="R158" s="68">
        <v>2</v>
      </c>
      <c r="S158" s="68">
        <v>2.95</v>
      </c>
      <c r="T158" s="68">
        <v>2.35</v>
      </c>
      <c r="U158" s="68">
        <v>2.4900000000000002</v>
      </c>
      <c r="V158" s="68">
        <v>1.66</v>
      </c>
      <c r="W158" s="68">
        <v>2.2000000000000002</v>
      </c>
      <c r="X158" s="68">
        <v>2.59</v>
      </c>
    </row>
    <row r="159" spans="1:24" s="93" customFormat="1" ht="14.25" thickBot="1" x14ac:dyDescent="0.3">
      <c r="A159" s="225" t="s">
        <v>45</v>
      </c>
      <c r="B159" s="73">
        <v>1.1200000000000001</v>
      </c>
      <c r="C159" s="73">
        <v>1.78</v>
      </c>
      <c r="D159" s="73">
        <v>2.42</v>
      </c>
      <c r="E159" s="73">
        <v>0.99</v>
      </c>
      <c r="F159" s="73">
        <v>1.55</v>
      </c>
      <c r="G159" s="73">
        <v>2.1</v>
      </c>
      <c r="H159" s="73">
        <v>2.66</v>
      </c>
      <c r="I159" s="73">
        <v>1.44</v>
      </c>
      <c r="J159" s="73">
        <v>1.67</v>
      </c>
      <c r="K159" s="73">
        <v>0.96</v>
      </c>
      <c r="L159" s="73">
        <v>2.2200000000000002</v>
      </c>
      <c r="M159" s="73">
        <v>1.03</v>
      </c>
      <c r="N159" s="73">
        <v>0.92</v>
      </c>
      <c r="O159" s="73">
        <v>1.22</v>
      </c>
      <c r="P159" s="73">
        <v>2.65</v>
      </c>
      <c r="Q159" s="73">
        <v>3.31</v>
      </c>
      <c r="R159" s="73">
        <v>2.5</v>
      </c>
      <c r="S159" s="73">
        <v>3.67</v>
      </c>
      <c r="T159" s="73">
        <v>2.92</v>
      </c>
      <c r="U159" s="73">
        <v>3.1</v>
      </c>
      <c r="V159" s="73">
        <v>2.04</v>
      </c>
      <c r="W159" s="73">
        <v>2.67</v>
      </c>
      <c r="X159" s="73">
        <v>3.12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5.21</v>
      </c>
      <c r="C162" s="68">
        <v>6.23</v>
      </c>
      <c r="D162" s="68">
        <v>5.07</v>
      </c>
      <c r="E162" s="68">
        <v>7.1</v>
      </c>
      <c r="F162" s="68">
        <v>9.65</v>
      </c>
    </row>
    <row r="163" spans="1:72" s="93" customFormat="1" ht="14.25" thickBot="1" x14ac:dyDescent="0.3">
      <c r="A163" s="225" t="s">
        <v>18</v>
      </c>
      <c r="B163" s="274">
        <v>0.99</v>
      </c>
      <c r="C163" s="274">
        <v>0.92</v>
      </c>
      <c r="D163" s="274">
        <v>0.86</v>
      </c>
      <c r="E163" s="274">
        <v>0.86</v>
      </c>
      <c r="F163" s="274">
        <v>0.95</v>
      </c>
    </row>
    <row r="164" spans="1:72" s="93" customFormat="1" ht="14.25" thickBot="1" x14ac:dyDescent="0.3">
      <c r="A164" s="224" t="s">
        <v>15</v>
      </c>
      <c r="B164" s="68">
        <v>1.21</v>
      </c>
      <c r="C164" s="68">
        <v>1.33</v>
      </c>
      <c r="D164" s="68">
        <v>1.33</v>
      </c>
      <c r="E164" s="68">
        <v>1.31</v>
      </c>
      <c r="F164" s="68">
        <v>1.29</v>
      </c>
    </row>
    <row r="165" spans="1:72" s="93" customFormat="1" ht="14.25" thickBot="1" x14ac:dyDescent="0.3">
      <c r="A165" s="225" t="s">
        <v>45</v>
      </c>
      <c r="B165" s="73">
        <v>6.24</v>
      </c>
      <c r="C165" s="73">
        <v>7.64</v>
      </c>
      <c r="D165" s="73">
        <v>5.8</v>
      </c>
      <c r="E165" s="73">
        <v>7.98</v>
      </c>
      <c r="F165" s="73">
        <v>12.15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84.91</v>
      </c>
      <c r="C168" s="68">
        <v>90.91</v>
      </c>
      <c r="D168" s="68">
        <v>86.54</v>
      </c>
      <c r="E168" s="68">
        <v>85.71</v>
      </c>
      <c r="F168" s="68">
        <v>89.11</v>
      </c>
      <c r="G168" s="68">
        <v>93.75</v>
      </c>
      <c r="H168" s="68">
        <v>84.91</v>
      </c>
      <c r="I168" s="68">
        <v>89.11</v>
      </c>
      <c r="J168" s="68">
        <v>93.75</v>
      </c>
      <c r="K168" s="68">
        <v>87.38</v>
      </c>
      <c r="L168" s="68">
        <v>91.84</v>
      </c>
      <c r="M168" s="68">
        <v>95.74</v>
      </c>
      <c r="N168" s="68">
        <v>94.74</v>
      </c>
      <c r="O168" s="68">
        <v>93.75</v>
      </c>
      <c r="P168" s="68">
        <v>91.84</v>
      </c>
      <c r="Q168" s="68">
        <v>87.38</v>
      </c>
      <c r="R168" s="68">
        <v>89.11</v>
      </c>
      <c r="S168" s="68">
        <v>90.91</v>
      </c>
      <c r="T168" s="68">
        <v>90.91</v>
      </c>
      <c r="U168" s="68">
        <v>85.71</v>
      </c>
      <c r="V168" s="68">
        <v>92.78</v>
      </c>
      <c r="W168" s="68">
        <v>88.24</v>
      </c>
      <c r="X168" s="68">
        <v>88.24</v>
      </c>
    </row>
    <row r="169" spans="1:72" s="93" customFormat="1" ht="14.25" thickBot="1" x14ac:dyDescent="0.3">
      <c r="A169" s="225" t="s">
        <v>17</v>
      </c>
      <c r="B169" s="274">
        <v>155.16999999999999</v>
      </c>
      <c r="C169" s="274">
        <v>160.71</v>
      </c>
      <c r="D169" s="274">
        <v>155.16999999999999</v>
      </c>
      <c r="E169" s="274">
        <v>140.63</v>
      </c>
      <c r="F169" s="274">
        <v>140.63</v>
      </c>
      <c r="G169" s="274">
        <v>150</v>
      </c>
      <c r="H169" s="274">
        <v>145.16</v>
      </c>
      <c r="I169" s="274">
        <v>145.16</v>
      </c>
      <c r="J169" s="274">
        <v>166.67</v>
      </c>
      <c r="K169" s="274">
        <v>152.54</v>
      </c>
      <c r="L169" s="274">
        <v>166.67</v>
      </c>
      <c r="M169" s="274">
        <v>173.08</v>
      </c>
      <c r="N169" s="274">
        <v>166.67</v>
      </c>
      <c r="O169" s="274">
        <v>166.67</v>
      </c>
      <c r="P169" s="274">
        <v>169.81</v>
      </c>
      <c r="Q169" s="274">
        <v>152.54</v>
      </c>
      <c r="R169" s="274">
        <v>140.63</v>
      </c>
      <c r="S169" s="274">
        <v>150</v>
      </c>
      <c r="T169" s="274">
        <v>160.71</v>
      </c>
      <c r="U169" s="274">
        <v>147.54</v>
      </c>
      <c r="V169" s="274">
        <v>166.67</v>
      </c>
      <c r="W169" s="274">
        <v>173.08</v>
      </c>
      <c r="X169" s="274">
        <v>163.63999999999999</v>
      </c>
    </row>
    <row r="170" spans="1:72" s="93" customFormat="1" ht="14.25" thickBot="1" x14ac:dyDescent="0.3">
      <c r="A170" s="224" t="s">
        <v>42</v>
      </c>
      <c r="B170" s="72">
        <v>240.08</v>
      </c>
      <c r="C170" s="72">
        <v>251.62</v>
      </c>
      <c r="D170" s="72">
        <v>241.71</v>
      </c>
      <c r="E170" s="72">
        <v>226.34</v>
      </c>
      <c r="F170" s="72">
        <v>229.73</v>
      </c>
      <c r="G170" s="72">
        <v>243.75</v>
      </c>
      <c r="H170" s="72">
        <v>230.07</v>
      </c>
      <c r="I170" s="72">
        <v>234.27</v>
      </c>
      <c r="J170" s="72">
        <v>260.42</v>
      </c>
      <c r="K170" s="72">
        <v>239.92</v>
      </c>
      <c r="L170" s="72">
        <v>258.5</v>
      </c>
      <c r="M170" s="72">
        <v>268.82</v>
      </c>
      <c r="N170" s="72">
        <v>261.39999999999998</v>
      </c>
      <c r="O170" s="72">
        <v>260.42</v>
      </c>
      <c r="P170" s="72">
        <v>261.64999999999998</v>
      </c>
      <c r="Q170" s="72">
        <v>239.92</v>
      </c>
      <c r="R170" s="72">
        <v>229.73</v>
      </c>
      <c r="S170" s="72">
        <v>240.91</v>
      </c>
      <c r="T170" s="72">
        <v>251.62</v>
      </c>
      <c r="U170" s="72">
        <v>233.26</v>
      </c>
      <c r="V170" s="72">
        <v>259.45</v>
      </c>
      <c r="W170" s="72">
        <v>261.31</v>
      </c>
      <c r="X170" s="72">
        <v>251.87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210.34</v>
      </c>
      <c r="C173" s="72">
        <v>151.57</v>
      </c>
      <c r="D173" s="72">
        <v>103.46</v>
      </c>
      <c r="E173" s="72">
        <v>185.35</v>
      </c>
      <c r="F173" s="72">
        <v>70.27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12.87</v>
      </c>
      <c r="C176" s="72">
        <v>13.59</v>
      </c>
      <c r="D176" s="72">
        <v>13.83</v>
      </c>
      <c r="E176" s="72">
        <v>11.33</v>
      </c>
      <c r="F176" s="72">
        <v>11.95</v>
      </c>
      <c r="G176" s="72">
        <v>11.66</v>
      </c>
      <c r="H176" s="72">
        <v>11.08</v>
      </c>
      <c r="I176" s="72">
        <v>11.51</v>
      </c>
      <c r="J176" s="72">
        <v>12.1</v>
      </c>
      <c r="K176" s="72">
        <v>11.97</v>
      </c>
      <c r="L176" s="72">
        <v>11.65</v>
      </c>
      <c r="M176" s="72">
        <v>11.8</v>
      </c>
      <c r="N176" s="72">
        <v>11.89</v>
      </c>
      <c r="O176" s="72">
        <v>12.15</v>
      </c>
      <c r="P176" s="72">
        <v>12.08</v>
      </c>
      <c r="Q176" s="72">
        <v>15.17</v>
      </c>
      <c r="R176" s="72">
        <v>14.2</v>
      </c>
      <c r="S176" s="72">
        <v>14.38</v>
      </c>
      <c r="T176" s="72">
        <v>13.7</v>
      </c>
      <c r="U176" s="72">
        <v>13.44</v>
      </c>
      <c r="V176" s="72">
        <v>13.81</v>
      </c>
      <c r="W176" s="72">
        <v>14.47</v>
      </c>
      <c r="X176" s="72">
        <v>14.63</v>
      </c>
      <c r="Y176" s="72">
        <v>14.9</v>
      </c>
      <c r="Z176" s="72">
        <v>14.95</v>
      </c>
      <c r="AA176" s="72">
        <v>14.53</v>
      </c>
      <c r="AB176" s="72">
        <v>13.65</v>
      </c>
      <c r="AC176" s="72">
        <v>13.65</v>
      </c>
      <c r="AD176" s="72">
        <v>13.47</v>
      </c>
      <c r="AE176" s="72">
        <v>13.17</v>
      </c>
      <c r="AF176" s="72">
        <v>12.94</v>
      </c>
      <c r="AG176" s="72">
        <v>14.37</v>
      </c>
      <c r="AH176" s="72">
        <v>14.24</v>
      </c>
      <c r="AI176" s="72">
        <v>14.05</v>
      </c>
      <c r="AJ176" s="72">
        <v>15.11</v>
      </c>
      <c r="AK176" s="72">
        <v>15.3</v>
      </c>
      <c r="AL176" s="72">
        <v>15.26</v>
      </c>
      <c r="AM176" s="72">
        <v>15.31</v>
      </c>
      <c r="AN176" s="72">
        <v>16.59</v>
      </c>
      <c r="AO176" s="72">
        <v>17.079999999999998</v>
      </c>
      <c r="AP176" s="72">
        <v>19.72</v>
      </c>
      <c r="AQ176" s="72">
        <v>19.309999999999999</v>
      </c>
      <c r="AR176" s="72">
        <v>18.3</v>
      </c>
      <c r="AS176" s="72">
        <v>16.440000000000001</v>
      </c>
      <c r="AT176" s="72">
        <v>15.95</v>
      </c>
      <c r="AU176" s="72">
        <v>16.53</v>
      </c>
      <c r="AV176" s="72">
        <v>15.7</v>
      </c>
      <c r="AW176" s="72">
        <v>15.75</v>
      </c>
      <c r="AX176" s="72">
        <v>15.74</v>
      </c>
      <c r="AY176" s="72">
        <v>16.78</v>
      </c>
      <c r="AZ176" s="72">
        <v>12.23</v>
      </c>
      <c r="BA176" s="72">
        <v>14.64</v>
      </c>
      <c r="BB176" s="72">
        <v>10.92</v>
      </c>
      <c r="BC176" s="72">
        <v>11.51</v>
      </c>
      <c r="BD176" s="72">
        <v>12.66</v>
      </c>
      <c r="BE176" s="72">
        <v>10.09</v>
      </c>
      <c r="BF176" s="72">
        <v>10.9</v>
      </c>
      <c r="BG176" s="72">
        <v>11.01</v>
      </c>
      <c r="BH176" s="72">
        <v>10.7</v>
      </c>
      <c r="BI176" s="72">
        <v>11.15</v>
      </c>
      <c r="BJ176" s="72">
        <v>10.87</v>
      </c>
      <c r="BK176" s="72">
        <v>10.62</v>
      </c>
      <c r="BL176" s="72">
        <v>10.82</v>
      </c>
      <c r="BM176" s="72">
        <v>10.63</v>
      </c>
      <c r="BN176" s="72">
        <v>10.93</v>
      </c>
      <c r="BO176" s="72">
        <v>11</v>
      </c>
      <c r="BP176" s="72">
        <v>10.73</v>
      </c>
      <c r="BQ176" s="72">
        <v>11.26</v>
      </c>
      <c r="BR176" s="72">
        <v>11.26</v>
      </c>
      <c r="BS176" s="72">
        <v>11.29</v>
      </c>
      <c r="BT176" s="72">
        <v>11.08</v>
      </c>
    </row>
  </sheetData>
  <phoneticPr fontId="3" type="noConversion"/>
  <conditionalFormatting sqref="E4">
    <cfRule type="cellIs" dxfId="3674" priority="103" operator="greaterThan">
      <formula>0.2</formula>
    </cfRule>
    <cfRule type="cellIs" dxfId="367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367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671" priority="97" operator="greaterThan">
      <formula>$B$19</formula>
    </cfRule>
  </conditionalFormatting>
  <conditionalFormatting sqref="D33:D34">
    <cfRule type="cellIs" dxfId="367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3669" priority="91" operator="lessThan">
      <formula>$H$62</formula>
    </cfRule>
    <cfRule type="cellIs" dxfId="3668" priority="92" operator="greaterThan">
      <formula>$H$62</formula>
    </cfRule>
  </conditionalFormatting>
  <conditionalFormatting sqref="J62">
    <cfRule type="cellIs" dxfId="3667" priority="89" operator="lessThan">
      <formula>$K$62</formula>
    </cfRule>
    <cfRule type="cellIs" dxfId="3666" priority="90" operator="greaterThan">
      <formula>$K$62</formula>
    </cfRule>
  </conditionalFormatting>
  <conditionalFormatting sqref="M62">
    <cfRule type="cellIs" dxfId="3665" priority="87" operator="lessThan">
      <formula>$N$62</formula>
    </cfRule>
    <cfRule type="cellIs" dxfId="3664" priority="88" operator="greaterThan">
      <formula>$N$62</formula>
    </cfRule>
  </conditionalFormatting>
  <conditionalFormatting sqref="B44:E44">
    <cfRule type="cellIs" dxfId="3663" priority="85" operator="greaterThan">
      <formula>0</formula>
    </cfRule>
    <cfRule type="cellIs" dxfId="3662" priority="86" operator="lessThan">
      <formula>0</formula>
    </cfRule>
  </conditionalFormatting>
  <conditionalFormatting sqref="F72">
    <cfRule type="cellIs" dxfId="3661" priority="84" operator="lessThan">
      <formula>$E$72*90%</formula>
    </cfRule>
  </conditionalFormatting>
  <conditionalFormatting sqref="F73">
    <cfRule type="cellIs" dxfId="3660" priority="83" operator="lessThan">
      <formula>$E$73*90%</formula>
    </cfRule>
  </conditionalFormatting>
  <conditionalFormatting sqref="F74">
    <cfRule type="cellIs" dxfId="3659" priority="82" operator="lessThan">
      <formula>$E$74*90%</formula>
    </cfRule>
  </conditionalFormatting>
  <conditionalFormatting sqref="F75">
    <cfRule type="cellIs" dxfId="3658" priority="81" operator="lessThan">
      <formula>$E$75*90%</formula>
    </cfRule>
  </conditionalFormatting>
  <conditionalFormatting sqref="H44:K44">
    <cfRule type="cellIs" dxfId="3657" priority="79" operator="greaterThan">
      <formula>0</formula>
    </cfRule>
    <cfRule type="cellIs" dxfId="3656" priority="80" operator="lessThan">
      <formula>0</formula>
    </cfRule>
  </conditionalFormatting>
  <conditionalFormatting sqref="H51:K51">
    <cfRule type="cellIs" dxfId="3655" priority="77" operator="greaterThan">
      <formula>0</formula>
    </cfRule>
    <cfRule type="cellIs" dxfId="3654" priority="78" operator="lessThan">
      <formula>0</formula>
    </cfRule>
  </conditionalFormatting>
  <conditionalFormatting sqref="B51:E51">
    <cfRule type="cellIs" dxfId="3653" priority="75" operator="greaterThan">
      <formula>0</formula>
    </cfRule>
    <cfRule type="cellIs" dxfId="365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65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65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649" priority="58" operator="lessThan">
      <formula>0</formula>
    </cfRule>
  </conditionalFormatting>
  <conditionalFormatting sqref="A25 E25 C25">
    <cfRule type="cellIs" dxfId="3648" priority="59" operator="lessThan">
      <formula>0</formula>
    </cfRule>
  </conditionalFormatting>
  <conditionalFormatting sqref="F25">
    <cfRule type="cellIs" dxfId="3647" priority="57" operator="lessThan">
      <formula>0</formula>
    </cfRule>
  </conditionalFormatting>
  <conditionalFormatting sqref="E1">
    <cfRule type="containsText" dxfId="3646" priority="56" operator="containsText" text="本季業外損益/平均=-">
      <formula>NOT(ISERROR(SEARCH("本季業外損益/平均=-",E1)))</formula>
    </cfRule>
  </conditionalFormatting>
  <conditionalFormatting sqref="M65">
    <cfRule type="cellIs" dxfId="3645" priority="55" operator="lessThan">
      <formula>$L$65*90%</formula>
    </cfRule>
  </conditionalFormatting>
  <conditionalFormatting sqref="M66">
    <cfRule type="cellIs" dxfId="3644" priority="54" operator="lessThan">
      <formula>$L$66*90%</formula>
    </cfRule>
  </conditionalFormatting>
  <conditionalFormatting sqref="M67">
    <cfRule type="cellIs" dxfId="3643" priority="53" operator="lessThan">
      <formula>$L$67*90%</formula>
    </cfRule>
  </conditionalFormatting>
  <conditionalFormatting sqref="M68">
    <cfRule type="cellIs" dxfId="3642" priority="52" operator="lessThan">
      <formula>$L$68*90%</formula>
    </cfRule>
  </conditionalFormatting>
  <conditionalFormatting sqref="B60">
    <cfRule type="cellIs" dxfId="3641" priority="51" operator="lessThan">
      <formula>0</formula>
    </cfRule>
  </conditionalFormatting>
  <conditionalFormatting sqref="B59:F59">
    <cfRule type="cellIs" dxfId="3640" priority="50" operator="lessThanOrEqual">
      <formula>0</formula>
    </cfRule>
  </conditionalFormatting>
  <conditionalFormatting sqref="D62">
    <cfRule type="cellIs" dxfId="3639" priority="48" operator="lessThan">
      <formula>$E$62</formula>
    </cfRule>
    <cfRule type="cellIs" dxfId="3638" priority="49" operator="greaterThan">
      <formula>$E$62</formula>
    </cfRule>
  </conditionalFormatting>
  <conditionalFormatting sqref="F69">
    <cfRule type="cellIs" dxfId="3637" priority="46" operator="lessThan">
      <formula>0</formula>
    </cfRule>
  </conditionalFormatting>
  <conditionalFormatting sqref="B65:E67 B69:E69 B68:D68">
    <cfRule type="cellIs" dxfId="3636" priority="47" operator="lessThan">
      <formula>0</formula>
    </cfRule>
  </conditionalFormatting>
  <conditionalFormatting sqref="E68">
    <cfRule type="cellIs" dxfId="3635" priority="45" operator="lessThan">
      <formula>0</formula>
    </cfRule>
  </conditionalFormatting>
  <conditionalFormatting sqref="F65:F68">
    <cfRule type="cellIs" dxfId="3634" priority="44" operator="lessThan">
      <formula>0</formula>
    </cfRule>
  </conditionalFormatting>
  <conditionalFormatting sqref="F65:F68">
    <cfRule type="cellIs" dxfId="3633" priority="43" operator="lessThan">
      <formula>$E$65*0.9</formula>
    </cfRule>
  </conditionalFormatting>
  <conditionalFormatting sqref="F66">
    <cfRule type="cellIs" dxfId="3632" priority="42" operator="lessThan">
      <formula>$E$66*0.9</formula>
    </cfRule>
  </conditionalFormatting>
  <conditionalFormatting sqref="F67:F68">
    <cfRule type="cellIs" dxfId="3631" priority="41" operator="lessThan">
      <formula>$E$67*0.9</formula>
    </cfRule>
  </conditionalFormatting>
  <conditionalFormatting sqref="F68">
    <cfRule type="cellIs" dxfId="3630" priority="40" operator="lessThan">
      <formula>$E$68*0.9</formula>
    </cfRule>
  </conditionalFormatting>
  <conditionalFormatting sqref="B13:F13">
    <cfRule type="cellIs" dxfId="3629" priority="29" operator="greaterThan">
      <formula>$I$16</formula>
    </cfRule>
    <cfRule type="cellIs" dxfId="3628" priority="30" operator="lessThanOrEqual">
      <formula>$I$16</formula>
    </cfRule>
  </conditionalFormatting>
  <conditionalFormatting sqref="B10:F10">
    <cfRule type="cellIs" dxfId="3627" priority="31" operator="greaterThan">
      <formula>15</formula>
    </cfRule>
    <cfRule type="cellIs" dxfId="3626" priority="38" operator="lessThan">
      <formula>$I$9</formula>
    </cfRule>
    <cfRule type="cellIs" dxfId="3625" priority="39" operator="greaterThan">
      <formula>$I$9</formula>
    </cfRule>
  </conditionalFormatting>
  <conditionalFormatting sqref="B16:F16">
    <cfRule type="cellIs" dxfId="3624" priority="36" operator="greaterThan">
      <formula>$I$16</formula>
    </cfRule>
    <cfRule type="cellIs" dxfId="3623" priority="37" operator="lessThanOrEqual">
      <formula>$I$16</formula>
    </cfRule>
  </conditionalFormatting>
  <conditionalFormatting sqref="B15:F15">
    <cfRule type="cellIs" dxfId="3622" priority="34" operator="lessThanOrEqual">
      <formula>$I$16</formula>
    </cfRule>
    <cfRule type="cellIs" dxfId="3621" priority="35" operator="greaterThan">
      <formula>$I$16</formula>
    </cfRule>
  </conditionalFormatting>
  <conditionalFormatting sqref="B14:F14">
    <cfRule type="cellIs" dxfId="3620" priority="32" operator="greaterThan">
      <formula>$I$16</formula>
    </cfRule>
    <cfRule type="cellIs" dxfId="3619" priority="33" operator="lessThanOrEqual">
      <formula>$I$16</formula>
    </cfRule>
  </conditionalFormatting>
  <conditionalFormatting sqref="K6">
    <cfRule type="containsText" dxfId="3618" priority="27" operator="containsText" text="衰退">
      <formula>NOT(ISERROR(SEARCH("衰退",K6)))</formula>
    </cfRule>
    <cfRule type="containsText" dxfId="3617" priority="28" operator="containsText" text="成長">
      <formula>NOT(ISERROR(SEARCH("成長",K6)))</formula>
    </cfRule>
  </conditionalFormatting>
  <conditionalFormatting sqref="I4:K4">
    <cfRule type="cellIs" dxfId="3616" priority="25" operator="lessThan">
      <formula>0</formula>
    </cfRule>
    <cfRule type="cellIs" dxfId="361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614" priority="22" operator="lessThanOrEqual">
      <formula>$I$16</formula>
    </cfRule>
    <cfRule type="cellIs" dxfId="3613" priority="23" operator="greaterThan">
      <formula>$I$16</formula>
    </cfRule>
  </conditionalFormatting>
  <conditionalFormatting sqref="I6">
    <cfRule type="containsText" dxfId="3612" priority="20" operator="containsText" text="衰退">
      <formula>NOT(ISERROR(SEARCH("衰退",I6)))</formula>
    </cfRule>
    <cfRule type="containsText" dxfId="3611" priority="21" operator="containsText" text="成長">
      <formula>NOT(ISERROR(SEARCH("成長",I6)))</formula>
    </cfRule>
  </conditionalFormatting>
  <conditionalFormatting sqref="M9">
    <cfRule type="cellIs" dxfId="3610" priority="19" operator="lessThan">
      <formula>$I$9</formula>
    </cfRule>
  </conditionalFormatting>
  <conditionalFormatting sqref="M10">
    <cfRule type="cellIs" dxfId="3609" priority="18" operator="greaterThan">
      <formula>$I$9</formula>
    </cfRule>
  </conditionalFormatting>
  <conditionalFormatting sqref="M11">
    <cfRule type="cellIs" dxfId="360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607" priority="14" operator="lessThan">
      <formula>0</formula>
    </cfRule>
    <cfRule type="cellIs" dxfId="3606" priority="15" operator="greaterThan">
      <formula>0.5</formula>
    </cfRule>
  </conditionalFormatting>
  <conditionalFormatting sqref="N14">
    <cfRule type="cellIs" dxfId="360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604" priority="10" operator="lessThan">
      <formula>0.1</formula>
    </cfRule>
  </conditionalFormatting>
  <conditionalFormatting sqref="I14">
    <cfRule type="cellIs" dxfId="360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60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601" priority="1" operator="lessThan">
      <formula>$N$5*0.9</formula>
    </cfRule>
    <cfRule type="cellIs" dxfId="3600" priority="2" operator="greaterThan">
      <formula>$N$5*1.1</formula>
    </cfRule>
  </conditionalFormatting>
  <hyperlinks>
    <hyperlink ref="L1" location="儀表板!A1" display="(回首頁)" xr:uid="{00000000-0004-0000-3700-000000000000}"/>
  </hyperlink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-0.17 ~ 4.28</v>
      </c>
      <c r="L1" s="83" t="s">
        <v>176</v>
      </c>
      <c r="M1" s="84" t="str">
        <f ca="1">VLOOKUP(_xlfn.NUMBERVALUE(N1),儀表板!A:B,2,FALSE)</f>
        <v>致伸</v>
      </c>
      <c r="N1" s="85" t="str">
        <f ca="1">MID(CELL("filename",L1),FIND("]",CELL("filename",L1))+1,255)</f>
        <v>4915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0.2589265431268114</v>
      </c>
    </row>
    <row r="3" spans="1:15" s="93" customFormat="1" x14ac:dyDescent="0.25">
      <c r="A3" s="81" t="s">
        <v>179</v>
      </c>
      <c r="B3" s="94">
        <f>SUM(F19:F22,F24:F27,J19)</f>
        <v>77.509408914121224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47.885193780363487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51.118422566699493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56.298910869788465</v>
      </c>
      <c r="L3" s="100"/>
      <c r="M3" s="79" t="s">
        <v>385</v>
      </c>
      <c r="N3" s="92">
        <f>(F69-E69)/E69</f>
        <v>3.7001406637075462E-2</v>
      </c>
    </row>
    <row r="4" spans="1:15" s="93" customFormat="1" x14ac:dyDescent="0.25">
      <c r="A4" s="81" t="s">
        <v>182</v>
      </c>
      <c r="B4" s="96">
        <f>SUM(G36:G40)*2</f>
        <v>68</v>
      </c>
      <c r="C4" s="101"/>
      <c r="D4" s="102">
        <f>F4*(1+F141/10)</f>
        <v>44.2</v>
      </c>
      <c r="E4" s="82">
        <f>(D4-F4)/F4</f>
        <v>0</v>
      </c>
      <c r="F4" s="103">
        <v>44.2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4.5628061892031324</v>
      </c>
    </row>
    <row r="5" spans="1:15" s="93" customFormat="1" x14ac:dyDescent="0.25">
      <c r="A5" s="81" t="s">
        <v>184</v>
      </c>
      <c r="B5" s="107">
        <f>SUM(F30:F34)*2</f>
        <v>70.221151747655583</v>
      </c>
      <c r="C5" s="87"/>
      <c r="D5" s="87"/>
      <c r="E5" s="87"/>
      <c r="F5" s="86"/>
      <c r="G5" s="88"/>
      <c r="M5" s="79" t="s">
        <v>375</v>
      </c>
      <c r="N5" s="152">
        <f>D62</f>
        <v>4.59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4.4015617326412224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27.18</v>
      </c>
      <c r="N9" s="129"/>
    </row>
    <row r="10" spans="1:15" s="93" customFormat="1" x14ac:dyDescent="0.25">
      <c r="A10" s="123" t="s">
        <v>194</v>
      </c>
      <c r="B10" s="126">
        <f>PERCENTILE(176:176,B9)</f>
        <v>9.8179999999999996</v>
      </c>
      <c r="C10" s="126">
        <f>PERCENTILE(176:176,C9)</f>
        <v>10.4635</v>
      </c>
      <c r="D10" s="126">
        <f>PERCENTILE(176:176,D9)</f>
        <v>11.17</v>
      </c>
      <c r="E10" s="126">
        <f>PERCENTILE(176:176,E9)</f>
        <v>12.302</v>
      </c>
      <c r="F10" s="126">
        <f>PERCENTILE(176:176,F9)</f>
        <v>14.722000000000001</v>
      </c>
      <c r="G10" s="95"/>
      <c r="H10" s="135"/>
      <c r="I10" s="135"/>
      <c r="J10" s="135"/>
      <c r="K10" s="135"/>
      <c r="L10" s="136" t="s">
        <v>374</v>
      </c>
      <c r="M10" s="130">
        <f>MIN(176:176)</f>
        <v>8.1199999999999992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25.53</v>
      </c>
      <c r="L11" s="272" t="s">
        <v>193</v>
      </c>
      <c r="M11" s="128">
        <f>STDEV(176:176)</f>
        <v>3.9813760106956213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25.210084033613448</v>
      </c>
      <c r="C13" s="141">
        <f>$B$34/5.88%</f>
        <v>30.612244897959187</v>
      </c>
      <c r="D13" s="141">
        <f>$B$34/5%</f>
        <v>36</v>
      </c>
      <c r="E13" s="141">
        <f>$B$34/4.35%</f>
        <v>41.379310344827587</v>
      </c>
      <c r="F13" s="141">
        <f>$B$34/3.85%</f>
        <v>46.753246753246756</v>
      </c>
      <c r="G13" s="138" t="str">
        <f>"$"&amp;ROUND(B34,2)&amp;"/"&amp;IF(STDEV(C140:F140)/AVERAGE(C140:F140)&lt;15%,"高",IF(STDEV(C140:F140)/AVERAGE(C140:F140)&lt;30%,"中","低"))</f>
        <v>$1.8/低</v>
      </c>
      <c r="H13" s="142" t="s">
        <v>199</v>
      </c>
      <c r="I13" s="143">
        <f>MAX(0,1-J15)</f>
        <v>0.43181818181818188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33.3812</v>
      </c>
      <c r="C14" s="141">
        <f>$B$33*C10</f>
        <v>35.575899999999997</v>
      </c>
      <c r="D14" s="141">
        <f>$B$33*D10</f>
        <v>37.978000000000002</v>
      </c>
      <c r="E14" s="141">
        <f>$B$33*E10</f>
        <v>41.826799999999999</v>
      </c>
      <c r="F14" s="141">
        <f>$B$33*F10</f>
        <v>50.0548</v>
      </c>
      <c r="G14" s="138" t="str">
        <f>"$"&amp;ROUND(B33,2)&amp;"/"&amp;IF(STDEV(B69:E69)/AVERAGE(B69:E69)&lt;15%,"高",IF(STDEV(B69:E69)/AVERAGE(B69:E69)&lt;30%,"中","低"))</f>
        <v>$3.4/低</v>
      </c>
      <c r="H14" s="142" t="s">
        <v>203</v>
      </c>
      <c r="I14" s="145">
        <f>G62/100*I13</f>
        <v>7.289090909090909E-2</v>
      </c>
      <c r="J14" s="76" t="s">
        <v>204</v>
      </c>
      <c r="K14" s="146"/>
      <c r="L14" s="147">
        <f>(HLOOKUP($C$1,$105:$106,2,FALSE)-HLOOKUP($C$1,$117:$127,9,FALSE))/(HLOOKUP($C$1,$117:$128,12,FALSE)/K11)</f>
        <v>8.4960284159870962</v>
      </c>
      <c r="M14" s="148">
        <f>E135/E69</f>
        <v>1.593181818181818</v>
      </c>
      <c r="N14" s="149">
        <f>F173/100</f>
        <v>1.1144000000000001</v>
      </c>
    </row>
    <row r="15" spans="1:15" s="93" customFormat="1" x14ac:dyDescent="0.25">
      <c r="A15" s="140" t="s">
        <v>375</v>
      </c>
      <c r="B15" s="141">
        <f>$D$62*B10</f>
        <v>45.064619999999998</v>
      </c>
      <c r="C15" s="141">
        <f>$D$62*C10</f>
        <v>48.027464999999999</v>
      </c>
      <c r="D15" s="141">
        <f>$D$62*D10</f>
        <v>51.270299999999999</v>
      </c>
      <c r="E15" s="141">
        <f>$D$62*E10</f>
        <v>56.466179999999994</v>
      </c>
      <c r="F15" s="141">
        <f>$D$62*F10</f>
        <v>67.573980000000006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0.56818181818181812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44.79763116559635</v>
      </c>
      <c r="C16" s="141">
        <f>$F$69*C10</f>
        <v>47.742922560726974</v>
      </c>
      <c r="D16" s="141">
        <f>$F$69*D10</f>
        <v>50.966545133398988</v>
      </c>
      <c r="E16" s="141">
        <f>$F$69*E10</f>
        <v>56.131641739576935</v>
      </c>
      <c r="F16" s="141">
        <f>$F$69*F10</f>
        <v>67.173632717448527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3209</v>
      </c>
      <c r="J17" s="92">
        <f ca="1">IF(I17&lt;=0,"",IF(I17&lt;=MIN($B$13:$F$16),(I17-MIN($B$13:$F$16))/MIN($B$13:$F$16),IF(I17&gt;=MAX($B$13:$F$16),I17/MAX($B$13:$F$16),PERCENTRANK($B$13:$F$16,I17))))</f>
        <v>47.488693133066896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3.7174999999999998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2.0652777777777778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0.25172092515561995</v>
      </c>
      <c r="J20" s="171">
        <f>HLOOKUP($C$1,$117:$127,11,FALSE)/HLOOKUP($C$1,$105:$115,11,FALSE)</f>
        <v>0.64905227139693111</v>
      </c>
      <c r="K20" s="163"/>
    </row>
    <row r="21" spans="1:14" s="93" customFormat="1" x14ac:dyDescent="0.25">
      <c r="A21" s="151" t="s">
        <v>201</v>
      </c>
      <c r="B21" s="161">
        <f>AVERAGE(C173:F173)/100</f>
        <v>2.6093000000000002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1.231407838844653</v>
      </c>
      <c r="J21" s="78"/>
      <c r="K21" s="164" t="s">
        <v>356</v>
      </c>
      <c r="L21" s="165">
        <f>HLOOKUP($C$1,$105:$115,7,FALSE)/HLOOKUP($C$1,$105:$115,11,FALSE)</f>
        <v>0.74376243434350386</v>
      </c>
      <c r="M21" s="123" t="s">
        <v>268</v>
      </c>
      <c r="N21" s="165">
        <f>HLOOKUP($C$1,$117:$127,8,FALSE)/HLOOKUP($C$1,$117:$127,11,FALSE)</f>
        <v>0.93057772222263124</v>
      </c>
    </row>
    <row r="22" spans="1:14" s="93" customFormat="1" x14ac:dyDescent="0.25">
      <c r="A22" s="140" t="s">
        <v>222</v>
      </c>
      <c r="B22" s="161">
        <f>(-1)*SUM(C133:F133)/SUM(C132:F132)</f>
        <v>0.52798982188295163</v>
      </c>
      <c r="C22" s="157"/>
      <c r="D22" s="166"/>
      <c r="E22" s="140"/>
      <c r="F22" s="159">
        <f>IF(B22&lt;=0,10,IF(B22&gt;=100%,0,(1-B22)*10))</f>
        <v>4.7201017811704835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0.9073344316508607</v>
      </c>
      <c r="J22" s="78"/>
      <c r="K22" s="142" t="s">
        <v>357</v>
      </c>
      <c r="L22" s="165">
        <f>HLOOKUP($C$1,$105:$115,4,FALSE)/HLOOKUP($C$1,$105:$115,11,FALSE)</f>
        <v>0.33964889091545908</v>
      </c>
      <c r="M22" s="123" t="s">
        <v>353</v>
      </c>
      <c r="N22" s="165">
        <f>HLOOKUP($C$1,$117:$127,4,FALSE)/HLOOKUP($C$1,$117:$127,11,FALSE)</f>
        <v>0.61217156730096589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2.8494271895716596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0.19573825879376741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0.96999826512604925</v>
      </c>
      <c r="C24" s="169">
        <f>STDEV(C103:F103)</f>
        <v>2.3844804346745151E-2</v>
      </c>
      <c r="D24" s="76" t="str">
        <f>IF(C24/B24&lt;15%,"高",IF(C24/B24&lt;30%,"中","低"))</f>
        <v>高</v>
      </c>
      <c r="E24" s="149"/>
      <c r="F24" s="160">
        <f>MIN(100%,B24)*5</f>
        <v>4.8499913256302465</v>
      </c>
      <c r="G24" s="88" t="s">
        <v>229</v>
      </c>
      <c r="H24" s="123" t="s">
        <v>16</v>
      </c>
      <c r="I24" s="170">
        <f>HLOOKUP(C1,167:170,2,FALSE)</f>
        <v>71.430000000000007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0.10473273648208316</v>
      </c>
      <c r="M24" s="123" t="s">
        <v>355</v>
      </c>
      <c r="N24" s="165">
        <f>HLOOKUP($C$1,$117:$127,9,FALSE)/HLOOKUP($C$1,$117:$127,11,FALSE)</f>
        <v>6.9422277777368785E-2</v>
      </c>
    </row>
    <row r="25" spans="1:14" s="93" customFormat="1" x14ac:dyDescent="0.25">
      <c r="A25" s="151" t="s">
        <v>366</v>
      </c>
      <c r="B25" s="255">
        <f>AVERAGE(94:94)</f>
        <v>75152.521739130432</v>
      </c>
      <c r="C25" s="254">
        <f>STDEV(94:94)/AVERAGE(94:94)</f>
        <v>1.0606841926795056</v>
      </c>
      <c r="D25" s="76" t="str">
        <f>IF(C25&lt;=1,"高",IF(C25&lt;=2,"中","低"))</f>
        <v>中</v>
      </c>
      <c r="E25" s="149"/>
      <c r="F25" s="160">
        <f>MAX(0,10-ABS(C25))</f>
        <v>8.9393158073204937</v>
      </c>
      <c r="G25" s="88" t="s">
        <v>213</v>
      </c>
      <c r="H25" s="123" t="s">
        <v>232</v>
      </c>
      <c r="I25" s="170">
        <f>IF(HLOOKUP(C1,167:170,3,FALSE)="無",0,HLOOKUP(C1,167:170,3,FALSE))</f>
        <v>45.23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63.201739130434774</v>
      </c>
      <c r="C26" s="172">
        <f>IF(COUNTIF(168:168,"&gt;0")=0,0,STDEV(168:168))</f>
        <v>11.091534713126546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40.366086956521741</v>
      </c>
      <c r="C27" s="172">
        <f>IF(COUNTIF(169:169,"&gt;0")=0,0,STDEV(169:169))</f>
        <v>4.623940408481249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0.1074</v>
      </c>
      <c r="C30" s="157" t="s">
        <v>217</v>
      </c>
      <c r="D30" s="174">
        <f>COUNTIF(146:146,"&gt;20")/COUNT(146:146)</f>
        <v>0</v>
      </c>
      <c r="E30" s="140" t="s">
        <v>239</v>
      </c>
      <c r="F30" s="159">
        <f>MIN(B30/25%*10,10)</f>
        <v>4.2959999999999994</v>
      </c>
      <c r="G30" s="175"/>
      <c r="H30" s="176"/>
    </row>
    <row r="31" spans="1:14" x14ac:dyDescent="0.25">
      <c r="A31" s="164" t="s">
        <v>240</v>
      </c>
      <c r="B31" s="173">
        <f>AVERAGE(C155:F155)/100</f>
        <v>2.6525E-2</v>
      </c>
      <c r="C31" s="157" t="s">
        <v>217</v>
      </c>
      <c r="D31" s="174">
        <f>COUNTIF(149:149,"&gt;8")/COUNT(149:149)</f>
        <v>0</v>
      </c>
      <c r="E31" s="140" t="s">
        <v>241</v>
      </c>
      <c r="F31" s="159">
        <f>MIN(B31/10%*10,10)</f>
        <v>2.6524999999999999</v>
      </c>
      <c r="G31" s="175"/>
    </row>
    <row r="32" spans="1:14" x14ac:dyDescent="0.25">
      <c r="A32" s="155" t="s">
        <v>47</v>
      </c>
      <c r="B32" s="177">
        <f>AVERAGE(C165:F165)</f>
        <v>14.8825</v>
      </c>
      <c r="C32" s="157" t="s">
        <v>217</v>
      </c>
      <c r="D32" s="174">
        <f>COUNTIF(159:159,"&gt;3")/COUNT(159:159)</f>
        <v>0.91304347826086951</v>
      </c>
      <c r="E32" s="140" t="s">
        <v>242</v>
      </c>
      <c r="F32" s="159">
        <f>MIN(B32/15*10,10)</f>
        <v>9.9216666666666669</v>
      </c>
      <c r="G32" s="135"/>
    </row>
    <row r="33" spans="1:14" x14ac:dyDescent="0.25">
      <c r="A33" s="155" t="s">
        <v>14</v>
      </c>
      <c r="B33" s="156">
        <f>AVERAGE(B69:E69)</f>
        <v>3.4</v>
      </c>
      <c r="C33" s="157" t="s">
        <v>217</v>
      </c>
      <c r="D33" s="174">
        <f>COUNTIF(82:82,"&gt;0")/COUNT(82:82)</f>
        <v>0.95652173913043481</v>
      </c>
      <c r="E33" s="140" t="s">
        <v>243</v>
      </c>
      <c r="F33" s="159">
        <f>MIN(B33,2)+D33*8</f>
        <v>9.6521739130434785</v>
      </c>
      <c r="G33" s="135"/>
    </row>
    <row r="34" spans="1:14" x14ac:dyDescent="0.25">
      <c r="A34" s="155" t="s">
        <v>244</v>
      </c>
      <c r="B34" s="156">
        <f>AVERAGE(C140:F140)</f>
        <v>1.8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8.5882352941176467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56119630</v>
      </c>
      <c r="C36" s="178">
        <f>STDEV(C97:F97)</f>
        <v>10993319.750823922</v>
      </c>
      <c r="D36" s="76" t="str">
        <f>IF(C36/B36&lt;15%,"高",IF(C36/B36&lt;30%,"中","低"))</f>
        <v>中</v>
      </c>
      <c r="E36" s="107">
        <f>IF(F97&gt;E97,1,0)+IF(E97&gt;D97,1,0)+IF(D97&gt;C97,1,0)</f>
        <v>2</v>
      </c>
      <c r="F36" s="179"/>
      <c r="G36" s="160">
        <f>IF(D36="高",6,IF(D36="中",4,2))+E36+1</f>
        <v>7</v>
      </c>
    </row>
    <row r="37" spans="1:14" x14ac:dyDescent="0.25">
      <c r="A37" s="164" t="s">
        <v>248</v>
      </c>
      <c r="B37" s="180">
        <f>AVERAGE(C152:F152)</f>
        <v>10.74</v>
      </c>
      <c r="C37" s="180">
        <f>STDEV(C152:F152)</f>
        <v>1.3138493064274934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3.0349999999999997</v>
      </c>
      <c r="C38" s="180">
        <f>STDEV(C153:F153)</f>
        <v>0.94285028857537401</v>
      </c>
      <c r="D38" s="76" t="str">
        <f>IF(C38/B38&lt;15%,"高",IF(C38/B38&lt;30%,"中","低"))</f>
        <v>低</v>
      </c>
      <c r="E38" s="107">
        <f>IF(F153&gt;E153,1,0)+IF(E153&gt;D153,1,0)+IF(D153&gt;C153,1,0)</f>
        <v>2</v>
      </c>
      <c r="F38" s="179"/>
      <c r="G38" s="160">
        <f>IF(D38="高",6,IF(D38="中",4,2))+E38+1</f>
        <v>5</v>
      </c>
    </row>
    <row r="39" spans="1:14" x14ac:dyDescent="0.25">
      <c r="A39" s="142" t="s">
        <v>46</v>
      </c>
      <c r="B39" s="181">
        <f>AVERAGE(C165:F165)</f>
        <v>14.8825</v>
      </c>
      <c r="C39" s="181">
        <f>STDEV(C165:F165)</f>
        <v>3.682004662318255</v>
      </c>
      <c r="D39" s="76" t="str">
        <f>IF(C39/B39&lt;15%,"高",IF(C39/B39&lt;30%,"中","低"))</f>
        <v>中</v>
      </c>
      <c r="E39" s="107">
        <f>IF(F165&gt;E165,1,0)+IF(E165&gt;D165,1,0)+IF(D165&gt;C165,1,0)</f>
        <v>2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3.4</v>
      </c>
      <c r="C40" s="183">
        <f>STDEV(B69:E69)</f>
        <v>1.2732373436768722</v>
      </c>
      <c r="D40" s="76" t="str">
        <f>IF(C40/B40&lt;15%,"高",IF(C40/B40&lt;30%,"中","低"))</f>
        <v>低</v>
      </c>
      <c r="E40" s="107">
        <f>IF(E69&gt;D69,1,0)+IF(D69&gt;C69,1,0)+IF(C69&gt;B69,1,0)</f>
        <v>3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9.3749999999999903E-2</v>
      </c>
      <c r="C44" s="186">
        <f>(C46-C49)/C49</f>
        <v>2.9411764705882377E-2</v>
      </c>
      <c r="D44" s="186">
        <f>(D46-D49)/D49</f>
        <v>4.3956043956043869E-2</v>
      </c>
      <c r="E44" s="186">
        <f>(E46-E49)/E49</f>
        <v>2.5862068965517265E-2</v>
      </c>
      <c r="G44" s="86" t="s">
        <v>175</v>
      </c>
      <c r="H44" s="186">
        <f>(H47-H50)/H50</f>
        <v>-0.12280701754385953</v>
      </c>
      <c r="I44" s="186">
        <f>(I47-I50)/I50</f>
        <v>0.50704225352112697</v>
      </c>
      <c r="J44" s="186">
        <f>(J47-J50)/J50</f>
        <v>0.25454545454545446</v>
      </c>
      <c r="K44" s="186">
        <f>(K47-K50)/K50</f>
        <v>7.4270557029177828E-2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1.4</v>
      </c>
      <c r="C46" s="152">
        <f>HLOOKUP(C45,$81:$82,2,FALSE)</f>
        <v>1.05</v>
      </c>
      <c r="D46" s="152">
        <f>HLOOKUP(D45,$81:$82,2,FALSE)</f>
        <v>0.95</v>
      </c>
      <c r="E46" s="152">
        <f>HLOOKUP(E45,$81:$82,2,FALSE)</f>
        <v>1.19</v>
      </c>
      <c r="G46" s="86" t="s">
        <v>164</v>
      </c>
      <c r="H46" s="145">
        <f>HLOOKUP(H45,$145:$147,2,FALSE)/100</f>
        <v>0.1321</v>
      </c>
      <c r="I46" s="145">
        <f>HLOOKUP(I45,$145:$147,2,FALSE)/100</f>
        <v>0.12890000000000001</v>
      </c>
      <c r="J46" s="145">
        <f>HLOOKUP(J45,$145:$147,2,FALSE)/100</f>
        <v>0.12539999999999998</v>
      </c>
      <c r="K46" s="145">
        <f>HLOOKUP(K45,$145:$147,2,FALSE)/100</f>
        <v>0.12</v>
      </c>
    </row>
    <row r="47" spans="1:14" x14ac:dyDescent="0.25">
      <c r="A47" s="188" t="s">
        <v>165</v>
      </c>
      <c r="B47" s="189">
        <f>HLOOKUP(B45,$157:$159,3,FALSE)</f>
        <v>5.21</v>
      </c>
      <c r="C47" s="189">
        <f>HLOOKUP(C45,$157:$159,3,FALSE)</f>
        <v>4.0999999999999996</v>
      </c>
      <c r="D47" s="189">
        <f>HLOOKUP(D45,$157:$159,3,FALSE)</f>
        <v>3.69</v>
      </c>
      <c r="E47" s="189">
        <f>HLOOKUP(E45,$157:$159,3,FALSE)</f>
        <v>3.88</v>
      </c>
      <c r="G47" s="190" t="s">
        <v>166</v>
      </c>
      <c r="H47" s="145">
        <f>HLOOKUP(H45,$145:$147,3,FALSE)/100</f>
        <v>0.04</v>
      </c>
      <c r="I47" s="145">
        <f>HLOOKUP(I45,$145:$147,3,FALSE)/100</f>
        <v>4.2800000000000005E-2</v>
      </c>
      <c r="J47" s="145">
        <f>HLOOKUP(J45,$145:$147,3,FALSE)/100</f>
        <v>4.1399999999999999E-2</v>
      </c>
      <c r="K47" s="145">
        <f>HLOOKUP(K45,$145:$147,3,FALSE)/100</f>
        <v>4.0500000000000001E-2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1.28</v>
      </c>
      <c r="C49" s="152">
        <f>HLOOKUP(C48,$81:$82,2,FALSE)</f>
        <v>1.02</v>
      </c>
      <c r="D49" s="152">
        <f>HLOOKUP(D48,$81:$82,2,FALSE)</f>
        <v>0.91</v>
      </c>
      <c r="E49" s="152">
        <f>HLOOKUP(E48,$81:$82,2,FALSE)</f>
        <v>1.1599999999999999</v>
      </c>
      <c r="G49" s="86" t="s">
        <v>164</v>
      </c>
      <c r="H49" s="145">
        <f>HLOOKUP(H48,$145:$147,2,FALSE)/100</f>
        <v>0.1186</v>
      </c>
      <c r="I49" s="145">
        <f>HLOOKUP(I48,$145:$147,2,FALSE)/100</f>
        <v>0.1047</v>
      </c>
      <c r="J49" s="145">
        <f>HLOOKUP(J48,$145:$147,2,FALSE)/100</f>
        <v>0.1118</v>
      </c>
      <c r="K49" s="145">
        <f>HLOOKUP(K48,$145:$147,2,FALSE)/100</f>
        <v>0.1139</v>
      </c>
    </row>
    <row r="50" spans="1:15" x14ac:dyDescent="0.25">
      <c r="A50" s="188" t="s">
        <v>165</v>
      </c>
      <c r="B50" s="189">
        <f>HLOOKUP(B48,$157:$159,3,FALSE)</f>
        <v>4.9000000000000004</v>
      </c>
      <c r="C50" s="189">
        <f>HLOOKUP(C48,$157:$159,3,FALSE)</f>
        <v>3.72</v>
      </c>
      <c r="D50" s="189">
        <f>HLOOKUP(D48,$157:$159,3,FALSE)</f>
        <v>3.36</v>
      </c>
      <c r="E50" s="189">
        <f>HLOOKUP(E48,$157:$159,3,FALSE)</f>
        <v>4.0599999999999996</v>
      </c>
      <c r="G50" s="190" t="s">
        <v>166</v>
      </c>
      <c r="H50" s="145">
        <f>HLOOKUP(H48,$145:$147,3,FALSE)/100</f>
        <v>4.5599999999999995E-2</v>
      </c>
      <c r="I50" s="145">
        <f>HLOOKUP(I48,$145:$147,3,FALSE)/100</f>
        <v>2.8399999999999998E-2</v>
      </c>
      <c r="J50" s="145">
        <f>HLOOKUP(J48,$145:$147,3,FALSE)/100</f>
        <v>3.3000000000000002E-2</v>
      </c>
      <c r="K50" s="145">
        <f>HLOOKUP(K48,$145:$147,3,FALSE)/100</f>
        <v>3.7699999999999997E-2</v>
      </c>
    </row>
    <row r="51" spans="1:15" x14ac:dyDescent="0.25">
      <c r="A51" s="86" t="s">
        <v>351</v>
      </c>
      <c r="B51" s="186">
        <f>(B47-B50)/B50</f>
        <v>6.3265306122448892E-2</v>
      </c>
      <c r="C51" s="186">
        <f>(C47-C50)/C50</f>
        <v>0.10215053763440844</v>
      </c>
      <c r="D51" s="186">
        <f>(D47-D50)/D50</f>
        <v>9.821428571428574E-2</v>
      </c>
      <c r="E51" s="186">
        <f>(E47-E50)/E50</f>
        <v>-4.433497536945806E-2</v>
      </c>
      <c r="G51" s="235" t="s">
        <v>174</v>
      </c>
      <c r="H51" s="186">
        <f>(H46-H49)/H49</f>
        <v>0.11382799325463742</v>
      </c>
      <c r="I51" s="186">
        <f>(I46-I49)/I49</f>
        <v>0.23113658070678139</v>
      </c>
      <c r="J51" s="186">
        <f>(J46-J49)/J49</f>
        <v>0.12164579606440061</v>
      </c>
      <c r="K51" s="186">
        <f>(K46-K49)/K49</f>
        <v>5.3555750658472297E-2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4.4015617326412224</v>
      </c>
      <c r="B53" s="193">
        <f>B46</f>
        <v>1.4</v>
      </c>
      <c r="C53" s="193">
        <f>E46/HLOOKUP(E45,$87:$94,5,FALSE)*HLOOKUP(E45,$87:$94,4,FALSE)*($B$25/HLOOKUP(E45,$87:$94,4,FALSE)+SUM($B$57:$D$57)/SUM($B58:$D$58)*$G$69/100/K46)</f>
        <v>1.1628061892031329</v>
      </c>
      <c r="D53" s="193">
        <f>D46/HLOOKUP(D45,$87:$94,5,FALSE)*HLOOKUP(D45,$87:$94,4,FALSE)*($B$25/HLOOKUP(D45,$87:$94,4,FALSE)+SUM($B$57:$D$57)/SUM($B58:$D$58)*$G$69/100/J46)</f>
        <v>0.90807994794515268</v>
      </c>
      <c r="E53" s="193">
        <f>C46/HLOOKUP(C45,$87:$94,5,FALSE)*HLOOKUP(C45,$87:$94,4,FALSE)*($B$25/HLOOKUP(C45,$87:$94,4,FALSE)+SUM($B$57:$D$57)/SUM($B58:$D$58)*$G$69/100/I46)</f>
        <v>0.93067559549293655</v>
      </c>
    </row>
    <row r="54" spans="1:15" x14ac:dyDescent="0.25">
      <c r="A54" s="278">
        <f>SUM(B54:E54)</f>
        <v>4.47</v>
      </c>
      <c r="B54" s="277">
        <f t="shared" ref="B54:D54" si="0">HLOOKUP(B52-10,81:82,2,FALSE)</f>
        <v>1.28</v>
      </c>
      <c r="C54" s="277">
        <f t="shared" si="0"/>
        <v>1.19</v>
      </c>
      <c r="D54" s="277">
        <f t="shared" si="0"/>
        <v>0.95</v>
      </c>
      <c r="E54" s="277">
        <f>HLOOKUP(E52-10,81:82,2,FALSE)</f>
        <v>1.05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6585641</v>
      </c>
      <c r="C57" s="196">
        <f>HLOOKUP(C56,78:79,2,FALSE)</f>
        <v>5547099</v>
      </c>
      <c r="D57" s="196">
        <f>HLOOKUP(D56,78:79,2,FALSE)</f>
        <v>4726319</v>
      </c>
      <c r="E57" s="196">
        <f>HLOOKUP(E56,78:79,2,FALSE)</f>
        <v>4723615</v>
      </c>
      <c r="F57" s="196">
        <f>HLOOKUP(F56,78:79,2,FALSE)</f>
        <v>4714279</v>
      </c>
      <c r="G57" s="196">
        <f t="shared" ref="G57:M57" si="2">HLOOKUP(G56,78:79,2,FALSE)</f>
        <v>4580033</v>
      </c>
      <c r="H57" s="196">
        <f t="shared" si="2"/>
        <v>4540838</v>
      </c>
      <c r="I57" s="196">
        <f t="shared" si="2"/>
        <v>4792098</v>
      </c>
      <c r="J57" s="196">
        <f t="shared" si="2"/>
        <v>3818336</v>
      </c>
      <c r="K57" s="196">
        <f t="shared" si="2"/>
        <v>4270751</v>
      </c>
      <c r="L57" s="196">
        <f t="shared" si="2"/>
        <v>5888356</v>
      </c>
      <c r="M57" s="196">
        <f t="shared" si="2"/>
        <v>6064511</v>
      </c>
      <c r="N57" s="197"/>
    </row>
    <row r="58" spans="1:15" x14ac:dyDescent="0.25">
      <c r="A58" s="198" t="s">
        <v>253</v>
      </c>
      <c r="B58" s="196">
        <f>HLOOKUP(B56-100,78:79,2,FALSE)</f>
        <v>5582566</v>
      </c>
      <c r="C58" s="196">
        <f>HLOOKUP(C56-100,78:79,2,FALSE)</f>
        <v>6103583</v>
      </c>
      <c r="D58" s="196">
        <f>HLOOKUP(D56-100,78:79,2,FALSE)</f>
        <v>6390525</v>
      </c>
      <c r="E58" s="196">
        <f>HLOOKUP(E56-100,78:79,2,FALSE)</f>
        <v>5994323</v>
      </c>
      <c r="F58" s="196">
        <f>HLOOKUP(F56-100,78:79,2,FALSE)</f>
        <v>5546264</v>
      </c>
      <c r="G58" s="196">
        <f t="shared" ref="G58:M58" si="3">HLOOKUP(G56-100,78:79,2,FALSE)</f>
        <v>5126576</v>
      </c>
      <c r="H58" s="196">
        <f t="shared" si="3"/>
        <v>4885033</v>
      </c>
      <c r="I58" s="196">
        <f t="shared" si="3"/>
        <v>5676611</v>
      </c>
      <c r="J58" s="196">
        <f t="shared" si="3"/>
        <v>3023738</v>
      </c>
      <c r="K58" s="196">
        <f t="shared" si="3"/>
        <v>5312211</v>
      </c>
      <c r="L58" s="196">
        <f t="shared" si="3"/>
        <v>5889785</v>
      </c>
      <c r="M58" s="196">
        <f t="shared" si="3"/>
        <v>7145667</v>
      </c>
      <c r="N58" s="197"/>
    </row>
    <row r="59" spans="1:15" x14ac:dyDescent="0.25">
      <c r="A59" s="199" t="s">
        <v>254</v>
      </c>
      <c r="B59" s="165">
        <f>IF(B57&lt;&gt;"",(B57-B58)/B58,"")</f>
        <v>0.17967991780124051</v>
      </c>
      <c r="C59" s="165">
        <f>IF(C57&lt;&gt;"",(C57-C58)/C58,"")</f>
        <v>-9.1173332123115222E-2</v>
      </c>
      <c r="D59" s="165">
        <f>IF(D57&lt;&gt;"",(D57-D58)/D58,"")</f>
        <v>-0.26041772780796568</v>
      </c>
      <c r="E59" s="165">
        <f>IF(E57&lt;&gt;"",(E57-E58)/E58,"")</f>
        <v>-0.21198524003461275</v>
      </c>
      <c r="F59" s="165">
        <f>IF(F57&lt;&gt;"",(F57-F58)/F58,"")</f>
        <v>-0.15000818569040347</v>
      </c>
      <c r="G59" s="165">
        <f t="shared" ref="G59:M59" si="4">IF(G57&lt;&gt;"",(G57-G58)/G58,"")</f>
        <v>-0.10660975278626514</v>
      </c>
      <c r="H59" s="165">
        <f t="shared" si="4"/>
        <v>-7.0459094135085679E-2</v>
      </c>
      <c r="I59" s="165">
        <f t="shared" si="4"/>
        <v>-0.15581708875242639</v>
      </c>
      <c r="J59" s="165">
        <f t="shared" si="4"/>
        <v>0.26278665678044855</v>
      </c>
      <c r="K59" s="165">
        <f t="shared" si="4"/>
        <v>-0.19605019454234782</v>
      </c>
      <c r="L59" s="165">
        <f t="shared" si="4"/>
        <v>-2.4262345739275713E-4</v>
      </c>
      <c r="M59" s="165">
        <f t="shared" si="4"/>
        <v>-0.15130232069308575</v>
      </c>
    </row>
    <row r="60" spans="1:15" x14ac:dyDescent="0.25">
      <c r="A60" s="195" t="s">
        <v>255</v>
      </c>
      <c r="B60" s="196">
        <f>SUM(B57:M57)</f>
        <v>60251876</v>
      </c>
    </row>
    <row r="61" spans="1:15" x14ac:dyDescent="0.25">
      <c r="A61" s="198" t="s">
        <v>256</v>
      </c>
      <c r="B61" s="196">
        <f>SUM(B58:M58)</f>
        <v>66676882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0.90363967529255496</v>
      </c>
      <c r="D62" s="152">
        <f>SUM(B46:E46)</f>
        <v>4.59</v>
      </c>
      <c r="E62" s="152">
        <f>SUM(B49:E49)</f>
        <v>4.37</v>
      </c>
      <c r="G62" s="126">
        <f>SUM(B47:E47)</f>
        <v>16.88</v>
      </c>
      <c r="H62" s="126">
        <f>SUM(B50:E50)</f>
        <v>16.04</v>
      </c>
      <c r="J62" s="200">
        <f>AVERAGE(H46:K46)</f>
        <v>0.12659999999999999</v>
      </c>
      <c r="K62" s="200">
        <f>AVERAGE(H49:K49)</f>
        <v>0.11225</v>
      </c>
      <c r="M62" s="200">
        <f>AVERAGE(H47:K47)</f>
        <v>4.1175000000000003E-2</v>
      </c>
      <c r="N62" s="200">
        <f>AVERAGE(H50:K50)</f>
        <v>3.6174999999999999E-2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0.54</v>
      </c>
      <c r="C65" s="205">
        <f t="shared" si="5"/>
        <v>0.75</v>
      </c>
      <c r="D65" s="205">
        <f t="shared" si="5"/>
        <v>0.85</v>
      </c>
      <c r="E65" s="205">
        <f t="shared" si="5"/>
        <v>0.91</v>
      </c>
      <c r="F65" s="206">
        <f>IF(ISNA(HLOOKUP(F$64*10+$A65,$81:$82,2,FALSE)),(HLOOKUP(E$64*10+$A65,$87:$94,4,FALSE)*$G65+$B$25)/HLOOKUP(E$64*10+$A65,$87:$94,5,FALSE)*$E65,HLOOKUP(F$64*10+$A65,$81:$82,2,FALSE))</f>
        <v>0.95</v>
      </c>
      <c r="G65" s="101">
        <f>MIN(130%,SUM($B$57:$D$57)/SUM($B$58:$D$58)*$G$69/HLOOKUP(E$64*10+$A65,$145:$146,2,FALSE))</f>
        <v>1.0274985268446233</v>
      </c>
      <c r="H65" s="204">
        <v>1</v>
      </c>
      <c r="I65" s="208">
        <f t="shared" ref="I65:M68" si="6">IF(ISNA(HLOOKUP(I$64*10+$H65,$145:$147,3,FALSE)),"",HLOOKUP(I$64*10+$H65,$145:$147,3,FALSE)/100)</f>
        <v>2.3700000000000002E-2</v>
      </c>
      <c r="J65" s="208">
        <f t="shared" si="6"/>
        <v>4.2900000000000001E-2</v>
      </c>
      <c r="K65" s="208">
        <f t="shared" si="6"/>
        <v>2.8799999999999999E-2</v>
      </c>
      <c r="L65" s="208">
        <f t="shared" si="6"/>
        <v>3.3000000000000002E-2</v>
      </c>
      <c r="M65" s="209">
        <f t="shared" si="6"/>
        <v>4.1399999999999999E-2</v>
      </c>
      <c r="N65" s="256">
        <f t="shared" ref="N65:O68" si="7">HLOOKUP(E$64*10+$A65,$87:$94,8,FALSE)</f>
        <v>196670</v>
      </c>
      <c r="O65" s="256">
        <f t="shared" si="7"/>
        <v>56398</v>
      </c>
      <c r="P65" s="210"/>
    </row>
    <row r="66" spans="1:71" x14ac:dyDescent="0.25">
      <c r="A66" s="204">
        <v>2</v>
      </c>
      <c r="B66" s="205">
        <f t="shared" si="5"/>
        <v>0.59</v>
      </c>
      <c r="C66" s="205">
        <f t="shared" si="5"/>
        <v>0.95</v>
      </c>
      <c r="D66" s="205">
        <f t="shared" si="5"/>
        <v>0.91</v>
      </c>
      <c r="E66" s="205">
        <f t="shared" si="5"/>
        <v>1.02</v>
      </c>
      <c r="F66" s="206">
        <f>IF(ISNA(HLOOKUP(F$64*10+$A66,$81:$82,2,FALSE)),(HLOOKUP(E$64*10+$A66,$87:$94,4,FALSE)*$G66+$B$25)/HLOOKUP(E$64*10+$A66,$87:$94,5,FALSE)*$E66,HLOOKUP(F$64*10+$A66,$81:$82,2,FALSE))</f>
        <v>1.05</v>
      </c>
      <c r="G66" s="101">
        <f>MIN(130%,SUM($B$57:$D$57)/SUM($B$58:$D$58)*$G$69/HLOOKUP(E$64*10+$A66,$145:$146,2,FALSE))</f>
        <v>1.0971760773756338</v>
      </c>
      <c r="H66" s="204">
        <v>2</v>
      </c>
      <c r="I66" s="208">
        <f t="shared" si="6"/>
        <v>2.2599999999999999E-2</v>
      </c>
      <c r="J66" s="208">
        <f t="shared" si="6"/>
        <v>3.5900000000000001E-2</v>
      </c>
      <c r="K66" s="208">
        <f t="shared" si="6"/>
        <v>2.7000000000000003E-2</v>
      </c>
      <c r="L66" s="208">
        <f t="shared" si="6"/>
        <v>2.8399999999999998E-2</v>
      </c>
      <c r="M66" s="209">
        <f t="shared" si="6"/>
        <v>4.2800000000000005E-2</v>
      </c>
      <c r="N66" s="256">
        <f t="shared" si="7"/>
        <v>176303</v>
      </c>
      <c r="O66" s="256">
        <f t="shared" si="7"/>
        <v>88015</v>
      </c>
      <c r="P66" s="210"/>
    </row>
    <row r="67" spans="1:71" x14ac:dyDescent="0.25">
      <c r="A67" s="204">
        <v>3</v>
      </c>
      <c r="B67" s="205">
        <f t="shared" si="5"/>
        <v>0.47</v>
      </c>
      <c r="C67" s="205">
        <f t="shared" si="5"/>
        <v>1.1000000000000001</v>
      </c>
      <c r="D67" s="205">
        <f t="shared" si="5"/>
        <v>1.1499999999999999</v>
      </c>
      <c r="E67" s="205">
        <f t="shared" si="5"/>
        <v>1.28</v>
      </c>
      <c r="F67" s="206">
        <f>IF(ISNA(HLOOKUP(F$64*10+$A67,$81:$82,2,FALSE)),(HLOOKUP(E$64*10+$A67,$87:$94,4,FALSE)*$G67+$B$25)/HLOOKUP(E$64*10+$A67,$87:$94,5,FALSE)*$E67,HLOOKUP(F$64*10+$A67,$81:$82,2,FALSE))</f>
        <v>1.4</v>
      </c>
      <c r="G67" s="101">
        <f>MIN(130%,SUM($B$57:$D$57)/SUM($B$58:$D$58)*$G$69/HLOOKUP(E$64*10+$A67,$145:$146,2,FALSE))</f>
        <v>0.96858630102216592</v>
      </c>
      <c r="H67" s="204">
        <v>3</v>
      </c>
      <c r="I67" s="208">
        <f t="shared" si="6"/>
        <v>2.5099999999999997E-2</v>
      </c>
      <c r="J67" s="208">
        <f t="shared" si="6"/>
        <v>3.8300000000000001E-2</v>
      </c>
      <c r="K67" s="208">
        <f t="shared" si="6"/>
        <v>3.61E-2</v>
      </c>
      <c r="L67" s="208">
        <f t="shared" si="6"/>
        <v>4.5599999999999995E-2</v>
      </c>
      <c r="M67" s="209">
        <f t="shared" si="6"/>
        <v>0.04</v>
      </c>
      <c r="N67" s="256">
        <f t="shared" si="7"/>
        <v>-45799</v>
      </c>
      <c r="O67" s="256">
        <f t="shared" si="7"/>
        <v>291806</v>
      </c>
      <c r="P67" s="210"/>
    </row>
    <row r="68" spans="1:71" x14ac:dyDescent="0.25">
      <c r="A68" s="204">
        <v>4</v>
      </c>
      <c r="B68" s="205">
        <f>HLOOKUP(B$64*10+$A68,$81:$82,2,FALSE)</f>
        <v>-0.04</v>
      </c>
      <c r="C68" s="205">
        <f>HLOOKUP(C$64*10+$A68,$81:$82,2,FALSE)</f>
        <v>0.77</v>
      </c>
      <c r="D68" s="205">
        <f>HLOOKUP(D$64*10+$A68,$81:$82,2,FALSE)</f>
        <v>1.1599999999999999</v>
      </c>
      <c r="E68" s="206">
        <f>IF(ISNA(HLOOKUP(E$64*10+$A68,$81:$82,2,FALSE)),D68*(1-$N68)*#REF!*(1+$B$25)/(1+$E$4),HLOOKUP(E$64*10+$A68,$81:$82,2,FALSE))</f>
        <v>1.19</v>
      </c>
      <c r="F68" s="206">
        <f>IF(ISNA(HLOOKUP(F$64*10+$A68,$81:$82,2,FALSE)),(HLOOKUP(E$64*10+$A68,$87:$94,4,FALSE)*$G68+$B$25)/HLOOKUP(E$64*10+$A68,$87:$94,5,FALSE)*$E68,HLOOKUP(F$64*10+$A68,$81:$82,2,FALSE))</f>
        <v>1.1628061892031327</v>
      </c>
      <c r="G68" s="101">
        <f>MIN(130%,SUM($B$57:$D$57)/SUM($B$58:$D$58)*$G$69/HLOOKUP(E$64*10+$A68,$145:$146,2,FALSE))</f>
        <v>0.95728612751024056</v>
      </c>
      <c r="H68" s="204">
        <v>4</v>
      </c>
      <c r="I68" s="208">
        <f t="shared" si="6"/>
        <v>-4.4000000000000003E-3</v>
      </c>
      <c r="J68" s="208">
        <f t="shared" si="6"/>
        <v>2.4E-2</v>
      </c>
      <c r="K68" s="208">
        <f t="shared" si="6"/>
        <v>3.7699999999999997E-2</v>
      </c>
      <c r="L68" s="208">
        <f t="shared" si="6"/>
        <v>4.0500000000000001E-2</v>
      </c>
      <c r="M68" s="209" t="str">
        <f t="shared" si="6"/>
        <v/>
      </c>
      <c r="N68" s="256">
        <f t="shared" si="7"/>
        <v>62467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1.5599999999999998</v>
      </c>
      <c r="C69" s="213">
        <f>SUM(C65:C68)</f>
        <v>3.57</v>
      </c>
      <c r="D69" s="213">
        <f>SUM(D65:D68)</f>
        <v>4.07</v>
      </c>
      <c r="E69" s="213">
        <f>SUM(E65:E68)</f>
        <v>4.4000000000000004</v>
      </c>
      <c r="F69" s="213">
        <f>SUM(F65:F68)</f>
        <v>4.5628061892031324</v>
      </c>
      <c r="G69" s="257">
        <f>_xlfn.FORECAST.ETS(23,B146:W146,{1,2,3,4,5,6,7,8,9,10,11,12,13,14,15,16,17,18,19,20,21,22})</f>
        <v>12.31709261001463</v>
      </c>
      <c r="H69" s="214" t="s">
        <v>19</v>
      </c>
      <c r="I69" s="215">
        <f>HLOOKUP(I64,151:155,3,FALSE)/100</f>
        <v>1.6399999999999998E-2</v>
      </c>
      <c r="J69" s="215">
        <f>HLOOKUP(J64,151:155,3,FALSE)/100</f>
        <v>3.5000000000000003E-2</v>
      </c>
      <c r="K69" s="215">
        <f>HLOOKUP(K64,151:155,3,FALSE)/100</f>
        <v>3.3099999999999997E-2</v>
      </c>
      <c r="L69" s="215">
        <f>IF(ISNA(HLOOKUP(L64,151:155,3,FALSE)/100),AVERAGE(L65:L68),HLOOKUP(L64,151:155,3,FALSE)/100)</f>
        <v>3.6900000000000002E-2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3.28</v>
      </c>
      <c r="C72" s="205">
        <f t="shared" si="8"/>
        <v>4.17</v>
      </c>
      <c r="D72" s="205">
        <f t="shared" si="8"/>
        <v>3.4</v>
      </c>
      <c r="E72" s="205">
        <f t="shared" si="8"/>
        <v>3.36</v>
      </c>
      <c r="F72" s="205">
        <f t="shared" si="8"/>
        <v>3.69</v>
      </c>
    </row>
    <row r="73" spans="1:71" s="135" customFormat="1" x14ac:dyDescent="0.25">
      <c r="A73" s="204">
        <v>2</v>
      </c>
      <c r="B73" s="205">
        <f t="shared" si="8"/>
        <v>3.43</v>
      </c>
      <c r="C73" s="205">
        <f t="shared" si="8"/>
        <v>4.72</v>
      </c>
      <c r="D73" s="205">
        <f t="shared" si="8"/>
        <v>3.33</v>
      </c>
      <c r="E73" s="205">
        <f t="shared" si="8"/>
        <v>3.72</v>
      </c>
      <c r="F73" s="205">
        <f t="shared" si="8"/>
        <v>4.0999999999999996</v>
      </c>
    </row>
    <row r="74" spans="1:71" s="135" customFormat="1" x14ac:dyDescent="0.25">
      <c r="A74" s="204">
        <v>3</v>
      </c>
      <c r="B74" s="205">
        <f t="shared" si="8"/>
        <v>2.74</v>
      </c>
      <c r="C74" s="205">
        <f t="shared" si="8"/>
        <v>5.34</v>
      </c>
      <c r="D74" s="205">
        <f t="shared" si="8"/>
        <v>4.5199999999999996</v>
      </c>
      <c r="E74" s="205">
        <f t="shared" si="8"/>
        <v>4.9000000000000004</v>
      </c>
      <c r="F74" s="205">
        <f t="shared" si="8"/>
        <v>5.21</v>
      </c>
    </row>
    <row r="75" spans="1:71" s="135" customFormat="1" x14ac:dyDescent="0.25">
      <c r="A75" s="204">
        <v>4</v>
      </c>
      <c r="B75" s="205">
        <f t="shared" si="8"/>
        <v>-0.25</v>
      </c>
      <c r="C75" s="205">
        <f t="shared" si="8"/>
        <v>3.41</v>
      </c>
      <c r="D75" s="205">
        <f t="shared" si="8"/>
        <v>4.0599999999999996</v>
      </c>
      <c r="E75" s="205">
        <f t="shared" si="8"/>
        <v>3.88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9.1999999999999993</v>
      </c>
      <c r="C76" s="213">
        <f>SUM(C72:C75)</f>
        <v>17.64</v>
      </c>
      <c r="D76" s="213">
        <f>SUM(D72:D75)</f>
        <v>15.309999999999999</v>
      </c>
      <c r="E76" s="213">
        <f>AVERAGE(E72:E75)*4</f>
        <v>15.86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3552985</v>
      </c>
      <c r="C79" s="270">
        <v>3331033</v>
      </c>
      <c r="D79" s="270">
        <v>3218442</v>
      </c>
      <c r="E79" s="270">
        <v>3381963</v>
      </c>
      <c r="F79" s="270">
        <v>3652212</v>
      </c>
      <c r="G79" s="270">
        <v>3599168</v>
      </c>
      <c r="H79" s="270">
        <v>3897986</v>
      </c>
      <c r="I79" s="270">
        <v>3431663</v>
      </c>
      <c r="J79" s="270">
        <v>3379041</v>
      </c>
      <c r="K79" s="270">
        <v>3864607</v>
      </c>
      <c r="L79" s="270">
        <v>3811152</v>
      </c>
      <c r="M79" s="270">
        <v>4015356</v>
      </c>
      <c r="N79" s="270">
        <v>4341497</v>
      </c>
      <c r="O79" s="270">
        <v>2761938</v>
      </c>
      <c r="P79" s="270">
        <v>3479163</v>
      </c>
      <c r="Q79" s="270">
        <v>3509319</v>
      </c>
      <c r="R79" s="270">
        <v>3397303</v>
      </c>
      <c r="S79" s="270">
        <v>3407968</v>
      </c>
      <c r="T79" s="270">
        <v>3440358</v>
      </c>
      <c r="U79" s="270">
        <v>3496698</v>
      </c>
      <c r="V79" s="270">
        <v>3421844</v>
      </c>
      <c r="W79" s="270">
        <v>3432244</v>
      </c>
      <c r="X79" s="270">
        <v>3858797</v>
      </c>
      <c r="Y79" s="270">
        <v>3772858</v>
      </c>
      <c r="Z79" s="270">
        <v>3896285</v>
      </c>
      <c r="AA79" s="270">
        <v>3232588</v>
      </c>
      <c r="AB79" s="270">
        <v>4473772</v>
      </c>
      <c r="AC79" s="270">
        <v>4671091</v>
      </c>
      <c r="AD79" s="270">
        <v>4385407</v>
      </c>
      <c r="AE79" s="270">
        <v>4523007</v>
      </c>
      <c r="AF79" s="270">
        <v>4832893</v>
      </c>
      <c r="AG79" s="270">
        <v>4202845</v>
      </c>
      <c r="AH79" s="270">
        <v>4586822</v>
      </c>
      <c r="AI79" s="270">
        <v>4420943</v>
      </c>
      <c r="AJ79" s="270">
        <v>4422265</v>
      </c>
      <c r="AK79" s="270">
        <v>4569539</v>
      </c>
      <c r="AL79" s="270">
        <v>4719356</v>
      </c>
      <c r="AM79" s="270">
        <v>3497888</v>
      </c>
      <c r="AN79" s="270">
        <v>4740645</v>
      </c>
      <c r="AO79" s="270">
        <v>4878706</v>
      </c>
      <c r="AP79" s="270">
        <v>4518676</v>
      </c>
      <c r="AQ79" s="270">
        <v>5142215</v>
      </c>
      <c r="AR79" s="270">
        <v>5766657</v>
      </c>
      <c r="AS79" s="270">
        <v>5650707</v>
      </c>
      <c r="AT79" s="270">
        <v>6365462</v>
      </c>
      <c r="AU79" s="270">
        <v>7277942</v>
      </c>
      <c r="AV79" s="270">
        <v>7145667</v>
      </c>
      <c r="AW79" s="270">
        <v>5889785</v>
      </c>
      <c r="AX79" s="270">
        <v>5312211</v>
      </c>
      <c r="AY79" s="270">
        <v>3023738</v>
      </c>
      <c r="AZ79" s="270">
        <v>5676611</v>
      </c>
      <c r="BA79" s="270">
        <v>4885033</v>
      </c>
      <c r="BB79" s="270">
        <v>5126576</v>
      </c>
      <c r="BC79" s="270">
        <v>5546264</v>
      </c>
      <c r="BD79" s="270">
        <v>5994323</v>
      </c>
      <c r="BE79" s="270">
        <v>6390525</v>
      </c>
      <c r="BF79" s="270">
        <v>6103583</v>
      </c>
      <c r="BG79" s="270">
        <v>5582566</v>
      </c>
      <c r="BH79" s="270">
        <v>6064511</v>
      </c>
      <c r="BI79" s="270">
        <v>5888356</v>
      </c>
      <c r="BJ79" s="270">
        <v>4270751</v>
      </c>
      <c r="BK79" s="270">
        <v>3818336</v>
      </c>
      <c r="BL79" s="270">
        <v>4792098</v>
      </c>
      <c r="BM79" s="270">
        <v>4540838</v>
      </c>
      <c r="BN79" s="270">
        <v>4580033</v>
      </c>
      <c r="BO79" s="270">
        <v>4714279</v>
      </c>
      <c r="BP79" s="270">
        <v>4723615</v>
      </c>
      <c r="BQ79" s="270">
        <v>4726319</v>
      </c>
      <c r="BR79" s="270">
        <v>5547099</v>
      </c>
      <c r="BS79" s="270">
        <v>6585641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0.77</v>
      </c>
      <c r="C82" s="72">
        <v>0.9</v>
      </c>
      <c r="D82" s="72">
        <v>0.65</v>
      </c>
      <c r="E82" s="72">
        <v>0.79</v>
      </c>
      <c r="F82" s="72">
        <v>0.54</v>
      </c>
      <c r="G82" s="72">
        <v>0.59</v>
      </c>
      <c r="H82" s="72">
        <v>0.47</v>
      </c>
      <c r="I82" s="72">
        <v>-0.04</v>
      </c>
      <c r="J82" s="72">
        <v>0.75</v>
      </c>
      <c r="K82" s="72">
        <v>0.95</v>
      </c>
      <c r="L82" s="72">
        <v>1.1000000000000001</v>
      </c>
      <c r="M82" s="72">
        <v>0.77</v>
      </c>
      <c r="N82" s="72">
        <v>0.85</v>
      </c>
      <c r="O82" s="72">
        <v>0.91</v>
      </c>
      <c r="P82" s="72">
        <v>1.1499999999999999</v>
      </c>
      <c r="Q82" s="72">
        <v>1.1599999999999999</v>
      </c>
      <c r="R82" s="72">
        <v>0.91</v>
      </c>
      <c r="S82" s="72">
        <v>1.02</v>
      </c>
      <c r="T82" s="72">
        <v>1.28</v>
      </c>
      <c r="U82" s="72">
        <v>1.19</v>
      </c>
      <c r="V82" s="72">
        <v>0.95</v>
      </c>
      <c r="W82" s="72">
        <v>1.05</v>
      </c>
      <c r="X82" s="72">
        <v>1.4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12.8</v>
      </c>
      <c r="C85" s="72">
        <v>13.29</v>
      </c>
      <c r="D85" s="72">
        <v>13.75</v>
      </c>
      <c r="E85" s="72">
        <v>15</v>
      </c>
      <c r="F85" s="72">
        <v>17.61</v>
      </c>
      <c r="G85" s="72">
        <v>16.920000000000002</v>
      </c>
      <c r="H85" s="72">
        <v>17.27</v>
      </c>
      <c r="I85" s="72">
        <v>17.38</v>
      </c>
      <c r="J85" s="72">
        <v>18.27</v>
      </c>
      <c r="K85" s="72">
        <v>18.2</v>
      </c>
      <c r="L85" s="72">
        <v>19.54</v>
      </c>
      <c r="M85" s="72">
        <v>20.92</v>
      </c>
      <c r="N85" s="72">
        <v>21.59</v>
      </c>
      <c r="O85" s="72">
        <v>20.63</v>
      </c>
      <c r="P85" s="72">
        <v>22.19</v>
      </c>
      <c r="Q85" s="72">
        <v>23.6</v>
      </c>
      <c r="R85" s="72">
        <v>24.35</v>
      </c>
      <c r="S85" s="72">
        <v>22.88</v>
      </c>
      <c r="T85" s="72">
        <v>24.02</v>
      </c>
      <c r="U85" s="72">
        <v>24.87</v>
      </c>
      <c r="V85" s="72">
        <v>24.77</v>
      </c>
      <c r="W85" s="72">
        <v>23.93</v>
      </c>
      <c r="X85" s="72">
        <v>25.53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10102457</v>
      </c>
      <c r="C88" s="273">
        <v>10633364</v>
      </c>
      <c r="D88" s="273">
        <v>10708690</v>
      </c>
      <c r="E88" s="273">
        <v>11688260</v>
      </c>
      <c r="F88" s="273">
        <v>10582598</v>
      </c>
      <c r="G88" s="273">
        <v>10314590</v>
      </c>
      <c r="H88" s="273">
        <v>10358900</v>
      </c>
      <c r="I88" s="273">
        <v>11063900</v>
      </c>
      <c r="J88" s="273">
        <v>11602651</v>
      </c>
      <c r="K88" s="273">
        <v>13579558</v>
      </c>
      <c r="L88" s="273">
        <v>13622470</v>
      </c>
      <c r="M88" s="273">
        <v>13435098</v>
      </c>
      <c r="N88" s="273">
        <v>12957891</v>
      </c>
      <c r="O88" s="273">
        <v>14539600</v>
      </c>
      <c r="P88" s="273">
        <v>17782831</v>
      </c>
      <c r="Q88" s="273">
        <v>21784724</v>
      </c>
      <c r="R88" s="273">
        <v>14012563</v>
      </c>
      <c r="S88" s="273">
        <v>14900466</v>
      </c>
      <c r="T88" s="273">
        <v>18488446</v>
      </c>
      <c r="U88" s="273">
        <v>17535435</v>
      </c>
      <c r="V88" s="273">
        <v>12881184</v>
      </c>
      <c r="W88" s="273">
        <v>13835188</v>
      </c>
      <c r="X88" s="273">
        <v>14997014</v>
      </c>
    </row>
    <row r="89" spans="1:25" ht="14.25" thickBot="1" x14ac:dyDescent="0.3">
      <c r="A89" s="250" t="s">
        <v>4</v>
      </c>
      <c r="B89" s="275">
        <v>1093452</v>
      </c>
      <c r="C89" s="275">
        <v>1009933</v>
      </c>
      <c r="D89" s="275">
        <v>1026521</v>
      </c>
      <c r="E89" s="275">
        <v>1370960</v>
      </c>
      <c r="F89" s="275">
        <v>970618</v>
      </c>
      <c r="G89" s="275">
        <v>1037544</v>
      </c>
      <c r="H89" s="275">
        <v>1084719</v>
      </c>
      <c r="I89" s="275">
        <v>659814</v>
      </c>
      <c r="J89" s="275">
        <v>1424519</v>
      </c>
      <c r="K89" s="275">
        <v>1581737</v>
      </c>
      <c r="L89" s="275">
        <v>1626093</v>
      </c>
      <c r="M89" s="275">
        <v>1586450</v>
      </c>
      <c r="N89" s="275">
        <v>1432374</v>
      </c>
      <c r="O89" s="275">
        <v>1545543</v>
      </c>
      <c r="P89" s="275">
        <v>1984233</v>
      </c>
      <c r="Q89" s="275">
        <v>2481651</v>
      </c>
      <c r="R89" s="275">
        <v>1567166</v>
      </c>
      <c r="S89" s="275">
        <v>1560582</v>
      </c>
      <c r="T89" s="275">
        <v>2193463</v>
      </c>
      <c r="U89" s="275">
        <v>2105003</v>
      </c>
      <c r="V89" s="275">
        <v>1615295</v>
      </c>
      <c r="W89" s="275">
        <v>1783071</v>
      </c>
      <c r="X89" s="275">
        <v>1980791</v>
      </c>
    </row>
    <row r="90" spans="1:25" ht="14.25" thickBot="1" x14ac:dyDescent="0.3">
      <c r="A90" s="251" t="s">
        <v>5</v>
      </c>
      <c r="B90" s="273">
        <v>327945</v>
      </c>
      <c r="C90" s="273">
        <v>376580</v>
      </c>
      <c r="D90" s="273">
        <v>260422</v>
      </c>
      <c r="E90" s="273">
        <v>505768</v>
      </c>
      <c r="F90" s="273">
        <v>250471</v>
      </c>
      <c r="G90" s="273">
        <v>232995</v>
      </c>
      <c r="H90" s="273">
        <v>259728</v>
      </c>
      <c r="I90" s="273">
        <v>-48750</v>
      </c>
      <c r="J90" s="273">
        <v>497269</v>
      </c>
      <c r="K90" s="273">
        <v>487791</v>
      </c>
      <c r="L90" s="273">
        <v>521620</v>
      </c>
      <c r="M90" s="273">
        <v>323062</v>
      </c>
      <c r="N90" s="273">
        <v>373232</v>
      </c>
      <c r="O90" s="273">
        <v>392349</v>
      </c>
      <c r="P90" s="273">
        <v>641837</v>
      </c>
      <c r="Q90" s="273">
        <v>820675</v>
      </c>
      <c r="R90" s="273">
        <v>462543</v>
      </c>
      <c r="S90" s="273">
        <v>423069</v>
      </c>
      <c r="T90" s="273">
        <v>842338</v>
      </c>
      <c r="U90" s="273">
        <v>710556</v>
      </c>
      <c r="V90" s="273">
        <v>533609</v>
      </c>
      <c r="W90" s="273">
        <v>591957</v>
      </c>
      <c r="X90" s="273">
        <v>599189</v>
      </c>
    </row>
    <row r="91" spans="1:25" ht="14.25" thickBot="1" x14ac:dyDescent="0.3">
      <c r="A91" s="250" t="s">
        <v>6</v>
      </c>
      <c r="B91" s="275">
        <v>364133</v>
      </c>
      <c r="C91" s="275">
        <v>444996</v>
      </c>
      <c r="D91" s="275">
        <v>358493</v>
      </c>
      <c r="E91" s="275">
        <v>475887</v>
      </c>
      <c r="F91" s="275">
        <v>303962</v>
      </c>
      <c r="G91" s="275">
        <v>337146</v>
      </c>
      <c r="H91" s="275">
        <v>287723</v>
      </c>
      <c r="I91" s="275">
        <v>-18079</v>
      </c>
      <c r="J91" s="275">
        <v>446482</v>
      </c>
      <c r="K91" s="275">
        <v>548016</v>
      </c>
      <c r="L91" s="275">
        <v>627650</v>
      </c>
      <c r="M91" s="275">
        <v>425433</v>
      </c>
      <c r="N91" s="275">
        <v>491597</v>
      </c>
      <c r="O91" s="275">
        <v>484748</v>
      </c>
      <c r="P91" s="275">
        <v>761236</v>
      </c>
      <c r="Q91" s="275">
        <v>786219</v>
      </c>
      <c r="R91" s="275">
        <v>659213</v>
      </c>
      <c r="S91" s="275">
        <v>599372</v>
      </c>
      <c r="T91" s="275">
        <v>796539</v>
      </c>
      <c r="U91" s="275">
        <v>773023</v>
      </c>
      <c r="V91" s="275">
        <v>590007</v>
      </c>
      <c r="W91" s="275">
        <v>679972</v>
      </c>
      <c r="X91" s="275">
        <v>890995</v>
      </c>
    </row>
    <row r="92" spans="1:25" ht="14.25" thickBot="1" x14ac:dyDescent="0.3">
      <c r="A92" s="251" t="s">
        <v>7</v>
      </c>
      <c r="B92" s="273">
        <v>308212</v>
      </c>
      <c r="C92" s="273">
        <v>359879</v>
      </c>
      <c r="D92" s="273">
        <v>260580</v>
      </c>
      <c r="E92" s="273">
        <v>321646</v>
      </c>
      <c r="F92" s="273">
        <v>229985</v>
      </c>
      <c r="G92" s="273">
        <v>255307</v>
      </c>
      <c r="H92" s="273">
        <v>202011</v>
      </c>
      <c r="I92" s="273">
        <v>-18749</v>
      </c>
      <c r="J92" s="273">
        <v>345258</v>
      </c>
      <c r="K92" s="273">
        <v>426180</v>
      </c>
      <c r="L92" s="273">
        <v>497457</v>
      </c>
      <c r="M92" s="273">
        <v>340072</v>
      </c>
      <c r="N92" s="273">
        <v>377934</v>
      </c>
      <c r="O92" s="273">
        <v>389926</v>
      </c>
      <c r="P92" s="273">
        <v>537392</v>
      </c>
      <c r="Q92" s="273">
        <v>511683</v>
      </c>
      <c r="R92" s="273">
        <v>440074</v>
      </c>
      <c r="S92" s="273">
        <v>482611</v>
      </c>
      <c r="T92" s="273">
        <v>633258</v>
      </c>
      <c r="U92" s="273">
        <v>492719</v>
      </c>
      <c r="V92" s="273">
        <v>452272</v>
      </c>
      <c r="W92" s="273">
        <v>496638</v>
      </c>
      <c r="X92" s="273">
        <v>642373</v>
      </c>
    </row>
    <row r="93" spans="1:25" ht="26.25" thickBot="1" x14ac:dyDescent="0.3">
      <c r="A93" s="252" t="s">
        <v>8</v>
      </c>
      <c r="B93" s="276">
        <v>308255</v>
      </c>
      <c r="C93" s="276">
        <v>359870</v>
      </c>
      <c r="D93" s="276">
        <v>260580</v>
      </c>
      <c r="E93" s="276">
        <v>321375</v>
      </c>
      <c r="F93" s="276">
        <v>229985</v>
      </c>
      <c r="G93" s="276">
        <v>255307</v>
      </c>
      <c r="H93" s="276">
        <v>202005</v>
      </c>
      <c r="I93" s="276">
        <v>-18749</v>
      </c>
      <c r="J93" s="276">
        <v>322791</v>
      </c>
      <c r="K93" s="276">
        <v>412481</v>
      </c>
      <c r="L93" s="276">
        <v>477546</v>
      </c>
      <c r="M93" s="276">
        <v>331872</v>
      </c>
      <c r="N93" s="276">
        <v>368223</v>
      </c>
      <c r="O93" s="276">
        <v>398917</v>
      </c>
      <c r="P93" s="276">
        <v>501294</v>
      </c>
      <c r="Q93" s="276">
        <v>504688</v>
      </c>
      <c r="R93" s="276">
        <v>400715</v>
      </c>
      <c r="S93" s="276">
        <v>446908</v>
      </c>
      <c r="T93" s="276">
        <v>561764</v>
      </c>
      <c r="U93" s="276">
        <v>524683</v>
      </c>
      <c r="V93" s="276">
        <v>418436</v>
      </c>
      <c r="W93" s="276">
        <v>461775</v>
      </c>
      <c r="X93" s="276">
        <v>618975</v>
      </c>
    </row>
    <row r="94" spans="1:25" x14ac:dyDescent="0.25">
      <c r="A94" s="233" t="s">
        <v>365</v>
      </c>
      <c r="B94" s="253">
        <f>IF(B91="","",B91-B90)</f>
        <v>36188</v>
      </c>
      <c r="C94" s="253">
        <f>IF(C91="","",C91-C90)</f>
        <v>68416</v>
      </c>
      <c r="D94" s="253">
        <f>IF(D91="","",D91-D90)</f>
        <v>98071</v>
      </c>
      <c r="E94" s="253">
        <f>IF(E91="","",E91-E90)</f>
        <v>-29881</v>
      </c>
      <c r="F94" s="253">
        <f>IF(F91="","",F91-F90)</f>
        <v>53491</v>
      </c>
      <c r="G94" s="253">
        <f t="shared" ref="G94:Y94" si="9">IF(G91="","",G91-G90)</f>
        <v>104151</v>
      </c>
      <c r="H94" s="253">
        <f t="shared" si="9"/>
        <v>27995</v>
      </c>
      <c r="I94" s="253">
        <f t="shared" si="9"/>
        <v>30671</v>
      </c>
      <c r="J94" s="253">
        <f t="shared" si="9"/>
        <v>-50787</v>
      </c>
      <c r="K94" s="253">
        <f t="shared" si="9"/>
        <v>60225</v>
      </c>
      <c r="L94" s="253">
        <f t="shared" si="9"/>
        <v>106030</v>
      </c>
      <c r="M94" s="253">
        <f t="shared" si="9"/>
        <v>102371</v>
      </c>
      <c r="N94" s="253">
        <f t="shared" si="9"/>
        <v>118365</v>
      </c>
      <c r="O94" s="253">
        <f t="shared" si="9"/>
        <v>92399</v>
      </c>
      <c r="P94" s="253">
        <f t="shared" si="9"/>
        <v>119399</v>
      </c>
      <c r="Q94" s="253">
        <f t="shared" si="9"/>
        <v>-34456</v>
      </c>
      <c r="R94" s="253">
        <f t="shared" si="9"/>
        <v>196670</v>
      </c>
      <c r="S94" s="253">
        <f t="shared" si="9"/>
        <v>176303</v>
      </c>
      <c r="T94" s="253">
        <f t="shared" si="9"/>
        <v>-45799</v>
      </c>
      <c r="U94" s="253">
        <f t="shared" si="9"/>
        <v>62467</v>
      </c>
      <c r="V94" s="253">
        <f t="shared" si="9"/>
        <v>56398</v>
      </c>
      <c r="W94" s="253">
        <f t="shared" si="9"/>
        <v>88015</v>
      </c>
      <c r="X94" s="253">
        <f t="shared" si="9"/>
        <v>291806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43132771</v>
      </c>
      <c r="C97" s="273">
        <v>42319988</v>
      </c>
      <c r="D97" s="273">
        <v>52239777</v>
      </c>
      <c r="E97" s="273">
        <v>65589293</v>
      </c>
      <c r="F97" s="273">
        <v>64329462</v>
      </c>
    </row>
    <row r="98" spans="1:24" ht="14.25" thickBot="1" x14ac:dyDescent="0.3">
      <c r="A98" s="225" t="s">
        <v>4</v>
      </c>
      <c r="B98" s="275">
        <v>4500866</v>
      </c>
      <c r="C98" s="275">
        <v>3752695</v>
      </c>
      <c r="D98" s="275">
        <v>6218799</v>
      </c>
      <c r="E98" s="275">
        <v>7140338</v>
      </c>
      <c r="F98" s="275">
        <v>7267187</v>
      </c>
    </row>
    <row r="99" spans="1:24" ht="14.25" thickBot="1" x14ac:dyDescent="0.3">
      <c r="A99" s="224" t="s">
        <v>5</v>
      </c>
      <c r="B99" s="273">
        <v>1470715</v>
      </c>
      <c r="C99" s="273">
        <v>694444</v>
      </c>
      <c r="D99" s="273">
        <v>1829742</v>
      </c>
      <c r="E99" s="273">
        <v>2168182</v>
      </c>
      <c r="F99" s="273">
        <v>2373471</v>
      </c>
    </row>
    <row r="100" spans="1:24" ht="14.25" thickBot="1" x14ac:dyDescent="0.3">
      <c r="A100" s="225" t="s">
        <v>6</v>
      </c>
      <c r="B100" s="275">
        <v>1643509</v>
      </c>
      <c r="C100" s="275">
        <v>910752</v>
      </c>
      <c r="D100" s="275">
        <v>2047581</v>
      </c>
      <c r="E100" s="275">
        <v>2472953</v>
      </c>
      <c r="F100" s="275">
        <v>2764452</v>
      </c>
    </row>
    <row r="101" spans="1:24" ht="14.25" thickBot="1" x14ac:dyDescent="0.3">
      <c r="A101" s="224" t="s">
        <v>7</v>
      </c>
      <c r="B101" s="273">
        <v>1250317</v>
      </c>
      <c r="C101" s="273">
        <v>668554</v>
      </c>
      <c r="D101" s="273">
        <v>1608967</v>
      </c>
      <c r="E101" s="273">
        <v>1816935</v>
      </c>
      <c r="F101" s="273">
        <v>2048662</v>
      </c>
    </row>
    <row r="102" spans="1:24" ht="14.25" thickBot="1" x14ac:dyDescent="0.3">
      <c r="A102" s="227" t="s">
        <v>8</v>
      </c>
      <c r="B102" s="276">
        <v>1250080</v>
      </c>
      <c r="C102" s="276">
        <v>668548</v>
      </c>
      <c r="D102" s="276">
        <v>1544690</v>
      </c>
      <c r="E102" s="276">
        <v>1773122</v>
      </c>
      <c r="F102" s="276">
        <v>1934070</v>
      </c>
    </row>
    <row r="103" spans="1:24" x14ac:dyDescent="0.25">
      <c r="A103" s="233" t="s">
        <v>262</v>
      </c>
      <c r="B103" s="234">
        <f>IF(OR(B102="",B102="無"),"",B102/B101)</f>
        <v>0.99981044807036934</v>
      </c>
      <c r="C103" s="234">
        <f>IF(OR(C102="",C102="無"),"",C102/C101)</f>
        <v>0.99999102540707263</v>
      </c>
      <c r="D103" s="234">
        <f>IF(OR(D102="",D102="無"),"",D102/D101)</f>
        <v>0.96005076549115054</v>
      </c>
      <c r="E103" s="234">
        <f>IF(OR(E102="",E102="無"),"",E102/E101)</f>
        <v>0.97588631403985282</v>
      </c>
      <c r="F103" s="234">
        <f>IF(OR(F102="",F102="無"),"",F102/F101)</f>
        <v>0.94406495556612069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1464254</v>
      </c>
      <c r="C106" s="273">
        <v>1861495</v>
      </c>
      <c r="D106" s="273">
        <v>1516700</v>
      </c>
      <c r="E106" s="273">
        <v>2413438</v>
      </c>
      <c r="F106" s="273">
        <v>2976768</v>
      </c>
      <c r="G106" s="273">
        <v>4345669</v>
      </c>
      <c r="H106" s="273">
        <v>4926690</v>
      </c>
      <c r="I106" s="273">
        <v>4786865</v>
      </c>
      <c r="J106" s="273">
        <v>6264198</v>
      </c>
      <c r="K106" s="273">
        <v>6458486</v>
      </c>
      <c r="L106" s="273">
        <v>6779377</v>
      </c>
      <c r="M106" s="273">
        <v>6814023</v>
      </c>
      <c r="N106" s="273">
        <v>6863699</v>
      </c>
      <c r="O106" s="273">
        <v>6871180</v>
      </c>
      <c r="P106" s="273">
        <v>7949345</v>
      </c>
      <c r="Q106" s="273">
        <v>7623380</v>
      </c>
      <c r="R106" s="273">
        <v>5666157</v>
      </c>
      <c r="S106" s="273">
        <v>5511310</v>
      </c>
      <c r="T106" s="273">
        <v>6700586</v>
      </c>
      <c r="U106" s="273">
        <v>6359916</v>
      </c>
      <c r="V106" s="273">
        <v>4883779</v>
      </c>
      <c r="W106" s="273">
        <v>5659292</v>
      </c>
      <c r="X106" s="273">
        <v>5859859</v>
      </c>
    </row>
    <row r="107" spans="1:24" ht="14.25" thickBot="1" x14ac:dyDescent="0.3">
      <c r="A107" s="225" t="s">
        <v>22</v>
      </c>
      <c r="B107" s="275">
        <v>4380</v>
      </c>
      <c r="C107" s="275">
        <v>35121</v>
      </c>
      <c r="D107" s="275">
        <v>94732</v>
      </c>
      <c r="E107" s="275">
        <v>39633</v>
      </c>
      <c r="F107" s="275">
        <v>40652</v>
      </c>
      <c r="G107" s="275">
        <v>70519</v>
      </c>
      <c r="H107" s="275">
        <v>49297</v>
      </c>
      <c r="I107" s="275">
        <v>34855</v>
      </c>
      <c r="J107" s="275">
        <v>14842</v>
      </c>
      <c r="K107" s="275">
        <v>10570</v>
      </c>
      <c r="L107" s="275">
        <v>86494</v>
      </c>
      <c r="M107" s="275">
        <v>96285</v>
      </c>
      <c r="N107" s="275">
        <v>440720</v>
      </c>
      <c r="O107" s="275">
        <v>372885</v>
      </c>
      <c r="P107" s="275">
        <v>193053</v>
      </c>
      <c r="Q107" s="275">
        <v>88717</v>
      </c>
      <c r="R107" s="275">
        <v>309692</v>
      </c>
      <c r="S107" s="275">
        <v>272933</v>
      </c>
      <c r="T107" s="275">
        <v>69673</v>
      </c>
      <c r="U107" s="275">
        <v>141317</v>
      </c>
      <c r="V107" s="275">
        <v>118443</v>
      </c>
      <c r="W107" s="275">
        <v>74554</v>
      </c>
      <c r="X107" s="275">
        <v>96150</v>
      </c>
    </row>
    <row r="108" spans="1:24" ht="14.25" thickBot="1" x14ac:dyDescent="0.3">
      <c r="A108" s="224" t="s">
        <v>263</v>
      </c>
      <c r="B108" s="273">
        <v>3980485</v>
      </c>
      <c r="C108" s="273">
        <v>5470580</v>
      </c>
      <c r="D108" s="273">
        <v>6282119</v>
      </c>
      <c r="E108" s="273">
        <v>7151054</v>
      </c>
      <c r="F108" s="273">
        <v>6582508</v>
      </c>
      <c r="G108" s="273">
        <v>7546979</v>
      </c>
      <c r="H108" s="273">
        <v>7434414</v>
      </c>
      <c r="I108" s="273">
        <v>7824854</v>
      </c>
      <c r="J108" s="273">
        <v>7705628</v>
      </c>
      <c r="K108" s="273">
        <v>9176653</v>
      </c>
      <c r="L108" s="273">
        <v>10281676</v>
      </c>
      <c r="M108" s="273">
        <v>10513729</v>
      </c>
      <c r="N108" s="273">
        <v>10319552</v>
      </c>
      <c r="O108" s="273">
        <v>11519383</v>
      </c>
      <c r="P108" s="273">
        <v>13734810</v>
      </c>
      <c r="Q108" s="273">
        <v>14479617</v>
      </c>
      <c r="R108" s="273">
        <v>11150117</v>
      </c>
      <c r="S108" s="273">
        <v>11545938</v>
      </c>
      <c r="T108" s="273">
        <v>14661496</v>
      </c>
      <c r="U108" s="273">
        <v>13706714</v>
      </c>
      <c r="V108" s="273">
        <v>10190512</v>
      </c>
      <c r="W108" s="273">
        <v>11419292</v>
      </c>
      <c r="X108" s="273">
        <v>12297216</v>
      </c>
    </row>
    <row r="109" spans="1:24" ht="14.25" thickBot="1" x14ac:dyDescent="0.3">
      <c r="A109" s="225" t="s">
        <v>264</v>
      </c>
      <c r="B109" s="275">
        <v>4428763</v>
      </c>
      <c r="C109" s="275">
        <v>4409140</v>
      </c>
      <c r="D109" s="275">
        <v>4326542</v>
      </c>
      <c r="E109" s="275">
        <v>5035454</v>
      </c>
      <c r="F109" s="275">
        <v>4122403</v>
      </c>
      <c r="G109" s="275">
        <v>4328274</v>
      </c>
      <c r="H109" s="275">
        <v>4439037</v>
      </c>
      <c r="I109" s="275">
        <v>4161107</v>
      </c>
      <c r="J109" s="275">
        <v>4412923</v>
      </c>
      <c r="K109" s="275">
        <v>4691883</v>
      </c>
      <c r="L109" s="275">
        <v>4666739</v>
      </c>
      <c r="M109" s="275">
        <v>4810978</v>
      </c>
      <c r="N109" s="275">
        <v>5534217</v>
      </c>
      <c r="O109" s="275">
        <v>5755602</v>
      </c>
      <c r="P109" s="275">
        <v>7294433</v>
      </c>
      <c r="Q109" s="275">
        <v>7350609</v>
      </c>
      <c r="R109" s="275">
        <v>5994629</v>
      </c>
      <c r="S109" s="275">
        <v>5967200</v>
      </c>
      <c r="T109" s="275">
        <v>6449479</v>
      </c>
      <c r="U109" s="275">
        <v>6670547</v>
      </c>
      <c r="V109" s="275">
        <v>5397286</v>
      </c>
      <c r="W109" s="275">
        <v>6009168</v>
      </c>
      <c r="X109" s="275">
        <v>7086835</v>
      </c>
    </row>
    <row r="110" spans="1:24" ht="14.25" thickBot="1" x14ac:dyDescent="0.3">
      <c r="A110" s="224" t="s">
        <v>23</v>
      </c>
      <c r="B110" s="273">
        <v>1092423</v>
      </c>
      <c r="C110" s="273">
        <v>951531</v>
      </c>
      <c r="D110" s="273">
        <v>905109</v>
      </c>
      <c r="E110" s="273">
        <v>773093</v>
      </c>
      <c r="F110" s="273">
        <v>775729</v>
      </c>
      <c r="G110" s="273">
        <v>636039</v>
      </c>
      <c r="H110" s="273">
        <v>682252</v>
      </c>
      <c r="I110" s="273">
        <v>577739</v>
      </c>
      <c r="J110" s="273">
        <v>874475</v>
      </c>
      <c r="K110" s="273">
        <v>917334</v>
      </c>
      <c r="L110" s="273">
        <v>833939</v>
      </c>
      <c r="M110" s="273">
        <v>843321</v>
      </c>
      <c r="N110" s="273">
        <v>1042535</v>
      </c>
      <c r="O110" s="273">
        <v>960363</v>
      </c>
      <c r="P110" s="273">
        <v>948825</v>
      </c>
      <c r="Q110" s="273">
        <v>870838</v>
      </c>
      <c r="R110" s="273">
        <v>702947</v>
      </c>
      <c r="S110" s="273">
        <v>3982930</v>
      </c>
      <c r="T110" s="273">
        <v>4212002</v>
      </c>
      <c r="U110" s="273">
        <v>921060</v>
      </c>
      <c r="V110" s="273">
        <v>586428</v>
      </c>
      <c r="W110" s="273">
        <v>795095</v>
      </c>
      <c r="X110" s="273">
        <v>1588358</v>
      </c>
    </row>
    <row r="111" spans="1:24" ht="14.25" thickBot="1" x14ac:dyDescent="0.3">
      <c r="A111" s="225" t="s">
        <v>24</v>
      </c>
      <c r="B111" s="275">
        <v>10970305</v>
      </c>
      <c r="C111" s="275">
        <v>12727867</v>
      </c>
      <c r="D111" s="275">
        <v>13125202</v>
      </c>
      <c r="E111" s="275">
        <v>15412672</v>
      </c>
      <c r="F111" s="275">
        <v>14498060</v>
      </c>
      <c r="G111" s="275">
        <v>16927480</v>
      </c>
      <c r="H111" s="275">
        <v>17531690</v>
      </c>
      <c r="I111" s="275">
        <v>17385420</v>
      </c>
      <c r="J111" s="275">
        <v>19272066</v>
      </c>
      <c r="K111" s="275">
        <v>21254926</v>
      </c>
      <c r="L111" s="275">
        <v>22648225</v>
      </c>
      <c r="M111" s="275">
        <v>23078336</v>
      </c>
      <c r="N111" s="275">
        <v>24200723</v>
      </c>
      <c r="O111" s="275">
        <v>25479413</v>
      </c>
      <c r="P111" s="275">
        <v>30120466</v>
      </c>
      <c r="Q111" s="275">
        <v>30413161</v>
      </c>
      <c r="R111" s="275">
        <v>23823542</v>
      </c>
      <c r="S111" s="275">
        <v>27280311</v>
      </c>
      <c r="T111" s="275">
        <v>32093236</v>
      </c>
      <c r="U111" s="275">
        <v>27799554</v>
      </c>
      <c r="V111" s="275">
        <v>21176448</v>
      </c>
      <c r="W111" s="275">
        <v>23957401</v>
      </c>
      <c r="X111" s="275">
        <v>26928418</v>
      </c>
    </row>
    <row r="112" spans="1:24" ht="14.25" thickBot="1" x14ac:dyDescent="0.3">
      <c r="A112" s="224" t="s">
        <v>25</v>
      </c>
      <c r="B112" s="273">
        <v>77172</v>
      </c>
      <c r="C112" s="273">
        <v>77690</v>
      </c>
      <c r="D112" s="273">
        <v>54458</v>
      </c>
      <c r="E112" s="273">
        <v>54313</v>
      </c>
      <c r="F112" s="273">
        <v>54831</v>
      </c>
      <c r="G112" s="273">
        <v>55002</v>
      </c>
      <c r="H112" s="273">
        <v>54687</v>
      </c>
      <c r="I112" s="273">
        <v>54883</v>
      </c>
      <c r="J112" s="273">
        <v>50699</v>
      </c>
      <c r="K112" s="273">
        <v>46389</v>
      </c>
      <c r="L112" s="273">
        <v>46676</v>
      </c>
      <c r="M112" s="273">
        <v>292916</v>
      </c>
      <c r="N112" s="273">
        <v>315807</v>
      </c>
      <c r="O112" s="273">
        <v>315185</v>
      </c>
      <c r="P112" s="273">
        <v>319061</v>
      </c>
      <c r="Q112" s="273">
        <v>584430</v>
      </c>
      <c r="R112" s="273">
        <v>636038</v>
      </c>
      <c r="S112" s="273">
        <v>545819</v>
      </c>
      <c r="T112" s="273">
        <v>730803</v>
      </c>
      <c r="U112" s="273">
        <v>887801</v>
      </c>
      <c r="V112" s="273">
        <v>910470</v>
      </c>
      <c r="W112" s="273">
        <v>1000913</v>
      </c>
      <c r="X112" s="273">
        <v>950288</v>
      </c>
    </row>
    <row r="113" spans="1:24" ht="14.25" thickBot="1" x14ac:dyDescent="0.3">
      <c r="A113" s="225" t="s">
        <v>26</v>
      </c>
      <c r="B113" s="275">
        <v>3778674</v>
      </c>
      <c r="C113" s="275">
        <v>3799471</v>
      </c>
      <c r="D113" s="275">
        <v>3740209</v>
      </c>
      <c r="E113" s="275">
        <v>3822324</v>
      </c>
      <c r="F113" s="275">
        <v>3805674</v>
      </c>
      <c r="G113" s="275">
        <v>3759693</v>
      </c>
      <c r="H113" s="275">
        <v>3512348</v>
      </c>
      <c r="I113" s="275">
        <v>3389048</v>
      </c>
      <c r="J113" s="275">
        <v>3479179</v>
      </c>
      <c r="K113" s="275">
        <v>3310888</v>
      </c>
      <c r="L113" s="275">
        <v>3337993</v>
      </c>
      <c r="M113" s="275">
        <v>3935145</v>
      </c>
      <c r="N113" s="275">
        <v>5016110</v>
      </c>
      <c r="O113" s="275">
        <v>5583112</v>
      </c>
      <c r="P113" s="275">
        <v>6129265</v>
      </c>
      <c r="Q113" s="275">
        <v>6284023</v>
      </c>
      <c r="R113" s="275">
        <v>6399999</v>
      </c>
      <c r="S113" s="275">
        <v>5107488</v>
      </c>
      <c r="T113" s="275">
        <v>4760409</v>
      </c>
      <c r="U113" s="275">
        <v>4717422</v>
      </c>
      <c r="V113" s="275">
        <v>4369909</v>
      </c>
      <c r="W113" s="275">
        <v>4443605</v>
      </c>
      <c r="X113" s="275">
        <v>4535046</v>
      </c>
    </row>
    <row r="114" spans="1:24" ht="14.25" thickBot="1" x14ac:dyDescent="0.3">
      <c r="A114" s="224" t="s">
        <v>27</v>
      </c>
      <c r="B114" s="273">
        <v>737960</v>
      </c>
      <c r="C114" s="273">
        <v>714554</v>
      </c>
      <c r="D114" s="273">
        <v>701643</v>
      </c>
      <c r="E114" s="273">
        <v>700568</v>
      </c>
      <c r="F114" s="273">
        <v>743870</v>
      </c>
      <c r="G114" s="273">
        <v>752100</v>
      </c>
      <c r="H114" s="273">
        <v>722293</v>
      </c>
      <c r="I114" s="273">
        <v>761571</v>
      </c>
      <c r="J114" s="273">
        <v>3743617</v>
      </c>
      <c r="K114" s="273">
        <v>3686491</v>
      </c>
      <c r="L114" s="273">
        <v>3636246</v>
      </c>
      <c r="M114" s="273">
        <v>3717376</v>
      </c>
      <c r="N114" s="273">
        <v>4386313</v>
      </c>
      <c r="O114" s="273">
        <v>4449804</v>
      </c>
      <c r="P114" s="273">
        <v>4390992</v>
      </c>
      <c r="Q114" s="273">
        <v>4450119</v>
      </c>
      <c r="R114" s="273">
        <v>4199012</v>
      </c>
      <c r="S114" s="273">
        <v>3482749</v>
      </c>
      <c r="T114" s="273">
        <v>3656476</v>
      </c>
      <c r="U114" s="273">
        <v>3717272</v>
      </c>
      <c r="V114" s="273">
        <v>3653848</v>
      </c>
      <c r="W114" s="273">
        <v>3756880</v>
      </c>
      <c r="X114" s="273">
        <v>3791919</v>
      </c>
    </row>
    <row r="115" spans="1:24" ht="14.25" thickBot="1" x14ac:dyDescent="0.3">
      <c r="A115" s="225" t="s">
        <v>265</v>
      </c>
      <c r="B115" s="276">
        <v>15564111</v>
      </c>
      <c r="C115" s="276">
        <v>17319582</v>
      </c>
      <c r="D115" s="276">
        <v>17621512</v>
      </c>
      <c r="E115" s="276">
        <v>19989877</v>
      </c>
      <c r="F115" s="276">
        <v>19102435</v>
      </c>
      <c r="G115" s="276">
        <v>21494275</v>
      </c>
      <c r="H115" s="276">
        <v>21821018</v>
      </c>
      <c r="I115" s="276">
        <v>21590922</v>
      </c>
      <c r="J115" s="276">
        <v>26545561</v>
      </c>
      <c r="K115" s="276">
        <v>28298694</v>
      </c>
      <c r="L115" s="276">
        <v>29669140</v>
      </c>
      <c r="M115" s="276">
        <v>31023773</v>
      </c>
      <c r="N115" s="276">
        <v>33918953</v>
      </c>
      <c r="O115" s="276">
        <v>35827514</v>
      </c>
      <c r="P115" s="276">
        <v>40959784</v>
      </c>
      <c r="Q115" s="276">
        <v>41731733</v>
      </c>
      <c r="R115" s="276">
        <v>35058591</v>
      </c>
      <c r="S115" s="276">
        <v>36416367</v>
      </c>
      <c r="T115" s="276">
        <v>41240924</v>
      </c>
      <c r="U115" s="276">
        <v>37122049</v>
      </c>
      <c r="V115" s="276">
        <v>30110675</v>
      </c>
      <c r="W115" s="276">
        <v>33158799</v>
      </c>
      <c r="X115" s="276">
        <v>36205671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273">
        <v>657250</v>
      </c>
      <c r="G118" s="273">
        <v>1746960</v>
      </c>
      <c r="H118" s="273">
        <v>2610960</v>
      </c>
      <c r="I118" s="273">
        <v>658900</v>
      </c>
      <c r="J118" s="273">
        <v>2925909</v>
      </c>
      <c r="K118" s="273">
        <v>3159024</v>
      </c>
      <c r="L118" s="273">
        <v>3207954</v>
      </c>
      <c r="M118" s="273">
        <v>2148800</v>
      </c>
      <c r="N118" s="273">
        <v>4208913</v>
      </c>
      <c r="O118" s="273">
        <v>4369069</v>
      </c>
      <c r="P118" s="273">
        <v>4086918</v>
      </c>
      <c r="Q118" s="273">
        <v>1350569</v>
      </c>
      <c r="R118" s="273">
        <v>2875356</v>
      </c>
      <c r="S118" s="273">
        <v>1808016</v>
      </c>
      <c r="T118" s="273">
        <v>2892208</v>
      </c>
      <c r="U118" s="68">
        <v>0</v>
      </c>
      <c r="V118" s="68">
        <v>0</v>
      </c>
      <c r="W118" s="273">
        <v>547848</v>
      </c>
      <c r="X118" s="273">
        <v>1983274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7245926</v>
      </c>
      <c r="C120" s="273">
        <v>8589066</v>
      </c>
      <c r="D120" s="273">
        <v>8442714</v>
      </c>
      <c r="E120" s="273">
        <v>9542380</v>
      </c>
      <c r="F120" s="273">
        <v>8188493</v>
      </c>
      <c r="G120" s="273">
        <v>8802416</v>
      </c>
      <c r="H120" s="273">
        <v>8862637</v>
      </c>
      <c r="I120" s="273">
        <v>10446627</v>
      </c>
      <c r="J120" s="273">
        <v>9687112</v>
      </c>
      <c r="K120" s="273">
        <v>10648639</v>
      </c>
      <c r="L120" s="273">
        <v>11503295</v>
      </c>
      <c r="M120" s="273">
        <v>12613211</v>
      </c>
      <c r="N120" s="273">
        <v>11706582</v>
      </c>
      <c r="O120" s="273">
        <v>12106191</v>
      </c>
      <c r="P120" s="273">
        <v>16452740</v>
      </c>
      <c r="Q120" s="273">
        <v>18723930</v>
      </c>
      <c r="R120" s="273">
        <v>11340015</v>
      </c>
      <c r="S120" s="273">
        <v>12581552</v>
      </c>
      <c r="T120" s="273">
        <v>16157807</v>
      </c>
      <c r="U120" s="273">
        <v>16892918</v>
      </c>
      <c r="V120" s="273">
        <v>11267072</v>
      </c>
      <c r="W120" s="273">
        <v>12637118</v>
      </c>
      <c r="X120" s="273">
        <v>14385648</v>
      </c>
    </row>
    <row r="121" spans="1:24" ht="14.25" thickBot="1" x14ac:dyDescent="0.3">
      <c r="A121" s="225" t="s">
        <v>267</v>
      </c>
      <c r="B121" s="275">
        <v>211332</v>
      </c>
      <c r="C121" s="275">
        <v>154985</v>
      </c>
      <c r="D121" s="275">
        <v>296447</v>
      </c>
      <c r="E121" s="275">
        <v>270079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273">
        <v>600000</v>
      </c>
      <c r="K122" s="273">
        <v>600000</v>
      </c>
      <c r="L122" s="273">
        <v>600000</v>
      </c>
      <c r="M122" s="273">
        <v>600000</v>
      </c>
      <c r="N122" s="273">
        <v>603943</v>
      </c>
      <c r="O122" s="273">
        <v>625544</v>
      </c>
      <c r="P122" s="273">
        <v>679709</v>
      </c>
      <c r="Q122" s="273">
        <v>622347</v>
      </c>
      <c r="R122" s="273">
        <v>808675</v>
      </c>
      <c r="S122" s="273">
        <v>715556</v>
      </c>
      <c r="T122" s="273">
        <v>715555</v>
      </c>
      <c r="U122" s="273">
        <v>382222</v>
      </c>
      <c r="V122" s="273">
        <v>215556</v>
      </c>
      <c r="W122" s="273">
        <v>215556</v>
      </c>
      <c r="X122" s="273">
        <v>135555</v>
      </c>
    </row>
    <row r="123" spans="1:24" ht="14.25" thickBot="1" x14ac:dyDescent="0.3">
      <c r="A123" s="225" t="s">
        <v>31</v>
      </c>
      <c r="B123" s="275">
        <v>1963120</v>
      </c>
      <c r="C123" s="275">
        <v>2270102</v>
      </c>
      <c r="D123" s="275">
        <v>2394464</v>
      </c>
      <c r="E123" s="275">
        <v>2823332</v>
      </c>
      <c r="F123" s="275">
        <v>2550735</v>
      </c>
      <c r="G123" s="275">
        <v>3470484</v>
      </c>
      <c r="H123" s="275">
        <v>2694209</v>
      </c>
      <c r="I123" s="275">
        <v>2723248</v>
      </c>
      <c r="J123" s="275">
        <v>2777320</v>
      </c>
      <c r="K123" s="275">
        <v>3381199</v>
      </c>
      <c r="L123" s="275">
        <v>3410808</v>
      </c>
      <c r="M123" s="275">
        <v>3892746</v>
      </c>
      <c r="N123" s="275">
        <v>3413776</v>
      </c>
      <c r="O123" s="275">
        <v>4392663</v>
      </c>
      <c r="P123" s="275">
        <v>4835924</v>
      </c>
      <c r="Q123" s="275">
        <v>5458118</v>
      </c>
      <c r="R123" s="275">
        <v>4297749</v>
      </c>
      <c r="S123" s="275">
        <v>6381049</v>
      </c>
      <c r="T123" s="275">
        <v>6225280</v>
      </c>
      <c r="U123" s="275">
        <v>5526079</v>
      </c>
      <c r="V123" s="275">
        <v>4479250</v>
      </c>
      <c r="W123" s="275">
        <v>5986241</v>
      </c>
      <c r="X123" s="275">
        <v>5363516</v>
      </c>
    </row>
    <row r="124" spans="1:24" ht="14.25" thickBot="1" x14ac:dyDescent="0.3">
      <c r="A124" s="224" t="s">
        <v>268</v>
      </c>
      <c r="B124" s="273">
        <v>9420378</v>
      </c>
      <c r="C124" s="273">
        <v>11014153</v>
      </c>
      <c r="D124" s="273">
        <v>11133625</v>
      </c>
      <c r="E124" s="273">
        <v>12635791</v>
      </c>
      <c r="F124" s="273">
        <v>11396478</v>
      </c>
      <c r="G124" s="273">
        <v>14019860</v>
      </c>
      <c r="H124" s="273">
        <v>14167806</v>
      </c>
      <c r="I124" s="273">
        <v>13828775</v>
      </c>
      <c r="J124" s="273">
        <v>15990341</v>
      </c>
      <c r="K124" s="273">
        <v>17788862</v>
      </c>
      <c r="L124" s="273">
        <v>18722057</v>
      </c>
      <c r="M124" s="273">
        <v>19254757</v>
      </c>
      <c r="N124" s="273">
        <v>19933214</v>
      </c>
      <c r="O124" s="273">
        <v>21493467</v>
      </c>
      <c r="P124" s="273">
        <v>26055291</v>
      </c>
      <c r="Q124" s="273">
        <v>26154964</v>
      </c>
      <c r="R124" s="273">
        <v>19321795</v>
      </c>
      <c r="S124" s="273">
        <v>21486173</v>
      </c>
      <c r="T124" s="273">
        <v>25990850</v>
      </c>
      <c r="U124" s="273">
        <v>22801219</v>
      </c>
      <c r="V124" s="273">
        <v>15961878</v>
      </c>
      <c r="W124" s="273">
        <v>19386763</v>
      </c>
      <c r="X124" s="273">
        <v>21867993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110916</v>
      </c>
      <c r="G125" s="275">
        <v>176081</v>
      </c>
      <c r="H125" s="275">
        <v>191895</v>
      </c>
      <c r="I125" s="275">
        <v>220580</v>
      </c>
      <c r="J125" s="275">
        <v>1523395</v>
      </c>
      <c r="K125" s="275">
        <v>1501762</v>
      </c>
      <c r="L125" s="275">
        <v>1313773</v>
      </c>
      <c r="M125" s="275">
        <v>1460269</v>
      </c>
      <c r="N125" s="275">
        <v>2050866</v>
      </c>
      <c r="O125" s="275">
        <v>2837327</v>
      </c>
      <c r="P125" s="275">
        <v>2612845</v>
      </c>
      <c r="Q125" s="275">
        <v>2660184</v>
      </c>
      <c r="R125" s="275">
        <v>2455932</v>
      </c>
      <c r="S125" s="275">
        <v>2283387</v>
      </c>
      <c r="T125" s="275">
        <v>2064607</v>
      </c>
      <c r="U125" s="275">
        <v>2076372</v>
      </c>
      <c r="V125" s="275">
        <v>1881498</v>
      </c>
      <c r="W125" s="275">
        <v>1833077</v>
      </c>
      <c r="X125" s="275">
        <v>1631380</v>
      </c>
    </row>
    <row r="126" spans="1:24" ht="14.25" thickBot="1" x14ac:dyDescent="0.3">
      <c r="A126" s="224" t="s">
        <v>33</v>
      </c>
      <c r="B126" s="273">
        <v>1002957</v>
      </c>
      <c r="C126" s="273">
        <v>971095</v>
      </c>
      <c r="D126" s="273">
        <v>940804</v>
      </c>
      <c r="E126" s="273">
        <v>917667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10423335</v>
      </c>
      <c r="C127" s="275">
        <v>11985248</v>
      </c>
      <c r="D127" s="275">
        <v>12074429</v>
      </c>
      <c r="E127" s="275">
        <v>13553458</v>
      </c>
      <c r="F127" s="275">
        <v>11507394</v>
      </c>
      <c r="G127" s="275">
        <v>14195941</v>
      </c>
      <c r="H127" s="275">
        <v>14359701</v>
      </c>
      <c r="I127" s="275">
        <v>14049355</v>
      </c>
      <c r="J127" s="275">
        <v>17513736</v>
      </c>
      <c r="K127" s="275">
        <v>19290624</v>
      </c>
      <c r="L127" s="275">
        <v>20035830</v>
      </c>
      <c r="M127" s="275">
        <v>20715026</v>
      </c>
      <c r="N127" s="275">
        <v>21984080</v>
      </c>
      <c r="O127" s="275">
        <v>24330794</v>
      </c>
      <c r="P127" s="275">
        <v>28668136</v>
      </c>
      <c r="Q127" s="275">
        <v>28815148</v>
      </c>
      <c r="R127" s="275">
        <v>21777727</v>
      </c>
      <c r="S127" s="275">
        <v>23769560</v>
      </c>
      <c r="T127" s="275">
        <v>28055457</v>
      </c>
      <c r="U127" s="275">
        <v>24877591</v>
      </c>
      <c r="V127" s="275">
        <v>17843376</v>
      </c>
      <c r="W127" s="275">
        <v>21219840</v>
      </c>
      <c r="X127" s="275">
        <v>23499373</v>
      </c>
    </row>
    <row r="128" spans="1:24" ht="14.25" thickBot="1" x14ac:dyDescent="0.3">
      <c r="A128" s="224" t="s">
        <v>34</v>
      </c>
      <c r="B128" s="273">
        <v>5140776</v>
      </c>
      <c r="C128" s="273">
        <v>5334334</v>
      </c>
      <c r="D128" s="273">
        <v>5547083</v>
      </c>
      <c r="E128" s="273">
        <v>6436419</v>
      </c>
      <c r="F128" s="273">
        <v>7595041</v>
      </c>
      <c r="G128" s="273">
        <v>7298334</v>
      </c>
      <c r="H128" s="273">
        <v>7461317</v>
      </c>
      <c r="I128" s="273">
        <v>7541567</v>
      </c>
      <c r="J128" s="273">
        <v>9031825</v>
      </c>
      <c r="K128" s="273">
        <v>9008070</v>
      </c>
      <c r="L128" s="273">
        <v>9633310</v>
      </c>
      <c r="M128" s="273">
        <v>10308747</v>
      </c>
      <c r="N128" s="273">
        <v>11934873</v>
      </c>
      <c r="O128" s="273">
        <v>11496720</v>
      </c>
      <c r="P128" s="273">
        <v>12291648</v>
      </c>
      <c r="Q128" s="273">
        <v>12916585</v>
      </c>
      <c r="R128" s="273">
        <v>13280864</v>
      </c>
      <c r="S128" s="273">
        <v>12646807</v>
      </c>
      <c r="T128" s="273">
        <v>13185467</v>
      </c>
      <c r="U128" s="273">
        <v>12244458</v>
      </c>
      <c r="V128" s="273">
        <v>12267299</v>
      </c>
      <c r="W128" s="273">
        <v>11938959</v>
      </c>
      <c r="X128" s="273">
        <v>12706298</v>
      </c>
    </row>
    <row r="129" spans="1:24" ht="14.25" thickBot="1" x14ac:dyDescent="0.3">
      <c r="A129" s="225" t="s">
        <v>35</v>
      </c>
      <c r="B129" s="276">
        <v>15564111</v>
      </c>
      <c r="C129" s="276">
        <v>17319582</v>
      </c>
      <c r="D129" s="276">
        <v>17621512</v>
      </c>
      <c r="E129" s="276">
        <v>19989877</v>
      </c>
      <c r="F129" s="276">
        <v>19102435</v>
      </c>
      <c r="G129" s="276">
        <v>21494275</v>
      </c>
      <c r="H129" s="276">
        <v>21821018</v>
      </c>
      <c r="I129" s="276">
        <v>21590922</v>
      </c>
      <c r="J129" s="276">
        <v>26545561</v>
      </c>
      <c r="K129" s="276">
        <v>28298694</v>
      </c>
      <c r="L129" s="276">
        <v>29669140</v>
      </c>
      <c r="M129" s="276">
        <v>31023773</v>
      </c>
      <c r="N129" s="276">
        <v>33918953</v>
      </c>
      <c r="O129" s="276">
        <v>35827514</v>
      </c>
      <c r="P129" s="276">
        <v>40959784</v>
      </c>
      <c r="Q129" s="276">
        <v>41731733</v>
      </c>
      <c r="R129" s="276">
        <v>35058591</v>
      </c>
      <c r="S129" s="276">
        <v>36416367</v>
      </c>
      <c r="T129" s="276">
        <v>41240924</v>
      </c>
      <c r="U129" s="276">
        <v>37122049</v>
      </c>
      <c r="V129" s="276">
        <v>30110675</v>
      </c>
      <c r="W129" s="276">
        <v>33158799</v>
      </c>
      <c r="X129" s="276">
        <v>36205671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3.43</v>
      </c>
      <c r="C132" s="68">
        <v>6.93</v>
      </c>
      <c r="D132" s="68">
        <v>7.78</v>
      </c>
      <c r="E132" s="68">
        <v>11.54</v>
      </c>
      <c r="F132" s="68">
        <v>5.19</v>
      </c>
    </row>
    <row r="133" spans="1:24" ht="14.25" thickBot="1" x14ac:dyDescent="0.3">
      <c r="A133" s="225" t="s">
        <v>37</v>
      </c>
      <c r="B133" s="274">
        <v>-2.33</v>
      </c>
      <c r="C133" s="274">
        <v>-1.67</v>
      </c>
      <c r="D133" s="274">
        <v>-8.7200000000000006</v>
      </c>
      <c r="E133" s="274">
        <v>-4.54</v>
      </c>
      <c r="F133" s="274">
        <v>-1.67</v>
      </c>
    </row>
    <row r="134" spans="1:24" ht="14.25" thickBot="1" x14ac:dyDescent="0.3">
      <c r="A134" s="224" t="s">
        <v>38</v>
      </c>
      <c r="B134" s="68">
        <v>0.97</v>
      </c>
      <c r="C134" s="68">
        <v>0.2</v>
      </c>
      <c r="D134" s="68">
        <v>5.29</v>
      </c>
      <c r="E134" s="68">
        <v>-5.12</v>
      </c>
      <c r="F134" s="68">
        <v>-5.95</v>
      </c>
    </row>
    <row r="135" spans="1:24" ht="14.25" thickBot="1" x14ac:dyDescent="0.3">
      <c r="A135" s="225" t="s">
        <v>270</v>
      </c>
      <c r="B135" s="274">
        <v>1.1000000000000001</v>
      </c>
      <c r="C135" s="274">
        <v>5.26</v>
      </c>
      <c r="D135" s="274">
        <v>-0.93</v>
      </c>
      <c r="E135" s="274">
        <v>7.01</v>
      </c>
      <c r="F135" s="274">
        <v>3.53</v>
      </c>
    </row>
    <row r="136" spans="1:24" ht="14.25" thickBot="1" x14ac:dyDescent="0.3">
      <c r="A136" s="229" t="s">
        <v>39</v>
      </c>
      <c r="B136" s="72">
        <v>2.0699999999999998</v>
      </c>
      <c r="C136" s="72">
        <v>5.46</v>
      </c>
      <c r="D136" s="72">
        <v>4.3600000000000003</v>
      </c>
      <c r="E136" s="72">
        <v>1.88</v>
      </c>
      <c r="F136" s="72">
        <v>-2.42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1.5</v>
      </c>
      <c r="C140" s="68">
        <v>0.8</v>
      </c>
      <c r="D140" s="68">
        <v>1.8</v>
      </c>
      <c r="E140" s="68">
        <v>2.1</v>
      </c>
      <c r="F140" s="68">
        <v>2.5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0.48231511254019294</v>
      </c>
      <c r="C142" s="234">
        <f>IF(C140&lt;&gt;"無",IF(ISNA(HLOOKUP(C139,$B$64:$F$69,6,FALSE)),"",C140/HLOOKUP(C139,$B$64:$F$69,6,FALSE)),"")</f>
        <v>0.51282051282051289</v>
      </c>
      <c r="D142" s="234">
        <f>IF(D140&lt;&gt;"無",IF(ISNA(HLOOKUP(D139,$B$64:$F$69,6,FALSE)),"",D140/HLOOKUP(D139,$B$64:$F$69,6,FALSE)),"")</f>
        <v>0.50420168067226889</v>
      </c>
      <c r="E142" s="234">
        <f>IF(E140&lt;&gt;"無",IF(ISNA(HLOOKUP(E139,$B$64:$F$69,6,FALSE)),"",E140/HLOOKUP(E139,$B$64:$F$69,6,FALSE)),"")</f>
        <v>0.51597051597051591</v>
      </c>
      <c r="F142" s="234">
        <f>IF(F140&lt;&gt;"無",IF(ISNA(HLOOKUP(F139,$B$64:$F$69,6,FALSE)),"",F140/HLOOKUP(F139,$B$64:$F$69,6,FALSE)),"")</f>
        <v>0.56818181818181812</v>
      </c>
    </row>
    <row r="143" spans="1:24" x14ac:dyDescent="0.25">
      <c r="A143" s="233" t="s">
        <v>216</v>
      </c>
      <c r="B143" s="234">
        <f>IF(OR(B140=0,B140="無"),"",B135/B140)</f>
        <v>0.73333333333333339</v>
      </c>
      <c r="C143" s="234">
        <f>IF(OR(C140=0,C140="無"),"",C135/C140)</f>
        <v>6.5749999999999993</v>
      </c>
      <c r="D143" s="234">
        <f>IF(OR(D140=0,D140="無"),"",D135/D140)</f>
        <v>-0.51666666666666672</v>
      </c>
      <c r="E143" s="234">
        <f>IF(OR(E140=0,E140="無"),"",E135/E140)</f>
        <v>3.3380952380952378</v>
      </c>
      <c r="F143" s="234">
        <f>IF(OR(F140=0,F140="無"),"",F135/F140)</f>
        <v>1.4119999999999999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10.82</v>
      </c>
      <c r="C146" s="68">
        <v>9.5</v>
      </c>
      <c r="D146" s="68">
        <v>9.59</v>
      </c>
      <c r="E146" s="68">
        <v>11.73</v>
      </c>
      <c r="F146" s="68">
        <v>9.17</v>
      </c>
      <c r="G146" s="68">
        <v>10.06</v>
      </c>
      <c r="H146" s="68">
        <v>10.47</v>
      </c>
      <c r="I146" s="68">
        <v>5.96</v>
      </c>
      <c r="J146" s="68">
        <v>12.28</v>
      </c>
      <c r="K146" s="68">
        <v>11.65</v>
      </c>
      <c r="L146" s="68">
        <v>11.94</v>
      </c>
      <c r="M146" s="68">
        <v>11.81</v>
      </c>
      <c r="N146" s="68">
        <v>11.05</v>
      </c>
      <c r="O146" s="68">
        <v>10.63</v>
      </c>
      <c r="P146" s="68">
        <v>11.16</v>
      </c>
      <c r="Q146" s="68">
        <v>11.39</v>
      </c>
      <c r="R146" s="68">
        <v>11.18</v>
      </c>
      <c r="S146" s="68">
        <v>10.47</v>
      </c>
      <c r="T146" s="68">
        <v>11.86</v>
      </c>
      <c r="U146" s="68">
        <v>12</v>
      </c>
      <c r="V146" s="68">
        <v>12.54</v>
      </c>
      <c r="W146" s="68">
        <v>12.89</v>
      </c>
      <c r="X146" s="68">
        <v>13.21</v>
      </c>
    </row>
    <row r="147" spans="1:24" s="93" customFormat="1" ht="14.25" thickBot="1" x14ac:dyDescent="0.3">
      <c r="A147" s="225" t="s">
        <v>19</v>
      </c>
      <c r="B147" s="274">
        <v>3.25</v>
      </c>
      <c r="C147" s="274">
        <v>3.54</v>
      </c>
      <c r="D147" s="274">
        <v>2.4300000000000002</v>
      </c>
      <c r="E147" s="274">
        <v>4.33</v>
      </c>
      <c r="F147" s="274">
        <v>2.37</v>
      </c>
      <c r="G147" s="274">
        <v>2.2599999999999998</v>
      </c>
      <c r="H147" s="274">
        <v>2.5099999999999998</v>
      </c>
      <c r="I147" s="274">
        <v>-0.44</v>
      </c>
      <c r="J147" s="274">
        <v>4.29</v>
      </c>
      <c r="K147" s="274">
        <v>3.59</v>
      </c>
      <c r="L147" s="274">
        <v>3.83</v>
      </c>
      <c r="M147" s="274">
        <v>2.4</v>
      </c>
      <c r="N147" s="274">
        <v>2.88</v>
      </c>
      <c r="O147" s="274">
        <v>2.7</v>
      </c>
      <c r="P147" s="274">
        <v>3.61</v>
      </c>
      <c r="Q147" s="274">
        <v>3.77</v>
      </c>
      <c r="R147" s="274">
        <v>3.3</v>
      </c>
      <c r="S147" s="274">
        <v>2.84</v>
      </c>
      <c r="T147" s="274">
        <v>4.5599999999999996</v>
      </c>
      <c r="U147" s="274">
        <v>4.05</v>
      </c>
      <c r="V147" s="274">
        <v>4.1399999999999997</v>
      </c>
      <c r="W147" s="274">
        <v>4.28</v>
      </c>
      <c r="X147" s="274">
        <v>4</v>
      </c>
    </row>
    <row r="148" spans="1:24" s="93" customFormat="1" ht="14.25" thickBot="1" x14ac:dyDescent="0.3">
      <c r="A148" s="224" t="s">
        <v>41</v>
      </c>
      <c r="B148" s="68">
        <v>3.6</v>
      </c>
      <c r="C148" s="68">
        <v>4.18</v>
      </c>
      <c r="D148" s="68">
        <v>3.35</v>
      </c>
      <c r="E148" s="68">
        <v>4.07</v>
      </c>
      <c r="F148" s="68">
        <v>2.87</v>
      </c>
      <c r="G148" s="68">
        <v>3.27</v>
      </c>
      <c r="H148" s="68">
        <v>2.78</v>
      </c>
      <c r="I148" s="68">
        <v>-0.16</v>
      </c>
      <c r="J148" s="68">
        <v>3.85</v>
      </c>
      <c r="K148" s="68">
        <v>4.04</v>
      </c>
      <c r="L148" s="68">
        <v>4.6100000000000003</v>
      </c>
      <c r="M148" s="68">
        <v>3.17</v>
      </c>
      <c r="N148" s="68">
        <v>3.79</v>
      </c>
      <c r="O148" s="68">
        <v>3.33</v>
      </c>
      <c r="P148" s="68">
        <v>4.28</v>
      </c>
      <c r="Q148" s="68">
        <v>3.61</v>
      </c>
      <c r="R148" s="68">
        <v>4.7</v>
      </c>
      <c r="S148" s="68">
        <v>4.0199999999999996</v>
      </c>
      <c r="T148" s="68">
        <v>4.3099999999999996</v>
      </c>
      <c r="U148" s="68">
        <v>4.41</v>
      </c>
      <c r="V148" s="68">
        <v>4.58</v>
      </c>
      <c r="W148" s="68">
        <v>4.91</v>
      </c>
      <c r="X148" s="68">
        <v>5.94</v>
      </c>
    </row>
    <row r="149" spans="1:24" s="93" customFormat="1" ht="14.25" thickBot="1" x14ac:dyDescent="0.3">
      <c r="A149" s="225" t="s">
        <v>13</v>
      </c>
      <c r="B149" s="73">
        <v>3.05</v>
      </c>
      <c r="C149" s="73">
        <v>3.38</v>
      </c>
      <c r="D149" s="73">
        <v>2.4300000000000002</v>
      </c>
      <c r="E149" s="73">
        <v>2.75</v>
      </c>
      <c r="F149" s="73">
        <v>2.17</v>
      </c>
      <c r="G149" s="73">
        <v>2.48</v>
      </c>
      <c r="H149" s="73">
        <v>1.95</v>
      </c>
      <c r="I149" s="73">
        <v>-0.17</v>
      </c>
      <c r="J149" s="73">
        <v>2.98</v>
      </c>
      <c r="K149" s="73">
        <v>3.14</v>
      </c>
      <c r="L149" s="73">
        <v>3.65</v>
      </c>
      <c r="M149" s="73">
        <v>2.5299999999999998</v>
      </c>
      <c r="N149" s="73">
        <v>2.92</v>
      </c>
      <c r="O149" s="73">
        <v>2.68</v>
      </c>
      <c r="P149" s="73">
        <v>3.02</v>
      </c>
      <c r="Q149" s="73">
        <v>2.35</v>
      </c>
      <c r="R149" s="73">
        <v>3.14</v>
      </c>
      <c r="S149" s="73">
        <v>3.24</v>
      </c>
      <c r="T149" s="73">
        <v>3.43</v>
      </c>
      <c r="U149" s="73">
        <v>2.81</v>
      </c>
      <c r="V149" s="73">
        <v>3.51</v>
      </c>
      <c r="W149" s="73">
        <v>3.59</v>
      </c>
      <c r="X149" s="73">
        <v>4.28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10.43</v>
      </c>
      <c r="C152" s="68">
        <v>8.8699999999999992</v>
      </c>
      <c r="D152" s="68">
        <v>11.9</v>
      </c>
      <c r="E152" s="68">
        <v>10.89</v>
      </c>
      <c r="F152" s="68">
        <v>11.3</v>
      </c>
    </row>
    <row r="153" spans="1:24" s="93" customFormat="1" ht="14.25" thickBot="1" x14ac:dyDescent="0.3">
      <c r="A153" s="225" t="s">
        <v>19</v>
      </c>
      <c r="B153" s="274">
        <v>3.41</v>
      </c>
      <c r="C153" s="274">
        <v>1.64</v>
      </c>
      <c r="D153" s="274">
        <v>3.5</v>
      </c>
      <c r="E153" s="274">
        <v>3.31</v>
      </c>
      <c r="F153" s="274">
        <v>3.69</v>
      </c>
    </row>
    <row r="154" spans="1:24" s="93" customFormat="1" ht="14.25" thickBot="1" x14ac:dyDescent="0.3">
      <c r="A154" s="224" t="s">
        <v>41</v>
      </c>
      <c r="B154" s="68">
        <v>3.81</v>
      </c>
      <c r="C154" s="68">
        <v>2.15</v>
      </c>
      <c r="D154" s="68">
        <v>3.92</v>
      </c>
      <c r="E154" s="68">
        <v>3.77</v>
      </c>
      <c r="F154" s="68">
        <v>4.3</v>
      </c>
    </row>
    <row r="155" spans="1:24" s="93" customFormat="1" ht="14.25" thickBot="1" x14ac:dyDescent="0.3">
      <c r="A155" s="225" t="s">
        <v>13</v>
      </c>
      <c r="B155" s="73">
        <v>2.9</v>
      </c>
      <c r="C155" s="73">
        <v>1.58</v>
      </c>
      <c r="D155" s="73">
        <v>3.08</v>
      </c>
      <c r="E155" s="73">
        <v>2.77</v>
      </c>
      <c r="F155" s="73">
        <v>3.18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1.92</v>
      </c>
      <c r="C158" s="68">
        <v>2.23</v>
      </c>
      <c r="D158" s="68">
        <v>1.56</v>
      </c>
      <c r="E158" s="68">
        <v>1.72</v>
      </c>
      <c r="F158" s="68">
        <v>1.19</v>
      </c>
      <c r="G158" s="68">
        <v>1.28</v>
      </c>
      <c r="H158" s="68">
        <v>0.94</v>
      </c>
      <c r="I158" s="68">
        <v>-0.06</v>
      </c>
      <c r="J158" s="68">
        <v>1.5</v>
      </c>
      <c r="K158" s="68">
        <v>1.62</v>
      </c>
      <c r="L158" s="68">
        <v>1.76</v>
      </c>
      <c r="M158" s="68">
        <v>1.1399999999999999</v>
      </c>
      <c r="N158" s="68">
        <v>1.2</v>
      </c>
      <c r="O158" s="68">
        <v>1.1599999999999999</v>
      </c>
      <c r="P158" s="68">
        <v>1.56</v>
      </c>
      <c r="Q158" s="68">
        <v>1.3</v>
      </c>
      <c r="R158" s="68">
        <v>1.17</v>
      </c>
      <c r="S158" s="68">
        <v>1.45</v>
      </c>
      <c r="T158" s="68">
        <v>1.7</v>
      </c>
      <c r="U158" s="68">
        <v>1.27</v>
      </c>
      <c r="V158" s="68">
        <v>1.37</v>
      </c>
      <c r="W158" s="68">
        <v>1.58</v>
      </c>
      <c r="X158" s="68">
        <v>1.87</v>
      </c>
    </row>
    <row r="159" spans="1:24" s="93" customFormat="1" ht="14.25" thickBot="1" x14ac:dyDescent="0.3">
      <c r="A159" s="225" t="s">
        <v>45</v>
      </c>
      <c r="B159" s="73">
        <v>6.14</v>
      </c>
      <c r="C159" s="73">
        <v>6.87</v>
      </c>
      <c r="D159" s="73">
        <v>4.79</v>
      </c>
      <c r="E159" s="73">
        <v>5.37</v>
      </c>
      <c r="F159" s="73">
        <v>3.28</v>
      </c>
      <c r="G159" s="73">
        <v>3.43</v>
      </c>
      <c r="H159" s="73">
        <v>2.74</v>
      </c>
      <c r="I159" s="73">
        <v>-0.25</v>
      </c>
      <c r="J159" s="73">
        <v>4.17</v>
      </c>
      <c r="K159" s="73">
        <v>4.72</v>
      </c>
      <c r="L159" s="73">
        <v>5.34</v>
      </c>
      <c r="M159" s="73">
        <v>3.41</v>
      </c>
      <c r="N159" s="73">
        <v>3.4</v>
      </c>
      <c r="O159" s="73">
        <v>3.33</v>
      </c>
      <c r="P159" s="73">
        <v>4.5199999999999996</v>
      </c>
      <c r="Q159" s="73">
        <v>4.0599999999999996</v>
      </c>
      <c r="R159" s="73">
        <v>3.36</v>
      </c>
      <c r="S159" s="73">
        <v>3.72</v>
      </c>
      <c r="T159" s="73">
        <v>4.9000000000000004</v>
      </c>
      <c r="U159" s="73">
        <v>3.88</v>
      </c>
      <c r="V159" s="73">
        <v>3.69</v>
      </c>
      <c r="W159" s="73">
        <v>4.0999999999999996</v>
      </c>
      <c r="X159" s="73">
        <v>5.21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2.9</v>
      </c>
      <c r="C162" s="68">
        <v>1.58</v>
      </c>
      <c r="D162" s="68">
        <v>3.08</v>
      </c>
      <c r="E162" s="68">
        <v>2.77</v>
      </c>
      <c r="F162" s="68">
        <v>3.18</v>
      </c>
    </row>
    <row r="163" spans="1:72" s="93" customFormat="1" ht="14.25" thickBot="1" x14ac:dyDescent="0.3">
      <c r="A163" s="225" t="s">
        <v>18</v>
      </c>
      <c r="B163" s="274">
        <v>2.16</v>
      </c>
      <c r="C163" s="274">
        <v>1.96</v>
      </c>
      <c r="D163" s="274">
        <v>1.68</v>
      </c>
      <c r="E163" s="274">
        <v>1.57</v>
      </c>
      <c r="F163" s="274">
        <v>1.73</v>
      </c>
    </row>
    <row r="164" spans="1:72" s="93" customFormat="1" ht="14.25" thickBot="1" x14ac:dyDescent="0.3">
      <c r="A164" s="224" t="s">
        <v>15</v>
      </c>
      <c r="B164" s="68">
        <v>3.11</v>
      </c>
      <c r="C164" s="68">
        <v>2.86</v>
      </c>
      <c r="D164" s="68">
        <v>3.01</v>
      </c>
      <c r="E164" s="68">
        <v>3.23</v>
      </c>
      <c r="F164" s="68">
        <v>3.03</v>
      </c>
    </row>
    <row r="165" spans="1:72" s="93" customFormat="1" ht="14.25" thickBot="1" x14ac:dyDescent="0.3">
      <c r="A165" s="225" t="s">
        <v>45</v>
      </c>
      <c r="B165" s="73">
        <v>22.07</v>
      </c>
      <c r="C165" s="73">
        <v>9.57</v>
      </c>
      <c r="D165" s="73">
        <v>18.03</v>
      </c>
      <c r="E165" s="73">
        <v>15.65</v>
      </c>
      <c r="F165" s="73">
        <v>16.28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39.47</v>
      </c>
      <c r="C168" s="68">
        <v>40</v>
      </c>
      <c r="D168" s="68">
        <v>49.45</v>
      </c>
      <c r="E168" s="68">
        <v>51.72</v>
      </c>
      <c r="F168" s="68">
        <v>58.44</v>
      </c>
      <c r="G168" s="68">
        <v>61.64</v>
      </c>
      <c r="H168" s="68">
        <v>65.22</v>
      </c>
      <c r="I168" s="68">
        <v>62.07</v>
      </c>
      <c r="J168" s="68">
        <v>60.4</v>
      </c>
      <c r="K168" s="68">
        <v>55.9</v>
      </c>
      <c r="L168" s="68">
        <v>64.290000000000006</v>
      </c>
      <c r="M168" s="68">
        <v>69.77</v>
      </c>
      <c r="N168" s="68">
        <v>72.58</v>
      </c>
      <c r="O168" s="68">
        <v>67.67</v>
      </c>
      <c r="P168" s="68">
        <v>63.83</v>
      </c>
      <c r="Q168" s="68">
        <v>58.44</v>
      </c>
      <c r="R168" s="68">
        <v>82.57</v>
      </c>
      <c r="S168" s="68">
        <v>68.7</v>
      </c>
      <c r="T168" s="68">
        <v>63.83</v>
      </c>
      <c r="U168" s="68">
        <v>72.58</v>
      </c>
      <c r="V168" s="68">
        <v>83.33</v>
      </c>
      <c r="W168" s="68">
        <v>70.31</v>
      </c>
      <c r="X168" s="68">
        <v>71.430000000000007</v>
      </c>
    </row>
    <row r="169" spans="1:72" s="93" customFormat="1" ht="14.25" thickBot="1" x14ac:dyDescent="0.3">
      <c r="A169" s="225" t="s">
        <v>17</v>
      </c>
      <c r="B169" s="274">
        <v>51.14</v>
      </c>
      <c r="C169" s="274">
        <v>41.28</v>
      </c>
      <c r="D169" s="274">
        <v>40.54</v>
      </c>
      <c r="E169" s="274">
        <v>40.909999999999997</v>
      </c>
      <c r="F169" s="274">
        <v>42.86</v>
      </c>
      <c r="G169" s="274">
        <v>40.909999999999997</v>
      </c>
      <c r="H169" s="274">
        <v>42.45</v>
      </c>
      <c r="I169" s="274">
        <v>37.19</v>
      </c>
      <c r="J169" s="274">
        <v>37.97</v>
      </c>
      <c r="K169" s="274">
        <v>34.090000000000003</v>
      </c>
      <c r="L169" s="274">
        <v>35.159999999999997</v>
      </c>
      <c r="M169" s="274">
        <v>36</v>
      </c>
      <c r="N169" s="274">
        <v>40.36</v>
      </c>
      <c r="O169" s="274">
        <v>39.130000000000003</v>
      </c>
      <c r="P169" s="274">
        <v>37.19</v>
      </c>
      <c r="Q169" s="274">
        <v>34.090000000000003</v>
      </c>
      <c r="R169" s="274">
        <v>48.13</v>
      </c>
      <c r="S169" s="274">
        <v>40.36</v>
      </c>
      <c r="T169" s="274">
        <v>34.35</v>
      </c>
      <c r="U169" s="274">
        <v>38.299999999999997</v>
      </c>
      <c r="V169" s="274">
        <v>48.13</v>
      </c>
      <c r="W169" s="274">
        <v>42.65</v>
      </c>
      <c r="X169" s="274">
        <v>45.23</v>
      </c>
    </row>
    <row r="170" spans="1:72" s="93" customFormat="1" ht="14.25" thickBot="1" x14ac:dyDescent="0.3">
      <c r="A170" s="224" t="s">
        <v>42</v>
      </c>
      <c r="B170" s="72">
        <v>90.61</v>
      </c>
      <c r="C170" s="72">
        <v>81.28</v>
      </c>
      <c r="D170" s="72">
        <v>89.99</v>
      </c>
      <c r="E170" s="72">
        <v>92.63</v>
      </c>
      <c r="F170" s="72">
        <v>101.3</v>
      </c>
      <c r="G170" s="72">
        <v>102.55</v>
      </c>
      <c r="H170" s="72">
        <v>107.67</v>
      </c>
      <c r="I170" s="72">
        <v>99.26</v>
      </c>
      <c r="J170" s="72">
        <v>98.38</v>
      </c>
      <c r="K170" s="72">
        <v>89.99</v>
      </c>
      <c r="L170" s="72">
        <v>99.44</v>
      </c>
      <c r="M170" s="72">
        <v>105.77</v>
      </c>
      <c r="N170" s="72">
        <v>112.94</v>
      </c>
      <c r="O170" s="72">
        <v>106.8</v>
      </c>
      <c r="P170" s="72">
        <v>101.02</v>
      </c>
      <c r="Q170" s="72">
        <v>92.53</v>
      </c>
      <c r="R170" s="72">
        <v>130.69999999999999</v>
      </c>
      <c r="S170" s="72">
        <v>109.06</v>
      </c>
      <c r="T170" s="72">
        <v>98.18</v>
      </c>
      <c r="U170" s="72">
        <v>110.88</v>
      </c>
      <c r="V170" s="72">
        <v>131.46</v>
      </c>
      <c r="W170" s="72">
        <v>112.97</v>
      </c>
      <c r="X170" s="72">
        <v>116.65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111.51</v>
      </c>
      <c r="C173" s="72">
        <v>447.39</v>
      </c>
      <c r="D173" s="72">
        <v>208.47</v>
      </c>
      <c r="E173" s="72">
        <v>276.42</v>
      </c>
      <c r="F173" s="72">
        <v>111.44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 t="s">
        <v>43</v>
      </c>
      <c r="C176" s="72" t="s">
        <v>43</v>
      </c>
      <c r="D176" s="72" t="s">
        <v>43</v>
      </c>
      <c r="E176" s="72">
        <v>8.1199999999999992</v>
      </c>
      <c r="F176" s="72">
        <v>8.27</v>
      </c>
      <c r="G176" s="72">
        <v>8.41</v>
      </c>
      <c r="H176" s="72">
        <v>9.64</v>
      </c>
      <c r="I176" s="72">
        <v>9.81</v>
      </c>
      <c r="J176" s="72">
        <v>10.3</v>
      </c>
      <c r="K176" s="72">
        <v>9.76</v>
      </c>
      <c r="L176" s="72">
        <v>12.86</v>
      </c>
      <c r="M176" s="72">
        <v>12.94</v>
      </c>
      <c r="N176" s="72">
        <v>12.4</v>
      </c>
      <c r="O176" s="72">
        <v>12.32</v>
      </c>
      <c r="P176" s="72">
        <v>12.28</v>
      </c>
      <c r="Q176" s="72">
        <v>8.93</v>
      </c>
      <c r="R176" s="72">
        <v>9.9499999999999993</v>
      </c>
      <c r="S176" s="72">
        <v>9.57</v>
      </c>
      <c r="T176" s="72">
        <v>9.16</v>
      </c>
      <c r="U176" s="72">
        <v>9.5399999999999991</v>
      </c>
      <c r="V176" s="72">
        <v>9.2899999999999991</v>
      </c>
      <c r="W176" s="72">
        <v>9.8699999999999992</v>
      </c>
      <c r="X176" s="72">
        <v>10.77</v>
      </c>
      <c r="Y176" s="72">
        <v>11.23</v>
      </c>
      <c r="Z176" s="72">
        <v>11.62</v>
      </c>
      <c r="AA176" s="72">
        <v>11.39</v>
      </c>
      <c r="AB176" s="72">
        <v>19.03</v>
      </c>
      <c r="AC176" s="72">
        <v>23.17</v>
      </c>
      <c r="AD176" s="72">
        <v>20.86</v>
      </c>
      <c r="AE176" s="72">
        <v>24.56</v>
      </c>
      <c r="AF176" s="72">
        <v>27.18</v>
      </c>
      <c r="AG176" s="72">
        <v>20.89</v>
      </c>
      <c r="AH176" s="72">
        <v>17.760000000000002</v>
      </c>
      <c r="AI176" s="72">
        <v>16.12</v>
      </c>
      <c r="AJ176" s="72">
        <v>13.79</v>
      </c>
      <c r="AK176" s="72">
        <v>14.2</v>
      </c>
      <c r="AL176" s="72">
        <v>15.07</v>
      </c>
      <c r="AM176" s="72">
        <v>15.77</v>
      </c>
      <c r="AN176" s="72">
        <v>12.51</v>
      </c>
      <c r="AO176" s="72">
        <v>11.96</v>
      </c>
      <c r="AP176" s="72">
        <v>11.15</v>
      </c>
      <c r="AQ176" s="72">
        <v>10.63</v>
      </c>
      <c r="AR176" s="72">
        <v>10.6</v>
      </c>
      <c r="AS176" s="72">
        <v>10.199999999999999</v>
      </c>
      <c r="AT176" s="72">
        <v>11.57</v>
      </c>
      <c r="AU176" s="72">
        <v>12.22</v>
      </c>
      <c r="AV176" s="72">
        <v>11.42</v>
      </c>
      <c r="AW176" s="72">
        <v>11.53</v>
      </c>
      <c r="AX176" s="72">
        <v>10.34</v>
      </c>
      <c r="AY176" s="72">
        <v>10.52</v>
      </c>
      <c r="AZ176" s="72">
        <v>9.69</v>
      </c>
      <c r="BA176" s="72">
        <v>9.2799999999999994</v>
      </c>
      <c r="BB176" s="72">
        <v>9.2799999999999994</v>
      </c>
      <c r="BC176" s="72">
        <v>9.83</v>
      </c>
      <c r="BD176" s="72">
        <v>10.45</v>
      </c>
      <c r="BE176" s="72">
        <v>10.28</v>
      </c>
      <c r="BF176" s="72">
        <v>10.63</v>
      </c>
      <c r="BG176" s="72">
        <v>11.09</v>
      </c>
      <c r="BH176" s="72">
        <v>10.56</v>
      </c>
      <c r="BI176" s="72">
        <v>10.16</v>
      </c>
      <c r="BJ176" s="72">
        <v>10.050000000000001</v>
      </c>
      <c r="BK176" s="72">
        <v>10.48</v>
      </c>
      <c r="BL176" s="72">
        <v>11.13</v>
      </c>
      <c r="BM176" s="72">
        <v>11.19</v>
      </c>
      <c r="BN176" s="72">
        <v>12.55</v>
      </c>
      <c r="BO176" s="72">
        <v>13.69</v>
      </c>
      <c r="BP176" s="72">
        <v>14.15</v>
      </c>
      <c r="BQ176" s="72">
        <v>15.73</v>
      </c>
      <c r="BR176" s="72">
        <v>15.8</v>
      </c>
      <c r="BS176" s="72">
        <v>17.28</v>
      </c>
      <c r="BT176" s="72">
        <v>18.87</v>
      </c>
    </row>
  </sheetData>
  <phoneticPr fontId="3" type="noConversion"/>
  <conditionalFormatting sqref="E4">
    <cfRule type="cellIs" dxfId="3599" priority="101" operator="greaterThan">
      <formula>0.2</formula>
    </cfRule>
    <cfRule type="cellIs" dxfId="359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359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596" priority="95" operator="greaterThan">
      <formula>$B$19</formula>
    </cfRule>
  </conditionalFormatting>
  <conditionalFormatting sqref="D33:D34">
    <cfRule type="cellIs" dxfId="359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3594" priority="89" operator="lessThan">
      <formula>$H$62</formula>
    </cfRule>
    <cfRule type="cellIs" dxfId="3593" priority="90" operator="greaterThan">
      <formula>$H$62</formula>
    </cfRule>
  </conditionalFormatting>
  <conditionalFormatting sqref="J62">
    <cfRule type="cellIs" dxfId="3592" priority="87" operator="lessThan">
      <formula>$K$62</formula>
    </cfRule>
    <cfRule type="cellIs" dxfId="3591" priority="88" operator="greaterThan">
      <formula>$K$62</formula>
    </cfRule>
  </conditionalFormatting>
  <conditionalFormatting sqref="M62">
    <cfRule type="cellIs" dxfId="3590" priority="85" operator="lessThan">
      <formula>$N$62</formula>
    </cfRule>
    <cfRule type="cellIs" dxfId="3589" priority="86" operator="greaterThan">
      <formula>$N$62</formula>
    </cfRule>
  </conditionalFormatting>
  <conditionalFormatting sqref="B44:E44">
    <cfRule type="cellIs" dxfId="3588" priority="83" operator="greaterThan">
      <formula>0</formula>
    </cfRule>
    <cfRule type="cellIs" dxfId="3587" priority="84" operator="lessThan">
      <formula>0</formula>
    </cfRule>
  </conditionalFormatting>
  <conditionalFormatting sqref="F72">
    <cfRule type="cellIs" dxfId="3586" priority="82" operator="lessThan">
      <formula>$E$72*90%</formula>
    </cfRule>
  </conditionalFormatting>
  <conditionalFormatting sqref="F73">
    <cfRule type="cellIs" dxfId="3585" priority="81" operator="lessThan">
      <formula>$E$73*90%</formula>
    </cfRule>
  </conditionalFormatting>
  <conditionalFormatting sqref="F74">
    <cfRule type="cellIs" dxfId="3584" priority="80" operator="lessThan">
      <formula>$E$74*90%</formula>
    </cfRule>
  </conditionalFormatting>
  <conditionalFormatting sqref="F75">
    <cfRule type="cellIs" dxfId="3583" priority="79" operator="lessThan">
      <formula>$E$75*90%</formula>
    </cfRule>
  </conditionalFormatting>
  <conditionalFormatting sqref="H44:K44">
    <cfRule type="cellIs" dxfId="3582" priority="77" operator="greaterThan">
      <formula>0</formula>
    </cfRule>
    <cfRule type="cellIs" dxfId="3581" priority="78" operator="lessThan">
      <formula>0</formula>
    </cfRule>
  </conditionalFormatting>
  <conditionalFormatting sqref="H51:K51">
    <cfRule type="cellIs" dxfId="3580" priority="75" operator="greaterThan">
      <formula>0</formula>
    </cfRule>
    <cfRule type="cellIs" dxfId="3579" priority="76" operator="lessThan">
      <formula>0</formula>
    </cfRule>
  </conditionalFormatting>
  <conditionalFormatting sqref="B51:E51">
    <cfRule type="cellIs" dxfId="3578" priority="73" operator="greaterThan">
      <formula>0</formula>
    </cfRule>
    <cfRule type="cellIs" dxfId="357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57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57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574" priority="56" operator="lessThan">
      <formula>0</formula>
    </cfRule>
  </conditionalFormatting>
  <conditionalFormatting sqref="A25 E25 C25">
    <cfRule type="cellIs" dxfId="3573" priority="57" operator="lessThan">
      <formula>0</formula>
    </cfRule>
  </conditionalFormatting>
  <conditionalFormatting sqref="F25">
    <cfRule type="cellIs" dxfId="3572" priority="55" operator="lessThan">
      <formula>0</formula>
    </cfRule>
  </conditionalFormatting>
  <conditionalFormatting sqref="E1">
    <cfRule type="containsText" dxfId="3571" priority="54" operator="containsText" text="本季業外損益/平均=-">
      <formula>NOT(ISERROR(SEARCH("本季業外損益/平均=-",E1)))</formula>
    </cfRule>
  </conditionalFormatting>
  <conditionalFormatting sqref="M65">
    <cfRule type="cellIs" dxfId="3570" priority="53" operator="lessThan">
      <formula>$L$65*90%</formula>
    </cfRule>
  </conditionalFormatting>
  <conditionalFormatting sqref="M66">
    <cfRule type="cellIs" dxfId="3569" priority="52" operator="lessThan">
      <formula>$L$66*90%</formula>
    </cfRule>
  </conditionalFormatting>
  <conditionalFormatting sqref="M67">
    <cfRule type="cellIs" dxfId="3568" priority="51" operator="lessThan">
      <formula>$L$67*90%</formula>
    </cfRule>
  </conditionalFormatting>
  <conditionalFormatting sqref="M68">
    <cfRule type="cellIs" dxfId="3567" priority="50" operator="lessThan">
      <formula>$L$68*90%</formula>
    </cfRule>
  </conditionalFormatting>
  <conditionalFormatting sqref="B60">
    <cfRule type="cellIs" dxfId="3566" priority="49" operator="lessThan">
      <formula>0</formula>
    </cfRule>
  </conditionalFormatting>
  <conditionalFormatting sqref="B59:F59">
    <cfRule type="cellIs" dxfId="3565" priority="48" operator="lessThanOrEqual">
      <formula>0</formula>
    </cfRule>
  </conditionalFormatting>
  <conditionalFormatting sqref="D62">
    <cfRule type="cellIs" dxfId="3564" priority="46" operator="lessThan">
      <formula>$E$62</formula>
    </cfRule>
    <cfRule type="cellIs" dxfId="3563" priority="47" operator="greaterThan">
      <formula>$E$62</formula>
    </cfRule>
  </conditionalFormatting>
  <conditionalFormatting sqref="F69">
    <cfRule type="cellIs" dxfId="3562" priority="44" operator="lessThan">
      <formula>0</formula>
    </cfRule>
  </conditionalFormatting>
  <conditionalFormatting sqref="B65:E67 B69:E69 B68:D68">
    <cfRule type="cellIs" dxfId="3561" priority="45" operator="lessThan">
      <formula>0</formula>
    </cfRule>
  </conditionalFormatting>
  <conditionalFormatting sqref="E68">
    <cfRule type="cellIs" dxfId="3560" priority="43" operator="lessThan">
      <formula>0</formula>
    </cfRule>
  </conditionalFormatting>
  <conditionalFormatting sqref="F65:F68">
    <cfRule type="cellIs" dxfId="3559" priority="42" operator="lessThan">
      <formula>0</formula>
    </cfRule>
  </conditionalFormatting>
  <conditionalFormatting sqref="F65:F68">
    <cfRule type="cellIs" dxfId="3558" priority="41" operator="lessThan">
      <formula>$E$65*0.9</formula>
    </cfRule>
  </conditionalFormatting>
  <conditionalFormatting sqref="F66">
    <cfRule type="cellIs" dxfId="3557" priority="40" operator="lessThan">
      <formula>$E$66*0.9</formula>
    </cfRule>
  </conditionalFormatting>
  <conditionalFormatting sqref="F67:F68">
    <cfRule type="cellIs" dxfId="3556" priority="39" operator="lessThan">
      <formula>$E$67*0.9</formula>
    </cfRule>
  </conditionalFormatting>
  <conditionalFormatting sqref="F68">
    <cfRule type="cellIs" dxfId="3555" priority="38" operator="lessThan">
      <formula>$E$68*0.9</formula>
    </cfRule>
  </conditionalFormatting>
  <conditionalFormatting sqref="B13:F13">
    <cfRule type="cellIs" dxfId="3554" priority="27" operator="greaterThan">
      <formula>$I$16</formula>
    </cfRule>
    <cfRule type="cellIs" dxfId="3553" priority="28" operator="lessThanOrEqual">
      <formula>$I$16</formula>
    </cfRule>
  </conditionalFormatting>
  <conditionalFormatting sqref="B10:F10">
    <cfRule type="cellIs" dxfId="3552" priority="29" operator="greaterThan">
      <formula>15</formula>
    </cfRule>
    <cfRule type="cellIs" dxfId="3551" priority="36" operator="lessThan">
      <formula>$I$9</formula>
    </cfRule>
    <cfRule type="cellIs" dxfId="3550" priority="37" operator="greaterThan">
      <formula>$I$9</formula>
    </cfRule>
  </conditionalFormatting>
  <conditionalFormatting sqref="B16:F16">
    <cfRule type="cellIs" dxfId="3549" priority="34" operator="greaterThan">
      <formula>$I$16</formula>
    </cfRule>
    <cfRule type="cellIs" dxfId="3548" priority="35" operator="lessThanOrEqual">
      <formula>$I$16</formula>
    </cfRule>
  </conditionalFormatting>
  <conditionalFormatting sqref="B15:F15">
    <cfRule type="cellIs" dxfId="3547" priority="32" operator="lessThanOrEqual">
      <formula>$I$16</formula>
    </cfRule>
    <cfRule type="cellIs" dxfId="3546" priority="33" operator="greaterThan">
      <formula>$I$16</formula>
    </cfRule>
  </conditionalFormatting>
  <conditionalFormatting sqref="B14:F14">
    <cfRule type="cellIs" dxfId="3545" priority="30" operator="greaterThan">
      <formula>$I$16</formula>
    </cfRule>
    <cfRule type="cellIs" dxfId="3544" priority="31" operator="lessThanOrEqual">
      <formula>$I$16</formula>
    </cfRule>
  </conditionalFormatting>
  <conditionalFormatting sqref="K6">
    <cfRule type="containsText" dxfId="3543" priority="25" operator="containsText" text="衰退">
      <formula>NOT(ISERROR(SEARCH("衰退",K6)))</formula>
    </cfRule>
    <cfRule type="containsText" dxfId="3542" priority="26" operator="containsText" text="成長">
      <formula>NOT(ISERROR(SEARCH("成長",K6)))</formula>
    </cfRule>
  </conditionalFormatting>
  <conditionalFormatting sqref="I4:K4">
    <cfRule type="cellIs" dxfId="3541" priority="23" operator="lessThan">
      <formula>0</formula>
    </cfRule>
    <cfRule type="cellIs" dxfId="354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539" priority="20" operator="lessThanOrEqual">
      <formula>$I$16</formula>
    </cfRule>
    <cfRule type="cellIs" dxfId="3538" priority="21" operator="greaterThan">
      <formula>$I$16</formula>
    </cfRule>
  </conditionalFormatting>
  <conditionalFormatting sqref="I6">
    <cfRule type="containsText" dxfId="3537" priority="18" operator="containsText" text="衰退">
      <formula>NOT(ISERROR(SEARCH("衰退",I6)))</formula>
    </cfRule>
    <cfRule type="containsText" dxfId="3536" priority="19" operator="containsText" text="成長">
      <formula>NOT(ISERROR(SEARCH("成長",I6)))</formula>
    </cfRule>
  </conditionalFormatting>
  <conditionalFormatting sqref="M9">
    <cfRule type="cellIs" dxfId="3535" priority="17" operator="lessThan">
      <formula>$I$9</formula>
    </cfRule>
  </conditionalFormatting>
  <conditionalFormatting sqref="M10">
    <cfRule type="cellIs" dxfId="3534" priority="16" operator="greaterThan">
      <formula>$I$9</formula>
    </cfRule>
  </conditionalFormatting>
  <conditionalFormatting sqref="M11">
    <cfRule type="cellIs" dxfId="353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532" priority="12" operator="lessThan">
      <formula>0</formula>
    </cfRule>
    <cfRule type="cellIs" dxfId="3531" priority="13" operator="greaterThan">
      <formula>0.5</formula>
    </cfRule>
  </conditionalFormatting>
  <conditionalFormatting sqref="N14">
    <cfRule type="cellIs" dxfId="353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529" priority="8" operator="lessThan">
      <formula>0.1</formula>
    </cfRule>
  </conditionalFormatting>
  <conditionalFormatting sqref="I14">
    <cfRule type="cellIs" dxfId="352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52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526" priority="1" operator="lessThan">
      <formula>$N$5*0.9</formula>
    </cfRule>
    <cfRule type="cellIs" dxfId="3525" priority="2" operator="greaterThan">
      <formula>$N$5*1.1</formula>
    </cfRule>
  </conditionalFormatting>
  <hyperlinks>
    <hyperlink ref="L1" location="儀表板!A1" display="(回首頁)" xr:uid="{00000000-0004-0000-3800-000000000000}"/>
  </hyperlink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1.59 ~ 13.79</v>
      </c>
      <c r="L1" s="83" t="s">
        <v>176</v>
      </c>
      <c r="M1" s="84" t="str">
        <f ca="1">VLOOKUP(_xlfn.NUMBERVALUE(N1),儀表板!A:B,2,FALSE)</f>
        <v>新唐</v>
      </c>
      <c r="N1" s="85" t="str">
        <f ca="1">MID(CELL("filename",L1),FIND("]",CELL("filename",L1))+1,255)</f>
        <v>4919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0.13510825869243248</v>
      </c>
    </row>
    <row r="3" spans="1:15" s="93" customFormat="1" x14ac:dyDescent="0.25">
      <c r="A3" s="81" t="s">
        <v>179</v>
      </c>
      <c r="B3" s="94">
        <f>SUM(F19:F22,F24:F27,J19)</f>
        <v>89.439124586792786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47.176694497359897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48.757096950229403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52.304596073159892</v>
      </c>
      <c r="L3" s="100"/>
      <c r="M3" s="79" t="s">
        <v>385</v>
      </c>
      <c r="N3" s="92">
        <f>(F69-E69)/E69</f>
        <v>0.15620262002937005</v>
      </c>
    </row>
    <row r="4" spans="1:15" s="93" customFormat="1" x14ac:dyDescent="0.25">
      <c r="A4" s="81" t="s">
        <v>182</v>
      </c>
      <c r="B4" s="96">
        <f>SUM(G36:G40)*2</f>
        <v>74</v>
      </c>
      <c r="C4" s="101"/>
      <c r="D4" s="102">
        <f>F4*(1+F141/10)</f>
        <v>20.8</v>
      </c>
      <c r="E4" s="82">
        <f>(D4-F4)/F4</f>
        <v>0</v>
      </c>
      <c r="F4" s="103">
        <v>20.8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3.4107977290866414</v>
      </c>
    </row>
    <row r="5" spans="1:15" s="93" customFormat="1" x14ac:dyDescent="0.25">
      <c r="A5" s="81" t="s">
        <v>184</v>
      </c>
      <c r="B5" s="107">
        <f>SUM(F30:F34)*2</f>
        <v>88.61722222222221</v>
      </c>
      <c r="C5" s="87"/>
      <c r="D5" s="87"/>
      <c r="E5" s="87"/>
      <c r="F5" s="86"/>
      <c r="G5" s="88"/>
      <c r="M5" s="79" t="s">
        <v>375</v>
      </c>
      <c r="N5" s="152">
        <f>D62</f>
        <v>3.2499999999999996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3.5270099003758428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30.08</v>
      </c>
      <c r="N9" s="129"/>
    </row>
    <row r="10" spans="1:15" s="93" customFormat="1" x14ac:dyDescent="0.25">
      <c r="A10" s="123" t="s">
        <v>194</v>
      </c>
      <c r="B10" s="126">
        <f>PERCENTILE(176:176,B9)</f>
        <v>13.01</v>
      </c>
      <c r="C10" s="126">
        <f>PERCENTILE(176:176,C9)</f>
        <v>14.03</v>
      </c>
      <c r="D10" s="126">
        <f>PERCENTILE(176:176,D9)</f>
        <v>14.5</v>
      </c>
      <c r="E10" s="126">
        <f>PERCENTILE(176:176,E9)</f>
        <v>15.555</v>
      </c>
      <c r="F10" s="126">
        <f>PERCENTILE(176:176,F9)</f>
        <v>18.25</v>
      </c>
      <c r="G10" s="95"/>
      <c r="H10" s="135"/>
      <c r="I10" s="135"/>
      <c r="J10" s="135"/>
      <c r="K10" s="135"/>
      <c r="L10" s="136" t="s">
        <v>374</v>
      </c>
      <c r="M10" s="130">
        <f>MIN(176:176)</f>
        <v>9.4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17.23</v>
      </c>
      <c r="L11" s="272" t="s">
        <v>193</v>
      </c>
      <c r="M11" s="128">
        <f>STDEV(176:176)</f>
        <v>4.3659579813103253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23.109243697478995</v>
      </c>
      <c r="C13" s="141">
        <f>$B$34/5.88%</f>
        <v>28.061224489795919</v>
      </c>
      <c r="D13" s="141">
        <f>$B$34/5%</f>
        <v>32.999999999999993</v>
      </c>
      <c r="E13" s="141">
        <f>$B$34/4.35%</f>
        <v>37.931034482758619</v>
      </c>
      <c r="F13" s="141">
        <f>$B$34/3.85%</f>
        <v>42.857142857142854</v>
      </c>
      <c r="G13" s="138" t="str">
        <f>"$"&amp;ROUND(B34,2)&amp;"/"&amp;IF(STDEV(C140:F140)/AVERAGE(C140:F140)&lt;15%,"高",IF(STDEV(C140:F140)/AVERAGE(C140:F140)&lt;30%,"中","低"))</f>
        <v>$1.65/低</v>
      </c>
      <c r="H13" s="142" t="s">
        <v>199</v>
      </c>
      <c r="I13" s="143">
        <f>MAX(0,1-J15)</f>
        <v>0.18644067796610164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26.34525</v>
      </c>
      <c r="C14" s="141">
        <f>$B$33*C10</f>
        <v>28.410749999999997</v>
      </c>
      <c r="D14" s="141">
        <f>$B$33*D10</f>
        <v>29.362499999999997</v>
      </c>
      <c r="E14" s="141">
        <f>$B$33*E10</f>
        <v>31.498874999999998</v>
      </c>
      <c r="F14" s="141">
        <f>$B$33*F10</f>
        <v>36.956249999999997</v>
      </c>
      <c r="G14" s="138" t="str">
        <f>"$"&amp;ROUND(B33,2)&amp;"/"&amp;IF(STDEV(B69:E69)/AVERAGE(B69:E69)&lt;15%,"高",IF(STDEV(B69:E69)/AVERAGE(B69:E69)&lt;30%,"中","低"))</f>
        <v>$2.03/低</v>
      </c>
      <c r="H14" s="142" t="s">
        <v>203</v>
      </c>
      <c r="I14" s="145">
        <f>G62/100*I13</f>
        <v>3.7045762711864397E-2</v>
      </c>
      <c r="J14" s="76" t="s">
        <v>204</v>
      </c>
      <c r="K14" s="146"/>
      <c r="L14" s="147">
        <f>(HLOOKUP($C$1,$105:$106,2,FALSE)-HLOOKUP($C$1,$117:$127,9,FALSE))/(HLOOKUP($C$1,$117:$128,12,FALSE)/K11)</f>
        <v>3.4593157914460577</v>
      </c>
      <c r="M14" s="148">
        <f>E135/E69</f>
        <v>0.49491525423728816</v>
      </c>
      <c r="N14" s="149">
        <f>F173/100</f>
        <v>1.1957</v>
      </c>
    </row>
    <row r="15" spans="1:15" s="93" customFormat="1" x14ac:dyDescent="0.25">
      <c r="A15" s="140" t="s">
        <v>375</v>
      </c>
      <c r="B15" s="141">
        <f>$D$62*B10</f>
        <v>42.282499999999992</v>
      </c>
      <c r="C15" s="141">
        <f>$D$62*C10</f>
        <v>45.597499999999989</v>
      </c>
      <c r="D15" s="141">
        <f>$D$62*D10</f>
        <v>47.124999999999993</v>
      </c>
      <c r="E15" s="141">
        <f>$D$62*E10</f>
        <v>50.553749999999994</v>
      </c>
      <c r="F15" s="141">
        <f>$D$62*F10</f>
        <v>59.312499999999993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0.81355932203389836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44.374478455417204</v>
      </c>
      <c r="C16" s="141">
        <f>$F$69*C10</f>
        <v>47.853492139085574</v>
      </c>
      <c r="D16" s="141">
        <f>$F$69*D10</f>
        <v>49.456567071756297</v>
      </c>
      <c r="E16" s="141">
        <f>$F$69*E10</f>
        <v>53.054958675942707</v>
      </c>
      <c r="F16" s="141">
        <f>$F$69*F10</f>
        <v>62.247058555831202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4160</v>
      </c>
      <c r="J17" s="92">
        <f ca="1">IF(I17&lt;=0,"",IF(I17&lt;=MIN($B$13:$F$16),(I17-MIN($B$13:$F$16))/MIN($B$13:$F$16),IF(I17&gt;=MAX($B$13:$F$16),I17/MAX($B$13:$F$16),PERCENTRANK($B$13:$F$16,I17))))</f>
        <v>66.830467117876339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2.2200000000000002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16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1.3454545454545457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0.2557833047184675</v>
      </c>
      <c r="J20" s="171">
        <f>HLOOKUP($C$1,$117:$127,11,FALSE)/HLOOKUP($C$1,$105:$115,11,FALSE)</f>
        <v>0.40529843201179389</v>
      </c>
      <c r="K20" s="163"/>
    </row>
    <row r="21" spans="1:14" s="93" customFormat="1" x14ac:dyDescent="0.25">
      <c r="A21" s="151" t="s">
        <v>201</v>
      </c>
      <c r="B21" s="161">
        <f>AVERAGE(C173:F173)/100</f>
        <v>1.9750999999999999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2.2087499103788741</v>
      </c>
      <c r="J21" s="78"/>
      <c r="K21" s="164" t="s">
        <v>356</v>
      </c>
      <c r="L21" s="165">
        <f>HLOOKUP($C$1,$105:$115,7,FALSE)/HLOOKUP($C$1,$105:$115,11,FALSE)</f>
        <v>0.71219349204313798</v>
      </c>
      <c r="M21" s="123" t="s">
        <v>268</v>
      </c>
      <c r="N21" s="165">
        <f>HLOOKUP($C$1,$117:$127,8,FALSE)/HLOOKUP($C$1,$117:$127,11,FALSE)</f>
        <v>0.79556658231089405</v>
      </c>
    </row>
    <row r="22" spans="1:14" s="93" customFormat="1" x14ac:dyDescent="0.25">
      <c r="A22" s="140" t="s">
        <v>222</v>
      </c>
      <c r="B22" s="161">
        <f>(-1)*SUM(C133:F133)/SUM(C132:F132)</f>
        <v>0.36174785100286533</v>
      </c>
      <c r="C22" s="157"/>
      <c r="D22" s="166"/>
      <c r="E22" s="140"/>
      <c r="F22" s="159">
        <f>IF(B22&lt;=0,10,IF(B22&gt;=100%,0,(1-B22)*10))</f>
        <v>6.3825214899713467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1.4156491122737356</v>
      </c>
      <c r="J22" s="78"/>
      <c r="K22" s="142" t="s">
        <v>357</v>
      </c>
      <c r="L22" s="165">
        <f>HLOOKUP($C$1,$105:$115,4,FALSE)/HLOOKUP($C$1,$105:$115,11,FALSE)</f>
        <v>0.14504801492995803</v>
      </c>
      <c r="M22" s="123" t="s">
        <v>353</v>
      </c>
      <c r="N22" s="165">
        <f>HLOOKUP($C$1,$117:$127,4,FALSE)/HLOOKUP($C$1,$117:$127,11,FALSE)</f>
        <v>0.36890132180174739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1.681515660674753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0.25572891901003375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34.35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7.9267918469336687E-2</v>
      </c>
      <c r="M24" s="123" t="s">
        <v>355</v>
      </c>
      <c r="N24" s="165">
        <f>HLOOKUP($C$1,$117:$127,9,FALSE)/HLOOKUP($C$1,$117:$127,11,FALSE)</f>
        <v>0.20443341768910595</v>
      </c>
    </row>
    <row r="25" spans="1:14" s="93" customFormat="1" x14ac:dyDescent="0.25">
      <c r="A25" s="151" t="s">
        <v>366</v>
      </c>
      <c r="B25" s="255">
        <f>AVERAGE(94:94)</f>
        <v>21309.652173913044</v>
      </c>
      <c r="C25" s="254">
        <f>STDEV(94:94)/AVERAGE(94:94)</f>
        <v>0.94339690317855829</v>
      </c>
      <c r="D25" s="76" t="str">
        <f>IF(C25&lt;=1,"高",IF(C25&lt;=2,"中","低"))</f>
        <v>高</v>
      </c>
      <c r="E25" s="149"/>
      <c r="F25" s="160">
        <f>MAX(0,10-ABS(C25))</f>
        <v>9.0566030968214424</v>
      </c>
      <c r="G25" s="88" t="s">
        <v>213</v>
      </c>
      <c r="H25" s="123" t="s">
        <v>232</v>
      </c>
      <c r="I25" s="170">
        <f>IF(HLOOKUP(C1,167:170,3,FALSE)="無",0,HLOOKUP(C1,167:170,3,FALSE))</f>
        <v>98.9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41.321739130434793</v>
      </c>
      <c r="C26" s="172">
        <f>IF(COUNTIF(168:168,"&gt;0")=0,0,STDEV(168:168))</f>
        <v>7.5511020581428738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82.656521739130426</v>
      </c>
      <c r="C27" s="172">
        <f>IF(COUNTIF(169:169,"&gt;0")=0,0,STDEV(169:169))</f>
        <v>8.8646779199532624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0.41497500000000004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5.6524999999999999E-2</v>
      </c>
      <c r="C31" s="157" t="s">
        <v>217</v>
      </c>
      <c r="D31" s="174">
        <f>COUNTIF(149:149,"&gt;8")/COUNT(149:149)</f>
        <v>0.30434782608695654</v>
      </c>
      <c r="E31" s="140" t="s">
        <v>241</v>
      </c>
      <c r="F31" s="159">
        <f>MIN(B31/10%*10,10)</f>
        <v>5.652499999999999</v>
      </c>
      <c r="G31" s="175"/>
    </row>
    <row r="32" spans="1:14" x14ac:dyDescent="0.25">
      <c r="A32" s="155" t="s">
        <v>47</v>
      </c>
      <c r="B32" s="177">
        <f>AVERAGE(C165:F165)</f>
        <v>13.817499999999999</v>
      </c>
      <c r="C32" s="157" t="s">
        <v>217</v>
      </c>
      <c r="D32" s="174">
        <f>COUNTIF(159:159,"&gt;3")/COUNT(159:159)</f>
        <v>0.60869565217391308</v>
      </c>
      <c r="E32" s="140" t="s">
        <v>242</v>
      </c>
      <c r="F32" s="159">
        <f>MIN(B32/15*10,10)</f>
        <v>9.211666666666666</v>
      </c>
      <c r="G32" s="135"/>
    </row>
    <row r="33" spans="1:14" x14ac:dyDescent="0.25">
      <c r="A33" s="155" t="s">
        <v>14</v>
      </c>
      <c r="B33" s="156">
        <f>AVERAGE(B69:E69)</f>
        <v>2.0249999999999999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1.65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9.4444444444444446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7318499.75</v>
      </c>
      <c r="C36" s="178">
        <f>STDEV(C97:F97)</f>
        <v>713554.90452025947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41.497500000000002</v>
      </c>
      <c r="C37" s="180">
        <f>STDEV(C152:F152)</f>
        <v>0.73377448851810112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6.2724999999999991</v>
      </c>
      <c r="C38" s="180">
        <f>STDEV(C153:F153)</f>
        <v>1.0286358280104253</v>
      </c>
      <c r="D38" s="76" t="str">
        <f>IF(C38/B38&lt;15%,"高",IF(C38/B38&lt;30%,"中","低"))</f>
        <v>中</v>
      </c>
      <c r="E38" s="107">
        <f>IF(F153&gt;E153,1,0)+IF(E153&gt;D153,1,0)+IF(D153&gt;C153,1,0)</f>
        <v>2</v>
      </c>
      <c r="F38" s="179"/>
      <c r="G38" s="160">
        <f>IF(D38="高",6,IF(D38="中",4,2))+E38+1</f>
        <v>7</v>
      </c>
    </row>
    <row r="39" spans="1:14" x14ac:dyDescent="0.25">
      <c r="A39" s="142" t="s">
        <v>46</v>
      </c>
      <c r="B39" s="181">
        <f>AVERAGE(C165:F165)</f>
        <v>13.817499999999999</v>
      </c>
      <c r="C39" s="181">
        <f>STDEV(C165:F165)</f>
        <v>4.3325233217298864</v>
      </c>
      <c r="D39" s="76" t="str">
        <f>IF(C39/B39&lt;15%,"高",IF(C39/B39&lt;30%,"中","低"))</f>
        <v>低</v>
      </c>
      <c r="E39" s="107">
        <f>IF(F165&gt;E165,1,0)+IF(E165&gt;D165,1,0)+IF(D165&gt;C165,1,0)</f>
        <v>3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2.0249999999999999</v>
      </c>
      <c r="C40" s="183">
        <f>STDEV(B69:E69)</f>
        <v>0.74105780251385645</v>
      </c>
      <c r="D40" s="76" t="str">
        <f>IF(C40/B40&lt;15%,"高",IF(C40/B40&lt;30%,"中","低"))</f>
        <v>低</v>
      </c>
      <c r="E40" s="107">
        <f>IF(E69&gt;D69,1,0)+IF(D69&gt;C69,1,0)+IF(C69&gt;B69,1,0)</f>
        <v>3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0.43478260869565227</v>
      </c>
      <c r="C44" s="186">
        <f>(C46-C49)/C49</f>
        <v>-4.8000000000000043E-2</v>
      </c>
      <c r="D44" s="186">
        <f>(D46-D49)/D49</f>
        <v>0.15789473684210525</v>
      </c>
      <c r="E44" s="186">
        <f>(E46-E49)/E49</f>
        <v>1.032258064516129</v>
      </c>
      <c r="G44" s="86" t="s">
        <v>175</v>
      </c>
      <c r="H44" s="186">
        <f>(H47-H50)/H50</f>
        <v>0.3648449039881832</v>
      </c>
      <c r="I44" s="186">
        <f>(I47-I50)/I50</f>
        <v>-5.5165496489468446E-2</v>
      </c>
      <c r="J44" s="186">
        <f>(J47-J50)/J50</f>
        <v>-0.11591695501730098</v>
      </c>
      <c r="K44" s="186">
        <f>(K47-K50)/K50</f>
        <v>0.53333333333333333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0.99</v>
      </c>
      <c r="C46" s="152">
        <f>HLOOKUP(C45,$81:$82,2,FALSE)</f>
        <v>1.19</v>
      </c>
      <c r="D46" s="152">
        <f>HLOOKUP(D45,$81:$82,2,FALSE)</f>
        <v>0.44</v>
      </c>
      <c r="E46" s="152">
        <f>HLOOKUP(E45,$81:$82,2,FALSE)</f>
        <v>0.63</v>
      </c>
      <c r="G46" s="86" t="s">
        <v>164</v>
      </c>
      <c r="H46" s="145">
        <f>HLOOKUP(H45,$145:$147,2,FALSE)/100</f>
        <v>0.42200000000000004</v>
      </c>
      <c r="I46" s="145">
        <f>HLOOKUP(I45,$145:$147,2,FALSE)/100</f>
        <v>0.41240000000000004</v>
      </c>
      <c r="J46" s="145">
        <f>HLOOKUP(J45,$145:$147,2,FALSE)/100</f>
        <v>0.37990000000000002</v>
      </c>
      <c r="K46" s="145">
        <f>HLOOKUP(K45,$145:$147,2,FALSE)/100</f>
        <v>0.40189999999999998</v>
      </c>
    </row>
    <row r="47" spans="1:14" x14ac:dyDescent="0.25">
      <c r="A47" s="188" t="s">
        <v>165</v>
      </c>
      <c r="B47" s="189">
        <f>HLOOKUP(B45,$157:$159,3,FALSE)</f>
        <v>5.96</v>
      </c>
      <c r="C47" s="189">
        <f>HLOOKUP(C45,$157:$159,3,FALSE)</f>
        <v>7.34</v>
      </c>
      <c r="D47" s="189">
        <f>HLOOKUP(D45,$157:$159,3,FALSE)</f>
        <v>2.66</v>
      </c>
      <c r="E47" s="189">
        <f>HLOOKUP(E45,$157:$159,3,FALSE)</f>
        <v>3.91</v>
      </c>
      <c r="G47" s="190" t="s">
        <v>166</v>
      </c>
      <c r="H47" s="145">
        <f>HLOOKUP(H45,$145:$147,3,FALSE)/100</f>
        <v>9.2399999999999996E-2</v>
      </c>
      <c r="I47" s="145">
        <f>HLOOKUP(I45,$145:$147,3,FALSE)/100</f>
        <v>9.4200000000000006E-2</v>
      </c>
      <c r="J47" s="145">
        <f>HLOOKUP(J45,$145:$147,3,FALSE)/100</f>
        <v>5.1100000000000007E-2</v>
      </c>
      <c r="K47" s="145">
        <f>HLOOKUP(K45,$145:$147,3,FALSE)/100</f>
        <v>6.2100000000000002E-2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0.69</v>
      </c>
      <c r="C49" s="152">
        <f>HLOOKUP(C48,$81:$82,2,FALSE)</f>
        <v>1.25</v>
      </c>
      <c r="D49" s="152">
        <f>HLOOKUP(D48,$81:$82,2,FALSE)</f>
        <v>0.38</v>
      </c>
      <c r="E49" s="152">
        <f>HLOOKUP(E48,$81:$82,2,FALSE)</f>
        <v>0.31</v>
      </c>
      <c r="G49" s="86" t="s">
        <v>164</v>
      </c>
      <c r="H49" s="145">
        <f>HLOOKUP(H48,$145:$147,2,FALSE)/100</f>
        <v>0.3957</v>
      </c>
      <c r="I49" s="145">
        <f>HLOOKUP(I48,$145:$147,2,FALSE)/100</f>
        <v>0.42409999999999998</v>
      </c>
      <c r="J49" s="145">
        <f>HLOOKUP(J48,$145:$147,2,FALSE)/100</f>
        <v>0.41520000000000001</v>
      </c>
      <c r="K49" s="145">
        <f>HLOOKUP(K48,$145:$147,2,FALSE)/100</f>
        <v>0.40619999999999995</v>
      </c>
    </row>
    <row r="50" spans="1:15" x14ac:dyDescent="0.25">
      <c r="A50" s="188" t="s">
        <v>165</v>
      </c>
      <c r="B50" s="189">
        <f>HLOOKUP(B48,$157:$159,3,FALSE)</f>
        <v>4.47</v>
      </c>
      <c r="C50" s="189">
        <f>HLOOKUP(C48,$157:$159,3,FALSE)</f>
        <v>8.1999999999999993</v>
      </c>
      <c r="D50" s="189">
        <f>HLOOKUP(D48,$157:$159,3,FALSE)</f>
        <v>2.5</v>
      </c>
      <c r="E50" s="189">
        <f>HLOOKUP(E48,$157:$159,3,FALSE)</f>
        <v>2.08</v>
      </c>
      <c r="G50" s="190" t="s">
        <v>166</v>
      </c>
      <c r="H50" s="145">
        <f>HLOOKUP(H48,$145:$147,3,FALSE)/100</f>
        <v>6.7699999999999996E-2</v>
      </c>
      <c r="I50" s="145">
        <f>HLOOKUP(I48,$145:$147,3,FALSE)/100</f>
        <v>9.9700000000000011E-2</v>
      </c>
      <c r="J50" s="145">
        <f>HLOOKUP(J48,$145:$147,3,FALSE)/100</f>
        <v>5.7800000000000004E-2</v>
      </c>
      <c r="K50" s="145">
        <f>HLOOKUP(K48,$145:$147,3,FALSE)/100</f>
        <v>4.0500000000000001E-2</v>
      </c>
    </row>
    <row r="51" spans="1:15" x14ac:dyDescent="0.25">
      <c r="A51" s="86" t="s">
        <v>351</v>
      </c>
      <c r="B51" s="186">
        <f>(B47-B50)/B50</f>
        <v>0.33333333333333343</v>
      </c>
      <c r="C51" s="186">
        <f>(C47-C50)/C50</f>
        <v>-0.10487804878048775</v>
      </c>
      <c r="D51" s="186">
        <f>(D47-D50)/D50</f>
        <v>6.4000000000000057E-2</v>
      </c>
      <c r="E51" s="186">
        <f>(E47-E50)/E50</f>
        <v>0.87980769230769229</v>
      </c>
      <c r="G51" s="235" t="s">
        <v>174</v>
      </c>
      <c r="H51" s="186">
        <f>(H46-H49)/H49</f>
        <v>6.6464493303007438E-2</v>
      </c>
      <c r="I51" s="186">
        <f>(I46-I49)/I49</f>
        <v>-2.7587833058240824E-2</v>
      </c>
      <c r="J51" s="186">
        <f>(J46-J49)/J49</f>
        <v>-8.5019267822736028E-2</v>
      </c>
      <c r="K51" s="186">
        <f>(K46-K49)/K49</f>
        <v>-1.0585918266863543E-2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3.5270099003758428</v>
      </c>
      <c r="B53" s="193">
        <f>B46</f>
        <v>0.99</v>
      </c>
      <c r="C53" s="193">
        <f>E46/HLOOKUP(E45,$87:$94,5,FALSE)*HLOOKUP(E45,$87:$94,4,FALSE)*($B$25/HLOOKUP(E45,$87:$94,4,FALSE)+SUM($B$57:$D$57)/SUM($B58:$D$58)*$G$69/100/K46)</f>
        <v>0.79079772908664125</v>
      </c>
      <c r="D53" s="193">
        <f>D46/HLOOKUP(D45,$87:$94,5,FALSE)*HLOOKUP(D45,$87:$94,4,FALSE)*($B$25/HLOOKUP(D45,$87:$94,4,FALSE)+SUM($B$57:$D$57)/SUM($B58:$D$58)*$G$69/100/J46)</f>
        <v>0.60609917385823597</v>
      </c>
      <c r="E53" s="193">
        <f>C46/HLOOKUP(C45,$87:$94,5,FALSE)*HLOOKUP(C45,$87:$94,4,FALSE)*($B$25/HLOOKUP(C45,$87:$94,4,FALSE)+SUM($B$57:$D$57)/SUM($B58:$D$58)*$G$69/100/I46)</f>
        <v>1.1401129974309656</v>
      </c>
    </row>
    <row r="54" spans="1:15" x14ac:dyDescent="0.25">
      <c r="A54" s="278">
        <f>SUM(B54:E54)</f>
        <v>2.9499999999999997</v>
      </c>
      <c r="B54" s="277">
        <f t="shared" ref="B54:D54" si="0">HLOOKUP(B52-10,81:82,2,FALSE)</f>
        <v>0.69</v>
      </c>
      <c r="C54" s="277">
        <f t="shared" si="0"/>
        <v>0.63</v>
      </c>
      <c r="D54" s="277">
        <f t="shared" si="0"/>
        <v>0.44</v>
      </c>
      <c r="E54" s="277">
        <f>HLOOKUP(E52-10,81:82,2,FALSE)</f>
        <v>1.19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773250</v>
      </c>
      <c r="C57" s="196">
        <f>HLOOKUP(C56,78:79,2,FALSE)</f>
        <v>802107</v>
      </c>
      <c r="D57" s="196">
        <f>HLOOKUP(D56,78:79,2,FALSE)</f>
        <v>822511</v>
      </c>
      <c r="E57" s="196">
        <f>HLOOKUP(E56,78:79,2,FALSE)</f>
        <v>785818</v>
      </c>
      <c r="F57" s="196">
        <f>HLOOKUP(F56,78:79,2,FALSE)</f>
        <v>856762</v>
      </c>
      <c r="G57" s="196">
        <f t="shared" ref="G57:M57" si="2">HLOOKUP(G56,78:79,2,FALSE)</f>
        <v>789755</v>
      </c>
      <c r="H57" s="196">
        <f t="shared" si="2"/>
        <v>759786</v>
      </c>
      <c r="I57" s="196">
        <f t="shared" si="2"/>
        <v>760765</v>
      </c>
      <c r="J57" s="196">
        <f t="shared" si="2"/>
        <v>638579</v>
      </c>
      <c r="K57" s="196">
        <f t="shared" si="2"/>
        <v>723615</v>
      </c>
      <c r="L57" s="196">
        <f t="shared" si="2"/>
        <v>691798</v>
      </c>
      <c r="M57" s="196">
        <f t="shared" si="2"/>
        <v>701656</v>
      </c>
      <c r="N57" s="197"/>
    </row>
    <row r="58" spans="1:15" x14ac:dyDescent="0.25">
      <c r="A58" s="198" t="s">
        <v>253</v>
      </c>
      <c r="B58" s="196">
        <f>HLOOKUP(B56-100,78:79,2,FALSE)</f>
        <v>711331</v>
      </c>
      <c r="C58" s="196">
        <f>HLOOKUP(C56-100,78:79,2,FALSE)</f>
        <v>711838</v>
      </c>
      <c r="D58" s="196">
        <f>HLOOKUP(D56-100,78:79,2,FALSE)</f>
        <v>699577</v>
      </c>
      <c r="E58" s="196">
        <f>HLOOKUP(E56-100,78:79,2,FALSE)</f>
        <v>738221</v>
      </c>
      <c r="F58" s="196">
        <f>HLOOKUP(F56-100,78:79,2,FALSE)</f>
        <v>743767</v>
      </c>
      <c r="G58" s="196">
        <f t="shared" ref="G58:M58" si="3">HLOOKUP(G56-100,78:79,2,FALSE)</f>
        <v>747451</v>
      </c>
      <c r="H58" s="196">
        <f t="shared" si="3"/>
        <v>731412</v>
      </c>
      <c r="I58" s="196">
        <f t="shared" si="3"/>
        <v>676770</v>
      </c>
      <c r="J58" s="196">
        <f t="shared" si="3"/>
        <v>531592</v>
      </c>
      <c r="K58" s="196">
        <f t="shared" si="3"/>
        <v>643873</v>
      </c>
      <c r="L58" s="196">
        <f t="shared" si="3"/>
        <v>586597</v>
      </c>
      <c r="M58" s="196">
        <f t="shared" si="3"/>
        <v>591701</v>
      </c>
      <c r="N58" s="197"/>
    </row>
    <row r="59" spans="1:15" x14ac:dyDescent="0.25">
      <c r="A59" s="199" t="s">
        <v>254</v>
      </c>
      <c r="B59" s="165">
        <f>IF(B57&lt;&gt;"",(B57-B58)/B58,"")</f>
        <v>8.7046677285258195E-2</v>
      </c>
      <c r="C59" s="165">
        <f>IF(C57&lt;&gt;"",(C57-C58)/C58,"")</f>
        <v>0.12681115647099481</v>
      </c>
      <c r="D59" s="165">
        <f>IF(D57&lt;&gt;"",(D57-D58)/D58,"")</f>
        <v>0.17572618882553315</v>
      </c>
      <c r="E59" s="165">
        <f>IF(E57&lt;&gt;"",(E57-E58)/E58,"")</f>
        <v>6.4475272310053497E-2</v>
      </c>
      <c r="F59" s="165">
        <f>IF(F57&lt;&gt;"",(F57-F58)/F58,"")</f>
        <v>0.15192257790410169</v>
      </c>
      <c r="G59" s="165">
        <f t="shared" ref="G59:M59" si="4">IF(G57&lt;&gt;"",(G57-G58)/G58,"")</f>
        <v>5.6597690015800367E-2</v>
      </c>
      <c r="H59" s="165">
        <f t="shared" si="4"/>
        <v>3.8793457039261049E-2</v>
      </c>
      <c r="I59" s="165">
        <f t="shared" si="4"/>
        <v>0.12411158887066508</v>
      </c>
      <c r="J59" s="165">
        <f t="shared" si="4"/>
        <v>0.20125773149332571</v>
      </c>
      <c r="K59" s="165">
        <f t="shared" si="4"/>
        <v>0.12384740469005534</v>
      </c>
      <c r="L59" s="165">
        <f t="shared" si="4"/>
        <v>0.17934118312913294</v>
      </c>
      <c r="M59" s="165">
        <f t="shared" si="4"/>
        <v>0.1858286533232156</v>
      </c>
    </row>
    <row r="60" spans="1:15" x14ac:dyDescent="0.25">
      <c r="A60" s="195" t="s">
        <v>255</v>
      </c>
      <c r="B60" s="196">
        <f>SUM(B57:M57)</f>
        <v>9106402</v>
      </c>
    </row>
    <row r="61" spans="1:15" x14ac:dyDescent="0.25">
      <c r="A61" s="198" t="s">
        <v>256</v>
      </c>
      <c r="B61" s="196">
        <f>SUM(B58:M58)</f>
        <v>8114130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1.1222893890041199</v>
      </c>
      <c r="D62" s="152">
        <f>SUM(B46:E46)</f>
        <v>3.2499999999999996</v>
      </c>
      <c r="E62" s="152">
        <f>SUM(B49:E49)</f>
        <v>2.63</v>
      </c>
      <c r="G62" s="126">
        <f>SUM(B47:E47)</f>
        <v>19.87</v>
      </c>
      <c r="H62" s="126">
        <f>SUM(B50:E50)</f>
        <v>17.25</v>
      </c>
      <c r="J62" s="200">
        <f>AVERAGE(H46:K46)</f>
        <v>0.40405000000000002</v>
      </c>
      <c r="K62" s="200">
        <f>AVERAGE(H49:K49)</f>
        <v>0.41029999999999994</v>
      </c>
      <c r="M62" s="200">
        <f>AVERAGE(H47:K47)</f>
        <v>7.4950000000000003E-2</v>
      </c>
      <c r="N62" s="200">
        <f>AVERAGE(H50:K50)</f>
        <v>6.6424999999999998E-2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0.32</v>
      </c>
      <c r="C65" s="205">
        <f t="shared" si="5"/>
        <v>0.21</v>
      </c>
      <c r="D65" s="205">
        <f t="shared" si="5"/>
        <v>0.46</v>
      </c>
      <c r="E65" s="205">
        <f t="shared" si="5"/>
        <v>0.38</v>
      </c>
      <c r="F65" s="206">
        <f>IF(ISNA(HLOOKUP(F$64*10+$A65,$81:$82,2,FALSE)),(HLOOKUP(E$64*10+$A65,$87:$94,4,FALSE)*$G65+$B$25)/HLOOKUP(E$64*10+$A65,$87:$94,5,FALSE)*$E65,HLOOKUP(F$64*10+$A65,$81:$82,2,FALSE))</f>
        <v>0.44</v>
      </c>
      <c r="G65" s="101">
        <f>MIN(130%,SUM($B$57:$D$57)/SUM($B$58:$D$58)*$G$69/HLOOKUP(E$64*10+$A65,$145:$146,2,FALSE))</f>
        <v>1.1086660677900777</v>
      </c>
      <c r="H65" s="204">
        <v>1</v>
      </c>
      <c r="I65" s="208">
        <f t="shared" ref="I65:M68" si="6">IF(ISNA(HLOOKUP(I$64*10+$H65,$145:$147,3,FALSE)),"",HLOOKUP(I$64*10+$H65,$145:$147,3,FALSE)/100)</f>
        <v>5.4000000000000006E-2</v>
      </c>
      <c r="J65" s="208">
        <f t="shared" si="6"/>
        <v>3.15E-2</v>
      </c>
      <c r="K65" s="208">
        <f t="shared" si="6"/>
        <v>6.6900000000000001E-2</v>
      </c>
      <c r="L65" s="208">
        <f t="shared" si="6"/>
        <v>5.7800000000000004E-2</v>
      </c>
      <c r="M65" s="209">
        <f t="shared" si="6"/>
        <v>5.1100000000000007E-2</v>
      </c>
      <c r="N65" s="256">
        <f t="shared" ref="N65:O68" si="7">HLOOKUP(E$64*10+$A65,$87:$94,8,FALSE)</f>
        <v>5077</v>
      </c>
      <c r="O65" s="256">
        <f t="shared" si="7"/>
        <v>2401</v>
      </c>
      <c r="P65" s="210"/>
    </row>
    <row r="66" spans="1:71" x14ac:dyDescent="0.25">
      <c r="A66" s="204">
        <v>2</v>
      </c>
      <c r="B66" s="205">
        <f t="shared" si="5"/>
        <v>0.55000000000000004</v>
      </c>
      <c r="C66" s="205">
        <f t="shared" si="5"/>
        <v>0.87</v>
      </c>
      <c r="D66" s="205">
        <f t="shared" si="5"/>
        <v>0.77</v>
      </c>
      <c r="E66" s="205">
        <f t="shared" si="5"/>
        <v>1.25</v>
      </c>
      <c r="F66" s="206">
        <f>IF(ISNA(HLOOKUP(F$64*10+$A66,$81:$82,2,FALSE)),(HLOOKUP(E$64*10+$A66,$87:$94,4,FALSE)*$G66+$B$25)/HLOOKUP(E$64*10+$A66,$87:$94,5,FALSE)*$E66,HLOOKUP(F$64*10+$A66,$81:$82,2,FALSE))</f>
        <v>1.19</v>
      </c>
      <c r="G66" s="101">
        <f>MIN(130%,SUM($B$57:$D$57)/SUM($B$58:$D$58)*$G$69/HLOOKUP(E$64*10+$A66,$145:$146,2,FALSE))</f>
        <v>1.0854000267541626</v>
      </c>
      <c r="H66" s="204">
        <v>2</v>
      </c>
      <c r="I66" s="208">
        <f t="shared" si="6"/>
        <v>9.2799999999999994E-2</v>
      </c>
      <c r="J66" s="208">
        <f t="shared" si="6"/>
        <v>8.1600000000000006E-2</v>
      </c>
      <c r="K66" s="208">
        <f t="shared" si="6"/>
        <v>7.9600000000000004E-2</v>
      </c>
      <c r="L66" s="208">
        <f t="shared" si="6"/>
        <v>9.9700000000000011E-2</v>
      </c>
      <c r="M66" s="209">
        <f t="shared" si="6"/>
        <v>9.4200000000000006E-2</v>
      </c>
      <c r="N66" s="256">
        <f t="shared" si="7"/>
        <v>76022</v>
      </c>
      <c r="O66" s="256">
        <f t="shared" si="7"/>
        <v>59662</v>
      </c>
      <c r="P66" s="210"/>
    </row>
    <row r="67" spans="1:71" x14ac:dyDescent="0.25">
      <c r="A67" s="204">
        <v>3</v>
      </c>
      <c r="B67" s="205">
        <f t="shared" si="5"/>
        <v>0.26</v>
      </c>
      <c r="C67" s="205">
        <f t="shared" si="5"/>
        <v>0.42</v>
      </c>
      <c r="D67" s="205">
        <f t="shared" si="5"/>
        <v>0.71</v>
      </c>
      <c r="E67" s="205">
        <f t="shared" si="5"/>
        <v>0.69</v>
      </c>
      <c r="F67" s="206">
        <f>IF(ISNA(HLOOKUP(F$64*10+$A67,$81:$82,2,FALSE)),(HLOOKUP(E$64*10+$A67,$87:$94,4,FALSE)*$G67+$B$25)/HLOOKUP(E$64*10+$A67,$87:$94,5,FALSE)*$E67,HLOOKUP(F$64*10+$A67,$81:$82,2,FALSE))</f>
        <v>0.99</v>
      </c>
      <c r="G67" s="101">
        <f>MIN(130%,SUM($B$57:$D$57)/SUM($B$58:$D$58)*$G$69/HLOOKUP(E$64*10+$A67,$145:$146,2,FALSE))</f>
        <v>1.163300862639475</v>
      </c>
      <c r="H67" s="204">
        <v>3</v>
      </c>
      <c r="I67" s="208">
        <f t="shared" si="6"/>
        <v>0.08</v>
      </c>
      <c r="J67" s="208">
        <f t="shared" si="6"/>
        <v>5.7200000000000001E-2</v>
      </c>
      <c r="K67" s="208">
        <f t="shared" si="6"/>
        <v>7.6600000000000001E-2</v>
      </c>
      <c r="L67" s="208">
        <f t="shared" si="6"/>
        <v>6.7699999999999996E-2</v>
      </c>
      <c r="M67" s="209">
        <f t="shared" si="6"/>
        <v>9.2399999999999996E-2</v>
      </c>
      <c r="N67" s="256">
        <f t="shared" si="7"/>
        <v>17469</v>
      </c>
      <c r="O67" s="256">
        <f t="shared" si="7"/>
        <v>19333</v>
      </c>
      <c r="P67" s="210"/>
    </row>
    <row r="68" spans="1:71" x14ac:dyDescent="0.25">
      <c r="A68" s="204">
        <v>4</v>
      </c>
      <c r="B68" s="205">
        <f>HLOOKUP(B$64*10+$A68,$81:$82,2,FALSE)</f>
        <v>0.12</v>
      </c>
      <c r="C68" s="205">
        <f>HLOOKUP(C$64*10+$A68,$81:$82,2,FALSE)</f>
        <v>0.15</v>
      </c>
      <c r="D68" s="205">
        <f>HLOOKUP(D$64*10+$A68,$81:$82,2,FALSE)</f>
        <v>0.31</v>
      </c>
      <c r="E68" s="206">
        <f>IF(ISNA(HLOOKUP(E$64*10+$A68,$81:$82,2,FALSE)),D68*(1-$N68)*#REF!*(1+$B$25)/(1+$E$4),HLOOKUP(E$64*10+$A68,$81:$82,2,FALSE))</f>
        <v>0.63</v>
      </c>
      <c r="F68" s="206">
        <f>IF(ISNA(HLOOKUP(F$64*10+$A68,$81:$82,2,FALSE)),(HLOOKUP(E$64*10+$A68,$87:$94,4,FALSE)*$G68+$B$25)/HLOOKUP(E$64*10+$A68,$87:$94,5,FALSE)*$E68,HLOOKUP(F$64*10+$A68,$81:$82,2,FALSE))</f>
        <v>0.79079772908664125</v>
      </c>
      <c r="G68" s="101">
        <f>MIN(130%,SUM($B$57:$D$57)/SUM($B$58:$D$58)*$G$69/HLOOKUP(E$64*10+$A68,$145:$146,2,FALSE))</f>
        <v>1.1453549423897493</v>
      </c>
      <c r="H68" s="204">
        <v>4</v>
      </c>
      <c r="I68" s="208">
        <f t="shared" si="6"/>
        <v>1.8000000000000002E-2</v>
      </c>
      <c r="J68" s="208">
        <f t="shared" si="6"/>
        <v>1.46E-2</v>
      </c>
      <c r="K68" s="208">
        <f t="shared" si="6"/>
        <v>4.0500000000000001E-2</v>
      </c>
      <c r="L68" s="208">
        <f t="shared" si="6"/>
        <v>6.2100000000000002E-2</v>
      </c>
      <c r="M68" s="209" t="str">
        <f t="shared" si="6"/>
        <v/>
      </c>
      <c r="N68" s="256">
        <f t="shared" si="7"/>
        <v>5540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1.25</v>
      </c>
      <c r="C69" s="213">
        <f>SUM(C65:C68)</f>
        <v>1.65</v>
      </c>
      <c r="D69" s="213">
        <f>SUM(D65:D68)</f>
        <v>2.25</v>
      </c>
      <c r="E69" s="213">
        <f>SUM(E65:E68)</f>
        <v>2.9499999999999997</v>
      </c>
      <c r="F69" s="213">
        <f>SUM(F65:F68)</f>
        <v>3.4107977290866414</v>
      </c>
      <c r="G69" s="257">
        <f>_xlfn.FORECAST.ETS(23,B146:W146,{1,2,3,4,5,6,7,8,9,10,11,12,13,14,15,16,17,18,19,20,21,22})</f>
        <v>40.750304624693719</v>
      </c>
      <c r="H69" s="214" t="s">
        <v>19</v>
      </c>
      <c r="I69" s="215">
        <f>HLOOKUP(I64,151:155,3,FALSE)/100</f>
        <v>6.3399999999999998E-2</v>
      </c>
      <c r="J69" s="215">
        <f>HLOOKUP(J64,151:155,3,FALSE)/100</f>
        <v>4.8399999999999999E-2</v>
      </c>
      <c r="K69" s="215">
        <f>HLOOKUP(K64,151:155,3,FALSE)/100</f>
        <v>6.6500000000000004E-2</v>
      </c>
      <c r="L69" s="215">
        <f>IF(ISNA(HLOOKUP(L64,151:155,3,FALSE)/100),AVERAGE(L65:L68),HLOOKUP(L64,151:155,3,FALSE)/100)</f>
        <v>7.2599999999999998E-2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2.19</v>
      </c>
      <c r="C72" s="205">
        <f t="shared" si="8"/>
        <v>1.56</v>
      </c>
      <c r="D72" s="205">
        <f t="shared" si="8"/>
        <v>3.24</v>
      </c>
      <c r="E72" s="205">
        <f t="shared" si="8"/>
        <v>2.5</v>
      </c>
      <c r="F72" s="205">
        <f t="shared" si="8"/>
        <v>2.66</v>
      </c>
    </row>
    <row r="73" spans="1:71" s="135" customFormat="1" x14ac:dyDescent="0.25">
      <c r="A73" s="204">
        <v>2</v>
      </c>
      <c r="B73" s="205">
        <f t="shared" si="8"/>
        <v>4.05</v>
      </c>
      <c r="C73" s="205">
        <f t="shared" si="8"/>
        <v>6.38</v>
      </c>
      <c r="D73" s="205">
        <f t="shared" si="8"/>
        <v>5.44</v>
      </c>
      <c r="E73" s="205">
        <f t="shared" si="8"/>
        <v>8.1999999999999993</v>
      </c>
      <c r="F73" s="205">
        <f t="shared" si="8"/>
        <v>7.34</v>
      </c>
    </row>
    <row r="74" spans="1:71" s="135" customFormat="1" x14ac:dyDescent="0.25">
      <c r="A74" s="204">
        <v>3</v>
      </c>
      <c r="B74" s="205">
        <f t="shared" si="8"/>
        <v>1.99</v>
      </c>
      <c r="C74" s="205">
        <f t="shared" si="8"/>
        <v>3.11</v>
      </c>
      <c r="D74" s="205">
        <f t="shared" si="8"/>
        <v>4.9400000000000004</v>
      </c>
      <c r="E74" s="205">
        <f t="shared" si="8"/>
        <v>4.47</v>
      </c>
      <c r="F74" s="205">
        <f t="shared" si="8"/>
        <v>5.96</v>
      </c>
    </row>
    <row r="75" spans="1:71" s="135" customFormat="1" x14ac:dyDescent="0.25">
      <c r="A75" s="204">
        <v>4</v>
      </c>
      <c r="B75" s="205">
        <f t="shared" si="8"/>
        <v>0.87</v>
      </c>
      <c r="C75" s="205">
        <f t="shared" si="8"/>
        <v>1.05</v>
      </c>
      <c r="D75" s="205">
        <f t="shared" si="8"/>
        <v>2.08</v>
      </c>
      <c r="E75" s="205">
        <f t="shared" si="8"/>
        <v>3.91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9.1</v>
      </c>
      <c r="C76" s="213">
        <f>SUM(C72:C75)</f>
        <v>12.1</v>
      </c>
      <c r="D76" s="213">
        <f>SUM(D72:D75)</f>
        <v>15.700000000000001</v>
      </c>
      <c r="E76" s="213">
        <f>AVERAGE(E72:E75)*4</f>
        <v>19.079999999999998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497141</v>
      </c>
      <c r="C79" s="270">
        <v>529129</v>
      </c>
      <c r="D79" s="270">
        <v>612715</v>
      </c>
      <c r="E79" s="270">
        <v>739176</v>
      </c>
      <c r="F79" s="270">
        <v>758473</v>
      </c>
      <c r="G79" s="270">
        <v>739584</v>
      </c>
      <c r="H79" s="270">
        <v>721252</v>
      </c>
      <c r="I79" s="270">
        <v>645833</v>
      </c>
      <c r="J79" s="270">
        <v>567920</v>
      </c>
      <c r="K79" s="270">
        <v>529140</v>
      </c>
      <c r="L79" s="270">
        <v>552374</v>
      </c>
      <c r="M79" s="270">
        <v>520052</v>
      </c>
      <c r="N79" s="270">
        <v>540098</v>
      </c>
      <c r="O79" s="270">
        <v>522349</v>
      </c>
      <c r="P79" s="270">
        <v>576197</v>
      </c>
      <c r="Q79" s="270">
        <v>640283</v>
      </c>
      <c r="R79" s="270">
        <v>674900</v>
      </c>
      <c r="S79" s="270">
        <v>585366</v>
      </c>
      <c r="T79" s="270">
        <v>608445</v>
      </c>
      <c r="U79" s="270">
        <v>587480</v>
      </c>
      <c r="V79" s="270">
        <v>548527</v>
      </c>
      <c r="W79" s="270">
        <v>521346</v>
      </c>
      <c r="X79" s="270">
        <v>505025</v>
      </c>
      <c r="Y79" s="270">
        <v>499433</v>
      </c>
      <c r="Z79" s="270">
        <v>549278</v>
      </c>
      <c r="AA79" s="270">
        <v>521815</v>
      </c>
      <c r="AB79" s="270">
        <v>546537</v>
      </c>
      <c r="AC79" s="270">
        <v>620687</v>
      </c>
      <c r="AD79" s="270">
        <v>622890</v>
      </c>
      <c r="AE79" s="270">
        <v>650051</v>
      </c>
      <c r="AF79" s="270">
        <v>666272</v>
      </c>
      <c r="AG79" s="270">
        <v>578780</v>
      </c>
      <c r="AH79" s="270">
        <v>547015</v>
      </c>
      <c r="AI79" s="270">
        <v>488303</v>
      </c>
      <c r="AJ79" s="270">
        <v>537273</v>
      </c>
      <c r="AK79" s="270">
        <v>492976</v>
      </c>
      <c r="AL79" s="270">
        <v>607632</v>
      </c>
      <c r="AM79" s="270">
        <v>439816</v>
      </c>
      <c r="AN79" s="270">
        <v>584845</v>
      </c>
      <c r="AO79" s="270">
        <v>626555</v>
      </c>
      <c r="AP79" s="270">
        <v>644503</v>
      </c>
      <c r="AQ79" s="270">
        <v>653033</v>
      </c>
      <c r="AR79" s="270">
        <v>708007</v>
      </c>
      <c r="AS79" s="270">
        <v>659894</v>
      </c>
      <c r="AT79" s="270">
        <v>618723</v>
      </c>
      <c r="AU79" s="270">
        <v>592081</v>
      </c>
      <c r="AV79" s="270">
        <v>591701</v>
      </c>
      <c r="AW79" s="270">
        <v>586597</v>
      </c>
      <c r="AX79" s="270">
        <v>643873</v>
      </c>
      <c r="AY79" s="270">
        <v>531592</v>
      </c>
      <c r="AZ79" s="270">
        <v>676770</v>
      </c>
      <c r="BA79" s="270">
        <v>731412</v>
      </c>
      <c r="BB79" s="270">
        <v>747451</v>
      </c>
      <c r="BC79" s="270">
        <v>743767</v>
      </c>
      <c r="BD79" s="270">
        <v>738221</v>
      </c>
      <c r="BE79" s="270">
        <v>699577</v>
      </c>
      <c r="BF79" s="270">
        <v>711838</v>
      </c>
      <c r="BG79" s="270">
        <v>711331</v>
      </c>
      <c r="BH79" s="270">
        <v>701656</v>
      </c>
      <c r="BI79" s="270">
        <v>691798</v>
      </c>
      <c r="BJ79" s="270">
        <v>723615</v>
      </c>
      <c r="BK79" s="270">
        <v>638579</v>
      </c>
      <c r="BL79" s="270">
        <v>760765</v>
      </c>
      <c r="BM79" s="270">
        <v>759786</v>
      </c>
      <c r="BN79" s="270">
        <v>789755</v>
      </c>
      <c r="BO79" s="270">
        <v>856762</v>
      </c>
      <c r="BP79" s="270">
        <v>785818</v>
      </c>
      <c r="BQ79" s="270">
        <v>822511</v>
      </c>
      <c r="BR79" s="270">
        <v>802107</v>
      </c>
      <c r="BS79" s="270">
        <v>773250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0.48</v>
      </c>
      <c r="C82" s="72">
        <v>1.49</v>
      </c>
      <c r="D82" s="72">
        <v>0.88</v>
      </c>
      <c r="E82" s="72">
        <v>0.18</v>
      </c>
      <c r="F82" s="72">
        <v>0.32</v>
      </c>
      <c r="G82" s="72">
        <v>0.55000000000000004</v>
      </c>
      <c r="H82" s="72">
        <v>0.26</v>
      </c>
      <c r="I82" s="72">
        <v>0.12</v>
      </c>
      <c r="J82" s="72">
        <v>0.21</v>
      </c>
      <c r="K82" s="72">
        <v>0.87</v>
      </c>
      <c r="L82" s="72">
        <v>0.42</v>
      </c>
      <c r="M82" s="72">
        <v>0.15</v>
      </c>
      <c r="N82" s="72">
        <v>0.46</v>
      </c>
      <c r="O82" s="72">
        <v>0.77</v>
      </c>
      <c r="P82" s="72">
        <v>0.71</v>
      </c>
      <c r="Q82" s="72">
        <v>0.31</v>
      </c>
      <c r="R82" s="72">
        <v>0.38</v>
      </c>
      <c r="S82" s="72">
        <v>1.25</v>
      </c>
      <c r="T82" s="72">
        <v>0.69</v>
      </c>
      <c r="U82" s="72">
        <v>0.63</v>
      </c>
      <c r="V82" s="72">
        <v>0.44</v>
      </c>
      <c r="W82" s="72">
        <v>1.19</v>
      </c>
      <c r="X82" s="72">
        <v>0.99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13.88</v>
      </c>
      <c r="C85" s="72">
        <v>13.64</v>
      </c>
      <c r="D85" s="72">
        <v>14.44</v>
      </c>
      <c r="E85" s="72">
        <v>14.65</v>
      </c>
      <c r="F85" s="72">
        <v>14.18</v>
      </c>
      <c r="G85" s="72">
        <v>13.08</v>
      </c>
      <c r="H85" s="72">
        <v>13.32</v>
      </c>
      <c r="I85" s="72">
        <v>13.52</v>
      </c>
      <c r="J85" s="72">
        <v>13.82</v>
      </c>
      <c r="K85" s="72">
        <v>13.42</v>
      </c>
      <c r="L85" s="72">
        <v>13.82</v>
      </c>
      <c r="M85" s="72">
        <v>14.04</v>
      </c>
      <c r="N85" s="72">
        <v>14.41</v>
      </c>
      <c r="O85" s="72">
        <v>13.99</v>
      </c>
      <c r="P85" s="72">
        <v>14.92</v>
      </c>
      <c r="Q85" s="72">
        <v>15.04</v>
      </c>
      <c r="R85" s="72">
        <v>15.39</v>
      </c>
      <c r="S85" s="72">
        <v>15.18</v>
      </c>
      <c r="T85" s="72">
        <v>15.84</v>
      </c>
      <c r="U85" s="72">
        <v>16.28</v>
      </c>
      <c r="V85" s="72">
        <v>16.690000000000001</v>
      </c>
      <c r="W85" s="72">
        <v>15.86</v>
      </c>
      <c r="X85" s="72">
        <v>17.23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1638985</v>
      </c>
      <c r="C88" s="273">
        <v>2237233</v>
      </c>
      <c r="D88" s="273">
        <v>1935005</v>
      </c>
      <c r="E88" s="273">
        <v>1601566</v>
      </c>
      <c r="F88" s="273">
        <v>1638644</v>
      </c>
      <c r="G88" s="273">
        <v>1900549</v>
      </c>
      <c r="H88" s="273">
        <v>1744452</v>
      </c>
      <c r="I88" s="273">
        <v>1525804</v>
      </c>
      <c r="J88" s="273">
        <v>1617630</v>
      </c>
      <c r="K88" s="273">
        <v>1893628</v>
      </c>
      <c r="L88" s="273">
        <v>1792067</v>
      </c>
      <c r="M88" s="273">
        <v>1518552</v>
      </c>
      <c r="N88" s="273">
        <v>1632293</v>
      </c>
      <c r="O88" s="273">
        <v>1924091</v>
      </c>
      <c r="P88" s="273">
        <v>1986624</v>
      </c>
      <c r="Q88" s="273">
        <v>1770379</v>
      </c>
      <c r="R88" s="273">
        <v>1852235</v>
      </c>
      <c r="S88" s="273">
        <v>2222630</v>
      </c>
      <c r="T88" s="273">
        <v>2149636</v>
      </c>
      <c r="U88" s="273">
        <v>2104785</v>
      </c>
      <c r="V88" s="273">
        <v>2122959</v>
      </c>
      <c r="W88" s="273">
        <v>2406303</v>
      </c>
      <c r="X88" s="273">
        <v>2410436</v>
      </c>
    </row>
    <row r="89" spans="1:25" ht="14.25" thickBot="1" x14ac:dyDescent="0.3">
      <c r="A89" s="250" t="s">
        <v>4</v>
      </c>
      <c r="B89" s="275">
        <v>662048</v>
      </c>
      <c r="C89" s="275">
        <v>947473</v>
      </c>
      <c r="D89" s="275">
        <v>800376</v>
      </c>
      <c r="E89" s="275">
        <v>604507</v>
      </c>
      <c r="F89" s="275">
        <v>666186</v>
      </c>
      <c r="G89" s="275">
        <v>802842</v>
      </c>
      <c r="H89" s="275">
        <v>700262</v>
      </c>
      <c r="I89" s="275">
        <v>616951</v>
      </c>
      <c r="J89" s="275">
        <v>692369</v>
      </c>
      <c r="K89" s="275">
        <v>828851</v>
      </c>
      <c r="L89" s="275">
        <v>737755</v>
      </c>
      <c r="M89" s="275">
        <v>637029</v>
      </c>
      <c r="N89" s="275">
        <v>720489</v>
      </c>
      <c r="O89" s="275">
        <v>793947</v>
      </c>
      <c r="P89" s="275">
        <v>815997</v>
      </c>
      <c r="Q89" s="275">
        <v>719094</v>
      </c>
      <c r="R89" s="275">
        <v>769094</v>
      </c>
      <c r="S89" s="275">
        <v>942673</v>
      </c>
      <c r="T89" s="275">
        <v>850551</v>
      </c>
      <c r="U89" s="275">
        <v>846002</v>
      </c>
      <c r="V89" s="275">
        <v>806477</v>
      </c>
      <c r="W89" s="275">
        <v>992241</v>
      </c>
      <c r="X89" s="275">
        <v>1017260</v>
      </c>
    </row>
    <row r="90" spans="1:25" ht="14.25" thickBot="1" x14ac:dyDescent="0.3">
      <c r="A90" s="251" t="s">
        <v>5</v>
      </c>
      <c r="B90" s="273">
        <v>121068</v>
      </c>
      <c r="C90" s="273">
        <v>332702</v>
      </c>
      <c r="D90" s="273">
        <v>214475</v>
      </c>
      <c r="E90" s="273">
        <v>44442</v>
      </c>
      <c r="F90" s="273">
        <v>88426</v>
      </c>
      <c r="G90" s="273">
        <v>176388</v>
      </c>
      <c r="H90" s="273">
        <v>139551</v>
      </c>
      <c r="I90" s="273">
        <v>27481</v>
      </c>
      <c r="J90" s="273">
        <v>50888</v>
      </c>
      <c r="K90" s="273">
        <v>154540</v>
      </c>
      <c r="L90" s="273">
        <v>102443</v>
      </c>
      <c r="M90" s="273">
        <v>22114</v>
      </c>
      <c r="N90" s="273">
        <v>109242</v>
      </c>
      <c r="O90" s="273">
        <v>153133</v>
      </c>
      <c r="P90" s="273">
        <v>152193</v>
      </c>
      <c r="Q90" s="273">
        <v>71686</v>
      </c>
      <c r="R90" s="273">
        <v>107131</v>
      </c>
      <c r="S90" s="273">
        <v>221536</v>
      </c>
      <c r="T90" s="273">
        <v>145526</v>
      </c>
      <c r="U90" s="273">
        <v>130649</v>
      </c>
      <c r="V90" s="273">
        <v>108568</v>
      </c>
      <c r="W90" s="273">
        <v>226741</v>
      </c>
      <c r="X90" s="273">
        <v>222759</v>
      </c>
    </row>
    <row r="91" spans="1:25" ht="14.25" thickBot="1" x14ac:dyDescent="0.3">
      <c r="A91" s="250" t="s">
        <v>6</v>
      </c>
      <c r="B91" s="275">
        <v>130290</v>
      </c>
      <c r="C91" s="275">
        <v>362813</v>
      </c>
      <c r="D91" s="275">
        <v>224374</v>
      </c>
      <c r="E91" s="275">
        <v>57084</v>
      </c>
      <c r="F91" s="275">
        <v>95125</v>
      </c>
      <c r="G91" s="275">
        <v>214085</v>
      </c>
      <c r="H91" s="275">
        <v>148731</v>
      </c>
      <c r="I91" s="275">
        <v>40344</v>
      </c>
      <c r="J91" s="275">
        <v>60238</v>
      </c>
      <c r="K91" s="275">
        <v>208156</v>
      </c>
      <c r="L91" s="275">
        <v>109115</v>
      </c>
      <c r="M91" s="275">
        <v>43050</v>
      </c>
      <c r="N91" s="275">
        <v>116751</v>
      </c>
      <c r="O91" s="275">
        <v>198523</v>
      </c>
      <c r="P91" s="275">
        <v>178351</v>
      </c>
      <c r="Q91" s="275">
        <v>78360</v>
      </c>
      <c r="R91" s="275">
        <v>112208</v>
      </c>
      <c r="S91" s="275">
        <v>297558</v>
      </c>
      <c r="T91" s="275">
        <v>162995</v>
      </c>
      <c r="U91" s="275">
        <v>136189</v>
      </c>
      <c r="V91" s="275">
        <v>110969</v>
      </c>
      <c r="W91" s="275">
        <v>286403</v>
      </c>
      <c r="X91" s="275">
        <v>242092</v>
      </c>
    </row>
    <row r="92" spans="1:25" ht="14.25" thickBot="1" x14ac:dyDescent="0.3">
      <c r="A92" s="251" t="s">
        <v>7</v>
      </c>
      <c r="B92" s="273">
        <v>99727</v>
      </c>
      <c r="C92" s="273">
        <v>308577</v>
      </c>
      <c r="D92" s="273">
        <v>182335</v>
      </c>
      <c r="E92" s="273">
        <v>37064</v>
      </c>
      <c r="F92" s="273">
        <v>65625</v>
      </c>
      <c r="G92" s="273">
        <v>114666</v>
      </c>
      <c r="H92" s="273">
        <v>54629</v>
      </c>
      <c r="I92" s="273">
        <v>24295</v>
      </c>
      <c r="J92" s="273">
        <v>44241</v>
      </c>
      <c r="K92" s="273">
        <v>180479</v>
      </c>
      <c r="L92" s="273">
        <v>87904</v>
      </c>
      <c r="M92" s="273">
        <v>30466</v>
      </c>
      <c r="N92" s="273">
        <v>95766</v>
      </c>
      <c r="O92" s="273">
        <v>160399</v>
      </c>
      <c r="P92" s="273">
        <v>148286</v>
      </c>
      <c r="Q92" s="273">
        <v>64571</v>
      </c>
      <c r="R92" s="273">
        <v>78851</v>
      </c>
      <c r="S92" s="273">
        <v>260041</v>
      </c>
      <c r="T92" s="273">
        <v>143923</v>
      </c>
      <c r="U92" s="273">
        <v>130350</v>
      </c>
      <c r="V92" s="273">
        <v>91124</v>
      </c>
      <c r="W92" s="273">
        <v>247843</v>
      </c>
      <c r="X92" s="273">
        <v>204539</v>
      </c>
    </row>
    <row r="93" spans="1:25" ht="26.25" thickBot="1" x14ac:dyDescent="0.3">
      <c r="A93" s="252" t="s">
        <v>8</v>
      </c>
      <c r="B93" s="276">
        <v>99727</v>
      </c>
      <c r="C93" s="276">
        <v>308577</v>
      </c>
      <c r="D93" s="276">
        <v>182335</v>
      </c>
      <c r="E93" s="276">
        <v>37064</v>
      </c>
      <c r="F93" s="276">
        <v>65625</v>
      </c>
      <c r="G93" s="276">
        <v>114666</v>
      </c>
      <c r="H93" s="276">
        <v>54629</v>
      </c>
      <c r="I93" s="276">
        <v>24295</v>
      </c>
      <c r="J93" s="276">
        <v>44241</v>
      </c>
      <c r="K93" s="276">
        <v>180479</v>
      </c>
      <c r="L93" s="276">
        <v>87904</v>
      </c>
      <c r="M93" s="276">
        <v>30466</v>
      </c>
      <c r="N93" s="276">
        <v>95766</v>
      </c>
      <c r="O93" s="276">
        <v>160399</v>
      </c>
      <c r="P93" s="276">
        <v>148286</v>
      </c>
      <c r="Q93" s="276">
        <v>64571</v>
      </c>
      <c r="R93" s="276">
        <v>78851</v>
      </c>
      <c r="S93" s="276">
        <v>260041</v>
      </c>
      <c r="T93" s="276">
        <v>143923</v>
      </c>
      <c r="U93" s="276">
        <v>130350</v>
      </c>
      <c r="V93" s="276">
        <v>91124</v>
      </c>
      <c r="W93" s="276">
        <v>247843</v>
      </c>
      <c r="X93" s="276">
        <v>204539</v>
      </c>
    </row>
    <row r="94" spans="1:25" x14ac:dyDescent="0.25">
      <c r="A94" s="233" t="s">
        <v>365</v>
      </c>
      <c r="B94" s="253">
        <f>IF(B91="","",B91-B90)</f>
        <v>9222</v>
      </c>
      <c r="C94" s="253">
        <f>IF(C91="","",C91-C90)</f>
        <v>30111</v>
      </c>
      <c r="D94" s="253">
        <f t="shared" ref="D94:Y94" si="9">IF(D91="","",D91-D90)</f>
        <v>9899</v>
      </c>
      <c r="E94" s="253">
        <f t="shared" si="9"/>
        <v>12642</v>
      </c>
      <c r="F94" s="253">
        <f t="shared" si="9"/>
        <v>6699</v>
      </c>
      <c r="G94" s="253">
        <f t="shared" si="9"/>
        <v>37697</v>
      </c>
      <c r="H94" s="253">
        <f t="shared" si="9"/>
        <v>9180</v>
      </c>
      <c r="I94" s="253">
        <f t="shared" si="9"/>
        <v>12863</v>
      </c>
      <c r="J94" s="253">
        <f t="shared" si="9"/>
        <v>9350</v>
      </c>
      <c r="K94" s="253">
        <f t="shared" si="9"/>
        <v>53616</v>
      </c>
      <c r="L94" s="253">
        <f t="shared" si="9"/>
        <v>6672</v>
      </c>
      <c r="M94" s="253">
        <f t="shared" si="9"/>
        <v>20936</v>
      </c>
      <c r="N94" s="253">
        <f t="shared" si="9"/>
        <v>7509</v>
      </c>
      <c r="O94" s="253">
        <f t="shared" si="9"/>
        <v>45390</v>
      </c>
      <c r="P94" s="253">
        <f t="shared" si="9"/>
        <v>26158</v>
      </c>
      <c r="Q94" s="253">
        <f t="shared" si="9"/>
        <v>6674</v>
      </c>
      <c r="R94" s="253">
        <f t="shared" si="9"/>
        <v>5077</v>
      </c>
      <c r="S94" s="253">
        <f t="shared" si="9"/>
        <v>76022</v>
      </c>
      <c r="T94" s="253">
        <f t="shared" si="9"/>
        <v>17469</v>
      </c>
      <c r="U94" s="253">
        <f t="shared" si="9"/>
        <v>5540</v>
      </c>
      <c r="V94" s="253">
        <f t="shared" si="9"/>
        <v>2401</v>
      </c>
      <c r="W94" s="253">
        <f t="shared" si="9"/>
        <v>59662</v>
      </c>
      <c r="X94" s="253">
        <f t="shared" si="9"/>
        <v>19333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7412789</v>
      </c>
      <c r="C97" s="273">
        <v>6809449</v>
      </c>
      <c r="D97" s="273">
        <v>6821877</v>
      </c>
      <c r="E97" s="273">
        <v>7313387</v>
      </c>
      <c r="F97" s="273">
        <v>8329286</v>
      </c>
    </row>
    <row r="98" spans="1:24" ht="14.25" thickBot="1" x14ac:dyDescent="0.3">
      <c r="A98" s="225" t="s">
        <v>4</v>
      </c>
      <c r="B98" s="275">
        <v>3014404</v>
      </c>
      <c r="C98" s="275">
        <v>2786241</v>
      </c>
      <c r="D98" s="275">
        <v>2896004</v>
      </c>
      <c r="E98" s="275">
        <v>3049527</v>
      </c>
      <c r="F98" s="275">
        <v>3408320</v>
      </c>
    </row>
    <row r="99" spans="1:24" ht="14.25" thickBot="1" x14ac:dyDescent="0.3">
      <c r="A99" s="224" t="s">
        <v>5</v>
      </c>
      <c r="B99" s="273">
        <v>712687</v>
      </c>
      <c r="C99" s="273">
        <v>431846</v>
      </c>
      <c r="D99" s="273">
        <v>329985</v>
      </c>
      <c r="E99" s="273">
        <v>486254</v>
      </c>
      <c r="F99" s="273">
        <v>604842</v>
      </c>
    </row>
    <row r="100" spans="1:24" ht="14.25" thickBot="1" x14ac:dyDescent="0.3">
      <c r="A100" s="225" t="s">
        <v>6</v>
      </c>
      <c r="B100" s="275">
        <v>774561</v>
      </c>
      <c r="C100" s="275">
        <v>498285</v>
      </c>
      <c r="D100" s="275">
        <v>420559</v>
      </c>
      <c r="E100" s="275">
        <v>571985</v>
      </c>
      <c r="F100" s="275">
        <v>708950</v>
      </c>
    </row>
    <row r="101" spans="1:24" ht="14.25" thickBot="1" x14ac:dyDescent="0.3">
      <c r="A101" s="224" t="s">
        <v>7</v>
      </c>
      <c r="B101" s="273">
        <v>627703</v>
      </c>
      <c r="C101" s="273">
        <v>259215</v>
      </c>
      <c r="D101" s="273">
        <v>343090</v>
      </c>
      <c r="E101" s="273">
        <v>469022</v>
      </c>
      <c r="F101" s="273">
        <v>613165</v>
      </c>
    </row>
    <row r="102" spans="1:24" ht="14.25" thickBot="1" x14ac:dyDescent="0.3">
      <c r="A102" s="227" t="s">
        <v>8</v>
      </c>
      <c r="B102" s="276">
        <v>627703</v>
      </c>
      <c r="C102" s="276">
        <v>259215</v>
      </c>
      <c r="D102" s="276">
        <v>343090</v>
      </c>
      <c r="E102" s="276">
        <v>469022</v>
      </c>
      <c r="F102" s="276">
        <v>613165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1745259</v>
      </c>
      <c r="C106" s="273">
        <v>1932900</v>
      </c>
      <c r="D106" s="273">
        <v>1332303</v>
      </c>
      <c r="E106" s="273">
        <v>1348673</v>
      </c>
      <c r="F106" s="273">
        <v>1244773</v>
      </c>
      <c r="G106" s="273">
        <v>1485280</v>
      </c>
      <c r="H106" s="273">
        <v>1400100</v>
      </c>
      <c r="I106" s="273">
        <v>1719430</v>
      </c>
      <c r="J106" s="273">
        <v>1797272</v>
      </c>
      <c r="K106" s="273">
        <v>1757872</v>
      </c>
      <c r="L106" s="273">
        <v>1611740</v>
      </c>
      <c r="M106" s="273">
        <v>1753118</v>
      </c>
      <c r="N106" s="273">
        <v>1807815</v>
      </c>
      <c r="O106" s="273">
        <v>2010322</v>
      </c>
      <c r="P106" s="273">
        <v>1694207</v>
      </c>
      <c r="Q106" s="273">
        <v>1825672</v>
      </c>
      <c r="R106" s="273">
        <v>2014464</v>
      </c>
      <c r="S106" s="273">
        <v>2233492</v>
      </c>
      <c r="T106" s="273">
        <v>1804653</v>
      </c>
      <c r="U106" s="273">
        <v>1898827</v>
      </c>
      <c r="V106" s="273">
        <v>1544262</v>
      </c>
      <c r="W106" s="273">
        <v>1550901</v>
      </c>
      <c r="X106" s="273">
        <v>1216089</v>
      </c>
    </row>
    <row r="107" spans="1:24" ht="14.25" thickBot="1" x14ac:dyDescent="0.3">
      <c r="A107" s="225" t="s">
        <v>22</v>
      </c>
      <c r="B107" s="274">
        <v>154</v>
      </c>
      <c r="C107" s="274">
        <v>0</v>
      </c>
      <c r="D107" s="275">
        <v>5740</v>
      </c>
      <c r="E107" s="275">
        <v>1637</v>
      </c>
      <c r="F107" s="274">
        <v>0</v>
      </c>
      <c r="G107" s="274">
        <v>0</v>
      </c>
      <c r="H107" s="275">
        <v>4457</v>
      </c>
      <c r="I107" s="274">
        <v>0</v>
      </c>
      <c r="J107" s="274">
        <v>0</v>
      </c>
      <c r="K107" s="275">
        <v>3694</v>
      </c>
      <c r="L107" s="274">
        <v>0</v>
      </c>
      <c r="M107" s="274">
        <v>0</v>
      </c>
      <c r="N107" s="275">
        <v>1260</v>
      </c>
      <c r="O107" s="274">
        <v>0</v>
      </c>
      <c r="P107" s="274">
        <v>215</v>
      </c>
      <c r="Q107" s="274">
        <v>0</v>
      </c>
      <c r="R107" s="274">
        <v>442</v>
      </c>
      <c r="S107" s="274">
        <v>685</v>
      </c>
      <c r="T107" s="274">
        <v>356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895309</v>
      </c>
      <c r="C108" s="273">
        <v>1196336</v>
      </c>
      <c r="D108" s="273">
        <v>1051307</v>
      </c>
      <c r="E108" s="273">
        <v>920919</v>
      </c>
      <c r="F108" s="273">
        <v>887401</v>
      </c>
      <c r="G108" s="273">
        <v>1025262</v>
      </c>
      <c r="H108" s="273">
        <v>865897</v>
      </c>
      <c r="I108" s="273">
        <v>803380</v>
      </c>
      <c r="J108" s="273">
        <v>776328</v>
      </c>
      <c r="K108" s="273">
        <v>913849</v>
      </c>
      <c r="L108" s="273">
        <v>823182</v>
      </c>
      <c r="M108" s="273">
        <v>733645</v>
      </c>
      <c r="N108" s="273">
        <v>731140</v>
      </c>
      <c r="O108" s="273">
        <v>878279</v>
      </c>
      <c r="P108" s="273">
        <v>886568</v>
      </c>
      <c r="Q108" s="273">
        <v>700208</v>
      </c>
      <c r="R108" s="273">
        <v>576870</v>
      </c>
      <c r="S108" s="273">
        <v>705434</v>
      </c>
      <c r="T108" s="273">
        <v>846602</v>
      </c>
      <c r="U108" s="273">
        <v>826551</v>
      </c>
      <c r="V108" s="273">
        <v>791781</v>
      </c>
      <c r="W108" s="273">
        <v>966599</v>
      </c>
      <c r="X108" s="273">
        <v>872117</v>
      </c>
    </row>
    <row r="109" spans="1:24" ht="14.25" thickBot="1" x14ac:dyDescent="0.3">
      <c r="A109" s="225" t="s">
        <v>264</v>
      </c>
      <c r="B109" s="275">
        <v>841455</v>
      </c>
      <c r="C109" s="275">
        <v>899287</v>
      </c>
      <c r="D109" s="275">
        <v>1060105</v>
      </c>
      <c r="E109" s="275">
        <v>1000990</v>
      </c>
      <c r="F109" s="275">
        <v>993747</v>
      </c>
      <c r="G109" s="275">
        <v>989018</v>
      </c>
      <c r="H109" s="275">
        <v>914308</v>
      </c>
      <c r="I109" s="275">
        <v>862709</v>
      </c>
      <c r="J109" s="275">
        <v>848241</v>
      </c>
      <c r="K109" s="275">
        <v>837409</v>
      </c>
      <c r="L109" s="275">
        <v>816554</v>
      </c>
      <c r="M109" s="275">
        <v>793929</v>
      </c>
      <c r="N109" s="275">
        <v>896017</v>
      </c>
      <c r="O109" s="275">
        <v>963112</v>
      </c>
      <c r="P109" s="275">
        <v>1001671</v>
      </c>
      <c r="Q109" s="275">
        <v>1037432</v>
      </c>
      <c r="R109" s="275">
        <v>1119989</v>
      </c>
      <c r="S109" s="275">
        <v>1193806</v>
      </c>
      <c r="T109" s="275">
        <v>1146601</v>
      </c>
      <c r="U109" s="275">
        <v>1178437</v>
      </c>
      <c r="V109" s="275">
        <v>1487710</v>
      </c>
      <c r="W109" s="275">
        <v>1536667</v>
      </c>
      <c r="X109" s="275">
        <v>1537598</v>
      </c>
    </row>
    <row r="110" spans="1:24" ht="14.25" thickBot="1" x14ac:dyDescent="0.3">
      <c r="A110" s="224" t="s">
        <v>23</v>
      </c>
      <c r="B110" s="273">
        <v>187155</v>
      </c>
      <c r="C110" s="273">
        <v>195544</v>
      </c>
      <c r="D110" s="273">
        <v>226048</v>
      </c>
      <c r="E110" s="273">
        <v>268806</v>
      </c>
      <c r="F110" s="273">
        <v>305894</v>
      </c>
      <c r="G110" s="273">
        <v>199535</v>
      </c>
      <c r="H110" s="273">
        <v>193097</v>
      </c>
      <c r="I110" s="273">
        <v>174480</v>
      </c>
      <c r="J110" s="273">
        <v>149399</v>
      </c>
      <c r="K110" s="273">
        <v>120436</v>
      </c>
      <c r="L110" s="273">
        <v>140206</v>
      </c>
      <c r="M110" s="273">
        <v>134277</v>
      </c>
      <c r="N110" s="273">
        <v>151790</v>
      </c>
      <c r="O110" s="273">
        <v>119873</v>
      </c>
      <c r="P110" s="273">
        <v>344330</v>
      </c>
      <c r="Q110" s="273">
        <v>331355</v>
      </c>
      <c r="R110" s="273">
        <v>355196</v>
      </c>
      <c r="S110" s="273">
        <v>308710</v>
      </c>
      <c r="T110" s="273">
        <v>320686</v>
      </c>
      <c r="U110" s="273">
        <v>479484</v>
      </c>
      <c r="V110" s="273">
        <v>488338</v>
      </c>
      <c r="W110" s="273">
        <v>463507</v>
      </c>
      <c r="X110" s="273">
        <v>656337</v>
      </c>
    </row>
    <row r="111" spans="1:24" ht="14.25" thickBot="1" x14ac:dyDescent="0.3">
      <c r="A111" s="225" t="s">
        <v>24</v>
      </c>
      <c r="B111" s="275">
        <v>3669332</v>
      </c>
      <c r="C111" s="275">
        <v>4224067</v>
      </c>
      <c r="D111" s="275">
        <v>3675503</v>
      </c>
      <c r="E111" s="275">
        <v>3541025</v>
      </c>
      <c r="F111" s="275">
        <v>3431815</v>
      </c>
      <c r="G111" s="275">
        <v>3699095</v>
      </c>
      <c r="H111" s="275">
        <v>3377859</v>
      </c>
      <c r="I111" s="275">
        <v>3559999</v>
      </c>
      <c r="J111" s="275">
        <v>3571240</v>
      </c>
      <c r="K111" s="275">
        <v>3633260</v>
      </c>
      <c r="L111" s="275">
        <v>3391682</v>
      </c>
      <c r="M111" s="275">
        <v>3414969</v>
      </c>
      <c r="N111" s="275">
        <v>3588022</v>
      </c>
      <c r="O111" s="275">
        <v>3971586</v>
      </c>
      <c r="P111" s="275">
        <v>3926991</v>
      </c>
      <c r="Q111" s="275">
        <v>3894667</v>
      </c>
      <c r="R111" s="275">
        <v>4066961</v>
      </c>
      <c r="S111" s="275">
        <v>4442127</v>
      </c>
      <c r="T111" s="275">
        <v>4118898</v>
      </c>
      <c r="U111" s="275">
        <v>4383299</v>
      </c>
      <c r="V111" s="275">
        <v>4312091</v>
      </c>
      <c r="W111" s="275">
        <v>4517674</v>
      </c>
      <c r="X111" s="275">
        <v>4282141</v>
      </c>
    </row>
    <row r="112" spans="1:24" ht="14.25" thickBot="1" x14ac:dyDescent="0.3">
      <c r="A112" s="224" t="s">
        <v>25</v>
      </c>
      <c r="B112" s="273">
        <v>95127</v>
      </c>
      <c r="C112" s="273">
        <v>96043</v>
      </c>
      <c r="D112" s="273">
        <v>378729</v>
      </c>
      <c r="E112" s="273">
        <v>381269</v>
      </c>
      <c r="F112" s="273">
        <v>397919</v>
      </c>
      <c r="G112" s="273">
        <v>395680</v>
      </c>
      <c r="H112" s="273">
        <v>399317</v>
      </c>
      <c r="I112" s="273">
        <v>402974</v>
      </c>
      <c r="J112" s="273">
        <v>407678</v>
      </c>
      <c r="K112" s="273">
        <v>404732</v>
      </c>
      <c r="L112" s="273">
        <v>408614</v>
      </c>
      <c r="M112" s="273">
        <v>388564</v>
      </c>
      <c r="N112" s="273">
        <v>388564</v>
      </c>
      <c r="O112" s="273">
        <v>384064</v>
      </c>
      <c r="P112" s="273">
        <v>384064</v>
      </c>
      <c r="Q112" s="273">
        <v>378564</v>
      </c>
      <c r="R112" s="273">
        <v>378564</v>
      </c>
      <c r="S112" s="273">
        <v>450836</v>
      </c>
      <c r="T112" s="273">
        <v>466312</v>
      </c>
      <c r="U112" s="273">
        <v>452406</v>
      </c>
      <c r="V112" s="273">
        <v>487172</v>
      </c>
      <c r="W112" s="273">
        <v>545039</v>
      </c>
      <c r="X112" s="273">
        <v>622234</v>
      </c>
    </row>
    <row r="113" spans="1:24" ht="14.25" thickBot="1" x14ac:dyDescent="0.3">
      <c r="A113" s="225" t="s">
        <v>26</v>
      </c>
      <c r="B113" s="275">
        <v>536385</v>
      </c>
      <c r="C113" s="275">
        <v>519380</v>
      </c>
      <c r="D113" s="275">
        <v>410417</v>
      </c>
      <c r="E113" s="275">
        <v>419031</v>
      </c>
      <c r="F113" s="275">
        <v>419067</v>
      </c>
      <c r="G113" s="275">
        <v>435719</v>
      </c>
      <c r="H113" s="275">
        <v>440008</v>
      </c>
      <c r="I113" s="275">
        <v>452907</v>
      </c>
      <c r="J113" s="275">
        <v>461438</v>
      </c>
      <c r="K113" s="275">
        <v>449779</v>
      </c>
      <c r="L113" s="275">
        <v>435874</v>
      </c>
      <c r="M113" s="275">
        <v>447140</v>
      </c>
      <c r="N113" s="275">
        <v>434240</v>
      </c>
      <c r="O113" s="275">
        <v>436332</v>
      </c>
      <c r="P113" s="275">
        <v>446944</v>
      </c>
      <c r="Q113" s="275">
        <v>463594</v>
      </c>
      <c r="R113" s="275">
        <v>461575</v>
      </c>
      <c r="S113" s="275">
        <v>451764</v>
      </c>
      <c r="T113" s="275">
        <v>458449</v>
      </c>
      <c r="U113" s="275">
        <v>526167</v>
      </c>
      <c r="V113" s="275">
        <v>569216</v>
      </c>
      <c r="W113" s="275">
        <v>626966</v>
      </c>
      <c r="X113" s="275">
        <v>631627</v>
      </c>
    </row>
    <row r="114" spans="1:24" ht="14.25" thickBot="1" x14ac:dyDescent="0.3">
      <c r="A114" s="224" t="s">
        <v>27</v>
      </c>
      <c r="B114" s="273">
        <v>358458</v>
      </c>
      <c r="C114" s="273">
        <v>340588</v>
      </c>
      <c r="D114" s="273">
        <v>484882</v>
      </c>
      <c r="E114" s="273">
        <v>473308</v>
      </c>
      <c r="F114" s="273">
        <v>601175</v>
      </c>
      <c r="G114" s="273">
        <v>586546</v>
      </c>
      <c r="H114" s="273">
        <v>502524</v>
      </c>
      <c r="I114" s="273">
        <v>479642</v>
      </c>
      <c r="J114" s="273">
        <v>585008</v>
      </c>
      <c r="K114" s="273">
        <v>613270</v>
      </c>
      <c r="L114" s="273">
        <v>663968</v>
      </c>
      <c r="M114" s="273">
        <v>643354</v>
      </c>
      <c r="N114" s="273">
        <v>623873</v>
      </c>
      <c r="O114" s="273">
        <v>603815</v>
      </c>
      <c r="P114" s="273">
        <v>582348</v>
      </c>
      <c r="Q114" s="273">
        <v>555023</v>
      </c>
      <c r="R114" s="273">
        <v>531517</v>
      </c>
      <c r="S114" s="273">
        <v>575235</v>
      </c>
      <c r="T114" s="273">
        <v>553721</v>
      </c>
      <c r="U114" s="273">
        <v>536409</v>
      </c>
      <c r="V114" s="273">
        <v>515627</v>
      </c>
      <c r="W114" s="273">
        <v>502971</v>
      </c>
      <c r="X114" s="273">
        <v>476607</v>
      </c>
    </row>
    <row r="115" spans="1:24" ht="14.25" thickBot="1" x14ac:dyDescent="0.3">
      <c r="A115" s="225" t="s">
        <v>265</v>
      </c>
      <c r="B115" s="276">
        <v>4659302</v>
      </c>
      <c r="C115" s="276">
        <v>5180078</v>
      </c>
      <c r="D115" s="276">
        <v>4949531</v>
      </c>
      <c r="E115" s="276">
        <v>4814633</v>
      </c>
      <c r="F115" s="276">
        <v>4849976</v>
      </c>
      <c r="G115" s="276">
        <v>5117040</v>
      </c>
      <c r="H115" s="276">
        <v>4719708</v>
      </c>
      <c r="I115" s="276">
        <v>4895522</v>
      </c>
      <c r="J115" s="276">
        <v>5025364</v>
      </c>
      <c r="K115" s="276">
        <v>5101041</v>
      </c>
      <c r="L115" s="276">
        <v>4900138</v>
      </c>
      <c r="M115" s="276">
        <v>4894027</v>
      </c>
      <c r="N115" s="276">
        <v>5034699</v>
      </c>
      <c r="O115" s="276">
        <v>5395797</v>
      </c>
      <c r="P115" s="276">
        <v>5340347</v>
      </c>
      <c r="Q115" s="276">
        <v>5291848</v>
      </c>
      <c r="R115" s="276">
        <v>5438617</v>
      </c>
      <c r="S115" s="276">
        <v>5919962</v>
      </c>
      <c r="T115" s="276">
        <v>5597380</v>
      </c>
      <c r="U115" s="276">
        <v>5898281</v>
      </c>
      <c r="V115" s="276">
        <v>5884106</v>
      </c>
      <c r="W115" s="276">
        <v>6192650</v>
      </c>
      <c r="X115" s="276">
        <v>6012609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147550</v>
      </c>
      <c r="C118" s="68">
        <v>0</v>
      </c>
      <c r="D118" s="273">
        <v>58590</v>
      </c>
      <c r="E118" s="68">
        <v>0</v>
      </c>
      <c r="F118" s="68">
        <v>0</v>
      </c>
      <c r="G118" s="68">
        <v>0</v>
      </c>
      <c r="H118" s="68">
        <v>0</v>
      </c>
      <c r="I118" s="273">
        <v>178830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671420</v>
      </c>
      <c r="C120" s="273">
        <v>919463</v>
      </c>
      <c r="D120" s="273">
        <v>818932</v>
      </c>
      <c r="E120" s="273">
        <v>625536</v>
      </c>
      <c r="F120" s="273">
        <v>614059</v>
      </c>
      <c r="G120" s="273">
        <v>690606</v>
      </c>
      <c r="H120" s="273">
        <v>642551</v>
      </c>
      <c r="I120" s="273">
        <v>552240</v>
      </c>
      <c r="J120" s="273">
        <v>637019</v>
      </c>
      <c r="K120" s="273">
        <v>645650</v>
      </c>
      <c r="L120" s="273">
        <v>609909</v>
      </c>
      <c r="M120" s="273">
        <v>540044</v>
      </c>
      <c r="N120" s="273">
        <v>630595</v>
      </c>
      <c r="O120" s="273">
        <v>745080</v>
      </c>
      <c r="P120" s="273">
        <v>752537</v>
      </c>
      <c r="Q120" s="273">
        <v>666073</v>
      </c>
      <c r="R120" s="273">
        <v>757879</v>
      </c>
      <c r="S120" s="273">
        <v>852297</v>
      </c>
      <c r="T120" s="273">
        <v>776236</v>
      </c>
      <c r="U120" s="273">
        <v>906542</v>
      </c>
      <c r="V120" s="273">
        <v>1010879</v>
      </c>
      <c r="W120" s="273">
        <v>898716</v>
      </c>
      <c r="X120" s="273">
        <v>898976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715863</v>
      </c>
      <c r="C123" s="275">
        <v>1174739</v>
      </c>
      <c r="D123" s="275">
        <v>806281</v>
      </c>
      <c r="E123" s="275">
        <v>871051</v>
      </c>
      <c r="F123" s="275">
        <v>806858</v>
      </c>
      <c r="G123" s="275">
        <v>1210614</v>
      </c>
      <c r="H123" s="275">
        <v>803234</v>
      </c>
      <c r="I123" s="275">
        <v>848566</v>
      </c>
      <c r="J123" s="275">
        <v>952934</v>
      </c>
      <c r="K123" s="275">
        <v>1094268</v>
      </c>
      <c r="L123" s="275">
        <v>838562</v>
      </c>
      <c r="M123" s="275">
        <v>841693</v>
      </c>
      <c r="N123" s="275">
        <v>817721</v>
      </c>
      <c r="O123" s="275">
        <v>1140259</v>
      </c>
      <c r="P123" s="275">
        <v>875217</v>
      </c>
      <c r="Q123" s="275">
        <v>914310</v>
      </c>
      <c r="R123" s="275">
        <v>913996</v>
      </c>
      <c r="S123" s="275">
        <v>1361128</v>
      </c>
      <c r="T123" s="275">
        <v>999331</v>
      </c>
      <c r="U123" s="275">
        <v>1043239</v>
      </c>
      <c r="V123" s="275">
        <v>858020</v>
      </c>
      <c r="W123" s="275">
        <v>1471109</v>
      </c>
      <c r="X123" s="275">
        <v>1039741</v>
      </c>
    </row>
    <row r="124" spans="1:24" ht="14.25" thickBot="1" x14ac:dyDescent="0.3">
      <c r="A124" s="224" t="s">
        <v>268</v>
      </c>
      <c r="B124" s="273">
        <v>1534833</v>
      </c>
      <c r="C124" s="273">
        <v>2094202</v>
      </c>
      <c r="D124" s="273">
        <v>1683803</v>
      </c>
      <c r="E124" s="273">
        <v>1496587</v>
      </c>
      <c r="F124" s="273">
        <v>1420917</v>
      </c>
      <c r="G124" s="273">
        <v>1901220</v>
      </c>
      <c r="H124" s="273">
        <v>1445785</v>
      </c>
      <c r="I124" s="273">
        <v>1579636</v>
      </c>
      <c r="J124" s="273">
        <v>1589953</v>
      </c>
      <c r="K124" s="273">
        <v>1739918</v>
      </c>
      <c r="L124" s="273">
        <v>1448471</v>
      </c>
      <c r="M124" s="273">
        <v>1381737</v>
      </c>
      <c r="N124" s="273">
        <v>1448316</v>
      </c>
      <c r="O124" s="273">
        <v>1885339</v>
      </c>
      <c r="P124" s="273">
        <v>1627754</v>
      </c>
      <c r="Q124" s="273">
        <v>1580383</v>
      </c>
      <c r="R124" s="273">
        <v>1671875</v>
      </c>
      <c r="S124" s="273">
        <v>2213425</v>
      </c>
      <c r="T124" s="273">
        <v>1775567</v>
      </c>
      <c r="U124" s="273">
        <v>1949781</v>
      </c>
      <c r="V124" s="273">
        <v>1868899</v>
      </c>
      <c r="W124" s="273">
        <v>2369825</v>
      </c>
      <c r="X124" s="273">
        <v>1938717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485617</v>
      </c>
      <c r="G125" s="275">
        <v>500112</v>
      </c>
      <c r="H125" s="275">
        <v>508520</v>
      </c>
      <c r="I125" s="275">
        <v>509167</v>
      </c>
      <c r="J125" s="275">
        <v>566255</v>
      </c>
      <c r="K125" s="275">
        <v>576332</v>
      </c>
      <c r="L125" s="275">
        <v>583763</v>
      </c>
      <c r="M125" s="275">
        <v>598221</v>
      </c>
      <c r="N125" s="275">
        <v>594941</v>
      </c>
      <c r="O125" s="275">
        <v>606047</v>
      </c>
      <c r="P125" s="275">
        <v>614871</v>
      </c>
      <c r="Q125" s="275">
        <v>589664</v>
      </c>
      <c r="R125" s="275">
        <v>571970</v>
      </c>
      <c r="S125" s="275">
        <v>555336</v>
      </c>
      <c r="T125" s="275">
        <v>534717</v>
      </c>
      <c r="U125" s="275">
        <v>570026</v>
      </c>
      <c r="V125" s="275">
        <v>550504</v>
      </c>
      <c r="W125" s="275">
        <v>531863</v>
      </c>
      <c r="X125" s="275">
        <v>498184</v>
      </c>
    </row>
    <row r="126" spans="1:24" ht="14.25" thickBot="1" x14ac:dyDescent="0.3">
      <c r="A126" s="224" t="s">
        <v>33</v>
      </c>
      <c r="B126" s="273">
        <v>244393</v>
      </c>
      <c r="C126" s="273">
        <v>254359</v>
      </c>
      <c r="D126" s="273">
        <v>268758</v>
      </c>
      <c r="E126" s="273">
        <v>277558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1779226</v>
      </c>
      <c r="C127" s="275">
        <v>2348561</v>
      </c>
      <c r="D127" s="275">
        <v>1952561</v>
      </c>
      <c r="E127" s="275">
        <v>1774145</v>
      </c>
      <c r="F127" s="275">
        <v>1906534</v>
      </c>
      <c r="G127" s="275">
        <v>2401332</v>
      </c>
      <c r="H127" s="275">
        <v>1954305</v>
      </c>
      <c r="I127" s="275">
        <v>2088803</v>
      </c>
      <c r="J127" s="275">
        <v>2156208</v>
      </c>
      <c r="K127" s="275">
        <v>2316250</v>
      </c>
      <c r="L127" s="275">
        <v>2032234</v>
      </c>
      <c r="M127" s="275">
        <v>1979958</v>
      </c>
      <c r="N127" s="275">
        <v>2043257</v>
      </c>
      <c r="O127" s="275">
        <v>2491386</v>
      </c>
      <c r="P127" s="275">
        <v>2242625</v>
      </c>
      <c r="Q127" s="275">
        <v>2170047</v>
      </c>
      <c r="R127" s="275">
        <v>2243845</v>
      </c>
      <c r="S127" s="275">
        <v>2768761</v>
      </c>
      <c r="T127" s="275">
        <v>2310284</v>
      </c>
      <c r="U127" s="275">
        <v>2519807</v>
      </c>
      <c r="V127" s="275">
        <v>2419403</v>
      </c>
      <c r="W127" s="275">
        <v>2901688</v>
      </c>
      <c r="X127" s="275">
        <v>2436901</v>
      </c>
    </row>
    <row r="128" spans="1:24" ht="14.25" thickBot="1" x14ac:dyDescent="0.3">
      <c r="A128" s="224" t="s">
        <v>34</v>
      </c>
      <c r="B128" s="273">
        <v>2880076</v>
      </c>
      <c r="C128" s="273">
        <v>2831517</v>
      </c>
      <c r="D128" s="273">
        <v>2996970</v>
      </c>
      <c r="E128" s="273">
        <v>3040488</v>
      </c>
      <c r="F128" s="273">
        <v>2943442</v>
      </c>
      <c r="G128" s="273">
        <v>2715708</v>
      </c>
      <c r="H128" s="273">
        <v>2765403</v>
      </c>
      <c r="I128" s="273">
        <v>2806719</v>
      </c>
      <c r="J128" s="273">
        <v>2869156</v>
      </c>
      <c r="K128" s="273">
        <v>2784791</v>
      </c>
      <c r="L128" s="273">
        <v>2867904</v>
      </c>
      <c r="M128" s="273">
        <v>2914069</v>
      </c>
      <c r="N128" s="273">
        <v>2991442</v>
      </c>
      <c r="O128" s="273">
        <v>2904411</v>
      </c>
      <c r="P128" s="273">
        <v>3097722</v>
      </c>
      <c r="Q128" s="273">
        <v>3121801</v>
      </c>
      <c r="R128" s="273">
        <v>3194772</v>
      </c>
      <c r="S128" s="273">
        <v>3151201</v>
      </c>
      <c r="T128" s="273">
        <v>3287096</v>
      </c>
      <c r="U128" s="273">
        <v>3378474</v>
      </c>
      <c r="V128" s="273">
        <v>3464703</v>
      </c>
      <c r="W128" s="273">
        <v>3290962</v>
      </c>
      <c r="X128" s="273">
        <v>3575708</v>
      </c>
    </row>
    <row r="129" spans="1:24" ht="14.25" thickBot="1" x14ac:dyDescent="0.3">
      <c r="A129" s="225" t="s">
        <v>35</v>
      </c>
      <c r="B129" s="276">
        <v>4659302</v>
      </c>
      <c r="C129" s="276">
        <v>5180078</v>
      </c>
      <c r="D129" s="276">
        <v>4949531</v>
      </c>
      <c r="E129" s="276">
        <v>4814633</v>
      </c>
      <c r="F129" s="276">
        <v>4849976</v>
      </c>
      <c r="G129" s="276">
        <v>5117040</v>
      </c>
      <c r="H129" s="276">
        <v>4719708</v>
      </c>
      <c r="I129" s="276">
        <v>4895522</v>
      </c>
      <c r="J129" s="276">
        <v>5025364</v>
      </c>
      <c r="K129" s="276">
        <v>5101041</v>
      </c>
      <c r="L129" s="276">
        <v>4900138</v>
      </c>
      <c r="M129" s="276">
        <v>4894027</v>
      </c>
      <c r="N129" s="276">
        <v>5034699</v>
      </c>
      <c r="O129" s="276">
        <v>5395797</v>
      </c>
      <c r="P129" s="276">
        <v>5340347</v>
      </c>
      <c r="Q129" s="276">
        <v>5291848</v>
      </c>
      <c r="R129" s="276">
        <v>5438617</v>
      </c>
      <c r="S129" s="276">
        <v>5919962</v>
      </c>
      <c r="T129" s="276">
        <v>5597380</v>
      </c>
      <c r="U129" s="276">
        <v>5898281</v>
      </c>
      <c r="V129" s="276">
        <v>5884106</v>
      </c>
      <c r="W129" s="276">
        <v>6192650</v>
      </c>
      <c r="X129" s="276">
        <v>6012609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3.58</v>
      </c>
      <c r="C132" s="68">
        <v>4.5599999999999996</v>
      </c>
      <c r="D132" s="68">
        <v>3.64</v>
      </c>
      <c r="E132" s="68">
        <v>2.23</v>
      </c>
      <c r="F132" s="68">
        <v>3.53</v>
      </c>
    </row>
    <row r="133" spans="1:24" ht="14.25" thickBot="1" x14ac:dyDescent="0.3">
      <c r="A133" s="225" t="s">
        <v>37</v>
      </c>
      <c r="B133" s="274">
        <v>-2.17</v>
      </c>
      <c r="C133" s="274">
        <v>-1.58</v>
      </c>
      <c r="D133" s="274">
        <v>-1.46</v>
      </c>
      <c r="E133" s="274">
        <v>-0.76</v>
      </c>
      <c r="F133" s="274">
        <v>-1.25</v>
      </c>
    </row>
    <row r="134" spans="1:24" ht="14.25" thickBot="1" x14ac:dyDescent="0.3">
      <c r="A134" s="224" t="s">
        <v>38</v>
      </c>
      <c r="B134" s="68">
        <v>-1.71</v>
      </c>
      <c r="C134" s="68">
        <v>-0.86</v>
      </c>
      <c r="D134" s="68">
        <v>-2.11</v>
      </c>
      <c r="E134" s="68">
        <v>-1.2</v>
      </c>
      <c r="F134" s="68">
        <v>-1.8</v>
      </c>
    </row>
    <row r="135" spans="1:24" ht="14.25" thickBot="1" x14ac:dyDescent="0.3">
      <c r="A135" s="225" t="s">
        <v>270</v>
      </c>
      <c r="B135" s="274">
        <v>1.4</v>
      </c>
      <c r="C135" s="274">
        <v>2.98</v>
      </c>
      <c r="D135" s="274">
        <v>2.17</v>
      </c>
      <c r="E135" s="274">
        <v>1.46</v>
      </c>
      <c r="F135" s="274">
        <v>2.27</v>
      </c>
    </row>
    <row r="136" spans="1:24" ht="14.25" thickBot="1" x14ac:dyDescent="0.3">
      <c r="A136" s="229" t="s">
        <v>39</v>
      </c>
      <c r="B136" s="72">
        <v>-0.31</v>
      </c>
      <c r="C136" s="72">
        <v>2.12</v>
      </c>
      <c r="D136" s="72">
        <v>7.0000000000000007E-2</v>
      </c>
      <c r="E136" s="72">
        <v>0.27</v>
      </c>
      <c r="F136" s="72">
        <v>0.48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1.7</v>
      </c>
      <c r="C140" s="68">
        <v>1.2</v>
      </c>
      <c r="D140" s="68">
        <v>1.2</v>
      </c>
      <c r="E140" s="68">
        <v>1.8</v>
      </c>
      <c r="F140" s="68">
        <v>2.4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0.56105610561056096</v>
      </c>
      <c r="C142" s="234">
        <f>IF(C140&lt;&gt;"無",IF(ISNA(HLOOKUP(C139,$B$64:$F$69,6,FALSE)),"",C140/HLOOKUP(C139,$B$64:$F$69,6,FALSE)),"")</f>
        <v>0.96</v>
      </c>
      <c r="D142" s="234">
        <f>IF(D140&lt;&gt;"無",IF(ISNA(HLOOKUP(D139,$B$64:$F$69,6,FALSE)),"",D140/HLOOKUP(D139,$B$64:$F$69,6,FALSE)),"")</f>
        <v>0.72727272727272729</v>
      </c>
      <c r="E142" s="234">
        <f>IF(E140&lt;&gt;"無",IF(ISNA(HLOOKUP(E139,$B$64:$F$69,6,FALSE)),"",E140/HLOOKUP(E139,$B$64:$F$69,6,FALSE)),"")</f>
        <v>0.8</v>
      </c>
      <c r="F142" s="234">
        <f>IF(F140&lt;&gt;"無",IF(ISNA(HLOOKUP(F139,$B$64:$F$69,6,FALSE)),"",F140/HLOOKUP(F139,$B$64:$F$69,6,FALSE)),"")</f>
        <v>0.81355932203389836</v>
      </c>
    </row>
    <row r="143" spans="1:24" x14ac:dyDescent="0.25">
      <c r="A143" s="233" t="s">
        <v>216</v>
      </c>
      <c r="B143" s="234">
        <f>IF(OR(B140=0,B140="無"),"",B135/B140)</f>
        <v>0.82352941176470584</v>
      </c>
      <c r="C143" s="234">
        <f>IF(OR(C140=0,C140="無"),"",C135/C140)</f>
        <v>2.4833333333333334</v>
      </c>
      <c r="D143" s="234">
        <f>IF(OR(D140=0,D140="無"),"",D135/D140)</f>
        <v>1.8083333333333333</v>
      </c>
      <c r="E143" s="234">
        <f>IF(OR(E140=0,E140="無"),"",E135/E140)</f>
        <v>0.81111111111111112</v>
      </c>
      <c r="F143" s="234">
        <f>IF(OR(F140=0,F140="無"),"",F135/F140)</f>
        <v>0.94583333333333341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40.39</v>
      </c>
      <c r="C146" s="68">
        <v>42.35</v>
      </c>
      <c r="D146" s="68">
        <v>41.36</v>
      </c>
      <c r="E146" s="68">
        <v>37.74</v>
      </c>
      <c r="F146" s="68">
        <v>40.65</v>
      </c>
      <c r="G146" s="68">
        <v>42.24</v>
      </c>
      <c r="H146" s="68">
        <v>40.14</v>
      </c>
      <c r="I146" s="68">
        <v>40.43</v>
      </c>
      <c r="J146" s="68">
        <v>42.8</v>
      </c>
      <c r="K146" s="68">
        <v>43.77</v>
      </c>
      <c r="L146" s="68">
        <v>41.17</v>
      </c>
      <c r="M146" s="68">
        <v>41.95</v>
      </c>
      <c r="N146" s="68">
        <v>44.14</v>
      </c>
      <c r="O146" s="68">
        <v>41.26</v>
      </c>
      <c r="P146" s="68">
        <v>41.07</v>
      </c>
      <c r="Q146" s="68">
        <v>40.619999999999997</v>
      </c>
      <c r="R146" s="68">
        <v>41.52</v>
      </c>
      <c r="S146" s="68">
        <v>42.41</v>
      </c>
      <c r="T146" s="68">
        <v>39.57</v>
      </c>
      <c r="U146" s="68">
        <v>40.19</v>
      </c>
      <c r="V146" s="68">
        <v>37.99</v>
      </c>
      <c r="W146" s="68">
        <v>41.24</v>
      </c>
      <c r="X146" s="68">
        <v>42.2</v>
      </c>
    </row>
    <row r="147" spans="1:24" s="93" customFormat="1" ht="14.25" thickBot="1" x14ac:dyDescent="0.3">
      <c r="A147" s="225" t="s">
        <v>19</v>
      </c>
      <c r="B147" s="274">
        <v>7.39</v>
      </c>
      <c r="C147" s="274">
        <v>14.87</v>
      </c>
      <c r="D147" s="274">
        <v>11.08</v>
      </c>
      <c r="E147" s="274">
        <v>2.77</v>
      </c>
      <c r="F147" s="274">
        <v>5.4</v>
      </c>
      <c r="G147" s="274">
        <v>9.2799999999999994</v>
      </c>
      <c r="H147" s="274">
        <v>8</v>
      </c>
      <c r="I147" s="274">
        <v>1.8</v>
      </c>
      <c r="J147" s="274">
        <v>3.15</v>
      </c>
      <c r="K147" s="274">
        <v>8.16</v>
      </c>
      <c r="L147" s="274">
        <v>5.72</v>
      </c>
      <c r="M147" s="274">
        <v>1.46</v>
      </c>
      <c r="N147" s="274">
        <v>6.69</v>
      </c>
      <c r="O147" s="274">
        <v>7.96</v>
      </c>
      <c r="P147" s="274">
        <v>7.66</v>
      </c>
      <c r="Q147" s="274">
        <v>4.05</v>
      </c>
      <c r="R147" s="274">
        <v>5.78</v>
      </c>
      <c r="S147" s="274">
        <v>9.9700000000000006</v>
      </c>
      <c r="T147" s="274">
        <v>6.77</v>
      </c>
      <c r="U147" s="274">
        <v>6.21</v>
      </c>
      <c r="V147" s="274">
        <v>5.1100000000000003</v>
      </c>
      <c r="W147" s="274">
        <v>9.42</v>
      </c>
      <c r="X147" s="274">
        <v>9.24</v>
      </c>
    </row>
    <row r="148" spans="1:24" s="93" customFormat="1" ht="14.25" thickBot="1" x14ac:dyDescent="0.3">
      <c r="A148" s="224" t="s">
        <v>41</v>
      </c>
      <c r="B148" s="68">
        <v>7.95</v>
      </c>
      <c r="C148" s="68">
        <v>16.22</v>
      </c>
      <c r="D148" s="68">
        <v>11.6</v>
      </c>
      <c r="E148" s="68">
        <v>3.56</v>
      </c>
      <c r="F148" s="68">
        <v>5.81</v>
      </c>
      <c r="G148" s="68">
        <v>11.26</v>
      </c>
      <c r="H148" s="68">
        <v>8.5299999999999994</v>
      </c>
      <c r="I148" s="68">
        <v>2.64</v>
      </c>
      <c r="J148" s="68">
        <v>3.72</v>
      </c>
      <c r="K148" s="68">
        <v>10.99</v>
      </c>
      <c r="L148" s="68">
        <v>6.09</v>
      </c>
      <c r="M148" s="68">
        <v>2.83</v>
      </c>
      <c r="N148" s="68">
        <v>7.15</v>
      </c>
      <c r="O148" s="68">
        <v>10.32</v>
      </c>
      <c r="P148" s="68">
        <v>8.98</v>
      </c>
      <c r="Q148" s="68">
        <v>4.43</v>
      </c>
      <c r="R148" s="68">
        <v>6.06</v>
      </c>
      <c r="S148" s="68">
        <v>13.39</v>
      </c>
      <c r="T148" s="68">
        <v>7.58</v>
      </c>
      <c r="U148" s="68">
        <v>6.47</v>
      </c>
      <c r="V148" s="68">
        <v>5.23</v>
      </c>
      <c r="W148" s="68">
        <v>11.9</v>
      </c>
      <c r="X148" s="68">
        <v>10.039999999999999</v>
      </c>
    </row>
    <row r="149" spans="1:24" s="93" customFormat="1" ht="14.25" thickBot="1" x14ac:dyDescent="0.3">
      <c r="A149" s="225" t="s">
        <v>13</v>
      </c>
      <c r="B149" s="73">
        <v>6.08</v>
      </c>
      <c r="C149" s="73">
        <v>13.79</v>
      </c>
      <c r="D149" s="73">
        <v>9.42</v>
      </c>
      <c r="E149" s="73">
        <v>2.31</v>
      </c>
      <c r="F149" s="73">
        <v>4</v>
      </c>
      <c r="G149" s="73">
        <v>6.03</v>
      </c>
      <c r="H149" s="73">
        <v>3.13</v>
      </c>
      <c r="I149" s="73">
        <v>1.59</v>
      </c>
      <c r="J149" s="73">
        <v>2.73</v>
      </c>
      <c r="K149" s="73">
        <v>9.5299999999999994</v>
      </c>
      <c r="L149" s="73">
        <v>4.91</v>
      </c>
      <c r="M149" s="73">
        <v>2.0099999999999998</v>
      </c>
      <c r="N149" s="73">
        <v>5.87</v>
      </c>
      <c r="O149" s="73">
        <v>8.34</v>
      </c>
      <c r="P149" s="73">
        <v>7.46</v>
      </c>
      <c r="Q149" s="73">
        <v>3.65</v>
      </c>
      <c r="R149" s="73">
        <v>4.26</v>
      </c>
      <c r="S149" s="73">
        <v>11.7</v>
      </c>
      <c r="T149" s="73">
        <v>6.7</v>
      </c>
      <c r="U149" s="73">
        <v>6.19</v>
      </c>
      <c r="V149" s="73">
        <v>4.29</v>
      </c>
      <c r="W149" s="73">
        <v>10.3</v>
      </c>
      <c r="X149" s="73">
        <v>8.49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40.659999999999997</v>
      </c>
      <c r="C152" s="68">
        <v>40.92</v>
      </c>
      <c r="D152" s="68">
        <v>42.45</v>
      </c>
      <c r="E152" s="68">
        <v>41.7</v>
      </c>
      <c r="F152" s="68">
        <v>40.92</v>
      </c>
    </row>
    <row r="153" spans="1:24" s="93" customFormat="1" ht="14.25" thickBot="1" x14ac:dyDescent="0.3">
      <c r="A153" s="225" t="s">
        <v>19</v>
      </c>
      <c r="B153" s="274">
        <v>9.61</v>
      </c>
      <c r="C153" s="274">
        <v>6.34</v>
      </c>
      <c r="D153" s="274">
        <v>4.84</v>
      </c>
      <c r="E153" s="274">
        <v>6.65</v>
      </c>
      <c r="F153" s="274">
        <v>7.26</v>
      </c>
    </row>
    <row r="154" spans="1:24" s="93" customFormat="1" ht="14.25" thickBot="1" x14ac:dyDescent="0.3">
      <c r="A154" s="224" t="s">
        <v>41</v>
      </c>
      <c r="B154" s="68">
        <v>10.45</v>
      </c>
      <c r="C154" s="68">
        <v>7.32</v>
      </c>
      <c r="D154" s="68">
        <v>6.16</v>
      </c>
      <c r="E154" s="68">
        <v>7.82</v>
      </c>
      <c r="F154" s="68">
        <v>8.51</v>
      </c>
    </row>
    <row r="155" spans="1:24" s="93" customFormat="1" ht="14.25" thickBot="1" x14ac:dyDescent="0.3">
      <c r="A155" s="225" t="s">
        <v>13</v>
      </c>
      <c r="B155" s="73">
        <v>8.4700000000000006</v>
      </c>
      <c r="C155" s="73">
        <v>3.81</v>
      </c>
      <c r="D155" s="73">
        <v>5.03</v>
      </c>
      <c r="E155" s="73">
        <v>6.41</v>
      </c>
      <c r="F155" s="73">
        <v>7.36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2.21</v>
      </c>
      <c r="C158" s="68">
        <v>6.28</v>
      </c>
      <c r="D158" s="68">
        <v>3.6</v>
      </c>
      <c r="E158" s="68">
        <v>0.76</v>
      </c>
      <c r="F158" s="68">
        <v>1.36</v>
      </c>
      <c r="G158" s="68">
        <v>2.2999999999999998</v>
      </c>
      <c r="H158" s="68">
        <v>1.1100000000000001</v>
      </c>
      <c r="I158" s="68">
        <v>0.51</v>
      </c>
      <c r="J158" s="68">
        <v>0.9</v>
      </c>
      <c r="K158" s="68">
        <v>3.56</v>
      </c>
      <c r="L158" s="68">
        <v>1.76</v>
      </c>
      <c r="M158" s="68">
        <v>0.62</v>
      </c>
      <c r="N158" s="68">
        <v>1.93</v>
      </c>
      <c r="O158" s="68">
        <v>3.1</v>
      </c>
      <c r="P158" s="68">
        <v>2.76</v>
      </c>
      <c r="Q158" s="68">
        <v>1.21</v>
      </c>
      <c r="R158" s="68">
        <v>1.47</v>
      </c>
      <c r="S158" s="68">
        <v>4.58</v>
      </c>
      <c r="T158" s="68">
        <v>2.5</v>
      </c>
      <c r="U158" s="68">
        <v>2.27</v>
      </c>
      <c r="V158" s="68">
        <v>1.55</v>
      </c>
      <c r="W158" s="68">
        <v>4.0999999999999996</v>
      </c>
      <c r="X158" s="68">
        <v>3.35</v>
      </c>
    </row>
    <row r="159" spans="1:24" s="93" customFormat="1" ht="14.25" thickBot="1" x14ac:dyDescent="0.3">
      <c r="A159" s="225" t="s">
        <v>45</v>
      </c>
      <c r="B159" s="73">
        <v>3.51</v>
      </c>
      <c r="C159" s="73">
        <v>10.81</v>
      </c>
      <c r="D159" s="73">
        <v>6.26</v>
      </c>
      <c r="E159" s="73">
        <v>1.23</v>
      </c>
      <c r="F159" s="73">
        <v>2.19</v>
      </c>
      <c r="G159" s="73">
        <v>4.05</v>
      </c>
      <c r="H159" s="73">
        <v>1.99</v>
      </c>
      <c r="I159" s="73">
        <v>0.87</v>
      </c>
      <c r="J159" s="73">
        <v>1.56</v>
      </c>
      <c r="K159" s="73">
        <v>6.38</v>
      </c>
      <c r="L159" s="73">
        <v>3.11</v>
      </c>
      <c r="M159" s="73">
        <v>1.05</v>
      </c>
      <c r="N159" s="73">
        <v>3.24</v>
      </c>
      <c r="O159" s="73">
        <v>5.44</v>
      </c>
      <c r="P159" s="73">
        <v>4.9400000000000004</v>
      </c>
      <c r="Q159" s="73">
        <v>2.08</v>
      </c>
      <c r="R159" s="73">
        <v>2.5</v>
      </c>
      <c r="S159" s="73">
        <v>8.1999999999999993</v>
      </c>
      <c r="T159" s="73">
        <v>4.47</v>
      </c>
      <c r="U159" s="73">
        <v>3.91</v>
      </c>
      <c r="V159" s="73">
        <v>2.66</v>
      </c>
      <c r="W159" s="73">
        <v>7.34</v>
      </c>
      <c r="X159" s="73">
        <v>5.96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8.4700000000000006</v>
      </c>
      <c r="C162" s="68">
        <v>3.81</v>
      </c>
      <c r="D162" s="68">
        <v>5.03</v>
      </c>
      <c r="E162" s="68">
        <v>6.41</v>
      </c>
      <c r="F162" s="68">
        <v>7.36</v>
      </c>
    </row>
    <row r="163" spans="1:72" s="93" customFormat="1" ht="14.25" thickBot="1" x14ac:dyDescent="0.3">
      <c r="A163" s="225" t="s">
        <v>18</v>
      </c>
      <c r="B163" s="274">
        <v>1.54</v>
      </c>
      <c r="C163" s="274">
        <v>1.39</v>
      </c>
      <c r="D163" s="274">
        <v>1.39</v>
      </c>
      <c r="E163" s="274">
        <v>1.38</v>
      </c>
      <c r="F163" s="274">
        <v>1.41</v>
      </c>
    </row>
    <row r="164" spans="1:72" s="93" customFormat="1" ht="14.25" thickBot="1" x14ac:dyDescent="0.3">
      <c r="A164" s="224" t="s">
        <v>15</v>
      </c>
      <c r="B164" s="68">
        <v>1.58</v>
      </c>
      <c r="C164" s="68">
        <v>1.74</v>
      </c>
      <c r="D164" s="68">
        <v>1.68</v>
      </c>
      <c r="E164" s="68">
        <v>1.7</v>
      </c>
      <c r="F164" s="68">
        <v>1.75</v>
      </c>
    </row>
    <row r="165" spans="1:72" s="93" customFormat="1" ht="14.25" thickBot="1" x14ac:dyDescent="0.3">
      <c r="A165" s="225" t="s">
        <v>45</v>
      </c>
      <c r="B165" s="73">
        <v>21.51</v>
      </c>
      <c r="C165" s="73">
        <v>8.8699999999999992</v>
      </c>
      <c r="D165" s="73">
        <v>11.99</v>
      </c>
      <c r="E165" s="73">
        <v>15.54</v>
      </c>
      <c r="F165" s="73">
        <v>18.87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48.39</v>
      </c>
      <c r="C168" s="68">
        <v>42.06</v>
      </c>
      <c r="D168" s="68">
        <v>52.33</v>
      </c>
      <c r="E168" s="68">
        <v>55.56</v>
      </c>
      <c r="F168" s="68">
        <v>49.72</v>
      </c>
      <c r="G168" s="68">
        <v>45.23</v>
      </c>
      <c r="H168" s="68">
        <v>48.91</v>
      </c>
      <c r="I168" s="68">
        <v>49.18</v>
      </c>
      <c r="J168" s="68">
        <v>43.9</v>
      </c>
      <c r="K168" s="68">
        <v>40.18</v>
      </c>
      <c r="L168" s="68">
        <v>43.69</v>
      </c>
      <c r="M168" s="68">
        <v>46.15</v>
      </c>
      <c r="N168" s="68">
        <v>40.36</v>
      </c>
      <c r="O168" s="68">
        <v>37.659999999999997</v>
      </c>
      <c r="P168" s="68">
        <v>40</v>
      </c>
      <c r="Q168" s="68">
        <v>40.36</v>
      </c>
      <c r="R168" s="68">
        <v>31.03</v>
      </c>
      <c r="S168" s="68">
        <v>25.94</v>
      </c>
      <c r="T168" s="68">
        <v>32.49</v>
      </c>
      <c r="U168" s="68">
        <v>35.71</v>
      </c>
      <c r="V168" s="68">
        <v>34.35</v>
      </c>
      <c r="W168" s="68">
        <v>32.85</v>
      </c>
      <c r="X168" s="68">
        <v>34.35</v>
      </c>
    </row>
    <row r="169" spans="1:72" s="93" customFormat="1" ht="14.25" thickBot="1" x14ac:dyDescent="0.3">
      <c r="A169" s="225" t="s">
        <v>17</v>
      </c>
      <c r="B169" s="274">
        <v>77.59</v>
      </c>
      <c r="C169" s="274">
        <v>60.81</v>
      </c>
      <c r="D169" s="274">
        <v>77.59</v>
      </c>
      <c r="E169" s="274">
        <v>92.78</v>
      </c>
      <c r="F169" s="274">
        <v>91.84</v>
      </c>
      <c r="G169" s="274">
        <v>81.08</v>
      </c>
      <c r="H169" s="274">
        <v>81.819999999999993</v>
      </c>
      <c r="I169" s="274">
        <v>88.24</v>
      </c>
      <c r="J169" s="274">
        <v>83.33</v>
      </c>
      <c r="K169" s="274">
        <v>71.430000000000007</v>
      </c>
      <c r="L169" s="274">
        <v>70.87</v>
      </c>
      <c r="M169" s="274">
        <v>82.57</v>
      </c>
      <c r="N169" s="274">
        <v>83.33</v>
      </c>
      <c r="O169" s="274">
        <v>73.77</v>
      </c>
      <c r="P169" s="274">
        <v>75.63</v>
      </c>
      <c r="Q169" s="274">
        <v>87.38</v>
      </c>
      <c r="R169" s="274">
        <v>90</v>
      </c>
      <c r="S169" s="274">
        <v>81.08</v>
      </c>
      <c r="T169" s="274">
        <v>81.08</v>
      </c>
      <c r="U169" s="274">
        <v>83.33</v>
      </c>
      <c r="V169" s="274">
        <v>90.91</v>
      </c>
      <c r="W169" s="274">
        <v>95.74</v>
      </c>
      <c r="X169" s="274">
        <v>98.9</v>
      </c>
    </row>
    <row r="170" spans="1:72" s="93" customFormat="1" ht="14.25" thickBot="1" x14ac:dyDescent="0.3">
      <c r="A170" s="224" t="s">
        <v>42</v>
      </c>
      <c r="B170" s="72">
        <v>125.97</v>
      </c>
      <c r="C170" s="72">
        <v>102.87</v>
      </c>
      <c r="D170" s="72">
        <v>129.91</v>
      </c>
      <c r="E170" s="72">
        <v>148.34</v>
      </c>
      <c r="F170" s="72">
        <v>141.56</v>
      </c>
      <c r="G170" s="72">
        <v>126.31</v>
      </c>
      <c r="H170" s="72">
        <v>130.72999999999999</v>
      </c>
      <c r="I170" s="72">
        <v>137.41999999999999</v>
      </c>
      <c r="J170" s="72">
        <v>127.24</v>
      </c>
      <c r="K170" s="72">
        <v>111.61</v>
      </c>
      <c r="L170" s="72">
        <v>114.56</v>
      </c>
      <c r="M170" s="72">
        <v>128.72</v>
      </c>
      <c r="N170" s="72">
        <v>123.69</v>
      </c>
      <c r="O170" s="72">
        <v>111.43</v>
      </c>
      <c r="P170" s="72">
        <v>115.63</v>
      </c>
      <c r="Q170" s="72">
        <v>127.74</v>
      </c>
      <c r="R170" s="72">
        <v>121.03</v>
      </c>
      <c r="S170" s="72">
        <v>107.02</v>
      </c>
      <c r="T170" s="72">
        <v>113.57</v>
      </c>
      <c r="U170" s="72">
        <v>119.05</v>
      </c>
      <c r="V170" s="72">
        <v>125.26</v>
      </c>
      <c r="W170" s="72">
        <v>128.59</v>
      </c>
      <c r="X170" s="72">
        <v>133.25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117.35</v>
      </c>
      <c r="C173" s="72">
        <v>356.36</v>
      </c>
      <c r="D173" s="72">
        <v>215.29</v>
      </c>
      <c r="E173" s="72">
        <v>98.82</v>
      </c>
      <c r="F173" s="72">
        <v>119.57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9.7200000000000006</v>
      </c>
      <c r="C176" s="72">
        <v>13.01</v>
      </c>
      <c r="D176" s="72">
        <v>13.73</v>
      </c>
      <c r="E176" s="72">
        <v>15.44</v>
      </c>
      <c r="F176" s="72">
        <v>14.07</v>
      </c>
      <c r="G176" s="72">
        <v>13.22</v>
      </c>
      <c r="H176" s="72">
        <v>14.39</v>
      </c>
      <c r="I176" s="72">
        <v>14.37</v>
      </c>
      <c r="J176" s="72">
        <v>14.19</v>
      </c>
      <c r="K176" s="72">
        <v>12.19</v>
      </c>
      <c r="L176" s="72">
        <v>9.4</v>
      </c>
      <c r="M176" s="72">
        <v>10.01</v>
      </c>
      <c r="N176" s="72">
        <v>11.21</v>
      </c>
      <c r="O176" s="72">
        <v>11.35</v>
      </c>
      <c r="P176" s="72">
        <v>11.75</v>
      </c>
      <c r="Q176" s="72">
        <v>11.35</v>
      </c>
      <c r="R176" s="72">
        <v>11.35</v>
      </c>
      <c r="S176" s="72">
        <v>10.95</v>
      </c>
      <c r="T176" s="72">
        <v>10.29</v>
      </c>
      <c r="U176" s="72">
        <v>13.66</v>
      </c>
      <c r="V176" s="72">
        <v>14.04</v>
      </c>
      <c r="W176" s="72">
        <v>12.77</v>
      </c>
      <c r="X176" s="72">
        <v>17.87</v>
      </c>
      <c r="Y176" s="72">
        <v>19.149999999999999</v>
      </c>
      <c r="Z176" s="72">
        <v>20.83</v>
      </c>
      <c r="AA176" s="72">
        <v>21.51</v>
      </c>
      <c r="AB176" s="72">
        <v>23.13</v>
      </c>
      <c r="AC176" s="72">
        <v>24.02</v>
      </c>
      <c r="AD176" s="72">
        <v>28.7</v>
      </c>
      <c r="AE176" s="72">
        <v>28.68</v>
      </c>
      <c r="AF176" s="72">
        <v>30.08</v>
      </c>
      <c r="AG176" s="72">
        <v>22.35</v>
      </c>
      <c r="AH176" s="72">
        <v>21.97</v>
      </c>
      <c r="AI176" s="72">
        <v>19.5</v>
      </c>
      <c r="AJ176" s="72">
        <v>16.059999999999999</v>
      </c>
      <c r="AK176" s="72">
        <v>17.260000000000002</v>
      </c>
      <c r="AL176" s="72">
        <v>17.78</v>
      </c>
      <c r="AM176" s="72">
        <v>17.510000000000002</v>
      </c>
      <c r="AN176" s="72">
        <v>17.34</v>
      </c>
      <c r="AO176" s="72">
        <v>17.39</v>
      </c>
      <c r="AP176" s="72">
        <v>15.29</v>
      </c>
      <c r="AQ176" s="72">
        <v>14.02</v>
      </c>
      <c r="AR176" s="72">
        <v>13.35</v>
      </c>
      <c r="AS176" s="72">
        <v>12.52</v>
      </c>
      <c r="AT176" s="72">
        <v>12.96</v>
      </c>
      <c r="AU176" s="72">
        <v>14.68</v>
      </c>
      <c r="AV176" s="72">
        <v>13.84</v>
      </c>
      <c r="AW176" s="72">
        <v>15.6</v>
      </c>
      <c r="AX176" s="72">
        <v>13.61</v>
      </c>
      <c r="AY176" s="72">
        <v>15.48</v>
      </c>
      <c r="AZ176" s="72">
        <v>14.73</v>
      </c>
      <c r="BA176" s="72">
        <v>14.38</v>
      </c>
      <c r="BB176" s="72">
        <v>13.83</v>
      </c>
      <c r="BC176" s="72">
        <v>14.5</v>
      </c>
      <c r="BD176" s="72">
        <v>15.51</v>
      </c>
      <c r="BE176" s="72">
        <v>14.42</v>
      </c>
      <c r="BF176" s="72">
        <v>14.5</v>
      </c>
      <c r="BG176" s="72">
        <v>13.94</v>
      </c>
      <c r="BH176" s="72">
        <v>13.73</v>
      </c>
      <c r="BI176" s="72">
        <v>14.35</v>
      </c>
      <c r="BJ176" s="72">
        <v>15.08</v>
      </c>
      <c r="BK176" s="72">
        <v>17.57</v>
      </c>
      <c r="BL176" s="72">
        <v>15.35</v>
      </c>
      <c r="BM176" s="72">
        <v>14.35</v>
      </c>
      <c r="BN176" s="72">
        <v>14.09</v>
      </c>
      <c r="BO176" s="72">
        <v>14.87</v>
      </c>
      <c r="BP176" s="72">
        <v>17.04</v>
      </c>
      <c r="BQ176" s="72">
        <v>18.25</v>
      </c>
      <c r="BR176" s="72">
        <v>19.63</v>
      </c>
      <c r="BS176" s="72">
        <v>21.39</v>
      </c>
      <c r="BT176" s="72">
        <v>22.96</v>
      </c>
    </row>
  </sheetData>
  <phoneticPr fontId="3" type="noConversion"/>
  <conditionalFormatting sqref="E4">
    <cfRule type="cellIs" dxfId="3524" priority="101" operator="greaterThan">
      <formula>0.2</formula>
    </cfRule>
    <cfRule type="cellIs" dxfId="352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352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521" priority="95" operator="greaterThan">
      <formula>$B$19</formula>
    </cfRule>
  </conditionalFormatting>
  <conditionalFormatting sqref="D33:D34">
    <cfRule type="cellIs" dxfId="352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3519" priority="89" operator="lessThan">
      <formula>$H$62</formula>
    </cfRule>
    <cfRule type="cellIs" dxfId="3518" priority="90" operator="greaterThan">
      <formula>$H$62</formula>
    </cfRule>
  </conditionalFormatting>
  <conditionalFormatting sqref="J62">
    <cfRule type="cellIs" dxfId="3517" priority="87" operator="lessThan">
      <formula>$K$62</formula>
    </cfRule>
    <cfRule type="cellIs" dxfId="3516" priority="88" operator="greaterThan">
      <formula>$K$62</formula>
    </cfRule>
  </conditionalFormatting>
  <conditionalFormatting sqref="M62">
    <cfRule type="cellIs" dxfId="3515" priority="85" operator="lessThan">
      <formula>$N$62</formula>
    </cfRule>
    <cfRule type="cellIs" dxfId="3514" priority="86" operator="greaterThan">
      <formula>$N$62</formula>
    </cfRule>
  </conditionalFormatting>
  <conditionalFormatting sqref="B44:E44">
    <cfRule type="cellIs" dxfId="3513" priority="83" operator="greaterThan">
      <formula>0</formula>
    </cfRule>
    <cfRule type="cellIs" dxfId="3512" priority="84" operator="lessThan">
      <formula>0</formula>
    </cfRule>
  </conditionalFormatting>
  <conditionalFormatting sqref="F72">
    <cfRule type="cellIs" dxfId="3511" priority="82" operator="lessThan">
      <formula>$E$72*90%</formula>
    </cfRule>
  </conditionalFormatting>
  <conditionalFormatting sqref="F73">
    <cfRule type="cellIs" dxfId="3510" priority="81" operator="lessThan">
      <formula>$E$73*90%</formula>
    </cfRule>
  </conditionalFormatting>
  <conditionalFormatting sqref="F74">
    <cfRule type="cellIs" dxfId="3509" priority="80" operator="lessThan">
      <formula>$E$74*90%</formula>
    </cfRule>
  </conditionalFormatting>
  <conditionalFormatting sqref="F75">
    <cfRule type="cellIs" dxfId="3508" priority="79" operator="lessThan">
      <formula>$E$75*90%</formula>
    </cfRule>
  </conditionalFormatting>
  <conditionalFormatting sqref="H44:K44">
    <cfRule type="cellIs" dxfId="3507" priority="77" operator="greaterThan">
      <formula>0</formula>
    </cfRule>
    <cfRule type="cellIs" dxfId="3506" priority="78" operator="lessThan">
      <formula>0</formula>
    </cfRule>
  </conditionalFormatting>
  <conditionalFormatting sqref="H51:K51">
    <cfRule type="cellIs" dxfId="3505" priority="75" operator="greaterThan">
      <formula>0</formula>
    </cfRule>
    <cfRule type="cellIs" dxfId="3504" priority="76" operator="lessThan">
      <formula>0</formula>
    </cfRule>
  </conditionalFormatting>
  <conditionalFormatting sqref="B51:E51">
    <cfRule type="cellIs" dxfId="3503" priority="73" operator="greaterThan">
      <formula>0</formula>
    </cfRule>
    <cfRule type="cellIs" dxfId="350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50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50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499" priority="56" operator="lessThan">
      <formula>0</formula>
    </cfRule>
  </conditionalFormatting>
  <conditionalFormatting sqref="A25 E25 C25">
    <cfRule type="cellIs" dxfId="3498" priority="57" operator="lessThan">
      <formula>0</formula>
    </cfRule>
  </conditionalFormatting>
  <conditionalFormatting sqref="F25">
    <cfRule type="cellIs" dxfId="3497" priority="55" operator="lessThan">
      <formula>0</formula>
    </cfRule>
  </conditionalFormatting>
  <conditionalFormatting sqref="E1">
    <cfRule type="containsText" dxfId="3496" priority="54" operator="containsText" text="本季業外損益/平均=-">
      <formula>NOT(ISERROR(SEARCH("本季業外損益/平均=-",E1)))</formula>
    </cfRule>
  </conditionalFormatting>
  <conditionalFormatting sqref="M65">
    <cfRule type="cellIs" dxfId="3495" priority="53" operator="lessThan">
      <formula>$L$65*90%</formula>
    </cfRule>
  </conditionalFormatting>
  <conditionalFormatting sqref="M66">
    <cfRule type="cellIs" dxfId="3494" priority="52" operator="lessThan">
      <formula>$L$66*90%</formula>
    </cfRule>
  </conditionalFormatting>
  <conditionalFormatting sqref="M67">
    <cfRule type="cellIs" dxfId="3493" priority="51" operator="lessThan">
      <formula>$L$67*90%</formula>
    </cfRule>
  </conditionalFormatting>
  <conditionalFormatting sqref="M68">
    <cfRule type="cellIs" dxfId="3492" priority="50" operator="lessThan">
      <formula>$L$68*90%</formula>
    </cfRule>
  </conditionalFormatting>
  <conditionalFormatting sqref="B60">
    <cfRule type="cellIs" dxfId="3491" priority="49" operator="lessThan">
      <formula>0</formula>
    </cfRule>
  </conditionalFormatting>
  <conditionalFormatting sqref="B59:F59">
    <cfRule type="cellIs" dxfId="3490" priority="48" operator="lessThanOrEqual">
      <formula>0</formula>
    </cfRule>
  </conditionalFormatting>
  <conditionalFormatting sqref="D62">
    <cfRule type="cellIs" dxfId="3489" priority="46" operator="lessThan">
      <formula>$E$62</formula>
    </cfRule>
    <cfRule type="cellIs" dxfId="3488" priority="47" operator="greaterThan">
      <formula>$E$62</formula>
    </cfRule>
  </conditionalFormatting>
  <conditionalFormatting sqref="F69">
    <cfRule type="cellIs" dxfId="3487" priority="44" operator="lessThan">
      <formula>0</formula>
    </cfRule>
  </conditionalFormatting>
  <conditionalFormatting sqref="B65:E67 B69:E69 B68:D68">
    <cfRule type="cellIs" dxfId="3486" priority="45" operator="lessThan">
      <formula>0</formula>
    </cfRule>
  </conditionalFormatting>
  <conditionalFormatting sqref="E68">
    <cfRule type="cellIs" dxfId="3485" priority="43" operator="lessThan">
      <formula>0</formula>
    </cfRule>
  </conditionalFormatting>
  <conditionalFormatting sqref="F65:F68">
    <cfRule type="cellIs" dxfId="3484" priority="42" operator="lessThan">
      <formula>0</formula>
    </cfRule>
  </conditionalFormatting>
  <conditionalFormatting sqref="F65:F68">
    <cfRule type="cellIs" dxfId="3483" priority="41" operator="lessThan">
      <formula>$E$65*0.9</formula>
    </cfRule>
  </conditionalFormatting>
  <conditionalFormatting sqref="F66">
    <cfRule type="cellIs" dxfId="3482" priority="40" operator="lessThan">
      <formula>$E$66*0.9</formula>
    </cfRule>
  </conditionalFormatting>
  <conditionalFormatting sqref="F67:F68">
    <cfRule type="cellIs" dxfId="3481" priority="39" operator="lessThan">
      <formula>$E$67*0.9</formula>
    </cfRule>
  </conditionalFormatting>
  <conditionalFormatting sqref="F68">
    <cfRule type="cellIs" dxfId="3480" priority="38" operator="lessThan">
      <formula>$E$68*0.9</formula>
    </cfRule>
  </conditionalFormatting>
  <conditionalFormatting sqref="B13:F13">
    <cfRule type="cellIs" dxfId="3479" priority="27" operator="greaterThan">
      <formula>$I$16</formula>
    </cfRule>
    <cfRule type="cellIs" dxfId="3478" priority="28" operator="lessThanOrEqual">
      <formula>$I$16</formula>
    </cfRule>
  </conditionalFormatting>
  <conditionalFormatting sqref="B10:F10">
    <cfRule type="cellIs" dxfId="3477" priority="29" operator="greaterThan">
      <formula>15</formula>
    </cfRule>
    <cfRule type="cellIs" dxfId="3476" priority="36" operator="lessThan">
      <formula>$I$9</formula>
    </cfRule>
    <cfRule type="cellIs" dxfId="3475" priority="37" operator="greaterThan">
      <formula>$I$9</formula>
    </cfRule>
  </conditionalFormatting>
  <conditionalFormatting sqref="B16:F16">
    <cfRule type="cellIs" dxfId="3474" priority="34" operator="greaterThan">
      <formula>$I$16</formula>
    </cfRule>
    <cfRule type="cellIs" dxfId="3473" priority="35" operator="lessThanOrEqual">
      <formula>$I$16</formula>
    </cfRule>
  </conditionalFormatting>
  <conditionalFormatting sqref="B15:F15">
    <cfRule type="cellIs" dxfId="3472" priority="32" operator="lessThanOrEqual">
      <formula>$I$16</formula>
    </cfRule>
    <cfRule type="cellIs" dxfId="3471" priority="33" operator="greaterThan">
      <formula>$I$16</formula>
    </cfRule>
  </conditionalFormatting>
  <conditionalFormatting sqref="B14:F14">
    <cfRule type="cellIs" dxfId="3470" priority="30" operator="greaterThan">
      <formula>$I$16</formula>
    </cfRule>
    <cfRule type="cellIs" dxfId="3469" priority="31" operator="lessThanOrEqual">
      <formula>$I$16</formula>
    </cfRule>
  </conditionalFormatting>
  <conditionalFormatting sqref="K6">
    <cfRule type="containsText" dxfId="3468" priority="25" operator="containsText" text="衰退">
      <formula>NOT(ISERROR(SEARCH("衰退",K6)))</formula>
    </cfRule>
    <cfRule type="containsText" dxfId="3467" priority="26" operator="containsText" text="成長">
      <formula>NOT(ISERROR(SEARCH("成長",K6)))</formula>
    </cfRule>
  </conditionalFormatting>
  <conditionalFormatting sqref="I4:K4">
    <cfRule type="cellIs" dxfId="3466" priority="23" operator="lessThan">
      <formula>0</formula>
    </cfRule>
    <cfRule type="cellIs" dxfId="346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464" priority="20" operator="lessThanOrEqual">
      <formula>$I$16</formula>
    </cfRule>
    <cfRule type="cellIs" dxfId="3463" priority="21" operator="greaterThan">
      <formula>$I$16</formula>
    </cfRule>
  </conditionalFormatting>
  <conditionalFormatting sqref="I6">
    <cfRule type="containsText" dxfId="3462" priority="18" operator="containsText" text="衰退">
      <formula>NOT(ISERROR(SEARCH("衰退",I6)))</formula>
    </cfRule>
    <cfRule type="containsText" dxfId="3461" priority="19" operator="containsText" text="成長">
      <formula>NOT(ISERROR(SEARCH("成長",I6)))</formula>
    </cfRule>
  </conditionalFormatting>
  <conditionalFormatting sqref="M9">
    <cfRule type="cellIs" dxfId="3460" priority="17" operator="lessThan">
      <formula>$I$9</formula>
    </cfRule>
  </conditionalFormatting>
  <conditionalFormatting sqref="M10">
    <cfRule type="cellIs" dxfId="3459" priority="16" operator="greaterThan">
      <formula>$I$9</formula>
    </cfRule>
  </conditionalFormatting>
  <conditionalFormatting sqref="M11">
    <cfRule type="cellIs" dxfId="345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457" priority="12" operator="lessThan">
      <formula>0</formula>
    </cfRule>
    <cfRule type="cellIs" dxfId="3456" priority="13" operator="greaterThan">
      <formula>0.5</formula>
    </cfRule>
  </conditionalFormatting>
  <conditionalFormatting sqref="N14">
    <cfRule type="cellIs" dxfId="345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454" priority="8" operator="lessThan">
      <formula>0.1</formula>
    </cfRule>
  </conditionalFormatting>
  <conditionalFormatting sqref="I14">
    <cfRule type="cellIs" dxfId="345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45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451" priority="1" operator="lessThan">
      <formula>$N$5*0.9</formula>
    </cfRule>
    <cfRule type="cellIs" dxfId="3450" priority="2" operator="greaterThan">
      <formula>$N$5*1.1</formula>
    </cfRule>
  </conditionalFormatting>
  <hyperlinks>
    <hyperlink ref="L1" location="儀表板!A1" display="(回首頁)" xr:uid="{00000000-0004-0000-3900-000000000000}"/>
  </hyperlink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-13.75 ~ 15.81</v>
      </c>
      <c r="L1" s="83" t="s">
        <v>176</v>
      </c>
      <c r="M1" s="84" t="str">
        <f ca="1">VLOOKUP(_xlfn.NUMBERVALUE(N1),儀表板!A:B,2,FALSE)</f>
        <v>凌通</v>
      </c>
      <c r="N1" s="85" t="str">
        <f ca="1">MID(CELL("filename",L1),FIND("]",CELL("filename",L1))+1,255)</f>
        <v>4952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0.14499796316323851</v>
      </c>
    </row>
    <row r="3" spans="1:15" s="93" customFormat="1" x14ac:dyDescent="0.25">
      <c r="A3" s="81" t="s">
        <v>179</v>
      </c>
      <c r="B3" s="94">
        <f>SUM(F19:F22,F24:F27,J19)</f>
        <v>86.061917427935271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36.038880721537851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43.151399912396407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49.755882018193653</v>
      </c>
      <c r="L3" s="100"/>
      <c r="M3" s="79" t="s">
        <v>385</v>
      </c>
      <c r="N3" s="92">
        <f>(F69-E69)/E69</f>
        <v>-0.16823104277123035</v>
      </c>
    </row>
    <row r="4" spans="1:15" s="93" customFormat="1" x14ac:dyDescent="0.25">
      <c r="A4" s="81" t="s">
        <v>182</v>
      </c>
      <c r="B4" s="96">
        <f>SUM(G36:G40)*2</f>
        <v>88</v>
      </c>
      <c r="C4" s="101"/>
      <c r="D4" s="102">
        <f>F4*(1+F141/10)</f>
        <v>10.9</v>
      </c>
      <c r="E4" s="82">
        <f>(D4-F4)/F4</f>
        <v>0</v>
      </c>
      <c r="F4" s="103">
        <v>10.9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3.1690397270416124</v>
      </c>
    </row>
    <row r="5" spans="1:15" s="93" customFormat="1" x14ac:dyDescent="0.25">
      <c r="A5" s="81" t="s">
        <v>184</v>
      </c>
      <c r="B5" s="107">
        <f>SUM(F30:F34)*2</f>
        <v>98.130168044811938</v>
      </c>
      <c r="C5" s="87"/>
      <c r="D5" s="87"/>
      <c r="E5" s="87"/>
      <c r="F5" s="86"/>
      <c r="G5" s="88"/>
      <c r="M5" s="79" t="s">
        <v>375</v>
      </c>
      <c r="N5" s="152">
        <f>D62</f>
        <v>3.2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3.4619147922162892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38.76</v>
      </c>
      <c r="N9" s="129"/>
    </row>
    <row r="10" spans="1:15" s="93" customFormat="1" x14ac:dyDescent="0.25">
      <c r="A10" s="123" t="s">
        <v>194</v>
      </c>
      <c r="B10" s="126">
        <f>PERCENTILE(176:176,B9)</f>
        <v>10.71</v>
      </c>
      <c r="C10" s="126">
        <f>PERCENTILE(176:176,C9)</f>
        <v>11.350000000000001</v>
      </c>
      <c r="D10" s="126">
        <f>PERCENTILE(176:176,D9)</f>
        <v>13.59</v>
      </c>
      <c r="E10" s="126">
        <f>PERCENTILE(176:176,E9)</f>
        <v>15.67</v>
      </c>
      <c r="F10" s="126">
        <f>PERCENTILE(176:176,F9)</f>
        <v>19.32</v>
      </c>
      <c r="G10" s="95"/>
      <c r="H10" s="135"/>
      <c r="I10" s="135"/>
      <c r="J10" s="135"/>
      <c r="K10" s="135"/>
      <c r="L10" s="136" t="s">
        <v>374</v>
      </c>
      <c r="M10" s="130">
        <f>MIN(176:176)</f>
        <v>3.64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18.91</v>
      </c>
      <c r="L11" s="272" t="s">
        <v>193</v>
      </c>
      <c r="M11" s="128">
        <f>STDEV(176:176)</f>
        <v>5.8671406148109178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42.016806722689083</v>
      </c>
      <c r="C13" s="141">
        <f>$B$34/5.88%</f>
        <v>51.020408163265309</v>
      </c>
      <c r="D13" s="141">
        <f>$B$34/5%</f>
        <v>60</v>
      </c>
      <c r="E13" s="141">
        <f>$B$34/4.35%</f>
        <v>68.965517241379317</v>
      </c>
      <c r="F13" s="141">
        <f>$B$34/3.85%</f>
        <v>77.922077922077918</v>
      </c>
      <c r="G13" s="138" t="str">
        <f>"$"&amp;ROUND(B34,2)&amp;"/"&amp;IF(STDEV(C140:F140)/AVERAGE(C140:F140)&lt;15%,"高",IF(STDEV(C140:F140)/AVERAGE(C140:F140)&lt;30%,"中","低"))</f>
        <v>$3/高</v>
      </c>
      <c r="H13" s="142" t="s">
        <v>199</v>
      </c>
      <c r="I13" s="143">
        <f>MAX(0,1-J15)</f>
        <v>8.13648293963255E-2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34.914600000000007</v>
      </c>
      <c r="C14" s="141">
        <f>$B$33*C10</f>
        <v>37.001000000000005</v>
      </c>
      <c r="D14" s="141">
        <f>$B$33*D10</f>
        <v>44.303400000000003</v>
      </c>
      <c r="E14" s="141">
        <f>$B$33*E10</f>
        <v>51.084200000000003</v>
      </c>
      <c r="F14" s="141">
        <f>$B$33*F10</f>
        <v>62.983200000000004</v>
      </c>
      <c r="G14" s="138" t="str">
        <f>"$"&amp;ROUND(B33,2)&amp;"/"&amp;IF(STDEV(B69:E69)/AVERAGE(B69:E69)&lt;15%,"高",IF(STDEV(B69:E69)/AVERAGE(B69:E69)&lt;30%,"中","低"))</f>
        <v>$3.26/中</v>
      </c>
      <c r="H14" s="142" t="s">
        <v>203</v>
      </c>
      <c r="I14" s="145">
        <f>G62/100*I13</f>
        <v>1.3587926509186356E-2</v>
      </c>
      <c r="J14" s="76" t="s">
        <v>204</v>
      </c>
      <c r="K14" s="146"/>
      <c r="L14" s="147">
        <f>(HLOOKUP($C$1,$105:$106,2,FALSE)-HLOOKUP($C$1,$117:$127,9,FALSE))/(HLOOKUP($C$1,$117:$128,12,FALSE)/K11)</f>
        <v>6.6968968071651398</v>
      </c>
      <c r="M14" s="148">
        <f>E135/E69</f>
        <v>0.78477690288713919</v>
      </c>
      <c r="N14" s="149">
        <f>F173/100</f>
        <v>1.4199000000000002</v>
      </c>
    </row>
    <row r="15" spans="1:15" s="93" customFormat="1" x14ac:dyDescent="0.25">
      <c r="A15" s="140" t="s">
        <v>375</v>
      </c>
      <c r="B15" s="141">
        <f>$D$62*B10</f>
        <v>34.272000000000006</v>
      </c>
      <c r="C15" s="141">
        <f>$D$62*C10</f>
        <v>36.320000000000007</v>
      </c>
      <c r="D15" s="141">
        <f>$D$62*D10</f>
        <v>43.488</v>
      </c>
      <c r="E15" s="141">
        <f>$D$62*E10</f>
        <v>50.144000000000005</v>
      </c>
      <c r="F15" s="141">
        <f>$D$62*F10</f>
        <v>61.824000000000005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0.9186351706036745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33.940415476615669</v>
      </c>
      <c r="C16" s="141">
        <f>$F$69*C10</f>
        <v>35.968600901922308</v>
      </c>
      <c r="D16" s="141">
        <f>$F$69*D10</f>
        <v>43.067249890495511</v>
      </c>
      <c r="E16" s="141">
        <f>$F$69*E10</f>
        <v>49.658852522742066</v>
      </c>
      <c r="F16" s="141">
        <f>$F$69*F10</f>
        <v>61.22584752644395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883</v>
      </c>
      <c r="J17" s="92">
        <f ca="1">IF(I17&lt;=0,"",IF(I17&lt;=MIN($B$13:$F$16),(I17-MIN($B$13:$F$16))/MIN($B$13:$F$16),IF(I17&gt;=MAX($B$13:$F$16),I17/MAX($B$13:$F$16),PERCENTRANK($B$13:$F$16,I17))))</f>
        <v>11.331833333333334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2.6225000000000001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18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0.87416666666666665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0.20529789625768474</v>
      </c>
      <c r="J20" s="171">
        <f>HLOOKUP($C$1,$117:$127,11,FALSE)/HLOOKUP($C$1,$105:$115,11,FALSE)</f>
        <v>0.3011099451397054</v>
      </c>
      <c r="K20" s="163"/>
    </row>
    <row r="21" spans="1:14" s="93" customFormat="1" x14ac:dyDescent="0.25">
      <c r="A21" s="151" t="s">
        <v>201</v>
      </c>
      <c r="B21" s="161">
        <f>AVERAGE(C173:F173)/100</f>
        <v>1.4381250000000001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2.9101510847660412</v>
      </c>
      <c r="J21" s="78"/>
      <c r="K21" s="164" t="s">
        <v>356</v>
      </c>
      <c r="L21" s="165">
        <f>HLOOKUP($C$1,$105:$115,7,FALSE)/HLOOKUP($C$1,$105:$115,11,FALSE)</f>
        <v>0.761854888762591</v>
      </c>
      <c r="M21" s="123" t="s">
        <v>268</v>
      </c>
      <c r="N21" s="165">
        <f>HLOOKUP($C$1,$117:$127,8,FALSE)/HLOOKUP($C$1,$117:$127,11,FALSE)</f>
        <v>0.86942399575795526</v>
      </c>
    </row>
    <row r="22" spans="1:14" s="93" customFormat="1" x14ac:dyDescent="0.25">
      <c r="A22" s="140" t="s">
        <v>222</v>
      </c>
      <c r="B22" s="161">
        <f>(-1)*SUM(C133:F133)/SUM(C132:F132)</f>
        <v>0.43716433941997851</v>
      </c>
      <c r="C22" s="157"/>
      <c r="D22" s="166"/>
      <c r="E22" s="140"/>
      <c r="F22" s="159">
        <f>IF(B22&lt;=0,10,IF(B22&gt;=100%,0,(1-B22)*10))</f>
        <v>5.6283566058002155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2.3181279659290421</v>
      </c>
      <c r="J22" s="78"/>
      <c r="K22" s="142" t="s">
        <v>357</v>
      </c>
      <c r="L22" s="165">
        <f>HLOOKUP($C$1,$105:$115,4,FALSE)/HLOOKUP($C$1,$105:$115,11,FALSE)</f>
        <v>0.24548835310068184</v>
      </c>
      <c r="M22" s="123" t="s">
        <v>353</v>
      </c>
      <c r="N22" s="165">
        <f>HLOOKUP($C$1,$117:$127,4,FALSE)/HLOOKUP($C$1,$117:$127,11,FALSE)</f>
        <v>0.31819622841605882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1.4308402202115984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0.15498704163763533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81.08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4.154149648447731E-2</v>
      </c>
      <c r="M24" s="123" t="s">
        <v>355</v>
      </c>
      <c r="N24" s="165">
        <f>HLOOKUP($C$1,$117:$127,9,FALSE)/HLOOKUP($C$1,$117:$127,11,FALSE)</f>
        <v>0.13057600424204477</v>
      </c>
    </row>
    <row r="25" spans="1:14" s="93" customFormat="1" x14ac:dyDescent="0.25">
      <c r="A25" s="151" t="s">
        <v>366</v>
      </c>
      <c r="B25" s="255">
        <f>AVERAGE(94:94)</f>
        <v>4403</v>
      </c>
      <c r="C25" s="254">
        <f>STDEV(94:94)/AVERAGE(94:94)</f>
        <v>1.5664391778649474</v>
      </c>
      <c r="D25" s="76" t="str">
        <f>IF(C25&lt;=1,"高",IF(C25&lt;=2,"中","低"))</f>
        <v>中</v>
      </c>
      <c r="E25" s="149"/>
      <c r="F25" s="160">
        <f>MAX(0,10-ABS(C25))</f>
        <v>8.4335608221350533</v>
      </c>
      <c r="G25" s="88" t="s">
        <v>213</v>
      </c>
      <c r="H25" s="123" t="s">
        <v>232</v>
      </c>
      <c r="I25" s="170">
        <f>IF(HLOOKUP(C1,167:170,3,FALSE)="無",0,HLOOKUP(C1,167:170,3,FALSE))</f>
        <v>78.260000000000005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70.666956521739124</v>
      </c>
      <c r="C26" s="172">
        <f>IF(COUNTIF(168:168,"&gt;0")=0,0,STDEV(168:168))</f>
        <v>11.475077910126801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71.762173913043483</v>
      </c>
      <c r="C27" s="172">
        <f>IF(COUNTIF(169:169,"&gt;0")=0,0,STDEV(169:169))</f>
        <v>14.563795071253564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0.37457499999999994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0.11452499999999999</v>
      </c>
      <c r="C31" s="157" t="s">
        <v>217</v>
      </c>
      <c r="D31" s="174">
        <f>COUNTIF(149:149,"&gt;8")/COUNT(149:149)</f>
        <v>0.73913043478260865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17.25</v>
      </c>
      <c r="C32" s="157" t="s">
        <v>217</v>
      </c>
      <c r="D32" s="174">
        <f>COUNTIF(159:159,"&gt;3")/COUNT(159:159)</f>
        <v>0.69565217391304346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3.2600000000000002</v>
      </c>
      <c r="C33" s="157" t="s">
        <v>217</v>
      </c>
      <c r="D33" s="174">
        <f>COUNTIF(82:82,"&gt;0")/COUNT(82:82)</f>
        <v>0.91304347826086951</v>
      </c>
      <c r="E33" s="140" t="s">
        <v>243</v>
      </c>
      <c r="F33" s="159">
        <f>MIN(B33,2)+D33*8</f>
        <v>9.304347826086957</v>
      </c>
      <c r="G33" s="135"/>
    </row>
    <row r="34" spans="1:14" x14ac:dyDescent="0.25">
      <c r="A34" s="155" t="s">
        <v>244</v>
      </c>
      <c r="B34" s="156">
        <f>AVERAGE(C140:F140)</f>
        <v>3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9.7607361963190176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3093147</v>
      </c>
      <c r="C36" s="178">
        <f>STDEV(C97:F97)</f>
        <v>180828.26481683296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37.457499999999996</v>
      </c>
      <c r="C37" s="180">
        <f>STDEV(C152:F152)</f>
        <v>0.22823598898216252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12.572500000000002</v>
      </c>
      <c r="C38" s="180">
        <f>STDEV(C153:F153)</f>
        <v>1.710172993198829</v>
      </c>
      <c r="D38" s="76" t="str">
        <f>IF(C38/B38&lt;15%,"高",IF(C38/B38&lt;30%,"中","低"))</f>
        <v>高</v>
      </c>
      <c r="E38" s="107">
        <f>IF(F153&gt;E153,1,0)+IF(E153&gt;D153,1,0)+IF(D153&gt;C153,1,0)</f>
        <v>3</v>
      </c>
      <c r="F38" s="179"/>
      <c r="G38" s="160">
        <f>IF(D38="高",6,IF(D38="中",4,2))+E38+1</f>
        <v>10</v>
      </c>
    </row>
    <row r="39" spans="1:14" x14ac:dyDescent="0.25">
      <c r="A39" s="142" t="s">
        <v>46</v>
      </c>
      <c r="B39" s="181">
        <f>AVERAGE(C165:F165)</f>
        <v>17.25</v>
      </c>
      <c r="C39" s="181">
        <f>STDEV(C165:F165)</f>
        <v>1.8925291719460138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3.2600000000000002</v>
      </c>
      <c r="C40" s="183">
        <f>STDEV(B69:E69)</f>
        <v>0.50166389810974321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-5.3763440860215096E-2</v>
      </c>
      <c r="C44" s="186">
        <f>(C46-C49)/C49</f>
        <v>-0.21153846153846156</v>
      </c>
      <c r="D44" s="186">
        <f>(D46-D49)/D49</f>
        <v>-0.32857142857142857</v>
      </c>
      <c r="E44" s="186">
        <f>(E46-E49)/E49</f>
        <v>-0.11428571428571424</v>
      </c>
      <c r="G44" s="86" t="s">
        <v>175</v>
      </c>
      <c r="H44" s="186">
        <f>(H47-H50)/H50</f>
        <v>-5.1539012168933508E-2</v>
      </c>
      <c r="I44" s="186">
        <f>(I47-I50)/I50</f>
        <v>-0.12353923205342236</v>
      </c>
      <c r="J44" s="186">
        <f>(J47-J50)/J50</f>
        <v>-0.20138355111452719</v>
      </c>
      <c r="K44" s="186">
        <f>(K47-K50)/K50</f>
        <v>-0.21185064935064932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0.88</v>
      </c>
      <c r="C46" s="152">
        <f>HLOOKUP(C45,$81:$82,2,FALSE)</f>
        <v>1.23</v>
      </c>
      <c r="D46" s="152">
        <f>HLOOKUP(D45,$81:$82,2,FALSE)</f>
        <v>0.47</v>
      </c>
      <c r="E46" s="152">
        <f>HLOOKUP(E45,$81:$82,2,FALSE)</f>
        <v>0.62</v>
      </c>
      <c r="G46" s="86" t="s">
        <v>164</v>
      </c>
      <c r="H46" s="145">
        <f>HLOOKUP(H45,$145:$147,2,FALSE)/100</f>
        <v>0.34970000000000001</v>
      </c>
      <c r="I46" s="145">
        <f>HLOOKUP(I45,$145:$147,2,FALSE)/100</f>
        <v>0.35600000000000004</v>
      </c>
      <c r="J46" s="145">
        <f>HLOOKUP(J45,$145:$147,2,FALSE)/100</f>
        <v>0.3468</v>
      </c>
      <c r="K46" s="145">
        <f>HLOOKUP(K45,$145:$147,2,FALSE)/100</f>
        <v>0.36530000000000001</v>
      </c>
    </row>
    <row r="47" spans="1:14" x14ac:dyDescent="0.25">
      <c r="A47" s="188" t="s">
        <v>165</v>
      </c>
      <c r="B47" s="189">
        <f>HLOOKUP(B45,$157:$159,3,FALSE)</f>
        <v>4.7699999999999996</v>
      </c>
      <c r="C47" s="189">
        <f>HLOOKUP(C45,$157:$159,3,FALSE)</f>
        <v>6.43</v>
      </c>
      <c r="D47" s="189">
        <f>HLOOKUP(D45,$157:$159,3,FALSE)</f>
        <v>2.36</v>
      </c>
      <c r="E47" s="189">
        <f>HLOOKUP(E45,$157:$159,3,FALSE)</f>
        <v>3.14</v>
      </c>
      <c r="G47" s="190" t="s">
        <v>166</v>
      </c>
      <c r="H47" s="145">
        <f>HLOOKUP(H45,$145:$147,3,FALSE)/100</f>
        <v>0.13250000000000001</v>
      </c>
      <c r="I47" s="145">
        <f>HLOOKUP(I45,$145:$147,3,FALSE)/100</f>
        <v>0.1575</v>
      </c>
      <c r="J47" s="145">
        <f>HLOOKUP(J45,$145:$147,3,FALSE)/100</f>
        <v>0.10390000000000001</v>
      </c>
      <c r="K47" s="145">
        <f>HLOOKUP(K45,$145:$147,3,FALSE)/100</f>
        <v>9.7100000000000006E-2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0.93</v>
      </c>
      <c r="C49" s="152">
        <f>HLOOKUP(C48,$81:$82,2,FALSE)</f>
        <v>1.56</v>
      </c>
      <c r="D49" s="152">
        <f>HLOOKUP(D48,$81:$82,2,FALSE)</f>
        <v>0.7</v>
      </c>
      <c r="E49" s="152">
        <f>HLOOKUP(E48,$81:$82,2,FALSE)</f>
        <v>0.7</v>
      </c>
      <c r="G49" s="86" t="s">
        <v>164</v>
      </c>
      <c r="H49" s="145">
        <f>HLOOKUP(H48,$145:$147,2,FALSE)/100</f>
        <v>0.35920000000000002</v>
      </c>
      <c r="I49" s="145">
        <f>HLOOKUP(I48,$145:$147,2,FALSE)/100</f>
        <v>0.38650000000000001</v>
      </c>
      <c r="J49" s="145">
        <f>HLOOKUP(J48,$145:$147,2,FALSE)/100</f>
        <v>0.38069999999999998</v>
      </c>
      <c r="K49" s="145">
        <f>HLOOKUP(K48,$145:$147,2,FALSE)/100</f>
        <v>0.38109999999999999</v>
      </c>
    </row>
    <row r="50" spans="1:15" x14ac:dyDescent="0.25">
      <c r="A50" s="188" t="s">
        <v>165</v>
      </c>
      <c r="B50" s="189">
        <f>HLOOKUP(B48,$157:$159,3,FALSE)</f>
        <v>4.9000000000000004</v>
      </c>
      <c r="C50" s="189">
        <f>HLOOKUP(C48,$157:$159,3,FALSE)</f>
        <v>8.02</v>
      </c>
      <c r="D50" s="189">
        <f>HLOOKUP(D48,$157:$159,3,FALSE)</f>
        <v>3.49</v>
      </c>
      <c r="E50" s="189">
        <f>HLOOKUP(E48,$157:$159,3,FALSE)</f>
        <v>3.62</v>
      </c>
      <c r="G50" s="190" t="s">
        <v>166</v>
      </c>
      <c r="H50" s="145">
        <f>HLOOKUP(H48,$145:$147,3,FALSE)/100</f>
        <v>0.13970000000000002</v>
      </c>
      <c r="I50" s="145">
        <f>HLOOKUP(I48,$145:$147,3,FALSE)/100</f>
        <v>0.1797</v>
      </c>
      <c r="J50" s="145">
        <f>HLOOKUP(J48,$145:$147,3,FALSE)/100</f>
        <v>0.13009999999999999</v>
      </c>
      <c r="K50" s="145">
        <f>HLOOKUP(K48,$145:$147,3,FALSE)/100</f>
        <v>0.1232</v>
      </c>
    </row>
    <row r="51" spans="1:15" x14ac:dyDescent="0.25">
      <c r="A51" s="86" t="s">
        <v>351</v>
      </c>
      <c r="B51" s="186">
        <f>(B47-B50)/B50</f>
        <v>-2.6530612244898118E-2</v>
      </c>
      <c r="C51" s="186">
        <f>(C47-C50)/C50</f>
        <v>-0.19825436408977556</v>
      </c>
      <c r="D51" s="186">
        <f>(D47-D50)/D50</f>
        <v>-0.32378223495702013</v>
      </c>
      <c r="E51" s="186">
        <f>(E47-E50)/E50</f>
        <v>-0.13259668508287292</v>
      </c>
      <c r="G51" s="235" t="s">
        <v>174</v>
      </c>
      <c r="H51" s="186">
        <f>(H46-H49)/H49</f>
        <v>-2.6447661469933208E-2</v>
      </c>
      <c r="I51" s="186">
        <f>(I46-I49)/I49</f>
        <v>-7.8913324708926189E-2</v>
      </c>
      <c r="J51" s="186">
        <f>(J46-J49)/J49</f>
        <v>-8.9046493301812413E-2</v>
      </c>
      <c r="K51" s="186">
        <f>(K46-K49)/K49</f>
        <v>-4.1458934662818109E-2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3.4619147922162892</v>
      </c>
      <c r="B53" s="193">
        <f>B46</f>
        <v>0.88</v>
      </c>
      <c r="C53" s="193">
        <f>E46/HLOOKUP(E45,$87:$94,5,FALSE)*HLOOKUP(E45,$87:$94,4,FALSE)*($B$25/HLOOKUP(E45,$87:$94,4,FALSE)+SUM($B$57:$D$57)/SUM($B58:$D$58)*$G$69/100/K46)</f>
        <v>0.58903972704161245</v>
      </c>
      <c r="D53" s="193">
        <f>D46/HLOOKUP(D45,$87:$94,5,FALSE)*HLOOKUP(D45,$87:$94,4,FALSE)*($B$25/HLOOKUP(D45,$87:$94,4,FALSE)+SUM($B$57:$D$57)/SUM($B58:$D$58)*$G$69/100/J46)</f>
        <v>0.64101299781750765</v>
      </c>
      <c r="E53" s="193">
        <f>C46/HLOOKUP(C45,$87:$94,5,FALSE)*HLOOKUP(C45,$87:$94,4,FALSE)*($B$25/HLOOKUP(C45,$87:$94,4,FALSE)+SUM($B$57:$D$57)/SUM($B58:$D$58)*$G$69/100/I46)</f>
        <v>1.3518620673571691</v>
      </c>
    </row>
    <row r="54" spans="1:15" x14ac:dyDescent="0.25">
      <c r="A54" s="278">
        <f>SUM(B54:E54)</f>
        <v>3.25</v>
      </c>
      <c r="B54" s="277">
        <f t="shared" ref="B54:D54" si="0">HLOOKUP(B52-10,81:82,2,FALSE)</f>
        <v>0.93</v>
      </c>
      <c r="C54" s="277">
        <f t="shared" si="0"/>
        <v>0.62</v>
      </c>
      <c r="D54" s="277">
        <f t="shared" si="0"/>
        <v>0.47</v>
      </c>
      <c r="E54" s="277">
        <f>HLOOKUP(E52-10,81:82,2,FALSE)</f>
        <v>1.23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236328</v>
      </c>
      <c r="C57" s="196">
        <f>HLOOKUP(C56,78:79,2,FALSE)</f>
        <v>252096</v>
      </c>
      <c r="D57" s="196">
        <f>HLOOKUP(D56,78:79,2,FALSE)</f>
        <v>283853</v>
      </c>
      <c r="E57" s="196">
        <f>HLOOKUP(E56,78:79,2,FALSE)</f>
        <v>300628</v>
      </c>
      <c r="F57" s="196">
        <f>HLOOKUP(F56,78:79,2,FALSE)</f>
        <v>344731</v>
      </c>
      <c r="G57" s="196">
        <f t="shared" ref="G57:M57" si="2">HLOOKUP(G56,78:79,2,FALSE)</f>
        <v>334613</v>
      </c>
      <c r="H57" s="196">
        <f t="shared" si="2"/>
        <v>290594</v>
      </c>
      <c r="I57" s="196">
        <f t="shared" si="2"/>
        <v>280236</v>
      </c>
      <c r="J57" s="196">
        <f t="shared" si="2"/>
        <v>192969</v>
      </c>
      <c r="K57" s="196">
        <f t="shared" si="2"/>
        <v>170592</v>
      </c>
      <c r="L57" s="196">
        <f t="shared" si="2"/>
        <v>221588</v>
      </c>
      <c r="M57" s="196">
        <f t="shared" si="2"/>
        <v>225952</v>
      </c>
      <c r="N57" s="197"/>
    </row>
    <row r="58" spans="1:15" x14ac:dyDescent="0.25">
      <c r="A58" s="198" t="s">
        <v>253</v>
      </c>
      <c r="B58" s="196">
        <f>HLOOKUP(B56-100,78:79,2,FALSE)</f>
        <v>226794</v>
      </c>
      <c r="C58" s="196">
        <f>HLOOKUP(C56-100,78:79,2,FALSE)</f>
        <v>253164</v>
      </c>
      <c r="D58" s="196">
        <f>HLOOKUP(D56-100,78:79,2,FALSE)</f>
        <v>262689</v>
      </c>
      <c r="E58" s="196">
        <f>HLOOKUP(E56-100,78:79,2,FALSE)</f>
        <v>321077</v>
      </c>
      <c r="F58" s="196">
        <f>HLOOKUP(F56-100,78:79,2,FALSE)</f>
        <v>380368</v>
      </c>
      <c r="G58" s="196">
        <f t="shared" ref="G58:M58" si="3">HLOOKUP(G56-100,78:79,2,FALSE)</f>
        <v>352296</v>
      </c>
      <c r="H58" s="196">
        <f t="shared" si="3"/>
        <v>340450</v>
      </c>
      <c r="I58" s="196">
        <f t="shared" si="3"/>
        <v>302507</v>
      </c>
      <c r="J58" s="196">
        <f t="shared" si="3"/>
        <v>165539</v>
      </c>
      <c r="K58" s="196">
        <f t="shared" si="3"/>
        <v>216244</v>
      </c>
      <c r="L58" s="196">
        <f t="shared" si="3"/>
        <v>215994</v>
      </c>
      <c r="M58" s="196">
        <f t="shared" si="3"/>
        <v>221630</v>
      </c>
      <c r="N58" s="197"/>
    </row>
    <row r="59" spans="1:15" x14ac:dyDescent="0.25">
      <c r="A59" s="199" t="s">
        <v>254</v>
      </c>
      <c r="B59" s="165">
        <f>IF(B57&lt;&gt;"",(B57-B58)/B58,"")</f>
        <v>4.2038149157385116E-2</v>
      </c>
      <c r="C59" s="165">
        <f>IF(C57&lt;&gt;"",(C57-C58)/C58,"")</f>
        <v>-4.2186092809404184E-3</v>
      </c>
      <c r="D59" s="165">
        <f>IF(D57&lt;&gt;"",(D57-D58)/D58,"")</f>
        <v>8.0566753841995672E-2</v>
      </c>
      <c r="E59" s="165">
        <f>IF(E57&lt;&gt;"",(E57-E58)/E58,"")</f>
        <v>-6.3688772475138364E-2</v>
      </c>
      <c r="F59" s="165">
        <f>IF(F57&lt;&gt;"",(F57-F58)/F58,"")</f>
        <v>-9.3690846758928192E-2</v>
      </c>
      <c r="G59" s="165">
        <f t="shared" ref="G59:M59" si="4">IF(G57&lt;&gt;"",(G57-G58)/G58,"")</f>
        <v>-5.0193587210754592E-2</v>
      </c>
      <c r="H59" s="165">
        <f t="shared" si="4"/>
        <v>-0.14644147451901895</v>
      </c>
      <c r="I59" s="165">
        <f t="shared" si="4"/>
        <v>-7.3621436859312342E-2</v>
      </c>
      <c r="J59" s="165">
        <f t="shared" si="4"/>
        <v>0.16570113387177643</v>
      </c>
      <c r="K59" s="165">
        <f t="shared" si="4"/>
        <v>-0.21111337193170679</v>
      </c>
      <c r="L59" s="165">
        <f t="shared" si="4"/>
        <v>2.5898867561135956E-2</v>
      </c>
      <c r="M59" s="165">
        <f t="shared" si="4"/>
        <v>1.9500970085277264E-2</v>
      </c>
    </row>
    <row r="60" spans="1:15" x14ac:dyDescent="0.25">
      <c r="A60" s="195" t="s">
        <v>255</v>
      </c>
      <c r="B60" s="196">
        <f>SUM(B57:M57)</f>
        <v>3134180</v>
      </c>
    </row>
    <row r="61" spans="1:15" x14ac:dyDescent="0.25">
      <c r="A61" s="198" t="s">
        <v>256</v>
      </c>
      <c r="B61" s="196">
        <f>SUM(B58:M58)</f>
        <v>3258752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0.96177309595820737</v>
      </c>
      <c r="D62" s="152">
        <f>SUM(B46:E46)</f>
        <v>3.2</v>
      </c>
      <c r="E62" s="152">
        <f>SUM(B49:E49)</f>
        <v>3.8900000000000006</v>
      </c>
      <c r="G62" s="126">
        <f>SUM(B47:E47)</f>
        <v>16.7</v>
      </c>
      <c r="H62" s="126">
        <f>SUM(B50:E50)</f>
        <v>20.03</v>
      </c>
      <c r="J62" s="200">
        <f>AVERAGE(H46:K46)</f>
        <v>0.35444999999999999</v>
      </c>
      <c r="K62" s="200">
        <f>AVERAGE(H49:K49)</f>
        <v>0.37687500000000002</v>
      </c>
      <c r="M62" s="200">
        <f>AVERAGE(H47:K47)</f>
        <v>0.12275000000000001</v>
      </c>
      <c r="N62" s="200">
        <f>AVERAGE(H50:K50)</f>
        <v>0.143175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0.34</v>
      </c>
      <c r="C65" s="205">
        <f t="shared" si="5"/>
        <v>0.22</v>
      </c>
      <c r="D65" s="205">
        <f t="shared" si="5"/>
        <v>0.42</v>
      </c>
      <c r="E65" s="205">
        <f t="shared" si="5"/>
        <v>0.7</v>
      </c>
      <c r="F65" s="206">
        <f>IF(ISNA(HLOOKUP(F$64*10+$A65,$81:$82,2,FALSE)),(HLOOKUP(E$64*10+$A65,$87:$94,4,FALSE)*$G65+$B$25)/HLOOKUP(E$64*10+$A65,$87:$94,5,FALSE)*$E65,HLOOKUP(F$64*10+$A65,$81:$82,2,FALSE))</f>
        <v>0.47</v>
      </c>
      <c r="G65" s="101">
        <f>MIN(130%,SUM($B$57:$D$57)/SUM($B$58:$D$58)*$G$69/HLOOKUP(E$64*10+$A65,$145:$146,2,FALSE))</f>
        <v>1.0303896238504417</v>
      </c>
      <c r="H65" s="204">
        <v>1</v>
      </c>
      <c r="I65" s="208">
        <f t="shared" ref="I65:M68" si="6">IF(ISNA(HLOOKUP(I$64*10+$H65,$145:$147,3,FALSE)),"",HLOOKUP(I$64*10+$H65,$145:$147,3,FALSE)/100)</f>
        <v>6.6199999999999995E-2</v>
      </c>
      <c r="J65" s="208">
        <f t="shared" si="6"/>
        <v>4.5899999999999996E-2</v>
      </c>
      <c r="K65" s="208">
        <f t="shared" si="6"/>
        <v>9.4600000000000004E-2</v>
      </c>
      <c r="L65" s="208">
        <f t="shared" si="6"/>
        <v>0.13009999999999999</v>
      </c>
      <c r="M65" s="209">
        <f t="shared" si="6"/>
        <v>0.10390000000000001</v>
      </c>
      <c r="N65" s="256">
        <f t="shared" ref="N65:O68" si="7">HLOOKUP(E$64*10+$A65,$87:$94,8,FALSE)</f>
        <v>-348</v>
      </c>
      <c r="O65" s="256">
        <f t="shared" si="7"/>
        <v>-8188</v>
      </c>
      <c r="P65" s="210"/>
    </row>
    <row r="66" spans="1:71" x14ac:dyDescent="0.25">
      <c r="A66" s="204">
        <v>2</v>
      </c>
      <c r="B66" s="205">
        <f t="shared" si="5"/>
        <v>1.3</v>
      </c>
      <c r="C66" s="205">
        <f t="shared" si="5"/>
        <v>1.17</v>
      </c>
      <c r="D66" s="205">
        <f t="shared" si="5"/>
        <v>1.2</v>
      </c>
      <c r="E66" s="205">
        <f t="shared" si="5"/>
        <v>1.56</v>
      </c>
      <c r="F66" s="206">
        <f>IF(ISNA(HLOOKUP(F$64*10+$A66,$81:$82,2,FALSE)),(HLOOKUP(E$64*10+$A66,$87:$94,4,FALSE)*$G66+$B$25)/HLOOKUP(E$64*10+$A66,$87:$94,5,FALSE)*$E66,HLOOKUP(F$64*10+$A66,$81:$82,2,FALSE))</f>
        <v>1.23</v>
      </c>
      <c r="G66" s="101">
        <f>MIN(130%,SUM($B$57:$D$57)/SUM($B$58:$D$58)*$G$69/HLOOKUP(E$64*10+$A66,$145:$146,2,FALSE))</f>
        <v>1.0149271146180159</v>
      </c>
      <c r="H66" s="204">
        <v>2</v>
      </c>
      <c r="I66" s="208">
        <f t="shared" si="6"/>
        <v>0.14730000000000001</v>
      </c>
      <c r="J66" s="208">
        <f t="shared" si="6"/>
        <v>0.15960000000000002</v>
      </c>
      <c r="K66" s="208">
        <f t="shared" si="6"/>
        <v>0.16320000000000001</v>
      </c>
      <c r="L66" s="208">
        <f t="shared" si="6"/>
        <v>0.1797</v>
      </c>
      <c r="M66" s="209">
        <f t="shared" si="6"/>
        <v>0.1575</v>
      </c>
      <c r="N66" s="256">
        <f t="shared" si="7"/>
        <v>5661</v>
      </c>
      <c r="O66" s="256">
        <f t="shared" si="7"/>
        <v>4396</v>
      </c>
      <c r="P66" s="210"/>
    </row>
    <row r="67" spans="1:71" x14ac:dyDescent="0.25">
      <c r="A67" s="204">
        <v>3</v>
      </c>
      <c r="B67" s="205">
        <f t="shared" si="5"/>
        <v>1</v>
      </c>
      <c r="C67" s="205">
        <f t="shared" si="5"/>
        <v>0.89</v>
      </c>
      <c r="D67" s="205">
        <f t="shared" si="5"/>
        <v>1.24</v>
      </c>
      <c r="E67" s="205">
        <f t="shared" si="5"/>
        <v>0.93</v>
      </c>
      <c r="F67" s="206">
        <f>IF(ISNA(HLOOKUP(F$64*10+$A67,$81:$82,2,FALSE)),(HLOOKUP(E$64*10+$A67,$87:$94,4,FALSE)*$G67+$B$25)/HLOOKUP(E$64*10+$A67,$87:$94,5,FALSE)*$E67,HLOOKUP(F$64*10+$A67,$81:$82,2,FALSE))</f>
        <v>0.88</v>
      </c>
      <c r="G67" s="101">
        <f>MIN(130%,SUM($B$57:$D$57)/SUM($B$58:$D$58)*$G$69/HLOOKUP(E$64*10+$A67,$145:$146,2,FALSE))</f>
        <v>1.0920638357457215</v>
      </c>
      <c r="H67" s="204">
        <v>3</v>
      </c>
      <c r="I67" s="208">
        <f t="shared" si="6"/>
        <v>0.13449999999999998</v>
      </c>
      <c r="J67" s="208">
        <f t="shared" si="6"/>
        <v>0.1208</v>
      </c>
      <c r="K67" s="208">
        <f t="shared" si="6"/>
        <v>0.15210000000000001</v>
      </c>
      <c r="L67" s="208">
        <f t="shared" si="6"/>
        <v>0.13970000000000002</v>
      </c>
      <c r="M67" s="209">
        <f t="shared" si="6"/>
        <v>0.13250000000000001</v>
      </c>
      <c r="N67" s="256">
        <f t="shared" si="7"/>
        <v>866</v>
      </c>
      <c r="O67" s="256">
        <f t="shared" si="7"/>
        <v>951</v>
      </c>
      <c r="P67" s="210"/>
    </row>
    <row r="68" spans="1:71" x14ac:dyDescent="0.25">
      <c r="A68" s="204">
        <v>4</v>
      </c>
      <c r="B68" s="205">
        <f>HLOOKUP(B$64*10+$A68,$81:$82,2,FALSE)</f>
        <v>0.17</v>
      </c>
      <c r="C68" s="205">
        <f>HLOOKUP(C$64*10+$A68,$81:$82,2,FALSE)</f>
        <v>0.57999999999999996</v>
      </c>
      <c r="D68" s="205">
        <f>HLOOKUP(D$64*10+$A68,$81:$82,2,FALSE)</f>
        <v>0.7</v>
      </c>
      <c r="E68" s="206">
        <f>IF(ISNA(HLOOKUP(E$64*10+$A68,$81:$82,2,FALSE)),D68*(1-$N68)*#REF!*(1+$B$25)/(1+$E$4),HLOOKUP(E$64*10+$A68,$81:$82,2,FALSE))</f>
        <v>0.62</v>
      </c>
      <c r="F68" s="206">
        <f>IF(ISNA(HLOOKUP(F$64*10+$A68,$81:$82,2,FALSE)),(HLOOKUP(E$64*10+$A68,$87:$94,4,FALSE)*$G68+$B$25)/HLOOKUP(E$64*10+$A68,$87:$94,5,FALSE)*$E68,HLOOKUP(F$64*10+$A68,$81:$82,2,FALSE))</f>
        <v>0.58903972704161245</v>
      </c>
      <c r="G68" s="101">
        <f>MIN(130%,SUM($B$57:$D$57)/SUM($B$58:$D$58)*$G$69/HLOOKUP(E$64*10+$A68,$145:$146,2,FALSE))</f>
        <v>1.0738278943330499</v>
      </c>
      <c r="H68" s="204">
        <v>4</v>
      </c>
      <c r="I68" s="208">
        <f t="shared" si="6"/>
        <v>2.86E-2</v>
      </c>
      <c r="J68" s="208">
        <f t="shared" si="6"/>
        <v>9.1999999999999998E-2</v>
      </c>
      <c r="K68" s="208">
        <f t="shared" si="6"/>
        <v>0.1232</v>
      </c>
      <c r="L68" s="208">
        <f t="shared" si="6"/>
        <v>9.7100000000000006E-2</v>
      </c>
      <c r="M68" s="209" t="str">
        <f t="shared" si="6"/>
        <v/>
      </c>
      <c r="N68" s="256">
        <f t="shared" si="7"/>
        <v>13163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2.81</v>
      </c>
      <c r="C69" s="213">
        <f>SUM(C65:C68)</f>
        <v>2.86</v>
      </c>
      <c r="D69" s="213">
        <f>SUM(D65:D68)</f>
        <v>3.5599999999999996</v>
      </c>
      <c r="E69" s="213">
        <f>SUM(E65:E68)</f>
        <v>3.81</v>
      </c>
      <c r="F69" s="213">
        <f>SUM(F65:F68)</f>
        <v>3.1690397270416124</v>
      </c>
      <c r="G69" s="257">
        <f>_xlfn.FORECAST.ETS(23,B146:W146,{1,2,3,4,5,6,7,8,9,10,11,12,13,14,15,16,17,18,19,20,21,22})</f>
        <v>37.721910786916993</v>
      </c>
      <c r="H69" s="214" t="s">
        <v>19</v>
      </c>
      <c r="I69" s="215">
        <f>HLOOKUP(I64,151:155,3,FALSE)/100</f>
        <v>0.1075</v>
      </c>
      <c r="J69" s="215">
        <f>HLOOKUP(J64,151:155,3,FALSE)/100</f>
        <v>0.1149</v>
      </c>
      <c r="K69" s="215">
        <f>HLOOKUP(K64,151:155,3,FALSE)/100</f>
        <v>0.13849999999999998</v>
      </c>
      <c r="L69" s="215">
        <f>IF(ISNA(HLOOKUP(L64,151:155,3,FALSE)/100),AVERAGE(L65:L68),HLOOKUP(L64,151:155,3,FALSE)/100)</f>
        <v>0.14199999999999999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2.02</v>
      </c>
      <c r="C72" s="205">
        <f t="shared" si="8"/>
        <v>1.17</v>
      </c>
      <c r="D72" s="205">
        <f t="shared" si="8"/>
        <v>2.19</v>
      </c>
      <c r="E72" s="205">
        <f t="shared" si="8"/>
        <v>3.49</v>
      </c>
      <c r="F72" s="205">
        <f t="shared" si="8"/>
        <v>2.36</v>
      </c>
    </row>
    <row r="73" spans="1:71" s="135" customFormat="1" x14ac:dyDescent="0.25">
      <c r="A73" s="204">
        <v>2</v>
      </c>
      <c r="B73" s="205">
        <f t="shared" si="8"/>
        <v>7.64</v>
      </c>
      <c r="C73" s="205">
        <f t="shared" si="8"/>
        <v>6.54</v>
      </c>
      <c r="D73" s="205">
        <f t="shared" si="8"/>
        <v>6.5</v>
      </c>
      <c r="E73" s="205">
        <f t="shared" si="8"/>
        <v>8.02</v>
      </c>
      <c r="F73" s="205">
        <f t="shared" si="8"/>
        <v>6.43</v>
      </c>
    </row>
    <row r="74" spans="1:71" s="135" customFormat="1" x14ac:dyDescent="0.25">
      <c r="A74" s="204">
        <v>3</v>
      </c>
      <c r="B74" s="205">
        <f t="shared" si="8"/>
        <v>5.62</v>
      </c>
      <c r="C74" s="205">
        <f t="shared" si="8"/>
        <v>5.04</v>
      </c>
      <c r="D74" s="205">
        <f t="shared" si="8"/>
        <v>6.76</v>
      </c>
      <c r="E74" s="205">
        <f t="shared" si="8"/>
        <v>4.9000000000000004</v>
      </c>
      <c r="F74" s="205">
        <f t="shared" si="8"/>
        <v>4.7699999999999996</v>
      </c>
    </row>
    <row r="75" spans="1:71" s="135" customFormat="1" x14ac:dyDescent="0.25">
      <c r="A75" s="204">
        <v>4</v>
      </c>
      <c r="B75" s="205">
        <f t="shared" si="8"/>
        <v>0.92</v>
      </c>
      <c r="C75" s="205">
        <f t="shared" si="8"/>
        <v>3.12</v>
      </c>
      <c r="D75" s="205">
        <f t="shared" si="8"/>
        <v>3.62</v>
      </c>
      <c r="E75" s="205">
        <f t="shared" si="8"/>
        <v>3.14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16.200000000000003</v>
      </c>
      <c r="C76" s="213">
        <f>SUM(C72:C75)</f>
        <v>15.870000000000001</v>
      </c>
      <c r="D76" s="213">
        <f>SUM(D72:D75)</f>
        <v>19.07</v>
      </c>
      <c r="E76" s="213">
        <f>AVERAGE(E72:E75)*4</f>
        <v>19.55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125712</v>
      </c>
      <c r="C79" s="270">
        <v>133234</v>
      </c>
      <c r="D79" s="270">
        <v>221472</v>
      </c>
      <c r="E79" s="270">
        <v>252160</v>
      </c>
      <c r="F79" s="270">
        <v>309164</v>
      </c>
      <c r="G79" s="270">
        <v>330660</v>
      </c>
      <c r="H79" s="270">
        <v>353636</v>
      </c>
      <c r="I79" s="270">
        <v>361342</v>
      </c>
      <c r="J79" s="270">
        <v>260311</v>
      </c>
      <c r="K79" s="270">
        <v>222901</v>
      </c>
      <c r="L79" s="270">
        <v>187484</v>
      </c>
      <c r="M79" s="270">
        <v>172393</v>
      </c>
      <c r="N79" s="270">
        <v>180125</v>
      </c>
      <c r="O79" s="270">
        <v>130011</v>
      </c>
      <c r="P79" s="270">
        <v>276722</v>
      </c>
      <c r="Q79" s="270">
        <v>313500</v>
      </c>
      <c r="R79" s="270">
        <v>344437</v>
      </c>
      <c r="S79" s="270">
        <v>410893</v>
      </c>
      <c r="T79" s="270">
        <v>400474</v>
      </c>
      <c r="U79" s="270">
        <v>334649</v>
      </c>
      <c r="V79" s="270">
        <v>225613</v>
      </c>
      <c r="W79" s="270">
        <v>215481</v>
      </c>
      <c r="X79" s="270">
        <v>182261</v>
      </c>
      <c r="Y79" s="270">
        <v>161037</v>
      </c>
      <c r="Z79" s="270">
        <v>120257</v>
      </c>
      <c r="AA79" s="270">
        <v>117602</v>
      </c>
      <c r="AB79" s="270">
        <v>235187</v>
      </c>
      <c r="AC79" s="270">
        <v>290747</v>
      </c>
      <c r="AD79" s="270">
        <v>327137</v>
      </c>
      <c r="AE79" s="270">
        <v>313500</v>
      </c>
      <c r="AF79" s="270">
        <v>341366</v>
      </c>
      <c r="AG79" s="270">
        <v>280503</v>
      </c>
      <c r="AH79" s="270">
        <v>210152</v>
      </c>
      <c r="AI79" s="270">
        <v>216297</v>
      </c>
      <c r="AJ79" s="270">
        <v>200596</v>
      </c>
      <c r="AK79" s="270">
        <v>194001</v>
      </c>
      <c r="AL79" s="270">
        <v>197553</v>
      </c>
      <c r="AM79" s="270">
        <v>122746</v>
      </c>
      <c r="AN79" s="270">
        <v>242019</v>
      </c>
      <c r="AO79" s="270">
        <v>291033</v>
      </c>
      <c r="AP79" s="270">
        <v>310268</v>
      </c>
      <c r="AQ79" s="270">
        <v>344151</v>
      </c>
      <c r="AR79" s="270">
        <v>331787</v>
      </c>
      <c r="AS79" s="270">
        <v>280706</v>
      </c>
      <c r="AT79" s="270">
        <v>272083</v>
      </c>
      <c r="AU79" s="270">
        <v>251406</v>
      </c>
      <c r="AV79" s="270">
        <v>221630</v>
      </c>
      <c r="AW79" s="270">
        <v>215994</v>
      </c>
      <c r="AX79" s="270">
        <v>216244</v>
      </c>
      <c r="AY79" s="270">
        <v>165539</v>
      </c>
      <c r="AZ79" s="270">
        <v>302507</v>
      </c>
      <c r="BA79" s="270">
        <v>340450</v>
      </c>
      <c r="BB79" s="270">
        <v>352296</v>
      </c>
      <c r="BC79" s="270">
        <v>380368</v>
      </c>
      <c r="BD79" s="270">
        <v>321077</v>
      </c>
      <c r="BE79" s="270">
        <v>262689</v>
      </c>
      <c r="BF79" s="270">
        <v>253164</v>
      </c>
      <c r="BG79" s="270">
        <v>226794</v>
      </c>
      <c r="BH79" s="270">
        <v>225952</v>
      </c>
      <c r="BI79" s="270">
        <v>221588</v>
      </c>
      <c r="BJ79" s="270">
        <v>170592</v>
      </c>
      <c r="BK79" s="270">
        <v>192969</v>
      </c>
      <c r="BL79" s="270">
        <v>280236</v>
      </c>
      <c r="BM79" s="270">
        <v>290594</v>
      </c>
      <c r="BN79" s="270">
        <v>334613</v>
      </c>
      <c r="BO79" s="270">
        <v>344731</v>
      </c>
      <c r="BP79" s="270">
        <v>300628</v>
      </c>
      <c r="BQ79" s="270">
        <v>283853</v>
      </c>
      <c r="BR79" s="270">
        <v>252096</v>
      </c>
      <c r="BS79" s="270">
        <v>236328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-0.36</v>
      </c>
      <c r="C82" s="72">
        <v>0.87</v>
      </c>
      <c r="D82" s="72">
        <v>0.78</v>
      </c>
      <c r="E82" s="72">
        <v>-0.74</v>
      </c>
      <c r="F82" s="72">
        <v>0.34</v>
      </c>
      <c r="G82" s="72">
        <v>1.3</v>
      </c>
      <c r="H82" s="72">
        <v>1</v>
      </c>
      <c r="I82" s="72">
        <v>0.17</v>
      </c>
      <c r="J82" s="72">
        <v>0.22</v>
      </c>
      <c r="K82" s="72">
        <v>1.17</v>
      </c>
      <c r="L82" s="72">
        <v>0.89</v>
      </c>
      <c r="M82" s="72">
        <v>0.57999999999999996</v>
      </c>
      <c r="N82" s="72">
        <v>0.42</v>
      </c>
      <c r="O82" s="72">
        <v>1.2</v>
      </c>
      <c r="P82" s="72">
        <v>1.24</v>
      </c>
      <c r="Q82" s="72">
        <v>0.7</v>
      </c>
      <c r="R82" s="72">
        <v>0.7</v>
      </c>
      <c r="S82" s="72">
        <v>1.56</v>
      </c>
      <c r="T82" s="72">
        <v>0.93</v>
      </c>
      <c r="U82" s="72">
        <v>0.62</v>
      </c>
      <c r="V82" s="72">
        <v>0.47</v>
      </c>
      <c r="W82" s="72">
        <v>1.23</v>
      </c>
      <c r="X82" s="72">
        <v>0.88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17.27</v>
      </c>
      <c r="C85" s="72">
        <v>16.64</v>
      </c>
      <c r="D85" s="72">
        <v>17.399999999999999</v>
      </c>
      <c r="E85" s="72">
        <v>16.670000000000002</v>
      </c>
      <c r="F85" s="72">
        <v>16.920000000000002</v>
      </c>
      <c r="G85" s="72">
        <v>17.25</v>
      </c>
      <c r="H85" s="72">
        <v>18.190000000000001</v>
      </c>
      <c r="I85" s="72">
        <v>18.440000000000001</v>
      </c>
      <c r="J85" s="72">
        <v>18.64</v>
      </c>
      <c r="K85" s="72">
        <v>17.239999999999998</v>
      </c>
      <c r="L85" s="72">
        <v>18.239999999999998</v>
      </c>
      <c r="M85" s="72">
        <v>18.96</v>
      </c>
      <c r="N85" s="72">
        <v>19.34</v>
      </c>
      <c r="O85" s="72">
        <v>17.68</v>
      </c>
      <c r="P85" s="72">
        <v>19.11</v>
      </c>
      <c r="Q85" s="72">
        <v>19.649999999999999</v>
      </c>
      <c r="R85" s="72">
        <v>20.32</v>
      </c>
      <c r="S85" s="72">
        <v>18.57</v>
      </c>
      <c r="T85" s="72">
        <v>19.350000000000001</v>
      </c>
      <c r="U85" s="72">
        <v>19.89</v>
      </c>
      <c r="V85" s="72">
        <v>20.16</v>
      </c>
      <c r="W85" s="72">
        <v>17.97</v>
      </c>
      <c r="X85" s="72">
        <v>18.91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480428</v>
      </c>
      <c r="C88" s="273">
        <v>891993</v>
      </c>
      <c r="D88" s="273">
        <v>975300</v>
      </c>
      <c r="E88" s="273">
        <v>582793</v>
      </c>
      <c r="F88" s="273">
        <v>586858</v>
      </c>
      <c r="G88" s="273">
        <v>1068830</v>
      </c>
      <c r="H88" s="273">
        <v>960736</v>
      </c>
      <c r="I88" s="273">
        <v>558779</v>
      </c>
      <c r="J88" s="273">
        <v>473046</v>
      </c>
      <c r="K88" s="273">
        <v>931384</v>
      </c>
      <c r="L88" s="273">
        <v>832021</v>
      </c>
      <c r="M88" s="273">
        <v>610894</v>
      </c>
      <c r="N88" s="273">
        <v>562318</v>
      </c>
      <c r="O88" s="273">
        <v>945451</v>
      </c>
      <c r="P88" s="273">
        <v>884576</v>
      </c>
      <c r="Q88" s="273">
        <v>689031</v>
      </c>
      <c r="R88" s="273">
        <v>684290</v>
      </c>
      <c r="S88" s="273">
        <v>1073113</v>
      </c>
      <c r="T88" s="273">
        <v>836930</v>
      </c>
      <c r="U88" s="273">
        <v>674331</v>
      </c>
      <c r="V88" s="273">
        <v>643796</v>
      </c>
      <c r="W88" s="273">
        <v>969937</v>
      </c>
      <c r="X88" s="273">
        <v>836579</v>
      </c>
    </row>
    <row r="89" spans="1:25" ht="14.25" thickBot="1" x14ac:dyDescent="0.3">
      <c r="A89" s="250" t="s">
        <v>4</v>
      </c>
      <c r="B89" s="275">
        <v>163794</v>
      </c>
      <c r="C89" s="275">
        <v>312726</v>
      </c>
      <c r="D89" s="275">
        <v>343024</v>
      </c>
      <c r="E89" s="275">
        <v>124622</v>
      </c>
      <c r="F89" s="275">
        <v>216170</v>
      </c>
      <c r="G89" s="275">
        <v>406549</v>
      </c>
      <c r="H89" s="275">
        <v>367566</v>
      </c>
      <c r="I89" s="275">
        <v>206562</v>
      </c>
      <c r="J89" s="275">
        <v>180816</v>
      </c>
      <c r="K89" s="275">
        <v>358719</v>
      </c>
      <c r="L89" s="275">
        <v>302260</v>
      </c>
      <c r="M89" s="275">
        <v>216512</v>
      </c>
      <c r="N89" s="275">
        <v>206866</v>
      </c>
      <c r="O89" s="275">
        <v>351157</v>
      </c>
      <c r="P89" s="275">
        <v>337293</v>
      </c>
      <c r="Q89" s="275">
        <v>262594</v>
      </c>
      <c r="R89" s="275">
        <v>260506</v>
      </c>
      <c r="S89" s="275">
        <v>414717</v>
      </c>
      <c r="T89" s="275">
        <v>300631</v>
      </c>
      <c r="U89" s="275">
        <v>246332</v>
      </c>
      <c r="V89" s="275">
        <v>223267</v>
      </c>
      <c r="W89" s="275">
        <v>345321</v>
      </c>
      <c r="X89" s="275">
        <v>292521</v>
      </c>
    </row>
    <row r="90" spans="1:25" ht="14.25" thickBot="1" x14ac:dyDescent="0.3">
      <c r="A90" s="251" t="s">
        <v>5</v>
      </c>
      <c r="B90" s="273">
        <v>-40141</v>
      </c>
      <c r="C90" s="273">
        <v>96233</v>
      </c>
      <c r="D90" s="273">
        <v>92292</v>
      </c>
      <c r="E90" s="273">
        <v>-79851</v>
      </c>
      <c r="F90" s="273">
        <v>38879</v>
      </c>
      <c r="G90" s="273">
        <v>157415</v>
      </c>
      <c r="H90" s="273">
        <v>129174</v>
      </c>
      <c r="I90" s="273">
        <v>15962</v>
      </c>
      <c r="J90" s="273">
        <v>21712</v>
      </c>
      <c r="K90" s="273">
        <v>148635</v>
      </c>
      <c r="L90" s="273">
        <v>100536</v>
      </c>
      <c r="M90" s="273">
        <v>56202</v>
      </c>
      <c r="N90" s="273">
        <v>53168</v>
      </c>
      <c r="O90" s="273">
        <v>154262</v>
      </c>
      <c r="P90" s="273">
        <v>134567</v>
      </c>
      <c r="Q90" s="273">
        <v>84856</v>
      </c>
      <c r="R90" s="273">
        <v>89005</v>
      </c>
      <c r="S90" s="273">
        <v>192843</v>
      </c>
      <c r="T90" s="273">
        <v>116934</v>
      </c>
      <c r="U90" s="273">
        <v>65469</v>
      </c>
      <c r="V90" s="273">
        <v>66898</v>
      </c>
      <c r="W90" s="273">
        <v>152759</v>
      </c>
      <c r="X90" s="273">
        <v>110874</v>
      </c>
    </row>
    <row r="91" spans="1:25" ht="14.25" thickBot="1" x14ac:dyDescent="0.3">
      <c r="A91" s="250" t="s">
        <v>6</v>
      </c>
      <c r="B91" s="275">
        <v>-38883</v>
      </c>
      <c r="C91" s="275">
        <v>101205</v>
      </c>
      <c r="D91" s="275">
        <v>94784</v>
      </c>
      <c r="E91" s="275">
        <v>-78626</v>
      </c>
      <c r="F91" s="275">
        <v>43707</v>
      </c>
      <c r="G91" s="275">
        <v>163050</v>
      </c>
      <c r="H91" s="275">
        <v>125990</v>
      </c>
      <c r="I91" s="275">
        <v>22719</v>
      </c>
      <c r="J91" s="275">
        <v>27184</v>
      </c>
      <c r="K91" s="275">
        <v>147886</v>
      </c>
      <c r="L91" s="275">
        <v>112925</v>
      </c>
      <c r="M91" s="275">
        <v>73740</v>
      </c>
      <c r="N91" s="275">
        <v>53121</v>
      </c>
      <c r="O91" s="275">
        <v>152570</v>
      </c>
      <c r="P91" s="275">
        <v>157755</v>
      </c>
      <c r="Q91" s="275">
        <v>89542</v>
      </c>
      <c r="R91" s="275">
        <v>88657</v>
      </c>
      <c r="S91" s="275">
        <v>198504</v>
      </c>
      <c r="T91" s="275">
        <v>117800</v>
      </c>
      <c r="U91" s="275">
        <v>78632</v>
      </c>
      <c r="V91" s="275">
        <v>58710</v>
      </c>
      <c r="W91" s="275">
        <v>157155</v>
      </c>
      <c r="X91" s="275">
        <v>111825</v>
      </c>
    </row>
    <row r="92" spans="1:25" ht="14.25" thickBot="1" x14ac:dyDescent="0.3">
      <c r="A92" s="251" t="s">
        <v>7</v>
      </c>
      <c r="B92" s="273">
        <v>-39076</v>
      </c>
      <c r="C92" s="273">
        <v>94989</v>
      </c>
      <c r="D92" s="273">
        <v>85305</v>
      </c>
      <c r="E92" s="273">
        <v>-80127</v>
      </c>
      <c r="F92" s="273">
        <v>36855</v>
      </c>
      <c r="G92" s="273">
        <v>141958</v>
      </c>
      <c r="H92" s="273">
        <v>108293</v>
      </c>
      <c r="I92" s="273">
        <v>18325</v>
      </c>
      <c r="J92" s="273">
        <v>23514</v>
      </c>
      <c r="K92" s="273">
        <v>127667</v>
      </c>
      <c r="L92" s="273">
        <v>97262</v>
      </c>
      <c r="M92" s="273">
        <v>63117</v>
      </c>
      <c r="N92" s="273">
        <v>45684</v>
      </c>
      <c r="O92" s="273">
        <v>130832</v>
      </c>
      <c r="P92" s="273">
        <v>135241</v>
      </c>
      <c r="Q92" s="273">
        <v>76401</v>
      </c>
      <c r="R92" s="273">
        <v>75802</v>
      </c>
      <c r="S92" s="273">
        <v>169626</v>
      </c>
      <c r="T92" s="273">
        <v>101065</v>
      </c>
      <c r="U92" s="273">
        <v>66980</v>
      </c>
      <c r="V92" s="273">
        <v>51327</v>
      </c>
      <c r="W92" s="273">
        <v>133331</v>
      </c>
      <c r="X92" s="273">
        <v>95791</v>
      </c>
    </row>
    <row r="93" spans="1:25" ht="26.25" thickBot="1" x14ac:dyDescent="0.3">
      <c r="A93" s="252" t="s">
        <v>8</v>
      </c>
      <c r="B93" s="276">
        <v>-39076</v>
      </c>
      <c r="C93" s="276">
        <v>94989</v>
      </c>
      <c r="D93" s="276">
        <v>85305</v>
      </c>
      <c r="E93" s="276">
        <v>-80127</v>
      </c>
      <c r="F93" s="276">
        <v>36855</v>
      </c>
      <c r="G93" s="276">
        <v>141958</v>
      </c>
      <c r="H93" s="276">
        <v>108293</v>
      </c>
      <c r="I93" s="276">
        <v>18325</v>
      </c>
      <c r="J93" s="276">
        <v>23514</v>
      </c>
      <c r="K93" s="276">
        <v>127667</v>
      </c>
      <c r="L93" s="276">
        <v>97262</v>
      </c>
      <c r="M93" s="276">
        <v>63117</v>
      </c>
      <c r="N93" s="276">
        <v>45684</v>
      </c>
      <c r="O93" s="276">
        <v>130832</v>
      </c>
      <c r="P93" s="276">
        <v>135241</v>
      </c>
      <c r="Q93" s="276">
        <v>76401</v>
      </c>
      <c r="R93" s="276">
        <v>75802</v>
      </c>
      <c r="S93" s="276">
        <v>169626</v>
      </c>
      <c r="T93" s="276">
        <v>101065</v>
      </c>
      <c r="U93" s="276">
        <v>66980</v>
      </c>
      <c r="V93" s="276">
        <v>51327</v>
      </c>
      <c r="W93" s="276">
        <v>133331</v>
      </c>
      <c r="X93" s="276">
        <v>95791</v>
      </c>
    </row>
    <row r="94" spans="1:25" x14ac:dyDescent="0.25">
      <c r="A94" s="233" t="s">
        <v>365</v>
      </c>
      <c r="B94" s="253">
        <f>IF(B91="","",B91-B90)</f>
        <v>1258</v>
      </c>
      <c r="C94" s="253">
        <f>IF(C91="","",C91-C90)</f>
        <v>4972</v>
      </c>
      <c r="D94" s="253">
        <f t="shared" ref="D94:Y94" si="9">IF(D91="","",D91-D90)</f>
        <v>2492</v>
      </c>
      <c r="E94" s="253">
        <f t="shared" si="9"/>
        <v>1225</v>
      </c>
      <c r="F94" s="253">
        <f t="shared" si="9"/>
        <v>4828</v>
      </c>
      <c r="G94" s="253">
        <f t="shared" si="9"/>
        <v>5635</v>
      </c>
      <c r="H94" s="253">
        <f t="shared" si="9"/>
        <v>-3184</v>
      </c>
      <c r="I94" s="253">
        <f t="shared" si="9"/>
        <v>6757</v>
      </c>
      <c r="J94" s="253">
        <f t="shared" si="9"/>
        <v>5472</v>
      </c>
      <c r="K94" s="253">
        <f t="shared" si="9"/>
        <v>-749</v>
      </c>
      <c r="L94" s="253">
        <f t="shared" si="9"/>
        <v>12389</v>
      </c>
      <c r="M94" s="253">
        <f t="shared" si="9"/>
        <v>17538</v>
      </c>
      <c r="N94" s="253">
        <f t="shared" si="9"/>
        <v>-47</v>
      </c>
      <c r="O94" s="253">
        <f t="shared" si="9"/>
        <v>-1692</v>
      </c>
      <c r="P94" s="253">
        <f t="shared" si="9"/>
        <v>23188</v>
      </c>
      <c r="Q94" s="253">
        <f t="shared" si="9"/>
        <v>4686</v>
      </c>
      <c r="R94" s="253">
        <f t="shared" si="9"/>
        <v>-348</v>
      </c>
      <c r="S94" s="253">
        <f t="shared" si="9"/>
        <v>5661</v>
      </c>
      <c r="T94" s="253">
        <f t="shared" si="9"/>
        <v>866</v>
      </c>
      <c r="U94" s="253">
        <f t="shared" si="9"/>
        <v>13163</v>
      </c>
      <c r="V94" s="253">
        <f t="shared" si="9"/>
        <v>-8188</v>
      </c>
      <c r="W94" s="253">
        <f t="shared" si="9"/>
        <v>4396</v>
      </c>
      <c r="X94" s="253">
        <f t="shared" si="9"/>
        <v>951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2930514</v>
      </c>
      <c r="C97" s="273">
        <v>3175203</v>
      </c>
      <c r="D97" s="273">
        <v>2847345</v>
      </c>
      <c r="E97" s="273">
        <v>3081376</v>
      </c>
      <c r="F97" s="273">
        <v>3268664</v>
      </c>
    </row>
    <row r="98" spans="1:24" ht="14.25" thickBot="1" x14ac:dyDescent="0.3">
      <c r="A98" s="225" t="s">
        <v>4</v>
      </c>
      <c r="B98" s="275">
        <v>944166</v>
      </c>
      <c r="C98" s="275">
        <v>1196847</v>
      </c>
      <c r="D98" s="275">
        <v>1058307</v>
      </c>
      <c r="E98" s="275">
        <v>1157910</v>
      </c>
      <c r="F98" s="275">
        <v>1222186</v>
      </c>
    </row>
    <row r="99" spans="1:24" ht="14.25" thickBot="1" x14ac:dyDescent="0.3">
      <c r="A99" s="224" t="s">
        <v>5</v>
      </c>
      <c r="B99" s="273">
        <v>68533</v>
      </c>
      <c r="C99" s="273">
        <v>341430</v>
      </c>
      <c r="D99" s="273">
        <v>327085</v>
      </c>
      <c r="E99" s="273">
        <v>426853</v>
      </c>
      <c r="F99" s="273">
        <v>464251</v>
      </c>
    </row>
    <row r="100" spans="1:24" ht="14.25" thickBot="1" x14ac:dyDescent="0.3">
      <c r="A100" s="225" t="s">
        <v>6</v>
      </c>
      <c r="B100" s="275">
        <v>78480</v>
      </c>
      <c r="C100" s="275">
        <v>355466</v>
      </c>
      <c r="D100" s="275">
        <v>361735</v>
      </c>
      <c r="E100" s="275">
        <v>452988</v>
      </c>
      <c r="F100" s="275">
        <v>483593</v>
      </c>
    </row>
    <row r="101" spans="1:24" ht="14.25" thickBot="1" x14ac:dyDescent="0.3">
      <c r="A101" s="224" t="s">
        <v>7</v>
      </c>
      <c r="B101" s="273">
        <v>61091</v>
      </c>
      <c r="C101" s="273">
        <v>305431</v>
      </c>
      <c r="D101" s="273">
        <v>311560</v>
      </c>
      <c r="E101" s="273">
        <v>388158</v>
      </c>
      <c r="F101" s="273">
        <v>413473</v>
      </c>
    </row>
    <row r="102" spans="1:24" ht="14.25" thickBot="1" x14ac:dyDescent="0.3">
      <c r="A102" s="227" t="s">
        <v>8</v>
      </c>
      <c r="B102" s="276">
        <v>61091</v>
      </c>
      <c r="C102" s="276">
        <v>305431</v>
      </c>
      <c r="D102" s="276">
        <v>311560</v>
      </c>
      <c r="E102" s="276">
        <v>388158</v>
      </c>
      <c r="F102" s="276">
        <v>413473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871462</v>
      </c>
      <c r="C106" s="273">
        <v>851441</v>
      </c>
      <c r="D106" s="273">
        <v>815863</v>
      </c>
      <c r="E106" s="273">
        <v>878420</v>
      </c>
      <c r="F106" s="273">
        <v>965475</v>
      </c>
      <c r="G106" s="273">
        <v>913349</v>
      </c>
      <c r="H106" s="273">
        <v>798606</v>
      </c>
      <c r="I106" s="273">
        <v>962793</v>
      </c>
      <c r="J106" s="273">
        <v>956020</v>
      </c>
      <c r="K106" s="273">
        <v>825203</v>
      </c>
      <c r="L106" s="273">
        <v>859024</v>
      </c>
      <c r="M106" s="273">
        <v>907109</v>
      </c>
      <c r="N106" s="273">
        <v>898044</v>
      </c>
      <c r="O106" s="273">
        <v>791295</v>
      </c>
      <c r="P106" s="273">
        <v>917889</v>
      </c>
      <c r="Q106" s="273">
        <v>1022004</v>
      </c>
      <c r="R106" s="273">
        <v>767122</v>
      </c>
      <c r="S106" s="273">
        <v>875003</v>
      </c>
      <c r="T106" s="273">
        <v>872210</v>
      </c>
      <c r="U106" s="273">
        <v>1058531</v>
      </c>
      <c r="V106" s="273">
        <v>786492</v>
      </c>
      <c r="W106" s="273">
        <v>908978</v>
      </c>
      <c r="X106" s="273">
        <v>844320</v>
      </c>
    </row>
    <row r="107" spans="1:24" ht="14.25" thickBot="1" x14ac:dyDescent="0.3">
      <c r="A107" s="225" t="s">
        <v>22</v>
      </c>
      <c r="B107" s="275">
        <v>223462</v>
      </c>
      <c r="C107" s="275">
        <v>213032</v>
      </c>
      <c r="D107" s="275">
        <v>160307</v>
      </c>
      <c r="E107" s="275">
        <v>109263</v>
      </c>
      <c r="F107" s="275">
        <v>134725</v>
      </c>
      <c r="G107" s="275">
        <v>190565</v>
      </c>
      <c r="H107" s="275">
        <v>53545</v>
      </c>
      <c r="I107" s="275">
        <v>123701</v>
      </c>
      <c r="J107" s="275">
        <v>123878</v>
      </c>
      <c r="K107" s="275">
        <v>452118</v>
      </c>
      <c r="L107" s="275">
        <v>105754</v>
      </c>
      <c r="M107" s="275">
        <v>55868</v>
      </c>
      <c r="N107" s="275">
        <v>90034</v>
      </c>
      <c r="O107" s="275">
        <v>416273</v>
      </c>
      <c r="P107" s="275">
        <v>122408</v>
      </c>
      <c r="Q107" s="275">
        <v>131543</v>
      </c>
      <c r="R107" s="275">
        <v>331691</v>
      </c>
      <c r="S107" s="275">
        <v>411992</v>
      </c>
      <c r="T107" s="275">
        <v>194461</v>
      </c>
      <c r="U107" s="275">
        <v>219157</v>
      </c>
      <c r="V107" s="275">
        <v>301481</v>
      </c>
      <c r="W107" s="275">
        <v>486816</v>
      </c>
      <c r="X107" s="275">
        <v>170688</v>
      </c>
    </row>
    <row r="108" spans="1:24" ht="14.25" thickBot="1" x14ac:dyDescent="0.3">
      <c r="A108" s="224" t="s">
        <v>263</v>
      </c>
      <c r="B108" s="273">
        <v>443029</v>
      </c>
      <c r="C108" s="273">
        <v>785740</v>
      </c>
      <c r="D108" s="273">
        <v>760588</v>
      </c>
      <c r="E108" s="273">
        <v>447121</v>
      </c>
      <c r="F108" s="273">
        <v>398879</v>
      </c>
      <c r="G108" s="273">
        <v>793564</v>
      </c>
      <c r="H108" s="273">
        <v>633611</v>
      </c>
      <c r="I108" s="273">
        <v>372236</v>
      </c>
      <c r="J108" s="273">
        <v>361749</v>
      </c>
      <c r="K108" s="273">
        <v>679100</v>
      </c>
      <c r="L108" s="273">
        <v>561945</v>
      </c>
      <c r="M108" s="273">
        <v>461279</v>
      </c>
      <c r="N108" s="273">
        <v>434037</v>
      </c>
      <c r="O108" s="273">
        <v>744223</v>
      </c>
      <c r="P108" s="273">
        <v>725426</v>
      </c>
      <c r="Q108" s="273">
        <v>545676</v>
      </c>
      <c r="R108" s="273">
        <v>508834</v>
      </c>
      <c r="S108" s="273">
        <v>824376</v>
      </c>
      <c r="T108" s="273">
        <v>685010</v>
      </c>
      <c r="U108" s="273">
        <v>515970</v>
      </c>
      <c r="V108" s="273">
        <v>514347</v>
      </c>
      <c r="W108" s="273">
        <v>787776</v>
      </c>
      <c r="X108" s="273">
        <v>722634</v>
      </c>
    </row>
    <row r="109" spans="1:24" ht="14.25" thickBot="1" x14ac:dyDescent="0.3">
      <c r="A109" s="225" t="s">
        <v>264</v>
      </c>
      <c r="B109" s="275">
        <v>318922</v>
      </c>
      <c r="C109" s="275">
        <v>459128</v>
      </c>
      <c r="D109" s="275">
        <v>437469</v>
      </c>
      <c r="E109" s="275">
        <v>371136</v>
      </c>
      <c r="F109" s="275">
        <v>377287</v>
      </c>
      <c r="G109" s="275">
        <v>376099</v>
      </c>
      <c r="H109" s="275">
        <v>333372</v>
      </c>
      <c r="I109" s="275">
        <v>296889</v>
      </c>
      <c r="J109" s="275">
        <v>335788</v>
      </c>
      <c r="K109" s="275">
        <v>321908</v>
      </c>
      <c r="L109" s="275">
        <v>346094</v>
      </c>
      <c r="M109" s="275">
        <v>337270</v>
      </c>
      <c r="N109" s="275">
        <v>373607</v>
      </c>
      <c r="O109" s="275">
        <v>387446</v>
      </c>
      <c r="P109" s="275">
        <v>332379</v>
      </c>
      <c r="Q109" s="275">
        <v>382560</v>
      </c>
      <c r="R109" s="275">
        <v>381516</v>
      </c>
      <c r="S109" s="275">
        <v>421847</v>
      </c>
      <c r="T109" s="275">
        <v>356266</v>
      </c>
      <c r="U109" s="275">
        <v>362272</v>
      </c>
      <c r="V109" s="275">
        <v>453614</v>
      </c>
      <c r="W109" s="275">
        <v>490513</v>
      </c>
      <c r="X109" s="275">
        <v>456229</v>
      </c>
    </row>
    <row r="110" spans="1:24" ht="14.25" thickBot="1" x14ac:dyDescent="0.3">
      <c r="A110" s="224" t="s">
        <v>23</v>
      </c>
      <c r="B110" s="273">
        <v>58030</v>
      </c>
      <c r="C110" s="273">
        <v>26571</v>
      </c>
      <c r="D110" s="273">
        <v>43013</v>
      </c>
      <c r="E110" s="273">
        <v>38608</v>
      </c>
      <c r="F110" s="273">
        <v>17160</v>
      </c>
      <c r="G110" s="273">
        <v>19044</v>
      </c>
      <c r="H110" s="273">
        <v>27527</v>
      </c>
      <c r="I110" s="273">
        <v>18152</v>
      </c>
      <c r="J110" s="273">
        <v>18590</v>
      </c>
      <c r="K110" s="273">
        <v>26821</v>
      </c>
      <c r="L110" s="273">
        <v>24093</v>
      </c>
      <c r="M110" s="273">
        <v>14772</v>
      </c>
      <c r="N110" s="273">
        <v>22861</v>
      </c>
      <c r="O110" s="273">
        <v>21244</v>
      </c>
      <c r="P110" s="273">
        <v>99441</v>
      </c>
      <c r="Q110" s="273">
        <v>94996</v>
      </c>
      <c r="R110" s="273">
        <v>96803</v>
      </c>
      <c r="S110" s="273">
        <v>110222</v>
      </c>
      <c r="T110" s="273">
        <v>20974</v>
      </c>
      <c r="U110" s="273">
        <v>39094</v>
      </c>
      <c r="V110" s="273">
        <v>43240</v>
      </c>
      <c r="W110" s="273">
        <v>48905</v>
      </c>
      <c r="X110" s="273">
        <v>48770</v>
      </c>
    </row>
    <row r="111" spans="1:24" ht="14.25" thickBot="1" x14ac:dyDescent="0.3">
      <c r="A111" s="225" t="s">
        <v>24</v>
      </c>
      <c r="B111" s="275">
        <v>1914905</v>
      </c>
      <c r="C111" s="275">
        <v>2335912</v>
      </c>
      <c r="D111" s="275">
        <v>2217240</v>
      </c>
      <c r="E111" s="275">
        <v>1844548</v>
      </c>
      <c r="F111" s="275">
        <v>1893526</v>
      </c>
      <c r="G111" s="275">
        <v>2292621</v>
      </c>
      <c r="H111" s="275">
        <v>1846661</v>
      </c>
      <c r="I111" s="275">
        <v>1773771</v>
      </c>
      <c r="J111" s="275">
        <v>1796025</v>
      </c>
      <c r="K111" s="275">
        <v>2305150</v>
      </c>
      <c r="L111" s="275">
        <v>1896910</v>
      </c>
      <c r="M111" s="275">
        <v>1776298</v>
      </c>
      <c r="N111" s="275">
        <v>1818583</v>
      </c>
      <c r="O111" s="275">
        <v>2360481</v>
      </c>
      <c r="P111" s="275">
        <v>2197543</v>
      </c>
      <c r="Q111" s="275">
        <v>2176779</v>
      </c>
      <c r="R111" s="275">
        <v>2085966</v>
      </c>
      <c r="S111" s="275">
        <v>2643440</v>
      </c>
      <c r="T111" s="275">
        <v>2128921</v>
      </c>
      <c r="U111" s="275">
        <v>2195024</v>
      </c>
      <c r="V111" s="275">
        <v>2099174</v>
      </c>
      <c r="W111" s="275">
        <v>2722988</v>
      </c>
      <c r="X111" s="275">
        <v>2242641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380109</v>
      </c>
      <c r="C113" s="275">
        <v>376775</v>
      </c>
      <c r="D113" s="275">
        <v>371514</v>
      </c>
      <c r="E113" s="275">
        <v>366622</v>
      </c>
      <c r="F113" s="275">
        <v>387725</v>
      </c>
      <c r="G113" s="275">
        <v>382716</v>
      </c>
      <c r="H113" s="275">
        <v>374959</v>
      </c>
      <c r="I113" s="275">
        <v>360770</v>
      </c>
      <c r="J113" s="275">
        <v>345713</v>
      </c>
      <c r="K113" s="275">
        <v>353658</v>
      </c>
      <c r="L113" s="275">
        <v>342509</v>
      </c>
      <c r="M113" s="275">
        <v>686762</v>
      </c>
      <c r="N113" s="275">
        <v>670483</v>
      </c>
      <c r="O113" s="275">
        <v>661239</v>
      </c>
      <c r="P113" s="275">
        <v>667222</v>
      </c>
      <c r="Q113" s="275">
        <v>661253</v>
      </c>
      <c r="R113" s="275">
        <v>644432</v>
      </c>
      <c r="S113" s="275">
        <v>623549</v>
      </c>
      <c r="T113" s="275">
        <v>603512</v>
      </c>
      <c r="U113" s="275">
        <v>605602</v>
      </c>
      <c r="V113" s="275">
        <v>582192</v>
      </c>
      <c r="W113" s="275">
        <v>579147</v>
      </c>
      <c r="X113" s="275">
        <v>578734</v>
      </c>
    </row>
    <row r="114" spans="1:24" ht="14.25" thickBot="1" x14ac:dyDescent="0.3">
      <c r="A114" s="224" t="s">
        <v>27</v>
      </c>
      <c r="B114" s="273">
        <v>191894</v>
      </c>
      <c r="C114" s="273">
        <v>161187</v>
      </c>
      <c r="D114" s="273">
        <v>179861</v>
      </c>
      <c r="E114" s="273">
        <v>143826</v>
      </c>
      <c r="F114" s="273">
        <v>140708</v>
      </c>
      <c r="G114" s="273">
        <v>121583</v>
      </c>
      <c r="H114" s="273">
        <v>421548</v>
      </c>
      <c r="I114" s="273">
        <v>409002</v>
      </c>
      <c r="J114" s="273">
        <v>394668</v>
      </c>
      <c r="K114" s="273">
        <v>385824</v>
      </c>
      <c r="L114" s="273">
        <v>472281</v>
      </c>
      <c r="M114" s="273">
        <v>138654</v>
      </c>
      <c r="N114" s="273">
        <v>151407</v>
      </c>
      <c r="O114" s="273">
        <v>139150</v>
      </c>
      <c r="P114" s="273">
        <v>65045</v>
      </c>
      <c r="Q114" s="273">
        <v>59908</v>
      </c>
      <c r="R114" s="273">
        <v>63113</v>
      </c>
      <c r="S114" s="273">
        <v>71245</v>
      </c>
      <c r="T114" s="273">
        <v>135647</v>
      </c>
      <c r="U114" s="273">
        <v>127750</v>
      </c>
      <c r="V114" s="273">
        <v>121031</v>
      </c>
      <c r="W114" s="273">
        <v>129254</v>
      </c>
      <c r="X114" s="273">
        <v>122284</v>
      </c>
    </row>
    <row r="115" spans="1:24" ht="14.25" thickBot="1" x14ac:dyDescent="0.3">
      <c r="A115" s="225" t="s">
        <v>265</v>
      </c>
      <c r="B115" s="276">
        <v>2486908</v>
      </c>
      <c r="C115" s="276">
        <v>2873874</v>
      </c>
      <c r="D115" s="276">
        <v>2768615</v>
      </c>
      <c r="E115" s="276">
        <v>2354996</v>
      </c>
      <c r="F115" s="276">
        <v>2421959</v>
      </c>
      <c r="G115" s="276">
        <v>2796920</v>
      </c>
      <c r="H115" s="276">
        <v>2643168</v>
      </c>
      <c r="I115" s="276">
        <v>2543543</v>
      </c>
      <c r="J115" s="276">
        <v>2536406</v>
      </c>
      <c r="K115" s="276">
        <v>3044632</v>
      </c>
      <c r="L115" s="276">
        <v>2711700</v>
      </c>
      <c r="M115" s="276">
        <v>2601714</v>
      </c>
      <c r="N115" s="276">
        <v>2640473</v>
      </c>
      <c r="O115" s="276">
        <v>3160870</v>
      </c>
      <c r="P115" s="276">
        <v>2929810</v>
      </c>
      <c r="Q115" s="276">
        <v>2897940</v>
      </c>
      <c r="R115" s="276">
        <v>2793511</v>
      </c>
      <c r="S115" s="276">
        <v>3338234</v>
      </c>
      <c r="T115" s="276">
        <v>2868080</v>
      </c>
      <c r="U115" s="276">
        <v>2928376</v>
      </c>
      <c r="V115" s="276">
        <v>2802397</v>
      </c>
      <c r="W115" s="276">
        <v>3431389</v>
      </c>
      <c r="X115" s="276">
        <v>2943659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75251</v>
      </c>
      <c r="C118" s="273">
        <v>121014</v>
      </c>
      <c r="D118" s="273">
        <v>212096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273">
        <v>220404</v>
      </c>
      <c r="L118" s="273">
        <v>84872</v>
      </c>
      <c r="M118" s="68">
        <v>0</v>
      </c>
      <c r="N118" s="68">
        <v>0</v>
      </c>
      <c r="O118" s="273">
        <v>227284</v>
      </c>
      <c r="P118" s="273">
        <v>215627</v>
      </c>
      <c r="Q118" s="273">
        <v>116036</v>
      </c>
      <c r="R118" s="68">
        <v>0</v>
      </c>
      <c r="S118" s="273">
        <v>132973</v>
      </c>
      <c r="T118" s="273">
        <v>171163</v>
      </c>
      <c r="U118" s="273">
        <v>59921</v>
      </c>
      <c r="V118" s="68">
        <v>0</v>
      </c>
      <c r="W118" s="273">
        <v>305204</v>
      </c>
      <c r="X118" s="273">
        <v>236815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265398</v>
      </c>
      <c r="C120" s="273">
        <v>569523</v>
      </c>
      <c r="D120" s="273">
        <v>406459</v>
      </c>
      <c r="E120" s="273">
        <v>304551</v>
      </c>
      <c r="F120" s="273">
        <v>357169</v>
      </c>
      <c r="G120" s="273">
        <v>486921</v>
      </c>
      <c r="H120" s="273">
        <v>313640</v>
      </c>
      <c r="I120" s="273">
        <v>175164</v>
      </c>
      <c r="J120" s="273">
        <v>206909</v>
      </c>
      <c r="K120" s="273">
        <v>361658</v>
      </c>
      <c r="L120" s="273">
        <v>318434</v>
      </c>
      <c r="M120" s="273">
        <v>213718</v>
      </c>
      <c r="N120" s="273">
        <v>241536</v>
      </c>
      <c r="O120" s="273">
        <v>354084</v>
      </c>
      <c r="P120" s="273">
        <v>284770</v>
      </c>
      <c r="Q120" s="273">
        <v>292437</v>
      </c>
      <c r="R120" s="273">
        <v>258799</v>
      </c>
      <c r="S120" s="273">
        <v>435423</v>
      </c>
      <c r="T120" s="273">
        <v>237368</v>
      </c>
      <c r="U120" s="273">
        <v>351226</v>
      </c>
      <c r="V120" s="273">
        <v>300875</v>
      </c>
      <c r="W120" s="273">
        <v>398251</v>
      </c>
      <c r="X120" s="273">
        <v>282038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194044</v>
      </c>
      <c r="C123" s="275">
        <v>291695</v>
      </c>
      <c r="D123" s="275">
        <v>173883</v>
      </c>
      <c r="E123" s="275">
        <v>152532</v>
      </c>
      <c r="F123" s="275">
        <v>124669</v>
      </c>
      <c r="G123" s="275">
        <v>320487</v>
      </c>
      <c r="H123" s="275">
        <v>236691</v>
      </c>
      <c r="I123" s="275">
        <v>249810</v>
      </c>
      <c r="J123" s="275">
        <v>198540</v>
      </c>
      <c r="K123" s="275">
        <v>486729</v>
      </c>
      <c r="L123" s="275">
        <v>218944</v>
      </c>
      <c r="M123" s="275">
        <v>218333</v>
      </c>
      <c r="N123" s="275">
        <v>200156</v>
      </c>
      <c r="O123" s="275">
        <v>563226</v>
      </c>
      <c r="P123" s="275">
        <v>258253</v>
      </c>
      <c r="Q123" s="275">
        <v>269271</v>
      </c>
      <c r="R123" s="275">
        <v>240428</v>
      </c>
      <c r="S123" s="275">
        <v>661891</v>
      </c>
      <c r="T123" s="275">
        <v>268707</v>
      </c>
      <c r="U123" s="275">
        <v>264590</v>
      </c>
      <c r="V123" s="275">
        <v>211390</v>
      </c>
      <c r="W123" s="275">
        <v>660614</v>
      </c>
      <c r="X123" s="275">
        <v>251774</v>
      </c>
    </row>
    <row r="124" spans="1:24" ht="14.25" thickBot="1" x14ac:dyDescent="0.3">
      <c r="A124" s="224" t="s">
        <v>268</v>
      </c>
      <c r="B124" s="273">
        <v>534693</v>
      </c>
      <c r="C124" s="273">
        <v>982232</v>
      </c>
      <c r="D124" s="273">
        <v>792438</v>
      </c>
      <c r="E124" s="273">
        <v>457083</v>
      </c>
      <c r="F124" s="273">
        <v>481838</v>
      </c>
      <c r="G124" s="273">
        <v>807408</v>
      </c>
      <c r="H124" s="273">
        <v>550331</v>
      </c>
      <c r="I124" s="273">
        <v>424974</v>
      </c>
      <c r="J124" s="273">
        <v>405449</v>
      </c>
      <c r="K124" s="273">
        <v>1068791</v>
      </c>
      <c r="L124" s="273">
        <v>622250</v>
      </c>
      <c r="M124" s="273">
        <v>432051</v>
      </c>
      <c r="N124" s="273">
        <v>441692</v>
      </c>
      <c r="O124" s="273">
        <v>1144594</v>
      </c>
      <c r="P124" s="273">
        <v>758650</v>
      </c>
      <c r="Q124" s="273">
        <v>677744</v>
      </c>
      <c r="R124" s="273">
        <v>499227</v>
      </c>
      <c r="S124" s="273">
        <v>1230287</v>
      </c>
      <c r="T124" s="273">
        <v>677238</v>
      </c>
      <c r="U124" s="273">
        <v>675737</v>
      </c>
      <c r="V124" s="273">
        <v>512265</v>
      </c>
      <c r="W124" s="273">
        <v>1364069</v>
      </c>
      <c r="X124" s="273">
        <v>770627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98442</v>
      </c>
      <c r="G125" s="275">
        <v>112744</v>
      </c>
      <c r="H125" s="275">
        <v>113367</v>
      </c>
      <c r="I125" s="275">
        <v>111752</v>
      </c>
      <c r="J125" s="275">
        <v>102212</v>
      </c>
      <c r="K125" s="275">
        <v>99942</v>
      </c>
      <c r="L125" s="275">
        <v>104632</v>
      </c>
      <c r="M125" s="275">
        <v>106091</v>
      </c>
      <c r="N125" s="275">
        <v>94339</v>
      </c>
      <c r="O125" s="275">
        <v>92444</v>
      </c>
      <c r="P125" s="275">
        <v>91832</v>
      </c>
      <c r="Q125" s="275">
        <v>82329</v>
      </c>
      <c r="R125" s="275">
        <v>82812</v>
      </c>
      <c r="S125" s="275">
        <v>87545</v>
      </c>
      <c r="T125" s="275">
        <v>85102</v>
      </c>
      <c r="U125" s="275">
        <v>88475</v>
      </c>
      <c r="V125" s="275">
        <v>95933</v>
      </c>
      <c r="W125" s="275">
        <v>112315</v>
      </c>
      <c r="X125" s="275">
        <v>115738</v>
      </c>
    </row>
    <row r="126" spans="1:24" ht="14.25" thickBot="1" x14ac:dyDescent="0.3">
      <c r="A126" s="224" t="s">
        <v>33</v>
      </c>
      <c r="B126" s="273">
        <v>73441</v>
      </c>
      <c r="C126" s="273">
        <v>80691</v>
      </c>
      <c r="D126" s="273">
        <v>82375</v>
      </c>
      <c r="E126" s="273">
        <v>84178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608134</v>
      </c>
      <c r="C127" s="275">
        <v>1062923</v>
      </c>
      <c r="D127" s="275">
        <v>874813</v>
      </c>
      <c r="E127" s="275">
        <v>541261</v>
      </c>
      <c r="F127" s="275">
        <v>580280</v>
      </c>
      <c r="G127" s="275">
        <v>920152</v>
      </c>
      <c r="H127" s="275">
        <v>663698</v>
      </c>
      <c r="I127" s="275">
        <v>536726</v>
      </c>
      <c r="J127" s="275">
        <v>507661</v>
      </c>
      <c r="K127" s="275">
        <v>1168733</v>
      </c>
      <c r="L127" s="275">
        <v>726882</v>
      </c>
      <c r="M127" s="275">
        <v>538142</v>
      </c>
      <c r="N127" s="275">
        <v>536031</v>
      </c>
      <c r="O127" s="275">
        <v>1237038</v>
      </c>
      <c r="P127" s="275">
        <v>850482</v>
      </c>
      <c r="Q127" s="275">
        <v>760073</v>
      </c>
      <c r="R127" s="275">
        <v>582039</v>
      </c>
      <c r="S127" s="275">
        <v>1317832</v>
      </c>
      <c r="T127" s="275">
        <v>762340</v>
      </c>
      <c r="U127" s="275">
        <v>764212</v>
      </c>
      <c r="V127" s="275">
        <v>608198</v>
      </c>
      <c r="W127" s="275">
        <v>1476384</v>
      </c>
      <c r="X127" s="275">
        <v>886365</v>
      </c>
    </row>
    <row r="128" spans="1:24" ht="14.25" thickBot="1" x14ac:dyDescent="0.3">
      <c r="A128" s="224" t="s">
        <v>34</v>
      </c>
      <c r="B128" s="273">
        <v>1878774</v>
      </c>
      <c r="C128" s="273">
        <v>1810951</v>
      </c>
      <c r="D128" s="273">
        <v>1893802</v>
      </c>
      <c r="E128" s="273">
        <v>1813735</v>
      </c>
      <c r="F128" s="273">
        <v>1841679</v>
      </c>
      <c r="G128" s="273">
        <v>1876768</v>
      </c>
      <c r="H128" s="273">
        <v>1979470</v>
      </c>
      <c r="I128" s="273">
        <v>2006817</v>
      </c>
      <c r="J128" s="273">
        <v>2028745</v>
      </c>
      <c r="K128" s="273">
        <v>1875899</v>
      </c>
      <c r="L128" s="273">
        <v>1984818</v>
      </c>
      <c r="M128" s="273">
        <v>2063572</v>
      </c>
      <c r="N128" s="273">
        <v>2104442</v>
      </c>
      <c r="O128" s="273">
        <v>1923832</v>
      </c>
      <c r="P128" s="273">
        <v>2079328</v>
      </c>
      <c r="Q128" s="273">
        <v>2137867</v>
      </c>
      <c r="R128" s="273">
        <v>2211472</v>
      </c>
      <c r="S128" s="273">
        <v>2020402</v>
      </c>
      <c r="T128" s="273">
        <v>2105740</v>
      </c>
      <c r="U128" s="273">
        <v>2164164</v>
      </c>
      <c r="V128" s="273">
        <v>2194199</v>
      </c>
      <c r="W128" s="273">
        <v>1955005</v>
      </c>
      <c r="X128" s="273">
        <v>2057294</v>
      </c>
    </row>
    <row r="129" spans="1:24" ht="14.25" thickBot="1" x14ac:dyDescent="0.3">
      <c r="A129" s="225" t="s">
        <v>35</v>
      </c>
      <c r="B129" s="276">
        <v>2486908</v>
      </c>
      <c r="C129" s="276">
        <v>2873874</v>
      </c>
      <c r="D129" s="276">
        <v>2768615</v>
      </c>
      <c r="E129" s="276">
        <v>2354996</v>
      </c>
      <c r="F129" s="276">
        <v>2421959</v>
      </c>
      <c r="G129" s="276">
        <v>2796920</v>
      </c>
      <c r="H129" s="276">
        <v>2643168</v>
      </c>
      <c r="I129" s="276">
        <v>2543543</v>
      </c>
      <c r="J129" s="276">
        <v>2536406</v>
      </c>
      <c r="K129" s="276">
        <v>3044632</v>
      </c>
      <c r="L129" s="276">
        <v>2711700</v>
      </c>
      <c r="M129" s="276">
        <v>2601714</v>
      </c>
      <c r="N129" s="276">
        <v>2640473</v>
      </c>
      <c r="O129" s="276">
        <v>3160870</v>
      </c>
      <c r="P129" s="276">
        <v>2929810</v>
      </c>
      <c r="Q129" s="276">
        <v>2897940</v>
      </c>
      <c r="R129" s="276">
        <v>2793511</v>
      </c>
      <c r="S129" s="276">
        <v>3338234</v>
      </c>
      <c r="T129" s="276">
        <v>2868080</v>
      </c>
      <c r="U129" s="276">
        <v>2928376</v>
      </c>
      <c r="V129" s="276">
        <v>2802397</v>
      </c>
      <c r="W129" s="276">
        <v>3431389</v>
      </c>
      <c r="X129" s="276">
        <v>2943659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2.37</v>
      </c>
      <c r="C132" s="68">
        <v>5.69</v>
      </c>
      <c r="D132" s="68">
        <v>3.02</v>
      </c>
      <c r="E132" s="68">
        <v>4.51</v>
      </c>
      <c r="F132" s="68">
        <v>5.4</v>
      </c>
    </row>
    <row r="133" spans="1:24" ht="14.25" thickBot="1" x14ac:dyDescent="0.3">
      <c r="A133" s="225" t="s">
        <v>37</v>
      </c>
      <c r="B133" s="274">
        <v>0.15</v>
      </c>
      <c r="C133" s="274">
        <v>-4.1500000000000004</v>
      </c>
      <c r="D133" s="274">
        <v>-1.06</v>
      </c>
      <c r="E133" s="274">
        <v>-1.52</v>
      </c>
      <c r="F133" s="274">
        <v>-1.41</v>
      </c>
    </row>
    <row r="134" spans="1:24" ht="14.25" thickBot="1" x14ac:dyDescent="0.3">
      <c r="A134" s="224" t="s">
        <v>38</v>
      </c>
      <c r="B134" s="68">
        <v>-2.3199999999999998</v>
      </c>
      <c r="C134" s="68">
        <v>-0.85</v>
      </c>
      <c r="D134" s="68">
        <v>-2.59</v>
      </c>
      <c r="E134" s="68">
        <v>-1.92</v>
      </c>
      <c r="F134" s="68">
        <v>-3.59</v>
      </c>
    </row>
    <row r="135" spans="1:24" ht="14.25" thickBot="1" x14ac:dyDescent="0.3">
      <c r="A135" s="225" t="s">
        <v>270</v>
      </c>
      <c r="B135" s="274">
        <v>2.5099999999999998</v>
      </c>
      <c r="C135" s="274">
        <v>1.55</v>
      </c>
      <c r="D135" s="274">
        <v>1.97</v>
      </c>
      <c r="E135" s="274">
        <v>2.99</v>
      </c>
      <c r="F135" s="274">
        <v>3.98</v>
      </c>
    </row>
    <row r="136" spans="1:24" ht="14.25" thickBot="1" x14ac:dyDescent="0.3">
      <c r="A136" s="229" t="s">
        <v>39</v>
      </c>
      <c r="B136" s="72">
        <v>0.19</v>
      </c>
      <c r="C136" s="72">
        <v>0.7</v>
      </c>
      <c r="D136" s="72">
        <v>-0.62</v>
      </c>
      <c r="E136" s="72">
        <v>1.07</v>
      </c>
      <c r="F136" s="72">
        <v>0.39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</v>
      </c>
      <c r="C140" s="68">
        <v>2.5</v>
      </c>
      <c r="D140" s="68">
        <v>2.8</v>
      </c>
      <c r="E140" s="68">
        <v>3.2</v>
      </c>
      <c r="F140" s="68">
        <v>3.5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1.8181818181818181</v>
      </c>
      <c r="C142" s="234">
        <f>IF(C140&lt;&gt;"無",IF(ISNA(HLOOKUP(C139,$B$64:$F$69,6,FALSE)),"",C140/HLOOKUP(C139,$B$64:$F$69,6,FALSE)),"")</f>
        <v>0.88967971530249113</v>
      </c>
      <c r="D142" s="234">
        <f>IF(D140&lt;&gt;"無",IF(ISNA(HLOOKUP(D139,$B$64:$F$69,6,FALSE)),"",D140/HLOOKUP(D139,$B$64:$F$69,6,FALSE)),"")</f>
        <v>0.97902097902097895</v>
      </c>
      <c r="E142" s="234">
        <f>IF(E140&lt;&gt;"無",IF(ISNA(HLOOKUP(E139,$B$64:$F$69,6,FALSE)),"",E140/HLOOKUP(E139,$B$64:$F$69,6,FALSE)),"")</f>
        <v>0.89887640449438222</v>
      </c>
      <c r="F142" s="234">
        <f>IF(F140&lt;&gt;"無",IF(ISNA(HLOOKUP(F139,$B$64:$F$69,6,FALSE)),"",F140/HLOOKUP(F139,$B$64:$F$69,6,FALSE)),"")</f>
        <v>0.9186351706036745</v>
      </c>
    </row>
    <row r="143" spans="1:24" x14ac:dyDescent="0.25">
      <c r="A143" s="233" t="s">
        <v>216</v>
      </c>
      <c r="B143" s="234">
        <f>IF(OR(B140=0,B140="無"),"",B135/B140)</f>
        <v>2.5099999999999998</v>
      </c>
      <c r="C143" s="234">
        <f>IF(OR(C140=0,C140="無"),"",C135/C140)</f>
        <v>0.62</v>
      </c>
      <c r="D143" s="234">
        <f>IF(OR(D140=0,D140="無"),"",D135/D140)</f>
        <v>0.70357142857142863</v>
      </c>
      <c r="E143" s="234">
        <f>IF(OR(E140=0,E140="無"),"",E135/E140)</f>
        <v>0.93437500000000007</v>
      </c>
      <c r="F143" s="234">
        <f>IF(OR(F140=0,F140="無"),"",F135/F140)</f>
        <v>1.1371428571428572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34.090000000000003</v>
      </c>
      <c r="C146" s="68">
        <v>35.06</v>
      </c>
      <c r="D146" s="68">
        <v>35.17</v>
      </c>
      <c r="E146" s="68">
        <v>21.38</v>
      </c>
      <c r="F146" s="68">
        <v>36.840000000000003</v>
      </c>
      <c r="G146" s="68">
        <v>38.04</v>
      </c>
      <c r="H146" s="68">
        <v>38.26</v>
      </c>
      <c r="I146" s="68">
        <v>36.97</v>
      </c>
      <c r="J146" s="68">
        <v>38.22</v>
      </c>
      <c r="K146" s="68">
        <v>38.51</v>
      </c>
      <c r="L146" s="68">
        <v>36.33</v>
      </c>
      <c r="M146" s="68">
        <v>35.44</v>
      </c>
      <c r="N146" s="68">
        <v>36.79</v>
      </c>
      <c r="O146" s="68">
        <v>37.14</v>
      </c>
      <c r="P146" s="68">
        <v>38.130000000000003</v>
      </c>
      <c r="Q146" s="68">
        <v>38.11</v>
      </c>
      <c r="R146" s="68">
        <v>38.07</v>
      </c>
      <c r="S146" s="68">
        <v>38.65</v>
      </c>
      <c r="T146" s="68">
        <v>35.92</v>
      </c>
      <c r="U146" s="68">
        <v>36.53</v>
      </c>
      <c r="V146" s="68">
        <v>34.68</v>
      </c>
      <c r="W146" s="68">
        <v>35.6</v>
      </c>
      <c r="X146" s="68">
        <v>34.97</v>
      </c>
    </row>
    <row r="147" spans="1:24" s="93" customFormat="1" ht="14.25" thickBot="1" x14ac:dyDescent="0.3">
      <c r="A147" s="225" t="s">
        <v>19</v>
      </c>
      <c r="B147" s="274">
        <v>-8.36</v>
      </c>
      <c r="C147" s="274">
        <v>10.79</v>
      </c>
      <c r="D147" s="274">
        <v>9.4600000000000009</v>
      </c>
      <c r="E147" s="274">
        <v>-13.7</v>
      </c>
      <c r="F147" s="274">
        <v>6.62</v>
      </c>
      <c r="G147" s="274">
        <v>14.73</v>
      </c>
      <c r="H147" s="274">
        <v>13.45</v>
      </c>
      <c r="I147" s="274">
        <v>2.86</v>
      </c>
      <c r="J147" s="274">
        <v>4.59</v>
      </c>
      <c r="K147" s="274">
        <v>15.96</v>
      </c>
      <c r="L147" s="274">
        <v>12.08</v>
      </c>
      <c r="M147" s="274">
        <v>9.1999999999999993</v>
      </c>
      <c r="N147" s="274">
        <v>9.4600000000000009</v>
      </c>
      <c r="O147" s="274">
        <v>16.32</v>
      </c>
      <c r="P147" s="274">
        <v>15.21</v>
      </c>
      <c r="Q147" s="274">
        <v>12.32</v>
      </c>
      <c r="R147" s="274">
        <v>13.01</v>
      </c>
      <c r="S147" s="274">
        <v>17.97</v>
      </c>
      <c r="T147" s="274">
        <v>13.97</v>
      </c>
      <c r="U147" s="274">
        <v>9.7100000000000009</v>
      </c>
      <c r="V147" s="274">
        <v>10.39</v>
      </c>
      <c r="W147" s="274">
        <v>15.75</v>
      </c>
      <c r="X147" s="274">
        <v>13.25</v>
      </c>
    </row>
    <row r="148" spans="1:24" s="93" customFormat="1" ht="14.25" thickBot="1" x14ac:dyDescent="0.3">
      <c r="A148" s="224" t="s">
        <v>41</v>
      </c>
      <c r="B148" s="68">
        <v>-8.09</v>
      </c>
      <c r="C148" s="68">
        <v>11.35</v>
      </c>
      <c r="D148" s="68">
        <v>9.7200000000000006</v>
      </c>
      <c r="E148" s="68">
        <v>-13.49</v>
      </c>
      <c r="F148" s="68">
        <v>7.45</v>
      </c>
      <c r="G148" s="68">
        <v>15.26</v>
      </c>
      <c r="H148" s="68">
        <v>13.11</v>
      </c>
      <c r="I148" s="68">
        <v>4.07</v>
      </c>
      <c r="J148" s="68">
        <v>5.75</v>
      </c>
      <c r="K148" s="68">
        <v>15.88</v>
      </c>
      <c r="L148" s="68">
        <v>13.57</v>
      </c>
      <c r="M148" s="68">
        <v>12.07</v>
      </c>
      <c r="N148" s="68">
        <v>9.4499999999999993</v>
      </c>
      <c r="O148" s="68">
        <v>16.14</v>
      </c>
      <c r="P148" s="68">
        <v>17.829999999999998</v>
      </c>
      <c r="Q148" s="68">
        <v>13</v>
      </c>
      <c r="R148" s="68">
        <v>12.96</v>
      </c>
      <c r="S148" s="68">
        <v>18.5</v>
      </c>
      <c r="T148" s="68">
        <v>14.08</v>
      </c>
      <c r="U148" s="68">
        <v>11.66</v>
      </c>
      <c r="V148" s="68">
        <v>9.1199999999999992</v>
      </c>
      <c r="W148" s="68">
        <v>16.2</v>
      </c>
      <c r="X148" s="68">
        <v>13.37</v>
      </c>
    </row>
    <row r="149" spans="1:24" s="93" customFormat="1" ht="14.25" thickBot="1" x14ac:dyDescent="0.3">
      <c r="A149" s="225" t="s">
        <v>13</v>
      </c>
      <c r="B149" s="73">
        <v>-8.1300000000000008</v>
      </c>
      <c r="C149" s="73">
        <v>10.65</v>
      </c>
      <c r="D149" s="73">
        <v>8.75</v>
      </c>
      <c r="E149" s="73">
        <v>-13.75</v>
      </c>
      <c r="F149" s="73">
        <v>6.28</v>
      </c>
      <c r="G149" s="73">
        <v>13.28</v>
      </c>
      <c r="H149" s="73">
        <v>11.27</v>
      </c>
      <c r="I149" s="73">
        <v>3.28</v>
      </c>
      <c r="J149" s="73">
        <v>4.97</v>
      </c>
      <c r="K149" s="73">
        <v>13.71</v>
      </c>
      <c r="L149" s="73">
        <v>11.69</v>
      </c>
      <c r="M149" s="73">
        <v>10.33</v>
      </c>
      <c r="N149" s="73">
        <v>8.1199999999999992</v>
      </c>
      <c r="O149" s="73">
        <v>13.84</v>
      </c>
      <c r="P149" s="73">
        <v>15.29</v>
      </c>
      <c r="Q149" s="73">
        <v>11.09</v>
      </c>
      <c r="R149" s="73">
        <v>11.08</v>
      </c>
      <c r="S149" s="73">
        <v>15.81</v>
      </c>
      <c r="T149" s="73">
        <v>12.08</v>
      </c>
      <c r="U149" s="73">
        <v>9.93</v>
      </c>
      <c r="V149" s="73">
        <v>7.97</v>
      </c>
      <c r="W149" s="73">
        <v>13.75</v>
      </c>
      <c r="X149" s="73">
        <v>11.45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32.22</v>
      </c>
      <c r="C152" s="68">
        <v>37.69</v>
      </c>
      <c r="D152" s="68">
        <v>37.17</v>
      </c>
      <c r="E152" s="68">
        <v>37.58</v>
      </c>
      <c r="F152" s="68">
        <v>37.39</v>
      </c>
    </row>
    <row r="153" spans="1:24" s="93" customFormat="1" ht="14.25" thickBot="1" x14ac:dyDescent="0.3">
      <c r="A153" s="225" t="s">
        <v>19</v>
      </c>
      <c r="B153" s="274">
        <v>2.34</v>
      </c>
      <c r="C153" s="274">
        <v>10.75</v>
      </c>
      <c r="D153" s="274">
        <v>11.49</v>
      </c>
      <c r="E153" s="274">
        <v>13.85</v>
      </c>
      <c r="F153" s="274">
        <v>14.2</v>
      </c>
    </row>
    <row r="154" spans="1:24" s="93" customFormat="1" ht="14.25" thickBot="1" x14ac:dyDescent="0.3">
      <c r="A154" s="224" t="s">
        <v>41</v>
      </c>
      <c r="B154" s="68">
        <v>2.68</v>
      </c>
      <c r="C154" s="68">
        <v>11.2</v>
      </c>
      <c r="D154" s="68">
        <v>12.7</v>
      </c>
      <c r="E154" s="68">
        <v>14.7</v>
      </c>
      <c r="F154" s="68">
        <v>14.79</v>
      </c>
    </row>
    <row r="155" spans="1:24" s="93" customFormat="1" ht="14.25" thickBot="1" x14ac:dyDescent="0.3">
      <c r="A155" s="225" t="s">
        <v>13</v>
      </c>
      <c r="B155" s="73">
        <v>2.08</v>
      </c>
      <c r="C155" s="73">
        <v>9.6199999999999992</v>
      </c>
      <c r="D155" s="73">
        <v>10.94</v>
      </c>
      <c r="E155" s="73">
        <v>12.6</v>
      </c>
      <c r="F155" s="73">
        <v>12.65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-1.55</v>
      </c>
      <c r="C158" s="68">
        <v>3.59</v>
      </c>
      <c r="D158" s="68">
        <v>3.04</v>
      </c>
      <c r="E158" s="68">
        <v>-3.11</v>
      </c>
      <c r="F158" s="68">
        <v>1.55</v>
      </c>
      <c r="G158" s="68">
        <v>5.44</v>
      </c>
      <c r="H158" s="68">
        <v>3.99</v>
      </c>
      <c r="I158" s="68">
        <v>0.71</v>
      </c>
      <c r="J158" s="68">
        <v>0.93</v>
      </c>
      <c r="K158" s="68">
        <v>4.58</v>
      </c>
      <c r="L158" s="68">
        <v>3.4</v>
      </c>
      <c r="M158" s="68">
        <v>2.38</v>
      </c>
      <c r="N158" s="68">
        <v>1.75</v>
      </c>
      <c r="O158" s="68">
        <v>4.5199999999999996</v>
      </c>
      <c r="P158" s="68">
        <v>4.46</v>
      </c>
      <c r="Q158" s="68">
        <v>2.63</v>
      </c>
      <c r="R158" s="68">
        <v>2.67</v>
      </c>
      <c r="S158" s="68">
        <v>5.54</v>
      </c>
      <c r="T158" s="68">
        <v>3.27</v>
      </c>
      <c r="U158" s="68">
        <v>2.33</v>
      </c>
      <c r="V158" s="68">
        <v>1.8</v>
      </c>
      <c r="W158" s="68">
        <v>4.3</v>
      </c>
      <c r="X158" s="68">
        <v>3.04</v>
      </c>
    </row>
    <row r="159" spans="1:24" s="93" customFormat="1" ht="14.25" thickBot="1" x14ac:dyDescent="0.3">
      <c r="A159" s="225" t="s">
        <v>45</v>
      </c>
      <c r="B159" s="73">
        <v>-2.06</v>
      </c>
      <c r="C159" s="73">
        <v>5.15</v>
      </c>
      <c r="D159" s="73">
        <v>4.6100000000000003</v>
      </c>
      <c r="E159" s="73">
        <v>-4.32</v>
      </c>
      <c r="F159" s="73">
        <v>2.02</v>
      </c>
      <c r="G159" s="73">
        <v>7.64</v>
      </c>
      <c r="H159" s="73">
        <v>5.62</v>
      </c>
      <c r="I159" s="73">
        <v>0.92</v>
      </c>
      <c r="J159" s="73">
        <v>1.17</v>
      </c>
      <c r="K159" s="73">
        <v>6.54</v>
      </c>
      <c r="L159" s="73">
        <v>5.04</v>
      </c>
      <c r="M159" s="73">
        <v>3.12</v>
      </c>
      <c r="N159" s="73">
        <v>2.19</v>
      </c>
      <c r="O159" s="73">
        <v>6.5</v>
      </c>
      <c r="P159" s="73">
        <v>6.76</v>
      </c>
      <c r="Q159" s="73">
        <v>3.62</v>
      </c>
      <c r="R159" s="73">
        <v>3.49</v>
      </c>
      <c r="S159" s="73">
        <v>8.02</v>
      </c>
      <c r="T159" s="73">
        <v>4.9000000000000004</v>
      </c>
      <c r="U159" s="73">
        <v>3.14</v>
      </c>
      <c r="V159" s="73">
        <v>2.36</v>
      </c>
      <c r="W159" s="73">
        <v>6.43</v>
      </c>
      <c r="X159" s="73">
        <v>4.7699999999999996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2.08</v>
      </c>
      <c r="C162" s="68">
        <v>9.6199999999999992</v>
      </c>
      <c r="D162" s="68">
        <v>10.94</v>
      </c>
      <c r="E162" s="68">
        <v>12.6</v>
      </c>
      <c r="F162" s="68">
        <v>12.65</v>
      </c>
    </row>
    <row r="163" spans="1:72" s="93" customFormat="1" ht="14.25" thickBot="1" x14ac:dyDescent="0.3">
      <c r="A163" s="225" t="s">
        <v>18</v>
      </c>
      <c r="B163" s="274">
        <v>1.24</v>
      </c>
      <c r="C163" s="274">
        <v>1.25</v>
      </c>
      <c r="D163" s="274">
        <v>1.0900000000000001</v>
      </c>
      <c r="E163" s="274">
        <v>1.06</v>
      </c>
      <c r="F163" s="274">
        <v>1.1200000000000001</v>
      </c>
    </row>
    <row r="164" spans="1:72" s="93" customFormat="1" ht="14.25" thickBot="1" x14ac:dyDescent="0.3">
      <c r="A164" s="224" t="s">
        <v>15</v>
      </c>
      <c r="B164" s="68">
        <v>1.3</v>
      </c>
      <c r="C164" s="68">
        <v>1.27</v>
      </c>
      <c r="D164" s="68">
        <v>1.26</v>
      </c>
      <c r="E164" s="68">
        <v>1.36</v>
      </c>
      <c r="F164" s="68">
        <v>1.35</v>
      </c>
    </row>
    <row r="165" spans="1:72" s="93" customFormat="1" ht="14.25" thickBot="1" x14ac:dyDescent="0.3">
      <c r="A165" s="225" t="s">
        <v>45</v>
      </c>
      <c r="B165" s="73">
        <v>3.27</v>
      </c>
      <c r="C165" s="73">
        <v>15.99</v>
      </c>
      <c r="D165" s="73">
        <v>15.31</v>
      </c>
      <c r="E165" s="73">
        <v>18.48</v>
      </c>
      <c r="F165" s="73">
        <v>19.22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87.38</v>
      </c>
      <c r="C168" s="68">
        <v>62.07</v>
      </c>
      <c r="D168" s="68">
        <v>71.430000000000007</v>
      </c>
      <c r="E168" s="68">
        <v>92.78</v>
      </c>
      <c r="F168" s="68">
        <v>64.75</v>
      </c>
      <c r="G168" s="68">
        <v>50.28</v>
      </c>
      <c r="H168" s="68">
        <v>66.67</v>
      </c>
      <c r="I168" s="68">
        <v>81.08</v>
      </c>
      <c r="J168" s="68">
        <v>69.77</v>
      </c>
      <c r="K168" s="68">
        <v>50.28</v>
      </c>
      <c r="L168" s="68">
        <v>67.16</v>
      </c>
      <c r="M168" s="68">
        <v>75.63</v>
      </c>
      <c r="N168" s="68">
        <v>71.430000000000007</v>
      </c>
      <c r="O168" s="68">
        <v>56.25</v>
      </c>
      <c r="P168" s="68">
        <v>75</v>
      </c>
      <c r="Q168" s="68">
        <v>83.33</v>
      </c>
      <c r="R168" s="68">
        <v>69.23</v>
      </c>
      <c r="S168" s="68">
        <v>55.9</v>
      </c>
      <c r="T168" s="68">
        <v>81.08</v>
      </c>
      <c r="U168" s="68">
        <v>80.36</v>
      </c>
      <c r="V168" s="68">
        <v>72</v>
      </c>
      <c r="W168" s="68">
        <v>60.4</v>
      </c>
      <c r="X168" s="68">
        <v>81.08</v>
      </c>
    </row>
    <row r="169" spans="1:72" s="93" customFormat="1" ht="14.25" thickBot="1" x14ac:dyDescent="0.3">
      <c r="A169" s="225" t="s">
        <v>17</v>
      </c>
      <c r="B169" s="274">
        <v>92.78</v>
      </c>
      <c r="C169" s="274">
        <v>60.4</v>
      </c>
      <c r="D169" s="274">
        <v>63.83</v>
      </c>
      <c r="E169" s="274">
        <v>79.650000000000006</v>
      </c>
      <c r="F169" s="274">
        <v>90.91</v>
      </c>
      <c r="G169" s="274">
        <v>51.14</v>
      </c>
      <c r="H169" s="274">
        <v>53.89</v>
      </c>
      <c r="I169" s="274">
        <v>80.36</v>
      </c>
      <c r="J169" s="274">
        <v>97.83</v>
      </c>
      <c r="K169" s="274">
        <v>51.72</v>
      </c>
      <c r="L169" s="274">
        <v>56.6</v>
      </c>
      <c r="M169" s="274">
        <v>78.260000000000005</v>
      </c>
      <c r="N169" s="274">
        <v>90</v>
      </c>
      <c r="O169" s="274">
        <v>57.69</v>
      </c>
      <c r="P169" s="274">
        <v>59.21</v>
      </c>
      <c r="Q169" s="274">
        <v>75.63</v>
      </c>
      <c r="R169" s="274">
        <v>81.08</v>
      </c>
      <c r="S169" s="274">
        <v>54.88</v>
      </c>
      <c r="T169" s="274">
        <v>65.22</v>
      </c>
      <c r="U169" s="274">
        <v>75.63</v>
      </c>
      <c r="V169" s="274">
        <v>87.38</v>
      </c>
      <c r="W169" s="274">
        <v>68.180000000000007</v>
      </c>
      <c r="X169" s="274">
        <v>78.260000000000005</v>
      </c>
    </row>
    <row r="170" spans="1:72" s="93" customFormat="1" ht="14.25" thickBot="1" x14ac:dyDescent="0.3">
      <c r="A170" s="224" t="s">
        <v>42</v>
      </c>
      <c r="B170" s="72">
        <v>180.16</v>
      </c>
      <c r="C170" s="72">
        <v>122.47</v>
      </c>
      <c r="D170" s="72">
        <v>135.26</v>
      </c>
      <c r="E170" s="72">
        <v>172.43</v>
      </c>
      <c r="F170" s="72">
        <v>155.66</v>
      </c>
      <c r="G170" s="72">
        <v>101.42</v>
      </c>
      <c r="H170" s="72">
        <v>120.56</v>
      </c>
      <c r="I170" s="72">
        <v>161.44</v>
      </c>
      <c r="J170" s="72">
        <v>167.59</v>
      </c>
      <c r="K170" s="72">
        <v>102</v>
      </c>
      <c r="L170" s="72">
        <v>123.77</v>
      </c>
      <c r="M170" s="72">
        <v>153.88999999999999</v>
      </c>
      <c r="N170" s="72">
        <v>161.43</v>
      </c>
      <c r="O170" s="72">
        <v>113.94</v>
      </c>
      <c r="P170" s="72">
        <v>134.21</v>
      </c>
      <c r="Q170" s="72">
        <v>158.96</v>
      </c>
      <c r="R170" s="72">
        <v>150.31</v>
      </c>
      <c r="S170" s="72">
        <v>110.78</v>
      </c>
      <c r="T170" s="72">
        <v>146.30000000000001</v>
      </c>
      <c r="U170" s="72">
        <v>155.99</v>
      </c>
      <c r="V170" s="72">
        <v>159.38</v>
      </c>
      <c r="W170" s="72">
        <v>128.58000000000001</v>
      </c>
      <c r="X170" s="72">
        <v>159.34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422.55</v>
      </c>
      <c r="C173" s="72">
        <v>200.92</v>
      </c>
      <c r="D173" s="72">
        <v>105.65</v>
      </c>
      <c r="E173" s="72">
        <v>126.69</v>
      </c>
      <c r="F173" s="72">
        <v>141.99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3.64</v>
      </c>
      <c r="C176" s="72">
        <v>4.84</v>
      </c>
      <c r="D176" s="72">
        <v>4.88</v>
      </c>
      <c r="E176" s="72">
        <v>13.64</v>
      </c>
      <c r="F176" s="72">
        <v>22.88</v>
      </c>
      <c r="G176" s="72">
        <v>21.47</v>
      </c>
      <c r="H176" s="72">
        <v>21.16</v>
      </c>
      <c r="I176" s="72">
        <v>27.54</v>
      </c>
      <c r="J176" s="72">
        <v>28</v>
      </c>
      <c r="K176" s="72">
        <v>24.34</v>
      </c>
      <c r="L176" s="72">
        <v>17.13</v>
      </c>
      <c r="M176" s="72">
        <v>18.489999999999998</v>
      </c>
      <c r="N176" s="72">
        <v>19.829999999999998</v>
      </c>
      <c r="O176" s="72">
        <v>18.559999999999999</v>
      </c>
      <c r="P176" s="72">
        <v>18.850000000000001</v>
      </c>
      <c r="Q176" s="72">
        <v>38.76</v>
      </c>
      <c r="R176" s="72">
        <v>22.2</v>
      </c>
      <c r="S176" s="72">
        <v>23.2</v>
      </c>
      <c r="T176" s="72">
        <v>24</v>
      </c>
      <c r="U176" s="72">
        <v>20.76</v>
      </c>
      <c r="V176" s="72">
        <v>19.010000000000002</v>
      </c>
      <c r="W176" s="72">
        <v>16.7</v>
      </c>
      <c r="X176" s="72">
        <v>15.86</v>
      </c>
      <c r="Y176" s="72">
        <v>17.52</v>
      </c>
      <c r="Z176" s="72">
        <v>20.85</v>
      </c>
      <c r="AA176" s="72">
        <v>19.32</v>
      </c>
      <c r="AB176" s="72">
        <v>13.66</v>
      </c>
      <c r="AC176" s="72">
        <v>13.37</v>
      </c>
      <c r="AD176" s="72">
        <v>13.4</v>
      </c>
      <c r="AE176" s="72">
        <v>14.25</v>
      </c>
      <c r="AF176" s="72">
        <v>13.83</v>
      </c>
      <c r="AG176" s="72">
        <v>16.809999999999999</v>
      </c>
      <c r="AH176" s="72">
        <v>15.26</v>
      </c>
      <c r="AI176" s="72">
        <v>12.7</v>
      </c>
      <c r="AJ176" s="72">
        <v>13.59</v>
      </c>
      <c r="AK176" s="72">
        <v>14.69</v>
      </c>
      <c r="AL176" s="72">
        <v>15.48</v>
      </c>
      <c r="AM176" s="72">
        <v>15.46</v>
      </c>
      <c r="AN176" s="72">
        <v>14.32</v>
      </c>
      <c r="AO176" s="72">
        <v>15.3</v>
      </c>
      <c r="AP176" s="72">
        <v>13.34</v>
      </c>
      <c r="AQ176" s="72">
        <v>12.18</v>
      </c>
      <c r="AR176" s="72">
        <v>10.87</v>
      </c>
      <c r="AS176" s="72">
        <v>9.69</v>
      </c>
      <c r="AT176" s="72">
        <v>9.93</v>
      </c>
      <c r="AU176" s="72">
        <v>10.76</v>
      </c>
      <c r="AV176" s="72">
        <v>11.23</v>
      </c>
      <c r="AW176" s="72">
        <v>11.5</v>
      </c>
      <c r="AX176" s="72">
        <v>10.46</v>
      </c>
      <c r="AY176" s="72">
        <v>11.11</v>
      </c>
      <c r="AZ176" s="72">
        <v>11.64</v>
      </c>
      <c r="BA176" s="72">
        <v>11.91</v>
      </c>
      <c r="BB176" s="72">
        <v>10.92</v>
      </c>
      <c r="BC176" s="72">
        <v>11.16</v>
      </c>
      <c r="BD176" s="72">
        <v>10.93</v>
      </c>
      <c r="BE176" s="72">
        <v>10.029999999999999</v>
      </c>
      <c r="BF176" s="72">
        <v>9.26</v>
      </c>
      <c r="BG176" s="72">
        <v>9.1</v>
      </c>
      <c r="BH176" s="72">
        <v>9.43</v>
      </c>
      <c r="BI176" s="72">
        <v>9.5399999999999991</v>
      </c>
      <c r="BJ176" s="72">
        <v>9.91</v>
      </c>
      <c r="BK176" s="72">
        <v>10.27</v>
      </c>
      <c r="BL176" s="72">
        <v>10.89</v>
      </c>
      <c r="BM176" s="72">
        <v>10.71</v>
      </c>
      <c r="BN176" s="72">
        <v>11.16</v>
      </c>
      <c r="BO176" s="72">
        <v>11.2</v>
      </c>
      <c r="BP176" s="72">
        <v>10.4</v>
      </c>
      <c r="BQ176" s="72">
        <v>11.47</v>
      </c>
      <c r="BR176" s="72">
        <v>13.44</v>
      </c>
      <c r="BS176" s="72">
        <v>16.559999999999999</v>
      </c>
      <c r="BT176" s="72">
        <v>19.329999999999998</v>
      </c>
    </row>
  </sheetData>
  <phoneticPr fontId="3" type="noConversion"/>
  <conditionalFormatting sqref="E4">
    <cfRule type="cellIs" dxfId="3449" priority="101" operator="greaterThan">
      <formula>0.2</formula>
    </cfRule>
    <cfRule type="cellIs" dxfId="344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344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446" priority="95" operator="greaterThan">
      <formula>$B$19</formula>
    </cfRule>
  </conditionalFormatting>
  <conditionalFormatting sqref="D33:D34">
    <cfRule type="cellIs" dxfId="344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3444" priority="89" operator="lessThan">
      <formula>$H$62</formula>
    </cfRule>
    <cfRule type="cellIs" dxfId="3443" priority="90" operator="greaterThan">
      <formula>$H$62</formula>
    </cfRule>
  </conditionalFormatting>
  <conditionalFormatting sqref="J62">
    <cfRule type="cellIs" dxfId="3442" priority="87" operator="lessThan">
      <formula>$K$62</formula>
    </cfRule>
    <cfRule type="cellIs" dxfId="3441" priority="88" operator="greaterThan">
      <formula>$K$62</formula>
    </cfRule>
  </conditionalFormatting>
  <conditionalFormatting sqref="M62">
    <cfRule type="cellIs" dxfId="3440" priority="85" operator="lessThan">
      <formula>$N$62</formula>
    </cfRule>
    <cfRule type="cellIs" dxfId="3439" priority="86" operator="greaterThan">
      <formula>$N$62</formula>
    </cfRule>
  </conditionalFormatting>
  <conditionalFormatting sqref="B44:E44">
    <cfRule type="cellIs" dxfId="3438" priority="83" operator="greaterThan">
      <formula>0</formula>
    </cfRule>
    <cfRule type="cellIs" dxfId="3437" priority="84" operator="lessThan">
      <formula>0</formula>
    </cfRule>
  </conditionalFormatting>
  <conditionalFormatting sqref="F72">
    <cfRule type="cellIs" dxfId="3436" priority="82" operator="lessThan">
      <formula>$E$72*90%</formula>
    </cfRule>
  </conditionalFormatting>
  <conditionalFormatting sqref="F73">
    <cfRule type="cellIs" dxfId="3435" priority="81" operator="lessThan">
      <formula>$E$73*90%</formula>
    </cfRule>
  </conditionalFormatting>
  <conditionalFormatting sqref="F74">
    <cfRule type="cellIs" dxfId="3434" priority="80" operator="lessThan">
      <formula>$E$74*90%</formula>
    </cfRule>
  </conditionalFormatting>
  <conditionalFormatting sqref="F75">
    <cfRule type="cellIs" dxfId="3433" priority="79" operator="lessThan">
      <formula>$E$75*90%</formula>
    </cfRule>
  </conditionalFormatting>
  <conditionalFormatting sqref="H44:K44">
    <cfRule type="cellIs" dxfId="3432" priority="77" operator="greaterThan">
      <formula>0</formula>
    </cfRule>
    <cfRule type="cellIs" dxfId="3431" priority="78" operator="lessThan">
      <formula>0</formula>
    </cfRule>
  </conditionalFormatting>
  <conditionalFormatting sqref="H51:K51">
    <cfRule type="cellIs" dxfId="3430" priority="75" operator="greaterThan">
      <formula>0</formula>
    </cfRule>
    <cfRule type="cellIs" dxfId="3429" priority="76" operator="lessThan">
      <formula>0</formula>
    </cfRule>
  </conditionalFormatting>
  <conditionalFormatting sqref="B51:E51">
    <cfRule type="cellIs" dxfId="3428" priority="73" operator="greaterThan">
      <formula>0</formula>
    </cfRule>
    <cfRule type="cellIs" dxfId="342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42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42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424" priority="56" operator="lessThan">
      <formula>0</formula>
    </cfRule>
  </conditionalFormatting>
  <conditionalFormatting sqref="A25 E25 C25">
    <cfRule type="cellIs" dxfId="3423" priority="57" operator="lessThan">
      <formula>0</formula>
    </cfRule>
  </conditionalFormatting>
  <conditionalFormatting sqref="F25">
    <cfRule type="cellIs" dxfId="3422" priority="55" operator="lessThan">
      <formula>0</formula>
    </cfRule>
  </conditionalFormatting>
  <conditionalFormatting sqref="E1">
    <cfRule type="containsText" dxfId="3421" priority="54" operator="containsText" text="本季業外損益/平均=-">
      <formula>NOT(ISERROR(SEARCH("本季業外損益/平均=-",E1)))</formula>
    </cfRule>
  </conditionalFormatting>
  <conditionalFormatting sqref="M65">
    <cfRule type="cellIs" dxfId="3420" priority="53" operator="lessThan">
      <formula>$L$65*90%</formula>
    </cfRule>
  </conditionalFormatting>
  <conditionalFormatting sqref="M66">
    <cfRule type="cellIs" dxfId="3419" priority="52" operator="lessThan">
      <formula>$L$66*90%</formula>
    </cfRule>
  </conditionalFormatting>
  <conditionalFormatting sqref="M67">
    <cfRule type="cellIs" dxfId="3418" priority="51" operator="lessThan">
      <formula>$L$67*90%</formula>
    </cfRule>
  </conditionalFormatting>
  <conditionalFormatting sqref="M68">
    <cfRule type="cellIs" dxfId="3417" priority="50" operator="lessThan">
      <formula>$L$68*90%</formula>
    </cfRule>
  </conditionalFormatting>
  <conditionalFormatting sqref="B60">
    <cfRule type="cellIs" dxfId="3416" priority="49" operator="lessThan">
      <formula>0</formula>
    </cfRule>
  </conditionalFormatting>
  <conditionalFormatting sqref="B59:F59">
    <cfRule type="cellIs" dxfId="3415" priority="48" operator="lessThanOrEqual">
      <formula>0</formula>
    </cfRule>
  </conditionalFormatting>
  <conditionalFormatting sqref="D62">
    <cfRule type="cellIs" dxfId="3414" priority="46" operator="lessThan">
      <formula>$E$62</formula>
    </cfRule>
    <cfRule type="cellIs" dxfId="3413" priority="47" operator="greaterThan">
      <formula>$E$62</formula>
    </cfRule>
  </conditionalFormatting>
  <conditionalFormatting sqref="F69">
    <cfRule type="cellIs" dxfId="3412" priority="44" operator="lessThan">
      <formula>0</formula>
    </cfRule>
  </conditionalFormatting>
  <conditionalFormatting sqref="B65:E67 B69:E69 B68:D68">
    <cfRule type="cellIs" dxfId="3411" priority="45" operator="lessThan">
      <formula>0</formula>
    </cfRule>
  </conditionalFormatting>
  <conditionalFormatting sqref="E68">
    <cfRule type="cellIs" dxfId="3410" priority="43" operator="lessThan">
      <formula>0</formula>
    </cfRule>
  </conditionalFormatting>
  <conditionalFormatting sqref="F65:F68">
    <cfRule type="cellIs" dxfId="3409" priority="42" operator="lessThan">
      <formula>0</formula>
    </cfRule>
  </conditionalFormatting>
  <conditionalFormatting sqref="F65:F68">
    <cfRule type="cellIs" dxfId="3408" priority="41" operator="lessThan">
      <formula>$E$65*0.9</formula>
    </cfRule>
  </conditionalFormatting>
  <conditionalFormatting sqref="F66">
    <cfRule type="cellIs" dxfId="3407" priority="40" operator="lessThan">
      <formula>$E$66*0.9</formula>
    </cfRule>
  </conditionalFormatting>
  <conditionalFormatting sqref="F67:F68">
    <cfRule type="cellIs" dxfId="3406" priority="39" operator="lessThan">
      <formula>$E$67*0.9</formula>
    </cfRule>
  </conditionalFormatting>
  <conditionalFormatting sqref="F68">
    <cfRule type="cellIs" dxfId="3405" priority="38" operator="lessThan">
      <formula>$E$68*0.9</formula>
    </cfRule>
  </conditionalFormatting>
  <conditionalFormatting sqref="B13:F13">
    <cfRule type="cellIs" dxfId="3404" priority="27" operator="greaterThan">
      <formula>$I$16</formula>
    </cfRule>
    <cfRule type="cellIs" dxfId="3403" priority="28" operator="lessThanOrEqual">
      <formula>$I$16</formula>
    </cfRule>
  </conditionalFormatting>
  <conditionalFormatting sqref="B10:F10">
    <cfRule type="cellIs" dxfId="3402" priority="29" operator="greaterThan">
      <formula>15</formula>
    </cfRule>
    <cfRule type="cellIs" dxfId="3401" priority="36" operator="lessThan">
      <formula>$I$9</formula>
    </cfRule>
    <cfRule type="cellIs" dxfId="3400" priority="37" operator="greaterThan">
      <formula>$I$9</formula>
    </cfRule>
  </conditionalFormatting>
  <conditionalFormatting sqref="B16:F16">
    <cfRule type="cellIs" dxfId="3399" priority="34" operator="greaterThan">
      <formula>$I$16</formula>
    </cfRule>
    <cfRule type="cellIs" dxfId="3398" priority="35" operator="lessThanOrEqual">
      <formula>$I$16</formula>
    </cfRule>
  </conditionalFormatting>
  <conditionalFormatting sqref="B15:F15">
    <cfRule type="cellIs" dxfId="3397" priority="32" operator="lessThanOrEqual">
      <formula>$I$16</formula>
    </cfRule>
    <cfRule type="cellIs" dxfId="3396" priority="33" operator="greaterThan">
      <formula>$I$16</formula>
    </cfRule>
  </conditionalFormatting>
  <conditionalFormatting sqref="B14:F14">
    <cfRule type="cellIs" dxfId="3395" priority="30" operator="greaterThan">
      <formula>$I$16</formula>
    </cfRule>
    <cfRule type="cellIs" dxfId="3394" priority="31" operator="lessThanOrEqual">
      <formula>$I$16</formula>
    </cfRule>
  </conditionalFormatting>
  <conditionalFormatting sqref="K6">
    <cfRule type="containsText" dxfId="3393" priority="25" operator="containsText" text="衰退">
      <formula>NOT(ISERROR(SEARCH("衰退",K6)))</formula>
    </cfRule>
    <cfRule type="containsText" dxfId="3392" priority="26" operator="containsText" text="成長">
      <formula>NOT(ISERROR(SEARCH("成長",K6)))</formula>
    </cfRule>
  </conditionalFormatting>
  <conditionalFormatting sqref="I4:K4">
    <cfRule type="cellIs" dxfId="3391" priority="23" operator="lessThan">
      <formula>0</formula>
    </cfRule>
    <cfRule type="cellIs" dxfId="339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389" priority="20" operator="lessThanOrEqual">
      <formula>$I$16</formula>
    </cfRule>
    <cfRule type="cellIs" dxfId="3388" priority="21" operator="greaterThan">
      <formula>$I$16</formula>
    </cfRule>
  </conditionalFormatting>
  <conditionalFormatting sqref="I6">
    <cfRule type="containsText" dxfId="3387" priority="18" operator="containsText" text="衰退">
      <formula>NOT(ISERROR(SEARCH("衰退",I6)))</formula>
    </cfRule>
    <cfRule type="containsText" dxfId="3386" priority="19" operator="containsText" text="成長">
      <formula>NOT(ISERROR(SEARCH("成長",I6)))</formula>
    </cfRule>
  </conditionalFormatting>
  <conditionalFormatting sqref="M9">
    <cfRule type="cellIs" dxfId="3385" priority="17" operator="lessThan">
      <formula>$I$9</formula>
    </cfRule>
  </conditionalFormatting>
  <conditionalFormatting sqref="M10">
    <cfRule type="cellIs" dxfId="3384" priority="16" operator="greaterThan">
      <formula>$I$9</formula>
    </cfRule>
  </conditionalFormatting>
  <conditionalFormatting sqref="M11">
    <cfRule type="cellIs" dxfId="338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382" priority="12" operator="lessThan">
      <formula>0</formula>
    </cfRule>
    <cfRule type="cellIs" dxfId="3381" priority="13" operator="greaterThan">
      <formula>0.5</formula>
    </cfRule>
  </conditionalFormatting>
  <conditionalFormatting sqref="N14">
    <cfRule type="cellIs" dxfId="338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379" priority="8" operator="lessThan">
      <formula>0.1</formula>
    </cfRule>
  </conditionalFormatting>
  <conditionalFormatting sqref="I14">
    <cfRule type="cellIs" dxfId="337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37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376" priority="1" operator="lessThan">
      <formula>$N$5*0.9</formula>
    </cfRule>
    <cfRule type="cellIs" dxfId="3375" priority="2" operator="greaterThan">
      <formula>$N$5*1.1</formula>
    </cfRule>
  </conditionalFormatting>
  <hyperlinks>
    <hyperlink ref="L1" location="儀表板!A1" display="(回首頁)" xr:uid="{00000000-0004-0000-3A00-000000000000}"/>
  </hyperlink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0.39 ~ 10.87</v>
      </c>
      <c r="L1" s="83" t="s">
        <v>176</v>
      </c>
      <c r="M1" s="84" t="str">
        <f ca="1">VLOOKUP(_xlfn.NUMBERVALUE(N1),儀表板!A:B,2,FALSE)</f>
        <v>亞泰</v>
      </c>
      <c r="N1" s="85" t="str">
        <f ca="1">MID(CELL("filename",L1),FIND("]",CELL("filename",L1))+1,255)</f>
        <v>4974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0.21839001488606435</v>
      </c>
    </row>
    <row r="3" spans="1:15" s="93" customFormat="1" x14ac:dyDescent="0.25">
      <c r="A3" s="81" t="s">
        <v>179</v>
      </c>
      <c r="B3" s="94">
        <f>SUM(F19:F22,F24:F27,J19)</f>
        <v>94.306402078217772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39.614662672573218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42.182083231427718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44.261481700582607</v>
      </c>
      <c r="L3" s="100"/>
      <c r="M3" s="79" t="s">
        <v>385</v>
      </c>
      <c r="N3" s="92">
        <f>(F69-E69)/E69</f>
        <v>-6.7486120759942911E-2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6.2</v>
      </c>
      <c r="E4" s="82">
        <f>(D4-F4)/F4</f>
        <v>0</v>
      </c>
      <c r="F4" s="103">
        <v>6.2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4.1123862074486519</v>
      </c>
    </row>
    <row r="5" spans="1:15" s="93" customFormat="1" x14ac:dyDescent="0.25">
      <c r="A5" s="81" t="s">
        <v>184</v>
      </c>
      <c r="B5" s="107">
        <f>SUM(F30:F34)*2</f>
        <v>83.357585365853652</v>
      </c>
      <c r="C5" s="87"/>
      <c r="D5" s="87"/>
      <c r="E5" s="87"/>
      <c r="F5" s="86"/>
      <c r="G5" s="88"/>
      <c r="M5" s="79" t="s">
        <v>386</v>
      </c>
      <c r="N5" s="152">
        <f>D62</f>
        <v>4.55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4.3267020725614405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14.46</v>
      </c>
      <c r="N9" s="129"/>
    </row>
    <row r="10" spans="1:15" s="93" customFormat="1" x14ac:dyDescent="0.25">
      <c r="A10" s="123" t="s">
        <v>194</v>
      </c>
      <c r="B10" s="126">
        <f>PERCENTILE(176:176,B9)</f>
        <v>8.9</v>
      </c>
      <c r="C10" s="126">
        <f>PERCENTILE(176:176,C9)</f>
        <v>9.3350000000000009</v>
      </c>
      <c r="D10" s="126">
        <f>PERCENTILE(176:176,D9)</f>
        <v>9.94</v>
      </c>
      <c r="E10" s="126">
        <f>PERCENTILE(176:176,E9)</f>
        <v>10.43</v>
      </c>
      <c r="F10" s="126">
        <f>PERCENTILE(176:176,F9)</f>
        <v>11.63</v>
      </c>
      <c r="G10" s="95"/>
      <c r="H10" s="135"/>
      <c r="I10" s="135"/>
      <c r="J10" s="135"/>
      <c r="K10" s="135"/>
      <c r="L10" s="136" t="s">
        <v>374</v>
      </c>
      <c r="M10" s="130">
        <f>MIN(176:176)</f>
        <v>7.05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29.57</v>
      </c>
      <c r="L11" s="272" t="s">
        <v>193</v>
      </c>
      <c r="M11" s="128">
        <f>STDEV(176:176)</f>
        <v>1.6753123015865241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37.675070028011206</v>
      </c>
      <c r="C13" s="141">
        <f>$B$34/5.88%</f>
        <v>45.748299319727892</v>
      </c>
      <c r="D13" s="141">
        <f>$B$34/5%</f>
        <v>53.8</v>
      </c>
      <c r="E13" s="141">
        <f>$B$34/4.35%</f>
        <v>61.839080459770116</v>
      </c>
      <c r="F13" s="141">
        <f>$B$34/3.85%</f>
        <v>69.870129870129873</v>
      </c>
      <c r="G13" s="138" t="str">
        <f>"$"&amp;ROUND(B34,2)&amp;"/"&amp;IF(STDEV(C140:F140)/AVERAGE(C140:F140)&lt;15%,"高",IF(STDEV(C140:F140)/AVERAGE(C140:F140)&lt;30%,"中","低"))</f>
        <v>$2.69/高</v>
      </c>
      <c r="H13" s="142" t="s">
        <v>199</v>
      </c>
      <c r="I13" s="143">
        <f>MAX(0,1-J15)</f>
        <v>0.34013605442176864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36.489999999999995</v>
      </c>
      <c r="C14" s="141">
        <f>$B$33*C10</f>
        <v>38.273499999999999</v>
      </c>
      <c r="D14" s="141">
        <f>$B$33*D10</f>
        <v>40.753999999999998</v>
      </c>
      <c r="E14" s="141">
        <f>$B$33*E10</f>
        <v>42.762999999999998</v>
      </c>
      <c r="F14" s="141">
        <f>$B$33*F10</f>
        <v>47.683</v>
      </c>
      <c r="G14" s="138" t="str">
        <f>"$"&amp;ROUND(B33,2)&amp;"/"&amp;IF(STDEV(B69:E69)/AVERAGE(B69:E69)&lt;15%,"高",IF(STDEV(B69:E69)/AVERAGE(B69:E69)&lt;30%,"中","低"))</f>
        <v>$4.1/高</v>
      </c>
      <c r="H14" s="142" t="s">
        <v>203</v>
      </c>
      <c r="I14" s="145">
        <f>G62/100*I13</f>
        <v>5.4795918367346923E-2</v>
      </c>
      <c r="J14" s="76" t="s">
        <v>204</v>
      </c>
      <c r="K14" s="146"/>
      <c r="L14" s="147">
        <f>(HLOOKUP($C$1,$105:$106,2,FALSE)-HLOOKUP($C$1,$117:$127,9,FALSE))/(HLOOKUP($C$1,$117:$128,12,FALSE)/K11)</f>
        <v>22.385118755722303</v>
      </c>
      <c r="M14" s="148">
        <f>E135/E69</f>
        <v>0.69160997732426299</v>
      </c>
      <c r="N14" s="149">
        <f>F173/100</f>
        <v>2.6930999999999998</v>
      </c>
    </row>
    <row r="15" spans="1:15" s="93" customFormat="1" x14ac:dyDescent="0.25">
      <c r="A15" s="140" t="s">
        <v>375</v>
      </c>
      <c r="B15" s="141">
        <f>$D$62*B10</f>
        <v>40.494999999999997</v>
      </c>
      <c r="C15" s="141">
        <f>$D$62*C10</f>
        <v>42.474250000000005</v>
      </c>
      <c r="D15" s="141">
        <f>$D$62*D10</f>
        <v>45.226999999999997</v>
      </c>
      <c r="E15" s="141">
        <f>$D$62*E10</f>
        <v>47.456499999999998</v>
      </c>
      <c r="F15" s="141">
        <f>$D$62*F10</f>
        <v>52.916499999999999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0.65986394557823136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36.600237246293005</v>
      </c>
      <c r="C16" s="141">
        <f>$F$69*C10</f>
        <v>38.389125246533169</v>
      </c>
      <c r="D16" s="141">
        <f>$F$69*D10</f>
        <v>40.877118902039598</v>
      </c>
      <c r="E16" s="141">
        <f>$F$69*E10</f>
        <v>42.892188143689438</v>
      </c>
      <c r="F16" s="141">
        <f>$F$69*F10</f>
        <v>47.827051592627825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781</v>
      </c>
      <c r="J17" s="92">
        <f ca="1">IF(I17&lt;=0,"",IF(I17&lt;=MIN($B$13:$F$16),(I17-MIN($B$13:$F$16))/MIN($B$13:$F$16),IF(I17&gt;=MAX($B$13:$F$16),I17/MAX($B$13:$F$16),PERCENTRANK($B$13:$F$16,I17))))</f>
        <v>11.177881040892194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5.2925000000000004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20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1.967472118959108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8.2828760319030956E-2</v>
      </c>
      <c r="J20" s="171">
        <f>HLOOKUP($C$1,$117:$127,11,FALSE)/HLOOKUP($C$1,$105:$115,11,FALSE)</f>
        <v>0.30005964446414818</v>
      </c>
      <c r="K20" s="163"/>
    </row>
    <row r="21" spans="1:14" s="93" customFormat="1" x14ac:dyDescent="0.25">
      <c r="A21" s="151" t="s">
        <v>201</v>
      </c>
      <c r="B21" s="161">
        <f>AVERAGE(C173:F173)/100</f>
        <v>1.5599750000000001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3.1128504019415897</v>
      </c>
      <c r="J21" s="78"/>
      <c r="K21" s="164" t="s">
        <v>356</v>
      </c>
      <c r="L21" s="165">
        <f>HLOOKUP($C$1,$105:$115,7,FALSE)/HLOOKUP($C$1,$105:$115,11,FALSE)</f>
        <v>0.90108257803810521</v>
      </c>
      <c r="M21" s="123" t="s">
        <v>268</v>
      </c>
      <c r="N21" s="165">
        <f>HLOOKUP($C$1,$117:$127,8,FALSE)/HLOOKUP($C$1,$117:$127,11,FALSE)</f>
        <v>0.96471438145720723</v>
      </c>
    </row>
    <row r="22" spans="1:14" s="93" customFormat="1" x14ac:dyDescent="0.25">
      <c r="A22" s="140" t="s">
        <v>222</v>
      </c>
      <c r="B22" s="161">
        <f>(-1)*SUM(C133:F133)/SUM(C132:F132)</f>
        <v>0.18826687116564417</v>
      </c>
      <c r="C22" s="157"/>
      <c r="D22" s="166"/>
      <c r="E22" s="140"/>
      <c r="F22" s="159">
        <f>IF(B22&lt;=0,10,IF(B22&gt;=100%,0,(1-B22)*10))</f>
        <v>8.1173312883435589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2.5389795375190594</v>
      </c>
      <c r="J22" s="78"/>
      <c r="K22" s="142" t="s">
        <v>357</v>
      </c>
      <c r="L22" s="165">
        <f>HLOOKUP($C$1,$105:$115,4,FALSE)/HLOOKUP($C$1,$105:$115,11,FALSE)</f>
        <v>0.18337457082592401</v>
      </c>
      <c r="M22" s="123" t="s">
        <v>353</v>
      </c>
      <c r="N22" s="165">
        <f>HLOOKUP($C$1,$117:$127,4,FALSE)/HLOOKUP($C$1,$117:$127,11,FALSE)</f>
        <v>0.72395901332567392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1.4286931623401429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0.16611946325858568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52.02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3.7115375637701178E-3</v>
      </c>
      <c r="M24" s="123" t="s">
        <v>355</v>
      </c>
      <c r="N24" s="165">
        <f>HLOOKUP($C$1,$117:$127,9,FALSE)/HLOOKUP($C$1,$117:$127,11,FALSE)</f>
        <v>3.5285618542792732E-2</v>
      </c>
    </row>
    <row r="25" spans="1:14" s="93" customFormat="1" x14ac:dyDescent="0.25">
      <c r="A25" s="151" t="s">
        <v>366</v>
      </c>
      <c r="B25" s="255">
        <f>AVERAGE(94:94)</f>
        <v>3819.1739130434785</v>
      </c>
      <c r="C25" s="254">
        <f>STDEV(94:94)/AVERAGE(94:94)</f>
        <v>3.8109292101257832</v>
      </c>
      <c r="D25" s="76" t="str">
        <f>IF(C25&lt;=1,"高",IF(C25&lt;=2,"中","低"))</f>
        <v>低</v>
      </c>
      <c r="E25" s="149"/>
      <c r="F25" s="160">
        <f>MAX(0,10-ABS(C25))</f>
        <v>6.1890707898742168</v>
      </c>
      <c r="G25" s="88" t="s">
        <v>213</v>
      </c>
      <c r="H25" s="123" t="s">
        <v>232</v>
      </c>
      <c r="I25" s="170">
        <f>IF(HLOOKUP(C1,167:170,3,FALSE)="無",0,HLOOKUP(C1,167:170,3,FALSE))</f>
        <v>52.33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57.092608695652181</v>
      </c>
      <c r="C26" s="172">
        <f>IF(COUNTIF(168:168,"&gt;0")=0,0,STDEV(168:168))</f>
        <v>9.8559258673935357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51.961304347826093</v>
      </c>
      <c r="C27" s="172">
        <f>IF(COUNTIF(169:169,"&gt;0")=0,0,STDEV(169:169))</f>
        <v>12.500786267761443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0.131825</v>
      </c>
      <c r="C30" s="157" t="s">
        <v>217</v>
      </c>
      <c r="D30" s="174">
        <f>COUNTIF(146:146,"&gt;20")/COUNT(146:146)</f>
        <v>0</v>
      </c>
      <c r="E30" s="140" t="s">
        <v>239</v>
      </c>
      <c r="F30" s="159">
        <f>MIN(B30/25%*10,10)</f>
        <v>5.2729999999999997</v>
      </c>
      <c r="G30" s="175"/>
      <c r="H30" s="176"/>
    </row>
    <row r="31" spans="1:14" x14ac:dyDescent="0.25">
      <c r="A31" s="164" t="s">
        <v>240</v>
      </c>
      <c r="B31" s="173">
        <f>AVERAGE(C155:F155)/100</f>
        <v>7.4374999999999997E-2</v>
      </c>
      <c r="C31" s="157" t="s">
        <v>217</v>
      </c>
      <c r="D31" s="174">
        <f>COUNTIF(149:149,"&gt;8")/COUNT(149:149)</f>
        <v>0.30434782608695654</v>
      </c>
      <c r="E31" s="140" t="s">
        <v>241</v>
      </c>
      <c r="F31" s="159">
        <f>MIN(B31/10%*10,10)</f>
        <v>7.4374999999999991</v>
      </c>
      <c r="G31" s="175"/>
    </row>
    <row r="32" spans="1:14" x14ac:dyDescent="0.25">
      <c r="A32" s="155" t="s">
        <v>47</v>
      </c>
      <c r="B32" s="177">
        <f>AVERAGE(C165:F165)</f>
        <v>16.232499999999998</v>
      </c>
      <c r="C32" s="157" t="s">
        <v>217</v>
      </c>
      <c r="D32" s="174">
        <f>COUNTIF(159:159,"&gt;3")/COUNT(159:159)</f>
        <v>0.82608695652173914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4.0999999999999996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2.69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8.9682926829268297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3383881.5</v>
      </c>
      <c r="C36" s="178">
        <f>STDEV(C97:F97)</f>
        <v>184216.96704067916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13.182499999999999</v>
      </c>
      <c r="C37" s="180">
        <f>STDEV(C152:F152)</f>
        <v>1.0352576168922083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8.620000000000001</v>
      </c>
      <c r="C38" s="180">
        <f>STDEV(C153:F153)</f>
        <v>0.85560894494311301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16.232499999999998</v>
      </c>
      <c r="C39" s="181">
        <f>STDEV(C165:F165)</f>
        <v>1.1094555721914545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4.0999999999999996</v>
      </c>
      <c r="C40" s="183">
        <f>STDEV(B69:E69)</f>
        <v>0.21863211109075462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-0.37362637362637369</v>
      </c>
      <c r="C44" s="186">
        <f>(C46-C49)/C49</f>
        <v>0.10833333333333343</v>
      </c>
      <c r="D44" s="186">
        <f>(D46-D49)/D49</f>
        <v>23</v>
      </c>
      <c r="E44" s="186">
        <f>(E46-E49)/E49</f>
        <v>1.2295081967213117</v>
      </c>
      <c r="G44" s="86" t="s">
        <v>175</v>
      </c>
      <c r="H44" s="186">
        <f>(H47-H50)/H50</f>
        <v>-9.3172690763052318E-2</v>
      </c>
      <c r="I44" s="186">
        <f>(I47-I50)/I50</f>
        <v>0.17429406037000972</v>
      </c>
      <c r="J44" s="186">
        <f>(J47-J50)/J50</f>
        <v>4.310526315789474</v>
      </c>
      <c r="K44" s="186">
        <f>(K47-K50)/K50</f>
        <v>0.69066147859922178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1.1399999999999999</v>
      </c>
      <c r="C46" s="152">
        <f>HLOOKUP(C45,$81:$82,2,FALSE)</f>
        <v>1.33</v>
      </c>
      <c r="D46" s="152">
        <f>HLOOKUP(D45,$81:$82,2,FALSE)</f>
        <v>0.72</v>
      </c>
      <c r="E46" s="152">
        <f>HLOOKUP(E45,$81:$82,2,FALSE)</f>
        <v>1.36</v>
      </c>
      <c r="G46" s="86" t="s">
        <v>164</v>
      </c>
      <c r="H46" s="145">
        <f>HLOOKUP(H45,$145:$147,2,FALSE)/100</f>
        <v>0.15429999999999999</v>
      </c>
      <c r="I46" s="145">
        <f>HLOOKUP(I45,$145:$147,2,FALSE)/100</f>
        <v>0.16350000000000001</v>
      </c>
      <c r="J46" s="145">
        <f>HLOOKUP(J45,$145:$147,2,FALSE)/100</f>
        <v>0.1414</v>
      </c>
      <c r="K46" s="145">
        <f>HLOOKUP(K45,$145:$147,2,FALSE)/100</f>
        <v>0.13980000000000001</v>
      </c>
    </row>
    <row r="47" spans="1:14" x14ac:dyDescent="0.25">
      <c r="A47" s="188" t="s">
        <v>165</v>
      </c>
      <c r="B47" s="189">
        <f>HLOOKUP(B45,$157:$159,3,FALSE)</f>
        <v>3.94</v>
      </c>
      <c r="C47" s="189">
        <f>HLOOKUP(C45,$157:$159,3,FALSE)</f>
        <v>4.6500000000000004</v>
      </c>
      <c r="D47" s="189">
        <f>HLOOKUP(D45,$157:$159,3,FALSE)</f>
        <v>2.4900000000000002</v>
      </c>
      <c r="E47" s="189">
        <f>HLOOKUP(E45,$157:$159,3,FALSE)</f>
        <v>5.03</v>
      </c>
      <c r="G47" s="190" t="s">
        <v>166</v>
      </c>
      <c r="H47" s="145">
        <f>HLOOKUP(H45,$145:$147,3,FALSE)/100</f>
        <v>0.11289999999999999</v>
      </c>
      <c r="I47" s="145">
        <f>HLOOKUP(I45,$145:$147,3,FALSE)/100</f>
        <v>0.1206</v>
      </c>
      <c r="J47" s="145">
        <f>HLOOKUP(J45,$145:$147,3,FALSE)/100</f>
        <v>0.1009</v>
      </c>
      <c r="K47" s="145">
        <f>HLOOKUP(K45,$145:$147,3,FALSE)/100</f>
        <v>8.6899999999999991E-2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1.82</v>
      </c>
      <c r="C49" s="152">
        <f>HLOOKUP(C48,$81:$82,2,FALSE)</f>
        <v>1.2</v>
      </c>
      <c r="D49" s="152">
        <f>HLOOKUP(D48,$81:$82,2,FALSE)</f>
        <v>0.03</v>
      </c>
      <c r="E49" s="152">
        <f>HLOOKUP(E48,$81:$82,2,FALSE)</f>
        <v>0.61</v>
      </c>
      <c r="G49" s="86" t="s">
        <v>164</v>
      </c>
      <c r="H49" s="145">
        <f>HLOOKUP(H48,$145:$147,2,FALSE)/100</f>
        <v>0.1646</v>
      </c>
      <c r="I49" s="145">
        <f>HLOOKUP(I48,$145:$147,2,FALSE)/100</f>
        <v>0.1464</v>
      </c>
      <c r="J49" s="145">
        <f>HLOOKUP(J48,$145:$147,2,FALSE)/100</f>
        <v>6.5599999999999992E-2</v>
      </c>
      <c r="K49" s="145">
        <f>HLOOKUP(K48,$145:$147,2,FALSE)/100</f>
        <v>0.1091</v>
      </c>
    </row>
    <row r="50" spans="1:15" x14ac:dyDescent="0.25">
      <c r="A50" s="188" t="s">
        <v>165</v>
      </c>
      <c r="B50" s="189">
        <f>HLOOKUP(B48,$157:$159,3,FALSE)</f>
        <v>7.05</v>
      </c>
      <c r="C50" s="189">
        <f>HLOOKUP(C48,$157:$159,3,FALSE)</f>
        <v>4.58</v>
      </c>
      <c r="D50" s="189">
        <f>HLOOKUP(D48,$157:$159,3,FALSE)</f>
        <v>0.11</v>
      </c>
      <c r="E50" s="189">
        <f>HLOOKUP(E48,$157:$159,3,FALSE)</f>
        <v>2.2200000000000002</v>
      </c>
      <c r="G50" s="190" t="s">
        <v>166</v>
      </c>
      <c r="H50" s="145">
        <f>HLOOKUP(H48,$145:$147,3,FALSE)/100</f>
        <v>0.1245</v>
      </c>
      <c r="I50" s="145">
        <f>HLOOKUP(I48,$145:$147,3,FALSE)/100</f>
        <v>0.1027</v>
      </c>
      <c r="J50" s="145">
        <f>HLOOKUP(J48,$145:$147,3,FALSE)/100</f>
        <v>1.9E-2</v>
      </c>
      <c r="K50" s="145">
        <f>HLOOKUP(K48,$145:$147,3,FALSE)/100</f>
        <v>5.1399999999999994E-2</v>
      </c>
    </row>
    <row r="51" spans="1:15" x14ac:dyDescent="0.25">
      <c r="A51" s="86" t="s">
        <v>351</v>
      </c>
      <c r="B51" s="186">
        <f>(B47-B50)/B50</f>
        <v>-0.44113475177304962</v>
      </c>
      <c r="C51" s="186">
        <f>(C47-C50)/C50</f>
        <v>1.5283842794759887E-2</v>
      </c>
      <c r="D51" s="186">
        <f>(D47-D50)/D50</f>
        <v>21.63636363636364</v>
      </c>
      <c r="E51" s="186">
        <f>(E47-E50)/E50</f>
        <v>1.2657657657657657</v>
      </c>
      <c r="G51" s="235" t="s">
        <v>174</v>
      </c>
      <c r="H51" s="186">
        <f>(H46-H49)/H49</f>
        <v>-6.2575941676792243E-2</v>
      </c>
      <c r="I51" s="186">
        <f>(I46-I49)/I49</f>
        <v>0.11680327868852462</v>
      </c>
      <c r="J51" s="186">
        <f>(J46-J49)/J49</f>
        <v>1.155487804878049</v>
      </c>
      <c r="K51" s="186">
        <f>(K46-K49)/K49</f>
        <v>0.28139321723189736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4.3267020725614405</v>
      </c>
      <c r="B53" s="193">
        <f>B46</f>
        <v>1.1399999999999999</v>
      </c>
      <c r="C53" s="193">
        <f>E46/HLOOKUP(E45,$87:$94,5,FALSE)*HLOOKUP(E45,$87:$94,4,FALSE)*($B$25/HLOOKUP(E45,$87:$94,4,FALSE)+SUM($B$57:$D$57)/SUM($B58:$D$58)*$G$69/100/K46)</f>
        <v>0.92238620744865207</v>
      </c>
      <c r="D53" s="193">
        <f>D46/HLOOKUP(D45,$87:$94,5,FALSE)*HLOOKUP(D45,$87:$94,4,FALSE)*($B$25/HLOOKUP(D45,$87:$94,4,FALSE)+SUM($B$57:$D$57)/SUM($B58:$D$58)*$G$69/100/J46)</f>
        <v>0.98584634436276031</v>
      </c>
      <c r="E53" s="193">
        <f>C46/HLOOKUP(C45,$87:$94,5,FALSE)*HLOOKUP(C45,$87:$94,4,FALSE)*($B$25/HLOOKUP(C45,$87:$94,4,FALSE)+SUM($B$57:$D$57)/SUM($B58:$D$58)*$G$69/100/I46)</f>
        <v>1.2784695207500287</v>
      </c>
    </row>
    <row r="54" spans="1:15" x14ac:dyDescent="0.25">
      <c r="A54" s="278">
        <f>SUM(B54:E54)</f>
        <v>5.23</v>
      </c>
      <c r="B54" s="277">
        <f t="shared" ref="B54:D54" si="0">HLOOKUP(B52-10,81:82,2,FALSE)</f>
        <v>1.82</v>
      </c>
      <c r="C54" s="277">
        <f t="shared" si="0"/>
        <v>1.36</v>
      </c>
      <c r="D54" s="277">
        <f t="shared" si="0"/>
        <v>0.72</v>
      </c>
      <c r="E54" s="277">
        <f>HLOOKUP(E52-10,81:82,2,FALSE)</f>
        <v>1.33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305934</v>
      </c>
      <c r="C57" s="196">
        <f>HLOOKUP(C56,78:79,2,FALSE)</f>
        <v>300547</v>
      </c>
      <c r="D57" s="196">
        <f>HLOOKUP(D56,78:79,2,FALSE)</f>
        <v>313495</v>
      </c>
      <c r="E57" s="196">
        <f>HLOOKUP(E56,78:79,2,FALSE)</f>
        <v>350752</v>
      </c>
      <c r="F57" s="196">
        <f>HLOOKUP(F56,78:79,2,FALSE)</f>
        <v>342299</v>
      </c>
      <c r="G57" s="196">
        <f t="shared" ref="G57:M57" si="2">HLOOKUP(G56,78:79,2,FALSE)</f>
        <v>391976</v>
      </c>
      <c r="H57" s="196">
        <f t="shared" si="2"/>
        <v>289513</v>
      </c>
      <c r="I57" s="196">
        <f t="shared" si="2"/>
        <v>264277</v>
      </c>
      <c r="J57" s="196">
        <f t="shared" si="2"/>
        <v>221863</v>
      </c>
      <c r="K57" s="196">
        <f t="shared" si="2"/>
        <v>248724</v>
      </c>
      <c r="L57" s="196">
        <f t="shared" si="2"/>
        <v>262058</v>
      </c>
      <c r="M57" s="196">
        <f t="shared" si="2"/>
        <v>250266</v>
      </c>
      <c r="N57" s="197"/>
    </row>
    <row r="58" spans="1:15" x14ac:dyDescent="0.25">
      <c r="A58" s="198" t="s">
        <v>253</v>
      </c>
      <c r="B58" s="196">
        <f>HLOOKUP(B56-100,78:79,2,FALSE)</f>
        <v>260938</v>
      </c>
      <c r="C58" s="196">
        <f>HLOOKUP(C56-100,78:79,2,FALSE)</f>
        <v>330169</v>
      </c>
      <c r="D58" s="196">
        <f>HLOOKUP(D56-100,78:79,2,FALSE)</f>
        <v>356011</v>
      </c>
      <c r="E58" s="196">
        <f>HLOOKUP(E56-100,78:79,2,FALSE)</f>
        <v>376324</v>
      </c>
      <c r="F58" s="196">
        <f>HLOOKUP(F56-100,78:79,2,FALSE)</f>
        <v>348884</v>
      </c>
      <c r="G58" s="196">
        <f t="shared" ref="G58:M58" si="3">HLOOKUP(G56-100,78:79,2,FALSE)</f>
        <v>309731</v>
      </c>
      <c r="H58" s="196">
        <f t="shared" si="3"/>
        <v>215650</v>
      </c>
      <c r="I58" s="196">
        <f t="shared" si="3"/>
        <v>192556</v>
      </c>
      <c r="J58" s="196">
        <f t="shared" si="3"/>
        <v>81198</v>
      </c>
      <c r="K58" s="196">
        <f t="shared" si="3"/>
        <v>194255</v>
      </c>
      <c r="L58" s="196">
        <f t="shared" si="3"/>
        <v>266237</v>
      </c>
      <c r="M58" s="196">
        <f t="shared" si="3"/>
        <v>209596</v>
      </c>
      <c r="N58" s="197"/>
    </row>
    <row r="59" spans="1:15" x14ac:dyDescent="0.25">
      <c r="A59" s="199" t="s">
        <v>254</v>
      </c>
      <c r="B59" s="165">
        <f>IF(B57&lt;&gt;"",(B57-B58)/B58,"")</f>
        <v>0.17243943005618192</v>
      </c>
      <c r="C59" s="165">
        <f>IF(C57&lt;&gt;"",(C57-C58)/C58,"")</f>
        <v>-8.9717690031468733E-2</v>
      </c>
      <c r="D59" s="165">
        <f>IF(D57&lt;&gt;"",(D57-D58)/D58,"")</f>
        <v>-0.11942327624708225</v>
      </c>
      <c r="E59" s="165">
        <f>IF(E57&lt;&gt;"",(E57-E58)/E58,"")</f>
        <v>-6.7952083842646227E-2</v>
      </c>
      <c r="F59" s="165">
        <f>IF(F57&lt;&gt;"",(F57-F58)/F58,"")</f>
        <v>-1.8874468304651403E-2</v>
      </c>
      <c r="G59" s="165">
        <f t="shared" ref="G59:M59" si="4">IF(G57&lt;&gt;"",(G57-G58)/G58,"")</f>
        <v>0.26553686908962937</v>
      </c>
      <c r="H59" s="165">
        <f t="shared" si="4"/>
        <v>0.34251333178761884</v>
      </c>
      <c r="I59" s="165">
        <f t="shared" si="4"/>
        <v>0.37246826897110452</v>
      </c>
      <c r="J59" s="165">
        <f t="shared" si="4"/>
        <v>1.7323702554250104</v>
      </c>
      <c r="K59" s="165">
        <f t="shared" si="4"/>
        <v>0.28039947491699058</v>
      </c>
      <c r="L59" s="165">
        <f t="shared" si="4"/>
        <v>-1.5696541051769663E-2</v>
      </c>
      <c r="M59" s="165">
        <f t="shared" si="4"/>
        <v>0.19403996259470602</v>
      </c>
    </row>
    <row r="60" spans="1:15" x14ac:dyDescent="0.25">
      <c r="A60" s="195" t="s">
        <v>255</v>
      </c>
      <c r="B60" s="196">
        <f>SUM(B57:M57)</f>
        <v>3541704</v>
      </c>
    </row>
    <row r="61" spans="1:15" x14ac:dyDescent="0.25">
      <c r="A61" s="198" t="s">
        <v>256</v>
      </c>
      <c r="B61" s="196">
        <f>SUM(B58:M58)</f>
        <v>3141549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1.1273750624293939</v>
      </c>
      <c r="D62" s="152">
        <f>SUM(B46:E46)</f>
        <v>4.55</v>
      </c>
      <c r="E62" s="152">
        <f>SUM(B49:E49)</f>
        <v>3.6599999999999997</v>
      </c>
      <c r="G62" s="126">
        <f>SUM(B47:E47)</f>
        <v>16.11</v>
      </c>
      <c r="H62" s="126">
        <f>SUM(B50:E50)</f>
        <v>13.959999999999999</v>
      </c>
      <c r="J62" s="200">
        <f>AVERAGE(H46:K46)</f>
        <v>0.14974999999999999</v>
      </c>
      <c r="K62" s="200">
        <f>AVERAGE(H49:K49)</f>
        <v>0.12142500000000001</v>
      </c>
      <c r="M62" s="200">
        <f>AVERAGE(H47:K47)</f>
        <v>0.10532499999999999</v>
      </c>
      <c r="N62" s="200">
        <f>AVERAGE(H50:K50)</f>
        <v>7.4399999999999994E-2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0.64</v>
      </c>
      <c r="C65" s="205">
        <f t="shared" si="5"/>
        <v>0.88</v>
      </c>
      <c r="D65" s="205">
        <f t="shared" si="5"/>
        <v>0.9</v>
      </c>
      <c r="E65" s="205">
        <f t="shared" si="5"/>
        <v>0.03</v>
      </c>
      <c r="F65" s="206">
        <f>IF(ISNA(HLOOKUP(F$64*10+$A65,$81:$82,2,FALSE)),(HLOOKUP(E$64*10+$A65,$87:$94,4,FALSE)*$G65+$B$25)/HLOOKUP(E$64*10+$A65,$87:$94,5,FALSE)*$E65,HLOOKUP(F$64*10+$A65,$81:$82,2,FALSE))</f>
        <v>0.72</v>
      </c>
      <c r="G65" s="101">
        <f>MIN(130%,SUM($B$57:$D$57)/SUM($B$58:$D$58)*$G$69/HLOOKUP(E$64*10+$A65,$145:$146,2,FALSE))</f>
        <v>1.3</v>
      </c>
      <c r="H65" s="204">
        <v>1</v>
      </c>
      <c r="I65" s="208">
        <f t="shared" ref="I65:M68" si="6">IF(ISNA(HLOOKUP(I$64*10+$H65,$145:$147,3,FALSE)),"",HLOOKUP(I$64*10+$H65,$145:$147,3,FALSE)/100)</f>
        <v>4.8600000000000004E-2</v>
      </c>
      <c r="J65" s="208">
        <f t="shared" si="6"/>
        <v>7.8E-2</v>
      </c>
      <c r="K65" s="208">
        <f t="shared" si="6"/>
        <v>7.6999999999999999E-2</v>
      </c>
      <c r="L65" s="208">
        <f t="shared" si="6"/>
        <v>1.9E-2</v>
      </c>
      <c r="M65" s="209">
        <f t="shared" si="6"/>
        <v>0.1009</v>
      </c>
      <c r="N65" s="256">
        <f t="shared" ref="N65:O68" si="7">HLOOKUP(E$64*10+$A65,$87:$94,8,FALSE)</f>
        <v>-6530</v>
      </c>
      <c r="O65" s="256">
        <f t="shared" si="7"/>
        <v>-17650</v>
      </c>
      <c r="P65" s="210"/>
    </row>
    <row r="66" spans="1:71" x14ac:dyDescent="0.25">
      <c r="A66" s="204">
        <v>2</v>
      </c>
      <c r="B66" s="205">
        <f t="shared" si="5"/>
        <v>0.99</v>
      </c>
      <c r="C66" s="205">
        <f t="shared" si="5"/>
        <v>1</v>
      </c>
      <c r="D66" s="205">
        <f t="shared" si="5"/>
        <v>1.1100000000000001</v>
      </c>
      <c r="E66" s="205">
        <f t="shared" si="5"/>
        <v>1.2</v>
      </c>
      <c r="F66" s="206">
        <f>IF(ISNA(HLOOKUP(F$64*10+$A66,$81:$82,2,FALSE)),(HLOOKUP(E$64*10+$A66,$87:$94,4,FALSE)*$G66+$B$25)/HLOOKUP(E$64*10+$A66,$87:$94,5,FALSE)*$E66,HLOOKUP(F$64*10+$A66,$81:$82,2,FALSE))</f>
        <v>1.33</v>
      </c>
      <c r="G66" s="101">
        <f>MIN(130%,SUM($B$57:$D$57)/SUM($B$58:$D$58)*$G$69/HLOOKUP(E$64*10+$A66,$145:$146,2,FALSE))</f>
        <v>0.95808963327475549</v>
      </c>
      <c r="H66" s="204">
        <v>2</v>
      </c>
      <c r="I66" s="208">
        <f t="shared" si="6"/>
        <v>7.5199999999999989E-2</v>
      </c>
      <c r="J66" s="208">
        <f t="shared" si="6"/>
        <v>0.10880000000000001</v>
      </c>
      <c r="K66" s="208">
        <f t="shared" si="6"/>
        <v>9.9299999999999999E-2</v>
      </c>
      <c r="L66" s="208">
        <f t="shared" si="6"/>
        <v>0.1027</v>
      </c>
      <c r="M66" s="209">
        <f t="shared" si="6"/>
        <v>0.1206</v>
      </c>
      <c r="N66" s="256">
        <f t="shared" si="7"/>
        <v>17057</v>
      </c>
      <c r="O66" s="256">
        <f t="shared" si="7"/>
        <v>-9305</v>
      </c>
      <c r="P66" s="210"/>
    </row>
    <row r="67" spans="1:71" x14ac:dyDescent="0.25">
      <c r="A67" s="204">
        <v>3</v>
      </c>
      <c r="B67" s="205">
        <f t="shared" si="5"/>
        <v>1.18</v>
      </c>
      <c r="C67" s="205">
        <f t="shared" si="5"/>
        <v>1.28</v>
      </c>
      <c r="D67" s="205">
        <f t="shared" si="5"/>
        <v>1.4</v>
      </c>
      <c r="E67" s="205">
        <f t="shared" si="5"/>
        <v>1.82</v>
      </c>
      <c r="F67" s="206">
        <f>IF(ISNA(HLOOKUP(F$64*10+$A67,$81:$82,2,FALSE)),(HLOOKUP(E$64*10+$A67,$87:$94,4,FALSE)*$G67+$B$25)/HLOOKUP(E$64*10+$A67,$87:$94,5,FALSE)*$E67,HLOOKUP(F$64*10+$A67,$81:$82,2,FALSE))</f>
        <v>1.1399999999999999</v>
      </c>
      <c r="G67" s="101">
        <f>MIN(130%,SUM($B$57:$D$57)/SUM($B$58:$D$58)*$G$69/HLOOKUP(E$64*10+$A67,$145:$146,2,FALSE))</f>
        <v>0.85215262643635603</v>
      </c>
      <c r="H67" s="204">
        <v>3</v>
      </c>
      <c r="I67" s="208">
        <f t="shared" si="6"/>
        <v>9.5799999999999996E-2</v>
      </c>
      <c r="J67" s="208">
        <f t="shared" si="6"/>
        <v>0.10369999999999999</v>
      </c>
      <c r="K67" s="208">
        <f t="shared" si="6"/>
        <v>8.2100000000000006E-2</v>
      </c>
      <c r="L67" s="208">
        <f t="shared" si="6"/>
        <v>0.1245</v>
      </c>
      <c r="M67" s="209">
        <f t="shared" si="6"/>
        <v>0.11289999999999999</v>
      </c>
      <c r="N67" s="256">
        <f t="shared" si="7"/>
        <v>2793</v>
      </c>
      <c r="O67" s="256">
        <f t="shared" si="7"/>
        <v>-14910</v>
      </c>
      <c r="P67" s="210"/>
    </row>
    <row r="68" spans="1:71" x14ac:dyDescent="0.25">
      <c r="A68" s="204">
        <v>4</v>
      </c>
      <c r="B68" s="205">
        <f>HLOOKUP(B$64*10+$A68,$81:$82,2,FALSE)</f>
        <v>1.0900000000000001</v>
      </c>
      <c r="C68" s="205">
        <f>HLOOKUP(C$64*10+$A68,$81:$82,2,FALSE)</f>
        <v>0.91</v>
      </c>
      <c r="D68" s="205">
        <f>HLOOKUP(D$64*10+$A68,$81:$82,2,FALSE)</f>
        <v>0.61</v>
      </c>
      <c r="E68" s="206">
        <f>IF(ISNA(HLOOKUP(E$64*10+$A68,$81:$82,2,FALSE)),D68*(1-$N68)*#REF!*(1+$B$25)/(1+$E$4),HLOOKUP(E$64*10+$A68,$81:$82,2,FALSE))</f>
        <v>1.36</v>
      </c>
      <c r="F68" s="206">
        <f>IF(ISNA(HLOOKUP(F$64*10+$A68,$81:$82,2,FALSE)),(HLOOKUP(E$64*10+$A68,$87:$94,4,FALSE)*$G68+$B$25)/HLOOKUP(E$64*10+$A68,$87:$94,5,FALSE)*$E68,HLOOKUP(F$64*10+$A68,$81:$82,2,FALSE))</f>
        <v>0.92238620744865207</v>
      </c>
      <c r="G68" s="101">
        <f>MIN(130%,SUM($B$57:$D$57)/SUM($B$58:$D$58)*$G$69/HLOOKUP(E$64*10+$A68,$145:$146,2,FALSE))</f>
        <v>1.0033213326997439</v>
      </c>
      <c r="H68" s="204">
        <v>4</v>
      </c>
      <c r="I68" s="208">
        <f t="shared" si="6"/>
        <v>8.2400000000000001E-2</v>
      </c>
      <c r="J68" s="208">
        <f t="shared" si="6"/>
        <v>7.8299999999999995E-2</v>
      </c>
      <c r="K68" s="208">
        <f t="shared" si="6"/>
        <v>5.1399999999999994E-2</v>
      </c>
      <c r="L68" s="208">
        <f t="shared" si="6"/>
        <v>8.6899999999999991E-2</v>
      </c>
      <c r="M68" s="209" t="str">
        <f t="shared" si="6"/>
        <v/>
      </c>
      <c r="N68" s="256">
        <f t="shared" si="7"/>
        <v>37839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3.8999999999999995</v>
      </c>
      <c r="C69" s="213">
        <f>SUM(C65:C68)</f>
        <v>4.07</v>
      </c>
      <c r="D69" s="213">
        <f>SUM(D65:D68)</f>
        <v>4.0200000000000005</v>
      </c>
      <c r="E69" s="213">
        <f>SUM(E65:E68)</f>
        <v>4.41</v>
      </c>
      <c r="F69" s="213">
        <f>SUM(F65:F68)</f>
        <v>4.1123862074486519</v>
      </c>
      <c r="G69" s="257">
        <f>_xlfn.FORECAST.ETS(23,B146:W146,{1,2,3,4,5,6,7,8,9,10,11,12,13,14,15,16,17,18,19,20,21,22})</f>
        <v>14.440253269536539</v>
      </c>
      <c r="H69" s="214" t="s">
        <v>19</v>
      </c>
      <c r="I69" s="215">
        <f>HLOOKUP(I64,151:155,3,FALSE)/100</f>
        <v>7.8299999999999995E-2</v>
      </c>
      <c r="J69" s="215">
        <f>HLOOKUP(J64,151:155,3,FALSE)/100</f>
        <v>9.3399999999999997E-2</v>
      </c>
      <c r="K69" s="215">
        <f>HLOOKUP(K64,151:155,3,FALSE)/100</f>
        <v>7.9299999999999995E-2</v>
      </c>
      <c r="L69" s="215">
        <f>IF(ISNA(HLOOKUP(L64,151:155,3,FALSE)/100),AVERAGE(L65:L68),HLOOKUP(L64,151:155,3,FALSE)/100)</f>
        <v>9.3800000000000008E-2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3.05</v>
      </c>
      <c r="C72" s="205">
        <f t="shared" si="8"/>
        <v>3.67</v>
      </c>
      <c r="D72" s="205">
        <f t="shared" si="8"/>
        <v>3.4</v>
      </c>
      <c r="E72" s="205">
        <f t="shared" si="8"/>
        <v>0.11</v>
      </c>
      <c r="F72" s="205">
        <f t="shared" si="8"/>
        <v>2.4900000000000002</v>
      </c>
    </row>
    <row r="73" spans="1:71" s="135" customFormat="1" x14ac:dyDescent="0.25">
      <c r="A73" s="204">
        <v>2</v>
      </c>
      <c r="B73" s="205">
        <f t="shared" si="8"/>
        <v>4.75</v>
      </c>
      <c r="C73" s="205">
        <f t="shared" si="8"/>
        <v>4.22</v>
      </c>
      <c r="D73" s="205">
        <f t="shared" si="8"/>
        <v>4.25</v>
      </c>
      <c r="E73" s="205">
        <f t="shared" si="8"/>
        <v>4.58</v>
      </c>
      <c r="F73" s="205">
        <f t="shared" si="8"/>
        <v>4.6500000000000004</v>
      </c>
    </row>
    <row r="74" spans="1:71" s="135" customFormat="1" x14ac:dyDescent="0.25">
      <c r="A74" s="204">
        <v>3</v>
      </c>
      <c r="B74" s="205">
        <f t="shared" si="8"/>
        <v>5.75</v>
      </c>
      <c r="C74" s="205">
        <f t="shared" si="8"/>
        <v>5.4</v>
      </c>
      <c r="D74" s="205">
        <f t="shared" si="8"/>
        <v>5.35</v>
      </c>
      <c r="E74" s="205">
        <f t="shared" si="8"/>
        <v>7.05</v>
      </c>
      <c r="F74" s="205">
        <f t="shared" si="8"/>
        <v>3.94</v>
      </c>
    </row>
    <row r="75" spans="1:71" s="135" customFormat="1" x14ac:dyDescent="0.25">
      <c r="A75" s="204">
        <v>4</v>
      </c>
      <c r="B75" s="205">
        <f t="shared" si="8"/>
        <v>4.55</v>
      </c>
      <c r="C75" s="205">
        <f t="shared" si="8"/>
        <v>3.59</v>
      </c>
      <c r="D75" s="205">
        <f t="shared" si="8"/>
        <v>2.2200000000000002</v>
      </c>
      <c r="E75" s="205">
        <f t="shared" si="8"/>
        <v>5.03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18.100000000000001</v>
      </c>
      <c r="C76" s="213">
        <f>SUM(C72:C75)</f>
        <v>16.88</v>
      </c>
      <c r="D76" s="213">
        <f>SUM(D72:D75)</f>
        <v>15.22</v>
      </c>
      <c r="E76" s="213">
        <f>AVERAGE(E72:E75)*4</f>
        <v>16.77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193400</v>
      </c>
      <c r="C79" s="270">
        <v>322070</v>
      </c>
      <c r="D79" s="270">
        <v>333388</v>
      </c>
      <c r="E79" s="270">
        <v>332191</v>
      </c>
      <c r="F79" s="270">
        <v>389880</v>
      </c>
      <c r="G79" s="270">
        <v>325704</v>
      </c>
      <c r="H79" s="270">
        <v>379677</v>
      </c>
      <c r="I79" s="270">
        <v>353401</v>
      </c>
      <c r="J79" s="270">
        <v>298858</v>
      </c>
      <c r="K79" s="270">
        <v>279451</v>
      </c>
      <c r="L79" s="270">
        <v>209776</v>
      </c>
      <c r="M79" s="270">
        <v>216017</v>
      </c>
      <c r="N79" s="270">
        <v>248943</v>
      </c>
      <c r="O79" s="270">
        <v>132855</v>
      </c>
      <c r="P79" s="270">
        <v>261586</v>
      </c>
      <c r="Q79" s="270">
        <v>281375</v>
      </c>
      <c r="R79" s="270">
        <v>309308</v>
      </c>
      <c r="S79" s="270">
        <v>347077</v>
      </c>
      <c r="T79" s="270">
        <v>354135</v>
      </c>
      <c r="U79" s="270">
        <v>342858</v>
      </c>
      <c r="V79" s="270">
        <v>353762</v>
      </c>
      <c r="W79" s="270">
        <v>285993</v>
      </c>
      <c r="X79" s="270">
        <v>266468</v>
      </c>
      <c r="Y79" s="270">
        <v>289718</v>
      </c>
      <c r="Z79" s="270">
        <v>267504</v>
      </c>
      <c r="AA79" s="270">
        <v>228992</v>
      </c>
      <c r="AB79" s="270">
        <v>277624</v>
      </c>
      <c r="AC79" s="270">
        <v>271856</v>
      </c>
      <c r="AD79" s="270">
        <v>307661</v>
      </c>
      <c r="AE79" s="270">
        <v>317663</v>
      </c>
      <c r="AF79" s="270">
        <v>327014</v>
      </c>
      <c r="AG79" s="270">
        <v>281994</v>
      </c>
      <c r="AH79" s="270">
        <v>280011</v>
      </c>
      <c r="AI79" s="270">
        <v>238203</v>
      </c>
      <c r="AJ79" s="270">
        <v>265062</v>
      </c>
      <c r="AK79" s="270">
        <v>228763</v>
      </c>
      <c r="AL79" s="270">
        <v>383603</v>
      </c>
      <c r="AM79" s="270">
        <v>200377</v>
      </c>
      <c r="AN79" s="270">
        <v>316355</v>
      </c>
      <c r="AO79" s="270">
        <v>359958</v>
      </c>
      <c r="AP79" s="270">
        <v>386169</v>
      </c>
      <c r="AQ79" s="270">
        <v>263349</v>
      </c>
      <c r="AR79" s="270">
        <v>341029</v>
      </c>
      <c r="AS79" s="270">
        <v>306351</v>
      </c>
      <c r="AT79" s="270">
        <v>284655</v>
      </c>
      <c r="AU79" s="270">
        <v>273381</v>
      </c>
      <c r="AV79" s="270">
        <v>209596</v>
      </c>
      <c r="AW79" s="270">
        <v>266237</v>
      </c>
      <c r="AX79" s="270">
        <v>194255</v>
      </c>
      <c r="AY79" s="270">
        <v>81198</v>
      </c>
      <c r="AZ79" s="270">
        <v>192556</v>
      </c>
      <c r="BA79" s="270">
        <v>215650</v>
      </c>
      <c r="BB79" s="270">
        <v>309731</v>
      </c>
      <c r="BC79" s="270">
        <v>348884</v>
      </c>
      <c r="BD79" s="270">
        <v>376324</v>
      </c>
      <c r="BE79" s="270">
        <v>356011</v>
      </c>
      <c r="BF79" s="270">
        <v>330169</v>
      </c>
      <c r="BG79" s="270">
        <v>260938</v>
      </c>
      <c r="BH79" s="270">
        <v>250266</v>
      </c>
      <c r="BI79" s="270">
        <v>262058</v>
      </c>
      <c r="BJ79" s="270">
        <v>248724</v>
      </c>
      <c r="BK79" s="270">
        <v>221863</v>
      </c>
      <c r="BL79" s="270">
        <v>264277</v>
      </c>
      <c r="BM79" s="270">
        <v>289513</v>
      </c>
      <c r="BN79" s="270">
        <v>391976</v>
      </c>
      <c r="BO79" s="270">
        <v>342299</v>
      </c>
      <c r="BP79" s="270">
        <v>350752</v>
      </c>
      <c r="BQ79" s="270">
        <v>313495</v>
      </c>
      <c r="BR79" s="270">
        <v>300547</v>
      </c>
      <c r="BS79" s="270">
        <v>305934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0.83</v>
      </c>
      <c r="C82" s="72">
        <v>1.32</v>
      </c>
      <c r="D82" s="72">
        <v>1.04</v>
      </c>
      <c r="E82" s="72">
        <v>0.55000000000000004</v>
      </c>
      <c r="F82" s="72">
        <v>0.64</v>
      </c>
      <c r="G82" s="72">
        <v>0.99</v>
      </c>
      <c r="H82" s="72">
        <v>1.18</v>
      </c>
      <c r="I82" s="72">
        <v>1.0900000000000001</v>
      </c>
      <c r="J82" s="72">
        <v>0.88</v>
      </c>
      <c r="K82" s="72">
        <v>1</v>
      </c>
      <c r="L82" s="72">
        <v>1.28</v>
      </c>
      <c r="M82" s="72">
        <v>0.91</v>
      </c>
      <c r="N82" s="72">
        <v>0.9</v>
      </c>
      <c r="O82" s="72">
        <v>1.1100000000000001</v>
      </c>
      <c r="P82" s="72">
        <v>1.4</v>
      </c>
      <c r="Q82" s="72">
        <v>0.61</v>
      </c>
      <c r="R82" s="72">
        <v>0.03</v>
      </c>
      <c r="S82" s="72">
        <v>1.2</v>
      </c>
      <c r="T82" s="72">
        <v>1.82</v>
      </c>
      <c r="U82" s="72">
        <v>1.36</v>
      </c>
      <c r="V82" s="72">
        <v>0.72</v>
      </c>
      <c r="W82" s="72">
        <v>1.33</v>
      </c>
      <c r="X82" s="72">
        <v>1.1399999999999999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18.91</v>
      </c>
      <c r="C85" s="72">
        <v>17.66</v>
      </c>
      <c r="D85" s="72">
        <v>21.64</v>
      </c>
      <c r="E85" s="72">
        <v>20.46</v>
      </c>
      <c r="F85" s="72">
        <v>21.27</v>
      </c>
      <c r="G85" s="72">
        <v>20.27</v>
      </c>
      <c r="H85" s="72">
        <v>22.08</v>
      </c>
      <c r="I85" s="72">
        <v>23.35</v>
      </c>
      <c r="J85" s="72">
        <v>24.38</v>
      </c>
      <c r="K85" s="72">
        <v>22.99</v>
      </c>
      <c r="L85" s="72">
        <v>24.55</v>
      </c>
      <c r="M85" s="72">
        <v>26.3</v>
      </c>
      <c r="N85" s="72">
        <v>26.91</v>
      </c>
      <c r="O85" s="72">
        <v>25.12</v>
      </c>
      <c r="P85" s="72">
        <v>27.33</v>
      </c>
      <c r="Q85" s="72">
        <v>27.53</v>
      </c>
      <c r="R85" s="72">
        <v>27.18</v>
      </c>
      <c r="S85" s="72">
        <v>25.33</v>
      </c>
      <c r="T85" s="72">
        <v>26.31</v>
      </c>
      <c r="U85" s="72">
        <v>27.66</v>
      </c>
      <c r="V85" s="72">
        <v>28.99</v>
      </c>
      <c r="W85" s="72">
        <v>28.22</v>
      </c>
      <c r="X85" s="72">
        <v>29.57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848858</v>
      </c>
      <c r="C88" s="273">
        <v>1047776</v>
      </c>
      <c r="D88" s="273">
        <v>1031936</v>
      </c>
      <c r="E88" s="273">
        <v>705244</v>
      </c>
      <c r="F88" s="273">
        <v>643384</v>
      </c>
      <c r="G88" s="273">
        <v>937760</v>
      </c>
      <c r="H88" s="273">
        <v>1050755</v>
      </c>
      <c r="I88" s="273">
        <v>842179</v>
      </c>
      <c r="J88" s="273">
        <v>774120</v>
      </c>
      <c r="K88" s="273">
        <v>897180</v>
      </c>
      <c r="L88" s="273">
        <v>889020</v>
      </c>
      <c r="M88" s="273">
        <v>732029</v>
      </c>
      <c r="N88" s="273">
        <v>900335</v>
      </c>
      <c r="O88" s="273">
        <v>1009476</v>
      </c>
      <c r="P88" s="273">
        <v>932035</v>
      </c>
      <c r="Q88" s="273">
        <v>749214</v>
      </c>
      <c r="R88" s="273">
        <v>468009</v>
      </c>
      <c r="S88" s="273">
        <v>874264</v>
      </c>
      <c r="T88" s="273">
        <v>1062504</v>
      </c>
      <c r="U88" s="273">
        <v>773262</v>
      </c>
      <c r="V88" s="273">
        <v>734864</v>
      </c>
      <c r="W88" s="273">
        <v>1023788</v>
      </c>
      <c r="X88" s="273">
        <v>964794</v>
      </c>
    </row>
    <row r="89" spans="1:25" ht="14.25" thickBot="1" x14ac:dyDescent="0.3">
      <c r="A89" s="250" t="s">
        <v>4</v>
      </c>
      <c r="B89" s="275">
        <v>94428</v>
      </c>
      <c r="C89" s="275">
        <v>124311</v>
      </c>
      <c r="D89" s="275">
        <v>117693</v>
      </c>
      <c r="E89" s="275">
        <v>76469</v>
      </c>
      <c r="F89" s="275">
        <v>62905</v>
      </c>
      <c r="G89" s="275">
        <v>107156</v>
      </c>
      <c r="H89" s="275">
        <v>142059</v>
      </c>
      <c r="I89" s="275">
        <v>108216</v>
      </c>
      <c r="J89" s="275">
        <v>94762</v>
      </c>
      <c r="K89" s="275">
        <v>133886</v>
      </c>
      <c r="L89" s="275">
        <v>136813</v>
      </c>
      <c r="M89" s="275">
        <v>102727</v>
      </c>
      <c r="N89" s="275">
        <v>105471</v>
      </c>
      <c r="O89" s="275">
        <v>142754</v>
      </c>
      <c r="P89" s="275">
        <v>119261</v>
      </c>
      <c r="Q89" s="275">
        <v>81723</v>
      </c>
      <c r="R89" s="275">
        <v>30724</v>
      </c>
      <c r="S89" s="275">
        <v>128013</v>
      </c>
      <c r="T89" s="275">
        <v>174853</v>
      </c>
      <c r="U89" s="275">
        <v>108106</v>
      </c>
      <c r="V89" s="275">
        <v>103897</v>
      </c>
      <c r="W89" s="275">
        <v>167388</v>
      </c>
      <c r="X89" s="275">
        <v>148826</v>
      </c>
    </row>
    <row r="90" spans="1:25" ht="14.25" thickBot="1" x14ac:dyDescent="0.3">
      <c r="A90" s="251" t="s">
        <v>5</v>
      </c>
      <c r="B90" s="273">
        <v>62261</v>
      </c>
      <c r="C90" s="273">
        <v>82492</v>
      </c>
      <c r="D90" s="273">
        <v>80673</v>
      </c>
      <c r="E90" s="273">
        <v>48067</v>
      </c>
      <c r="F90" s="273">
        <v>31289</v>
      </c>
      <c r="G90" s="273">
        <v>70516</v>
      </c>
      <c r="H90" s="273">
        <v>100692</v>
      </c>
      <c r="I90" s="273">
        <v>69358</v>
      </c>
      <c r="J90" s="273">
        <v>60343</v>
      </c>
      <c r="K90" s="273">
        <v>97651</v>
      </c>
      <c r="L90" s="273">
        <v>92184</v>
      </c>
      <c r="M90" s="273">
        <v>57289</v>
      </c>
      <c r="N90" s="273">
        <v>69360</v>
      </c>
      <c r="O90" s="273">
        <v>100265</v>
      </c>
      <c r="P90" s="273">
        <v>76507</v>
      </c>
      <c r="Q90" s="273">
        <v>38482</v>
      </c>
      <c r="R90" s="273">
        <v>8898</v>
      </c>
      <c r="S90" s="273">
        <v>89819</v>
      </c>
      <c r="T90" s="273">
        <v>132251</v>
      </c>
      <c r="U90" s="273">
        <v>67193</v>
      </c>
      <c r="V90" s="273">
        <v>74182</v>
      </c>
      <c r="W90" s="273">
        <v>123476</v>
      </c>
      <c r="X90" s="273">
        <v>108951</v>
      </c>
    </row>
    <row r="91" spans="1:25" ht="14.25" thickBot="1" x14ac:dyDescent="0.3">
      <c r="A91" s="250" t="s">
        <v>6</v>
      </c>
      <c r="B91" s="275">
        <v>55887</v>
      </c>
      <c r="C91" s="275">
        <v>91908</v>
      </c>
      <c r="D91" s="275">
        <v>73941</v>
      </c>
      <c r="E91" s="275">
        <v>40388</v>
      </c>
      <c r="F91" s="275">
        <v>46983</v>
      </c>
      <c r="G91" s="275">
        <v>75856</v>
      </c>
      <c r="H91" s="275">
        <v>92930</v>
      </c>
      <c r="I91" s="275">
        <v>81902</v>
      </c>
      <c r="J91" s="275">
        <v>75767</v>
      </c>
      <c r="K91" s="275">
        <v>84263</v>
      </c>
      <c r="L91" s="275">
        <v>101703</v>
      </c>
      <c r="M91" s="275">
        <v>73329</v>
      </c>
      <c r="N91" s="275">
        <v>71871</v>
      </c>
      <c r="O91" s="275">
        <v>93093</v>
      </c>
      <c r="P91" s="275">
        <v>107244</v>
      </c>
      <c r="Q91" s="275">
        <v>48911</v>
      </c>
      <c r="R91" s="275">
        <v>2368</v>
      </c>
      <c r="S91" s="275">
        <v>106876</v>
      </c>
      <c r="T91" s="275">
        <v>135044</v>
      </c>
      <c r="U91" s="275">
        <v>105032</v>
      </c>
      <c r="V91" s="275">
        <v>56532</v>
      </c>
      <c r="W91" s="275">
        <v>114171</v>
      </c>
      <c r="X91" s="275">
        <v>94041</v>
      </c>
    </row>
    <row r="92" spans="1:25" ht="14.25" thickBot="1" x14ac:dyDescent="0.3">
      <c r="A92" s="251" t="s">
        <v>7</v>
      </c>
      <c r="B92" s="273">
        <v>42854</v>
      </c>
      <c r="C92" s="273">
        <v>67595</v>
      </c>
      <c r="D92" s="273">
        <v>53814</v>
      </c>
      <c r="E92" s="273">
        <v>28863</v>
      </c>
      <c r="F92" s="273">
        <v>35511</v>
      </c>
      <c r="G92" s="273">
        <v>55901</v>
      </c>
      <c r="H92" s="273">
        <v>72643</v>
      </c>
      <c r="I92" s="273">
        <v>63870</v>
      </c>
      <c r="J92" s="273">
        <v>54233</v>
      </c>
      <c r="K92" s="273">
        <v>61912</v>
      </c>
      <c r="L92" s="273">
        <v>79552</v>
      </c>
      <c r="M92" s="273">
        <v>56468</v>
      </c>
      <c r="N92" s="273">
        <v>55995</v>
      </c>
      <c r="O92" s="273">
        <v>68547</v>
      </c>
      <c r="P92" s="273">
        <v>86904</v>
      </c>
      <c r="Q92" s="273">
        <v>37754</v>
      </c>
      <c r="R92" s="273">
        <v>1828</v>
      </c>
      <c r="S92" s="273">
        <v>74482</v>
      </c>
      <c r="T92" s="273">
        <v>112707</v>
      </c>
      <c r="U92" s="273">
        <v>84015</v>
      </c>
      <c r="V92" s="273">
        <v>47338</v>
      </c>
      <c r="W92" s="273">
        <v>96290</v>
      </c>
      <c r="X92" s="273">
        <v>82448</v>
      </c>
    </row>
    <row r="93" spans="1:25" ht="26.25" thickBot="1" x14ac:dyDescent="0.3">
      <c r="A93" s="252" t="s">
        <v>8</v>
      </c>
      <c r="B93" s="276">
        <v>42854</v>
      </c>
      <c r="C93" s="276">
        <v>67595</v>
      </c>
      <c r="D93" s="276">
        <v>53814</v>
      </c>
      <c r="E93" s="276">
        <v>28863</v>
      </c>
      <c r="F93" s="276">
        <v>35511</v>
      </c>
      <c r="G93" s="276">
        <v>55901</v>
      </c>
      <c r="H93" s="276">
        <v>72643</v>
      </c>
      <c r="I93" s="276">
        <v>63870</v>
      </c>
      <c r="J93" s="276">
        <v>54233</v>
      </c>
      <c r="K93" s="276">
        <v>61912</v>
      </c>
      <c r="L93" s="276">
        <v>79552</v>
      </c>
      <c r="M93" s="276">
        <v>56468</v>
      </c>
      <c r="N93" s="276">
        <v>55995</v>
      </c>
      <c r="O93" s="276">
        <v>68547</v>
      </c>
      <c r="P93" s="276">
        <v>86904</v>
      </c>
      <c r="Q93" s="276">
        <v>37754</v>
      </c>
      <c r="R93" s="276">
        <v>1828</v>
      </c>
      <c r="S93" s="276">
        <v>74482</v>
      </c>
      <c r="T93" s="276">
        <v>112707</v>
      </c>
      <c r="U93" s="276">
        <v>84015</v>
      </c>
      <c r="V93" s="276">
        <v>47338</v>
      </c>
      <c r="W93" s="276">
        <v>96290</v>
      </c>
      <c r="X93" s="276">
        <v>82448</v>
      </c>
    </row>
    <row r="94" spans="1:25" x14ac:dyDescent="0.25">
      <c r="A94" s="233" t="s">
        <v>365</v>
      </c>
      <c r="B94" s="253">
        <f>IF(B91="","",B91-B90)</f>
        <v>-6374</v>
      </c>
      <c r="C94" s="253">
        <f>IF(C91="","",C91-C90)</f>
        <v>9416</v>
      </c>
      <c r="D94" s="253">
        <f t="shared" ref="D94:Y94" si="9">IF(D91="","",D91-D90)</f>
        <v>-6732</v>
      </c>
      <c r="E94" s="253">
        <f t="shared" si="9"/>
        <v>-7679</v>
      </c>
      <c r="F94" s="253">
        <f t="shared" si="9"/>
        <v>15694</v>
      </c>
      <c r="G94" s="253">
        <f t="shared" si="9"/>
        <v>5340</v>
      </c>
      <c r="H94" s="253">
        <f t="shared" si="9"/>
        <v>-7762</v>
      </c>
      <c r="I94" s="253">
        <f t="shared" si="9"/>
        <v>12544</v>
      </c>
      <c r="J94" s="253">
        <f t="shared" si="9"/>
        <v>15424</v>
      </c>
      <c r="K94" s="253">
        <f t="shared" si="9"/>
        <v>-13388</v>
      </c>
      <c r="L94" s="253">
        <f t="shared" si="9"/>
        <v>9519</v>
      </c>
      <c r="M94" s="253">
        <f t="shared" si="9"/>
        <v>16040</v>
      </c>
      <c r="N94" s="253">
        <f t="shared" si="9"/>
        <v>2511</v>
      </c>
      <c r="O94" s="253">
        <f t="shared" si="9"/>
        <v>-7172</v>
      </c>
      <c r="P94" s="253">
        <f t="shared" si="9"/>
        <v>30737</v>
      </c>
      <c r="Q94" s="253">
        <f t="shared" si="9"/>
        <v>10429</v>
      </c>
      <c r="R94" s="253">
        <f t="shared" si="9"/>
        <v>-6530</v>
      </c>
      <c r="S94" s="253">
        <f t="shared" si="9"/>
        <v>17057</v>
      </c>
      <c r="T94" s="253">
        <f t="shared" si="9"/>
        <v>2793</v>
      </c>
      <c r="U94" s="253">
        <f t="shared" si="9"/>
        <v>37839</v>
      </c>
      <c r="V94" s="253">
        <f t="shared" si="9"/>
        <v>-17650</v>
      </c>
      <c r="W94" s="253">
        <f t="shared" si="9"/>
        <v>-9305</v>
      </c>
      <c r="X94" s="253">
        <f t="shared" si="9"/>
        <v>-14910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3633814</v>
      </c>
      <c r="C97" s="273">
        <v>3474078</v>
      </c>
      <c r="D97" s="273">
        <v>3292349</v>
      </c>
      <c r="E97" s="273">
        <v>3591060</v>
      </c>
      <c r="F97" s="273">
        <v>3178039</v>
      </c>
    </row>
    <row r="98" spans="1:24" ht="14.25" thickBot="1" x14ac:dyDescent="0.3">
      <c r="A98" s="225" t="s">
        <v>4</v>
      </c>
      <c r="B98" s="275">
        <v>412901</v>
      </c>
      <c r="C98" s="275">
        <v>420336</v>
      </c>
      <c r="D98" s="275">
        <v>468188</v>
      </c>
      <c r="E98" s="275">
        <v>449209</v>
      </c>
      <c r="F98" s="275">
        <v>441696</v>
      </c>
    </row>
    <row r="99" spans="1:24" ht="14.25" thickBot="1" x14ac:dyDescent="0.3">
      <c r="A99" s="224" t="s">
        <v>5</v>
      </c>
      <c r="B99" s="273">
        <v>273493</v>
      </c>
      <c r="C99" s="273">
        <v>271855</v>
      </c>
      <c r="D99" s="273">
        <v>307467</v>
      </c>
      <c r="E99" s="273">
        <v>284614</v>
      </c>
      <c r="F99" s="273">
        <v>298161</v>
      </c>
    </row>
    <row r="100" spans="1:24" ht="14.25" thickBot="1" x14ac:dyDescent="0.3">
      <c r="A100" s="225" t="s">
        <v>6</v>
      </c>
      <c r="B100" s="275">
        <v>262124</v>
      </c>
      <c r="C100" s="275">
        <v>297671</v>
      </c>
      <c r="D100" s="275">
        <v>335062</v>
      </c>
      <c r="E100" s="275">
        <v>321119</v>
      </c>
      <c r="F100" s="275">
        <v>349320</v>
      </c>
    </row>
    <row r="101" spans="1:24" ht="14.25" thickBot="1" x14ac:dyDescent="0.3">
      <c r="A101" s="224" t="s">
        <v>7</v>
      </c>
      <c r="B101" s="273">
        <v>193126</v>
      </c>
      <c r="C101" s="273">
        <v>227925</v>
      </c>
      <c r="D101" s="273">
        <v>252165</v>
      </c>
      <c r="E101" s="273">
        <v>249200</v>
      </c>
      <c r="F101" s="273">
        <v>273032</v>
      </c>
    </row>
    <row r="102" spans="1:24" ht="14.25" thickBot="1" x14ac:dyDescent="0.3">
      <c r="A102" s="227" t="s">
        <v>8</v>
      </c>
      <c r="B102" s="276">
        <v>193126</v>
      </c>
      <c r="C102" s="276">
        <v>227925</v>
      </c>
      <c r="D102" s="276">
        <v>252165</v>
      </c>
      <c r="E102" s="276">
        <v>249200</v>
      </c>
      <c r="F102" s="276">
        <v>273032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246672</v>
      </c>
      <c r="C106" s="273">
        <v>310507</v>
      </c>
      <c r="D106" s="273">
        <v>599325</v>
      </c>
      <c r="E106" s="273">
        <v>617860</v>
      </c>
      <c r="F106" s="273">
        <v>584797</v>
      </c>
      <c r="G106" s="273">
        <v>620991</v>
      </c>
      <c r="H106" s="273">
        <v>606032</v>
      </c>
      <c r="I106" s="273">
        <v>666291</v>
      </c>
      <c r="J106" s="273">
        <v>762967</v>
      </c>
      <c r="K106" s="273">
        <v>1267781</v>
      </c>
      <c r="L106" s="273">
        <v>1205724</v>
      </c>
      <c r="M106" s="273">
        <v>1163418</v>
      </c>
      <c r="N106" s="273">
        <v>1266664</v>
      </c>
      <c r="O106" s="273">
        <v>1335053</v>
      </c>
      <c r="P106" s="273">
        <v>1143288</v>
      </c>
      <c r="Q106" s="273">
        <v>1198851</v>
      </c>
      <c r="R106" s="273">
        <v>1399598</v>
      </c>
      <c r="S106" s="273">
        <v>1537991</v>
      </c>
      <c r="T106" s="273">
        <v>1607391</v>
      </c>
      <c r="U106" s="273">
        <v>1744993</v>
      </c>
      <c r="V106" s="273">
        <v>1728078</v>
      </c>
      <c r="W106" s="273">
        <v>1866688</v>
      </c>
      <c r="X106" s="273">
        <v>1655503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5">
        <v>11638</v>
      </c>
      <c r="E107" s="274">
        <v>0</v>
      </c>
      <c r="F107" s="275">
        <v>20000</v>
      </c>
      <c r="G107" s="274">
        <v>142</v>
      </c>
      <c r="H107" s="274">
        <v>15</v>
      </c>
      <c r="I107" s="274">
        <v>0</v>
      </c>
      <c r="J107" s="274">
        <v>0</v>
      </c>
      <c r="K107" s="274">
        <v>360</v>
      </c>
      <c r="L107" s="274">
        <v>45</v>
      </c>
      <c r="M107" s="274">
        <v>45</v>
      </c>
      <c r="N107" s="274">
        <v>45</v>
      </c>
      <c r="O107" s="274">
        <v>45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460708</v>
      </c>
      <c r="C108" s="273">
        <v>515339</v>
      </c>
      <c r="D108" s="273">
        <v>507336</v>
      </c>
      <c r="E108" s="273">
        <v>420681</v>
      </c>
      <c r="F108" s="273">
        <v>441669</v>
      </c>
      <c r="G108" s="273">
        <v>627152</v>
      </c>
      <c r="H108" s="273">
        <v>654127</v>
      </c>
      <c r="I108" s="273">
        <v>567196</v>
      </c>
      <c r="J108" s="273">
        <v>511084</v>
      </c>
      <c r="K108" s="273">
        <v>603489</v>
      </c>
      <c r="L108" s="273">
        <v>544039</v>
      </c>
      <c r="M108" s="273">
        <v>516154</v>
      </c>
      <c r="N108" s="273">
        <v>535407</v>
      </c>
      <c r="O108" s="273">
        <v>636007</v>
      </c>
      <c r="P108" s="273">
        <v>613986</v>
      </c>
      <c r="Q108" s="273">
        <v>556296</v>
      </c>
      <c r="R108" s="273">
        <v>341938</v>
      </c>
      <c r="S108" s="273">
        <v>616505</v>
      </c>
      <c r="T108" s="273">
        <v>645165</v>
      </c>
      <c r="U108" s="273">
        <v>498480</v>
      </c>
      <c r="V108" s="273">
        <v>439282</v>
      </c>
      <c r="W108" s="273">
        <v>551758</v>
      </c>
      <c r="X108" s="273">
        <v>561704</v>
      </c>
    </row>
    <row r="109" spans="1:24" ht="14.25" thickBot="1" x14ac:dyDescent="0.3">
      <c r="A109" s="225" t="s">
        <v>264</v>
      </c>
      <c r="B109" s="275">
        <v>364778</v>
      </c>
      <c r="C109" s="275">
        <v>379617</v>
      </c>
      <c r="D109" s="275">
        <v>394886</v>
      </c>
      <c r="E109" s="275">
        <v>332657</v>
      </c>
      <c r="F109" s="275">
        <v>424666</v>
      </c>
      <c r="G109" s="275">
        <v>448951</v>
      </c>
      <c r="H109" s="275">
        <v>425368</v>
      </c>
      <c r="I109" s="275">
        <v>459241</v>
      </c>
      <c r="J109" s="275">
        <v>380785</v>
      </c>
      <c r="K109" s="275">
        <v>454269</v>
      </c>
      <c r="L109" s="275">
        <v>440762</v>
      </c>
      <c r="M109" s="275">
        <v>565693</v>
      </c>
      <c r="N109" s="275">
        <v>457851</v>
      </c>
      <c r="O109" s="275">
        <v>539517</v>
      </c>
      <c r="P109" s="275">
        <v>632999</v>
      </c>
      <c r="Q109" s="275">
        <v>414452</v>
      </c>
      <c r="R109" s="275">
        <v>398148</v>
      </c>
      <c r="S109" s="275">
        <v>321664</v>
      </c>
      <c r="T109" s="275">
        <v>274880</v>
      </c>
      <c r="U109" s="275">
        <v>321359</v>
      </c>
      <c r="V109" s="275">
        <v>438246</v>
      </c>
      <c r="W109" s="275">
        <v>442403</v>
      </c>
      <c r="X109" s="275">
        <v>508849</v>
      </c>
    </row>
    <row r="110" spans="1:24" ht="14.25" thickBot="1" x14ac:dyDescent="0.3">
      <c r="A110" s="224" t="s">
        <v>23</v>
      </c>
      <c r="B110" s="273">
        <v>16432</v>
      </c>
      <c r="C110" s="273">
        <v>19053</v>
      </c>
      <c r="D110" s="273">
        <v>8297</v>
      </c>
      <c r="E110" s="273">
        <v>15872</v>
      </c>
      <c r="F110" s="273">
        <v>15430</v>
      </c>
      <c r="G110" s="273">
        <v>17022</v>
      </c>
      <c r="H110" s="273">
        <v>24342</v>
      </c>
      <c r="I110" s="273">
        <v>35811</v>
      </c>
      <c r="J110" s="273">
        <v>44129</v>
      </c>
      <c r="K110" s="273">
        <v>56314</v>
      </c>
      <c r="L110" s="273">
        <v>63976</v>
      </c>
      <c r="M110" s="273">
        <v>70580</v>
      </c>
      <c r="N110" s="273">
        <v>68445</v>
      </c>
      <c r="O110" s="273">
        <v>46638</v>
      </c>
      <c r="P110" s="273">
        <v>41327</v>
      </c>
      <c r="Q110" s="273">
        <v>20217</v>
      </c>
      <c r="R110" s="273">
        <v>17712</v>
      </c>
      <c r="S110" s="273">
        <v>15839</v>
      </c>
      <c r="T110" s="273">
        <v>22327</v>
      </c>
      <c r="U110" s="273">
        <v>23466</v>
      </c>
      <c r="V110" s="273">
        <v>20392</v>
      </c>
      <c r="W110" s="273">
        <v>21766</v>
      </c>
      <c r="X110" s="273">
        <v>34096</v>
      </c>
    </row>
    <row r="111" spans="1:24" ht="14.25" thickBot="1" x14ac:dyDescent="0.3">
      <c r="A111" s="225" t="s">
        <v>24</v>
      </c>
      <c r="B111" s="275">
        <v>1088590</v>
      </c>
      <c r="C111" s="275">
        <v>1224516</v>
      </c>
      <c r="D111" s="275">
        <v>1521482</v>
      </c>
      <c r="E111" s="275">
        <v>1387070</v>
      </c>
      <c r="F111" s="275">
        <v>1486562</v>
      </c>
      <c r="G111" s="275">
        <v>1714258</v>
      </c>
      <c r="H111" s="275">
        <v>1709884</v>
      </c>
      <c r="I111" s="275">
        <v>1728539</v>
      </c>
      <c r="J111" s="275">
        <v>1698965</v>
      </c>
      <c r="K111" s="275">
        <v>2382213</v>
      </c>
      <c r="L111" s="275">
        <v>2254546</v>
      </c>
      <c r="M111" s="275">
        <v>2315890</v>
      </c>
      <c r="N111" s="275">
        <v>2328412</v>
      </c>
      <c r="O111" s="275">
        <v>2557260</v>
      </c>
      <c r="P111" s="275">
        <v>2431600</v>
      </c>
      <c r="Q111" s="275">
        <v>2189816</v>
      </c>
      <c r="R111" s="275">
        <v>2157396</v>
      </c>
      <c r="S111" s="275">
        <v>2491999</v>
      </c>
      <c r="T111" s="275">
        <v>2549763</v>
      </c>
      <c r="U111" s="275">
        <v>2588298</v>
      </c>
      <c r="V111" s="275">
        <v>2625998</v>
      </c>
      <c r="W111" s="275">
        <v>2882615</v>
      </c>
      <c r="X111" s="275">
        <v>2760152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678996</v>
      </c>
      <c r="C113" s="275">
        <v>654098</v>
      </c>
      <c r="D113" s="275">
        <v>625774</v>
      </c>
      <c r="E113" s="275">
        <v>597574</v>
      </c>
      <c r="F113" s="275">
        <v>582566</v>
      </c>
      <c r="G113" s="275">
        <v>562222</v>
      </c>
      <c r="H113" s="275">
        <v>526495</v>
      </c>
      <c r="I113" s="275">
        <v>523799</v>
      </c>
      <c r="J113" s="275">
        <v>497932</v>
      </c>
      <c r="K113" s="275">
        <v>468574</v>
      </c>
      <c r="L113" s="275">
        <v>444935</v>
      </c>
      <c r="M113" s="275">
        <v>434842</v>
      </c>
      <c r="N113" s="275">
        <v>574050</v>
      </c>
      <c r="O113" s="275">
        <v>570891</v>
      </c>
      <c r="P113" s="275">
        <v>553323</v>
      </c>
      <c r="Q113" s="275">
        <v>508168</v>
      </c>
      <c r="R113" s="275">
        <v>471340</v>
      </c>
      <c r="S113" s="275">
        <v>437051</v>
      </c>
      <c r="T113" s="275">
        <v>391996</v>
      </c>
      <c r="U113" s="275">
        <v>390658</v>
      </c>
      <c r="V113" s="275">
        <v>338474</v>
      </c>
      <c r="W113" s="275">
        <v>313287</v>
      </c>
      <c r="X113" s="275">
        <v>291630</v>
      </c>
    </row>
    <row r="114" spans="1:24" ht="14.25" thickBot="1" x14ac:dyDescent="0.3">
      <c r="A114" s="224" t="s">
        <v>27</v>
      </c>
      <c r="B114" s="273">
        <v>9926</v>
      </c>
      <c r="C114" s="273">
        <v>8708</v>
      </c>
      <c r="D114" s="273">
        <v>7578</v>
      </c>
      <c r="E114" s="273">
        <v>7721</v>
      </c>
      <c r="F114" s="273">
        <v>3656</v>
      </c>
      <c r="G114" s="273">
        <v>3435</v>
      </c>
      <c r="H114" s="273">
        <v>3497</v>
      </c>
      <c r="I114" s="273">
        <v>3627</v>
      </c>
      <c r="J114" s="273">
        <v>2310</v>
      </c>
      <c r="K114" s="273">
        <v>24529</v>
      </c>
      <c r="L114" s="273">
        <v>103080</v>
      </c>
      <c r="M114" s="273">
        <v>142188</v>
      </c>
      <c r="N114" s="273">
        <v>49231</v>
      </c>
      <c r="O114" s="273">
        <v>37638</v>
      </c>
      <c r="P114" s="273">
        <v>40605</v>
      </c>
      <c r="Q114" s="273">
        <v>39320</v>
      </c>
      <c r="R114" s="273">
        <v>28626</v>
      </c>
      <c r="S114" s="273">
        <v>28268</v>
      </c>
      <c r="T114" s="273">
        <v>27173</v>
      </c>
      <c r="U114" s="273">
        <v>7351</v>
      </c>
      <c r="V114" s="273">
        <v>6346</v>
      </c>
      <c r="W114" s="273">
        <v>6493</v>
      </c>
      <c r="X114" s="273">
        <v>11369</v>
      </c>
    </row>
    <row r="115" spans="1:24" ht="14.25" thickBot="1" x14ac:dyDescent="0.3">
      <c r="A115" s="225" t="s">
        <v>265</v>
      </c>
      <c r="B115" s="276">
        <v>1777512</v>
      </c>
      <c r="C115" s="276">
        <v>1887322</v>
      </c>
      <c r="D115" s="276">
        <v>2154834</v>
      </c>
      <c r="E115" s="276">
        <v>1992365</v>
      </c>
      <c r="F115" s="276">
        <v>2072784</v>
      </c>
      <c r="G115" s="276">
        <v>2279915</v>
      </c>
      <c r="H115" s="276">
        <v>2239876</v>
      </c>
      <c r="I115" s="276">
        <v>2255965</v>
      </c>
      <c r="J115" s="276">
        <v>2199207</v>
      </c>
      <c r="K115" s="276">
        <v>2875316</v>
      </c>
      <c r="L115" s="276">
        <v>2802561</v>
      </c>
      <c r="M115" s="276">
        <v>2892920</v>
      </c>
      <c r="N115" s="276">
        <v>2951693</v>
      </c>
      <c r="O115" s="276">
        <v>3165789</v>
      </c>
      <c r="P115" s="276">
        <v>3025528</v>
      </c>
      <c r="Q115" s="276">
        <v>2737304</v>
      </c>
      <c r="R115" s="276">
        <v>2657362</v>
      </c>
      <c r="S115" s="276">
        <v>2957318</v>
      </c>
      <c r="T115" s="276">
        <v>2968932</v>
      </c>
      <c r="U115" s="276">
        <v>2986307</v>
      </c>
      <c r="V115" s="276">
        <v>2970818</v>
      </c>
      <c r="W115" s="276">
        <v>3202395</v>
      </c>
      <c r="X115" s="276">
        <v>3063151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653361</v>
      </c>
      <c r="C120" s="273">
        <v>702772</v>
      </c>
      <c r="D120" s="273">
        <v>704991</v>
      </c>
      <c r="E120" s="273">
        <v>527019</v>
      </c>
      <c r="F120" s="273">
        <v>544740</v>
      </c>
      <c r="G120" s="273">
        <v>656287</v>
      </c>
      <c r="H120" s="273">
        <v>707219</v>
      </c>
      <c r="I120" s="273">
        <v>621373</v>
      </c>
      <c r="J120" s="273">
        <v>486758</v>
      </c>
      <c r="K120" s="273">
        <v>631943</v>
      </c>
      <c r="L120" s="273">
        <v>632276</v>
      </c>
      <c r="M120" s="273">
        <v>577201</v>
      </c>
      <c r="N120" s="273">
        <v>566381</v>
      </c>
      <c r="O120" s="273">
        <v>713685</v>
      </c>
      <c r="P120" s="273">
        <v>620943</v>
      </c>
      <c r="Q120" s="273">
        <v>326976</v>
      </c>
      <c r="R120" s="273">
        <v>291581</v>
      </c>
      <c r="S120" s="273">
        <v>514373</v>
      </c>
      <c r="T120" s="273">
        <v>643148</v>
      </c>
      <c r="U120" s="273">
        <v>557862</v>
      </c>
      <c r="V120" s="273">
        <v>597416</v>
      </c>
      <c r="W120" s="273">
        <v>688970</v>
      </c>
      <c r="X120" s="273">
        <v>665411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273">
        <v>442253</v>
      </c>
      <c r="T122" s="273">
        <v>444577</v>
      </c>
      <c r="U122" s="273">
        <v>446901</v>
      </c>
      <c r="V122" s="273">
        <v>27353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133023</v>
      </c>
      <c r="C123" s="275">
        <v>253524</v>
      </c>
      <c r="D123" s="275">
        <v>119017</v>
      </c>
      <c r="E123" s="275">
        <v>102465</v>
      </c>
      <c r="F123" s="275">
        <v>117347</v>
      </c>
      <c r="G123" s="275">
        <v>288404</v>
      </c>
      <c r="H123" s="275">
        <v>129708</v>
      </c>
      <c r="I123" s="275">
        <v>155154</v>
      </c>
      <c r="J123" s="275">
        <v>163892</v>
      </c>
      <c r="K123" s="275">
        <v>362537</v>
      </c>
      <c r="L123" s="275">
        <v>190653</v>
      </c>
      <c r="M123" s="275">
        <v>224250</v>
      </c>
      <c r="N123" s="275">
        <v>254317</v>
      </c>
      <c r="O123" s="275">
        <v>429632</v>
      </c>
      <c r="P123" s="275">
        <v>243399</v>
      </c>
      <c r="Q123" s="275">
        <v>233911</v>
      </c>
      <c r="R123" s="275">
        <v>215492</v>
      </c>
      <c r="S123" s="275">
        <v>394781</v>
      </c>
      <c r="T123" s="275">
        <v>218744</v>
      </c>
      <c r="U123" s="275">
        <v>235331</v>
      </c>
      <c r="V123" s="275">
        <v>216821</v>
      </c>
      <c r="W123" s="275">
        <v>433946</v>
      </c>
      <c r="X123" s="275">
        <v>221285</v>
      </c>
    </row>
    <row r="124" spans="1:24" ht="14.25" thickBot="1" x14ac:dyDescent="0.3">
      <c r="A124" s="224" t="s">
        <v>268</v>
      </c>
      <c r="B124" s="273">
        <v>786384</v>
      </c>
      <c r="C124" s="273">
        <v>956296</v>
      </c>
      <c r="D124" s="273">
        <v>824008</v>
      </c>
      <c r="E124" s="273">
        <v>629484</v>
      </c>
      <c r="F124" s="273">
        <v>662087</v>
      </c>
      <c r="G124" s="273">
        <v>944691</v>
      </c>
      <c r="H124" s="273">
        <v>836927</v>
      </c>
      <c r="I124" s="273">
        <v>776527</v>
      </c>
      <c r="J124" s="273">
        <v>650650</v>
      </c>
      <c r="K124" s="273">
        <v>994480</v>
      </c>
      <c r="L124" s="273">
        <v>822929</v>
      </c>
      <c r="M124" s="273">
        <v>801451</v>
      </c>
      <c r="N124" s="273">
        <v>820698</v>
      </c>
      <c r="O124" s="273">
        <v>1143317</v>
      </c>
      <c r="P124" s="273">
        <v>864342</v>
      </c>
      <c r="Q124" s="273">
        <v>560887</v>
      </c>
      <c r="R124" s="273">
        <v>507073</v>
      </c>
      <c r="S124" s="273">
        <v>1351407</v>
      </c>
      <c r="T124" s="273">
        <v>1306469</v>
      </c>
      <c r="U124" s="273">
        <v>1240094</v>
      </c>
      <c r="V124" s="273">
        <v>841590</v>
      </c>
      <c r="W124" s="273">
        <v>1122916</v>
      </c>
      <c r="X124" s="273">
        <v>886696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5">
        <v>190467</v>
      </c>
      <c r="E125" s="275">
        <v>191204</v>
      </c>
      <c r="F125" s="275">
        <v>224599</v>
      </c>
      <c r="G125" s="275">
        <v>168602</v>
      </c>
      <c r="H125" s="275">
        <v>41705</v>
      </c>
      <c r="I125" s="275">
        <v>32586</v>
      </c>
      <c r="J125" s="275">
        <v>37892</v>
      </c>
      <c r="K125" s="275">
        <v>456699</v>
      </c>
      <c r="L125" s="275">
        <v>458877</v>
      </c>
      <c r="M125" s="275">
        <v>462289</v>
      </c>
      <c r="N125" s="275">
        <v>463651</v>
      </c>
      <c r="O125" s="275">
        <v>466210</v>
      </c>
      <c r="P125" s="275">
        <v>467688</v>
      </c>
      <c r="Q125" s="275">
        <v>470521</v>
      </c>
      <c r="R125" s="275">
        <v>466416</v>
      </c>
      <c r="S125" s="275">
        <v>36351</v>
      </c>
      <c r="T125" s="275">
        <v>32538</v>
      </c>
      <c r="U125" s="275">
        <v>32376</v>
      </c>
      <c r="V125" s="275">
        <v>34943</v>
      </c>
      <c r="W125" s="275">
        <v>33452</v>
      </c>
      <c r="X125" s="275">
        <v>32432</v>
      </c>
    </row>
    <row r="126" spans="1:24" ht="14.25" thickBot="1" x14ac:dyDescent="0.3">
      <c r="A126" s="224" t="s">
        <v>33</v>
      </c>
      <c r="B126" s="273">
        <v>20365</v>
      </c>
      <c r="C126" s="273">
        <v>24592</v>
      </c>
      <c r="D126" s="273">
        <v>29375</v>
      </c>
      <c r="E126" s="273">
        <v>30693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806749</v>
      </c>
      <c r="C127" s="275">
        <v>980888</v>
      </c>
      <c r="D127" s="275">
        <v>1043850</v>
      </c>
      <c r="E127" s="275">
        <v>851381</v>
      </c>
      <c r="F127" s="275">
        <v>886686</v>
      </c>
      <c r="G127" s="275">
        <v>1113293</v>
      </c>
      <c r="H127" s="275">
        <v>878632</v>
      </c>
      <c r="I127" s="275">
        <v>809113</v>
      </c>
      <c r="J127" s="275">
        <v>688542</v>
      </c>
      <c r="K127" s="275">
        <v>1451179</v>
      </c>
      <c r="L127" s="275">
        <v>1281806</v>
      </c>
      <c r="M127" s="275">
        <v>1263740</v>
      </c>
      <c r="N127" s="275">
        <v>1284349</v>
      </c>
      <c r="O127" s="275">
        <v>1609527</v>
      </c>
      <c r="P127" s="275">
        <v>1332030</v>
      </c>
      <c r="Q127" s="275">
        <v>1031408</v>
      </c>
      <c r="R127" s="275">
        <v>973489</v>
      </c>
      <c r="S127" s="275">
        <v>1387758</v>
      </c>
      <c r="T127" s="275">
        <v>1339007</v>
      </c>
      <c r="U127" s="275">
        <v>1272470</v>
      </c>
      <c r="V127" s="275">
        <v>876533</v>
      </c>
      <c r="W127" s="275">
        <v>1156368</v>
      </c>
      <c r="X127" s="275">
        <v>919128</v>
      </c>
    </row>
    <row r="128" spans="1:24" ht="14.25" thickBot="1" x14ac:dyDescent="0.3">
      <c r="A128" s="224" t="s">
        <v>34</v>
      </c>
      <c r="B128" s="273">
        <v>970763</v>
      </c>
      <c r="C128" s="273">
        <v>906434</v>
      </c>
      <c r="D128" s="273">
        <v>1110984</v>
      </c>
      <c r="E128" s="273">
        <v>1140984</v>
      </c>
      <c r="F128" s="273">
        <v>1186098</v>
      </c>
      <c r="G128" s="273">
        <v>1166622</v>
      </c>
      <c r="H128" s="273">
        <v>1361244</v>
      </c>
      <c r="I128" s="273">
        <v>1446852</v>
      </c>
      <c r="J128" s="273">
        <v>1510665</v>
      </c>
      <c r="K128" s="273">
        <v>1424137</v>
      </c>
      <c r="L128" s="273">
        <v>1520755</v>
      </c>
      <c r="M128" s="273">
        <v>1629180</v>
      </c>
      <c r="N128" s="273">
        <v>1667344</v>
      </c>
      <c r="O128" s="273">
        <v>1556262</v>
      </c>
      <c r="P128" s="273">
        <v>1693498</v>
      </c>
      <c r="Q128" s="273">
        <v>1705896</v>
      </c>
      <c r="R128" s="273">
        <v>1683873</v>
      </c>
      <c r="S128" s="273">
        <v>1569560</v>
      </c>
      <c r="T128" s="273">
        <v>1629925</v>
      </c>
      <c r="U128" s="273">
        <v>1713837</v>
      </c>
      <c r="V128" s="273">
        <v>2094285</v>
      </c>
      <c r="W128" s="273">
        <v>2046027</v>
      </c>
      <c r="X128" s="273">
        <v>2144023</v>
      </c>
    </row>
    <row r="129" spans="1:24" ht="14.25" thickBot="1" x14ac:dyDescent="0.3">
      <c r="A129" s="225" t="s">
        <v>35</v>
      </c>
      <c r="B129" s="276">
        <v>1777512</v>
      </c>
      <c r="C129" s="276">
        <v>1887322</v>
      </c>
      <c r="D129" s="276">
        <v>2154834</v>
      </c>
      <c r="E129" s="276">
        <v>1992365</v>
      </c>
      <c r="F129" s="276">
        <v>2072784</v>
      </c>
      <c r="G129" s="276">
        <v>2279915</v>
      </c>
      <c r="H129" s="276">
        <v>2239876</v>
      </c>
      <c r="I129" s="276">
        <v>2255965</v>
      </c>
      <c r="J129" s="276">
        <v>2199207</v>
      </c>
      <c r="K129" s="276">
        <v>2875316</v>
      </c>
      <c r="L129" s="276">
        <v>2802561</v>
      </c>
      <c r="M129" s="276">
        <v>2892920</v>
      </c>
      <c r="N129" s="276">
        <v>2951693</v>
      </c>
      <c r="O129" s="276">
        <v>3165789</v>
      </c>
      <c r="P129" s="276">
        <v>3025528</v>
      </c>
      <c r="Q129" s="276">
        <v>2737304</v>
      </c>
      <c r="R129" s="276">
        <v>2657362</v>
      </c>
      <c r="S129" s="276">
        <v>2957318</v>
      </c>
      <c r="T129" s="276">
        <v>2968932</v>
      </c>
      <c r="U129" s="276">
        <v>2986307</v>
      </c>
      <c r="V129" s="276">
        <v>2970818</v>
      </c>
      <c r="W129" s="276">
        <v>3202395</v>
      </c>
      <c r="X129" s="276">
        <v>3063151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4.97</v>
      </c>
      <c r="C132" s="68">
        <v>3.7</v>
      </c>
      <c r="D132" s="68">
        <v>5.49</v>
      </c>
      <c r="E132" s="68">
        <v>5.01</v>
      </c>
      <c r="F132" s="68">
        <v>11.88</v>
      </c>
    </row>
    <row r="133" spans="1:24" ht="14.25" thickBot="1" x14ac:dyDescent="0.3">
      <c r="A133" s="225" t="s">
        <v>37</v>
      </c>
      <c r="B133" s="274">
        <v>-0.59</v>
      </c>
      <c r="C133" s="274">
        <v>-0.4</v>
      </c>
      <c r="D133" s="274">
        <v>-2.2999999999999998</v>
      </c>
      <c r="E133" s="274">
        <v>-1.96</v>
      </c>
      <c r="F133" s="274">
        <v>-0.25</v>
      </c>
    </row>
    <row r="134" spans="1:24" ht="14.25" thickBot="1" x14ac:dyDescent="0.3">
      <c r="A134" s="224" t="s">
        <v>38</v>
      </c>
      <c r="B134" s="68">
        <v>4.03</v>
      </c>
      <c r="C134" s="68">
        <v>-2.4900000000000002</v>
      </c>
      <c r="D134" s="68">
        <v>4.68</v>
      </c>
      <c r="E134" s="68">
        <v>-2.7</v>
      </c>
      <c r="F134" s="68">
        <v>-2.65</v>
      </c>
    </row>
    <row r="135" spans="1:24" ht="14.25" thickBot="1" x14ac:dyDescent="0.3">
      <c r="A135" s="225" t="s">
        <v>270</v>
      </c>
      <c r="B135" s="274">
        <v>4.38</v>
      </c>
      <c r="C135" s="274">
        <v>3.3</v>
      </c>
      <c r="D135" s="274">
        <v>3.19</v>
      </c>
      <c r="E135" s="274">
        <v>3.05</v>
      </c>
      <c r="F135" s="274">
        <v>11.63</v>
      </c>
    </row>
    <row r="136" spans="1:24" ht="14.25" thickBot="1" x14ac:dyDescent="0.3">
      <c r="A136" s="229" t="s">
        <v>39</v>
      </c>
      <c r="B136" s="72">
        <v>8.41</v>
      </c>
      <c r="C136" s="72">
        <v>0.81</v>
      </c>
      <c r="D136" s="72">
        <v>7.86</v>
      </c>
      <c r="E136" s="72">
        <v>0.35</v>
      </c>
      <c r="F136" s="72">
        <v>8.98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2.62</v>
      </c>
      <c r="C140" s="68">
        <v>2.5</v>
      </c>
      <c r="D140" s="68">
        <v>2.7</v>
      </c>
      <c r="E140" s="68">
        <v>2.65</v>
      </c>
      <c r="F140" s="68">
        <v>2.91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0.70053475935828879</v>
      </c>
      <c r="C142" s="234">
        <f>IF(C140&lt;&gt;"無",IF(ISNA(HLOOKUP(C139,$B$64:$F$69,6,FALSE)),"",C140/HLOOKUP(C139,$B$64:$F$69,6,FALSE)),"")</f>
        <v>0.64102564102564108</v>
      </c>
      <c r="D142" s="234">
        <f>IF(D140&lt;&gt;"無",IF(ISNA(HLOOKUP(D139,$B$64:$F$69,6,FALSE)),"",D140/HLOOKUP(D139,$B$64:$F$69,6,FALSE)),"")</f>
        <v>0.66339066339066344</v>
      </c>
      <c r="E142" s="234">
        <f>IF(E140&lt;&gt;"無",IF(ISNA(HLOOKUP(E139,$B$64:$F$69,6,FALSE)),"",E140/HLOOKUP(E139,$B$64:$F$69,6,FALSE)),"")</f>
        <v>0.65920398009950243</v>
      </c>
      <c r="F142" s="234">
        <f>IF(F140&lt;&gt;"無",IF(ISNA(HLOOKUP(F139,$B$64:$F$69,6,FALSE)),"",F140/HLOOKUP(F139,$B$64:$F$69,6,FALSE)),"")</f>
        <v>0.65986394557823136</v>
      </c>
    </row>
    <row r="143" spans="1:24" x14ac:dyDescent="0.25">
      <c r="A143" s="233" t="s">
        <v>216</v>
      </c>
      <c r="B143" s="234">
        <f>IF(OR(B140=0,B140="無"),"",B135/B140)</f>
        <v>1.6717557251908395</v>
      </c>
      <c r="C143" s="234">
        <f>IF(OR(C140=0,C140="無"),"",C135/C140)</f>
        <v>1.3199999999999998</v>
      </c>
      <c r="D143" s="234">
        <f>IF(OR(D140=0,D140="無"),"",D135/D140)</f>
        <v>1.1814814814814814</v>
      </c>
      <c r="E143" s="234">
        <f>IF(OR(E140=0,E140="無"),"",E135/E140)</f>
        <v>1.1509433962264151</v>
      </c>
      <c r="F143" s="234">
        <f>IF(OR(F140=0,F140="無"),"",F135/F140)</f>
        <v>3.9965635738831615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11.12</v>
      </c>
      <c r="C146" s="68">
        <v>11.86</v>
      </c>
      <c r="D146" s="68">
        <v>11.41</v>
      </c>
      <c r="E146" s="68">
        <v>10.84</v>
      </c>
      <c r="F146" s="68">
        <v>9.7799999999999994</v>
      </c>
      <c r="G146" s="68">
        <v>11.43</v>
      </c>
      <c r="H146" s="68">
        <v>13.52</v>
      </c>
      <c r="I146" s="68">
        <v>12.85</v>
      </c>
      <c r="J146" s="68">
        <v>12.24</v>
      </c>
      <c r="K146" s="68">
        <v>14.92</v>
      </c>
      <c r="L146" s="68">
        <v>15.39</v>
      </c>
      <c r="M146" s="68">
        <v>14.03</v>
      </c>
      <c r="N146" s="68">
        <v>11.71</v>
      </c>
      <c r="O146" s="68">
        <v>14.14</v>
      </c>
      <c r="P146" s="68">
        <v>12.8</v>
      </c>
      <c r="Q146" s="68">
        <v>10.91</v>
      </c>
      <c r="R146" s="68">
        <v>6.56</v>
      </c>
      <c r="S146" s="68">
        <v>14.64</v>
      </c>
      <c r="T146" s="68">
        <v>16.46</v>
      </c>
      <c r="U146" s="68">
        <v>13.98</v>
      </c>
      <c r="V146" s="68">
        <v>14.14</v>
      </c>
      <c r="W146" s="68">
        <v>16.350000000000001</v>
      </c>
      <c r="X146" s="68">
        <v>15.43</v>
      </c>
    </row>
    <row r="147" spans="1:24" s="93" customFormat="1" ht="14.25" thickBot="1" x14ac:dyDescent="0.3">
      <c r="A147" s="225" t="s">
        <v>19</v>
      </c>
      <c r="B147" s="274">
        <v>7.33</v>
      </c>
      <c r="C147" s="274">
        <v>7.87</v>
      </c>
      <c r="D147" s="274">
        <v>7.82</v>
      </c>
      <c r="E147" s="274">
        <v>6.82</v>
      </c>
      <c r="F147" s="274">
        <v>4.8600000000000003</v>
      </c>
      <c r="G147" s="274">
        <v>7.52</v>
      </c>
      <c r="H147" s="274">
        <v>9.58</v>
      </c>
      <c r="I147" s="274">
        <v>8.24</v>
      </c>
      <c r="J147" s="274">
        <v>7.8</v>
      </c>
      <c r="K147" s="274">
        <v>10.88</v>
      </c>
      <c r="L147" s="274">
        <v>10.37</v>
      </c>
      <c r="M147" s="274">
        <v>7.83</v>
      </c>
      <c r="N147" s="274">
        <v>7.7</v>
      </c>
      <c r="O147" s="274">
        <v>9.93</v>
      </c>
      <c r="P147" s="274">
        <v>8.2100000000000009</v>
      </c>
      <c r="Q147" s="274">
        <v>5.14</v>
      </c>
      <c r="R147" s="274">
        <v>1.9</v>
      </c>
      <c r="S147" s="274">
        <v>10.27</v>
      </c>
      <c r="T147" s="274">
        <v>12.45</v>
      </c>
      <c r="U147" s="274">
        <v>8.69</v>
      </c>
      <c r="V147" s="274">
        <v>10.09</v>
      </c>
      <c r="W147" s="274">
        <v>12.06</v>
      </c>
      <c r="X147" s="274">
        <v>11.29</v>
      </c>
    </row>
    <row r="148" spans="1:24" s="93" customFormat="1" ht="14.25" thickBot="1" x14ac:dyDescent="0.3">
      <c r="A148" s="224" t="s">
        <v>41</v>
      </c>
      <c r="B148" s="68">
        <v>6.58</v>
      </c>
      <c r="C148" s="68">
        <v>8.77</v>
      </c>
      <c r="D148" s="68">
        <v>7.17</v>
      </c>
      <c r="E148" s="68">
        <v>5.73</v>
      </c>
      <c r="F148" s="68">
        <v>7.3</v>
      </c>
      <c r="G148" s="68">
        <v>8.09</v>
      </c>
      <c r="H148" s="68">
        <v>8.84</v>
      </c>
      <c r="I148" s="68">
        <v>9.73</v>
      </c>
      <c r="J148" s="68">
        <v>9.7899999999999991</v>
      </c>
      <c r="K148" s="68">
        <v>9.39</v>
      </c>
      <c r="L148" s="68">
        <v>11.44</v>
      </c>
      <c r="M148" s="68">
        <v>10.02</v>
      </c>
      <c r="N148" s="68">
        <v>7.98</v>
      </c>
      <c r="O148" s="68">
        <v>9.2200000000000006</v>
      </c>
      <c r="P148" s="68">
        <v>11.51</v>
      </c>
      <c r="Q148" s="68">
        <v>6.53</v>
      </c>
      <c r="R148" s="68">
        <v>0.51</v>
      </c>
      <c r="S148" s="68">
        <v>12.22</v>
      </c>
      <c r="T148" s="68">
        <v>12.71</v>
      </c>
      <c r="U148" s="68">
        <v>13.58</v>
      </c>
      <c r="V148" s="68">
        <v>7.69</v>
      </c>
      <c r="W148" s="68">
        <v>11.15</v>
      </c>
      <c r="X148" s="68">
        <v>9.75</v>
      </c>
    </row>
    <row r="149" spans="1:24" s="93" customFormat="1" ht="14.25" thickBot="1" x14ac:dyDescent="0.3">
      <c r="A149" s="225" t="s">
        <v>13</v>
      </c>
      <c r="B149" s="73">
        <v>5.05</v>
      </c>
      <c r="C149" s="73">
        <v>6.45</v>
      </c>
      <c r="D149" s="73">
        <v>5.21</v>
      </c>
      <c r="E149" s="73">
        <v>4.09</v>
      </c>
      <c r="F149" s="73">
        <v>5.52</v>
      </c>
      <c r="G149" s="73">
        <v>5.96</v>
      </c>
      <c r="H149" s="73">
        <v>6.91</v>
      </c>
      <c r="I149" s="73">
        <v>7.58</v>
      </c>
      <c r="J149" s="73">
        <v>7.01</v>
      </c>
      <c r="K149" s="73">
        <v>6.9</v>
      </c>
      <c r="L149" s="73">
        <v>8.9499999999999993</v>
      </c>
      <c r="M149" s="73">
        <v>7.71</v>
      </c>
      <c r="N149" s="73">
        <v>6.22</v>
      </c>
      <c r="O149" s="73">
        <v>6.79</v>
      </c>
      <c r="P149" s="73">
        <v>9.32</v>
      </c>
      <c r="Q149" s="73">
        <v>5.04</v>
      </c>
      <c r="R149" s="73">
        <v>0.39</v>
      </c>
      <c r="S149" s="73">
        <v>8.52</v>
      </c>
      <c r="T149" s="73">
        <v>10.61</v>
      </c>
      <c r="U149" s="73">
        <v>10.87</v>
      </c>
      <c r="V149" s="73">
        <v>6.44</v>
      </c>
      <c r="W149" s="73">
        <v>9.41</v>
      </c>
      <c r="X149" s="73">
        <v>8.5500000000000007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11.36</v>
      </c>
      <c r="C152" s="68">
        <v>12.1</v>
      </c>
      <c r="D152" s="68">
        <v>14.22</v>
      </c>
      <c r="E152" s="68">
        <v>12.51</v>
      </c>
      <c r="F152" s="68">
        <v>13.9</v>
      </c>
    </row>
    <row r="153" spans="1:24" s="93" customFormat="1" ht="14.25" thickBot="1" x14ac:dyDescent="0.3">
      <c r="A153" s="225" t="s">
        <v>19</v>
      </c>
      <c r="B153" s="274">
        <v>7.53</v>
      </c>
      <c r="C153" s="274">
        <v>7.83</v>
      </c>
      <c r="D153" s="274">
        <v>9.34</v>
      </c>
      <c r="E153" s="274">
        <v>7.93</v>
      </c>
      <c r="F153" s="274">
        <v>9.3800000000000008</v>
      </c>
    </row>
    <row r="154" spans="1:24" s="93" customFormat="1" ht="14.25" thickBot="1" x14ac:dyDescent="0.3">
      <c r="A154" s="224" t="s">
        <v>41</v>
      </c>
      <c r="B154" s="68">
        <v>7.21</v>
      </c>
      <c r="C154" s="68">
        <v>8.57</v>
      </c>
      <c r="D154" s="68">
        <v>10.18</v>
      </c>
      <c r="E154" s="68">
        <v>8.94</v>
      </c>
      <c r="F154" s="68">
        <v>10.99</v>
      </c>
    </row>
    <row r="155" spans="1:24" s="93" customFormat="1" ht="14.25" thickBot="1" x14ac:dyDescent="0.3">
      <c r="A155" s="225" t="s">
        <v>13</v>
      </c>
      <c r="B155" s="73">
        <v>5.31</v>
      </c>
      <c r="C155" s="73">
        <v>6.56</v>
      </c>
      <c r="D155" s="73">
        <v>7.66</v>
      </c>
      <c r="E155" s="73">
        <v>6.94</v>
      </c>
      <c r="F155" s="73">
        <v>8.59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2.48</v>
      </c>
      <c r="C158" s="68">
        <v>3.7</v>
      </c>
      <c r="D158" s="68">
        <v>2.7</v>
      </c>
      <c r="E158" s="68">
        <v>1.43</v>
      </c>
      <c r="F158" s="68">
        <v>1.79</v>
      </c>
      <c r="G158" s="68">
        <v>2.6</v>
      </c>
      <c r="H158" s="68">
        <v>3.22</v>
      </c>
      <c r="I158" s="68">
        <v>2.84</v>
      </c>
      <c r="J158" s="68">
        <v>2.4300000000000002</v>
      </c>
      <c r="K158" s="68">
        <v>2.48</v>
      </c>
      <c r="L158" s="68">
        <v>2.86</v>
      </c>
      <c r="M158" s="68">
        <v>2.04</v>
      </c>
      <c r="N158" s="68">
        <v>1.98</v>
      </c>
      <c r="O158" s="68">
        <v>2.2999999999999998</v>
      </c>
      <c r="P158" s="68">
        <v>2.87</v>
      </c>
      <c r="Q158" s="68">
        <v>1.37</v>
      </c>
      <c r="R158" s="68">
        <v>0.13</v>
      </c>
      <c r="S158" s="68">
        <v>2.71</v>
      </c>
      <c r="T158" s="68">
        <v>3.87</v>
      </c>
      <c r="U158" s="68">
        <v>2.88</v>
      </c>
      <c r="V158" s="68">
        <v>1.63</v>
      </c>
      <c r="W158" s="68">
        <v>3.12</v>
      </c>
      <c r="X158" s="68">
        <v>2.63</v>
      </c>
    </row>
    <row r="159" spans="1:24" s="93" customFormat="1" ht="14.25" thickBot="1" x14ac:dyDescent="0.3">
      <c r="A159" s="225" t="s">
        <v>45</v>
      </c>
      <c r="B159" s="73">
        <v>4.4800000000000004</v>
      </c>
      <c r="C159" s="73">
        <v>7.2</v>
      </c>
      <c r="D159" s="73">
        <v>5.33</v>
      </c>
      <c r="E159" s="73">
        <v>2.56</v>
      </c>
      <c r="F159" s="73">
        <v>3.05</v>
      </c>
      <c r="G159" s="73">
        <v>4.75</v>
      </c>
      <c r="H159" s="73">
        <v>5.75</v>
      </c>
      <c r="I159" s="73">
        <v>4.55</v>
      </c>
      <c r="J159" s="73">
        <v>3.67</v>
      </c>
      <c r="K159" s="73">
        <v>4.22</v>
      </c>
      <c r="L159" s="73">
        <v>5.4</v>
      </c>
      <c r="M159" s="73">
        <v>3.59</v>
      </c>
      <c r="N159" s="73">
        <v>3.4</v>
      </c>
      <c r="O159" s="73">
        <v>4.25</v>
      </c>
      <c r="P159" s="73">
        <v>5.35</v>
      </c>
      <c r="Q159" s="73">
        <v>2.2200000000000002</v>
      </c>
      <c r="R159" s="73">
        <v>0.11</v>
      </c>
      <c r="S159" s="73">
        <v>4.58</v>
      </c>
      <c r="T159" s="73">
        <v>7.05</v>
      </c>
      <c r="U159" s="73">
        <v>5.03</v>
      </c>
      <c r="V159" s="73">
        <v>2.4900000000000002</v>
      </c>
      <c r="W159" s="73">
        <v>4.6500000000000004</v>
      </c>
      <c r="X159" s="73">
        <v>3.94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5.31</v>
      </c>
      <c r="C162" s="68">
        <v>6.56</v>
      </c>
      <c r="D162" s="68">
        <v>7.66</v>
      </c>
      <c r="E162" s="68">
        <v>6.94</v>
      </c>
      <c r="F162" s="68">
        <v>8.59</v>
      </c>
    </row>
    <row r="163" spans="1:72" s="93" customFormat="1" ht="14.25" thickBot="1" x14ac:dyDescent="0.3">
      <c r="A163" s="225" t="s">
        <v>18</v>
      </c>
      <c r="B163" s="274">
        <v>1.82</v>
      </c>
      <c r="C163" s="274">
        <v>1.54</v>
      </c>
      <c r="D163" s="274">
        <v>1.1399999999999999</v>
      </c>
      <c r="E163" s="274">
        <v>1.31</v>
      </c>
      <c r="F163" s="274">
        <v>1.06</v>
      </c>
    </row>
    <row r="164" spans="1:72" s="93" customFormat="1" ht="14.25" thickBot="1" x14ac:dyDescent="0.3">
      <c r="A164" s="224" t="s">
        <v>15</v>
      </c>
      <c r="B164" s="68">
        <v>1.75</v>
      </c>
      <c r="C164" s="68">
        <v>1.56</v>
      </c>
      <c r="D164" s="68">
        <v>1.78</v>
      </c>
      <c r="E164" s="68">
        <v>1.6</v>
      </c>
      <c r="F164" s="68">
        <v>1.74</v>
      </c>
    </row>
    <row r="165" spans="1:72" s="93" customFormat="1" ht="14.25" thickBot="1" x14ac:dyDescent="0.3">
      <c r="A165" s="225" t="s">
        <v>45</v>
      </c>
      <c r="B165" s="73">
        <v>18.54</v>
      </c>
      <c r="C165" s="73">
        <v>17.62</v>
      </c>
      <c r="D165" s="73">
        <v>16.399999999999999</v>
      </c>
      <c r="E165" s="73">
        <v>14.94</v>
      </c>
      <c r="F165" s="73">
        <v>15.97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49.18</v>
      </c>
      <c r="C168" s="68">
        <v>41.86</v>
      </c>
      <c r="D168" s="68">
        <v>44.55</v>
      </c>
      <c r="E168" s="68">
        <v>59.21</v>
      </c>
      <c r="F168" s="68">
        <v>60.4</v>
      </c>
      <c r="G168" s="68">
        <v>51.43</v>
      </c>
      <c r="H168" s="68">
        <v>54.88</v>
      </c>
      <c r="I168" s="68">
        <v>65.22</v>
      </c>
      <c r="J168" s="68">
        <v>62.5</v>
      </c>
      <c r="K168" s="68">
        <v>55.9</v>
      </c>
      <c r="L168" s="68">
        <v>58.06</v>
      </c>
      <c r="M168" s="68">
        <v>65.22</v>
      </c>
      <c r="N168" s="68">
        <v>52.63</v>
      </c>
      <c r="O168" s="68">
        <v>52.33</v>
      </c>
      <c r="P168" s="68">
        <v>60.4</v>
      </c>
      <c r="Q168" s="68">
        <v>70.31</v>
      </c>
      <c r="R168" s="68">
        <v>86.54</v>
      </c>
      <c r="S168" s="68">
        <v>49.45</v>
      </c>
      <c r="T168" s="68">
        <v>53.57</v>
      </c>
      <c r="U168" s="68">
        <v>66.67</v>
      </c>
      <c r="V168" s="68">
        <v>57.32</v>
      </c>
      <c r="W168" s="68">
        <v>43.48</v>
      </c>
      <c r="X168" s="68">
        <v>52.02</v>
      </c>
    </row>
    <row r="169" spans="1:72" s="93" customFormat="1" ht="14.25" thickBot="1" x14ac:dyDescent="0.3">
      <c r="A169" s="225" t="s">
        <v>17</v>
      </c>
      <c r="B169" s="274">
        <v>38.96</v>
      </c>
      <c r="C169" s="274">
        <v>36.29</v>
      </c>
      <c r="D169" s="274">
        <v>38.14</v>
      </c>
      <c r="E169" s="274">
        <v>52.02</v>
      </c>
      <c r="F169" s="274">
        <v>58.82</v>
      </c>
      <c r="G169" s="274">
        <v>47.37</v>
      </c>
      <c r="H169" s="274">
        <v>43.27</v>
      </c>
      <c r="I169" s="274">
        <v>54.22</v>
      </c>
      <c r="J169" s="274">
        <v>55.56</v>
      </c>
      <c r="K169" s="274">
        <v>49.18</v>
      </c>
      <c r="L169" s="274">
        <v>53.57</v>
      </c>
      <c r="M169" s="274">
        <v>72</v>
      </c>
      <c r="N169" s="274">
        <v>58.06</v>
      </c>
      <c r="O169" s="274">
        <v>51.72</v>
      </c>
      <c r="P169" s="274">
        <v>64.75</v>
      </c>
      <c r="Q169" s="274">
        <v>70.87</v>
      </c>
      <c r="R169" s="274">
        <v>83.33</v>
      </c>
      <c r="S169" s="274">
        <v>43.48</v>
      </c>
      <c r="T169" s="274">
        <v>30.2</v>
      </c>
      <c r="U169" s="274">
        <v>40.36</v>
      </c>
      <c r="V169" s="274">
        <v>54.22</v>
      </c>
      <c r="W169" s="274">
        <v>46.39</v>
      </c>
      <c r="X169" s="274">
        <v>52.33</v>
      </c>
    </row>
    <row r="170" spans="1:72" s="93" customFormat="1" ht="14.25" thickBot="1" x14ac:dyDescent="0.3">
      <c r="A170" s="224" t="s">
        <v>42</v>
      </c>
      <c r="B170" s="72">
        <v>88.14</v>
      </c>
      <c r="C170" s="72">
        <v>78.150000000000006</v>
      </c>
      <c r="D170" s="72">
        <v>82.69</v>
      </c>
      <c r="E170" s="72">
        <v>111.23</v>
      </c>
      <c r="F170" s="72">
        <v>119.23</v>
      </c>
      <c r="G170" s="72">
        <v>98.8</v>
      </c>
      <c r="H170" s="72">
        <v>98.15</v>
      </c>
      <c r="I170" s="72">
        <v>119.43</v>
      </c>
      <c r="J170" s="72">
        <v>118.06</v>
      </c>
      <c r="K170" s="72">
        <v>105.08</v>
      </c>
      <c r="L170" s="72">
        <v>111.64</v>
      </c>
      <c r="M170" s="72">
        <v>137.22</v>
      </c>
      <c r="N170" s="72">
        <v>110.7</v>
      </c>
      <c r="O170" s="72">
        <v>104.05</v>
      </c>
      <c r="P170" s="72">
        <v>125.15</v>
      </c>
      <c r="Q170" s="72">
        <v>141.18</v>
      </c>
      <c r="R170" s="72">
        <v>169.87</v>
      </c>
      <c r="S170" s="72">
        <v>92.93</v>
      </c>
      <c r="T170" s="72">
        <v>83.77</v>
      </c>
      <c r="U170" s="72">
        <v>107.03</v>
      </c>
      <c r="V170" s="72">
        <v>111.54</v>
      </c>
      <c r="W170" s="72">
        <v>89.87</v>
      </c>
      <c r="X170" s="72">
        <v>104.35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134.94999999999999</v>
      </c>
      <c r="C173" s="72">
        <v>95.16</v>
      </c>
      <c r="D173" s="72">
        <v>135.12</v>
      </c>
      <c r="E173" s="72">
        <v>124.4</v>
      </c>
      <c r="F173" s="72">
        <v>269.31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7.05</v>
      </c>
      <c r="C176" s="72">
        <v>9.16</v>
      </c>
      <c r="D176" s="72">
        <v>10.44</v>
      </c>
      <c r="E176" s="72">
        <v>8.9600000000000009</v>
      </c>
      <c r="F176" s="72">
        <v>9.6</v>
      </c>
      <c r="G176" s="72">
        <v>9.77</v>
      </c>
      <c r="H176" s="72">
        <v>10.16</v>
      </c>
      <c r="I176" s="72">
        <v>8.76</v>
      </c>
      <c r="J176" s="72">
        <v>9.1199999999999992</v>
      </c>
      <c r="K176" s="72">
        <v>7.98</v>
      </c>
      <c r="L176" s="72">
        <v>7.79</v>
      </c>
      <c r="M176" s="72">
        <v>7.75</v>
      </c>
      <c r="N176" s="72">
        <v>8.1999999999999993</v>
      </c>
      <c r="O176" s="72">
        <v>8.5399999999999991</v>
      </c>
      <c r="P176" s="72">
        <v>8.48</v>
      </c>
      <c r="Q176" s="72">
        <v>8.73</v>
      </c>
      <c r="R176" s="72">
        <v>9.34</v>
      </c>
      <c r="S176" s="72">
        <v>10.23</v>
      </c>
      <c r="T176" s="72">
        <v>14.15</v>
      </c>
      <c r="U176" s="72">
        <v>13.76</v>
      </c>
      <c r="V176" s="72">
        <v>12.96</v>
      </c>
      <c r="W176" s="72">
        <v>13.13</v>
      </c>
      <c r="X176" s="72">
        <v>13.07</v>
      </c>
      <c r="Y176" s="72">
        <v>13.34</v>
      </c>
      <c r="Z176" s="72">
        <v>14.46</v>
      </c>
      <c r="AA176" s="72">
        <v>14.15</v>
      </c>
      <c r="AB176" s="72">
        <v>11.63</v>
      </c>
      <c r="AC176" s="72">
        <v>12.32</v>
      </c>
      <c r="AD176" s="72">
        <v>11.74</v>
      </c>
      <c r="AE176" s="72">
        <v>11.73</v>
      </c>
      <c r="AF176" s="72">
        <v>11.42</v>
      </c>
      <c r="AG176" s="72">
        <v>10.42</v>
      </c>
      <c r="AH176" s="72">
        <v>10.3</v>
      </c>
      <c r="AI176" s="72">
        <v>9.24</v>
      </c>
      <c r="AJ176" s="72">
        <v>9.44</v>
      </c>
      <c r="AK176" s="72">
        <v>9.5500000000000007</v>
      </c>
      <c r="AL176" s="72">
        <v>9.64</v>
      </c>
      <c r="AM176" s="72">
        <v>11.12</v>
      </c>
      <c r="AN176" s="72">
        <v>11.35</v>
      </c>
      <c r="AO176" s="72">
        <v>11.28</v>
      </c>
      <c r="AP176" s="72">
        <v>11.12</v>
      </c>
      <c r="AQ176" s="72">
        <v>11.66</v>
      </c>
      <c r="AR176" s="72">
        <v>9.94</v>
      </c>
      <c r="AS176" s="72">
        <v>8.77</v>
      </c>
      <c r="AT176" s="72">
        <v>8.9</v>
      </c>
      <c r="AU176" s="72">
        <v>9.33</v>
      </c>
      <c r="AV176" s="72">
        <v>9.4499999999999993</v>
      </c>
      <c r="AW176" s="72">
        <v>8.74</v>
      </c>
      <c r="AX176" s="72">
        <v>8.4</v>
      </c>
      <c r="AY176" s="72">
        <v>8.3699999999999992</v>
      </c>
      <c r="AZ176" s="72">
        <v>8.92</v>
      </c>
      <c r="BA176" s="72">
        <v>8.33</v>
      </c>
      <c r="BB176" s="72">
        <v>8.91</v>
      </c>
      <c r="BC176" s="72">
        <v>9.33</v>
      </c>
      <c r="BD176" s="72">
        <v>9.86</v>
      </c>
      <c r="BE176" s="72">
        <v>10.36</v>
      </c>
      <c r="BF176" s="72">
        <v>10.31</v>
      </c>
      <c r="BG176" s="72">
        <v>10.17</v>
      </c>
      <c r="BH176" s="72">
        <v>9.1999999999999993</v>
      </c>
      <c r="BI176" s="72">
        <v>9.2899999999999991</v>
      </c>
      <c r="BJ176" s="72">
        <v>10.09</v>
      </c>
      <c r="BK176" s="72">
        <v>11.56</v>
      </c>
      <c r="BL176" s="72">
        <v>10.16</v>
      </c>
      <c r="BM176" s="72">
        <v>10.220000000000001</v>
      </c>
      <c r="BN176" s="72">
        <v>9.74</v>
      </c>
      <c r="BO176" s="72">
        <v>10.48</v>
      </c>
      <c r="BP176" s="72">
        <v>9.85</v>
      </c>
      <c r="BQ176" s="72">
        <v>11.33</v>
      </c>
      <c r="BR176" s="72">
        <v>12.08</v>
      </c>
      <c r="BS176" s="72">
        <v>10.63</v>
      </c>
      <c r="BT176" s="72">
        <v>11.8</v>
      </c>
    </row>
  </sheetData>
  <phoneticPr fontId="3" type="noConversion"/>
  <conditionalFormatting sqref="E4">
    <cfRule type="cellIs" dxfId="3374" priority="103" operator="greaterThan">
      <formula>0.2</formula>
    </cfRule>
    <cfRule type="cellIs" dxfId="337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337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371" priority="97" operator="greaterThan">
      <formula>$B$19</formula>
    </cfRule>
  </conditionalFormatting>
  <conditionalFormatting sqref="D33:D34">
    <cfRule type="cellIs" dxfId="337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3369" priority="91" operator="lessThan">
      <formula>$H$62</formula>
    </cfRule>
    <cfRule type="cellIs" dxfId="3368" priority="92" operator="greaterThan">
      <formula>$H$62</formula>
    </cfRule>
  </conditionalFormatting>
  <conditionalFormatting sqref="J62">
    <cfRule type="cellIs" dxfId="3367" priority="89" operator="lessThan">
      <formula>$K$62</formula>
    </cfRule>
    <cfRule type="cellIs" dxfId="3366" priority="90" operator="greaterThan">
      <formula>$K$62</formula>
    </cfRule>
  </conditionalFormatting>
  <conditionalFormatting sqref="M62">
    <cfRule type="cellIs" dxfId="3365" priority="87" operator="lessThan">
      <formula>$N$62</formula>
    </cfRule>
    <cfRule type="cellIs" dxfId="3364" priority="88" operator="greaterThan">
      <formula>$N$62</formula>
    </cfRule>
  </conditionalFormatting>
  <conditionalFormatting sqref="B44:E44">
    <cfRule type="cellIs" dxfId="3363" priority="85" operator="greaterThan">
      <formula>0</formula>
    </cfRule>
    <cfRule type="cellIs" dxfId="3362" priority="86" operator="lessThan">
      <formula>0</formula>
    </cfRule>
  </conditionalFormatting>
  <conditionalFormatting sqref="F72">
    <cfRule type="cellIs" dxfId="3361" priority="84" operator="lessThan">
      <formula>$E$72*90%</formula>
    </cfRule>
  </conditionalFormatting>
  <conditionalFormatting sqref="F73">
    <cfRule type="cellIs" dxfId="3360" priority="83" operator="lessThan">
      <formula>$E$73*90%</formula>
    </cfRule>
  </conditionalFormatting>
  <conditionalFormatting sqref="F74">
    <cfRule type="cellIs" dxfId="3359" priority="82" operator="lessThan">
      <formula>$E$74*90%</formula>
    </cfRule>
  </conditionalFormatting>
  <conditionalFormatting sqref="F75">
    <cfRule type="cellIs" dxfId="3358" priority="81" operator="lessThan">
      <formula>$E$75*90%</formula>
    </cfRule>
  </conditionalFormatting>
  <conditionalFormatting sqref="H44:K44">
    <cfRule type="cellIs" dxfId="3357" priority="79" operator="greaterThan">
      <formula>0</formula>
    </cfRule>
    <cfRule type="cellIs" dxfId="3356" priority="80" operator="lessThan">
      <formula>0</formula>
    </cfRule>
  </conditionalFormatting>
  <conditionalFormatting sqref="H51:K51">
    <cfRule type="cellIs" dxfId="3355" priority="77" operator="greaterThan">
      <formula>0</formula>
    </cfRule>
    <cfRule type="cellIs" dxfId="3354" priority="78" operator="lessThan">
      <formula>0</formula>
    </cfRule>
  </conditionalFormatting>
  <conditionalFormatting sqref="B51:E51">
    <cfRule type="cellIs" dxfId="3353" priority="75" operator="greaterThan">
      <formula>0</formula>
    </cfRule>
    <cfRule type="cellIs" dxfId="335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35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35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349" priority="58" operator="lessThan">
      <formula>0</formula>
    </cfRule>
  </conditionalFormatting>
  <conditionalFormatting sqref="A25 E25 C25">
    <cfRule type="cellIs" dxfId="3348" priority="59" operator="lessThan">
      <formula>0</formula>
    </cfRule>
  </conditionalFormatting>
  <conditionalFormatting sqref="F25">
    <cfRule type="cellIs" dxfId="3347" priority="57" operator="lessThan">
      <formula>0</formula>
    </cfRule>
  </conditionalFormatting>
  <conditionalFormatting sqref="E1">
    <cfRule type="containsText" dxfId="3346" priority="56" operator="containsText" text="本季業外損益/平均=-">
      <formula>NOT(ISERROR(SEARCH("本季業外損益/平均=-",E1)))</formula>
    </cfRule>
  </conditionalFormatting>
  <conditionalFormatting sqref="M65">
    <cfRule type="cellIs" dxfId="3345" priority="55" operator="lessThan">
      <formula>$L$65*90%</formula>
    </cfRule>
  </conditionalFormatting>
  <conditionalFormatting sqref="M66">
    <cfRule type="cellIs" dxfId="3344" priority="54" operator="lessThan">
      <formula>$L$66*90%</formula>
    </cfRule>
  </conditionalFormatting>
  <conditionalFormatting sqref="M67">
    <cfRule type="cellIs" dxfId="3343" priority="53" operator="lessThan">
      <formula>$L$67*90%</formula>
    </cfRule>
  </conditionalFormatting>
  <conditionalFormatting sqref="M68">
    <cfRule type="cellIs" dxfId="3342" priority="52" operator="lessThan">
      <formula>$L$68*90%</formula>
    </cfRule>
  </conditionalFormatting>
  <conditionalFormatting sqref="B60">
    <cfRule type="cellIs" dxfId="3341" priority="51" operator="lessThan">
      <formula>0</formula>
    </cfRule>
  </conditionalFormatting>
  <conditionalFormatting sqref="B59:F59">
    <cfRule type="cellIs" dxfId="3340" priority="50" operator="lessThanOrEqual">
      <formula>0</formula>
    </cfRule>
  </conditionalFormatting>
  <conditionalFormatting sqref="D62">
    <cfRule type="cellIs" dxfId="3339" priority="48" operator="lessThan">
      <formula>$E$62</formula>
    </cfRule>
    <cfRule type="cellIs" dxfId="3338" priority="49" operator="greaterThan">
      <formula>$E$62</formula>
    </cfRule>
  </conditionalFormatting>
  <conditionalFormatting sqref="F69">
    <cfRule type="cellIs" dxfId="3337" priority="46" operator="lessThan">
      <formula>0</formula>
    </cfRule>
  </conditionalFormatting>
  <conditionalFormatting sqref="B65:E67 B69:E69 B68:D68">
    <cfRule type="cellIs" dxfId="3336" priority="47" operator="lessThan">
      <formula>0</formula>
    </cfRule>
  </conditionalFormatting>
  <conditionalFormatting sqref="E68">
    <cfRule type="cellIs" dxfId="3335" priority="45" operator="lessThan">
      <formula>0</formula>
    </cfRule>
  </conditionalFormatting>
  <conditionalFormatting sqref="F65:F68">
    <cfRule type="cellIs" dxfId="3334" priority="44" operator="lessThan">
      <formula>0</formula>
    </cfRule>
  </conditionalFormatting>
  <conditionalFormatting sqref="F65:F68">
    <cfRule type="cellIs" dxfId="3333" priority="43" operator="lessThan">
      <formula>$E$65*0.9</formula>
    </cfRule>
  </conditionalFormatting>
  <conditionalFormatting sqref="F66">
    <cfRule type="cellIs" dxfId="3332" priority="42" operator="lessThan">
      <formula>$E$66*0.9</formula>
    </cfRule>
  </conditionalFormatting>
  <conditionalFormatting sqref="F67:F68">
    <cfRule type="cellIs" dxfId="3331" priority="41" operator="lessThan">
      <formula>$E$67*0.9</formula>
    </cfRule>
  </conditionalFormatting>
  <conditionalFormatting sqref="F68">
    <cfRule type="cellIs" dxfId="3330" priority="40" operator="lessThan">
      <formula>$E$68*0.9</formula>
    </cfRule>
  </conditionalFormatting>
  <conditionalFormatting sqref="B13:F13">
    <cfRule type="cellIs" dxfId="3329" priority="29" operator="greaterThan">
      <formula>$I$16</formula>
    </cfRule>
    <cfRule type="cellIs" dxfId="3328" priority="30" operator="lessThanOrEqual">
      <formula>$I$16</formula>
    </cfRule>
  </conditionalFormatting>
  <conditionalFormatting sqref="B10:F10">
    <cfRule type="cellIs" dxfId="3327" priority="31" operator="greaterThan">
      <formula>15</formula>
    </cfRule>
    <cfRule type="cellIs" dxfId="3326" priority="38" operator="lessThan">
      <formula>$I$9</formula>
    </cfRule>
    <cfRule type="cellIs" dxfId="3325" priority="39" operator="greaterThan">
      <formula>$I$9</formula>
    </cfRule>
  </conditionalFormatting>
  <conditionalFormatting sqref="B16:F16">
    <cfRule type="cellIs" dxfId="3324" priority="36" operator="greaterThan">
      <formula>$I$16</formula>
    </cfRule>
    <cfRule type="cellIs" dxfId="3323" priority="37" operator="lessThanOrEqual">
      <formula>$I$16</formula>
    </cfRule>
  </conditionalFormatting>
  <conditionalFormatting sqref="B15:F15">
    <cfRule type="cellIs" dxfId="3322" priority="34" operator="lessThanOrEqual">
      <formula>$I$16</formula>
    </cfRule>
    <cfRule type="cellIs" dxfId="3321" priority="35" operator="greaterThan">
      <formula>$I$16</formula>
    </cfRule>
  </conditionalFormatting>
  <conditionalFormatting sqref="B14:F14">
    <cfRule type="cellIs" dxfId="3320" priority="32" operator="greaterThan">
      <formula>$I$16</formula>
    </cfRule>
    <cfRule type="cellIs" dxfId="3319" priority="33" operator="lessThanOrEqual">
      <formula>$I$16</formula>
    </cfRule>
  </conditionalFormatting>
  <conditionalFormatting sqref="K6">
    <cfRule type="containsText" dxfId="3318" priority="27" operator="containsText" text="衰退">
      <formula>NOT(ISERROR(SEARCH("衰退",K6)))</formula>
    </cfRule>
    <cfRule type="containsText" dxfId="3317" priority="28" operator="containsText" text="成長">
      <formula>NOT(ISERROR(SEARCH("成長",K6)))</formula>
    </cfRule>
  </conditionalFormatting>
  <conditionalFormatting sqref="I4:K4">
    <cfRule type="cellIs" dxfId="3316" priority="25" operator="lessThan">
      <formula>0</formula>
    </cfRule>
    <cfRule type="cellIs" dxfId="331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314" priority="22" operator="lessThanOrEqual">
      <formula>$I$16</formula>
    </cfRule>
    <cfRule type="cellIs" dxfId="3313" priority="23" operator="greaterThan">
      <formula>$I$16</formula>
    </cfRule>
  </conditionalFormatting>
  <conditionalFormatting sqref="I6">
    <cfRule type="containsText" dxfId="3312" priority="20" operator="containsText" text="衰退">
      <formula>NOT(ISERROR(SEARCH("衰退",I6)))</formula>
    </cfRule>
    <cfRule type="containsText" dxfId="3311" priority="21" operator="containsText" text="成長">
      <formula>NOT(ISERROR(SEARCH("成長",I6)))</formula>
    </cfRule>
  </conditionalFormatting>
  <conditionalFormatting sqref="M9">
    <cfRule type="cellIs" dxfId="3310" priority="19" operator="lessThan">
      <formula>$I$9</formula>
    </cfRule>
  </conditionalFormatting>
  <conditionalFormatting sqref="M10">
    <cfRule type="cellIs" dxfId="3309" priority="18" operator="greaterThan">
      <formula>$I$9</formula>
    </cfRule>
  </conditionalFormatting>
  <conditionalFormatting sqref="M11">
    <cfRule type="cellIs" dxfId="330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307" priority="14" operator="lessThan">
      <formula>0</formula>
    </cfRule>
    <cfRule type="cellIs" dxfId="3306" priority="15" operator="greaterThan">
      <formula>0.5</formula>
    </cfRule>
  </conditionalFormatting>
  <conditionalFormatting sqref="N14">
    <cfRule type="cellIs" dxfId="330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304" priority="10" operator="lessThan">
      <formula>0.1</formula>
    </cfRule>
  </conditionalFormatting>
  <conditionalFormatting sqref="I14">
    <cfRule type="cellIs" dxfId="330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30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301" priority="1" operator="lessThan">
      <formula>$N$5*0.9</formula>
    </cfRule>
    <cfRule type="cellIs" dxfId="3300" priority="2" operator="greaterThan">
      <formula>$N$5*1.1</formula>
    </cfRule>
  </conditionalFormatting>
  <hyperlinks>
    <hyperlink ref="L1" location="儀表板!A1" display="(回首頁)" xr:uid="{00000000-0004-0000-3B00-000000000000}"/>
  </hyperlink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5.66 ~ 27.29</v>
      </c>
      <c r="L1" s="83" t="s">
        <v>176</v>
      </c>
      <c r="M1" s="84" t="str">
        <f ca="1">VLOOKUP(_xlfn.NUMBERVALUE(N1),儀表板!A:B,2,FALSE)</f>
        <v>鑫禾</v>
      </c>
      <c r="N1" s="85" t="str">
        <f ca="1">MID(CELL("filename",L1),FIND("]",CELL("filename",L1))+1,255)</f>
        <v>4999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0.26687903883454139</v>
      </c>
    </row>
    <row r="3" spans="1:15" s="93" customFormat="1" x14ac:dyDescent="0.25">
      <c r="A3" s="81" t="s">
        <v>179</v>
      </c>
      <c r="B3" s="94">
        <f>SUM(F19:F22,F24:F27,J19)</f>
        <v>73.355998295635189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43.420134909865062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45.050242363819045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47.17432177351666</v>
      </c>
      <c r="L3" s="100"/>
      <c r="M3" s="79" t="s">
        <v>385</v>
      </c>
      <c r="N3" s="92">
        <f>(F69-E69)/E69</f>
        <v>-0.20942461863259149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7.44</v>
      </c>
      <c r="E4" s="82">
        <f>(D4-F4)/F4</f>
        <v>0</v>
      </c>
      <c r="F4" s="103">
        <v>7.44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4.854132841595888</v>
      </c>
    </row>
    <row r="5" spans="1:15" s="93" customFormat="1" x14ac:dyDescent="0.25">
      <c r="A5" s="81" t="s">
        <v>184</v>
      </c>
      <c r="B5" s="107">
        <f>SUM(F30:F34)*2</f>
        <v>97.200325732899017</v>
      </c>
      <c r="C5" s="87"/>
      <c r="D5" s="87"/>
      <c r="E5" s="87"/>
      <c r="F5" s="86"/>
      <c r="G5" s="88"/>
      <c r="M5" s="79" t="s">
        <v>386</v>
      </c>
      <c r="N5" s="152">
        <f>D62</f>
        <v>5.71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5.1849921794298828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15.09</v>
      </c>
      <c r="N9" s="129"/>
    </row>
    <row r="10" spans="1:15" s="93" customFormat="1" x14ac:dyDescent="0.25">
      <c r="A10" s="123" t="s">
        <v>194</v>
      </c>
      <c r="B10" s="126">
        <f>PERCENTILE(176:176,B9)</f>
        <v>8</v>
      </c>
      <c r="C10" s="126">
        <f>PERCENTILE(176:176,C9)</f>
        <v>8.7899999999999991</v>
      </c>
      <c r="D10" s="126">
        <f>PERCENTILE(176:176,D9)</f>
        <v>9.1199999999999992</v>
      </c>
      <c r="E10" s="126">
        <f>PERCENTILE(176:176,E9)</f>
        <v>9.5500000000000007</v>
      </c>
      <c r="F10" s="126">
        <f>PERCENTILE(176:176,F9)</f>
        <v>11.21</v>
      </c>
      <c r="G10" s="95"/>
      <c r="H10" s="135"/>
      <c r="I10" s="135"/>
      <c r="J10" s="135"/>
      <c r="K10" s="135"/>
      <c r="L10" s="136" t="s">
        <v>374</v>
      </c>
      <c r="M10" s="130">
        <f>MIN(176:176)</f>
        <v>6.31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40.18</v>
      </c>
      <c r="L11" s="272" t="s">
        <v>193</v>
      </c>
      <c r="M11" s="128">
        <f>STDEV(176:176)</f>
        <v>2.0621775720819366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45.868347338935578</v>
      </c>
      <c r="C13" s="141">
        <f>$B$34/5.88%</f>
        <v>55.697278911564624</v>
      </c>
      <c r="D13" s="141">
        <f>$B$34/5%</f>
        <v>65.5</v>
      </c>
      <c r="E13" s="141">
        <f>$B$34/4.35%</f>
        <v>75.287356321839084</v>
      </c>
      <c r="F13" s="141">
        <f>$B$34/3.85%</f>
        <v>85.064935064935057</v>
      </c>
      <c r="G13" s="138" t="str">
        <f>"$"&amp;ROUND(B34,2)&amp;"/"&amp;IF(STDEV(C140:F140)/AVERAGE(C140:F140)&lt;15%,"高",IF(STDEV(C140:F140)/AVERAGE(C140:F140)&lt;30%,"中","低"))</f>
        <v>$3.28/高</v>
      </c>
      <c r="H13" s="142" t="s">
        <v>199</v>
      </c>
      <c r="I13" s="143">
        <f>MAX(0,1-J15)</f>
        <v>0.49511400651465798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49.12</v>
      </c>
      <c r="C14" s="141">
        <f>$B$33*C10</f>
        <v>53.97059999999999</v>
      </c>
      <c r="D14" s="141">
        <f>$B$33*D10</f>
        <v>55.996799999999993</v>
      </c>
      <c r="E14" s="141">
        <f>$B$33*E10</f>
        <v>58.637</v>
      </c>
      <c r="F14" s="141">
        <f>$B$33*F10</f>
        <v>68.829400000000007</v>
      </c>
      <c r="G14" s="138" t="str">
        <f>"$"&amp;ROUND(B33,2)&amp;"/"&amp;IF(STDEV(B69:E69)/AVERAGE(B69:E69)&lt;15%,"高",IF(STDEV(B69:E69)/AVERAGE(B69:E69)&lt;30%,"中","低"))</f>
        <v>$6.14/高</v>
      </c>
      <c r="H14" s="142" t="s">
        <v>203</v>
      </c>
      <c r="I14" s="145">
        <f>G62/100*I13</f>
        <v>7.1345928338762216E-2</v>
      </c>
      <c r="J14" s="76" t="s">
        <v>204</v>
      </c>
      <c r="K14" s="146"/>
      <c r="L14" s="147">
        <f>(HLOOKUP($C$1,$105:$106,2,FALSE)-HLOOKUP($C$1,$117:$127,9,FALSE))/(HLOOKUP($C$1,$117:$128,12,FALSE)/K11)</f>
        <v>12.598340296228463</v>
      </c>
      <c r="M14" s="148">
        <f>E135/E69</f>
        <v>0.98697068403908794</v>
      </c>
      <c r="N14" s="149">
        <f>F173/100</f>
        <v>0.85809999999999997</v>
      </c>
    </row>
    <row r="15" spans="1:15" s="93" customFormat="1" x14ac:dyDescent="0.25">
      <c r="A15" s="140" t="s">
        <v>375</v>
      </c>
      <c r="B15" s="141">
        <f>$D$62*B10</f>
        <v>45.68</v>
      </c>
      <c r="C15" s="141">
        <f>$D$62*C10</f>
        <v>50.190899999999992</v>
      </c>
      <c r="D15" s="141">
        <f>$D$62*D10</f>
        <v>52.075199999999995</v>
      </c>
      <c r="E15" s="141">
        <f>$D$62*E10</f>
        <v>54.530500000000004</v>
      </c>
      <c r="F15" s="141">
        <f>$D$62*F10</f>
        <v>64.009100000000004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0.50488599348534202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38.833062732767104</v>
      </c>
      <c r="C16" s="141">
        <f>$F$69*C10</f>
        <v>42.667827677627848</v>
      </c>
      <c r="D16" s="141">
        <f>$F$69*D10</f>
        <v>44.269691515354495</v>
      </c>
      <c r="E16" s="141">
        <f>$F$69*E10</f>
        <v>46.356968637240733</v>
      </c>
      <c r="F16" s="141">
        <f>$F$69*F10</f>
        <v>54.414829154289912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158</v>
      </c>
      <c r="J17" s="92">
        <f ca="1">IF(I17&lt;=0,"",IF(I17&lt;=MIN($B$13:$F$16),(I17-MIN($B$13:$F$16))/MIN($B$13:$F$16),IF(I17&gt;=MAX($B$13:$F$16),I17/MAX($B$13:$F$16),PERCENTRANK($B$13:$F$16,I17))))</f>
        <v>1.857404580152672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2.5475000000000003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0.77786259541984748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4</v>
      </c>
      <c r="G20" s="88" t="s">
        <v>213</v>
      </c>
      <c r="H20" s="123" t="s">
        <v>219</v>
      </c>
      <c r="I20" s="237">
        <f>HLOOKUP($C$1,$117:$127,11,FALSE)*(1-N22)/HLOOKUP($C$1,$105:$115,11,FALSE)</f>
        <v>0.15050724993122214</v>
      </c>
      <c r="J20" s="171">
        <f>HLOOKUP($C$1,$117:$127,11,FALSE)/HLOOKUP($C$1,$105:$115,11,FALSE)</f>
        <v>0.21226735494272778</v>
      </c>
      <c r="K20" s="163"/>
    </row>
    <row r="21" spans="1:14" s="93" customFormat="1" x14ac:dyDescent="0.25">
      <c r="A21" s="151" t="s">
        <v>201</v>
      </c>
      <c r="B21" s="161">
        <f>AVERAGE(C173:F173)/100</f>
        <v>1.1124749999999999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3.7866088013622887</v>
      </c>
      <c r="J21" s="78"/>
      <c r="K21" s="164" t="s">
        <v>356</v>
      </c>
      <c r="L21" s="165">
        <f>HLOOKUP($C$1,$105:$115,7,FALSE)/HLOOKUP($C$1,$105:$115,11,FALSE)</f>
        <v>0.65266068956986656</v>
      </c>
      <c r="M21" s="123" t="s">
        <v>268</v>
      </c>
      <c r="N21" s="165">
        <f>HLOOKUP($C$1,$117:$127,8,FALSE)/HLOOKUP($C$1,$117:$127,11,FALSE)</f>
        <v>0.81199584557286009</v>
      </c>
    </row>
    <row r="22" spans="1:14" s="93" customFormat="1" x14ac:dyDescent="0.25">
      <c r="A22" s="140" t="s">
        <v>222</v>
      </c>
      <c r="B22" s="161">
        <f>(-1)*SUM(C133:F133)/SUM(C132:F132)</f>
        <v>0.62342941611234293</v>
      </c>
      <c r="C22" s="157"/>
      <c r="D22" s="166"/>
      <c r="E22" s="140"/>
      <c r="F22" s="159">
        <f>IF(B22&lt;=0,10,IF(B22&gt;=100%,0,(1-B22)*10))</f>
        <v>3.7657058388765705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3.4296498850066275</v>
      </c>
      <c r="J22" s="78"/>
      <c r="K22" s="142" t="s">
        <v>357</v>
      </c>
      <c r="L22" s="165">
        <f>HLOOKUP($C$1,$105:$115,4,FALSE)/HLOOKUP($C$1,$105:$115,11,FALSE)</f>
        <v>0.2954043070925419</v>
      </c>
      <c r="M22" s="123" t="s">
        <v>353</v>
      </c>
      <c r="N22" s="165">
        <f>HLOOKUP($C$1,$117:$127,4,FALSE)/HLOOKUP($C$1,$117:$127,11,FALSE)</f>
        <v>0.2909543251630437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1.2694662412109312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6.1525513914451026E-2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142.86000000000001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4.3767767609793964E-2</v>
      </c>
      <c r="M24" s="123" t="s">
        <v>355</v>
      </c>
      <c r="N24" s="165">
        <f>HLOOKUP($C$1,$117:$127,9,FALSE)/HLOOKUP($C$1,$117:$127,11,FALSE)</f>
        <v>0.18800415442713991</v>
      </c>
    </row>
    <row r="25" spans="1:14" s="93" customFormat="1" x14ac:dyDescent="0.25">
      <c r="A25" s="151" t="s">
        <v>366</v>
      </c>
      <c r="B25" s="255">
        <f>AVERAGE(94:94)</f>
        <v>6035.217391304348</v>
      </c>
      <c r="C25" s="254">
        <f>STDEV(94:94)/AVERAGE(94:94)</f>
        <v>4.4097075432413781</v>
      </c>
      <c r="D25" s="76" t="str">
        <f>IF(C25&lt;=1,"高",IF(C25&lt;=2,"中","低"))</f>
        <v>低</v>
      </c>
      <c r="E25" s="149"/>
      <c r="F25" s="160">
        <f>MAX(0,10-ABS(C25))</f>
        <v>5.5902924567586219</v>
      </c>
      <c r="G25" s="88" t="s">
        <v>213</v>
      </c>
      <c r="H25" s="123" t="s">
        <v>232</v>
      </c>
      <c r="I25" s="170">
        <f>IF(HLOOKUP(C1,167:170,3,FALSE)="無",0,HLOOKUP(C1,167:170,3,FALSE))</f>
        <v>52.02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142.7957142857143</v>
      </c>
      <c r="C26" s="172">
        <f>IF(COUNTIF(168:168,"&gt;0")=0,0,STDEV(168:168))</f>
        <v>33.893120330153806</v>
      </c>
      <c r="D26" s="76" t="str">
        <f>IF(C26&lt;=15,"高",IF(C26&lt;=30,"中","低"))</f>
        <v>低</v>
      </c>
      <c r="E26" s="149"/>
      <c r="F26" s="160">
        <f>IF(I24&lt;=60,4,IF(I24&lt;=90,3,IF(I24&lt;=120,2,IF(I24&lt;=150,1,0))))+IF(D26="高",6,IF(D26="中",4,2))</f>
        <v>3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58.931904761904761</v>
      </c>
      <c r="C27" s="172">
        <f>IF(COUNTIF(169:169,"&gt;0")=0,0,STDEV(169:169))</f>
        <v>9.5091732653515706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0.36117500000000002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0.19535</v>
      </c>
      <c r="C31" s="157" t="s">
        <v>217</v>
      </c>
      <c r="D31" s="174">
        <f>COUNTIF(149:149,"&gt;8")/COUNT(149:149)</f>
        <v>0.95238095238095233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17.987500000000001</v>
      </c>
      <c r="C32" s="157" t="s">
        <v>217</v>
      </c>
      <c r="D32" s="174">
        <f>COUNTIF(159:159,"&gt;3")/COUNT(159:159)</f>
        <v>0.80952380952380953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6.14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3.2749999999999999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8.6001628664495122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2283682</v>
      </c>
      <c r="C36" s="178">
        <f>STDEV(C97:F97)</f>
        <v>174201.35769275739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36.1175</v>
      </c>
      <c r="C37" s="180">
        <f>STDEV(C152:F152)</f>
        <v>1.437529709837909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22.732499999999998</v>
      </c>
      <c r="C38" s="180">
        <f>STDEV(C153:F153)</f>
        <v>1.3107599576835824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17.987500000000001</v>
      </c>
      <c r="C39" s="181">
        <f>STDEV(C165:F165)</f>
        <v>2.5680650952289503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6.14</v>
      </c>
      <c r="C40" s="183">
        <f>STDEV(B69:E69)</f>
        <v>0.4255192905928788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-0.1666666666666666</v>
      </c>
      <c r="C44" s="186">
        <f>(C46-C49)/C49</f>
        <v>9.9236641221373961E-2</v>
      </c>
      <c r="D44" s="186">
        <f>(D46-D49)/D49</f>
        <v>-0.39344262295081966</v>
      </c>
      <c r="E44" s="186">
        <f>(E46-E49)/E49</f>
        <v>0.16751269035532987</v>
      </c>
      <c r="G44" s="86" t="s">
        <v>175</v>
      </c>
      <c r="H44" s="186">
        <f>(H47-H50)/H50</f>
        <v>-0.11581137309292644</v>
      </c>
      <c r="I44" s="186">
        <f>(I47-I50)/I50</f>
        <v>-4.6855733662145363E-2</v>
      </c>
      <c r="J44" s="186">
        <f>(J47-J50)/J50</f>
        <v>0.62773722627737205</v>
      </c>
      <c r="K44" s="186">
        <f>(K47-K50)/K50</f>
        <v>2.6774330641733957E-2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1.6</v>
      </c>
      <c r="C46" s="152">
        <f>HLOOKUP(C45,$81:$82,2,FALSE)</f>
        <v>1.44</v>
      </c>
      <c r="D46" s="152">
        <f>HLOOKUP(D45,$81:$82,2,FALSE)</f>
        <v>0.37</v>
      </c>
      <c r="E46" s="152">
        <f>HLOOKUP(E45,$81:$82,2,FALSE)</f>
        <v>2.2999999999999998</v>
      </c>
      <c r="G46" s="86" t="s">
        <v>164</v>
      </c>
      <c r="H46" s="145">
        <f>HLOOKUP(H45,$145:$147,2,FALSE)/100</f>
        <v>0.37209999999999999</v>
      </c>
      <c r="I46" s="145">
        <f>HLOOKUP(I45,$145:$147,2,FALSE)/100</f>
        <v>0.35830000000000001</v>
      </c>
      <c r="J46" s="145">
        <f>HLOOKUP(J45,$145:$147,2,FALSE)/100</f>
        <v>0.34509999999999996</v>
      </c>
      <c r="K46" s="145">
        <f>HLOOKUP(K45,$145:$147,2,FALSE)/100</f>
        <v>0.37229999999999996</v>
      </c>
    </row>
    <row r="47" spans="1:14" x14ac:dyDescent="0.25">
      <c r="A47" s="188" t="s">
        <v>165</v>
      </c>
      <c r="B47" s="189">
        <f>HLOOKUP(B45,$157:$159,3,FALSE)</f>
        <v>4.07</v>
      </c>
      <c r="C47" s="189">
        <f>HLOOKUP(C45,$157:$159,3,FALSE)</f>
        <v>3.64</v>
      </c>
      <c r="D47" s="189">
        <f>HLOOKUP(D45,$157:$159,3,FALSE)</f>
        <v>0.9</v>
      </c>
      <c r="E47" s="189">
        <f>HLOOKUP(E45,$157:$159,3,FALSE)</f>
        <v>5.8</v>
      </c>
      <c r="G47" s="190" t="s">
        <v>166</v>
      </c>
      <c r="H47" s="145">
        <f>HLOOKUP(H45,$145:$147,3,FALSE)/100</f>
        <v>0.255</v>
      </c>
      <c r="I47" s="145">
        <f>HLOOKUP(I45,$145:$147,3,FALSE)/100</f>
        <v>0.23190000000000002</v>
      </c>
      <c r="J47" s="145">
        <f>HLOOKUP(J45,$145:$147,3,FALSE)/100</f>
        <v>0.20069999999999999</v>
      </c>
      <c r="K47" s="145">
        <f>HLOOKUP(K45,$145:$147,3,FALSE)/100</f>
        <v>0.24160000000000001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1.92</v>
      </c>
      <c r="C49" s="152">
        <f>HLOOKUP(C48,$81:$82,2,FALSE)</f>
        <v>1.31</v>
      </c>
      <c r="D49" s="152">
        <f>HLOOKUP(D48,$81:$82,2,FALSE)</f>
        <v>0.61</v>
      </c>
      <c r="E49" s="152">
        <f>HLOOKUP(E48,$81:$82,2,FALSE)</f>
        <v>1.97</v>
      </c>
      <c r="G49" s="86" t="s">
        <v>164</v>
      </c>
      <c r="H49" s="145">
        <f>HLOOKUP(H48,$145:$147,2,FALSE)/100</f>
        <v>0.38689999999999997</v>
      </c>
      <c r="I49" s="145">
        <f>HLOOKUP(I48,$145:$147,2,FALSE)/100</f>
        <v>0.35920000000000002</v>
      </c>
      <c r="J49" s="145">
        <f>HLOOKUP(J48,$145:$147,2,FALSE)/100</f>
        <v>0.28610000000000002</v>
      </c>
      <c r="K49" s="145">
        <f>HLOOKUP(K48,$145:$147,2,FALSE)/100</f>
        <v>0.35969999999999996</v>
      </c>
    </row>
    <row r="50" spans="1:15" x14ac:dyDescent="0.25">
      <c r="A50" s="188" t="s">
        <v>165</v>
      </c>
      <c r="B50" s="189">
        <f>HLOOKUP(B48,$157:$159,3,FALSE)</f>
        <v>5.12</v>
      </c>
      <c r="C50" s="189">
        <f>HLOOKUP(C48,$157:$159,3,FALSE)</f>
        <v>3.5</v>
      </c>
      <c r="D50" s="189">
        <f>HLOOKUP(D48,$157:$159,3,FALSE)</f>
        <v>1.59</v>
      </c>
      <c r="E50" s="189">
        <f>HLOOKUP(E48,$157:$159,3,FALSE)</f>
        <v>5.33</v>
      </c>
      <c r="G50" s="190" t="s">
        <v>166</v>
      </c>
      <c r="H50" s="145">
        <f>HLOOKUP(H48,$145:$147,3,FALSE)/100</f>
        <v>0.28839999999999999</v>
      </c>
      <c r="I50" s="145">
        <f>HLOOKUP(I48,$145:$147,3,FALSE)/100</f>
        <v>0.24329999999999999</v>
      </c>
      <c r="J50" s="145">
        <f>HLOOKUP(J48,$145:$147,3,FALSE)/100</f>
        <v>0.12330000000000001</v>
      </c>
      <c r="K50" s="145">
        <f>HLOOKUP(K48,$145:$147,3,FALSE)/100</f>
        <v>0.23530000000000001</v>
      </c>
    </row>
    <row r="51" spans="1:15" x14ac:dyDescent="0.25">
      <c r="A51" s="86" t="s">
        <v>351</v>
      </c>
      <c r="B51" s="186">
        <f>(B47-B50)/B50</f>
        <v>-0.20507812499999997</v>
      </c>
      <c r="C51" s="186">
        <f>(C47-C50)/C50</f>
        <v>4.0000000000000036E-2</v>
      </c>
      <c r="D51" s="186">
        <f>(D47-D50)/D50</f>
        <v>-0.43396226415094341</v>
      </c>
      <c r="E51" s="186">
        <f>(E47-E50)/E50</f>
        <v>8.818011257035642E-2</v>
      </c>
      <c r="G51" s="235" t="s">
        <v>174</v>
      </c>
      <c r="H51" s="186">
        <f>(H46-H49)/H49</f>
        <v>-3.825277849573528E-2</v>
      </c>
      <c r="I51" s="186">
        <f>(I46-I49)/I49</f>
        <v>-2.5055679287305454E-3</v>
      </c>
      <c r="J51" s="186">
        <f>(J46-J49)/J49</f>
        <v>0.20622160083886731</v>
      </c>
      <c r="K51" s="186">
        <f>(K46-K49)/K49</f>
        <v>3.5029190992493749E-2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5.1849921794298828</v>
      </c>
      <c r="B53" s="193">
        <f>B46</f>
        <v>1.6</v>
      </c>
      <c r="C53" s="193">
        <f>E46/HLOOKUP(E45,$87:$94,5,FALSE)*HLOOKUP(E45,$87:$94,4,FALSE)*($B$25/HLOOKUP(E45,$87:$94,4,FALSE)+SUM($B$57:$D$57)/SUM($B58:$D$58)*$G$69/100/K46)</f>
        <v>1.4441328415958883</v>
      </c>
      <c r="D53" s="193">
        <f>D46/HLOOKUP(D45,$87:$94,5,FALSE)*HLOOKUP(D45,$87:$94,4,FALSE)*($B$25/HLOOKUP(D45,$87:$94,4,FALSE)+SUM($B$57:$D$57)/SUM($B58:$D$58)*$G$69/100/J46)</f>
        <v>0.91899797323091592</v>
      </c>
      <c r="E53" s="193">
        <f>C46/HLOOKUP(C45,$87:$94,5,FALSE)*HLOOKUP(C45,$87:$94,4,FALSE)*($B$25/HLOOKUP(C45,$87:$94,4,FALSE)+SUM($B$57:$D$57)/SUM($B58:$D$58)*$G$69/100/I46)</f>
        <v>1.2218613646030785</v>
      </c>
    </row>
    <row r="54" spans="1:15" x14ac:dyDescent="0.25">
      <c r="A54" s="278">
        <f>SUM(B54:E54)</f>
        <v>6.0299999999999994</v>
      </c>
      <c r="B54" s="277">
        <f t="shared" ref="B54:D54" si="0">HLOOKUP(B52-10,81:82,2,FALSE)</f>
        <v>1.92</v>
      </c>
      <c r="C54" s="277">
        <f t="shared" si="0"/>
        <v>2.2999999999999998</v>
      </c>
      <c r="D54" s="277">
        <f t="shared" si="0"/>
        <v>0.37</v>
      </c>
      <c r="E54" s="277">
        <f>HLOOKUP(E52-10,81:82,2,FALSE)</f>
        <v>1.44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208537</v>
      </c>
      <c r="C57" s="196">
        <f>HLOOKUP(C56,78:79,2,FALSE)</f>
        <v>233137</v>
      </c>
      <c r="D57" s="196">
        <f>HLOOKUP(D56,78:79,2,FALSE)</f>
        <v>238543</v>
      </c>
      <c r="E57" s="196">
        <f>HLOOKUP(E56,78:79,2,FALSE)</f>
        <v>196654</v>
      </c>
      <c r="F57" s="196">
        <f>HLOOKUP(F56,78:79,2,FALSE)</f>
        <v>259171</v>
      </c>
      <c r="G57" s="196">
        <f t="shared" ref="G57:M57" si="2">HLOOKUP(G56,78:79,2,FALSE)</f>
        <v>209099</v>
      </c>
      <c r="H57" s="196">
        <f t="shared" si="2"/>
        <v>196584</v>
      </c>
      <c r="I57" s="196">
        <f t="shared" si="2"/>
        <v>177083</v>
      </c>
      <c r="J57" s="196">
        <f t="shared" si="2"/>
        <v>178807</v>
      </c>
      <c r="K57" s="196">
        <f t="shared" si="2"/>
        <v>120569</v>
      </c>
      <c r="L57" s="196">
        <f t="shared" si="2"/>
        <v>252597</v>
      </c>
      <c r="M57" s="196">
        <f t="shared" si="2"/>
        <v>238897</v>
      </c>
      <c r="N57" s="197"/>
    </row>
    <row r="58" spans="1:15" x14ac:dyDescent="0.25">
      <c r="A58" s="198" t="s">
        <v>253</v>
      </c>
      <c r="B58" s="196">
        <f>HLOOKUP(B56-100,78:79,2,FALSE)</f>
        <v>223639</v>
      </c>
      <c r="C58" s="196">
        <f>HLOOKUP(C56-100,78:79,2,FALSE)</f>
        <v>291451</v>
      </c>
      <c r="D58" s="196">
        <f>HLOOKUP(D56-100,78:79,2,FALSE)</f>
        <v>240003</v>
      </c>
      <c r="E58" s="196">
        <f>HLOOKUP(E56-100,78:79,2,FALSE)</f>
        <v>185751</v>
      </c>
      <c r="F58" s="196">
        <f>HLOOKUP(F56-100,78:79,2,FALSE)</f>
        <v>232892</v>
      </c>
      <c r="G58" s="196">
        <f t="shared" ref="G58:M58" si="3">HLOOKUP(G56-100,78:79,2,FALSE)</f>
        <v>177217</v>
      </c>
      <c r="H58" s="196">
        <f t="shared" si="3"/>
        <v>195671</v>
      </c>
      <c r="I58" s="196">
        <f t="shared" si="3"/>
        <v>149721</v>
      </c>
      <c r="J58" s="196">
        <f t="shared" si="3"/>
        <v>116153</v>
      </c>
      <c r="K58" s="196">
        <f t="shared" si="3"/>
        <v>152948</v>
      </c>
      <c r="L58" s="196">
        <f t="shared" si="3"/>
        <v>219145</v>
      </c>
      <c r="M58" s="196">
        <f t="shared" si="3"/>
        <v>203442</v>
      </c>
      <c r="N58" s="197"/>
    </row>
    <row r="59" spans="1:15" x14ac:dyDescent="0.25">
      <c r="A59" s="199" t="s">
        <v>254</v>
      </c>
      <c r="B59" s="165">
        <f>IF(B57&lt;&gt;"",(B57-B58)/B58,"")</f>
        <v>-6.7528472225327429E-2</v>
      </c>
      <c r="C59" s="165">
        <f>IF(C57&lt;&gt;"",(C57-C58)/C58,"")</f>
        <v>-0.20008166038201963</v>
      </c>
      <c r="D59" s="165">
        <f>IF(D57&lt;&gt;"",(D57-D58)/D58,"")</f>
        <v>-6.083257292617176E-3</v>
      </c>
      <c r="E59" s="165">
        <f>IF(E57&lt;&gt;"",(E57-E58)/E58,"")</f>
        <v>5.8696857621224112E-2</v>
      </c>
      <c r="F59" s="165">
        <f>IF(F57&lt;&gt;"",(F57-F58)/F58,"")</f>
        <v>0.11283771018326091</v>
      </c>
      <c r="G59" s="165">
        <f t="shared" ref="G59:M59" si="4">IF(G57&lt;&gt;"",(G57-G58)/G58,"")</f>
        <v>0.17990373384043293</v>
      </c>
      <c r="H59" s="165">
        <f t="shared" si="4"/>
        <v>4.6659954719912508E-3</v>
      </c>
      <c r="I59" s="165">
        <f t="shared" si="4"/>
        <v>0.1827532543864922</v>
      </c>
      <c r="J59" s="165">
        <f t="shared" si="4"/>
        <v>0.53940922748443865</v>
      </c>
      <c r="K59" s="165">
        <f t="shared" si="4"/>
        <v>-0.21169940110364308</v>
      </c>
      <c r="L59" s="165">
        <f t="shared" si="4"/>
        <v>0.15264779027584477</v>
      </c>
      <c r="M59" s="165">
        <f t="shared" si="4"/>
        <v>0.17427571494578306</v>
      </c>
    </row>
    <row r="60" spans="1:15" x14ac:dyDescent="0.25">
      <c r="A60" s="195" t="s">
        <v>255</v>
      </c>
      <c r="B60" s="196">
        <f>SUM(B57:M57)</f>
        <v>2509678</v>
      </c>
    </row>
    <row r="61" spans="1:15" x14ac:dyDescent="0.25">
      <c r="A61" s="198" t="s">
        <v>256</v>
      </c>
      <c r="B61" s="196">
        <f>SUM(B58:M58)</f>
        <v>2388033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1.0509394133163152</v>
      </c>
      <c r="D62" s="152">
        <f>SUM(B46:E46)</f>
        <v>5.71</v>
      </c>
      <c r="E62" s="152">
        <f>SUM(B49:E49)</f>
        <v>5.81</v>
      </c>
      <c r="G62" s="126">
        <f>SUM(B47:E47)</f>
        <v>14.41</v>
      </c>
      <c r="H62" s="126">
        <f>SUM(B50:E50)</f>
        <v>15.540000000000001</v>
      </c>
      <c r="J62" s="200">
        <f>AVERAGE(H46:K46)</f>
        <v>0.36194999999999999</v>
      </c>
      <c r="K62" s="200">
        <f>AVERAGE(H49:K49)</f>
        <v>0.34797499999999998</v>
      </c>
      <c r="M62" s="200">
        <f>AVERAGE(H47:K47)</f>
        <v>0.23230000000000001</v>
      </c>
      <c r="N62" s="200">
        <f>AVERAGE(H50:K50)</f>
        <v>0.22257499999999997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1.42</v>
      </c>
      <c r="C65" s="205">
        <f t="shared" si="5"/>
        <v>0.92</v>
      </c>
      <c r="D65" s="205">
        <f t="shared" si="5"/>
        <v>1.1200000000000001</v>
      </c>
      <c r="E65" s="205">
        <f t="shared" si="5"/>
        <v>0.61</v>
      </c>
      <c r="F65" s="206">
        <f>IF(ISNA(HLOOKUP(F$64*10+$A65,$81:$82,2,FALSE)),(HLOOKUP(E$64*10+$A65,$87:$94,4,FALSE)*$G65+$B$25)/HLOOKUP(E$64*10+$A65,$87:$94,5,FALSE)*$E65,HLOOKUP(F$64*10+$A65,$81:$82,2,FALSE))</f>
        <v>0.37</v>
      </c>
      <c r="G65" s="101">
        <f>MIN(130%,SUM($B$57:$D$57)/SUM($B$58:$D$58)*$G$69/HLOOKUP(E$64*10+$A65,$145:$146,2,FALSE))</f>
        <v>1.0370131661533699</v>
      </c>
      <c r="H65" s="204">
        <v>1</v>
      </c>
      <c r="I65" s="208">
        <f t="shared" ref="I65:M68" si="6">IF(ISNA(HLOOKUP(I$64*10+$H65,$145:$147,3,FALSE)),"",HLOOKUP(I$64*10+$H65,$145:$147,3,FALSE)/100)</f>
        <v>0.20309999999999997</v>
      </c>
      <c r="J65" s="208">
        <f t="shared" si="6"/>
        <v>0.16250000000000001</v>
      </c>
      <c r="K65" s="208">
        <f t="shared" si="6"/>
        <v>0.18239999999999998</v>
      </c>
      <c r="L65" s="208">
        <f t="shared" si="6"/>
        <v>0.12330000000000001</v>
      </c>
      <c r="M65" s="209">
        <f t="shared" si="6"/>
        <v>0.20069999999999999</v>
      </c>
      <c r="N65" s="256">
        <f t="shared" ref="N65:O68" si="7">HLOOKUP(E$64*10+$A65,$87:$94,8,FALSE)</f>
        <v>2319</v>
      </c>
      <c r="O65" s="256">
        <f t="shared" si="7"/>
        <v>-60100</v>
      </c>
      <c r="P65" s="210"/>
    </row>
    <row r="66" spans="1:71" x14ac:dyDescent="0.25">
      <c r="A66" s="204">
        <v>2</v>
      </c>
      <c r="B66" s="205">
        <f t="shared" si="5"/>
        <v>1.2</v>
      </c>
      <c r="C66" s="205">
        <f t="shared" si="5"/>
        <v>1.88</v>
      </c>
      <c r="D66" s="205">
        <f t="shared" si="5"/>
        <v>0.73</v>
      </c>
      <c r="E66" s="205">
        <f t="shared" si="5"/>
        <v>1.31</v>
      </c>
      <c r="F66" s="206">
        <f>IF(ISNA(HLOOKUP(F$64*10+$A66,$81:$82,2,FALSE)),(HLOOKUP(E$64*10+$A66,$87:$94,4,FALSE)*$G66+$B$25)/HLOOKUP(E$64*10+$A66,$87:$94,5,FALSE)*$E66,HLOOKUP(F$64*10+$A66,$81:$82,2,FALSE))</f>
        <v>1.44</v>
      </c>
      <c r="G66" s="101">
        <f>MIN(130%,SUM($B$57:$D$57)/SUM($B$58:$D$58)*$G$69/HLOOKUP(E$64*10+$A66,$145:$146,2,FALSE))</f>
        <v>0.8259729032195966</v>
      </c>
      <c r="H66" s="204">
        <v>2</v>
      </c>
      <c r="I66" s="208">
        <f t="shared" si="6"/>
        <v>0.20929999999999999</v>
      </c>
      <c r="J66" s="208">
        <f t="shared" si="6"/>
        <v>0.28300000000000003</v>
      </c>
      <c r="K66" s="208">
        <f t="shared" si="6"/>
        <v>0.19</v>
      </c>
      <c r="L66" s="208">
        <f t="shared" si="6"/>
        <v>0.24329999999999999</v>
      </c>
      <c r="M66" s="209">
        <f t="shared" si="6"/>
        <v>0.23190000000000002</v>
      </c>
      <c r="N66" s="256">
        <f t="shared" si="7"/>
        <v>-3493</v>
      </c>
      <c r="O66" s="256">
        <f t="shared" si="7"/>
        <v>3393</v>
      </c>
      <c r="P66" s="210"/>
    </row>
    <row r="67" spans="1:71" x14ac:dyDescent="0.25">
      <c r="A67" s="204">
        <v>3</v>
      </c>
      <c r="B67" s="205">
        <f t="shared" si="5"/>
        <v>1.27</v>
      </c>
      <c r="C67" s="205">
        <f t="shared" si="5"/>
        <v>1.75</v>
      </c>
      <c r="D67" s="205">
        <f t="shared" si="5"/>
        <v>2.06</v>
      </c>
      <c r="E67" s="205">
        <f t="shared" si="5"/>
        <v>1.92</v>
      </c>
      <c r="F67" s="206">
        <f>IF(ISNA(HLOOKUP(F$64*10+$A67,$81:$82,2,FALSE)),(HLOOKUP(E$64*10+$A67,$87:$94,4,FALSE)*$G67+$B$25)/HLOOKUP(E$64*10+$A67,$87:$94,5,FALSE)*$E67,HLOOKUP(F$64*10+$A67,$81:$82,2,FALSE))</f>
        <v>1.6</v>
      </c>
      <c r="G67" s="101">
        <f>MIN(130%,SUM($B$57:$D$57)/SUM($B$58:$D$58)*$G$69/HLOOKUP(E$64*10+$A67,$145:$146,2,FALSE))</f>
        <v>0.76683759844011146</v>
      </c>
      <c r="H67" s="204">
        <v>3</v>
      </c>
      <c r="I67" s="208">
        <f t="shared" si="6"/>
        <v>0.22450000000000001</v>
      </c>
      <c r="J67" s="208">
        <f t="shared" si="6"/>
        <v>0.24609999999999999</v>
      </c>
      <c r="K67" s="208">
        <f t="shared" si="6"/>
        <v>0.21780000000000002</v>
      </c>
      <c r="L67" s="208">
        <f t="shared" si="6"/>
        <v>0.28839999999999999</v>
      </c>
      <c r="M67" s="209">
        <f t="shared" si="6"/>
        <v>0.255</v>
      </c>
      <c r="N67" s="256">
        <f t="shared" si="7"/>
        <v>-18009</v>
      </c>
      <c r="O67" s="256">
        <f t="shared" si="7"/>
        <v>-15333</v>
      </c>
      <c r="P67" s="210"/>
    </row>
    <row r="68" spans="1:71" x14ac:dyDescent="0.25">
      <c r="A68" s="204">
        <v>4</v>
      </c>
      <c r="B68" s="205">
        <f>HLOOKUP(B$64*10+$A68,$81:$82,2,FALSE)</f>
        <v>1.91</v>
      </c>
      <c r="C68" s="205">
        <f>HLOOKUP(C$64*10+$A68,$81:$82,2,FALSE)</f>
        <v>2.19</v>
      </c>
      <c r="D68" s="205">
        <f>HLOOKUP(D$64*10+$A68,$81:$82,2,FALSE)</f>
        <v>1.97</v>
      </c>
      <c r="E68" s="206">
        <f>IF(ISNA(HLOOKUP(E$64*10+$A68,$81:$82,2,FALSE)),D68*(1-$N68)*#REF!*(1+$B$25)/(1+$E$4),HLOOKUP(E$64*10+$A68,$81:$82,2,FALSE))</f>
        <v>2.2999999999999998</v>
      </c>
      <c r="F68" s="206">
        <f>IF(ISNA(HLOOKUP(F$64*10+$A68,$81:$82,2,FALSE)),(HLOOKUP(E$64*10+$A68,$87:$94,4,FALSE)*$G68+$B$25)/HLOOKUP(E$64*10+$A68,$87:$94,5,FALSE)*$E68,HLOOKUP(F$64*10+$A68,$81:$82,2,FALSE))</f>
        <v>1.4441328415958881</v>
      </c>
      <c r="G68" s="101">
        <f>MIN(130%,SUM($B$57:$D$57)/SUM($B$58:$D$58)*$G$69/HLOOKUP(E$64*10+$A68,$145:$146,2,FALSE))</f>
        <v>0.79690966112403738</v>
      </c>
      <c r="H68" s="204">
        <v>4</v>
      </c>
      <c r="I68" s="208">
        <f t="shared" si="6"/>
        <v>0.26090000000000002</v>
      </c>
      <c r="J68" s="208">
        <f t="shared" si="6"/>
        <v>0.23629999999999998</v>
      </c>
      <c r="K68" s="208">
        <f t="shared" si="6"/>
        <v>0.23530000000000001</v>
      </c>
      <c r="L68" s="208">
        <f t="shared" si="6"/>
        <v>0.24160000000000001</v>
      </c>
      <c r="M68" s="209" t="str">
        <f t="shared" si="6"/>
        <v/>
      </c>
      <c r="N68" s="256">
        <f t="shared" si="7"/>
        <v>56128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5.8</v>
      </c>
      <c r="C69" s="213">
        <f>SUM(C65:C68)</f>
        <v>6.74</v>
      </c>
      <c r="D69" s="213">
        <f>SUM(D65:D68)</f>
        <v>5.88</v>
      </c>
      <c r="E69" s="213">
        <f>SUM(E65:E68)</f>
        <v>6.14</v>
      </c>
      <c r="F69" s="213">
        <f>SUM(F65:F68)</f>
        <v>4.854132841595888</v>
      </c>
      <c r="G69" s="257">
        <f>_xlfn.FORECAST.ETS(23,B146:W146,{1,2,3,4,5,6,7,8,9,10,11,12,13,14,15,16,17,18,19,20,21,22})</f>
        <v>32.934804567065733</v>
      </c>
      <c r="H69" s="214" t="s">
        <v>19</v>
      </c>
      <c r="I69" s="215">
        <f>HLOOKUP(I64,151:155,3,FALSE)/100</f>
        <v>0.22800000000000001</v>
      </c>
      <c r="J69" s="215">
        <f>HLOOKUP(J64,151:155,3,FALSE)/100</f>
        <v>0.23719999999999999</v>
      </c>
      <c r="K69" s="215">
        <f>HLOOKUP(K64,151:155,3,FALSE)/100</f>
        <v>0.20860000000000001</v>
      </c>
      <c r="L69" s="215">
        <f>IF(ISNA(HLOOKUP(L64,151:155,3,FALSE)/100),AVERAGE(L65:L68),HLOOKUP(L64,151:155,3,FALSE)/100)</f>
        <v>0.23550000000000001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5.22</v>
      </c>
      <c r="C72" s="205">
        <f t="shared" si="8"/>
        <v>2.9</v>
      </c>
      <c r="D72" s="205">
        <f t="shared" si="8"/>
        <v>3.1</v>
      </c>
      <c r="E72" s="205">
        <f t="shared" si="8"/>
        <v>1.59</v>
      </c>
      <c r="F72" s="205">
        <f t="shared" si="8"/>
        <v>0.9</v>
      </c>
    </row>
    <row r="73" spans="1:71" s="135" customFormat="1" x14ac:dyDescent="0.25">
      <c r="A73" s="204">
        <v>2</v>
      </c>
      <c r="B73" s="205">
        <f t="shared" si="8"/>
        <v>3.99</v>
      </c>
      <c r="C73" s="205">
        <f t="shared" si="8"/>
        <v>5.96</v>
      </c>
      <c r="D73" s="205">
        <f t="shared" si="8"/>
        <v>2.09</v>
      </c>
      <c r="E73" s="205">
        <f t="shared" si="8"/>
        <v>3.5</v>
      </c>
      <c r="F73" s="205">
        <f t="shared" si="8"/>
        <v>3.64</v>
      </c>
    </row>
    <row r="74" spans="1:71" s="135" customFormat="1" x14ac:dyDescent="0.25">
      <c r="A74" s="204">
        <v>3</v>
      </c>
      <c r="B74" s="205">
        <f t="shared" si="8"/>
        <v>4.46</v>
      </c>
      <c r="C74" s="205">
        <f t="shared" si="8"/>
        <v>5.51</v>
      </c>
      <c r="D74" s="205">
        <f t="shared" si="8"/>
        <v>5.96</v>
      </c>
      <c r="E74" s="205">
        <f t="shared" si="8"/>
        <v>5.12</v>
      </c>
      <c r="F74" s="205">
        <f t="shared" si="8"/>
        <v>4.07</v>
      </c>
    </row>
    <row r="75" spans="1:71" s="135" customFormat="1" x14ac:dyDescent="0.25">
      <c r="A75" s="204">
        <v>4</v>
      </c>
      <c r="B75" s="205">
        <f t="shared" si="8"/>
        <v>6.12</v>
      </c>
      <c r="C75" s="205">
        <f t="shared" si="8"/>
        <v>6.4</v>
      </c>
      <c r="D75" s="205">
        <f t="shared" si="8"/>
        <v>5.33</v>
      </c>
      <c r="E75" s="205">
        <f t="shared" si="8"/>
        <v>5.8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19.790000000000003</v>
      </c>
      <c r="C76" s="213">
        <f>SUM(C72:C75)</f>
        <v>20.77</v>
      </c>
      <c r="D76" s="213">
        <f>SUM(D72:D75)</f>
        <v>16.479999999999997</v>
      </c>
      <c r="E76" s="213">
        <f>AVERAGE(E72:E75)*4</f>
        <v>16.010000000000002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112013</v>
      </c>
      <c r="C79" s="270">
        <v>100964</v>
      </c>
      <c r="D79" s="270">
        <v>152221</v>
      </c>
      <c r="E79" s="270">
        <v>165069</v>
      </c>
      <c r="F79" s="270">
        <v>183465</v>
      </c>
      <c r="G79" s="270">
        <v>196667</v>
      </c>
      <c r="H79" s="270">
        <v>171361</v>
      </c>
      <c r="I79" s="270">
        <v>133879</v>
      </c>
      <c r="J79" s="270">
        <v>203048</v>
      </c>
      <c r="K79" s="270">
        <v>185905</v>
      </c>
      <c r="L79" s="270">
        <v>220547</v>
      </c>
      <c r="M79" s="270">
        <v>166645</v>
      </c>
      <c r="N79" s="270">
        <v>214478</v>
      </c>
      <c r="O79" s="270">
        <v>101088</v>
      </c>
      <c r="P79" s="270">
        <v>119467</v>
      </c>
      <c r="Q79" s="270">
        <v>136591</v>
      </c>
      <c r="R79" s="270">
        <v>156940</v>
      </c>
      <c r="S79" s="270">
        <v>188228</v>
      </c>
      <c r="T79" s="270">
        <v>162518</v>
      </c>
      <c r="U79" s="270">
        <v>160608</v>
      </c>
      <c r="V79" s="270">
        <v>210385</v>
      </c>
      <c r="W79" s="270">
        <v>226827</v>
      </c>
      <c r="X79" s="270">
        <v>206608</v>
      </c>
      <c r="Y79" s="270">
        <v>227070</v>
      </c>
      <c r="Z79" s="270">
        <v>181799</v>
      </c>
      <c r="AA79" s="270">
        <v>120589</v>
      </c>
      <c r="AB79" s="270">
        <v>177608</v>
      </c>
      <c r="AC79" s="270">
        <v>209438</v>
      </c>
      <c r="AD79" s="270">
        <v>222154</v>
      </c>
      <c r="AE79" s="270">
        <v>245571</v>
      </c>
      <c r="AF79" s="270">
        <v>216558</v>
      </c>
      <c r="AG79" s="270">
        <v>178635</v>
      </c>
      <c r="AH79" s="270">
        <v>217363</v>
      </c>
      <c r="AI79" s="270">
        <v>207675</v>
      </c>
      <c r="AJ79" s="270">
        <v>228338</v>
      </c>
      <c r="AK79" s="270">
        <v>202531</v>
      </c>
      <c r="AL79" s="270">
        <v>198315</v>
      </c>
      <c r="AM79" s="270">
        <v>137701</v>
      </c>
      <c r="AN79" s="270">
        <v>159625</v>
      </c>
      <c r="AO79" s="270">
        <v>152013</v>
      </c>
      <c r="AP79" s="270">
        <v>149709</v>
      </c>
      <c r="AQ79" s="270">
        <v>172048</v>
      </c>
      <c r="AR79" s="270">
        <v>166707</v>
      </c>
      <c r="AS79" s="270">
        <v>162303</v>
      </c>
      <c r="AT79" s="270">
        <v>232534</v>
      </c>
      <c r="AU79" s="270">
        <v>201738</v>
      </c>
      <c r="AV79" s="270">
        <v>203442</v>
      </c>
      <c r="AW79" s="270">
        <v>219145</v>
      </c>
      <c r="AX79" s="270">
        <v>152948</v>
      </c>
      <c r="AY79" s="270">
        <v>116153</v>
      </c>
      <c r="AZ79" s="270">
        <v>149721</v>
      </c>
      <c r="BA79" s="270">
        <v>195671</v>
      </c>
      <c r="BB79" s="270">
        <v>177217</v>
      </c>
      <c r="BC79" s="270">
        <v>232892</v>
      </c>
      <c r="BD79" s="270">
        <v>185751</v>
      </c>
      <c r="BE79" s="270">
        <v>240003</v>
      </c>
      <c r="BF79" s="270">
        <v>291451</v>
      </c>
      <c r="BG79" s="270">
        <v>223639</v>
      </c>
      <c r="BH79" s="270">
        <v>238897</v>
      </c>
      <c r="BI79" s="270">
        <v>252597</v>
      </c>
      <c r="BJ79" s="270">
        <v>120569</v>
      </c>
      <c r="BK79" s="270">
        <v>178807</v>
      </c>
      <c r="BL79" s="270">
        <v>177083</v>
      </c>
      <c r="BM79" s="270">
        <v>196584</v>
      </c>
      <c r="BN79" s="270">
        <v>209099</v>
      </c>
      <c r="BO79" s="270">
        <v>259171</v>
      </c>
      <c r="BP79" s="270">
        <v>196654</v>
      </c>
      <c r="BQ79" s="270">
        <v>238543</v>
      </c>
      <c r="BR79" s="270">
        <v>233137</v>
      </c>
      <c r="BS79" s="270">
        <v>208537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 t="s">
        <v>43</v>
      </c>
      <c r="C82" s="72">
        <v>1.99</v>
      </c>
      <c r="D82" s="72">
        <v>1.73</v>
      </c>
      <c r="E82" s="72">
        <v>1.77</v>
      </c>
      <c r="F82" s="72">
        <v>1.42</v>
      </c>
      <c r="G82" s="72">
        <v>1.2</v>
      </c>
      <c r="H82" s="72">
        <v>1.27</v>
      </c>
      <c r="I82" s="72">
        <v>1.91</v>
      </c>
      <c r="J82" s="72">
        <v>0.92</v>
      </c>
      <c r="K82" s="72">
        <v>1.88</v>
      </c>
      <c r="L82" s="72">
        <v>1.75</v>
      </c>
      <c r="M82" s="72">
        <v>2.19</v>
      </c>
      <c r="N82" s="72">
        <v>1.1200000000000001</v>
      </c>
      <c r="O82" s="72">
        <v>0.73</v>
      </c>
      <c r="P82" s="72">
        <v>2.06</v>
      </c>
      <c r="Q82" s="72">
        <v>1.97</v>
      </c>
      <c r="R82" s="72">
        <v>0.61</v>
      </c>
      <c r="S82" s="72">
        <v>1.31</v>
      </c>
      <c r="T82" s="72">
        <v>1.92</v>
      </c>
      <c r="U82" s="72">
        <v>2.2999999999999998</v>
      </c>
      <c r="V82" s="72">
        <v>0.37</v>
      </c>
      <c r="W82" s="72">
        <v>1.44</v>
      </c>
      <c r="X82" s="72">
        <v>1.6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 t="s">
        <v>43</v>
      </c>
      <c r="C85" s="72">
        <v>38.130000000000003</v>
      </c>
      <c r="D85" s="72">
        <v>24.51</v>
      </c>
      <c r="E85" s="72">
        <v>26.16</v>
      </c>
      <c r="F85" s="72">
        <v>28.21</v>
      </c>
      <c r="G85" s="72">
        <v>30.84</v>
      </c>
      <c r="H85" s="72">
        <v>29.07</v>
      </c>
      <c r="I85" s="72">
        <v>31.01</v>
      </c>
      <c r="J85" s="72">
        <v>32.24</v>
      </c>
      <c r="K85" s="72">
        <v>30.83</v>
      </c>
      <c r="L85" s="72">
        <v>32.86</v>
      </c>
      <c r="M85" s="72">
        <v>35.67</v>
      </c>
      <c r="N85" s="72">
        <v>36.619999999999997</v>
      </c>
      <c r="O85" s="72">
        <v>33.119999999999997</v>
      </c>
      <c r="P85" s="72">
        <v>36.200000000000003</v>
      </c>
      <c r="Q85" s="72">
        <v>38.11</v>
      </c>
      <c r="R85" s="72">
        <v>38.4</v>
      </c>
      <c r="S85" s="72">
        <v>36.75</v>
      </c>
      <c r="T85" s="72">
        <v>38.19</v>
      </c>
      <c r="U85" s="72">
        <v>40.950000000000003</v>
      </c>
      <c r="V85" s="72">
        <v>40.28</v>
      </c>
      <c r="W85" s="72">
        <v>38.659999999999997</v>
      </c>
      <c r="X85" s="72">
        <v>40.18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365198</v>
      </c>
      <c r="C88" s="273">
        <v>545201</v>
      </c>
      <c r="D88" s="273">
        <v>508288</v>
      </c>
      <c r="E88" s="273">
        <v>573097</v>
      </c>
      <c r="F88" s="273">
        <v>435033</v>
      </c>
      <c r="G88" s="273">
        <v>481759</v>
      </c>
      <c r="H88" s="273">
        <v>533511</v>
      </c>
      <c r="I88" s="273">
        <v>660506</v>
      </c>
      <c r="J88" s="273">
        <v>479996</v>
      </c>
      <c r="K88" s="273">
        <v>677163</v>
      </c>
      <c r="L88" s="273">
        <v>612556</v>
      </c>
      <c r="M88" s="273">
        <v>638544</v>
      </c>
      <c r="N88" s="273">
        <v>499081</v>
      </c>
      <c r="O88" s="273">
        <v>473770</v>
      </c>
      <c r="P88" s="273">
        <v>561544</v>
      </c>
      <c r="Q88" s="273">
        <v>624325</v>
      </c>
      <c r="R88" s="273">
        <v>418822</v>
      </c>
      <c r="S88" s="273">
        <v>605780</v>
      </c>
      <c r="T88" s="273">
        <v>717205</v>
      </c>
      <c r="U88" s="273">
        <v>715133</v>
      </c>
      <c r="V88" s="273">
        <v>476459</v>
      </c>
      <c r="W88" s="273">
        <v>664854</v>
      </c>
      <c r="X88" s="273">
        <v>668334</v>
      </c>
    </row>
    <row r="89" spans="1:25" ht="14.25" thickBot="1" x14ac:dyDescent="0.3">
      <c r="A89" s="250" t="s">
        <v>4</v>
      </c>
      <c r="B89" s="275">
        <v>99394</v>
      </c>
      <c r="C89" s="275">
        <v>213988</v>
      </c>
      <c r="D89" s="275">
        <v>196622</v>
      </c>
      <c r="E89" s="275">
        <v>235163</v>
      </c>
      <c r="F89" s="275">
        <v>162781</v>
      </c>
      <c r="G89" s="275">
        <v>172825</v>
      </c>
      <c r="H89" s="275">
        <v>192795</v>
      </c>
      <c r="I89" s="275">
        <v>267014</v>
      </c>
      <c r="J89" s="275">
        <v>153870</v>
      </c>
      <c r="K89" s="275">
        <v>278093</v>
      </c>
      <c r="L89" s="275">
        <v>218890</v>
      </c>
      <c r="M89" s="275">
        <v>231668</v>
      </c>
      <c r="N89" s="275">
        <v>163396</v>
      </c>
      <c r="O89" s="275">
        <v>159100</v>
      </c>
      <c r="P89" s="275">
        <v>192634</v>
      </c>
      <c r="Q89" s="275">
        <v>224597</v>
      </c>
      <c r="R89" s="275">
        <v>119834</v>
      </c>
      <c r="S89" s="275">
        <v>217607</v>
      </c>
      <c r="T89" s="275">
        <v>277506</v>
      </c>
      <c r="U89" s="275">
        <v>266265</v>
      </c>
      <c r="V89" s="275">
        <v>164441</v>
      </c>
      <c r="W89" s="275">
        <v>238195</v>
      </c>
      <c r="X89" s="275">
        <v>248694</v>
      </c>
    </row>
    <row r="90" spans="1:25" ht="14.25" thickBot="1" x14ac:dyDescent="0.3">
      <c r="A90" s="251" t="s">
        <v>5</v>
      </c>
      <c r="B90" s="68"/>
      <c r="C90" s="273">
        <v>143959</v>
      </c>
      <c r="D90" s="273">
        <v>125375</v>
      </c>
      <c r="E90" s="273">
        <v>141349</v>
      </c>
      <c r="F90" s="273">
        <v>88356</v>
      </c>
      <c r="G90" s="273">
        <v>100853</v>
      </c>
      <c r="H90" s="273">
        <v>119761</v>
      </c>
      <c r="I90" s="273">
        <v>172318</v>
      </c>
      <c r="J90" s="273">
        <v>78022</v>
      </c>
      <c r="K90" s="273">
        <v>191633</v>
      </c>
      <c r="L90" s="273">
        <v>150750</v>
      </c>
      <c r="M90" s="273">
        <v>150866</v>
      </c>
      <c r="N90" s="273">
        <v>91018</v>
      </c>
      <c r="O90" s="273">
        <v>90004</v>
      </c>
      <c r="P90" s="273">
        <v>122311</v>
      </c>
      <c r="Q90" s="273">
        <v>146879</v>
      </c>
      <c r="R90" s="273">
        <v>51645</v>
      </c>
      <c r="S90" s="273">
        <v>147389</v>
      </c>
      <c r="T90" s="273">
        <v>206813</v>
      </c>
      <c r="U90" s="273">
        <v>172794</v>
      </c>
      <c r="V90" s="273">
        <v>95631</v>
      </c>
      <c r="W90" s="273">
        <v>154208</v>
      </c>
      <c r="X90" s="273">
        <v>170414</v>
      </c>
    </row>
    <row r="91" spans="1:25" ht="14.25" thickBot="1" x14ac:dyDescent="0.3">
      <c r="A91" s="250" t="s">
        <v>6</v>
      </c>
      <c r="B91" s="275">
        <v>48865</v>
      </c>
      <c r="C91" s="275">
        <v>147918</v>
      </c>
      <c r="D91" s="275">
        <v>131376</v>
      </c>
      <c r="E91" s="275">
        <v>122039</v>
      </c>
      <c r="F91" s="275">
        <v>100307</v>
      </c>
      <c r="G91" s="275">
        <v>96807</v>
      </c>
      <c r="H91" s="275">
        <v>111447</v>
      </c>
      <c r="I91" s="275">
        <v>176746</v>
      </c>
      <c r="J91" s="275">
        <v>77502</v>
      </c>
      <c r="K91" s="275">
        <v>185779</v>
      </c>
      <c r="L91" s="275">
        <v>171163</v>
      </c>
      <c r="M91" s="275">
        <v>190909</v>
      </c>
      <c r="N91" s="275">
        <v>93522</v>
      </c>
      <c r="O91" s="275">
        <v>82175</v>
      </c>
      <c r="P91" s="275">
        <v>179793</v>
      </c>
      <c r="Q91" s="275">
        <v>171011</v>
      </c>
      <c r="R91" s="275">
        <v>53964</v>
      </c>
      <c r="S91" s="275">
        <v>143896</v>
      </c>
      <c r="T91" s="275">
        <v>188804</v>
      </c>
      <c r="U91" s="275">
        <v>228922</v>
      </c>
      <c r="V91" s="275">
        <v>35531</v>
      </c>
      <c r="W91" s="275">
        <v>157601</v>
      </c>
      <c r="X91" s="275">
        <v>155081</v>
      </c>
    </row>
    <row r="92" spans="1:25" ht="14.25" thickBot="1" x14ac:dyDescent="0.3">
      <c r="A92" s="251" t="s">
        <v>7</v>
      </c>
      <c r="B92" s="273">
        <v>43835</v>
      </c>
      <c r="C92" s="273">
        <v>121675</v>
      </c>
      <c r="D92" s="273">
        <v>105872</v>
      </c>
      <c r="E92" s="273">
        <v>108202</v>
      </c>
      <c r="F92" s="273">
        <v>86754</v>
      </c>
      <c r="G92" s="273">
        <v>76102</v>
      </c>
      <c r="H92" s="273">
        <v>94833</v>
      </c>
      <c r="I92" s="273">
        <v>136724</v>
      </c>
      <c r="J92" s="273">
        <v>68257</v>
      </c>
      <c r="K92" s="273">
        <v>139834</v>
      </c>
      <c r="L92" s="273">
        <v>130495</v>
      </c>
      <c r="M92" s="273">
        <v>163194</v>
      </c>
      <c r="N92" s="273">
        <v>83304</v>
      </c>
      <c r="O92" s="273">
        <v>54114</v>
      </c>
      <c r="P92" s="273">
        <v>153253</v>
      </c>
      <c r="Q92" s="273">
        <v>146275</v>
      </c>
      <c r="R92" s="273">
        <v>44790</v>
      </c>
      <c r="S92" s="273">
        <v>96627</v>
      </c>
      <c r="T92" s="273">
        <v>141102</v>
      </c>
      <c r="U92" s="273">
        <v>168780</v>
      </c>
      <c r="V92" s="273">
        <v>26948</v>
      </c>
      <c r="W92" s="273">
        <v>105712</v>
      </c>
      <c r="X92" s="273">
        <v>117957</v>
      </c>
    </row>
    <row r="93" spans="1:25" ht="26.25" thickBot="1" x14ac:dyDescent="0.3">
      <c r="A93" s="252" t="s">
        <v>8</v>
      </c>
      <c r="B93" s="73" t="s">
        <v>43</v>
      </c>
      <c r="C93" s="73" t="s">
        <v>43</v>
      </c>
      <c r="D93" s="276">
        <v>105872</v>
      </c>
      <c r="E93" s="276">
        <v>108202</v>
      </c>
      <c r="F93" s="276">
        <v>86754</v>
      </c>
      <c r="G93" s="276">
        <v>76102</v>
      </c>
      <c r="H93" s="276">
        <v>94833</v>
      </c>
      <c r="I93" s="276">
        <v>136724</v>
      </c>
      <c r="J93" s="276">
        <v>68257</v>
      </c>
      <c r="K93" s="276">
        <v>139834</v>
      </c>
      <c r="L93" s="276">
        <v>130495</v>
      </c>
      <c r="M93" s="276">
        <v>163194</v>
      </c>
      <c r="N93" s="276">
        <v>83304</v>
      </c>
      <c r="O93" s="276">
        <v>54114</v>
      </c>
      <c r="P93" s="276">
        <v>153253</v>
      </c>
      <c r="Q93" s="276">
        <v>146275</v>
      </c>
      <c r="R93" s="276">
        <v>44790</v>
      </c>
      <c r="S93" s="276">
        <v>96627</v>
      </c>
      <c r="T93" s="276">
        <v>141102</v>
      </c>
      <c r="U93" s="276">
        <v>168780</v>
      </c>
      <c r="V93" s="276">
        <v>26948</v>
      </c>
      <c r="W93" s="276">
        <v>105712</v>
      </c>
      <c r="X93" s="276">
        <v>117957</v>
      </c>
    </row>
    <row r="94" spans="1:25" x14ac:dyDescent="0.25">
      <c r="A94" s="233" t="s">
        <v>365</v>
      </c>
      <c r="B94" s="253">
        <f>IF(B91="","",B91-B90)</f>
        <v>48865</v>
      </c>
      <c r="C94" s="253">
        <f>IF(C91="","",C91-C90)</f>
        <v>3959</v>
      </c>
      <c r="D94" s="253">
        <f t="shared" ref="D94:Y94" si="9">IF(D91="","",D91-D90)</f>
        <v>6001</v>
      </c>
      <c r="E94" s="253">
        <f t="shared" si="9"/>
        <v>-19310</v>
      </c>
      <c r="F94" s="253">
        <f t="shared" si="9"/>
        <v>11951</v>
      </c>
      <c r="G94" s="253">
        <f t="shared" si="9"/>
        <v>-4046</v>
      </c>
      <c r="H94" s="253">
        <f t="shared" si="9"/>
        <v>-8314</v>
      </c>
      <c r="I94" s="253">
        <f t="shared" si="9"/>
        <v>4428</v>
      </c>
      <c r="J94" s="253">
        <f t="shared" si="9"/>
        <v>-520</v>
      </c>
      <c r="K94" s="253">
        <f t="shared" si="9"/>
        <v>-5854</v>
      </c>
      <c r="L94" s="253">
        <f t="shared" si="9"/>
        <v>20413</v>
      </c>
      <c r="M94" s="253">
        <f t="shared" si="9"/>
        <v>40043</v>
      </c>
      <c r="N94" s="253">
        <f t="shared" si="9"/>
        <v>2504</v>
      </c>
      <c r="O94" s="253">
        <f t="shared" si="9"/>
        <v>-7829</v>
      </c>
      <c r="P94" s="253">
        <f t="shared" si="9"/>
        <v>57482</v>
      </c>
      <c r="Q94" s="253">
        <f t="shared" si="9"/>
        <v>24132</v>
      </c>
      <c r="R94" s="253">
        <f t="shared" si="9"/>
        <v>2319</v>
      </c>
      <c r="S94" s="253">
        <f t="shared" si="9"/>
        <v>-3493</v>
      </c>
      <c r="T94" s="253">
        <f t="shared" si="9"/>
        <v>-18009</v>
      </c>
      <c r="U94" s="253">
        <f t="shared" si="9"/>
        <v>56128</v>
      </c>
      <c r="V94" s="253">
        <f t="shared" si="9"/>
        <v>-60100</v>
      </c>
      <c r="W94" s="253">
        <f t="shared" si="9"/>
        <v>3393</v>
      </c>
      <c r="X94" s="253">
        <f t="shared" si="9"/>
        <v>-15333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1991784</v>
      </c>
      <c r="C97" s="273">
        <v>2110809</v>
      </c>
      <c r="D97" s="273">
        <v>2408259</v>
      </c>
      <c r="E97" s="273">
        <v>2158720</v>
      </c>
      <c r="F97" s="273">
        <v>2456940</v>
      </c>
    </row>
    <row r="98" spans="1:24" ht="14.25" thickBot="1" x14ac:dyDescent="0.3">
      <c r="A98" s="225" t="s">
        <v>4</v>
      </c>
      <c r="B98" s="275">
        <v>745167</v>
      </c>
      <c r="C98" s="275">
        <v>795415</v>
      </c>
      <c r="D98" s="275">
        <v>882521</v>
      </c>
      <c r="E98" s="275">
        <v>739727</v>
      </c>
      <c r="F98" s="275">
        <v>881212</v>
      </c>
    </row>
    <row r="99" spans="1:24" ht="14.25" thickBot="1" x14ac:dyDescent="0.3">
      <c r="A99" s="224" t="s">
        <v>5</v>
      </c>
      <c r="B99" s="273">
        <v>460561</v>
      </c>
      <c r="C99" s="273">
        <v>481288</v>
      </c>
      <c r="D99" s="273">
        <v>571271</v>
      </c>
      <c r="E99" s="273">
        <v>450212</v>
      </c>
      <c r="F99" s="273">
        <v>578641</v>
      </c>
    </row>
    <row r="100" spans="1:24" ht="14.25" thickBot="1" x14ac:dyDescent="0.3">
      <c r="A100" s="225" t="s">
        <v>6</v>
      </c>
      <c r="B100" s="275">
        <v>450198</v>
      </c>
      <c r="C100" s="275">
        <v>485307</v>
      </c>
      <c r="D100" s="275">
        <v>625353</v>
      </c>
      <c r="E100" s="275">
        <v>526501</v>
      </c>
      <c r="F100" s="275">
        <v>615586</v>
      </c>
    </row>
    <row r="101" spans="1:24" ht="14.25" thickBot="1" x14ac:dyDescent="0.3">
      <c r="A101" s="224" t="s">
        <v>7</v>
      </c>
      <c r="B101" s="273">
        <v>379584</v>
      </c>
      <c r="C101" s="273">
        <v>394413</v>
      </c>
      <c r="D101" s="273">
        <v>501780</v>
      </c>
      <c r="E101" s="273">
        <v>436946</v>
      </c>
      <c r="F101" s="273">
        <v>451299</v>
      </c>
    </row>
    <row r="102" spans="1:24" ht="14.25" thickBot="1" x14ac:dyDescent="0.3">
      <c r="A102" s="227" t="s">
        <v>8</v>
      </c>
      <c r="B102" s="276">
        <v>379584</v>
      </c>
      <c r="C102" s="276">
        <v>394413</v>
      </c>
      <c r="D102" s="276">
        <v>501780</v>
      </c>
      <c r="E102" s="276">
        <v>436946</v>
      </c>
      <c r="F102" s="276">
        <v>451299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747045</v>
      </c>
      <c r="C106" s="273">
        <v>739773</v>
      </c>
      <c r="D106" s="273">
        <v>730320</v>
      </c>
      <c r="E106" s="273">
        <v>734366</v>
      </c>
      <c r="F106" s="273">
        <v>936755</v>
      </c>
      <c r="G106" s="273">
        <v>1443614</v>
      </c>
      <c r="H106" s="273">
        <v>1221037</v>
      </c>
      <c r="I106" s="273">
        <v>1344516</v>
      </c>
      <c r="J106" s="273">
        <v>1306620</v>
      </c>
      <c r="K106" s="273">
        <v>1459777</v>
      </c>
      <c r="L106" s="273">
        <v>1133455</v>
      </c>
      <c r="M106" s="273">
        <v>1230448</v>
      </c>
      <c r="N106" s="273">
        <v>1383217</v>
      </c>
      <c r="O106" s="273">
        <v>1531819</v>
      </c>
      <c r="P106" s="273">
        <v>1344504</v>
      </c>
      <c r="Q106" s="273">
        <v>1290842</v>
      </c>
      <c r="R106" s="273">
        <v>1442992</v>
      </c>
      <c r="S106" s="273">
        <v>1588737</v>
      </c>
      <c r="T106" s="273">
        <v>1205911</v>
      </c>
      <c r="U106" s="273">
        <v>1255031</v>
      </c>
      <c r="V106" s="273">
        <v>1314007</v>
      </c>
      <c r="W106" s="273">
        <v>1312138</v>
      </c>
      <c r="X106" s="273">
        <v>1076217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68">
        <v>0</v>
      </c>
      <c r="C108" s="273">
        <v>786299</v>
      </c>
      <c r="D108" s="68">
        <v>0</v>
      </c>
      <c r="E108" s="273">
        <v>877846</v>
      </c>
      <c r="F108" s="273">
        <v>847303</v>
      </c>
      <c r="G108" s="273">
        <v>718853</v>
      </c>
      <c r="H108" s="273">
        <v>860709</v>
      </c>
      <c r="I108" s="273">
        <v>1043211</v>
      </c>
      <c r="J108" s="273">
        <v>958197</v>
      </c>
      <c r="K108" s="273">
        <v>967102</v>
      </c>
      <c r="L108" s="273">
        <v>1058212</v>
      </c>
      <c r="M108" s="273">
        <v>1059729</v>
      </c>
      <c r="N108" s="273">
        <v>904470</v>
      </c>
      <c r="O108" s="273">
        <v>772384</v>
      </c>
      <c r="P108" s="273">
        <v>896568</v>
      </c>
      <c r="Q108" s="273">
        <v>983974</v>
      </c>
      <c r="R108" s="273">
        <v>794709</v>
      </c>
      <c r="S108" s="273">
        <v>848402</v>
      </c>
      <c r="T108" s="273">
        <v>1052736</v>
      </c>
      <c r="U108" s="273">
        <v>1206281</v>
      </c>
      <c r="V108" s="273">
        <v>918387</v>
      </c>
      <c r="W108" s="273">
        <v>1025820</v>
      </c>
      <c r="X108" s="273">
        <v>1108123</v>
      </c>
    </row>
    <row r="109" spans="1:24" ht="14.25" thickBot="1" x14ac:dyDescent="0.3">
      <c r="A109" s="225" t="s">
        <v>264</v>
      </c>
      <c r="B109" s="275">
        <v>162452</v>
      </c>
      <c r="C109" s="275">
        <v>212107</v>
      </c>
      <c r="D109" s="275">
        <v>206327</v>
      </c>
      <c r="E109" s="275">
        <v>252159</v>
      </c>
      <c r="F109" s="275">
        <v>237416</v>
      </c>
      <c r="G109" s="275">
        <v>210162</v>
      </c>
      <c r="H109" s="275">
        <v>199274</v>
      </c>
      <c r="I109" s="275">
        <v>234060</v>
      </c>
      <c r="J109" s="275">
        <v>225872</v>
      </c>
      <c r="K109" s="275">
        <v>233474</v>
      </c>
      <c r="L109" s="275">
        <v>236022</v>
      </c>
      <c r="M109" s="275">
        <v>246184</v>
      </c>
      <c r="N109" s="275">
        <v>243514</v>
      </c>
      <c r="O109" s="275">
        <v>199065</v>
      </c>
      <c r="P109" s="275">
        <v>203724</v>
      </c>
      <c r="Q109" s="275">
        <v>224327</v>
      </c>
      <c r="R109" s="275">
        <v>232835</v>
      </c>
      <c r="S109" s="275">
        <v>243059</v>
      </c>
      <c r="T109" s="275">
        <v>253743</v>
      </c>
      <c r="U109" s="275">
        <v>279796</v>
      </c>
      <c r="V109" s="275">
        <v>280938</v>
      </c>
      <c r="W109" s="275">
        <v>253399</v>
      </c>
      <c r="X109" s="275">
        <v>230795</v>
      </c>
    </row>
    <row r="110" spans="1:24" ht="14.25" thickBot="1" x14ac:dyDescent="0.3">
      <c r="A110" s="224" t="s">
        <v>23</v>
      </c>
      <c r="B110" s="273">
        <v>608561</v>
      </c>
      <c r="C110" s="273">
        <v>72445</v>
      </c>
      <c r="D110" s="273">
        <v>873052</v>
      </c>
      <c r="E110" s="273">
        <v>66891</v>
      </c>
      <c r="F110" s="273">
        <v>107755</v>
      </c>
      <c r="G110" s="273">
        <v>139623</v>
      </c>
      <c r="H110" s="273">
        <v>149279</v>
      </c>
      <c r="I110" s="273">
        <v>110280</v>
      </c>
      <c r="J110" s="273">
        <v>49128</v>
      </c>
      <c r="K110" s="273">
        <v>75944</v>
      </c>
      <c r="L110" s="273">
        <v>64012</v>
      </c>
      <c r="M110" s="273">
        <v>61571</v>
      </c>
      <c r="N110" s="273">
        <v>33334</v>
      </c>
      <c r="O110" s="273">
        <v>19330</v>
      </c>
      <c r="P110" s="273">
        <v>25504</v>
      </c>
      <c r="Q110" s="273">
        <v>25566</v>
      </c>
      <c r="R110" s="273">
        <v>17019</v>
      </c>
      <c r="S110" s="273">
        <v>35923</v>
      </c>
      <c r="T110" s="273">
        <v>30113</v>
      </c>
      <c r="U110" s="273">
        <v>29757</v>
      </c>
      <c r="V110" s="273">
        <v>28100</v>
      </c>
      <c r="W110" s="273">
        <v>30465</v>
      </c>
      <c r="X110" s="273">
        <v>33131</v>
      </c>
    </row>
    <row r="111" spans="1:24" ht="14.25" thickBot="1" x14ac:dyDescent="0.3">
      <c r="A111" s="225" t="s">
        <v>24</v>
      </c>
      <c r="B111" s="275">
        <v>1518058</v>
      </c>
      <c r="C111" s="275">
        <v>1810624</v>
      </c>
      <c r="D111" s="275">
        <v>1809699</v>
      </c>
      <c r="E111" s="275">
        <v>1931262</v>
      </c>
      <c r="F111" s="275">
        <v>2129229</v>
      </c>
      <c r="G111" s="275">
        <v>2512252</v>
      </c>
      <c r="H111" s="275">
        <v>2430299</v>
      </c>
      <c r="I111" s="275">
        <v>2732067</v>
      </c>
      <c r="J111" s="275">
        <v>2539817</v>
      </c>
      <c r="K111" s="275">
        <v>2736297</v>
      </c>
      <c r="L111" s="275">
        <v>2491701</v>
      </c>
      <c r="M111" s="275">
        <v>2597932</v>
      </c>
      <c r="N111" s="275">
        <v>2564535</v>
      </c>
      <c r="O111" s="275">
        <v>2522598</v>
      </c>
      <c r="P111" s="275">
        <v>2470300</v>
      </c>
      <c r="Q111" s="275">
        <v>2524709</v>
      </c>
      <c r="R111" s="275">
        <v>2487555</v>
      </c>
      <c r="S111" s="275">
        <v>2716121</v>
      </c>
      <c r="T111" s="275">
        <v>2542503</v>
      </c>
      <c r="U111" s="275">
        <v>2770865</v>
      </c>
      <c r="V111" s="275">
        <v>2541432</v>
      </c>
      <c r="W111" s="275">
        <v>2621822</v>
      </c>
      <c r="X111" s="275">
        <v>2448266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194934</v>
      </c>
      <c r="C113" s="275">
        <v>210763</v>
      </c>
      <c r="D113" s="275">
        <v>231631</v>
      </c>
      <c r="E113" s="275">
        <v>229691</v>
      </c>
      <c r="F113" s="275">
        <v>221141</v>
      </c>
      <c r="G113" s="275">
        <v>381373</v>
      </c>
      <c r="H113" s="275">
        <v>411595</v>
      </c>
      <c r="I113" s="275">
        <v>442131</v>
      </c>
      <c r="J113" s="275">
        <v>448180</v>
      </c>
      <c r="K113" s="275">
        <v>483863</v>
      </c>
      <c r="L113" s="275">
        <v>740527</v>
      </c>
      <c r="M113" s="275">
        <v>753388</v>
      </c>
      <c r="N113" s="275">
        <v>800617</v>
      </c>
      <c r="O113" s="275">
        <v>780052</v>
      </c>
      <c r="P113" s="275">
        <v>810924</v>
      </c>
      <c r="Q113" s="275">
        <v>835204</v>
      </c>
      <c r="R113" s="275">
        <v>802558</v>
      </c>
      <c r="S113" s="275">
        <v>805074</v>
      </c>
      <c r="T113" s="275">
        <v>1000564</v>
      </c>
      <c r="U113" s="275">
        <v>1027570</v>
      </c>
      <c r="V113" s="275">
        <v>1079021</v>
      </c>
      <c r="W113" s="275">
        <v>1112071</v>
      </c>
      <c r="X113" s="275">
        <v>1138760</v>
      </c>
    </row>
    <row r="114" spans="1:24" ht="14.25" thickBot="1" x14ac:dyDescent="0.3">
      <c r="A114" s="224" t="s">
        <v>27</v>
      </c>
      <c r="B114" s="273">
        <v>53837</v>
      </c>
      <c r="C114" s="273">
        <v>25022</v>
      </c>
      <c r="D114" s="273">
        <v>23517</v>
      </c>
      <c r="E114" s="273">
        <v>22275</v>
      </c>
      <c r="F114" s="273">
        <v>71309</v>
      </c>
      <c r="G114" s="273">
        <v>141195</v>
      </c>
      <c r="H114" s="273">
        <v>141711</v>
      </c>
      <c r="I114" s="273">
        <v>137244</v>
      </c>
      <c r="J114" s="273">
        <v>141655</v>
      </c>
      <c r="K114" s="273">
        <v>142230</v>
      </c>
      <c r="L114" s="273">
        <v>129503</v>
      </c>
      <c r="M114" s="273">
        <v>133956</v>
      </c>
      <c r="N114" s="273">
        <v>156758</v>
      </c>
      <c r="O114" s="273">
        <v>154255</v>
      </c>
      <c r="P114" s="273">
        <v>162201</v>
      </c>
      <c r="Q114" s="273">
        <v>177732</v>
      </c>
      <c r="R114" s="273">
        <v>173714</v>
      </c>
      <c r="S114" s="273">
        <v>171976</v>
      </c>
      <c r="T114" s="273">
        <v>167999</v>
      </c>
      <c r="U114" s="273">
        <v>175263</v>
      </c>
      <c r="V114" s="273">
        <v>167839</v>
      </c>
      <c r="W114" s="273">
        <v>166018</v>
      </c>
      <c r="X114" s="273">
        <v>164182</v>
      </c>
    </row>
    <row r="115" spans="1:24" ht="14.25" thickBot="1" x14ac:dyDescent="0.3">
      <c r="A115" s="225" t="s">
        <v>265</v>
      </c>
      <c r="B115" s="276">
        <v>1766829</v>
      </c>
      <c r="C115" s="276">
        <v>2046409</v>
      </c>
      <c r="D115" s="276">
        <v>2064847</v>
      </c>
      <c r="E115" s="276">
        <v>2183228</v>
      </c>
      <c r="F115" s="276">
        <v>2421679</v>
      </c>
      <c r="G115" s="276">
        <v>3034820</v>
      </c>
      <c r="H115" s="276">
        <v>2983605</v>
      </c>
      <c r="I115" s="276">
        <v>3311442</v>
      </c>
      <c r="J115" s="276">
        <v>3129652</v>
      </c>
      <c r="K115" s="276">
        <v>3362390</v>
      </c>
      <c r="L115" s="276">
        <v>3361731</v>
      </c>
      <c r="M115" s="276">
        <v>3485276</v>
      </c>
      <c r="N115" s="276">
        <v>3521910</v>
      </c>
      <c r="O115" s="276">
        <v>3456905</v>
      </c>
      <c r="P115" s="276">
        <v>3443425</v>
      </c>
      <c r="Q115" s="276">
        <v>3537645</v>
      </c>
      <c r="R115" s="276">
        <v>3463827</v>
      </c>
      <c r="S115" s="276">
        <v>3693171</v>
      </c>
      <c r="T115" s="276">
        <v>3711066</v>
      </c>
      <c r="U115" s="276">
        <v>3973698</v>
      </c>
      <c r="V115" s="276">
        <v>3788292</v>
      </c>
      <c r="W115" s="276">
        <v>3899911</v>
      </c>
      <c r="X115" s="276">
        <v>3751208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44265</v>
      </c>
      <c r="C118" s="273">
        <v>44820</v>
      </c>
      <c r="D118" s="273">
        <v>43943</v>
      </c>
      <c r="E118" s="273">
        <v>14520</v>
      </c>
      <c r="F118" s="273">
        <v>244565</v>
      </c>
      <c r="G118" s="273">
        <v>351000</v>
      </c>
      <c r="H118" s="273">
        <v>316399</v>
      </c>
      <c r="I118" s="273">
        <v>378523</v>
      </c>
      <c r="J118" s="273">
        <v>213290</v>
      </c>
      <c r="K118" s="273">
        <v>209055</v>
      </c>
      <c r="L118" s="273">
        <v>273780</v>
      </c>
      <c r="M118" s="273">
        <v>158250</v>
      </c>
      <c r="N118" s="273">
        <v>187759</v>
      </c>
      <c r="O118" s="273">
        <v>154300</v>
      </c>
      <c r="P118" s="273">
        <v>131480</v>
      </c>
      <c r="Q118" s="273">
        <v>65650</v>
      </c>
      <c r="R118" s="273">
        <v>96555</v>
      </c>
      <c r="S118" s="273">
        <v>129100</v>
      </c>
      <c r="T118" s="273">
        <v>174080</v>
      </c>
      <c r="U118" s="273">
        <v>176750</v>
      </c>
      <c r="V118" s="273">
        <v>140660</v>
      </c>
      <c r="W118" s="273">
        <v>140818</v>
      </c>
      <c r="X118" s="273">
        <v>140507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68">
        <v>0</v>
      </c>
      <c r="C120" s="273">
        <v>209281</v>
      </c>
      <c r="D120" s="68">
        <v>0</v>
      </c>
      <c r="E120" s="273">
        <v>186255</v>
      </c>
      <c r="F120" s="273">
        <v>139066</v>
      </c>
      <c r="G120" s="273">
        <v>128746</v>
      </c>
      <c r="H120" s="273">
        <v>151317</v>
      </c>
      <c r="I120" s="273">
        <v>198337</v>
      </c>
      <c r="J120" s="273">
        <v>121809</v>
      </c>
      <c r="K120" s="273">
        <v>179049</v>
      </c>
      <c r="L120" s="273">
        <v>184154</v>
      </c>
      <c r="M120" s="273">
        <v>163881</v>
      </c>
      <c r="N120" s="273">
        <v>130282</v>
      </c>
      <c r="O120" s="273">
        <v>115256</v>
      </c>
      <c r="P120" s="273">
        <v>144898</v>
      </c>
      <c r="Q120" s="273">
        <v>167351</v>
      </c>
      <c r="R120" s="273">
        <v>103398</v>
      </c>
      <c r="S120" s="273">
        <v>141025</v>
      </c>
      <c r="T120" s="273">
        <v>172710</v>
      </c>
      <c r="U120" s="273">
        <v>298500</v>
      </c>
      <c r="V120" s="273">
        <v>221156</v>
      </c>
      <c r="W120" s="273">
        <v>248626</v>
      </c>
      <c r="X120" s="273">
        <v>231675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289977</v>
      </c>
      <c r="C123" s="275">
        <v>293108</v>
      </c>
      <c r="D123" s="275">
        <v>425326</v>
      </c>
      <c r="E123" s="275">
        <v>282172</v>
      </c>
      <c r="F123" s="275">
        <v>202576</v>
      </c>
      <c r="G123" s="275">
        <v>358327</v>
      </c>
      <c r="H123" s="275">
        <v>242327</v>
      </c>
      <c r="I123" s="275">
        <v>301356</v>
      </c>
      <c r="J123" s="275">
        <v>269352</v>
      </c>
      <c r="K123" s="275">
        <v>554203</v>
      </c>
      <c r="L123" s="275">
        <v>332893</v>
      </c>
      <c r="M123" s="275">
        <v>359321</v>
      </c>
      <c r="N123" s="275">
        <v>332656</v>
      </c>
      <c r="O123" s="275">
        <v>579788</v>
      </c>
      <c r="P123" s="275">
        <v>326482</v>
      </c>
      <c r="Q123" s="275">
        <v>342198</v>
      </c>
      <c r="R123" s="275">
        <v>285457</v>
      </c>
      <c r="S123" s="275">
        <v>564616</v>
      </c>
      <c r="T123" s="275">
        <v>407839</v>
      </c>
      <c r="U123" s="275">
        <v>321573</v>
      </c>
      <c r="V123" s="275">
        <v>314195</v>
      </c>
      <c r="W123" s="275">
        <v>516345</v>
      </c>
      <c r="X123" s="275">
        <v>274377</v>
      </c>
    </row>
    <row r="124" spans="1:24" ht="14.25" thickBot="1" x14ac:dyDescent="0.3">
      <c r="A124" s="224" t="s">
        <v>268</v>
      </c>
      <c r="B124" s="273">
        <v>334242</v>
      </c>
      <c r="C124" s="273">
        <v>547209</v>
      </c>
      <c r="D124" s="273">
        <v>469269</v>
      </c>
      <c r="E124" s="273">
        <v>482947</v>
      </c>
      <c r="F124" s="273">
        <v>586207</v>
      </c>
      <c r="G124" s="273">
        <v>838073</v>
      </c>
      <c r="H124" s="273">
        <v>710043</v>
      </c>
      <c r="I124" s="273">
        <v>878216</v>
      </c>
      <c r="J124" s="273">
        <v>604451</v>
      </c>
      <c r="K124" s="273">
        <v>942307</v>
      </c>
      <c r="L124" s="273">
        <v>790827</v>
      </c>
      <c r="M124" s="273">
        <v>681452</v>
      </c>
      <c r="N124" s="273">
        <v>650697</v>
      </c>
      <c r="O124" s="273">
        <v>849344</v>
      </c>
      <c r="P124" s="273">
        <v>602860</v>
      </c>
      <c r="Q124" s="273">
        <v>575199</v>
      </c>
      <c r="R124" s="273">
        <v>485410</v>
      </c>
      <c r="S124" s="273">
        <v>834741</v>
      </c>
      <c r="T124" s="273">
        <v>754629</v>
      </c>
      <c r="U124" s="273">
        <v>796823</v>
      </c>
      <c r="V124" s="273">
        <v>676011</v>
      </c>
      <c r="W124" s="273">
        <v>905789</v>
      </c>
      <c r="X124" s="273">
        <v>646559</v>
      </c>
    </row>
    <row r="125" spans="1:24" ht="14.25" thickBot="1" x14ac:dyDescent="0.3">
      <c r="A125" s="225" t="s">
        <v>32</v>
      </c>
      <c r="B125" s="275">
        <v>87432</v>
      </c>
      <c r="C125" s="274">
        <v>0</v>
      </c>
      <c r="D125" s="275">
        <v>105270</v>
      </c>
      <c r="E125" s="274">
        <v>0</v>
      </c>
      <c r="F125" s="275">
        <v>110489</v>
      </c>
      <c r="G125" s="275">
        <v>110489</v>
      </c>
      <c r="H125" s="275">
        <v>110489</v>
      </c>
      <c r="I125" s="275">
        <v>125786</v>
      </c>
      <c r="J125" s="275">
        <v>125786</v>
      </c>
      <c r="K125" s="275">
        <v>125786</v>
      </c>
      <c r="L125" s="275">
        <v>125786</v>
      </c>
      <c r="M125" s="275">
        <v>149108</v>
      </c>
      <c r="N125" s="275">
        <v>146403</v>
      </c>
      <c r="O125" s="275">
        <v>142986</v>
      </c>
      <c r="P125" s="275">
        <v>158675</v>
      </c>
      <c r="Q125" s="275">
        <v>159805</v>
      </c>
      <c r="R125" s="275">
        <v>154906</v>
      </c>
      <c r="S125" s="275">
        <v>155586</v>
      </c>
      <c r="T125" s="275">
        <v>148293</v>
      </c>
      <c r="U125" s="275">
        <v>165829</v>
      </c>
      <c r="V125" s="275">
        <v>150268</v>
      </c>
      <c r="W125" s="275">
        <v>150963</v>
      </c>
      <c r="X125" s="275">
        <v>149700</v>
      </c>
    </row>
    <row r="126" spans="1:24" ht="14.25" thickBot="1" x14ac:dyDescent="0.3">
      <c r="A126" s="224" t="s">
        <v>33</v>
      </c>
      <c r="B126" s="68">
        <v>0</v>
      </c>
      <c r="C126" s="273">
        <v>90304</v>
      </c>
      <c r="D126" s="273">
        <v>-8775</v>
      </c>
      <c r="E126" s="273">
        <v>100307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421674</v>
      </c>
      <c r="C127" s="275">
        <v>637513</v>
      </c>
      <c r="D127" s="275">
        <v>565764</v>
      </c>
      <c r="E127" s="275">
        <v>583254</v>
      </c>
      <c r="F127" s="275">
        <v>696696</v>
      </c>
      <c r="G127" s="275">
        <v>948562</v>
      </c>
      <c r="H127" s="275">
        <v>820532</v>
      </c>
      <c r="I127" s="275">
        <v>1004002</v>
      </c>
      <c r="J127" s="275">
        <v>730237</v>
      </c>
      <c r="K127" s="275">
        <v>1068093</v>
      </c>
      <c r="L127" s="275">
        <v>916613</v>
      </c>
      <c r="M127" s="275">
        <v>830560</v>
      </c>
      <c r="N127" s="275">
        <v>797100</v>
      </c>
      <c r="O127" s="275">
        <v>992330</v>
      </c>
      <c r="P127" s="275">
        <v>761535</v>
      </c>
      <c r="Q127" s="275">
        <v>735004</v>
      </c>
      <c r="R127" s="275">
        <v>640316</v>
      </c>
      <c r="S127" s="275">
        <v>990327</v>
      </c>
      <c r="T127" s="275">
        <v>902922</v>
      </c>
      <c r="U127" s="275">
        <v>962652</v>
      </c>
      <c r="V127" s="275">
        <v>826279</v>
      </c>
      <c r="W127" s="275">
        <v>1056752</v>
      </c>
      <c r="X127" s="275">
        <v>796259</v>
      </c>
    </row>
    <row r="128" spans="1:24" ht="14.25" thickBot="1" x14ac:dyDescent="0.3">
      <c r="A128" s="224" t="s">
        <v>34</v>
      </c>
      <c r="B128" s="273">
        <v>1345155</v>
      </c>
      <c r="C128" s="273">
        <v>1408896</v>
      </c>
      <c r="D128" s="273">
        <v>1499083</v>
      </c>
      <c r="E128" s="273">
        <v>1599974</v>
      </c>
      <c r="F128" s="273">
        <v>1724983</v>
      </c>
      <c r="G128" s="273">
        <v>2086258</v>
      </c>
      <c r="H128" s="273">
        <v>2163073</v>
      </c>
      <c r="I128" s="273">
        <v>2307440</v>
      </c>
      <c r="J128" s="273">
        <v>2399415</v>
      </c>
      <c r="K128" s="273">
        <v>2294297</v>
      </c>
      <c r="L128" s="273">
        <v>2445118</v>
      </c>
      <c r="M128" s="273">
        <v>2654716</v>
      </c>
      <c r="N128" s="273">
        <v>2724810</v>
      </c>
      <c r="O128" s="273">
        <v>2464575</v>
      </c>
      <c r="P128" s="273">
        <v>2681890</v>
      </c>
      <c r="Q128" s="273">
        <v>2802641</v>
      </c>
      <c r="R128" s="273">
        <v>2823511</v>
      </c>
      <c r="S128" s="273">
        <v>2702844</v>
      </c>
      <c r="T128" s="273">
        <v>2808144</v>
      </c>
      <c r="U128" s="273">
        <v>3011046</v>
      </c>
      <c r="V128" s="273">
        <v>2962013</v>
      </c>
      <c r="W128" s="273">
        <v>2843159</v>
      </c>
      <c r="X128" s="273">
        <v>2954949</v>
      </c>
    </row>
    <row r="129" spans="1:24" ht="14.25" thickBot="1" x14ac:dyDescent="0.3">
      <c r="A129" s="225" t="s">
        <v>35</v>
      </c>
      <c r="B129" s="276">
        <v>1766829</v>
      </c>
      <c r="C129" s="276">
        <v>2046409</v>
      </c>
      <c r="D129" s="276">
        <v>2064847</v>
      </c>
      <c r="E129" s="276">
        <v>2183228</v>
      </c>
      <c r="F129" s="276">
        <v>2421679</v>
      </c>
      <c r="G129" s="276">
        <v>3034820</v>
      </c>
      <c r="H129" s="276">
        <v>2983605</v>
      </c>
      <c r="I129" s="276">
        <v>3311442</v>
      </c>
      <c r="J129" s="276">
        <v>3129652</v>
      </c>
      <c r="K129" s="276">
        <v>3362390</v>
      </c>
      <c r="L129" s="276">
        <v>3361731</v>
      </c>
      <c r="M129" s="276">
        <v>3485276</v>
      </c>
      <c r="N129" s="276">
        <v>3521910</v>
      </c>
      <c r="O129" s="276">
        <v>3456905</v>
      </c>
      <c r="P129" s="276">
        <v>3443425</v>
      </c>
      <c r="Q129" s="276">
        <v>3537645</v>
      </c>
      <c r="R129" s="276">
        <v>3463827</v>
      </c>
      <c r="S129" s="276">
        <v>3693171</v>
      </c>
      <c r="T129" s="276">
        <v>3711066</v>
      </c>
      <c r="U129" s="276">
        <v>3973698</v>
      </c>
      <c r="V129" s="276">
        <v>3788292</v>
      </c>
      <c r="W129" s="276">
        <v>3899911</v>
      </c>
      <c r="X129" s="276">
        <v>3751208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4.45</v>
      </c>
      <c r="C132" s="68">
        <v>5.24</v>
      </c>
      <c r="D132" s="68">
        <v>7.97</v>
      </c>
      <c r="E132" s="68">
        <v>8.58</v>
      </c>
      <c r="F132" s="68">
        <v>5.27</v>
      </c>
    </row>
    <row r="133" spans="1:24" ht="14.25" thickBot="1" x14ac:dyDescent="0.3">
      <c r="A133" s="225" t="s">
        <v>37</v>
      </c>
      <c r="B133" s="274">
        <v>-0.92</v>
      </c>
      <c r="C133" s="274">
        <v>-6</v>
      </c>
      <c r="D133" s="274">
        <v>-4.3099999999999996</v>
      </c>
      <c r="E133" s="274">
        <v>-2.52</v>
      </c>
      <c r="F133" s="274">
        <v>-4.04</v>
      </c>
    </row>
    <row r="134" spans="1:24" ht="14.25" thickBot="1" x14ac:dyDescent="0.3">
      <c r="A134" s="224" t="s">
        <v>38</v>
      </c>
      <c r="B134" s="68">
        <v>-2.73</v>
      </c>
      <c r="C134" s="68">
        <v>8.9499999999999993</v>
      </c>
      <c r="D134" s="68">
        <v>-5.95</v>
      </c>
      <c r="E134" s="68">
        <v>-5.75</v>
      </c>
      <c r="F134" s="68">
        <v>-1.45</v>
      </c>
    </row>
    <row r="135" spans="1:24" ht="14.25" thickBot="1" x14ac:dyDescent="0.3">
      <c r="A135" s="225" t="s">
        <v>270</v>
      </c>
      <c r="B135" s="274">
        <v>3.53</v>
      </c>
      <c r="C135" s="274">
        <v>-0.76</v>
      </c>
      <c r="D135" s="274">
        <v>3.66</v>
      </c>
      <c r="E135" s="274">
        <v>6.06</v>
      </c>
      <c r="F135" s="274">
        <v>1.23</v>
      </c>
    </row>
    <row r="136" spans="1:24" ht="14.25" thickBot="1" x14ac:dyDescent="0.3">
      <c r="A136" s="229" t="s">
        <v>39</v>
      </c>
      <c r="B136" s="72">
        <v>0.8</v>
      </c>
      <c r="C136" s="72">
        <v>8.18</v>
      </c>
      <c r="D136" s="72">
        <v>-2.29</v>
      </c>
      <c r="E136" s="72">
        <v>0.31</v>
      </c>
      <c r="F136" s="72">
        <v>-0.22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2.21</v>
      </c>
      <c r="C140" s="68">
        <v>3</v>
      </c>
      <c r="D140" s="68">
        <v>4</v>
      </c>
      <c r="E140" s="68">
        <v>3</v>
      </c>
      <c r="F140" s="68">
        <v>3.1</v>
      </c>
    </row>
    <row r="141" spans="1:24" ht="14.25" thickBot="1" x14ac:dyDescent="0.3">
      <c r="A141" s="227" t="s">
        <v>1</v>
      </c>
      <c r="B141" s="73">
        <v>1.1100000000000001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 t="e">
        <f>B140/(HLOOKUP(B139*10+1,81:82,2,FALSE)+HLOOKUP(B139*10+2,81:82,2,FALSE)+HLOOKUP(B139*10+3,81:82,2,FALSE)+HLOOKUP(B139*10+4,81:82,2,FALSE))</f>
        <v>#VALUE!</v>
      </c>
      <c r="C142" s="234">
        <f>IF(C140&lt;&gt;"無",IF(ISNA(HLOOKUP(C139,$B$64:$F$69,6,FALSE)),"",C140/HLOOKUP(C139,$B$64:$F$69,6,FALSE)),"")</f>
        <v>0.51724137931034486</v>
      </c>
      <c r="D142" s="234">
        <f>IF(D140&lt;&gt;"無",IF(ISNA(HLOOKUP(D139,$B$64:$F$69,6,FALSE)),"",D140/HLOOKUP(D139,$B$64:$F$69,6,FALSE)),"")</f>
        <v>0.59347181008902072</v>
      </c>
      <c r="E142" s="234">
        <f>IF(E140&lt;&gt;"無",IF(ISNA(HLOOKUP(E139,$B$64:$F$69,6,FALSE)),"",E140/HLOOKUP(E139,$B$64:$F$69,6,FALSE)),"")</f>
        <v>0.51020408163265307</v>
      </c>
      <c r="F142" s="234">
        <f>IF(F140&lt;&gt;"無",IF(ISNA(HLOOKUP(F139,$B$64:$F$69,6,FALSE)),"",F140/HLOOKUP(F139,$B$64:$F$69,6,FALSE)),"")</f>
        <v>0.50488599348534202</v>
      </c>
    </row>
    <row r="143" spans="1:24" x14ac:dyDescent="0.25">
      <c r="A143" s="233" t="s">
        <v>216</v>
      </c>
      <c r="B143" s="234">
        <f>IF(OR(B140=0,B140="無"),"",B135/B140)</f>
        <v>1.597285067873303</v>
      </c>
      <c r="C143" s="234">
        <f>IF(OR(C140=0,C140="無"),"",C135/C140)</f>
        <v>-0.25333333333333335</v>
      </c>
      <c r="D143" s="234">
        <f>IF(OR(D140=0,D140="無"),"",D135/D140)</f>
        <v>0.91500000000000004</v>
      </c>
      <c r="E143" s="234">
        <f>IF(OR(E140=0,E140="無"),"",E135/E140)</f>
        <v>2.02</v>
      </c>
      <c r="F143" s="234">
        <f>IF(OR(F140=0,F140="無"),"",F135/F140)</f>
        <v>0.39677419354838706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 t="s">
        <v>43</v>
      </c>
      <c r="C146" s="68" t="s">
        <v>43</v>
      </c>
      <c r="D146" s="68">
        <v>38.68</v>
      </c>
      <c r="E146" s="68">
        <v>41.03</v>
      </c>
      <c r="F146" s="68">
        <v>37.42</v>
      </c>
      <c r="G146" s="68">
        <v>35.869999999999997</v>
      </c>
      <c r="H146" s="68">
        <v>36.14</v>
      </c>
      <c r="I146" s="68">
        <v>40.43</v>
      </c>
      <c r="J146" s="68">
        <v>32.06</v>
      </c>
      <c r="K146" s="68">
        <v>41.07</v>
      </c>
      <c r="L146" s="68">
        <v>35.729999999999997</v>
      </c>
      <c r="M146" s="68">
        <v>36.28</v>
      </c>
      <c r="N146" s="68">
        <v>32.74</v>
      </c>
      <c r="O146" s="68">
        <v>33.58</v>
      </c>
      <c r="P146" s="68">
        <v>34.299999999999997</v>
      </c>
      <c r="Q146" s="68">
        <v>35.97</v>
      </c>
      <c r="R146" s="68">
        <v>28.61</v>
      </c>
      <c r="S146" s="68">
        <v>35.92</v>
      </c>
      <c r="T146" s="68">
        <v>38.69</v>
      </c>
      <c r="U146" s="68">
        <v>37.229999999999997</v>
      </c>
      <c r="V146" s="68">
        <v>34.51</v>
      </c>
      <c r="W146" s="68">
        <v>35.83</v>
      </c>
      <c r="X146" s="68">
        <v>37.21</v>
      </c>
    </row>
    <row r="147" spans="1:24" s="93" customFormat="1" ht="14.25" thickBot="1" x14ac:dyDescent="0.3">
      <c r="A147" s="225" t="s">
        <v>19</v>
      </c>
      <c r="B147" s="274" t="s">
        <v>43</v>
      </c>
      <c r="C147" s="274" t="s">
        <v>43</v>
      </c>
      <c r="D147" s="274">
        <v>24.67</v>
      </c>
      <c r="E147" s="274">
        <v>24.66</v>
      </c>
      <c r="F147" s="274">
        <v>20.309999999999999</v>
      </c>
      <c r="G147" s="274">
        <v>20.93</v>
      </c>
      <c r="H147" s="274">
        <v>22.45</v>
      </c>
      <c r="I147" s="274">
        <v>26.09</v>
      </c>
      <c r="J147" s="274">
        <v>16.25</v>
      </c>
      <c r="K147" s="274">
        <v>28.3</v>
      </c>
      <c r="L147" s="274">
        <v>24.61</v>
      </c>
      <c r="M147" s="274">
        <v>23.63</v>
      </c>
      <c r="N147" s="274">
        <v>18.239999999999998</v>
      </c>
      <c r="O147" s="274">
        <v>19</v>
      </c>
      <c r="P147" s="274">
        <v>21.78</v>
      </c>
      <c r="Q147" s="274">
        <v>23.53</v>
      </c>
      <c r="R147" s="274">
        <v>12.33</v>
      </c>
      <c r="S147" s="274">
        <v>24.33</v>
      </c>
      <c r="T147" s="274">
        <v>28.84</v>
      </c>
      <c r="U147" s="274">
        <v>24.16</v>
      </c>
      <c r="V147" s="274">
        <v>20.07</v>
      </c>
      <c r="W147" s="274">
        <v>23.19</v>
      </c>
      <c r="X147" s="274">
        <v>25.5</v>
      </c>
    </row>
    <row r="148" spans="1:24" s="93" customFormat="1" ht="14.25" thickBot="1" x14ac:dyDescent="0.3">
      <c r="A148" s="224" t="s">
        <v>41</v>
      </c>
      <c r="B148" s="68" t="s">
        <v>43</v>
      </c>
      <c r="C148" s="68" t="s">
        <v>43</v>
      </c>
      <c r="D148" s="68">
        <v>25.85</v>
      </c>
      <c r="E148" s="68">
        <v>21.29</v>
      </c>
      <c r="F148" s="68">
        <v>23.06</v>
      </c>
      <c r="G148" s="68">
        <v>20.09</v>
      </c>
      <c r="H148" s="68">
        <v>20.89</v>
      </c>
      <c r="I148" s="68">
        <v>26.76</v>
      </c>
      <c r="J148" s="68">
        <v>16.149999999999999</v>
      </c>
      <c r="K148" s="68">
        <v>27.43</v>
      </c>
      <c r="L148" s="68">
        <v>27.94</v>
      </c>
      <c r="M148" s="68">
        <v>29.9</v>
      </c>
      <c r="N148" s="68">
        <v>18.739999999999998</v>
      </c>
      <c r="O148" s="68">
        <v>17.34</v>
      </c>
      <c r="P148" s="68">
        <v>32.020000000000003</v>
      </c>
      <c r="Q148" s="68">
        <v>27.39</v>
      </c>
      <c r="R148" s="68">
        <v>12.88</v>
      </c>
      <c r="S148" s="68">
        <v>23.75</v>
      </c>
      <c r="T148" s="68">
        <v>26.33</v>
      </c>
      <c r="U148" s="68">
        <v>32.01</v>
      </c>
      <c r="V148" s="68">
        <v>7.46</v>
      </c>
      <c r="W148" s="68">
        <v>23.7</v>
      </c>
      <c r="X148" s="68">
        <v>23.2</v>
      </c>
    </row>
    <row r="149" spans="1:24" s="93" customFormat="1" ht="14.25" thickBot="1" x14ac:dyDescent="0.3">
      <c r="A149" s="225" t="s">
        <v>13</v>
      </c>
      <c r="B149" s="73" t="s">
        <v>43</v>
      </c>
      <c r="C149" s="73" t="s">
        <v>43</v>
      </c>
      <c r="D149" s="73">
        <v>20.83</v>
      </c>
      <c r="E149" s="73">
        <v>18.88</v>
      </c>
      <c r="F149" s="73">
        <v>19.940000000000001</v>
      </c>
      <c r="G149" s="73">
        <v>15.8</v>
      </c>
      <c r="H149" s="73">
        <v>17.78</v>
      </c>
      <c r="I149" s="73">
        <v>20.7</v>
      </c>
      <c r="J149" s="73">
        <v>14.22</v>
      </c>
      <c r="K149" s="73">
        <v>20.65</v>
      </c>
      <c r="L149" s="73">
        <v>21.3</v>
      </c>
      <c r="M149" s="73">
        <v>25.56</v>
      </c>
      <c r="N149" s="73">
        <v>16.690000000000001</v>
      </c>
      <c r="O149" s="73">
        <v>11.42</v>
      </c>
      <c r="P149" s="73">
        <v>27.29</v>
      </c>
      <c r="Q149" s="73">
        <v>23.43</v>
      </c>
      <c r="R149" s="73">
        <v>10.69</v>
      </c>
      <c r="S149" s="73">
        <v>15.95</v>
      </c>
      <c r="T149" s="73">
        <v>19.670000000000002</v>
      </c>
      <c r="U149" s="73">
        <v>23.6</v>
      </c>
      <c r="V149" s="73">
        <v>5.66</v>
      </c>
      <c r="W149" s="73">
        <v>15.9</v>
      </c>
      <c r="X149" s="73">
        <v>17.649999999999999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37.409999999999997</v>
      </c>
      <c r="C152" s="68">
        <v>37.68</v>
      </c>
      <c r="D152" s="68">
        <v>36.65</v>
      </c>
      <c r="E152" s="68">
        <v>34.270000000000003</v>
      </c>
      <c r="F152" s="68">
        <v>35.869999999999997</v>
      </c>
    </row>
    <row r="153" spans="1:24" s="93" customFormat="1" ht="14.25" thickBot="1" x14ac:dyDescent="0.3">
      <c r="A153" s="225" t="s">
        <v>19</v>
      </c>
      <c r="B153" s="274">
        <v>23.12</v>
      </c>
      <c r="C153" s="274">
        <v>22.8</v>
      </c>
      <c r="D153" s="274">
        <v>23.72</v>
      </c>
      <c r="E153" s="274">
        <v>20.86</v>
      </c>
      <c r="F153" s="274">
        <v>23.55</v>
      </c>
    </row>
    <row r="154" spans="1:24" s="93" customFormat="1" ht="14.25" thickBot="1" x14ac:dyDescent="0.3">
      <c r="A154" s="224" t="s">
        <v>41</v>
      </c>
      <c r="B154" s="68">
        <v>22.6</v>
      </c>
      <c r="C154" s="68">
        <v>22.99</v>
      </c>
      <c r="D154" s="68">
        <v>25.97</v>
      </c>
      <c r="E154" s="68">
        <v>24.39</v>
      </c>
      <c r="F154" s="68">
        <v>25.06</v>
      </c>
    </row>
    <row r="155" spans="1:24" s="93" customFormat="1" ht="14.25" thickBot="1" x14ac:dyDescent="0.3">
      <c r="A155" s="225" t="s">
        <v>13</v>
      </c>
      <c r="B155" s="73">
        <v>19.059999999999999</v>
      </c>
      <c r="C155" s="73">
        <v>18.690000000000001</v>
      </c>
      <c r="D155" s="73">
        <v>20.84</v>
      </c>
      <c r="E155" s="73">
        <v>20.239999999999998</v>
      </c>
      <c r="F155" s="73">
        <v>18.37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 t="s">
        <v>43</v>
      </c>
      <c r="C158" s="68" t="s">
        <v>43</v>
      </c>
      <c r="D158" s="68">
        <v>5.15</v>
      </c>
      <c r="E158" s="68">
        <v>5.09</v>
      </c>
      <c r="F158" s="68">
        <v>3.77</v>
      </c>
      <c r="G158" s="68">
        <v>2.82</v>
      </c>
      <c r="H158" s="68">
        <v>3.2</v>
      </c>
      <c r="I158" s="68">
        <v>4.38</v>
      </c>
      <c r="J158" s="68">
        <v>2.16</v>
      </c>
      <c r="K158" s="68">
        <v>4.33</v>
      </c>
      <c r="L158" s="68">
        <v>3.91</v>
      </c>
      <c r="M158" s="68">
        <v>4.79</v>
      </c>
      <c r="N158" s="68">
        <v>2.4</v>
      </c>
      <c r="O158" s="68">
        <v>1.57</v>
      </c>
      <c r="P158" s="68">
        <v>4.46</v>
      </c>
      <c r="Q158" s="68">
        <v>4.21</v>
      </c>
      <c r="R158" s="68">
        <v>1.29</v>
      </c>
      <c r="S158" s="68">
        <v>2.71</v>
      </c>
      <c r="T158" s="68">
        <v>3.83</v>
      </c>
      <c r="U158" s="68">
        <v>4.4000000000000004</v>
      </c>
      <c r="V158" s="68">
        <v>0.71</v>
      </c>
      <c r="W158" s="68">
        <v>2.76</v>
      </c>
      <c r="X158" s="68">
        <v>3.09</v>
      </c>
    </row>
    <row r="159" spans="1:24" s="93" customFormat="1" ht="14.25" thickBot="1" x14ac:dyDescent="0.3">
      <c r="A159" s="225" t="s">
        <v>45</v>
      </c>
      <c r="B159" s="73" t="s">
        <v>43</v>
      </c>
      <c r="C159" s="73" t="s">
        <v>43</v>
      </c>
      <c r="D159" s="73">
        <v>7.28</v>
      </c>
      <c r="E159" s="73">
        <v>6.98</v>
      </c>
      <c r="F159" s="73">
        <v>5.22</v>
      </c>
      <c r="G159" s="73">
        <v>3.99</v>
      </c>
      <c r="H159" s="73">
        <v>4.46</v>
      </c>
      <c r="I159" s="73">
        <v>6.12</v>
      </c>
      <c r="J159" s="73">
        <v>2.9</v>
      </c>
      <c r="K159" s="73">
        <v>5.96</v>
      </c>
      <c r="L159" s="73">
        <v>5.51</v>
      </c>
      <c r="M159" s="73">
        <v>6.4</v>
      </c>
      <c r="N159" s="73">
        <v>3.1</v>
      </c>
      <c r="O159" s="73">
        <v>2.09</v>
      </c>
      <c r="P159" s="73">
        <v>5.96</v>
      </c>
      <c r="Q159" s="73">
        <v>5.33</v>
      </c>
      <c r="R159" s="73">
        <v>1.59</v>
      </c>
      <c r="S159" s="73">
        <v>3.5</v>
      </c>
      <c r="T159" s="73">
        <v>5.12</v>
      </c>
      <c r="U159" s="73">
        <v>5.8</v>
      </c>
      <c r="V159" s="73">
        <v>0.9</v>
      </c>
      <c r="W159" s="73">
        <v>3.64</v>
      </c>
      <c r="X159" s="73">
        <v>4.07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19.059999999999999</v>
      </c>
      <c r="C162" s="68">
        <v>18.690000000000001</v>
      </c>
      <c r="D162" s="68">
        <v>20.84</v>
      </c>
      <c r="E162" s="68">
        <v>20.239999999999998</v>
      </c>
      <c r="F162" s="68">
        <v>18.37</v>
      </c>
    </row>
    <row r="163" spans="1:72" s="93" customFormat="1" ht="14.25" thickBot="1" x14ac:dyDescent="0.3">
      <c r="A163" s="225" t="s">
        <v>18</v>
      </c>
      <c r="B163" s="274">
        <v>0.91</v>
      </c>
      <c r="C163" s="274">
        <v>0.64</v>
      </c>
      <c r="D163" s="274">
        <v>0.69</v>
      </c>
      <c r="E163" s="274">
        <v>0.61</v>
      </c>
      <c r="F163" s="274">
        <v>0.62</v>
      </c>
    </row>
    <row r="164" spans="1:72" s="93" customFormat="1" ht="14.25" thickBot="1" x14ac:dyDescent="0.3">
      <c r="A164" s="224" t="s">
        <v>15</v>
      </c>
      <c r="B164" s="68">
        <v>1.36</v>
      </c>
      <c r="C164" s="68">
        <v>1.44</v>
      </c>
      <c r="D164" s="68">
        <v>1.31</v>
      </c>
      <c r="E164" s="68">
        <v>1.26</v>
      </c>
      <c r="F164" s="68">
        <v>1.32</v>
      </c>
    </row>
    <row r="165" spans="1:72" s="93" customFormat="1" ht="14.25" thickBot="1" x14ac:dyDescent="0.3">
      <c r="A165" s="225" t="s">
        <v>45</v>
      </c>
      <c r="B165" s="73">
        <v>26.01</v>
      </c>
      <c r="C165" s="73">
        <v>20.190000000000001</v>
      </c>
      <c r="D165" s="73">
        <v>20.22</v>
      </c>
      <c r="E165" s="73">
        <v>16.010000000000002</v>
      </c>
      <c r="F165" s="73">
        <v>15.53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 t="s">
        <v>43</v>
      </c>
      <c r="C168" s="68" t="s">
        <v>43</v>
      </c>
      <c r="D168" s="68">
        <v>69.77</v>
      </c>
      <c r="E168" s="68">
        <v>68.7</v>
      </c>
      <c r="F168" s="68">
        <v>180</v>
      </c>
      <c r="G168" s="68">
        <v>145.16</v>
      </c>
      <c r="H168" s="68">
        <v>132.35</v>
      </c>
      <c r="I168" s="68">
        <v>130.43</v>
      </c>
      <c r="J168" s="68">
        <v>187.5</v>
      </c>
      <c r="K168" s="68">
        <v>128.57</v>
      </c>
      <c r="L168" s="68">
        <v>150</v>
      </c>
      <c r="M168" s="68">
        <v>150</v>
      </c>
      <c r="N168" s="68">
        <v>176.47</v>
      </c>
      <c r="O168" s="68">
        <v>157.88999999999999</v>
      </c>
      <c r="P168" s="68">
        <v>134.33000000000001</v>
      </c>
      <c r="Q168" s="68">
        <v>136.36000000000001</v>
      </c>
      <c r="R168" s="68">
        <v>191.49</v>
      </c>
      <c r="S168" s="68">
        <v>121.62</v>
      </c>
      <c r="T168" s="68">
        <v>120</v>
      </c>
      <c r="U168" s="68">
        <v>142.86000000000001</v>
      </c>
      <c r="V168" s="68">
        <v>200</v>
      </c>
      <c r="W168" s="68">
        <v>132.35</v>
      </c>
      <c r="X168" s="68">
        <v>142.86000000000001</v>
      </c>
    </row>
    <row r="169" spans="1:72" s="93" customFormat="1" ht="14.25" thickBot="1" x14ac:dyDescent="0.3">
      <c r="A169" s="225" t="s">
        <v>17</v>
      </c>
      <c r="B169" s="274" t="s">
        <v>43</v>
      </c>
      <c r="C169" s="274" t="s">
        <v>43</v>
      </c>
      <c r="D169" s="274">
        <v>60.4</v>
      </c>
      <c r="E169" s="274">
        <v>61.22</v>
      </c>
      <c r="F169" s="274">
        <v>81.08</v>
      </c>
      <c r="G169" s="274">
        <v>65.22</v>
      </c>
      <c r="H169" s="274">
        <v>54.22</v>
      </c>
      <c r="I169" s="274">
        <v>49.45</v>
      </c>
      <c r="J169" s="274">
        <v>63.38</v>
      </c>
      <c r="K169" s="274">
        <v>51.72</v>
      </c>
      <c r="L169" s="274">
        <v>53.57</v>
      </c>
      <c r="M169" s="274">
        <v>53.25</v>
      </c>
      <c r="N169" s="274">
        <v>65.69</v>
      </c>
      <c r="O169" s="274">
        <v>63.38</v>
      </c>
      <c r="P169" s="274">
        <v>49.18</v>
      </c>
      <c r="Q169" s="274">
        <v>48.13</v>
      </c>
      <c r="R169" s="274">
        <v>68.7</v>
      </c>
      <c r="S169" s="274">
        <v>55.21</v>
      </c>
      <c r="T169" s="274">
        <v>50.85</v>
      </c>
      <c r="U169" s="274">
        <v>53.57</v>
      </c>
      <c r="V169" s="274">
        <v>81.08</v>
      </c>
      <c r="W169" s="274">
        <v>56.25</v>
      </c>
      <c r="X169" s="274">
        <v>52.02</v>
      </c>
    </row>
    <row r="170" spans="1:72" s="93" customFormat="1" ht="14.25" thickBot="1" x14ac:dyDescent="0.3">
      <c r="A170" s="224" t="s">
        <v>42</v>
      </c>
      <c r="B170" s="72" t="s">
        <v>43</v>
      </c>
      <c r="C170" s="72" t="s">
        <v>43</v>
      </c>
      <c r="D170" s="72">
        <v>130.16999999999999</v>
      </c>
      <c r="E170" s="72">
        <v>129.93</v>
      </c>
      <c r="F170" s="72">
        <v>261.08</v>
      </c>
      <c r="G170" s="72">
        <v>210.38</v>
      </c>
      <c r="H170" s="72">
        <v>186.57</v>
      </c>
      <c r="I170" s="72">
        <v>179.89</v>
      </c>
      <c r="J170" s="72">
        <v>250.88</v>
      </c>
      <c r="K170" s="72">
        <v>180.3</v>
      </c>
      <c r="L170" s="72">
        <v>203.57</v>
      </c>
      <c r="M170" s="72">
        <v>203.25</v>
      </c>
      <c r="N170" s="72">
        <v>242.16</v>
      </c>
      <c r="O170" s="72">
        <v>221.28</v>
      </c>
      <c r="P170" s="72">
        <v>183.51</v>
      </c>
      <c r="Q170" s="72">
        <v>184.49</v>
      </c>
      <c r="R170" s="72">
        <v>260.19</v>
      </c>
      <c r="S170" s="72">
        <v>176.84</v>
      </c>
      <c r="T170" s="72">
        <v>170.85</v>
      </c>
      <c r="U170" s="72">
        <v>196.43</v>
      </c>
      <c r="V170" s="72">
        <v>281.08</v>
      </c>
      <c r="W170" s="72">
        <v>188.6</v>
      </c>
      <c r="X170" s="72">
        <v>194.88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71.62</v>
      </c>
      <c r="C173" s="72">
        <v>95.02</v>
      </c>
      <c r="D173" s="72">
        <v>118.37</v>
      </c>
      <c r="E173" s="72">
        <v>145.79</v>
      </c>
      <c r="F173" s="72">
        <v>85.81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 t="s">
        <v>43</v>
      </c>
      <c r="C176" s="72" t="s">
        <v>43</v>
      </c>
      <c r="D176" s="72" t="s">
        <v>43</v>
      </c>
      <c r="E176" s="72" t="s">
        <v>43</v>
      </c>
      <c r="F176" s="72" t="s">
        <v>43</v>
      </c>
      <c r="G176" s="72" t="s">
        <v>43</v>
      </c>
      <c r="H176" s="72" t="s">
        <v>43</v>
      </c>
      <c r="I176" s="72" t="s">
        <v>43</v>
      </c>
      <c r="J176" s="72" t="s">
        <v>43</v>
      </c>
      <c r="K176" s="72" t="s">
        <v>43</v>
      </c>
      <c r="L176" s="72">
        <v>8.91</v>
      </c>
      <c r="M176" s="72">
        <v>11.5</v>
      </c>
      <c r="N176" s="72">
        <v>13.66</v>
      </c>
      <c r="O176" s="72">
        <v>14.52</v>
      </c>
      <c r="P176" s="72">
        <v>15.09</v>
      </c>
      <c r="Q176" s="72">
        <v>12.57</v>
      </c>
      <c r="R176" s="72">
        <v>11.08</v>
      </c>
      <c r="S176" s="72">
        <v>10.220000000000001</v>
      </c>
      <c r="T176" s="72">
        <v>8.56</v>
      </c>
      <c r="U176" s="72">
        <v>9.09</v>
      </c>
      <c r="V176" s="72">
        <v>8.36</v>
      </c>
      <c r="W176" s="72">
        <v>8.8699999999999992</v>
      </c>
      <c r="X176" s="72">
        <v>10.78</v>
      </c>
      <c r="Y176" s="72">
        <v>11.59</v>
      </c>
      <c r="Z176" s="72">
        <v>13.81</v>
      </c>
      <c r="AA176" s="72">
        <v>12.77</v>
      </c>
      <c r="AB176" s="72">
        <v>10.96</v>
      </c>
      <c r="AC176" s="72">
        <v>11.21</v>
      </c>
      <c r="AD176" s="72">
        <v>11.93</v>
      </c>
      <c r="AE176" s="72">
        <v>12.53</v>
      </c>
      <c r="AF176" s="72">
        <v>13.14</v>
      </c>
      <c r="AG176" s="72">
        <v>11.68</v>
      </c>
      <c r="AH176" s="72">
        <v>11.08</v>
      </c>
      <c r="AI176" s="72">
        <v>9.8000000000000007</v>
      </c>
      <c r="AJ176" s="72">
        <v>8.76</v>
      </c>
      <c r="AK176" s="72">
        <v>9.4499999999999993</v>
      </c>
      <c r="AL176" s="72">
        <v>9.2799999999999994</v>
      </c>
      <c r="AM176" s="72">
        <v>9.31</v>
      </c>
      <c r="AN176" s="72">
        <v>9.5500000000000007</v>
      </c>
      <c r="AO176" s="72">
        <v>9.42</v>
      </c>
      <c r="AP176" s="72">
        <v>8.32</v>
      </c>
      <c r="AQ176" s="72">
        <v>7.41</v>
      </c>
      <c r="AR176" s="72">
        <v>6.66</v>
      </c>
      <c r="AS176" s="72">
        <v>6.31</v>
      </c>
      <c r="AT176" s="72">
        <v>6.41</v>
      </c>
      <c r="AU176" s="72">
        <v>7.31</v>
      </c>
      <c r="AV176" s="72">
        <v>7.38</v>
      </c>
      <c r="AW176" s="72">
        <v>6.97</v>
      </c>
      <c r="AX176" s="72">
        <v>6.39</v>
      </c>
      <c r="AY176" s="72">
        <v>6.56</v>
      </c>
      <c r="AZ176" s="72">
        <v>8</v>
      </c>
      <c r="BA176" s="72">
        <v>7.6</v>
      </c>
      <c r="BB176" s="72">
        <v>7.64</v>
      </c>
      <c r="BC176" s="72">
        <v>8</v>
      </c>
      <c r="BD176" s="72">
        <v>8.7899999999999991</v>
      </c>
      <c r="BE176" s="72">
        <v>9.4499999999999993</v>
      </c>
      <c r="BF176" s="72">
        <v>9.67</v>
      </c>
      <c r="BG176" s="72">
        <v>9.85</v>
      </c>
      <c r="BH176" s="72">
        <v>9.07</v>
      </c>
      <c r="BI176" s="72">
        <v>9.0399999999999991</v>
      </c>
      <c r="BJ176" s="72">
        <v>9.1999999999999993</v>
      </c>
      <c r="BK176" s="72">
        <v>9.17</v>
      </c>
      <c r="BL176" s="72">
        <v>9.09</v>
      </c>
      <c r="BM176" s="72">
        <v>8.76</v>
      </c>
      <c r="BN176" s="72">
        <v>8.83</v>
      </c>
      <c r="BO176" s="72">
        <v>9.2799999999999994</v>
      </c>
      <c r="BP176" s="72">
        <v>9.1199999999999992</v>
      </c>
      <c r="BQ176" s="72">
        <v>8.5299999999999994</v>
      </c>
      <c r="BR176" s="72">
        <v>8.51</v>
      </c>
      <c r="BS176" s="72">
        <v>8.31</v>
      </c>
      <c r="BT176" s="72">
        <v>8.82</v>
      </c>
    </row>
  </sheetData>
  <phoneticPr fontId="3" type="noConversion"/>
  <conditionalFormatting sqref="E4">
    <cfRule type="cellIs" dxfId="3299" priority="103" operator="greaterThan">
      <formula>0.2</formula>
    </cfRule>
    <cfRule type="cellIs" dxfId="329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329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296" priority="97" operator="greaterThan">
      <formula>$B$19</formula>
    </cfRule>
  </conditionalFormatting>
  <conditionalFormatting sqref="D33:D34">
    <cfRule type="cellIs" dxfId="329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3294" priority="91" operator="lessThan">
      <formula>$H$62</formula>
    </cfRule>
    <cfRule type="cellIs" dxfId="3293" priority="92" operator="greaterThan">
      <formula>$H$62</formula>
    </cfRule>
  </conditionalFormatting>
  <conditionalFormatting sqref="J62">
    <cfRule type="cellIs" dxfId="3292" priority="89" operator="lessThan">
      <formula>$K$62</formula>
    </cfRule>
    <cfRule type="cellIs" dxfId="3291" priority="90" operator="greaterThan">
      <formula>$K$62</formula>
    </cfRule>
  </conditionalFormatting>
  <conditionalFormatting sqref="M62">
    <cfRule type="cellIs" dxfId="3290" priority="87" operator="lessThan">
      <formula>$N$62</formula>
    </cfRule>
    <cfRule type="cellIs" dxfId="3289" priority="88" operator="greaterThan">
      <formula>$N$62</formula>
    </cfRule>
  </conditionalFormatting>
  <conditionalFormatting sqref="B44:E44">
    <cfRule type="cellIs" dxfId="3288" priority="85" operator="greaterThan">
      <formula>0</formula>
    </cfRule>
    <cfRule type="cellIs" dxfId="3287" priority="86" operator="lessThan">
      <formula>0</formula>
    </cfRule>
  </conditionalFormatting>
  <conditionalFormatting sqref="F72">
    <cfRule type="cellIs" dxfId="3286" priority="84" operator="lessThan">
      <formula>$E$72*90%</formula>
    </cfRule>
  </conditionalFormatting>
  <conditionalFormatting sqref="F73">
    <cfRule type="cellIs" dxfId="3285" priority="83" operator="lessThan">
      <formula>$E$73*90%</formula>
    </cfRule>
  </conditionalFormatting>
  <conditionalFormatting sqref="F74">
    <cfRule type="cellIs" dxfId="3284" priority="82" operator="lessThan">
      <formula>$E$74*90%</formula>
    </cfRule>
  </conditionalFormatting>
  <conditionalFormatting sqref="F75">
    <cfRule type="cellIs" dxfId="3283" priority="81" operator="lessThan">
      <formula>$E$75*90%</formula>
    </cfRule>
  </conditionalFormatting>
  <conditionalFormatting sqref="H44:K44">
    <cfRule type="cellIs" dxfId="3282" priority="79" operator="greaterThan">
      <formula>0</formula>
    </cfRule>
    <cfRule type="cellIs" dxfId="3281" priority="80" operator="lessThan">
      <formula>0</formula>
    </cfRule>
  </conditionalFormatting>
  <conditionalFormatting sqref="H51:K51">
    <cfRule type="cellIs" dxfId="3280" priority="77" operator="greaterThan">
      <formula>0</formula>
    </cfRule>
    <cfRule type="cellIs" dxfId="3279" priority="78" operator="lessThan">
      <formula>0</formula>
    </cfRule>
  </conditionalFormatting>
  <conditionalFormatting sqref="B51:E51">
    <cfRule type="cellIs" dxfId="3278" priority="75" operator="greaterThan">
      <formula>0</formula>
    </cfRule>
    <cfRule type="cellIs" dxfId="327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27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27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274" priority="58" operator="lessThan">
      <formula>0</formula>
    </cfRule>
  </conditionalFormatting>
  <conditionalFormatting sqref="A25 E25 C25">
    <cfRule type="cellIs" dxfId="3273" priority="59" operator="lessThan">
      <formula>0</formula>
    </cfRule>
  </conditionalFormatting>
  <conditionalFormatting sqref="F25">
    <cfRule type="cellIs" dxfId="3272" priority="57" operator="lessThan">
      <formula>0</formula>
    </cfRule>
  </conditionalFormatting>
  <conditionalFormatting sqref="E1">
    <cfRule type="containsText" dxfId="3271" priority="56" operator="containsText" text="本季業外損益/平均=-">
      <formula>NOT(ISERROR(SEARCH("本季業外損益/平均=-",E1)))</formula>
    </cfRule>
  </conditionalFormatting>
  <conditionalFormatting sqref="M65">
    <cfRule type="cellIs" dxfId="3270" priority="55" operator="lessThan">
      <formula>$L$65*90%</formula>
    </cfRule>
  </conditionalFormatting>
  <conditionalFormatting sqref="M66">
    <cfRule type="cellIs" dxfId="3269" priority="54" operator="lessThan">
      <formula>$L$66*90%</formula>
    </cfRule>
  </conditionalFormatting>
  <conditionalFormatting sqref="M67">
    <cfRule type="cellIs" dxfId="3268" priority="53" operator="lessThan">
      <formula>$L$67*90%</formula>
    </cfRule>
  </conditionalFormatting>
  <conditionalFormatting sqref="M68">
    <cfRule type="cellIs" dxfId="3267" priority="52" operator="lessThan">
      <formula>$L$68*90%</formula>
    </cfRule>
  </conditionalFormatting>
  <conditionalFormatting sqref="B60">
    <cfRule type="cellIs" dxfId="3266" priority="51" operator="lessThan">
      <formula>0</formula>
    </cfRule>
  </conditionalFormatting>
  <conditionalFormatting sqref="B59:F59">
    <cfRule type="cellIs" dxfId="3265" priority="50" operator="lessThanOrEqual">
      <formula>0</formula>
    </cfRule>
  </conditionalFormatting>
  <conditionalFormatting sqref="D62">
    <cfRule type="cellIs" dxfId="3264" priority="48" operator="lessThan">
      <formula>$E$62</formula>
    </cfRule>
    <cfRule type="cellIs" dxfId="3263" priority="49" operator="greaterThan">
      <formula>$E$62</formula>
    </cfRule>
  </conditionalFormatting>
  <conditionalFormatting sqref="F69">
    <cfRule type="cellIs" dxfId="3262" priority="46" operator="lessThan">
      <formula>0</formula>
    </cfRule>
  </conditionalFormatting>
  <conditionalFormatting sqref="B65:E67 B69:E69 B68:D68">
    <cfRule type="cellIs" dxfId="3261" priority="47" operator="lessThan">
      <formula>0</formula>
    </cfRule>
  </conditionalFormatting>
  <conditionalFormatting sqref="E68">
    <cfRule type="cellIs" dxfId="3260" priority="45" operator="lessThan">
      <formula>0</formula>
    </cfRule>
  </conditionalFormatting>
  <conditionalFormatting sqref="F65:F68">
    <cfRule type="cellIs" dxfId="3259" priority="44" operator="lessThan">
      <formula>0</formula>
    </cfRule>
  </conditionalFormatting>
  <conditionalFormatting sqref="F65:F68">
    <cfRule type="cellIs" dxfId="3258" priority="43" operator="lessThan">
      <formula>$E$65*0.9</formula>
    </cfRule>
  </conditionalFormatting>
  <conditionalFormatting sqref="F66">
    <cfRule type="cellIs" dxfId="3257" priority="42" operator="lessThan">
      <formula>$E$66*0.9</formula>
    </cfRule>
  </conditionalFormatting>
  <conditionalFormatting sqref="F67:F68">
    <cfRule type="cellIs" dxfId="3256" priority="41" operator="lessThan">
      <formula>$E$67*0.9</formula>
    </cfRule>
  </conditionalFormatting>
  <conditionalFormatting sqref="F68">
    <cfRule type="cellIs" dxfId="3255" priority="40" operator="lessThan">
      <formula>$E$68*0.9</formula>
    </cfRule>
  </conditionalFormatting>
  <conditionalFormatting sqref="B13:F13">
    <cfRule type="cellIs" dxfId="3254" priority="29" operator="greaterThan">
      <formula>$I$16</formula>
    </cfRule>
    <cfRule type="cellIs" dxfId="3253" priority="30" operator="lessThanOrEqual">
      <formula>$I$16</formula>
    </cfRule>
  </conditionalFormatting>
  <conditionalFormatting sqref="B10:F10">
    <cfRule type="cellIs" dxfId="3252" priority="31" operator="greaterThan">
      <formula>15</formula>
    </cfRule>
    <cfRule type="cellIs" dxfId="3251" priority="38" operator="lessThan">
      <formula>$I$9</formula>
    </cfRule>
    <cfRule type="cellIs" dxfId="3250" priority="39" operator="greaterThan">
      <formula>$I$9</formula>
    </cfRule>
  </conditionalFormatting>
  <conditionalFormatting sqref="B16:F16">
    <cfRule type="cellIs" dxfId="3249" priority="36" operator="greaterThan">
      <formula>$I$16</formula>
    </cfRule>
    <cfRule type="cellIs" dxfId="3248" priority="37" operator="lessThanOrEqual">
      <formula>$I$16</formula>
    </cfRule>
  </conditionalFormatting>
  <conditionalFormatting sqref="B15:F15">
    <cfRule type="cellIs" dxfId="3247" priority="34" operator="lessThanOrEqual">
      <formula>$I$16</formula>
    </cfRule>
    <cfRule type="cellIs" dxfId="3246" priority="35" operator="greaterThan">
      <formula>$I$16</formula>
    </cfRule>
  </conditionalFormatting>
  <conditionalFormatting sqref="B14:F14">
    <cfRule type="cellIs" dxfId="3245" priority="32" operator="greaterThan">
      <formula>$I$16</formula>
    </cfRule>
    <cfRule type="cellIs" dxfId="3244" priority="33" operator="lessThanOrEqual">
      <formula>$I$16</formula>
    </cfRule>
  </conditionalFormatting>
  <conditionalFormatting sqref="K6">
    <cfRule type="containsText" dxfId="3243" priority="27" operator="containsText" text="衰退">
      <formula>NOT(ISERROR(SEARCH("衰退",K6)))</formula>
    </cfRule>
    <cfRule type="containsText" dxfId="3242" priority="28" operator="containsText" text="成長">
      <formula>NOT(ISERROR(SEARCH("成長",K6)))</formula>
    </cfRule>
  </conditionalFormatting>
  <conditionalFormatting sqref="I4:K4">
    <cfRule type="cellIs" dxfId="3241" priority="25" operator="lessThan">
      <formula>0</formula>
    </cfRule>
    <cfRule type="cellIs" dxfId="324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239" priority="22" operator="lessThanOrEqual">
      <formula>$I$16</formula>
    </cfRule>
    <cfRule type="cellIs" dxfId="3238" priority="23" operator="greaterThan">
      <formula>$I$16</formula>
    </cfRule>
  </conditionalFormatting>
  <conditionalFormatting sqref="I6">
    <cfRule type="containsText" dxfId="3237" priority="20" operator="containsText" text="衰退">
      <formula>NOT(ISERROR(SEARCH("衰退",I6)))</formula>
    </cfRule>
    <cfRule type="containsText" dxfId="3236" priority="21" operator="containsText" text="成長">
      <formula>NOT(ISERROR(SEARCH("成長",I6)))</formula>
    </cfRule>
  </conditionalFormatting>
  <conditionalFormatting sqref="M9">
    <cfRule type="cellIs" dxfId="3235" priority="19" operator="lessThan">
      <formula>$I$9</formula>
    </cfRule>
  </conditionalFormatting>
  <conditionalFormatting sqref="M10">
    <cfRule type="cellIs" dxfId="3234" priority="18" operator="greaterThan">
      <formula>$I$9</formula>
    </cfRule>
  </conditionalFormatting>
  <conditionalFormatting sqref="M11">
    <cfRule type="cellIs" dxfId="323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232" priority="14" operator="lessThan">
      <formula>0</formula>
    </cfRule>
    <cfRule type="cellIs" dxfId="3231" priority="15" operator="greaterThan">
      <formula>0.5</formula>
    </cfRule>
  </conditionalFormatting>
  <conditionalFormatting sqref="N14">
    <cfRule type="cellIs" dxfId="323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229" priority="10" operator="lessThan">
      <formula>0.1</formula>
    </cfRule>
  </conditionalFormatting>
  <conditionalFormatting sqref="I14">
    <cfRule type="cellIs" dxfId="322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22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226" priority="1" operator="lessThan">
      <formula>$N$5*0.9</formula>
    </cfRule>
    <cfRule type="cellIs" dxfId="3225" priority="2" operator="greaterThan">
      <formula>$N$5*1.1</formula>
    </cfRule>
  </conditionalFormatting>
  <hyperlinks>
    <hyperlink ref="L1" location="儀表板!A1" display="(回首頁)" xr:uid="{00000000-0004-0000-3C00-000000000000}"/>
  </hyperlink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201801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6.31 ~ 17.87</v>
      </c>
      <c r="L1" s="83" t="s">
        <v>176</v>
      </c>
      <c r="M1" s="84" t="str">
        <f ca="1">VLOOKUP(_xlfn.NUMBERVALUE(N1),儀表板!A:B,2,FALSE)</f>
        <v>三星</v>
      </c>
      <c r="N1" s="85" t="str">
        <f ca="1">MID(CELL("filename",L1),FIND("]",CELL("filename",L1))+1,255)</f>
        <v>5007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0.18844350125546319</v>
      </c>
    </row>
    <row r="3" spans="1:15" s="93" customFormat="1" x14ac:dyDescent="0.25">
      <c r="A3" s="81" t="s">
        <v>179</v>
      </c>
      <c r="B3" s="94">
        <f>SUM(F19:F22,F24:F27,J19)</f>
        <v>92.05146104598029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62.450861131070319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73.896963233111691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77.009838973700653</v>
      </c>
      <c r="L3" s="100"/>
      <c r="M3" s="79" t="s">
        <v>385</v>
      </c>
      <c r="N3" s="92">
        <f>(F69-E69)/E69</f>
        <v>5.8975849470625168E-2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29.5</v>
      </c>
      <c r="E4" s="82">
        <f>(D4-F4)/F4</f>
        <v>0</v>
      </c>
      <c r="F4" s="103">
        <v>29.5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3.9182106430413128</v>
      </c>
    </row>
    <row r="5" spans="1:15" s="93" customFormat="1" x14ac:dyDescent="0.25">
      <c r="A5" s="81" t="s">
        <v>184</v>
      </c>
      <c r="B5" s="107">
        <f>SUM(F30:F34)*2</f>
        <v>96.519214428857723</v>
      </c>
      <c r="C5" s="87"/>
      <c r="D5" s="87"/>
      <c r="E5" s="87"/>
      <c r="F5" s="86"/>
      <c r="G5" s="88"/>
      <c r="M5" s="79" t="s">
        <v>386</v>
      </c>
      <c r="N5" s="152">
        <f>D62</f>
        <v>3.79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4.4054236095308656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25.68</v>
      </c>
      <c r="N9" s="129"/>
    </row>
    <row r="10" spans="1:15" s="93" customFormat="1" x14ac:dyDescent="0.25">
      <c r="A10" s="123" t="s">
        <v>194</v>
      </c>
      <c r="B10" s="126">
        <f>PERCENTILE(176:176,B9)</f>
        <v>14.46</v>
      </c>
      <c r="C10" s="126">
        <f>PERCENTILE(176:176,C9)</f>
        <v>16.149999999999999</v>
      </c>
      <c r="D10" s="126">
        <f>PERCENTILE(176:176,D9)</f>
        <v>19.11</v>
      </c>
      <c r="E10" s="126">
        <f>PERCENTILE(176:176,E9)</f>
        <v>19.914999999999999</v>
      </c>
      <c r="F10" s="126">
        <f>PERCENTILE(176:176,F9)</f>
        <v>20.92</v>
      </c>
      <c r="G10" s="95"/>
      <c r="H10" s="135"/>
      <c r="I10" s="135"/>
      <c r="J10" s="135"/>
      <c r="K10" s="135"/>
      <c r="L10" s="136" t="s">
        <v>374</v>
      </c>
      <c r="M10" s="130">
        <f>MIN(176:176)</f>
        <v>10.49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19.84</v>
      </c>
      <c r="L11" s="272" t="s">
        <v>193</v>
      </c>
      <c r="M11" s="128">
        <f>STDEV(176:176)</f>
        <v>3.7125068407012396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31.512605042016812</v>
      </c>
      <c r="C13" s="141">
        <f>$B$34/5.88%</f>
        <v>38.265306122448983</v>
      </c>
      <c r="D13" s="141">
        <f>$B$34/5%</f>
        <v>45</v>
      </c>
      <c r="E13" s="141">
        <f>$B$34/4.35%</f>
        <v>51.724137931034484</v>
      </c>
      <c r="F13" s="141">
        <f>$B$34/3.85%</f>
        <v>58.441558441558442</v>
      </c>
      <c r="G13" s="138" t="str">
        <f>"$"&amp;ROUND(B34,2)&amp;"/"&amp;IF(STDEV(C140:F140)/AVERAGE(C140:F140)&lt;15%,"高",IF(STDEV(C140:F140)/AVERAGE(C140:F140)&lt;30%,"中","低"))</f>
        <v>$2.25/高</v>
      </c>
      <c r="H13" s="142" t="s">
        <v>199</v>
      </c>
      <c r="I13" s="143">
        <f>MAX(0,1-J15)</f>
        <v>0.32432432432432423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54.116549999999997</v>
      </c>
      <c r="C14" s="141">
        <f>$B$33*C10</f>
        <v>60.441374999999994</v>
      </c>
      <c r="D14" s="141">
        <f>$B$33*D10</f>
        <v>71.51917499999999</v>
      </c>
      <c r="E14" s="141">
        <f>$B$33*E10</f>
        <v>74.531887499999996</v>
      </c>
      <c r="F14" s="141">
        <f>$B$33*F10</f>
        <v>78.293099999999995</v>
      </c>
      <c r="G14" s="138" t="str">
        <f>"$"&amp;ROUND(B33,2)&amp;"/"&amp;IF(STDEV(B69:E69)/AVERAGE(B69:E69)&lt;15%,"高",IF(STDEV(B69:E69)/AVERAGE(B69:E69)&lt;30%,"中","低"))</f>
        <v>$3.74/高</v>
      </c>
      <c r="H14" s="142" t="s">
        <v>203</v>
      </c>
      <c r="I14" s="145">
        <f>G62/100*I13</f>
        <v>6.2464864864864841E-2</v>
      </c>
      <c r="J14" s="76" t="s">
        <v>204</v>
      </c>
      <c r="K14" s="146"/>
      <c r="L14" s="147">
        <f>(HLOOKUP($C$1,$105:$106,2,FALSE)-HLOOKUP($C$1,$117:$127,9,FALSE))/(HLOOKUP($C$1,$117:$128,12,FALSE)/K11)</f>
        <v>1.1916055752524826</v>
      </c>
      <c r="M14" s="148">
        <f>E135/E69</f>
        <v>0.5243243243243243</v>
      </c>
      <c r="N14" s="149">
        <f>F173/100</f>
        <v>1.4474</v>
      </c>
    </row>
    <row r="15" spans="1:15" s="93" customFormat="1" x14ac:dyDescent="0.25">
      <c r="A15" s="140" t="s">
        <v>375</v>
      </c>
      <c r="B15" s="141">
        <f>$D$62*B10</f>
        <v>54.803400000000003</v>
      </c>
      <c r="C15" s="141">
        <f>$D$62*C10</f>
        <v>61.208499999999994</v>
      </c>
      <c r="D15" s="141">
        <f>$D$62*D10</f>
        <v>72.426900000000003</v>
      </c>
      <c r="E15" s="141">
        <f>$D$62*E10</f>
        <v>75.477850000000004</v>
      </c>
      <c r="F15" s="141">
        <f>$D$62*F10</f>
        <v>79.286800000000014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0.67567567567567577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56.657325898377387</v>
      </c>
      <c r="C16" s="141">
        <f>$F$69*C10</f>
        <v>63.2791018851172</v>
      </c>
      <c r="D16" s="141">
        <f>$F$69*D10</f>
        <v>74.877005388519493</v>
      </c>
      <c r="E16" s="141">
        <f>$F$69*E10</f>
        <v>78.031164956167743</v>
      </c>
      <c r="F16" s="141">
        <f>$F$69*F10</f>
        <v>81.968966652424271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611</v>
      </c>
      <c r="J17" s="92">
        <f ca="1">IF(I17&lt;=0,"",IF(I17&lt;=MIN($B$13:$F$16),(I17-MIN($B$13:$F$16))/MIN($B$13:$F$16),IF(I17&gt;=MAX($B$13:$F$16),I17/MAX($B$13:$F$16),PERCENTRANK($B$13:$F$16,I17))))</f>
        <v>7.4540405345213578</v>
      </c>
      <c r="K17" s="78" t="s">
        <v>206</v>
      </c>
      <c r="L17" s="153">
        <f ca="1">VLOOKUP(_xlfn.NUMBERVALUE(N1),儀表板!A:G,6,FALSE)</f>
        <v>55.2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3.125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1.3888888888888888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0.16889206174654645</v>
      </c>
      <c r="J20" s="171">
        <f>HLOOKUP($C$1,$117:$127,11,FALSE)/HLOOKUP($C$1,$105:$115,11,FALSE)</f>
        <v>0.2163426935665072</v>
      </c>
      <c r="K20" s="163"/>
    </row>
    <row r="21" spans="1:14" s="93" customFormat="1" x14ac:dyDescent="0.25">
      <c r="A21" s="151" t="s">
        <v>201</v>
      </c>
      <c r="B21" s="161">
        <f>AVERAGE(C173:F173)/100</f>
        <v>1.18055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3.3623335737054592</v>
      </c>
      <c r="J21" s="78"/>
      <c r="K21" s="164" t="s">
        <v>356</v>
      </c>
      <c r="L21" s="165">
        <f>HLOOKUP($C$1,$105:$115,7,FALSE)/HLOOKUP($C$1,$105:$115,11,FALSE)</f>
        <v>0.50995741711548015</v>
      </c>
      <c r="M21" s="123" t="s">
        <v>268</v>
      </c>
      <c r="N21" s="165">
        <f>HLOOKUP($C$1,$117:$127,8,FALSE)/HLOOKUP($C$1,$117:$127,11,FALSE)</f>
        <v>0.70105304996628726</v>
      </c>
    </row>
    <row r="22" spans="1:14" s="93" customFormat="1" x14ac:dyDescent="0.25">
      <c r="A22" s="140" t="s">
        <v>222</v>
      </c>
      <c r="B22" s="161">
        <f>(-1)*SUM(C133:F133)/SUM(C132:F132)</f>
        <v>0.28595890410958902</v>
      </c>
      <c r="C22" s="157"/>
      <c r="D22" s="166"/>
      <c r="E22" s="140"/>
      <c r="F22" s="159">
        <f>IF(B22&lt;=0,10,IF(B22&gt;=100%,0,(1-B22)*10))</f>
        <v>7.14041095890411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2.0038428137584208</v>
      </c>
      <c r="J22" s="78"/>
      <c r="K22" s="142" t="s">
        <v>357</v>
      </c>
      <c r="L22" s="165">
        <f>HLOOKUP($C$1,$105:$115,4,FALSE)/HLOOKUP($C$1,$105:$115,11,FALSE)</f>
        <v>0.17796042492219072</v>
      </c>
      <c r="M22" s="123" t="s">
        <v>353</v>
      </c>
      <c r="N22" s="165">
        <f>HLOOKUP($C$1,$117:$127,4,FALSE)/HLOOKUP($C$1,$117:$127,11,FALSE)</f>
        <v>0.21933087287449199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1.2760679850623811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0.2060391760459292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0.9760940787344875</v>
      </c>
      <c r="C24" s="169">
        <f>STDEV(C103:F103)</f>
        <v>1.0104681475793622E-2</v>
      </c>
      <c r="D24" s="76" t="str">
        <f>IF(C24/B24&lt;15%,"高",IF(C24/B24&lt;30%,"中","低"))</f>
        <v>高</v>
      </c>
      <c r="E24" s="149"/>
      <c r="F24" s="160">
        <f>MIN(100%,B24)*5</f>
        <v>4.8804703936724376</v>
      </c>
      <c r="G24" s="88" t="s">
        <v>229</v>
      </c>
      <c r="H24" s="123" t="s">
        <v>16</v>
      </c>
      <c r="I24" s="170">
        <f>HLOOKUP(C1,167:170,2,FALSE)</f>
        <v>64.75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3.4222828910015581E-2</v>
      </c>
      <c r="M24" s="123" t="s">
        <v>355</v>
      </c>
      <c r="N24" s="165">
        <f>HLOOKUP($C$1,$117:$127,9,FALSE)/HLOOKUP($C$1,$117:$127,11,FALSE)</f>
        <v>0.29894695003371274</v>
      </c>
    </row>
    <row r="25" spans="1:14" s="93" customFormat="1" x14ac:dyDescent="0.25">
      <c r="A25" s="151" t="s">
        <v>366</v>
      </c>
      <c r="B25" s="255">
        <f>AVERAGE(94:94)</f>
        <v>15369.695652173914</v>
      </c>
      <c r="C25" s="254">
        <f>STDEV(94:94)/AVERAGE(94:94)</f>
        <v>0.96942030659625467</v>
      </c>
      <c r="D25" s="76" t="str">
        <f>IF(C25&lt;=1,"高",IF(C25&lt;=2,"中","低"))</f>
        <v>高</v>
      </c>
      <c r="E25" s="149"/>
      <c r="F25" s="160">
        <f>MAX(0,10-ABS(C25))</f>
        <v>9.0305796934037446</v>
      </c>
      <c r="G25" s="88" t="s">
        <v>213</v>
      </c>
      <c r="H25" s="123" t="s">
        <v>232</v>
      </c>
      <c r="I25" s="170">
        <f>IF(HLOOKUP(C1,167:170,3,FALSE)="無",0,HLOOKUP(C1,167:170,3,FALSE))</f>
        <v>104.65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65.257826086956541</v>
      </c>
      <c r="C26" s="172">
        <f>IF(COUNTIF(168:168,"&gt;0")=0,0,STDEV(168:168))</f>
        <v>4.9593061799571583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102.86130434782608</v>
      </c>
      <c r="C27" s="172">
        <f>IF(COUNTIF(169:169,"&gt;0")=0,0,STDEV(169:169))</f>
        <v>10.696397993695054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0.2364</v>
      </c>
      <c r="C30" s="157" t="s">
        <v>217</v>
      </c>
      <c r="D30" s="174">
        <f>COUNTIF(146:146,"&gt;20")/COUNT(146:146)</f>
        <v>0.82608695652173914</v>
      </c>
      <c r="E30" s="140" t="s">
        <v>239</v>
      </c>
      <c r="F30" s="159">
        <f>MIN(B30/25%*10,10)</f>
        <v>9.4559999999999995</v>
      </c>
      <c r="G30" s="175"/>
      <c r="H30" s="176"/>
    </row>
    <row r="31" spans="1:14" x14ac:dyDescent="0.25">
      <c r="A31" s="164" t="s">
        <v>240</v>
      </c>
      <c r="B31" s="173">
        <f>AVERAGE(C155:F155)/100</f>
        <v>0.14920000000000003</v>
      </c>
      <c r="C31" s="157" t="s">
        <v>217</v>
      </c>
      <c r="D31" s="174">
        <f>COUNTIF(149:149,"&gt;8")/COUNT(149:149)</f>
        <v>0.95652173913043481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20.25</v>
      </c>
      <c r="C32" s="157" t="s">
        <v>217</v>
      </c>
      <c r="D32" s="174">
        <f>COUNTIF(159:159,"&gt;3")/COUNT(159:159)</f>
        <v>0.95652173913043481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3.7424999999999997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8.8036072144288582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6763034.25</v>
      </c>
      <c r="C36" s="178">
        <f>STDEV(C97:F97)</f>
        <v>270067.62635356723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23.64</v>
      </c>
      <c r="C37" s="180">
        <f>STDEV(C152:F152)</f>
        <v>1.9667740083700505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17.119999999999997</v>
      </c>
      <c r="C38" s="180">
        <f>STDEV(C153:F153)</f>
        <v>1.9470490492024068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20.25</v>
      </c>
      <c r="C39" s="181">
        <f>STDEV(C165:F165)</f>
        <v>2.158471681537657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3.7424999999999997</v>
      </c>
      <c r="C40" s="183">
        <f>STDEV(B69:E69)</f>
        <v>0.41588259561243157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0.16842105263157911</v>
      </c>
      <c r="C44" s="186">
        <f>(C46-C49)/C49</f>
        <v>-0.16161616161616166</v>
      </c>
      <c r="D44" s="186">
        <f>(D46-D49)/D49</f>
        <v>0.10344827586206894</v>
      </c>
      <c r="E44" s="186">
        <f>(E46-E49)/E49</f>
        <v>0.12658227848101261</v>
      </c>
      <c r="G44" s="86" t="s">
        <v>175</v>
      </c>
      <c r="H44" s="186">
        <f>(H47-H50)/H50</f>
        <v>2.9843196762771963E-2</v>
      </c>
      <c r="I44" s="186">
        <f>(I47-I50)/I50</f>
        <v>-0.16187739463601533</v>
      </c>
      <c r="J44" s="186">
        <f>(J47-J50)/J50</f>
        <v>1.4369345396487538E-2</v>
      </c>
      <c r="K44" s="186">
        <f>(K47-K50)/K50</f>
        <v>2.3145712782745853E-2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1.1100000000000001</v>
      </c>
      <c r="C46" s="152">
        <f>HLOOKUP(C45,$81:$82,2,FALSE)</f>
        <v>0.83</v>
      </c>
      <c r="D46" s="152">
        <f>HLOOKUP(D45,$81:$82,2,FALSE)</f>
        <v>0.96</v>
      </c>
      <c r="E46" s="152">
        <f>HLOOKUP(E45,$81:$82,2,FALSE)</f>
        <v>0.89</v>
      </c>
      <c r="G46" s="86" t="s">
        <v>164</v>
      </c>
      <c r="H46" s="145">
        <f>HLOOKUP(H45,$145:$147,2,FALSE)/100</f>
        <v>0.26369999999999999</v>
      </c>
      <c r="I46" s="145">
        <f>HLOOKUP(I45,$145:$147,2,FALSE)/100</f>
        <v>0.23699999999999999</v>
      </c>
      <c r="J46" s="145">
        <f>HLOOKUP(J45,$145:$147,2,FALSE)/100</f>
        <v>0.24829999999999999</v>
      </c>
      <c r="K46" s="145">
        <f>HLOOKUP(K45,$145:$147,2,FALSE)/100</f>
        <v>0.26579999999999998</v>
      </c>
    </row>
    <row r="47" spans="1:14" x14ac:dyDescent="0.25">
      <c r="A47" s="188" t="s">
        <v>165</v>
      </c>
      <c r="B47" s="189">
        <f>HLOOKUP(B45,$157:$159,3,FALSE)</f>
        <v>5.63</v>
      </c>
      <c r="C47" s="189">
        <f>HLOOKUP(C45,$157:$159,3,FALSE)</f>
        <v>4.2300000000000004</v>
      </c>
      <c r="D47" s="189">
        <f>HLOOKUP(D45,$157:$159,3,FALSE)</f>
        <v>4.7699999999999996</v>
      </c>
      <c r="E47" s="189">
        <f>HLOOKUP(E45,$157:$159,3,FALSE)</f>
        <v>4.63</v>
      </c>
      <c r="G47" s="190" t="s">
        <v>166</v>
      </c>
      <c r="H47" s="145">
        <f>HLOOKUP(H45,$145:$147,3,FALSE)/100</f>
        <v>0.2036</v>
      </c>
      <c r="I47" s="145">
        <f>HLOOKUP(I45,$145:$147,3,FALSE)/100</f>
        <v>0.17499999999999999</v>
      </c>
      <c r="J47" s="145">
        <f>HLOOKUP(J45,$145:$147,3,FALSE)/100</f>
        <v>0.19059999999999999</v>
      </c>
      <c r="K47" s="145">
        <f>HLOOKUP(K45,$145:$147,3,FALSE)/100</f>
        <v>0.19450000000000001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0.95</v>
      </c>
      <c r="C49" s="152">
        <f>HLOOKUP(C48,$81:$82,2,FALSE)</f>
        <v>0.99</v>
      </c>
      <c r="D49" s="152">
        <f>HLOOKUP(D48,$81:$82,2,FALSE)</f>
        <v>0.87</v>
      </c>
      <c r="E49" s="152">
        <f>HLOOKUP(E48,$81:$82,2,FALSE)</f>
        <v>0.79</v>
      </c>
      <c r="G49" s="86" t="s">
        <v>164</v>
      </c>
      <c r="H49" s="145">
        <f>HLOOKUP(H48,$145:$147,2,FALSE)/100</f>
        <v>0.26030000000000003</v>
      </c>
      <c r="I49" s="145">
        <f>HLOOKUP(I48,$145:$147,2,FALSE)/100</f>
        <v>0.27140000000000003</v>
      </c>
      <c r="J49" s="145">
        <f>HLOOKUP(J48,$145:$147,2,FALSE)/100</f>
        <v>0.25829999999999997</v>
      </c>
      <c r="K49" s="145">
        <f>HLOOKUP(K48,$145:$147,2,FALSE)/100</f>
        <v>0.2621</v>
      </c>
    </row>
    <row r="50" spans="1:15" x14ac:dyDescent="0.25">
      <c r="A50" s="188" t="s">
        <v>165</v>
      </c>
      <c r="B50" s="189">
        <f>HLOOKUP(B48,$157:$159,3,FALSE)</f>
        <v>5.23</v>
      </c>
      <c r="C50" s="189">
        <f>HLOOKUP(C48,$157:$159,3,FALSE)</f>
        <v>5.44</v>
      </c>
      <c r="D50" s="189">
        <f>HLOOKUP(D48,$157:$159,3,FALSE)</f>
        <v>4.71</v>
      </c>
      <c r="E50" s="189">
        <f>HLOOKUP(E48,$157:$159,3,FALSE)</f>
        <v>4.43</v>
      </c>
      <c r="G50" s="190" t="s">
        <v>166</v>
      </c>
      <c r="H50" s="145">
        <f>HLOOKUP(H48,$145:$147,3,FALSE)/100</f>
        <v>0.19769999999999999</v>
      </c>
      <c r="I50" s="145">
        <f>HLOOKUP(I48,$145:$147,3,FALSE)/100</f>
        <v>0.20879999999999999</v>
      </c>
      <c r="J50" s="145">
        <f>HLOOKUP(J48,$145:$147,3,FALSE)/100</f>
        <v>0.18789999999999998</v>
      </c>
      <c r="K50" s="145">
        <f>HLOOKUP(K48,$145:$147,3,FALSE)/100</f>
        <v>0.19010000000000002</v>
      </c>
    </row>
    <row r="51" spans="1:15" x14ac:dyDescent="0.25">
      <c r="A51" s="86" t="s">
        <v>351</v>
      </c>
      <c r="B51" s="186">
        <f>(B47-B50)/B50</f>
        <v>7.6481835564053427E-2</v>
      </c>
      <c r="C51" s="186">
        <f>(C47-C50)/C50</f>
        <v>-0.22242647058823528</v>
      </c>
      <c r="D51" s="186">
        <f>(D47-D50)/D50</f>
        <v>1.2738853503184631E-2</v>
      </c>
      <c r="E51" s="186">
        <f>(E47-E50)/E50</f>
        <v>4.5146726862302526E-2</v>
      </c>
      <c r="G51" s="235" t="s">
        <v>174</v>
      </c>
      <c r="H51" s="186">
        <f>(H46-H49)/H49</f>
        <v>1.3061851709565725E-2</v>
      </c>
      <c r="I51" s="186">
        <f>(I46-I49)/I49</f>
        <v>-0.12675018422991907</v>
      </c>
      <c r="J51" s="186">
        <f>(J46-J49)/J49</f>
        <v>-3.8714672861014258E-2</v>
      </c>
      <c r="K51" s="186">
        <f>(K46-K49)/K49</f>
        <v>1.4116749332315838E-2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4.4054236095308656</v>
      </c>
      <c r="B53" s="193">
        <f>B46</f>
        <v>1.1100000000000001</v>
      </c>
      <c r="C53" s="193">
        <f>E46/HLOOKUP(E45,$87:$94,5,FALSE)*HLOOKUP(E45,$87:$94,4,FALSE)*($B$25/HLOOKUP(E45,$87:$94,4,FALSE)+SUM($B$57:$D$57)/SUM($B58:$D$58)*$G$69/100/K46)</f>
        <v>1.0182106430413125</v>
      </c>
      <c r="D53" s="193">
        <f>D46/HLOOKUP(D45,$87:$94,5,FALSE)*HLOOKUP(D45,$87:$94,4,FALSE)*($B$25/HLOOKUP(D45,$87:$94,4,FALSE)+SUM($B$57:$D$57)/SUM($B58:$D$58)*$G$69/100/J46)</f>
        <v>1.237454438193214</v>
      </c>
      <c r="E53" s="193">
        <f>C46/HLOOKUP(C45,$87:$94,5,FALSE)*HLOOKUP(C45,$87:$94,4,FALSE)*($B$25/HLOOKUP(C45,$87:$94,4,FALSE)+SUM($B$57:$D$57)/SUM($B58:$D$58)*$G$69/100/I46)</f>
        <v>1.0397585282963391</v>
      </c>
    </row>
    <row r="54" spans="1:15" x14ac:dyDescent="0.25">
      <c r="A54" s="278">
        <f>SUM(B54:E54)</f>
        <v>3.63</v>
      </c>
      <c r="B54" s="277">
        <f t="shared" ref="B54:D54" si="0">HLOOKUP(B52-10,81:82,2,FALSE)</f>
        <v>0.95</v>
      </c>
      <c r="C54" s="277">
        <f t="shared" si="0"/>
        <v>0.89</v>
      </c>
      <c r="D54" s="277">
        <f t="shared" si="0"/>
        <v>0.96</v>
      </c>
      <c r="E54" s="277">
        <f>HLOOKUP(E52-10,81:82,2,FALSE)</f>
        <v>0.83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201801</v>
      </c>
      <c r="C56" s="194">
        <f>IF(B56-ROUNDDOWN(B56/100,0)*100-1=0,(ROUNDDOWN(B56/100,0)-1)*100+12,B56-1)</f>
        <v>201712</v>
      </c>
      <c r="D56" s="194">
        <f>IF(C56-ROUNDDOWN(C56/100,0)*100-1=0,(ROUNDDOWN(C56/100,0)-1)*100+12,C56-1)</f>
        <v>201711</v>
      </c>
      <c r="E56" s="194">
        <f>IF(D56-ROUNDDOWN(D56/100,0)*100-1=0,(ROUNDDOWN(D56/100,0)-1)*100+12,D56-1)</f>
        <v>201710</v>
      </c>
      <c r="F56" s="194">
        <f>IF(E56-ROUNDDOWN(E56/100,0)*100-1=0,(ROUNDDOWN(E56/100,0)-1)*100+12,E56-1)</f>
        <v>201709</v>
      </c>
      <c r="G56" s="194">
        <f t="shared" ref="G56:M56" si="1">IF(F56-ROUNDDOWN(F56/100,0)*100-1=0,(ROUNDDOWN(F56/100,0)-1)*100+12,F56-1)</f>
        <v>201708</v>
      </c>
      <c r="H56" s="194">
        <f t="shared" si="1"/>
        <v>201707</v>
      </c>
      <c r="I56" s="194">
        <f t="shared" si="1"/>
        <v>201706</v>
      </c>
      <c r="J56" s="194">
        <f t="shared" si="1"/>
        <v>201705</v>
      </c>
      <c r="K56" s="194">
        <f t="shared" si="1"/>
        <v>201704</v>
      </c>
      <c r="L56" s="194">
        <f t="shared" si="1"/>
        <v>201703</v>
      </c>
      <c r="M56" s="194">
        <f t="shared" si="1"/>
        <v>201702</v>
      </c>
      <c r="N56" s="138"/>
    </row>
    <row r="57" spans="1:15" x14ac:dyDescent="0.25">
      <c r="A57" s="195" t="s">
        <v>252</v>
      </c>
      <c r="B57" s="196">
        <f>HLOOKUP(B56,78:79,2,FALSE)</f>
        <v>769710</v>
      </c>
      <c r="C57" s="196">
        <f>HLOOKUP(C56,78:79,2,FALSE)</f>
        <v>584333</v>
      </c>
      <c r="D57" s="196">
        <f>HLOOKUP(D56,78:79,2,FALSE)</f>
        <v>658020</v>
      </c>
      <c r="E57" s="196">
        <f>HLOOKUP(E56,78:79,2,FALSE)</f>
        <v>588371</v>
      </c>
      <c r="F57" s="196">
        <f>HLOOKUP(F56,78:79,2,FALSE)</f>
        <v>597976</v>
      </c>
      <c r="G57" s="196">
        <f t="shared" ref="G57:M57" si="2">HLOOKUP(G56,78:79,2,FALSE)</f>
        <v>674178</v>
      </c>
      <c r="H57" s="196">
        <f t="shared" si="2"/>
        <v>574576</v>
      </c>
      <c r="I57" s="196">
        <f t="shared" si="2"/>
        <v>593153</v>
      </c>
      <c r="J57" s="196">
        <f t="shared" si="2"/>
        <v>604499</v>
      </c>
      <c r="K57" s="196">
        <f t="shared" si="2"/>
        <v>542796</v>
      </c>
      <c r="L57" s="196">
        <f t="shared" si="2"/>
        <v>703557</v>
      </c>
      <c r="M57" s="196">
        <f t="shared" si="2"/>
        <v>514128</v>
      </c>
      <c r="N57" s="197"/>
    </row>
    <row r="58" spans="1:15" x14ac:dyDescent="0.25">
      <c r="A58" s="198" t="s">
        <v>253</v>
      </c>
      <c r="B58" s="196">
        <f>HLOOKUP(B56-100,78:79,2,FALSE)</f>
        <v>623313</v>
      </c>
      <c r="C58" s="196">
        <f>HLOOKUP(C56-100,78:79,2,FALSE)</f>
        <v>540639</v>
      </c>
      <c r="D58" s="196">
        <f>HLOOKUP(D56-100,78:79,2,FALSE)</f>
        <v>577571</v>
      </c>
      <c r="E58" s="196">
        <f>HLOOKUP(E56-100,78:79,2,FALSE)</f>
        <v>482154</v>
      </c>
      <c r="F58" s="196">
        <f>HLOOKUP(F56-100,78:79,2,FALSE)</f>
        <v>585609</v>
      </c>
      <c r="G58" s="196">
        <f t="shared" ref="G58:M58" si="3">HLOOKUP(G56-100,78:79,2,FALSE)</f>
        <v>609266</v>
      </c>
      <c r="H58" s="196">
        <f t="shared" si="3"/>
        <v>511330</v>
      </c>
      <c r="I58" s="196">
        <f t="shared" si="3"/>
        <v>626102</v>
      </c>
      <c r="J58" s="196">
        <f t="shared" si="3"/>
        <v>592656</v>
      </c>
      <c r="K58" s="196">
        <f t="shared" si="3"/>
        <v>576052</v>
      </c>
      <c r="L58" s="196">
        <f t="shared" si="3"/>
        <v>739472</v>
      </c>
      <c r="M58" s="196">
        <f t="shared" si="3"/>
        <v>378203</v>
      </c>
      <c r="N58" s="197"/>
    </row>
    <row r="59" spans="1:15" x14ac:dyDescent="0.25">
      <c r="A59" s="199" t="s">
        <v>254</v>
      </c>
      <c r="B59" s="165">
        <f>IF(B57&lt;&gt;"",(B57-B58)/B58,"")</f>
        <v>0.23486915883352344</v>
      </c>
      <c r="C59" s="165">
        <f>IF(C57&lt;&gt;"",(C57-C58)/C58,"")</f>
        <v>8.0819178786584026E-2</v>
      </c>
      <c r="D59" s="165">
        <f>IF(D57&lt;&gt;"",(D57-D58)/D58,"")</f>
        <v>0.13928850305849844</v>
      </c>
      <c r="E59" s="165">
        <f>IF(E57&lt;&gt;"",(E57-E58)/E58,"")</f>
        <v>0.22029683462130356</v>
      </c>
      <c r="F59" s="165">
        <f>IF(F57&lt;&gt;"",(F57-F58)/F58,"")</f>
        <v>2.1118186366671277E-2</v>
      </c>
      <c r="G59" s="165">
        <f t="shared" ref="G59:M59" si="4">IF(G57&lt;&gt;"",(G57-G58)/G58,"")</f>
        <v>0.10654131364625631</v>
      </c>
      <c r="H59" s="165">
        <f t="shared" si="4"/>
        <v>0.12368920266755325</v>
      </c>
      <c r="I59" s="165">
        <f t="shared" si="4"/>
        <v>-5.2625610523524921E-2</v>
      </c>
      <c r="J59" s="165">
        <f t="shared" si="4"/>
        <v>1.9982924327097001E-2</v>
      </c>
      <c r="K59" s="165">
        <f t="shared" si="4"/>
        <v>-5.7730899293813753E-2</v>
      </c>
      <c r="L59" s="165">
        <f t="shared" si="4"/>
        <v>-4.8568438020641758E-2</v>
      </c>
      <c r="M59" s="165">
        <f t="shared" si="4"/>
        <v>0.3593969376234456</v>
      </c>
    </row>
    <row r="60" spans="1:15" x14ac:dyDescent="0.25">
      <c r="A60" s="195" t="s">
        <v>255</v>
      </c>
      <c r="B60" s="196">
        <f>SUM(B57:M57)</f>
        <v>7405297</v>
      </c>
    </row>
    <row r="61" spans="1:15" x14ac:dyDescent="0.25">
      <c r="A61" s="198" t="s">
        <v>256</v>
      </c>
      <c r="B61" s="196">
        <f>SUM(B58:M58)</f>
        <v>6842367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1.0822712374241252</v>
      </c>
      <c r="D62" s="152">
        <f>SUM(B46:E46)</f>
        <v>3.79</v>
      </c>
      <c r="E62" s="152">
        <f>SUM(B49:E49)</f>
        <v>3.6</v>
      </c>
      <c r="G62" s="126">
        <f>SUM(B47:E47)</f>
        <v>19.259999999999998</v>
      </c>
      <c r="H62" s="126">
        <f>SUM(B50:E50)</f>
        <v>19.810000000000002</v>
      </c>
      <c r="J62" s="200">
        <f>AVERAGE(H46:K46)</f>
        <v>0.25369999999999998</v>
      </c>
      <c r="K62" s="200">
        <f>AVERAGE(H49:K49)</f>
        <v>0.26302500000000001</v>
      </c>
      <c r="M62" s="200">
        <f>AVERAGE(H47:K47)</f>
        <v>0.19092499999999998</v>
      </c>
      <c r="N62" s="200">
        <f>AVERAGE(H50:K50)</f>
        <v>0.19612499999999999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2" x14ac:dyDescent="0.25">
      <c r="A65" s="204">
        <v>1</v>
      </c>
      <c r="B65" s="205">
        <f t="shared" ref="B65:E67" si="5">HLOOKUP(B$64*10+$A65,$81:$82,2,FALSE)</f>
        <v>0.94</v>
      </c>
      <c r="C65" s="205">
        <f t="shared" si="5"/>
        <v>1.23</v>
      </c>
      <c r="D65" s="205">
        <f t="shared" si="5"/>
        <v>0.84</v>
      </c>
      <c r="E65" s="205">
        <f t="shared" si="5"/>
        <v>0.87</v>
      </c>
      <c r="F65" s="206">
        <f>IF(ISNA(HLOOKUP(F$64*10+$A65,$81:$82,2,FALSE)),(HLOOKUP(E$64*10+$A65,$87:$94,4,FALSE)*$G65+$B$25)/HLOOKUP(E$64*10+$A65,$87:$94,5,FALSE)*$E65,HLOOKUP(F$64*10+$A65,$81:$82,2,FALSE))</f>
        <v>0.96</v>
      </c>
      <c r="G65" s="101">
        <f>MIN(130%,SUM($B$57:$D$57)/SUM($B$58:$D$58)*$G$69/HLOOKUP(E$64*10+$A65,$145:$146,2,FALSE))</f>
        <v>1.1979803592007909</v>
      </c>
      <c r="H65" s="204">
        <v>1</v>
      </c>
      <c r="I65" s="208">
        <f t="shared" ref="I65:M68" si="6">IF(ISNA(HLOOKUP(I$64*10+$H65,$145:$147,3,FALSE)),"",HLOOKUP(I$64*10+$H65,$145:$147,3,FALSE)/100)</f>
        <v>0.14269999999999999</v>
      </c>
      <c r="J65" s="208">
        <f t="shared" si="6"/>
        <v>0.18539999999999998</v>
      </c>
      <c r="K65" s="208">
        <f t="shared" si="6"/>
        <v>0.14829999999999999</v>
      </c>
      <c r="L65" s="208">
        <f t="shared" si="6"/>
        <v>0.18789999999999998</v>
      </c>
      <c r="M65" s="209">
        <f t="shared" si="6"/>
        <v>0.19059999999999999</v>
      </c>
      <c r="N65" s="256">
        <f t="shared" ref="N65:O68" si="7">HLOOKUP(E$64*10+$A65,$87:$94,8,FALSE)</f>
        <v>-3205</v>
      </c>
      <c r="O65" s="256">
        <f t="shared" si="7"/>
        <v>277</v>
      </c>
      <c r="P65" s="210"/>
    </row>
    <row r="66" spans="1:72" x14ac:dyDescent="0.25">
      <c r="A66" s="204">
        <v>2</v>
      </c>
      <c r="B66" s="205">
        <f t="shared" si="5"/>
        <v>1.1100000000000001</v>
      </c>
      <c r="C66" s="205">
        <f t="shared" si="5"/>
        <v>1.01</v>
      </c>
      <c r="D66" s="205">
        <f t="shared" si="5"/>
        <v>0.76</v>
      </c>
      <c r="E66" s="205">
        <f t="shared" si="5"/>
        <v>0.99</v>
      </c>
      <c r="F66" s="206">
        <f>IF(ISNA(HLOOKUP(F$64*10+$A66,$81:$82,2,FALSE)),(HLOOKUP(E$64*10+$A66,$87:$94,4,FALSE)*$G66+$B$25)/HLOOKUP(E$64*10+$A66,$87:$94,5,FALSE)*$E66,HLOOKUP(F$64*10+$A66,$81:$82,2,FALSE))</f>
        <v>0.83</v>
      </c>
      <c r="G66" s="101">
        <f>MIN(130%,SUM($B$57:$D$57)/SUM($B$58:$D$58)*$G$69/HLOOKUP(E$64*10+$A66,$145:$146,2,FALSE))</f>
        <v>1.1401559571907307</v>
      </c>
      <c r="H66" s="204">
        <v>2</v>
      </c>
      <c r="I66" s="208">
        <f t="shared" si="6"/>
        <v>0.16620000000000001</v>
      </c>
      <c r="J66" s="208">
        <f t="shared" si="6"/>
        <v>0.18280000000000002</v>
      </c>
      <c r="K66" s="208">
        <f t="shared" si="6"/>
        <v>0.13439999999999999</v>
      </c>
      <c r="L66" s="208">
        <f t="shared" si="6"/>
        <v>0.20879999999999999</v>
      </c>
      <c r="M66" s="209">
        <f t="shared" si="6"/>
        <v>0.17499999999999999</v>
      </c>
      <c r="N66" s="256">
        <f t="shared" si="7"/>
        <v>10626</v>
      </c>
      <c r="O66" s="256">
        <f t="shared" si="7"/>
        <v>25138</v>
      </c>
      <c r="P66" s="210"/>
    </row>
    <row r="67" spans="1:72" x14ac:dyDescent="0.25">
      <c r="A67" s="204">
        <v>3</v>
      </c>
      <c r="B67" s="205">
        <f t="shared" si="5"/>
        <v>1.04</v>
      </c>
      <c r="C67" s="205">
        <f t="shared" si="5"/>
        <v>0.93</v>
      </c>
      <c r="D67" s="205">
        <f t="shared" si="5"/>
        <v>0.78</v>
      </c>
      <c r="E67" s="205">
        <f t="shared" si="5"/>
        <v>0.95</v>
      </c>
      <c r="F67" s="206">
        <f>IF(ISNA(HLOOKUP(F$64*10+$A67,$81:$82,2,FALSE)),(HLOOKUP(E$64*10+$A67,$87:$94,4,FALSE)*$G67+$B$25)/HLOOKUP(E$64*10+$A67,$87:$94,5,FALSE)*$E67,HLOOKUP(F$64*10+$A67,$81:$82,2,FALSE))</f>
        <v>1.1100000000000001</v>
      </c>
      <c r="G67" s="101">
        <f>MIN(130%,SUM($B$57:$D$57)/SUM($B$58:$D$58)*$G$69/HLOOKUP(E$64*10+$A67,$145:$146,2,FALSE))</f>
        <v>1.188775746375583</v>
      </c>
      <c r="H67" s="204">
        <v>3</v>
      </c>
      <c r="I67" s="208">
        <f t="shared" si="6"/>
        <v>0.17010000000000003</v>
      </c>
      <c r="J67" s="208">
        <f t="shared" si="6"/>
        <v>0.16519999999999999</v>
      </c>
      <c r="K67" s="208">
        <f t="shared" si="6"/>
        <v>0.1474</v>
      </c>
      <c r="L67" s="208">
        <f t="shared" si="6"/>
        <v>0.19769999999999999</v>
      </c>
      <c r="M67" s="209">
        <f t="shared" si="6"/>
        <v>0.2036</v>
      </c>
      <c r="N67" s="256">
        <f t="shared" si="7"/>
        <v>9694</v>
      </c>
      <c r="O67" s="256">
        <f t="shared" si="7"/>
        <v>21843</v>
      </c>
      <c r="P67" s="210"/>
    </row>
    <row r="68" spans="1:72" x14ac:dyDescent="0.25">
      <c r="A68" s="204">
        <v>4</v>
      </c>
      <c r="B68" s="205">
        <f>HLOOKUP(B$64*10+$A68,$81:$82,2,FALSE)</f>
        <v>0.97</v>
      </c>
      <c r="C68" s="205">
        <f>HLOOKUP(C$64*10+$A68,$81:$82,2,FALSE)</f>
        <v>0.87</v>
      </c>
      <c r="D68" s="205">
        <f>HLOOKUP(D$64*10+$A68,$81:$82,2,FALSE)</f>
        <v>0.79</v>
      </c>
      <c r="E68" s="206">
        <f>IF(ISNA(HLOOKUP(E$64*10+$A68,$81:$82,2,FALSE)),D68*(1-$N68)*#REF!*(1+$B$25)/(1+$E$4),HLOOKUP(E$64*10+$A68,$81:$82,2,FALSE))</f>
        <v>0.89</v>
      </c>
      <c r="F68" s="206">
        <f>IF(ISNA(HLOOKUP(F$64*10+$A68,$81:$82,2,FALSE)),(HLOOKUP(E$64*10+$A68,$87:$94,4,FALSE)*$G68+$B$25)/HLOOKUP(E$64*10+$A68,$87:$94,5,FALSE)*$E68,HLOOKUP(F$64*10+$A68,$81:$82,2,FALSE))</f>
        <v>1.0182106430413123</v>
      </c>
      <c r="G68" s="101">
        <f>MIN(130%,SUM($B$57:$D$57)/SUM($B$58:$D$58)*$G$69/HLOOKUP(E$64*10+$A68,$145:$146,2,FALSE))</f>
        <v>1.1641773016612653</v>
      </c>
      <c r="H68" s="204">
        <v>4</v>
      </c>
      <c r="I68" s="208">
        <f t="shared" si="6"/>
        <v>0.1542</v>
      </c>
      <c r="J68" s="208">
        <f t="shared" si="6"/>
        <v>0.16339999999999999</v>
      </c>
      <c r="K68" s="208">
        <f t="shared" si="6"/>
        <v>0.19010000000000002</v>
      </c>
      <c r="L68" s="208">
        <f t="shared" si="6"/>
        <v>0.19450000000000001</v>
      </c>
      <c r="M68" s="209" t="str">
        <f t="shared" si="6"/>
        <v/>
      </c>
      <c r="N68" s="256">
        <f t="shared" si="7"/>
        <v>18908</v>
      </c>
      <c r="O68" s="256" t="e">
        <f t="shared" si="7"/>
        <v>#N/A</v>
      </c>
    </row>
    <row r="69" spans="1:72" x14ac:dyDescent="0.25">
      <c r="A69" s="212" t="s">
        <v>162</v>
      </c>
      <c r="B69" s="213">
        <f>SUM(B65:B68)</f>
        <v>4.0599999999999996</v>
      </c>
      <c r="C69" s="213">
        <f>SUM(C65:C68)</f>
        <v>4.04</v>
      </c>
      <c r="D69" s="213">
        <f>SUM(D65:D68)</f>
        <v>3.17</v>
      </c>
      <c r="E69" s="213">
        <f>SUM(E65:E68)</f>
        <v>3.6999999999999997</v>
      </c>
      <c r="F69" s="213">
        <f>SUM(F65:F68)</f>
        <v>3.9182106430413128</v>
      </c>
      <c r="G69" s="257">
        <f>_xlfn.FORECAST.ETS(23,B146:W146,{1,2,3,4,5,6,7,8,9,10,11,12,13,14,15,16,17,18,19,20,21,22})</f>
        <v>26.783155555845426</v>
      </c>
      <c r="H69" s="214" t="s">
        <v>19</v>
      </c>
      <c r="I69" s="215">
        <f>HLOOKUP(I64,151:155,3,FALSE)/100</f>
        <v>0.159</v>
      </c>
      <c r="J69" s="215">
        <f>HLOOKUP(J64,151:155,3,FALSE)/100</f>
        <v>0.17430000000000001</v>
      </c>
      <c r="K69" s="215">
        <f>HLOOKUP(K64,151:155,3,FALSE)/100</f>
        <v>0.15410000000000001</v>
      </c>
      <c r="L69" s="215">
        <f>IF(ISNA(HLOOKUP(L64,151:155,3,FALSE)/100),AVERAGE(L65:L68),HLOOKUP(L64,151:155,3,FALSE)/100)</f>
        <v>0.19739999999999999</v>
      </c>
      <c r="M69" s="215"/>
      <c r="N69" s="216"/>
    </row>
    <row r="70" spans="1:72" s="135" customFormat="1" x14ac:dyDescent="0.25">
      <c r="A70" s="217"/>
      <c r="B70" s="218"/>
      <c r="C70" s="218"/>
      <c r="D70" s="218"/>
      <c r="E70" s="218"/>
      <c r="F70" s="218"/>
    </row>
    <row r="71" spans="1:72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2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5.12</v>
      </c>
      <c r="C72" s="205">
        <f t="shared" si="8"/>
        <v>6.04</v>
      </c>
      <c r="D72" s="205">
        <f t="shared" si="8"/>
        <v>4.38</v>
      </c>
      <c r="E72" s="205">
        <f t="shared" si="8"/>
        <v>4.71</v>
      </c>
      <c r="F72" s="205">
        <f t="shared" si="8"/>
        <v>4.7699999999999996</v>
      </c>
    </row>
    <row r="73" spans="1:72" s="135" customFormat="1" x14ac:dyDescent="0.25">
      <c r="A73" s="204">
        <v>2</v>
      </c>
      <c r="B73" s="205">
        <f t="shared" si="8"/>
        <v>5.85</v>
      </c>
      <c r="C73" s="205">
        <f t="shared" si="8"/>
        <v>5.73</v>
      </c>
      <c r="D73" s="205">
        <f t="shared" si="8"/>
        <v>4.13</v>
      </c>
      <c r="E73" s="205">
        <f t="shared" si="8"/>
        <v>5.44</v>
      </c>
      <c r="F73" s="205">
        <f t="shared" si="8"/>
        <v>4.2300000000000004</v>
      </c>
    </row>
    <row r="74" spans="1:72" s="135" customFormat="1" x14ac:dyDescent="0.25">
      <c r="A74" s="204">
        <v>3</v>
      </c>
      <c r="B74" s="205">
        <f t="shared" si="8"/>
        <v>5.89</v>
      </c>
      <c r="C74" s="205">
        <f t="shared" si="8"/>
        <v>5.18</v>
      </c>
      <c r="D74" s="205">
        <f t="shared" si="8"/>
        <v>4.84</v>
      </c>
      <c r="E74" s="205">
        <f t="shared" si="8"/>
        <v>5.23</v>
      </c>
      <c r="F74" s="205">
        <f t="shared" si="8"/>
        <v>5.63</v>
      </c>
    </row>
    <row r="75" spans="1:72" s="135" customFormat="1" x14ac:dyDescent="0.25">
      <c r="A75" s="204">
        <v>4</v>
      </c>
      <c r="B75" s="205">
        <f t="shared" si="8"/>
        <v>5.07</v>
      </c>
      <c r="C75" s="205">
        <f t="shared" si="8"/>
        <v>4.57</v>
      </c>
      <c r="D75" s="205">
        <f t="shared" si="8"/>
        <v>4.43</v>
      </c>
      <c r="E75" s="205">
        <f t="shared" si="8"/>
        <v>4.63</v>
      </c>
      <c r="F75" s="205" t="str">
        <f t="shared" si="8"/>
        <v/>
      </c>
    </row>
    <row r="76" spans="1:72" s="135" customFormat="1" x14ac:dyDescent="0.25">
      <c r="A76" s="212" t="s">
        <v>165</v>
      </c>
      <c r="B76" s="213">
        <f>SUM(B72:B75)</f>
        <v>21.93</v>
      </c>
      <c r="C76" s="213">
        <f>SUM(C72:C75)</f>
        <v>21.52</v>
      </c>
      <c r="D76" s="213">
        <f>SUM(D72:D75)</f>
        <v>17.78</v>
      </c>
      <c r="E76" s="213">
        <f>AVERAGE(E72:E75)*4</f>
        <v>20.010000000000002</v>
      </c>
      <c r="F76" s="213"/>
    </row>
    <row r="77" spans="1:72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2" s="135" customFormat="1" ht="14.25" thickBot="1" x14ac:dyDescent="0.3">
      <c r="A78" s="217"/>
      <c r="B78" s="69">
        <v>201301</v>
      </c>
      <c r="C78" s="70">
        <v>201302</v>
      </c>
      <c r="D78" s="70">
        <v>201303</v>
      </c>
      <c r="E78" s="70">
        <v>201304</v>
      </c>
      <c r="F78" s="70">
        <v>201305</v>
      </c>
      <c r="G78" s="70">
        <v>201306</v>
      </c>
      <c r="H78" s="70">
        <v>201307</v>
      </c>
      <c r="I78" s="70">
        <v>201308</v>
      </c>
      <c r="J78" s="70">
        <v>201309</v>
      </c>
      <c r="K78" s="70">
        <v>201310</v>
      </c>
      <c r="L78" s="70">
        <v>201311</v>
      </c>
      <c r="M78" s="70">
        <v>201312</v>
      </c>
      <c r="N78" s="70">
        <v>201401</v>
      </c>
      <c r="O78" s="70">
        <v>201402</v>
      </c>
      <c r="P78" s="70">
        <v>201403</v>
      </c>
      <c r="Q78" s="70">
        <v>201404</v>
      </c>
      <c r="R78" s="70">
        <v>201405</v>
      </c>
      <c r="S78" s="70">
        <v>201406</v>
      </c>
      <c r="T78" s="70">
        <v>201407</v>
      </c>
      <c r="U78" s="70">
        <v>201408</v>
      </c>
      <c r="V78" s="70">
        <v>201409</v>
      </c>
      <c r="W78" s="70">
        <v>201410</v>
      </c>
      <c r="X78" s="70">
        <v>201411</v>
      </c>
      <c r="Y78" s="70">
        <v>201412</v>
      </c>
      <c r="Z78" s="70">
        <v>201501</v>
      </c>
      <c r="AA78" s="70">
        <v>201502</v>
      </c>
      <c r="AB78" s="70">
        <v>201503</v>
      </c>
      <c r="AC78" s="70">
        <v>201504</v>
      </c>
      <c r="AD78" s="70">
        <v>201505</v>
      </c>
      <c r="AE78" s="70">
        <v>201506</v>
      </c>
      <c r="AF78" s="70">
        <v>201507</v>
      </c>
      <c r="AG78" s="70">
        <v>201508</v>
      </c>
      <c r="AH78" s="70">
        <v>201509</v>
      </c>
      <c r="AI78" s="70">
        <v>201510</v>
      </c>
      <c r="AJ78" s="70">
        <v>201511</v>
      </c>
      <c r="AK78" s="70">
        <v>201512</v>
      </c>
      <c r="AL78" s="70">
        <v>201601</v>
      </c>
      <c r="AM78" s="70">
        <v>201602</v>
      </c>
      <c r="AN78" s="70">
        <v>201603</v>
      </c>
      <c r="AO78" s="70">
        <v>201604</v>
      </c>
      <c r="AP78" s="70">
        <v>201605</v>
      </c>
      <c r="AQ78" s="70">
        <v>201606</v>
      </c>
      <c r="AR78" s="70">
        <v>201607</v>
      </c>
      <c r="AS78" s="70">
        <v>201608</v>
      </c>
      <c r="AT78" s="70">
        <v>201609</v>
      </c>
      <c r="AU78" s="70">
        <v>201610</v>
      </c>
      <c r="AV78" s="70">
        <v>201611</v>
      </c>
      <c r="AW78" s="70">
        <v>201612</v>
      </c>
      <c r="AX78" s="70">
        <v>201701</v>
      </c>
      <c r="AY78" s="70">
        <v>201702</v>
      </c>
      <c r="AZ78" s="70">
        <v>201703</v>
      </c>
      <c r="BA78" s="70">
        <v>201704</v>
      </c>
      <c r="BB78" s="70">
        <v>201705</v>
      </c>
      <c r="BC78" s="70">
        <v>201706</v>
      </c>
      <c r="BD78" s="70">
        <v>201707</v>
      </c>
      <c r="BE78" s="70">
        <v>201708</v>
      </c>
      <c r="BF78" s="70">
        <v>201709</v>
      </c>
      <c r="BG78" s="70">
        <v>201710</v>
      </c>
      <c r="BH78" s="70">
        <v>201711</v>
      </c>
      <c r="BI78" s="70">
        <v>201712</v>
      </c>
      <c r="BJ78" s="71">
        <v>201801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0">
        <v>201710</v>
      </c>
      <c r="BT78" s="71">
        <v>201711</v>
      </c>
    </row>
    <row r="79" spans="1:72" ht="14.25" thickBot="1" x14ac:dyDescent="0.3">
      <c r="A79" s="222" t="s">
        <v>9</v>
      </c>
      <c r="B79" s="270">
        <v>475867</v>
      </c>
      <c r="C79" s="270">
        <v>410580</v>
      </c>
      <c r="D79" s="270">
        <v>526843</v>
      </c>
      <c r="E79" s="270">
        <v>529824</v>
      </c>
      <c r="F79" s="270">
        <v>562815</v>
      </c>
      <c r="G79" s="270">
        <v>534792</v>
      </c>
      <c r="H79" s="270">
        <v>586467</v>
      </c>
      <c r="I79" s="270">
        <v>612004</v>
      </c>
      <c r="J79" s="270">
        <v>545396</v>
      </c>
      <c r="K79" s="270">
        <v>556881</v>
      </c>
      <c r="L79" s="270">
        <v>524341</v>
      </c>
      <c r="M79" s="270">
        <v>584404</v>
      </c>
      <c r="N79" s="270">
        <v>620695</v>
      </c>
      <c r="O79" s="270">
        <v>535459</v>
      </c>
      <c r="P79" s="270">
        <v>614603</v>
      </c>
      <c r="Q79" s="270">
        <v>613622</v>
      </c>
      <c r="R79" s="270">
        <v>625296</v>
      </c>
      <c r="S79" s="270">
        <v>576891</v>
      </c>
      <c r="T79" s="270">
        <v>644468</v>
      </c>
      <c r="U79" s="270">
        <v>580747</v>
      </c>
      <c r="V79" s="270">
        <v>590823</v>
      </c>
      <c r="W79" s="270">
        <v>602608</v>
      </c>
      <c r="X79" s="270">
        <v>522028</v>
      </c>
      <c r="Y79" s="270">
        <v>575704</v>
      </c>
      <c r="Z79" s="270">
        <v>657343</v>
      </c>
      <c r="AA79" s="270">
        <v>506577</v>
      </c>
      <c r="AB79" s="270">
        <v>670538</v>
      </c>
      <c r="AC79" s="270">
        <v>600373</v>
      </c>
      <c r="AD79" s="270">
        <v>538203</v>
      </c>
      <c r="AE79" s="270">
        <v>564563</v>
      </c>
      <c r="AF79" s="270">
        <v>536215</v>
      </c>
      <c r="AG79" s="270">
        <v>526846</v>
      </c>
      <c r="AH79" s="270">
        <v>556836</v>
      </c>
      <c r="AI79" s="270">
        <v>517140</v>
      </c>
      <c r="AJ79" s="270">
        <v>475435</v>
      </c>
      <c r="AK79" s="270">
        <v>546969</v>
      </c>
      <c r="AL79" s="270">
        <v>582122</v>
      </c>
      <c r="AM79" s="270">
        <v>378203</v>
      </c>
      <c r="AN79" s="270">
        <v>739472</v>
      </c>
      <c r="AO79" s="270">
        <v>576052</v>
      </c>
      <c r="AP79" s="270">
        <v>592656</v>
      </c>
      <c r="AQ79" s="270">
        <v>626102</v>
      </c>
      <c r="AR79" s="270">
        <v>511330</v>
      </c>
      <c r="AS79" s="270">
        <v>609266</v>
      </c>
      <c r="AT79" s="270">
        <v>585609</v>
      </c>
      <c r="AU79" s="270">
        <v>482154</v>
      </c>
      <c r="AV79" s="270">
        <v>577571</v>
      </c>
      <c r="AW79" s="270">
        <v>540639</v>
      </c>
      <c r="AX79" s="270">
        <v>623313</v>
      </c>
      <c r="AY79" s="270">
        <v>514128</v>
      </c>
      <c r="AZ79" s="270">
        <v>703557</v>
      </c>
      <c r="BA79" s="270">
        <v>542796</v>
      </c>
      <c r="BB79" s="270">
        <v>604499</v>
      </c>
      <c r="BC79" s="270">
        <v>593153</v>
      </c>
      <c r="BD79" s="270">
        <v>574576</v>
      </c>
      <c r="BE79" s="270">
        <v>674178</v>
      </c>
      <c r="BF79" s="270">
        <v>597976</v>
      </c>
      <c r="BG79" s="270">
        <v>588371</v>
      </c>
      <c r="BH79" s="270">
        <v>658020</v>
      </c>
      <c r="BI79" s="270">
        <v>584333</v>
      </c>
      <c r="BJ79" s="270">
        <v>769710</v>
      </c>
      <c r="BK79" s="270">
        <v>514128</v>
      </c>
      <c r="BL79" s="270">
        <v>703557</v>
      </c>
      <c r="BM79" s="270">
        <v>542796</v>
      </c>
      <c r="BN79" s="270">
        <v>604499</v>
      </c>
      <c r="BO79" s="270">
        <v>593153</v>
      </c>
      <c r="BP79" s="270">
        <v>574576</v>
      </c>
      <c r="BQ79" s="270">
        <v>674178</v>
      </c>
      <c r="BR79" s="270">
        <v>597976</v>
      </c>
      <c r="BS79" s="270">
        <v>588371</v>
      </c>
      <c r="BT79" s="270">
        <v>658020</v>
      </c>
    </row>
    <row r="80" spans="1:72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0.68</v>
      </c>
      <c r="C82" s="72">
        <v>0.73</v>
      </c>
      <c r="D82" s="72">
        <v>0.69</v>
      </c>
      <c r="E82" s="72">
        <v>0.33</v>
      </c>
      <c r="F82" s="72">
        <v>0.94</v>
      </c>
      <c r="G82" s="72">
        <v>1.1100000000000001</v>
      </c>
      <c r="H82" s="72">
        <v>1.04</v>
      </c>
      <c r="I82" s="72">
        <v>0.97</v>
      </c>
      <c r="J82" s="72">
        <v>1.23</v>
      </c>
      <c r="K82" s="72">
        <v>1.01</v>
      </c>
      <c r="L82" s="72">
        <v>0.93</v>
      </c>
      <c r="M82" s="72">
        <v>0.87</v>
      </c>
      <c r="N82" s="72">
        <v>0.84</v>
      </c>
      <c r="O82" s="72">
        <v>0.76</v>
      </c>
      <c r="P82" s="72">
        <v>0.78</v>
      </c>
      <c r="Q82" s="72">
        <v>0.79</v>
      </c>
      <c r="R82" s="72">
        <v>0.87</v>
      </c>
      <c r="S82" s="72">
        <v>0.99</v>
      </c>
      <c r="T82" s="72">
        <v>0.95</v>
      </c>
      <c r="U82" s="72">
        <v>0.89</v>
      </c>
      <c r="V82" s="72">
        <v>0.96</v>
      </c>
      <c r="W82" s="72">
        <v>0.83</v>
      </c>
      <c r="X82" s="72">
        <v>1.1100000000000001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18.78</v>
      </c>
      <c r="C85" s="72">
        <v>16.2</v>
      </c>
      <c r="D85" s="72">
        <v>17.43</v>
      </c>
      <c r="E85" s="72">
        <v>17.62</v>
      </c>
      <c r="F85" s="72">
        <v>19.190000000000001</v>
      </c>
      <c r="G85" s="72">
        <v>18.28</v>
      </c>
      <c r="H85" s="72">
        <v>18.260000000000002</v>
      </c>
      <c r="I85" s="72">
        <v>19.239999999999998</v>
      </c>
      <c r="J85" s="72">
        <v>20.48</v>
      </c>
      <c r="K85" s="72">
        <v>19.64</v>
      </c>
      <c r="L85" s="72">
        <v>18.010000000000002</v>
      </c>
      <c r="M85" s="72">
        <v>18.87</v>
      </c>
      <c r="N85" s="72">
        <v>19.68</v>
      </c>
      <c r="O85" s="72">
        <v>17.93</v>
      </c>
      <c r="P85" s="72">
        <v>17.03</v>
      </c>
      <c r="Q85" s="72">
        <v>17.79</v>
      </c>
      <c r="R85" s="72">
        <v>18.7</v>
      </c>
      <c r="S85" s="72">
        <v>17.68</v>
      </c>
      <c r="T85" s="72">
        <v>18.59</v>
      </c>
      <c r="U85" s="72">
        <v>19.440000000000001</v>
      </c>
      <c r="V85" s="72">
        <v>20.38</v>
      </c>
      <c r="W85" s="72">
        <v>18.72</v>
      </c>
      <c r="X85" s="72">
        <v>19.84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1344979</v>
      </c>
      <c r="C88" s="273">
        <v>1468877</v>
      </c>
      <c r="D88" s="273">
        <v>1306443</v>
      </c>
      <c r="E88" s="273">
        <v>1103985</v>
      </c>
      <c r="F88" s="273">
        <v>1412555</v>
      </c>
      <c r="G88" s="273">
        <v>1628542</v>
      </c>
      <c r="H88" s="273">
        <v>1743868</v>
      </c>
      <c r="I88" s="273">
        <v>1665976</v>
      </c>
      <c r="J88" s="273">
        <v>1770702</v>
      </c>
      <c r="K88" s="273">
        <v>1815864</v>
      </c>
      <c r="L88" s="273">
        <v>1815990</v>
      </c>
      <c r="M88" s="273">
        <v>1700480</v>
      </c>
      <c r="N88" s="273">
        <v>1833974</v>
      </c>
      <c r="O88" s="273">
        <v>1703622</v>
      </c>
      <c r="P88" s="273">
        <v>1619926</v>
      </c>
      <c r="Q88" s="273">
        <v>1539516</v>
      </c>
      <c r="R88" s="273">
        <v>1699797</v>
      </c>
      <c r="S88" s="273">
        <v>1794810</v>
      </c>
      <c r="T88" s="273">
        <v>1706205</v>
      </c>
      <c r="U88" s="273">
        <v>1600310</v>
      </c>
      <c r="V88" s="273">
        <v>1840998</v>
      </c>
      <c r="W88" s="273">
        <v>1740448</v>
      </c>
      <c r="X88" s="273">
        <v>1846730</v>
      </c>
    </row>
    <row r="89" spans="1:25" ht="14.25" thickBot="1" x14ac:dyDescent="0.3">
      <c r="A89" s="250" t="s">
        <v>4</v>
      </c>
      <c r="B89" s="275">
        <v>239429</v>
      </c>
      <c r="C89" s="275">
        <v>266536</v>
      </c>
      <c r="D89" s="275">
        <v>223719</v>
      </c>
      <c r="E89" s="275">
        <v>154678</v>
      </c>
      <c r="F89" s="275">
        <v>288040</v>
      </c>
      <c r="G89" s="275">
        <v>368541</v>
      </c>
      <c r="H89" s="275">
        <v>398739</v>
      </c>
      <c r="I89" s="275">
        <v>370431</v>
      </c>
      <c r="J89" s="275">
        <v>437954</v>
      </c>
      <c r="K89" s="275">
        <v>441396</v>
      </c>
      <c r="L89" s="275">
        <v>411186</v>
      </c>
      <c r="M89" s="275">
        <v>392162</v>
      </c>
      <c r="N89" s="275">
        <v>391961</v>
      </c>
      <c r="O89" s="275">
        <v>343873</v>
      </c>
      <c r="P89" s="275">
        <v>358951</v>
      </c>
      <c r="Q89" s="275">
        <v>403493</v>
      </c>
      <c r="R89" s="275">
        <v>439086</v>
      </c>
      <c r="S89" s="275">
        <v>487186</v>
      </c>
      <c r="T89" s="275">
        <v>444074</v>
      </c>
      <c r="U89" s="275">
        <v>425436</v>
      </c>
      <c r="V89" s="275">
        <v>457030</v>
      </c>
      <c r="W89" s="275">
        <v>412453</v>
      </c>
      <c r="X89" s="275">
        <v>487023</v>
      </c>
    </row>
    <row r="90" spans="1:25" ht="14.25" thickBot="1" x14ac:dyDescent="0.3">
      <c r="A90" s="251" t="s">
        <v>5</v>
      </c>
      <c r="B90" s="273">
        <v>163121</v>
      </c>
      <c r="C90" s="273">
        <v>179392</v>
      </c>
      <c r="D90" s="273">
        <v>132427</v>
      </c>
      <c r="E90" s="273">
        <v>69067</v>
      </c>
      <c r="F90" s="273">
        <v>201557</v>
      </c>
      <c r="G90" s="273">
        <v>270725</v>
      </c>
      <c r="H90" s="273">
        <v>296549</v>
      </c>
      <c r="I90" s="273">
        <v>256892</v>
      </c>
      <c r="J90" s="273">
        <v>328221</v>
      </c>
      <c r="K90" s="273">
        <v>331977</v>
      </c>
      <c r="L90" s="273">
        <v>300068</v>
      </c>
      <c r="M90" s="273">
        <v>277806</v>
      </c>
      <c r="N90" s="273">
        <v>271967</v>
      </c>
      <c r="O90" s="273">
        <v>228980</v>
      </c>
      <c r="P90" s="273">
        <v>238703</v>
      </c>
      <c r="Q90" s="273">
        <v>292677</v>
      </c>
      <c r="R90" s="273">
        <v>319433</v>
      </c>
      <c r="S90" s="273">
        <v>374730</v>
      </c>
      <c r="T90" s="273">
        <v>337355</v>
      </c>
      <c r="U90" s="273">
        <v>311233</v>
      </c>
      <c r="V90" s="273">
        <v>350866</v>
      </c>
      <c r="W90" s="273">
        <v>304600</v>
      </c>
      <c r="X90" s="273">
        <v>375966</v>
      </c>
    </row>
    <row r="91" spans="1:25" ht="14.25" thickBot="1" x14ac:dyDescent="0.3">
      <c r="A91" s="250" t="s">
        <v>6</v>
      </c>
      <c r="B91" s="275">
        <v>167409</v>
      </c>
      <c r="C91" s="275">
        <v>184333</v>
      </c>
      <c r="D91" s="275">
        <v>166631</v>
      </c>
      <c r="E91" s="275">
        <v>82838</v>
      </c>
      <c r="F91" s="275">
        <v>250705</v>
      </c>
      <c r="G91" s="275">
        <v>292211</v>
      </c>
      <c r="H91" s="275">
        <v>301526</v>
      </c>
      <c r="I91" s="275">
        <v>277309</v>
      </c>
      <c r="J91" s="275">
        <v>346945</v>
      </c>
      <c r="K91" s="275">
        <v>333077</v>
      </c>
      <c r="L91" s="275">
        <v>302440</v>
      </c>
      <c r="M91" s="275">
        <v>284396</v>
      </c>
      <c r="N91" s="275">
        <v>279677</v>
      </c>
      <c r="O91" s="275">
        <v>256011</v>
      </c>
      <c r="P91" s="275">
        <v>290853</v>
      </c>
      <c r="Q91" s="275">
        <v>293990</v>
      </c>
      <c r="R91" s="275">
        <v>316228</v>
      </c>
      <c r="S91" s="275">
        <v>385356</v>
      </c>
      <c r="T91" s="275">
        <v>347049</v>
      </c>
      <c r="U91" s="275">
        <v>330141</v>
      </c>
      <c r="V91" s="275">
        <v>351143</v>
      </c>
      <c r="W91" s="275">
        <v>329738</v>
      </c>
      <c r="X91" s="275">
        <v>397809</v>
      </c>
    </row>
    <row r="92" spans="1:25" ht="14.25" thickBot="1" x14ac:dyDescent="0.3">
      <c r="A92" s="251" t="s">
        <v>7</v>
      </c>
      <c r="B92" s="273">
        <v>139550</v>
      </c>
      <c r="C92" s="273">
        <v>151168</v>
      </c>
      <c r="D92" s="273">
        <v>143830</v>
      </c>
      <c r="E92" s="273">
        <v>69614</v>
      </c>
      <c r="F92" s="273">
        <v>207480</v>
      </c>
      <c r="G92" s="273">
        <v>249686</v>
      </c>
      <c r="H92" s="273">
        <v>252552</v>
      </c>
      <c r="I92" s="273">
        <v>229629</v>
      </c>
      <c r="J92" s="273">
        <v>289137</v>
      </c>
      <c r="K92" s="273">
        <v>277230</v>
      </c>
      <c r="L92" s="273">
        <v>252138</v>
      </c>
      <c r="M92" s="273">
        <v>233392</v>
      </c>
      <c r="N92" s="273">
        <v>233231</v>
      </c>
      <c r="O92" s="273">
        <v>214485</v>
      </c>
      <c r="P92" s="273">
        <v>245604</v>
      </c>
      <c r="Q92" s="273">
        <v>234901</v>
      </c>
      <c r="R92" s="273">
        <v>261360</v>
      </c>
      <c r="S92" s="273">
        <v>301009</v>
      </c>
      <c r="T92" s="273">
        <v>288872</v>
      </c>
      <c r="U92" s="273">
        <v>267712</v>
      </c>
      <c r="V92" s="273">
        <v>287982</v>
      </c>
      <c r="W92" s="273">
        <v>251213</v>
      </c>
      <c r="X92" s="273">
        <v>330050</v>
      </c>
    </row>
    <row r="93" spans="1:25" ht="26.25" thickBot="1" x14ac:dyDescent="0.3">
      <c r="A93" s="252" t="s">
        <v>8</v>
      </c>
      <c r="B93" s="276">
        <v>138486</v>
      </c>
      <c r="C93" s="276">
        <v>150139</v>
      </c>
      <c r="D93" s="276">
        <v>142944</v>
      </c>
      <c r="E93" s="276">
        <v>68886</v>
      </c>
      <c r="F93" s="276">
        <v>204216</v>
      </c>
      <c r="G93" s="276">
        <v>243882</v>
      </c>
      <c r="H93" s="276">
        <v>243263</v>
      </c>
      <c r="I93" s="276">
        <v>225617</v>
      </c>
      <c r="J93" s="276">
        <v>286629</v>
      </c>
      <c r="K93" s="276">
        <v>270630</v>
      </c>
      <c r="L93" s="276">
        <v>249805</v>
      </c>
      <c r="M93" s="276">
        <v>233246</v>
      </c>
      <c r="N93" s="276">
        <v>225238</v>
      </c>
      <c r="O93" s="276">
        <v>204808</v>
      </c>
      <c r="P93" s="276">
        <v>230924</v>
      </c>
      <c r="Q93" s="276">
        <v>234130</v>
      </c>
      <c r="R93" s="276">
        <v>258001</v>
      </c>
      <c r="S93" s="276">
        <v>291838</v>
      </c>
      <c r="T93" s="276">
        <v>278565</v>
      </c>
      <c r="U93" s="276">
        <v>262449</v>
      </c>
      <c r="V93" s="276">
        <v>282212</v>
      </c>
      <c r="W93" s="276">
        <v>245117</v>
      </c>
      <c r="X93" s="276">
        <v>326213</v>
      </c>
    </row>
    <row r="94" spans="1:25" x14ac:dyDescent="0.25">
      <c r="A94" s="233" t="s">
        <v>365</v>
      </c>
      <c r="B94" s="253">
        <f>IF(B91="","",B91-B90)</f>
        <v>4288</v>
      </c>
      <c r="C94" s="253">
        <f>IF(C91="","",C91-C90)</f>
        <v>4941</v>
      </c>
      <c r="D94" s="253">
        <f t="shared" ref="D94:Y94" si="9">IF(D91="","",D91-D90)</f>
        <v>34204</v>
      </c>
      <c r="E94" s="253">
        <f t="shared" si="9"/>
        <v>13771</v>
      </c>
      <c r="F94" s="253">
        <f t="shared" si="9"/>
        <v>49148</v>
      </c>
      <c r="G94" s="253">
        <f t="shared" si="9"/>
        <v>21486</v>
      </c>
      <c r="H94" s="253">
        <f t="shared" si="9"/>
        <v>4977</v>
      </c>
      <c r="I94" s="253">
        <f t="shared" si="9"/>
        <v>20417</v>
      </c>
      <c r="J94" s="253">
        <f t="shared" si="9"/>
        <v>18724</v>
      </c>
      <c r="K94" s="253">
        <f t="shared" si="9"/>
        <v>1100</v>
      </c>
      <c r="L94" s="253">
        <f t="shared" si="9"/>
        <v>2372</v>
      </c>
      <c r="M94" s="253">
        <f t="shared" si="9"/>
        <v>6590</v>
      </c>
      <c r="N94" s="253">
        <f t="shared" si="9"/>
        <v>7710</v>
      </c>
      <c r="O94" s="253">
        <f t="shared" si="9"/>
        <v>27031</v>
      </c>
      <c r="P94" s="253">
        <f t="shared" si="9"/>
        <v>52150</v>
      </c>
      <c r="Q94" s="253">
        <f t="shared" si="9"/>
        <v>1313</v>
      </c>
      <c r="R94" s="253">
        <f t="shared" si="9"/>
        <v>-3205</v>
      </c>
      <c r="S94" s="253">
        <f t="shared" si="9"/>
        <v>10626</v>
      </c>
      <c r="T94" s="253">
        <f t="shared" si="9"/>
        <v>9694</v>
      </c>
      <c r="U94" s="253">
        <f t="shared" si="9"/>
        <v>18908</v>
      </c>
      <c r="V94" s="253">
        <f t="shared" si="9"/>
        <v>277</v>
      </c>
      <c r="W94" s="253">
        <f t="shared" si="9"/>
        <v>25138</v>
      </c>
      <c r="X94" s="253">
        <f t="shared" si="9"/>
        <v>21843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5224284</v>
      </c>
      <c r="C97" s="273">
        <v>6450941</v>
      </c>
      <c r="D97" s="273">
        <v>7103036</v>
      </c>
      <c r="E97" s="273">
        <v>6697038</v>
      </c>
      <c r="F97" s="273">
        <v>6801122</v>
      </c>
    </row>
    <row r="98" spans="1:24" ht="14.25" thickBot="1" x14ac:dyDescent="0.3">
      <c r="A98" s="225" t="s">
        <v>4</v>
      </c>
      <c r="B98" s="275">
        <v>884362</v>
      </c>
      <c r="C98" s="275">
        <v>1425751</v>
      </c>
      <c r="D98" s="275">
        <v>1682698</v>
      </c>
      <c r="E98" s="275">
        <v>1498278</v>
      </c>
      <c r="F98" s="275">
        <v>1795782</v>
      </c>
    </row>
    <row r="99" spans="1:24" ht="14.25" thickBot="1" x14ac:dyDescent="0.3">
      <c r="A99" s="224" t="s">
        <v>5</v>
      </c>
      <c r="B99" s="273">
        <v>544007</v>
      </c>
      <c r="C99" s="273">
        <v>1025723</v>
      </c>
      <c r="D99" s="273">
        <v>1238072</v>
      </c>
      <c r="E99" s="273">
        <v>1032327</v>
      </c>
      <c r="F99" s="273">
        <v>1342751</v>
      </c>
    </row>
    <row r="100" spans="1:24" ht="14.25" thickBot="1" x14ac:dyDescent="0.3">
      <c r="A100" s="225" t="s">
        <v>6</v>
      </c>
      <c r="B100" s="275">
        <v>601211</v>
      </c>
      <c r="C100" s="275">
        <v>1121751</v>
      </c>
      <c r="D100" s="275">
        <v>1266858</v>
      </c>
      <c r="E100" s="275">
        <v>1120531</v>
      </c>
      <c r="F100" s="275">
        <v>1378774</v>
      </c>
    </row>
    <row r="101" spans="1:24" ht="14.25" thickBot="1" x14ac:dyDescent="0.3">
      <c r="A101" s="224" t="s">
        <v>7</v>
      </c>
      <c r="B101" s="273">
        <v>504162</v>
      </c>
      <c r="C101" s="273">
        <v>939347</v>
      </c>
      <c r="D101" s="273">
        <v>1051897</v>
      </c>
      <c r="E101" s="273">
        <v>928221</v>
      </c>
      <c r="F101" s="273">
        <v>1118953</v>
      </c>
    </row>
    <row r="102" spans="1:24" ht="14.25" thickBot="1" x14ac:dyDescent="0.3">
      <c r="A102" s="227" t="s">
        <v>8</v>
      </c>
      <c r="B102" s="276">
        <v>500455</v>
      </c>
      <c r="C102" s="276">
        <v>916978</v>
      </c>
      <c r="D102" s="276">
        <v>1040310</v>
      </c>
      <c r="E102" s="276">
        <v>895100</v>
      </c>
      <c r="F102" s="276">
        <v>1090853</v>
      </c>
    </row>
    <row r="103" spans="1:24" x14ac:dyDescent="0.25">
      <c r="A103" s="233" t="s">
        <v>262</v>
      </c>
      <c r="B103" s="234">
        <f>IF(OR(B102="",B102="無"),"",B102/B101)</f>
        <v>0.99264720466834078</v>
      </c>
      <c r="C103" s="234">
        <f>IF(OR(C102="",C102="無"),"",C102/C101)</f>
        <v>0.9761866488102906</v>
      </c>
      <c r="D103" s="234">
        <f>IF(OR(D102="",D102="無"),"",D102/D101)</f>
        <v>0.98898466294703757</v>
      </c>
      <c r="E103" s="234">
        <f>IF(OR(E102="",E102="無"),"",E102/E101)</f>
        <v>0.96431776484263987</v>
      </c>
      <c r="F103" s="234">
        <f>IF(OR(F102="",F102="無"),"",F102/F101)</f>
        <v>0.97488723833798208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730623</v>
      </c>
      <c r="C106" s="273">
        <v>708634</v>
      </c>
      <c r="D106" s="273">
        <v>655301</v>
      </c>
      <c r="E106" s="273">
        <v>654308</v>
      </c>
      <c r="F106" s="273">
        <v>823175</v>
      </c>
      <c r="G106" s="273">
        <v>840244</v>
      </c>
      <c r="H106" s="273">
        <v>600549</v>
      </c>
      <c r="I106" s="273">
        <v>902921</v>
      </c>
      <c r="J106" s="273">
        <v>979613</v>
      </c>
      <c r="K106" s="273">
        <v>1059402</v>
      </c>
      <c r="L106" s="273">
        <v>681041</v>
      </c>
      <c r="M106" s="273">
        <v>797390</v>
      </c>
      <c r="N106" s="273">
        <v>643558</v>
      </c>
      <c r="O106" s="273">
        <v>905378</v>
      </c>
      <c r="P106" s="273">
        <v>625997</v>
      </c>
      <c r="Q106" s="273">
        <v>861284</v>
      </c>
      <c r="R106" s="273">
        <v>942737</v>
      </c>
      <c r="S106" s="273">
        <v>1293817</v>
      </c>
      <c r="T106" s="273">
        <v>936464</v>
      </c>
      <c r="U106" s="273">
        <v>1284639</v>
      </c>
      <c r="V106" s="273">
        <v>1045566</v>
      </c>
      <c r="W106" s="273">
        <v>1296064</v>
      </c>
      <c r="X106" s="273">
        <v>860261</v>
      </c>
    </row>
    <row r="107" spans="1:24" ht="14.25" thickBot="1" x14ac:dyDescent="0.3">
      <c r="A107" s="225" t="s">
        <v>22</v>
      </c>
      <c r="B107" s="275">
        <v>19874</v>
      </c>
      <c r="C107" s="275">
        <v>8981</v>
      </c>
      <c r="D107" s="275">
        <v>22432</v>
      </c>
      <c r="E107" s="274">
        <v>0</v>
      </c>
      <c r="F107" s="275">
        <v>13773</v>
      </c>
      <c r="G107" s="275">
        <v>13924</v>
      </c>
      <c r="H107" s="275">
        <v>13924</v>
      </c>
      <c r="I107" s="275">
        <v>10000</v>
      </c>
      <c r="J107" s="275">
        <v>10603</v>
      </c>
      <c r="K107" s="275">
        <v>10844</v>
      </c>
      <c r="L107" s="275">
        <v>65436</v>
      </c>
      <c r="M107" s="275">
        <v>54428</v>
      </c>
      <c r="N107" s="275">
        <v>68261</v>
      </c>
      <c r="O107" s="275">
        <v>36219</v>
      </c>
      <c r="P107" s="275">
        <v>33068</v>
      </c>
      <c r="Q107" s="275">
        <v>35320</v>
      </c>
      <c r="R107" s="275">
        <v>49221</v>
      </c>
      <c r="S107" s="275">
        <v>99113</v>
      </c>
      <c r="T107" s="275">
        <v>96412</v>
      </c>
      <c r="U107" s="275">
        <v>114767</v>
      </c>
      <c r="V107" s="275">
        <v>109329</v>
      </c>
      <c r="W107" s="275">
        <v>60241</v>
      </c>
      <c r="X107" s="275">
        <v>54620</v>
      </c>
    </row>
    <row r="108" spans="1:24" ht="14.25" thickBot="1" x14ac:dyDescent="0.3">
      <c r="A108" s="224" t="s">
        <v>263</v>
      </c>
      <c r="B108" s="273">
        <v>829719</v>
      </c>
      <c r="C108" s="273">
        <v>872664</v>
      </c>
      <c r="D108" s="273">
        <v>791408</v>
      </c>
      <c r="E108" s="273">
        <v>828440</v>
      </c>
      <c r="F108" s="273">
        <v>1012274</v>
      </c>
      <c r="G108" s="273">
        <v>1279314</v>
      </c>
      <c r="H108" s="273">
        <v>1324215</v>
      </c>
      <c r="I108" s="273">
        <v>1242618</v>
      </c>
      <c r="J108" s="273">
        <v>1334708</v>
      </c>
      <c r="K108" s="273">
        <v>1275767</v>
      </c>
      <c r="L108" s="273">
        <v>1251787</v>
      </c>
      <c r="M108" s="273">
        <v>1321478</v>
      </c>
      <c r="N108" s="273">
        <v>1351757</v>
      </c>
      <c r="O108" s="273">
        <v>1245463</v>
      </c>
      <c r="P108" s="273">
        <v>1290525</v>
      </c>
      <c r="Q108" s="273">
        <v>1232142</v>
      </c>
      <c r="R108" s="273">
        <v>1277472</v>
      </c>
      <c r="S108" s="273">
        <v>1402540</v>
      </c>
      <c r="T108" s="273">
        <v>1275269</v>
      </c>
      <c r="U108" s="273">
        <v>1210620</v>
      </c>
      <c r="V108" s="273">
        <v>1317429</v>
      </c>
      <c r="W108" s="273">
        <v>1286742</v>
      </c>
      <c r="X108" s="273">
        <v>1370052</v>
      </c>
    </row>
    <row r="109" spans="1:24" ht="14.25" thickBot="1" x14ac:dyDescent="0.3">
      <c r="A109" s="225" t="s">
        <v>264</v>
      </c>
      <c r="B109" s="275">
        <v>1456033</v>
      </c>
      <c r="C109" s="275">
        <v>1481532</v>
      </c>
      <c r="D109" s="275">
        <v>1394011</v>
      </c>
      <c r="E109" s="275">
        <v>1300421</v>
      </c>
      <c r="F109" s="275">
        <v>1214149</v>
      </c>
      <c r="G109" s="275">
        <v>1286643</v>
      </c>
      <c r="H109" s="275">
        <v>1359385</v>
      </c>
      <c r="I109" s="275">
        <v>1458050</v>
      </c>
      <c r="J109" s="275">
        <v>1428333</v>
      </c>
      <c r="K109" s="275">
        <v>1473795</v>
      </c>
      <c r="L109" s="275">
        <v>1515743</v>
      </c>
      <c r="M109" s="275">
        <v>1493936</v>
      </c>
      <c r="N109" s="275">
        <v>1506852</v>
      </c>
      <c r="O109" s="275">
        <v>1488244</v>
      </c>
      <c r="P109" s="275">
        <v>1491695</v>
      </c>
      <c r="Q109" s="275">
        <v>1478089</v>
      </c>
      <c r="R109" s="275">
        <v>1419319</v>
      </c>
      <c r="S109" s="275">
        <v>1286692</v>
      </c>
      <c r="T109" s="275">
        <v>1382265</v>
      </c>
      <c r="U109" s="275">
        <v>1475065</v>
      </c>
      <c r="V109" s="275">
        <v>1423504</v>
      </c>
      <c r="W109" s="275">
        <v>1585260</v>
      </c>
      <c r="X109" s="275">
        <v>1586220</v>
      </c>
    </row>
    <row r="110" spans="1:24" ht="14.25" thickBot="1" x14ac:dyDescent="0.3">
      <c r="A110" s="224" t="s">
        <v>23</v>
      </c>
      <c r="B110" s="273">
        <v>80601</v>
      </c>
      <c r="C110" s="273">
        <v>88666</v>
      </c>
      <c r="D110" s="273">
        <v>66069</v>
      </c>
      <c r="E110" s="273">
        <v>48257</v>
      </c>
      <c r="F110" s="273">
        <v>46421</v>
      </c>
      <c r="G110" s="273">
        <v>51076</v>
      </c>
      <c r="H110" s="273">
        <v>51902</v>
      </c>
      <c r="I110" s="273">
        <v>59035</v>
      </c>
      <c r="J110" s="273">
        <v>61515</v>
      </c>
      <c r="K110" s="273">
        <v>62968</v>
      </c>
      <c r="L110" s="273">
        <v>59891</v>
      </c>
      <c r="M110" s="273">
        <v>57442</v>
      </c>
      <c r="N110" s="273">
        <v>55962</v>
      </c>
      <c r="O110" s="273">
        <v>64676</v>
      </c>
      <c r="P110" s="273">
        <v>60586</v>
      </c>
      <c r="Q110" s="273">
        <v>52583</v>
      </c>
      <c r="R110" s="273">
        <v>52982</v>
      </c>
      <c r="S110" s="273">
        <v>52803</v>
      </c>
      <c r="T110" s="273">
        <v>54748</v>
      </c>
      <c r="U110" s="273">
        <v>54573</v>
      </c>
      <c r="V110" s="273">
        <v>67912</v>
      </c>
      <c r="W110" s="273">
        <v>76794</v>
      </c>
      <c r="X110" s="273">
        <v>54822</v>
      </c>
    </row>
    <row r="111" spans="1:24" ht="14.25" thickBot="1" x14ac:dyDescent="0.3">
      <c r="A111" s="225" t="s">
        <v>24</v>
      </c>
      <c r="B111" s="275">
        <v>3116850</v>
      </c>
      <c r="C111" s="275">
        <v>3160477</v>
      </c>
      <c r="D111" s="275">
        <v>2929221</v>
      </c>
      <c r="E111" s="275">
        <v>2831426</v>
      </c>
      <c r="F111" s="275">
        <v>3109792</v>
      </c>
      <c r="G111" s="275">
        <v>3471201</v>
      </c>
      <c r="H111" s="275">
        <v>3349975</v>
      </c>
      <c r="I111" s="275">
        <v>3672624</v>
      </c>
      <c r="J111" s="275">
        <v>3814772</v>
      </c>
      <c r="K111" s="275">
        <v>3882776</v>
      </c>
      <c r="L111" s="275">
        <v>3573898</v>
      </c>
      <c r="M111" s="275">
        <v>3724674</v>
      </c>
      <c r="N111" s="275">
        <v>3626390</v>
      </c>
      <c r="O111" s="275">
        <v>3739980</v>
      </c>
      <c r="P111" s="275">
        <v>3501871</v>
      </c>
      <c r="Q111" s="275">
        <v>3659418</v>
      </c>
      <c r="R111" s="275">
        <v>3741731</v>
      </c>
      <c r="S111" s="275">
        <v>4134965</v>
      </c>
      <c r="T111" s="275">
        <v>3745158</v>
      </c>
      <c r="U111" s="275">
        <v>4139664</v>
      </c>
      <c r="V111" s="275">
        <v>3963740</v>
      </c>
      <c r="W111" s="275">
        <v>4305101</v>
      </c>
      <c r="X111" s="275">
        <v>3925975</v>
      </c>
    </row>
    <row r="112" spans="1:24" ht="14.25" thickBot="1" x14ac:dyDescent="0.3">
      <c r="A112" s="224" t="s">
        <v>25</v>
      </c>
      <c r="B112" s="273">
        <v>10916</v>
      </c>
      <c r="C112" s="273">
        <v>9079</v>
      </c>
      <c r="D112" s="273">
        <v>9079</v>
      </c>
      <c r="E112" s="273">
        <v>9079</v>
      </c>
      <c r="F112" s="273">
        <v>1190</v>
      </c>
      <c r="G112" s="273">
        <v>1190</v>
      </c>
      <c r="H112" s="273">
        <v>1190</v>
      </c>
      <c r="I112" s="273">
        <v>2385</v>
      </c>
      <c r="J112" s="273">
        <v>2411</v>
      </c>
      <c r="K112" s="273">
        <v>2329</v>
      </c>
      <c r="L112" s="273">
        <v>2327</v>
      </c>
      <c r="M112" s="273">
        <v>2345</v>
      </c>
      <c r="N112" s="273">
        <v>2266</v>
      </c>
      <c r="O112" s="273">
        <v>2234</v>
      </c>
      <c r="P112" s="273">
        <v>2138</v>
      </c>
      <c r="Q112" s="273">
        <v>7201</v>
      </c>
      <c r="R112" s="273">
        <v>7275</v>
      </c>
      <c r="S112" s="273">
        <v>7244</v>
      </c>
      <c r="T112" s="273">
        <v>7184</v>
      </c>
      <c r="U112" s="273">
        <v>7171</v>
      </c>
      <c r="V112" s="273">
        <v>7124</v>
      </c>
      <c r="W112" s="273">
        <v>7157</v>
      </c>
      <c r="X112" s="273">
        <v>7170</v>
      </c>
    </row>
    <row r="113" spans="1:24" ht="14.25" thickBot="1" x14ac:dyDescent="0.3">
      <c r="A113" s="225" t="s">
        <v>26</v>
      </c>
      <c r="B113" s="275">
        <v>2506226</v>
      </c>
      <c r="C113" s="275">
        <v>2619523</v>
      </c>
      <c r="D113" s="275">
        <v>2594311</v>
      </c>
      <c r="E113" s="275">
        <v>2733594</v>
      </c>
      <c r="F113" s="275">
        <v>2543916</v>
      </c>
      <c r="G113" s="275">
        <v>2935813</v>
      </c>
      <c r="H113" s="275">
        <v>2934064</v>
      </c>
      <c r="I113" s="275">
        <v>2954489</v>
      </c>
      <c r="J113" s="275">
        <v>3020347</v>
      </c>
      <c r="K113" s="275">
        <v>3079767</v>
      </c>
      <c r="L113" s="275">
        <v>3164216</v>
      </c>
      <c r="M113" s="275">
        <v>3309558</v>
      </c>
      <c r="N113" s="275">
        <v>3404587</v>
      </c>
      <c r="O113" s="275">
        <v>3503642</v>
      </c>
      <c r="P113" s="275">
        <v>3561962</v>
      </c>
      <c r="Q113" s="275">
        <v>3627122</v>
      </c>
      <c r="R113" s="275">
        <v>3618104</v>
      </c>
      <c r="S113" s="275">
        <v>3594727</v>
      </c>
      <c r="T113" s="275">
        <v>3577911</v>
      </c>
      <c r="U113" s="275">
        <v>3531728</v>
      </c>
      <c r="V113" s="275">
        <v>3487337</v>
      </c>
      <c r="W113" s="275">
        <v>3510885</v>
      </c>
      <c r="X113" s="275">
        <v>3502019</v>
      </c>
    </row>
    <row r="114" spans="1:24" ht="14.25" thickBot="1" x14ac:dyDescent="0.3">
      <c r="A114" s="224" t="s">
        <v>27</v>
      </c>
      <c r="B114" s="273">
        <v>228520</v>
      </c>
      <c r="C114" s="273">
        <v>226140</v>
      </c>
      <c r="D114" s="273">
        <v>224564</v>
      </c>
      <c r="E114" s="273">
        <v>222279</v>
      </c>
      <c r="F114" s="273">
        <v>708705</v>
      </c>
      <c r="G114" s="273">
        <v>297996</v>
      </c>
      <c r="H114" s="273">
        <v>297193</v>
      </c>
      <c r="I114" s="273">
        <v>297979</v>
      </c>
      <c r="J114" s="273">
        <v>283284</v>
      </c>
      <c r="K114" s="273">
        <v>298771</v>
      </c>
      <c r="L114" s="273">
        <v>293798</v>
      </c>
      <c r="M114" s="273">
        <v>299276</v>
      </c>
      <c r="N114" s="273">
        <v>308927</v>
      </c>
      <c r="O114" s="273">
        <v>336498</v>
      </c>
      <c r="P114" s="273">
        <v>320991</v>
      </c>
      <c r="Q114" s="273">
        <v>275747</v>
      </c>
      <c r="R114" s="273">
        <v>268060</v>
      </c>
      <c r="S114" s="273">
        <v>265229</v>
      </c>
      <c r="T114" s="273">
        <v>266259</v>
      </c>
      <c r="U114" s="273">
        <v>274703</v>
      </c>
      <c r="V114" s="273">
        <v>282919</v>
      </c>
      <c r="W114" s="273">
        <v>275148</v>
      </c>
      <c r="X114" s="273">
        <v>263469</v>
      </c>
    </row>
    <row r="115" spans="1:24" ht="14.25" thickBot="1" x14ac:dyDescent="0.3">
      <c r="A115" s="225" t="s">
        <v>265</v>
      </c>
      <c r="B115" s="276">
        <v>5862512</v>
      </c>
      <c r="C115" s="276">
        <v>6015219</v>
      </c>
      <c r="D115" s="276">
        <v>5757175</v>
      </c>
      <c r="E115" s="276">
        <v>5796378</v>
      </c>
      <c r="F115" s="276">
        <v>6363603</v>
      </c>
      <c r="G115" s="276">
        <v>6706200</v>
      </c>
      <c r="H115" s="276">
        <v>6582422</v>
      </c>
      <c r="I115" s="276">
        <v>6927477</v>
      </c>
      <c r="J115" s="276">
        <v>7120814</v>
      </c>
      <c r="K115" s="276">
        <v>7263643</v>
      </c>
      <c r="L115" s="276">
        <v>7034239</v>
      </c>
      <c r="M115" s="276">
        <v>7335853</v>
      </c>
      <c r="N115" s="276">
        <v>7342170</v>
      </c>
      <c r="O115" s="276">
        <v>7582354</v>
      </c>
      <c r="P115" s="276">
        <v>7386962</v>
      </c>
      <c r="Q115" s="276">
        <v>7569488</v>
      </c>
      <c r="R115" s="276">
        <v>7635170</v>
      </c>
      <c r="S115" s="276">
        <v>8002165</v>
      </c>
      <c r="T115" s="276">
        <v>7596512</v>
      </c>
      <c r="U115" s="276">
        <v>7953266</v>
      </c>
      <c r="V115" s="276">
        <v>7741120</v>
      </c>
      <c r="W115" s="276">
        <v>8098291</v>
      </c>
      <c r="X115" s="276">
        <v>7698633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625000</v>
      </c>
      <c r="C118" s="273">
        <v>605000</v>
      </c>
      <c r="D118" s="273">
        <v>725000</v>
      </c>
      <c r="E118" s="273">
        <v>738826</v>
      </c>
      <c r="F118" s="273">
        <v>568391</v>
      </c>
      <c r="G118" s="273">
        <v>580155</v>
      </c>
      <c r="H118" s="273">
        <v>658319</v>
      </c>
      <c r="I118" s="273">
        <v>682622</v>
      </c>
      <c r="J118" s="273">
        <v>576324</v>
      </c>
      <c r="K118" s="273">
        <v>516246</v>
      </c>
      <c r="L118" s="273">
        <v>524217</v>
      </c>
      <c r="M118" s="273">
        <v>525872</v>
      </c>
      <c r="N118" s="273">
        <v>488001</v>
      </c>
      <c r="O118" s="273">
        <v>497853</v>
      </c>
      <c r="P118" s="273">
        <v>713575</v>
      </c>
      <c r="Q118" s="273">
        <v>641685</v>
      </c>
      <c r="R118" s="273">
        <v>541247</v>
      </c>
      <c r="S118" s="273">
        <v>512916</v>
      </c>
      <c r="T118" s="273">
        <v>486167</v>
      </c>
      <c r="U118" s="273">
        <v>453826</v>
      </c>
      <c r="V118" s="273">
        <v>166528</v>
      </c>
      <c r="W118" s="273">
        <v>179177</v>
      </c>
      <c r="X118" s="273">
        <v>231157</v>
      </c>
    </row>
    <row r="119" spans="1:24" ht="14.25" thickBot="1" x14ac:dyDescent="0.3">
      <c r="A119" s="225" t="s">
        <v>29</v>
      </c>
      <c r="B119" s="275">
        <v>229943</v>
      </c>
      <c r="C119" s="275">
        <v>219832</v>
      </c>
      <c r="D119" s="275">
        <v>269853</v>
      </c>
      <c r="E119" s="275">
        <v>209942</v>
      </c>
      <c r="F119" s="275">
        <v>209990</v>
      </c>
      <c r="G119" s="275">
        <v>209850</v>
      </c>
      <c r="H119" s="275">
        <v>209957</v>
      </c>
      <c r="I119" s="275">
        <v>209988</v>
      </c>
      <c r="J119" s="275">
        <v>149925</v>
      </c>
      <c r="K119" s="275">
        <v>149956</v>
      </c>
      <c r="L119" s="275">
        <v>149996</v>
      </c>
      <c r="M119" s="275">
        <v>74984</v>
      </c>
      <c r="N119" s="275">
        <v>80000</v>
      </c>
      <c r="O119" s="275">
        <v>79948</v>
      </c>
      <c r="P119" s="275">
        <v>159943</v>
      </c>
      <c r="Q119" s="275">
        <v>159971</v>
      </c>
      <c r="R119" s="275">
        <v>159907</v>
      </c>
      <c r="S119" s="275">
        <v>159940</v>
      </c>
      <c r="T119" s="275">
        <v>79991</v>
      </c>
      <c r="U119" s="274">
        <v>0</v>
      </c>
      <c r="V119" s="274">
        <v>0</v>
      </c>
      <c r="W119" s="275">
        <v>9997</v>
      </c>
      <c r="X119" s="275">
        <v>59962</v>
      </c>
    </row>
    <row r="120" spans="1:24" ht="14.25" thickBot="1" x14ac:dyDescent="0.3">
      <c r="A120" s="224" t="s">
        <v>266</v>
      </c>
      <c r="B120" s="273">
        <v>356732</v>
      </c>
      <c r="C120" s="273">
        <v>429348</v>
      </c>
      <c r="D120" s="273">
        <v>375618</v>
      </c>
      <c r="E120" s="273">
        <v>342841</v>
      </c>
      <c r="F120" s="273">
        <v>382776</v>
      </c>
      <c r="G120" s="273">
        <v>417481</v>
      </c>
      <c r="H120" s="273">
        <v>390388</v>
      </c>
      <c r="I120" s="273">
        <v>334107</v>
      </c>
      <c r="J120" s="273">
        <v>457034</v>
      </c>
      <c r="K120" s="273">
        <v>422066</v>
      </c>
      <c r="L120" s="273">
        <v>391181</v>
      </c>
      <c r="M120" s="273">
        <v>417807</v>
      </c>
      <c r="N120" s="273">
        <v>361897</v>
      </c>
      <c r="O120" s="273">
        <v>420726</v>
      </c>
      <c r="P120" s="273">
        <v>402056</v>
      </c>
      <c r="Q120" s="273">
        <v>345201</v>
      </c>
      <c r="R120" s="273">
        <v>327265</v>
      </c>
      <c r="S120" s="273">
        <v>352910</v>
      </c>
      <c r="T120" s="273">
        <v>352914</v>
      </c>
      <c r="U120" s="273">
        <v>442068</v>
      </c>
      <c r="V120" s="273">
        <v>349963</v>
      </c>
      <c r="W120" s="273">
        <v>423248</v>
      </c>
      <c r="X120" s="273">
        <v>365305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348590</v>
      </c>
      <c r="C123" s="275">
        <v>988831</v>
      </c>
      <c r="D123" s="275">
        <v>260442</v>
      </c>
      <c r="E123" s="275">
        <v>305553</v>
      </c>
      <c r="F123" s="275">
        <v>301884</v>
      </c>
      <c r="G123" s="275">
        <v>795537</v>
      </c>
      <c r="H123" s="275">
        <v>379597</v>
      </c>
      <c r="I123" s="275">
        <v>530196</v>
      </c>
      <c r="J123" s="275">
        <v>481766</v>
      </c>
      <c r="K123" s="275">
        <v>913919</v>
      </c>
      <c r="L123" s="275">
        <v>456638</v>
      </c>
      <c r="M123" s="275">
        <v>577625</v>
      </c>
      <c r="N123" s="275">
        <v>460395</v>
      </c>
      <c r="O123" s="275">
        <v>1091135</v>
      </c>
      <c r="P123" s="275">
        <v>401245</v>
      </c>
      <c r="Q123" s="275">
        <v>485028</v>
      </c>
      <c r="R123" s="275">
        <v>420158</v>
      </c>
      <c r="S123" s="275">
        <v>1086380</v>
      </c>
      <c r="T123" s="275">
        <v>507434</v>
      </c>
      <c r="U123" s="275">
        <v>652251</v>
      </c>
      <c r="V123" s="275">
        <v>550290</v>
      </c>
      <c r="W123" s="275">
        <v>1283134</v>
      </c>
      <c r="X123" s="275">
        <v>511210</v>
      </c>
    </row>
    <row r="124" spans="1:24" ht="14.25" thickBot="1" x14ac:dyDescent="0.3">
      <c r="A124" s="224" t="s">
        <v>268</v>
      </c>
      <c r="B124" s="273">
        <v>1560265</v>
      </c>
      <c r="C124" s="273">
        <v>2243011</v>
      </c>
      <c r="D124" s="273">
        <v>1630913</v>
      </c>
      <c r="E124" s="273">
        <v>1597162</v>
      </c>
      <c r="F124" s="273">
        <v>1463041</v>
      </c>
      <c r="G124" s="273">
        <v>2003023</v>
      </c>
      <c r="H124" s="273">
        <v>1638261</v>
      </c>
      <c r="I124" s="273">
        <v>1756913</v>
      </c>
      <c r="J124" s="273">
        <v>1665049</v>
      </c>
      <c r="K124" s="273">
        <v>2002187</v>
      </c>
      <c r="L124" s="273">
        <v>1522032</v>
      </c>
      <c r="M124" s="273">
        <v>1596288</v>
      </c>
      <c r="N124" s="273">
        <v>1390293</v>
      </c>
      <c r="O124" s="273">
        <v>2089662</v>
      </c>
      <c r="P124" s="273">
        <v>1676819</v>
      </c>
      <c r="Q124" s="273">
        <v>1631885</v>
      </c>
      <c r="R124" s="273">
        <v>1448577</v>
      </c>
      <c r="S124" s="273">
        <v>2112146</v>
      </c>
      <c r="T124" s="273">
        <v>1426506</v>
      </c>
      <c r="U124" s="273">
        <v>1548145</v>
      </c>
      <c r="V124" s="273">
        <v>1066781</v>
      </c>
      <c r="W124" s="273">
        <v>1895556</v>
      </c>
      <c r="X124" s="273">
        <v>1167634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531134</v>
      </c>
      <c r="G125" s="275">
        <v>533375</v>
      </c>
      <c r="H125" s="275">
        <v>532664</v>
      </c>
      <c r="I125" s="275">
        <v>527559</v>
      </c>
      <c r="J125" s="275">
        <v>523556</v>
      </c>
      <c r="K125" s="275">
        <v>522044</v>
      </c>
      <c r="L125" s="275">
        <v>521098</v>
      </c>
      <c r="M125" s="275">
        <v>519844</v>
      </c>
      <c r="N125" s="275">
        <v>521267</v>
      </c>
      <c r="O125" s="275">
        <v>529324</v>
      </c>
      <c r="P125" s="275">
        <v>525656</v>
      </c>
      <c r="Q125" s="275">
        <v>524762</v>
      </c>
      <c r="R125" s="275">
        <v>500082</v>
      </c>
      <c r="S125" s="275">
        <v>503637</v>
      </c>
      <c r="T125" s="275">
        <v>511679</v>
      </c>
      <c r="U125" s="275">
        <v>496987</v>
      </c>
      <c r="V125" s="275">
        <v>496156</v>
      </c>
      <c r="W125" s="275">
        <v>503571</v>
      </c>
      <c r="X125" s="275">
        <v>497909</v>
      </c>
    </row>
    <row r="126" spans="1:24" ht="14.25" thickBot="1" x14ac:dyDescent="0.3">
      <c r="A126" s="224" t="s">
        <v>33</v>
      </c>
      <c r="B126" s="273">
        <v>434728</v>
      </c>
      <c r="C126" s="273">
        <v>435946</v>
      </c>
      <c r="D126" s="273">
        <v>437522</v>
      </c>
      <c r="E126" s="273">
        <v>468729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1994993</v>
      </c>
      <c r="C127" s="275">
        <v>2678957</v>
      </c>
      <c r="D127" s="275">
        <v>2068435</v>
      </c>
      <c r="E127" s="275">
        <v>2065891</v>
      </c>
      <c r="F127" s="275">
        <v>1994175</v>
      </c>
      <c r="G127" s="275">
        <v>2536398</v>
      </c>
      <c r="H127" s="275">
        <v>2170925</v>
      </c>
      <c r="I127" s="275">
        <v>2284472</v>
      </c>
      <c r="J127" s="275">
        <v>2188605</v>
      </c>
      <c r="K127" s="275">
        <v>2524231</v>
      </c>
      <c r="L127" s="275">
        <v>2043130</v>
      </c>
      <c r="M127" s="275">
        <v>2116132</v>
      </c>
      <c r="N127" s="275">
        <v>1911560</v>
      </c>
      <c r="O127" s="275">
        <v>2618986</v>
      </c>
      <c r="P127" s="275">
        <v>2202475</v>
      </c>
      <c r="Q127" s="275">
        <v>2156647</v>
      </c>
      <c r="R127" s="275">
        <v>1948659</v>
      </c>
      <c r="S127" s="275">
        <v>2615783</v>
      </c>
      <c r="T127" s="275">
        <v>1938185</v>
      </c>
      <c r="U127" s="275">
        <v>2045132</v>
      </c>
      <c r="V127" s="275">
        <v>1562937</v>
      </c>
      <c r="W127" s="275">
        <v>2399127</v>
      </c>
      <c r="X127" s="275">
        <v>1665543</v>
      </c>
    </row>
    <row r="128" spans="1:24" ht="14.25" thickBot="1" x14ac:dyDescent="0.3">
      <c r="A128" s="224" t="s">
        <v>34</v>
      </c>
      <c r="B128" s="273">
        <v>3867519</v>
      </c>
      <c r="C128" s="273">
        <v>3336262</v>
      </c>
      <c r="D128" s="273">
        <v>3688740</v>
      </c>
      <c r="E128" s="273">
        <v>3730487</v>
      </c>
      <c r="F128" s="273">
        <v>4369428</v>
      </c>
      <c r="G128" s="273">
        <v>4169802</v>
      </c>
      <c r="H128" s="273">
        <v>4411497</v>
      </c>
      <c r="I128" s="273">
        <v>4643005</v>
      </c>
      <c r="J128" s="273">
        <v>4932209</v>
      </c>
      <c r="K128" s="273">
        <v>4739412</v>
      </c>
      <c r="L128" s="273">
        <v>4991109</v>
      </c>
      <c r="M128" s="273">
        <v>5219721</v>
      </c>
      <c r="N128" s="273">
        <v>5430610</v>
      </c>
      <c r="O128" s="273">
        <v>4963368</v>
      </c>
      <c r="P128" s="273">
        <v>5184487</v>
      </c>
      <c r="Q128" s="273">
        <v>5412841</v>
      </c>
      <c r="R128" s="273">
        <v>5686511</v>
      </c>
      <c r="S128" s="273">
        <v>5386382</v>
      </c>
      <c r="T128" s="273">
        <v>5658327</v>
      </c>
      <c r="U128" s="273">
        <v>5908134</v>
      </c>
      <c r="V128" s="273">
        <v>6178183</v>
      </c>
      <c r="W128" s="273">
        <v>5699164</v>
      </c>
      <c r="X128" s="273">
        <v>6033090</v>
      </c>
    </row>
    <row r="129" spans="1:24" ht="14.25" thickBot="1" x14ac:dyDescent="0.3">
      <c r="A129" s="225" t="s">
        <v>35</v>
      </c>
      <c r="B129" s="276">
        <v>5862512</v>
      </c>
      <c r="C129" s="276">
        <v>6015219</v>
      </c>
      <c r="D129" s="276">
        <v>5757175</v>
      </c>
      <c r="E129" s="276">
        <v>5796378</v>
      </c>
      <c r="F129" s="276">
        <v>6363603</v>
      </c>
      <c r="G129" s="276">
        <v>6706200</v>
      </c>
      <c r="H129" s="276">
        <v>6582422</v>
      </c>
      <c r="I129" s="276">
        <v>6927477</v>
      </c>
      <c r="J129" s="276">
        <v>7120814</v>
      </c>
      <c r="K129" s="276">
        <v>7263643</v>
      </c>
      <c r="L129" s="276">
        <v>7034239</v>
      </c>
      <c r="M129" s="276">
        <v>7335853</v>
      </c>
      <c r="N129" s="276">
        <v>7342170</v>
      </c>
      <c r="O129" s="276">
        <v>7582354</v>
      </c>
      <c r="P129" s="276">
        <v>7386962</v>
      </c>
      <c r="Q129" s="276">
        <v>7569488</v>
      </c>
      <c r="R129" s="276">
        <v>7635170</v>
      </c>
      <c r="S129" s="276">
        <v>8002165</v>
      </c>
      <c r="T129" s="276">
        <v>7596512</v>
      </c>
      <c r="U129" s="276">
        <v>7953266</v>
      </c>
      <c r="V129" s="276">
        <v>7741120</v>
      </c>
      <c r="W129" s="276">
        <v>8098291</v>
      </c>
      <c r="X129" s="276">
        <v>7698633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4.1900000000000004</v>
      </c>
      <c r="C132" s="68">
        <v>3.61</v>
      </c>
      <c r="D132" s="68">
        <v>4.7699999999999996</v>
      </c>
      <c r="E132" s="68">
        <v>3.65</v>
      </c>
      <c r="F132" s="68">
        <v>5.49</v>
      </c>
    </row>
    <row r="133" spans="1:24" ht="14.25" thickBot="1" x14ac:dyDescent="0.3">
      <c r="A133" s="225" t="s">
        <v>37</v>
      </c>
      <c r="B133" s="274">
        <v>-0.72</v>
      </c>
      <c r="C133" s="274">
        <v>-0.26</v>
      </c>
      <c r="D133" s="274">
        <v>-2.2799999999999998</v>
      </c>
      <c r="E133" s="274">
        <v>-1.71</v>
      </c>
      <c r="F133" s="274">
        <v>-0.76</v>
      </c>
    </row>
    <row r="134" spans="1:24" ht="14.25" thickBot="1" x14ac:dyDescent="0.3">
      <c r="A134" s="224" t="s">
        <v>38</v>
      </c>
      <c r="B134" s="68">
        <v>-3.72</v>
      </c>
      <c r="C134" s="68">
        <v>-2.25</v>
      </c>
      <c r="D134" s="68">
        <v>-2.87</v>
      </c>
      <c r="E134" s="68">
        <v>-1.6</v>
      </c>
      <c r="F134" s="68">
        <v>-3.23</v>
      </c>
    </row>
    <row r="135" spans="1:24" ht="14.25" thickBot="1" x14ac:dyDescent="0.3">
      <c r="A135" s="225" t="s">
        <v>270</v>
      </c>
      <c r="B135" s="274">
        <v>3.46</v>
      </c>
      <c r="C135" s="274">
        <v>3.35</v>
      </c>
      <c r="D135" s="274">
        <v>2.48</v>
      </c>
      <c r="E135" s="274">
        <v>1.94</v>
      </c>
      <c r="F135" s="274">
        <v>4.7300000000000004</v>
      </c>
    </row>
    <row r="136" spans="1:24" ht="14.25" thickBot="1" x14ac:dyDescent="0.3">
      <c r="A136" s="229" t="s">
        <v>39</v>
      </c>
      <c r="B136" s="72">
        <v>-0.26</v>
      </c>
      <c r="C136" s="72">
        <v>1.1100000000000001</v>
      </c>
      <c r="D136" s="72">
        <v>-0.39</v>
      </c>
      <c r="E136" s="72">
        <v>0.34</v>
      </c>
      <c r="F136" s="72">
        <v>1.51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</v>
      </c>
      <c r="C140" s="68">
        <v>2</v>
      </c>
      <c r="D140" s="68">
        <v>2.5</v>
      </c>
      <c r="E140" s="68">
        <v>2</v>
      </c>
      <c r="F140" s="68">
        <v>2.5</v>
      </c>
    </row>
    <row r="141" spans="1:24" ht="14.25" thickBot="1" x14ac:dyDescent="0.3">
      <c r="A141" s="227" t="s">
        <v>1</v>
      </c>
      <c r="B141" s="73">
        <v>0.6</v>
      </c>
      <c r="C141" s="73">
        <v>1.5</v>
      </c>
      <c r="D141" s="73">
        <v>1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0.82304526748971185</v>
      </c>
      <c r="C142" s="234">
        <f>IF(C140&lt;&gt;"無",IF(ISNA(HLOOKUP(C139,$B$64:$F$69,6,FALSE)),"",C140/HLOOKUP(C139,$B$64:$F$69,6,FALSE)),"")</f>
        <v>0.49261083743842371</v>
      </c>
      <c r="D142" s="234">
        <f>IF(D140&lt;&gt;"無",IF(ISNA(HLOOKUP(D139,$B$64:$F$69,6,FALSE)),"",D140/HLOOKUP(D139,$B$64:$F$69,6,FALSE)),"")</f>
        <v>0.61881188118811881</v>
      </c>
      <c r="E142" s="234">
        <f>IF(E140&lt;&gt;"無",IF(ISNA(HLOOKUP(E139,$B$64:$F$69,6,FALSE)),"",E140/HLOOKUP(E139,$B$64:$F$69,6,FALSE)),"")</f>
        <v>0.63091482649842268</v>
      </c>
      <c r="F142" s="234">
        <f>IF(F140&lt;&gt;"無",IF(ISNA(HLOOKUP(F139,$B$64:$F$69,6,FALSE)),"",F140/HLOOKUP(F139,$B$64:$F$69,6,FALSE)),"")</f>
        <v>0.67567567567567577</v>
      </c>
    </row>
    <row r="143" spans="1:24" x14ac:dyDescent="0.25">
      <c r="A143" s="233" t="s">
        <v>216</v>
      </c>
      <c r="B143" s="234">
        <f>IF(OR(B140=0,B140="無"),"",B135/B140)</f>
        <v>1.73</v>
      </c>
      <c r="C143" s="234">
        <f>IF(OR(C140=0,C140="無"),"",C135/C140)</f>
        <v>1.675</v>
      </c>
      <c r="D143" s="234">
        <f>IF(OR(D140=0,D140="無"),"",D135/D140)</f>
        <v>0.99199999999999999</v>
      </c>
      <c r="E143" s="234">
        <f>IF(OR(E140=0,E140="無"),"",E135/E140)</f>
        <v>0.97</v>
      </c>
      <c r="F143" s="234">
        <f>IF(OR(F140=0,F140="無"),"",F135/F140)</f>
        <v>1.8920000000000001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17.8</v>
      </c>
      <c r="C146" s="68">
        <v>18.149999999999999</v>
      </c>
      <c r="D146" s="68">
        <v>17.12</v>
      </c>
      <c r="E146" s="68">
        <v>14.01</v>
      </c>
      <c r="F146" s="68">
        <v>20.39</v>
      </c>
      <c r="G146" s="68">
        <v>22.63</v>
      </c>
      <c r="H146" s="68">
        <v>22.87</v>
      </c>
      <c r="I146" s="68">
        <v>22.24</v>
      </c>
      <c r="J146" s="68">
        <v>24.73</v>
      </c>
      <c r="K146" s="68">
        <v>24.31</v>
      </c>
      <c r="L146" s="68">
        <v>22.64</v>
      </c>
      <c r="M146" s="68">
        <v>23.06</v>
      </c>
      <c r="N146" s="68">
        <v>21.37</v>
      </c>
      <c r="O146" s="68">
        <v>20.18</v>
      </c>
      <c r="P146" s="68">
        <v>22.16</v>
      </c>
      <c r="Q146" s="68">
        <v>26.21</v>
      </c>
      <c r="R146" s="68">
        <v>25.83</v>
      </c>
      <c r="S146" s="68">
        <v>27.14</v>
      </c>
      <c r="T146" s="68">
        <v>26.03</v>
      </c>
      <c r="U146" s="68">
        <v>26.58</v>
      </c>
      <c r="V146" s="68">
        <v>24.83</v>
      </c>
      <c r="W146" s="68">
        <v>23.7</v>
      </c>
      <c r="X146" s="68">
        <v>26.37</v>
      </c>
    </row>
    <row r="147" spans="1:24" s="93" customFormat="1" ht="14.25" thickBot="1" x14ac:dyDescent="0.3">
      <c r="A147" s="225" t="s">
        <v>19</v>
      </c>
      <c r="B147" s="274">
        <v>12.13</v>
      </c>
      <c r="C147" s="274">
        <v>12.21</v>
      </c>
      <c r="D147" s="274">
        <v>10.14</v>
      </c>
      <c r="E147" s="274">
        <v>6.26</v>
      </c>
      <c r="F147" s="274">
        <v>14.27</v>
      </c>
      <c r="G147" s="274">
        <v>16.62</v>
      </c>
      <c r="H147" s="274">
        <v>17.010000000000002</v>
      </c>
      <c r="I147" s="274">
        <v>15.42</v>
      </c>
      <c r="J147" s="274">
        <v>18.54</v>
      </c>
      <c r="K147" s="274">
        <v>18.28</v>
      </c>
      <c r="L147" s="274">
        <v>16.52</v>
      </c>
      <c r="M147" s="274">
        <v>16.34</v>
      </c>
      <c r="N147" s="274">
        <v>14.83</v>
      </c>
      <c r="O147" s="274">
        <v>13.44</v>
      </c>
      <c r="P147" s="274">
        <v>14.74</v>
      </c>
      <c r="Q147" s="274">
        <v>19.010000000000002</v>
      </c>
      <c r="R147" s="274">
        <v>18.79</v>
      </c>
      <c r="S147" s="274">
        <v>20.88</v>
      </c>
      <c r="T147" s="274">
        <v>19.77</v>
      </c>
      <c r="U147" s="274">
        <v>19.45</v>
      </c>
      <c r="V147" s="274">
        <v>19.059999999999999</v>
      </c>
      <c r="W147" s="274">
        <v>17.5</v>
      </c>
      <c r="X147" s="274">
        <v>20.36</v>
      </c>
    </row>
    <row r="148" spans="1:24" s="93" customFormat="1" ht="14.25" thickBot="1" x14ac:dyDescent="0.3">
      <c r="A148" s="224" t="s">
        <v>41</v>
      </c>
      <c r="B148" s="68">
        <v>12.45</v>
      </c>
      <c r="C148" s="68">
        <v>12.55</v>
      </c>
      <c r="D148" s="68">
        <v>12.75</v>
      </c>
      <c r="E148" s="68">
        <v>7.5</v>
      </c>
      <c r="F148" s="68">
        <v>17.75</v>
      </c>
      <c r="G148" s="68">
        <v>17.940000000000001</v>
      </c>
      <c r="H148" s="68">
        <v>17.29</v>
      </c>
      <c r="I148" s="68">
        <v>16.649999999999999</v>
      </c>
      <c r="J148" s="68">
        <v>19.59</v>
      </c>
      <c r="K148" s="68">
        <v>18.34</v>
      </c>
      <c r="L148" s="68">
        <v>16.649999999999999</v>
      </c>
      <c r="M148" s="68">
        <v>16.72</v>
      </c>
      <c r="N148" s="68">
        <v>15.25</v>
      </c>
      <c r="O148" s="68">
        <v>15.03</v>
      </c>
      <c r="P148" s="68">
        <v>17.95</v>
      </c>
      <c r="Q148" s="68">
        <v>19.100000000000001</v>
      </c>
      <c r="R148" s="68">
        <v>18.600000000000001</v>
      </c>
      <c r="S148" s="68">
        <v>21.47</v>
      </c>
      <c r="T148" s="68">
        <v>20.34</v>
      </c>
      <c r="U148" s="68">
        <v>20.63</v>
      </c>
      <c r="V148" s="68">
        <v>19.07</v>
      </c>
      <c r="W148" s="68">
        <v>18.95</v>
      </c>
      <c r="X148" s="68">
        <v>21.54</v>
      </c>
    </row>
    <row r="149" spans="1:24" s="93" customFormat="1" ht="14.25" thickBot="1" x14ac:dyDescent="0.3">
      <c r="A149" s="225" t="s">
        <v>13</v>
      </c>
      <c r="B149" s="73">
        <v>10.38</v>
      </c>
      <c r="C149" s="73">
        <v>10.29</v>
      </c>
      <c r="D149" s="73">
        <v>11.01</v>
      </c>
      <c r="E149" s="73">
        <v>6.31</v>
      </c>
      <c r="F149" s="73">
        <v>14.69</v>
      </c>
      <c r="G149" s="73">
        <v>15.33</v>
      </c>
      <c r="H149" s="73">
        <v>14.48</v>
      </c>
      <c r="I149" s="73">
        <v>13.78</v>
      </c>
      <c r="J149" s="73">
        <v>16.329999999999998</v>
      </c>
      <c r="K149" s="73">
        <v>15.27</v>
      </c>
      <c r="L149" s="73">
        <v>13.88</v>
      </c>
      <c r="M149" s="73">
        <v>13.73</v>
      </c>
      <c r="N149" s="73">
        <v>12.72</v>
      </c>
      <c r="O149" s="73">
        <v>12.59</v>
      </c>
      <c r="P149" s="73">
        <v>15.16</v>
      </c>
      <c r="Q149" s="73">
        <v>15.26</v>
      </c>
      <c r="R149" s="73">
        <v>15.38</v>
      </c>
      <c r="S149" s="73">
        <v>16.77</v>
      </c>
      <c r="T149" s="73">
        <v>16.93</v>
      </c>
      <c r="U149" s="73">
        <v>16.73</v>
      </c>
      <c r="V149" s="73">
        <v>15.64</v>
      </c>
      <c r="W149" s="73">
        <v>14.43</v>
      </c>
      <c r="X149" s="73">
        <v>17.87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16.93</v>
      </c>
      <c r="C152" s="68">
        <v>22.1</v>
      </c>
      <c r="D152" s="68">
        <v>23.69</v>
      </c>
      <c r="E152" s="68">
        <v>22.37</v>
      </c>
      <c r="F152" s="68">
        <v>26.4</v>
      </c>
    </row>
    <row r="153" spans="1:24" s="93" customFormat="1" ht="14.25" thickBot="1" x14ac:dyDescent="0.3">
      <c r="A153" s="225" t="s">
        <v>19</v>
      </c>
      <c r="B153" s="274">
        <v>10.41</v>
      </c>
      <c r="C153" s="274">
        <v>15.9</v>
      </c>
      <c r="D153" s="274">
        <v>17.43</v>
      </c>
      <c r="E153" s="274">
        <v>15.41</v>
      </c>
      <c r="F153" s="274">
        <v>19.739999999999998</v>
      </c>
    </row>
    <row r="154" spans="1:24" s="93" customFormat="1" ht="14.25" thickBot="1" x14ac:dyDescent="0.3">
      <c r="A154" s="224" t="s">
        <v>41</v>
      </c>
      <c r="B154" s="68">
        <v>11.51</v>
      </c>
      <c r="C154" s="68">
        <v>17.39</v>
      </c>
      <c r="D154" s="68">
        <v>17.84</v>
      </c>
      <c r="E154" s="68">
        <v>16.73</v>
      </c>
      <c r="F154" s="68">
        <v>20.27</v>
      </c>
    </row>
    <row r="155" spans="1:24" s="93" customFormat="1" ht="14.25" thickBot="1" x14ac:dyDescent="0.3">
      <c r="A155" s="225" t="s">
        <v>13</v>
      </c>
      <c r="B155" s="73">
        <v>9.65</v>
      </c>
      <c r="C155" s="73">
        <v>14.56</v>
      </c>
      <c r="D155" s="73">
        <v>14.81</v>
      </c>
      <c r="E155" s="73">
        <v>13.86</v>
      </c>
      <c r="F155" s="73">
        <v>16.45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2.39</v>
      </c>
      <c r="C158" s="68">
        <v>2.58</v>
      </c>
      <c r="D158" s="68">
        <v>2.48</v>
      </c>
      <c r="E158" s="68">
        <v>1.24</v>
      </c>
      <c r="F158" s="68">
        <v>3.44</v>
      </c>
      <c r="G158" s="68">
        <v>3.85</v>
      </c>
      <c r="H158" s="68">
        <v>3.83</v>
      </c>
      <c r="I158" s="68">
        <v>3.43</v>
      </c>
      <c r="J158" s="68">
        <v>4.1500000000000004</v>
      </c>
      <c r="K158" s="68">
        <v>3.88</v>
      </c>
      <c r="L158" s="68">
        <v>3.54</v>
      </c>
      <c r="M158" s="68">
        <v>3.26</v>
      </c>
      <c r="N158" s="68">
        <v>3.18</v>
      </c>
      <c r="O158" s="68">
        <v>2.88</v>
      </c>
      <c r="P158" s="68">
        <v>3.3</v>
      </c>
      <c r="Q158" s="68">
        <v>3.17</v>
      </c>
      <c r="R158" s="68">
        <v>3.46</v>
      </c>
      <c r="S158" s="68">
        <v>3.87</v>
      </c>
      <c r="T158" s="68">
        <v>3.72</v>
      </c>
      <c r="U158" s="68">
        <v>3.46</v>
      </c>
      <c r="V158" s="68">
        <v>3.68</v>
      </c>
      <c r="W158" s="68">
        <v>3.18</v>
      </c>
      <c r="X158" s="68">
        <v>4.1900000000000004</v>
      </c>
    </row>
    <row r="159" spans="1:24" s="93" customFormat="1" ht="14.25" thickBot="1" x14ac:dyDescent="0.3">
      <c r="A159" s="225" t="s">
        <v>45</v>
      </c>
      <c r="B159" s="73">
        <v>3.67</v>
      </c>
      <c r="C159" s="73">
        <v>4.2</v>
      </c>
      <c r="D159" s="73">
        <v>4.09</v>
      </c>
      <c r="E159" s="73">
        <v>1.88</v>
      </c>
      <c r="F159" s="73">
        <v>5.12</v>
      </c>
      <c r="G159" s="73">
        <v>5.85</v>
      </c>
      <c r="H159" s="73">
        <v>5.89</v>
      </c>
      <c r="I159" s="73">
        <v>5.07</v>
      </c>
      <c r="J159" s="73">
        <v>6.04</v>
      </c>
      <c r="K159" s="73">
        <v>5.73</v>
      </c>
      <c r="L159" s="73">
        <v>5.18</v>
      </c>
      <c r="M159" s="73">
        <v>4.57</v>
      </c>
      <c r="N159" s="73">
        <v>4.38</v>
      </c>
      <c r="O159" s="73">
        <v>4.13</v>
      </c>
      <c r="P159" s="73">
        <v>4.84</v>
      </c>
      <c r="Q159" s="73">
        <v>4.43</v>
      </c>
      <c r="R159" s="73">
        <v>4.71</v>
      </c>
      <c r="S159" s="73">
        <v>5.44</v>
      </c>
      <c r="T159" s="73">
        <v>5.23</v>
      </c>
      <c r="U159" s="73">
        <v>4.63</v>
      </c>
      <c r="V159" s="73">
        <v>4.7699999999999996</v>
      </c>
      <c r="W159" s="73">
        <v>4.2300000000000004</v>
      </c>
      <c r="X159" s="73">
        <v>5.63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9.65</v>
      </c>
      <c r="C162" s="68">
        <v>14.56</v>
      </c>
      <c r="D162" s="68">
        <v>14.81</v>
      </c>
      <c r="E162" s="68">
        <v>13.86</v>
      </c>
      <c r="F162" s="68">
        <v>16.45</v>
      </c>
    </row>
    <row r="163" spans="1:72" s="93" customFormat="1" ht="14.25" thickBot="1" x14ac:dyDescent="0.3">
      <c r="A163" s="225" t="s">
        <v>18</v>
      </c>
      <c r="B163" s="274">
        <v>0.9</v>
      </c>
      <c r="C163" s="274">
        <v>0.93</v>
      </c>
      <c r="D163" s="274">
        <v>0.97</v>
      </c>
      <c r="E163" s="274">
        <v>0.88</v>
      </c>
      <c r="F163" s="274">
        <v>0.86</v>
      </c>
    </row>
    <row r="164" spans="1:72" s="93" customFormat="1" ht="14.25" thickBot="1" x14ac:dyDescent="0.3">
      <c r="A164" s="224" t="s">
        <v>15</v>
      </c>
      <c r="B164" s="68">
        <v>1.55</v>
      </c>
      <c r="C164" s="68">
        <v>1.49</v>
      </c>
      <c r="D164" s="68">
        <v>1.41</v>
      </c>
      <c r="E164" s="68">
        <v>1.4</v>
      </c>
      <c r="F164" s="68">
        <v>1.35</v>
      </c>
    </row>
    <row r="165" spans="1:72" s="93" customFormat="1" ht="14.25" thickBot="1" x14ac:dyDescent="0.3">
      <c r="A165" s="225" t="s">
        <v>45</v>
      </c>
      <c r="B165" s="73">
        <v>13.52</v>
      </c>
      <c r="C165" s="73">
        <v>22.44</v>
      </c>
      <c r="D165" s="73">
        <v>21.33</v>
      </c>
      <c r="E165" s="73">
        <v>17.46</v>
      </c>
      <c r="F165" s="73">
        <v>19.77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59.21</v>
      </c>
      <c r="C168" s="68">
        <v>52.02</v>
      </c>
      <c r="D168" s="68">
        <v>57.32</v>
      </c>
      <c r="E168" s="68">
        <v>66.180000000000007</v>
      </c>
      <c r="F168" s="68">
        <v>58.82</v>
      </c>
      <c r="G168" s="68">
        <v>63.38</v>
      </c>
      <c r="H168" s="68">
        <v>67.16</v>
      </c>
      <c r="I168" s="68">
        <v>69.23</v>
      </c>
      <c r="J168" s="68">
        <v>65.69</v>
      </c>
      <c r="K168" s="68">
        <v>64.75</v>
      </c>
      <c r="L168" s="68">
        <v>62.5</v>
      </c>
      <c r="M168" s="68">
        <v>68.180000000000007</v>
      </c>
      <c r="N168" s="68">
        <v>65.69</v>
      </c>
      <c r="O168" s="68">
        <v>68.7</v>
      </c>
      <c r="P168" s="68">
        <v>70.31</v>
      </c>
      <c r="Q168" s="68">
        <v>73.77</v>
      </c>
      <c r="R168" s="68">
        <v>66.67</v>
      </c>
      <c r="S168" s="68">
        <v>67.16</v>
      </c>
      <c r="T168" s="68">
        <v>70.87</v>
      </c>
      <c r="U168" s="68">
        <v>69.77</v>
      </c>
      <c r="V168" s="68">
        <v>61.64</v>
      </c>
      <c r="W168" s="68">
        <v>67.16</v>
      </c>
      <c r="X168" s="68">
        <v>64.75</v>
      </c>
    </row>
    <row r="169" spans="1:72" s="93" customFormat="1" ht="14.25" thickBot="1" x14ac:dyDescent="0.3">
      <c r="A169" s="225" t="s">
        <v>17</v>
      </c>
      <c r="B169" s="274">
        <v>121.62</v>
      </c>
      <c r="C169" s="274">
        <v>109.76</v>
      </c>
      <c r="D169" s="274">
        <v>120</v>
      </c>
      <c r="E169" s="274">
        <v>128.57</v>
      </c>
      <c r="F169" s="274">
        <v>101.12</v>
      </c>
      <c r="G169" s="274">
        <v>89.11</v>
      </c>
      <c r="H169" s="274">
        <v>88.24</v>
      </c>
      <c r="I169" s="274">
        <v>97.83</v>
      </c>
      <c r="J169" s="274">
        <v>97.83</v>
      </c>
      <c r="K169" s="274">
        <v>94.74</v>
      </c>
      <c r="L169" s="274">
        <v>95.74</v>
      </c>
      <c r="M169" s="274">
        <v>103.45</v>
      </c>
      <c r="N169" s="274">
        <v>93.75</v>
      </c>
      <c r="O169" s="274">
        <v>98.9</v>
      </c>
      <c r="P169" s="274">
        <v>105.88</v>
      </c>
      <c r="Q169" s="274">
        <v>116.88</v>
      </c>
      <c r="R169" s="274">
        <v>103.45</v>
      </c>
      <c r="S169" s="274">
        <v>92.78</v>
      </c>
      <c r="T169" s="274">
        <v>94.74</v>
      </c>
      <c r="U169" s="274">
        <v>109.76</v>
      </c>
      <c r="V169" s="274">
        <v>94.74</v>
      </c>
      <c r="W169" s="274">
        <v>102.27</v>
      </c>
      <c r="X169" s="274">
        <v>104.65</v>
      </c>
    </row>
    <row r="170" spans="1:72" s="93" customFormat="1" ht="14.25" thickBot="1" x14ac:dyDescent="0.3">
      <c r="A170" s="224" t="s">
        <v>42</v>
      </c>
      <c r="B170" s="72">
        <v>180.83</v>
      </c>
      <c r="C170" s="72">
        <v>161.78</v>
      </c>
      <c r="D170" s="72">
        <v>177.32</v>
      </c>
      <c r="E170" s="72">
        <v>194.75</v>
      </c>
      <c r="F170" s="72">
        <v>159.94999999999999</v>
      </c>
      <c r="G170" s="72">
        <v>152.49</v>
      </c>
      <c r="H170" s="72">
        <v>155.4</v>
      </c>
      <c r="I170" s="72">
        <v>167.06</v>
      </c>
      <c r="J170" s="72">
        <v>163.52000000000001</v>
      </c>
      <c r="K170" s="72">
        <v>159.49</v>
      </c>
      <c r="L170" s="72">
        <v>158.24</v>
      </c>
      <c r="M170" s="72">
        <v>171.63</v>
      </c>
      <c r="N170" s="72">
        <v>159.44</v>
      </c>
      <c r="O170" s="72">
        <v>167.6</v>
      </c>
      <c r="P170" s="72">
        <v>176.19</v>
      </c>
      <c r="Q170" s="72">
        <v>190.65</v>
      </c>
      <c r="R170" s="72">
        <v>170.11</v>
      </c>
      <c r="S170" s="72">
        <v>159.94999999999999</v>
      </c>
      <c r="T170" s="72">
        <v>165.6</v>
      </c>
      <c r="U170" s="72">
        <v>179.52</v>
      </c>
      <c r="V170" s="72">
        <v>156.38</v>
      </c>
      <c r="W170" s="72">
        <v>169.44</v>
      </c>
      <c r="X170" s="72">
        <v>169.4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173.35</v>
      </c>
      <c r="C173" s="72">
        <v>89.48</v>
      </c>
      <c r="D173" s="72">
        <v>121.54</v>
      </c>
      <c r="E173" s="72">
        <v>116.46</v>
      </c>
      <c r="F173" s="72">
        <v>144.74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10.7</v>
      </c>
      <c r="C176" s="72">
        <v>11.16</v>
      </c>
      <c r="D176" s="72">
        <v>11.72</v>
      </c>
      <c r="E176" s="72">
        <v>11.27</v>
      </c>
      <c r="F176" s="72">
        <v>11.56</v>
      </c>
      <c r="G176" s="72">
        <v>11.34</v>
      </c>
      <c r="H176" s="72">
        <v>10.49</v>
      </c>
      <c r="I176" s="72">
        <v>11.87</v>
      </c>
      <c r="J176" s="72">
        <v>12.32</v>
      </c>
      <c r="K176" s="72">
        <v>12.88</v>
      </c>
      <c r="L176" s="72">
        <v>14.65</v>
      </c>
      <c r="M176" s="72">
        <v>14.51</v>
      </c>
      <c r="N176" s="72">
        <v>14.65</v>
      </c>
      <c r="O176" s="72">
        <v>15.69</v>
      </c>
      <c r="P176" s="72">
        <v>16.260000000000002</v>
      </c>
      <c r="Q176" s="72">
        <v>19.46</v>
      </c>
      <c r="R176" s="72">
        <v>18.8</v>
      </c>
      <c r="S176" s="72">
        <v>22.12</v>
      </c>
      <c r="T176" s="72">
        <v>25.68</v>
      </c>
      <c r="U176" s="72">
        <v>22.14</v>
      </c>
      <c r="V176" s="72">
        <v>22.72</v>
      </c>
      <c r="W176" s="72">
        <v>22.4</v>
      </c>
      <c r="X176" s="72">
        <v>20.7</v>
      </c>
      <c r="Y176" s="72">
        <v>20.81</v>
      </c>
      <c r="Z176" s="72">
        <v>21.18</v>
      </c>
      <c r="AA176" s="72">
        <v>23.81</v>
      </c>
      <c r="AB176" s="72">
        <v>22.28</v>
      </c>
      <c r="AC176" s="72">
        <v>22.4</v>
      </c>
      <c r="AD176" s="72">
        <v>20.309999999999999</v>
      </c>
      <c r="AE176" s="72">
        <v>19.91</v>
      </c>
      <c r="AF176" s="72">
        <v>19.64</v>
      </c>
      <c r="AG176" s="72">
        <v>21.38</v>
      </c>
      <c r="AH176" s="72">
        <v>21.78</v>
      </c>
      <c r="AI176" s="72">
        <v>21.03</v>
      </c>
      <c r="AJ176" s="72">
        <v>18.62</v>
      </c>
      <c r="AK176" s="72">
        <v>19.11</v>
      </c>
      <c r="AL176" s="72">
        <v>19.670000000000002</v>
      </c>
      <c r="AM176" s="72">
        <v>19.87</v>
      </c>
      <c r="AN176" s="72">
        <v>19.920000000000002</v>
      </c>
      <c r="AO176" s="72">
        <v>19.98</v>
      </c>
      <c r="AP176" s="72">
        <v>20.41</v>
      </c>
      <c r="AQ176" s="72">
        <v>19.329999999999998</v>
      </c>
      <c r="AR176" s="72">
        <v>20.49</v>
      </c>
      <c r="AS176" s="72">
        <v>17.100000000000001</v>
      </c>
      <c r="AT176" s="72">
        <v>17.77</v>
      </c>
      <c r="AU176" s="72">
        <v>19.13</v>
      </c>
      <c r="AV176" s="72">
        <v>21.07</v>
      </c>
      <c r="AW176" s="72">
        <v>20.28</v>
      </c>
      <c r="AX176" s="72">
        <v>20.58</v>
      </c>
      <c r="AY176" s="72">
        <v>21.18</v>
      </c>
      <c r="AZ176" s="72">
        <v>20.92</v>
      </c>
      <c r="BA176" s="72">
        <v>20.45</v>
      </c>
      <c r="BB176" s="72">
        <v>19.21</v>
      </c>
      <c r="BC176" s="72">
        <v>19.39</v>
      </c>
      <c r="BD176" s="72">
        <v>19.350000000000001</v>
      </c>
      <c r="BE176" s="72">
        <v>17.36</v>
      </c>
      <c r="BF176" s="72">
        <v>16.940000000000001</v>
      </c>
      <c r="BG176" s="72">
        <v>16.440000000000001</v>
      </c>
      <c r="BH176" s="72">
        <v>14.87</v>
      </c>
      <c r="BI176" s="72">
        <v>14.92</v>
      </c>
      <c r="BJ176" s="72">
        <v>14.72</v>
      </c>
      <c r="BK176" s="72">
        <v>14.99</v>
      </c>
      <c r="BL176" s="72">
        <v>14.31</v>
      </c>
      <c r="BM176" s="72">
        <v>14.46</v>
      </c>
      <c r="BN176" s="72">
        <v>14.01</v>
      </c>
      <c r="BO176" s="72">
        <v>13.98</v>
      </c>
      <c r="BP176" s="72">
        <v>13.33</v>
      </c>
      <c r="BQ176" s="72">
        <v>14.77</v>
      </c>
      <c r="BR176" s="72">
        <v>16.940000000000001</v>
      </c>
      <c r="BS176" s="72">
        <v>16.420000000000002</v>
      </c>
      <c r="BT176" s="72">
        <v>16.04</v>
      </c>
    </row>
  </sheetData>
  <phoneticPr fontId="3" type="noConversion"/>
  <conditionalFormatting sqref="E4">
    <cfRule type="cellIs" dxfId="3224" priority="103" operator="greaterThan">
      <formula>0.2</formula>
    </cfRule>
    <cfRule type="cellIs" dxfId="322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322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221" priority="97" operator="greaterThan">
      <formula>$B$19</formula>
    </cfRule>
  </conditionalFormatting>
  <conditionalFormatting sqref="D33:D34">
    <cfRule type="cellIs" dxfId="322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3219" priority="91" operator="lessThan">
      <formula>$H$62</formula>
    </cfRule>
    <cfRule type="cellIs" dxfId="3218" priority="92" operator="greaterThan">
      <formula>$H$62</formula>
    </cfRule>
  </conditionalFormatting>
  <conditionalFormatting sqref="J62">
    <cfRule type="cellIs" dxfId="3217" priority="89" operator="lessThan">
      <formula>$K$62</formula>
    </cfRule>
    <cfRule type="cellIs" dxfId="3216" priority="90" operator="greaterThan">
      <formula>$K$62</formula>
    </cfRule>
  </conditionalFormatting>
  <conditionalFormatting sqref="M62">
    <cfRule type="cellIs" dxfId="3215" priority="87" operator="lessThan">
      <formula>$N$62</formula>
    </cfRule>
    <cfRule type="cellIs" dxfId="3214" priority="88" operator="greaterThan">
      <formula>$N$62</formula>
    </cfRule>
  </conditionalFormatting>
  <conditionalFormatting sqref="B44:E44">
    <cfRule type="cellIs" dxfId="3213" priority="85" operator="greaterThan">
      <formula>0</formula>
    </cfRule>
    <cfRule type="cellIs" dxfId="3212" priority="86" operator="lessThan">
      <formula>0</formula>
    </cfRule>
  </conditionalFormatting>
  <conditionalFormatting sqref="F72">
    <cfRule type="cellIs" dxfId="3211" priority="84" operator="lessThan">
      <formula>$E$72*90%</formula>
    </cfRule>
  </conditionalFormatting>
  <conditionalFormatting sqref="F73">
    <cfRule type="cellIs" dxfId="3210" priority="83" operator="lessThan">
      <formula>$E$73*90%</formula>
    </cfRule>
  </conditionalFormatting>
  <conditionalFormatting sqref="F74">
    <cfRule type="cellIs" dxfId="3209" priority="82" operator="lessThan">
      <formula>$E$74*90%</formula>
    </cfRule>
  </conditionalFormatting>
  <conditionalFormatting sqref="F75">
    <cfRule type="cellIs" dxfId="3208" priority="81" operator="lessThan">
      <formula>$E$75*90%</formula>
    </cfRule>
  </conditionalFormatting>
  <conditionalFormatting sqref="H44:K44">
    <cfRule type="cellIs" dxfId="3207" priority="79" operator="greaterThan">
      <formula>0</formula>
    </cfRule>
    <cfRule type="cellIs" dxfId="3206" priority="80" operator="lessThan">
      <formula>0</formula>
    </cfRule>
  </conditionalFormatting>
  <conditionalFormatting sqref="H51:K51">
    <cfRule type="cellIs" dxfId="3205" priority="77" operator="greaterThan">
      <formula>0</formula>
    </cfRule>
    <cfRule type="cellIs" dxfId="3204" priority="78" operator="lessThan">
      <formula>0</formula>
    </cfRule>
  </conditionalFormatting>
  <conditionalFormatting sqref="B51:E51">
    <cfRule type="cellIs" dxfId="3203" priority="75" operator="greaterThan">
      <formula>0</formula>
    </cfRule>
    <cfRule type="cellIs" dxfId="320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20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20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199" priority="58" operator="lessThan">
      <formula>0</formula>
    </cfRule>
  </conditionalFormatting>
  <conditionalFormatting sqref="A25 E25 C25">
    <cfRule type="cellIs" dxfId="3198" priority="59" operator="lessThan">
      <formula>0</formula>
    </cfRule>
  </conditionalFormatting>
  <conditionalFormatting sqref="F25">
    <cfRule type="cellIs" dxfId="3197" priority="57" operator="lessThan">
      <formula>0</formula>
    </cfRule>
  </conditionalFormatting>
  <conditionalFormatting sqref="E1">
    <cfRule type="containsText" dxfId="3196" priority="56" operator="containsText" text="本季業外損益/平均=-">
      <formula>NOT(ISERROR(SEARCH("本季業外損益/平均=-",E1)))</formula>
    </cfRule>
  </conditionalFormatting>
  <conditionalFormatting sqref="M65">
    <cfRule type="cellIs" dxfId="3195" priority="55" operator="lessThan">
      <formula>$L$65*90%</formula>
    </cfRule>
  </conditionalFormatting>
  <conditionalFormatting sqref="M66">
    <cfRule type="cellIs" dxfId="3194" priority="54" operator="lessThan">
      <formula>$L$66*90%</formula>
    </cfRule>
  </conditionalFormatting>
  <conditionalFormatting sqref="M67">
    <cfRule type="cellIs" dxfId="3193" priority="53" operator="lessThan">
      <formula>$L$67*90%</formula>
    </cfRule>
  </conditionalFormatting>
  <conditionalFormatting sqref="M68">
    <cfRule type="cellIs" dxfId="3192" priority="52" operator="lessThan">
      <formula>$L$68*90%</formula>
    </cfRule>
  </conditionalFormatting>
  <conditionalFormatting sqref="B60">
    <cfRule type="cellIs" dxfId="3191" priority="51" operator="lessThan">
      <formula>0</formula>
    </cfRule>
  </conditionalFormatting>
  <conditionalFormatting sqref="B59:F59">
    <cfRule type="cellIs" dxfId="3190" priority="50" operator="lessThanOrEqual">
      <formula>0</formula>
    </cfRule>
  </conditionalFormatting>
  <conditionalFormatting sqref="D62">
    <cfRule type="cellIs" dxfId="3189" priority="48" operator="lessThan">
      <formula>$E$62</formula>
    </cfRule>
    <cfRule type="cellIs" dxfId="3188" priority="49" operator="greaterThan">
      <formula>$E$62</formula>
    </cfRule>
  </conditionalFormatting>
  <conditionalFormatting sqref="F69">
    <cfRule type="cellIs" dxfId="3187" priority="46" operator="lessThan">
      <formula>0</formula>
    </cfRule>
  </conditionalFormatting>
  <conditionalFormatting sqref="B65:E67 B69:E69 B68:D68">
    <cfRule type="cellIs" dxfId="3186" priority="47" operator="lessThan">
      <formula>0</formula>
    </cfRule>
  </conditionalFormatting>
  <conditionalFormatting sqref="E68">
    <cfRule type="cellIs" dxfId="3185" priority="45" operator="lessThan">
      <formula>0</formula>
    </cfRule>
  </conditionalFormatting>
  <conditionalFormatting sqref="F65:F68">
    <cfRule type="cellIs" dxfId="3184" priority="44" operator="lessThan">
      <formula>0</formula>
    </cfRule>
  </conditionalFormatting>
  <conditionalFormatting sqref="F65:F68">
    <cfRule type="cellIs" dxfId="3183" priority="43" operator="lessThan">
      <formula>$E$65*0.9</formula>
    </cfRule>
  </conditionalFormatting>
  <conditionalFormatting sqref="F66">
    <cfRule type="cellIs" dxfId="3182" priority="42" operator="lessThan">
      <formula>$E$66*0.9</formula>
    </cfRule>
  </conditionalFormatting>
  <conditionalFormatting sqref="F67:F68">
    <cfRule type="cellIs" dxfId="3181" priority="41" operator="lessThan">
      <formula>$E$67*0.9</formula>
    </cfRule>
  </conditionalFormatting>
  <conditionalFormatting sqref="F68">
    <cfRule type="cellIs" dxfId="3180" priority="40" operator="lessThan">
      <formula>$E$68*0.9</formula>
    </cfRule>
  </conditionalFormatting>
  <conditionalFormatting sqref="B13:F13">
    <cfRule type="cellIs" dxfId="3179" priority="29" operator="greaterThan">
      <formula>$I$16</formula>
    </cfRule>
    <cfRule type="cellIs" dxfId="3178" priority="30" operator="lessThanOrEqual">
      <formula>$I$16</formula>
    </cfRule>
  </conditionalFormatting>
  <conditionalFormatting sqref="B10:F10">
    <cfRule type="cellIs" dxfId="3177" priority="31" operator="greaterThan">
      <formula>15</formula>
    </cfRule>
    <cfRule type="cellIs" dxfId="3176" priority="38" operator="lessThan">
      <formula>$I$9</formula>
    </cfRule>
    <cfRule type="cellIs" dxfId="3175" priority="39" operator="greaterThan">
      <formula>$I$9</formula>
    </cfRule>
  </conditionalFormatting>
  <conditionalFormatting sqref="B16:F16">
    <cfRule type="cellIs" dxfId="3174" priority="36" operator="greaterThan">
      <formula>$I$16</formula>
    </cfRule>
    <cfRule type="cellIs" dxfId="3173" priority="37" operator="lessThanOrEqual">
      <formula>$I$16</formula>
    </cfRule>
  </conditionalFormatting>
  <conditionalFormatting sqref="B15:F15">
    <cfRule type="cellIs" dxfId="3172" priority="34" operator="lessThanOrEqual">
      <formula>$I$16</formula>
    </cfRule>
    <cfRule type="cellIs" dxfId="3171" priority="35" operator="greaterThan">
      <formula>$I$16</formula>
    </cfRule>
  </conditionalFormatting>
  <conditionalFormatting sqref="B14:F14">
    <cfRule type="cellIs" dxfId="3170" priority="32" operator="greaterThan">
      <formula>$I$16</formula>
    </cfRule>
    <cfRule type="cellIs" dxfId="3169" priority="33" operator="lessThanOrEqual">
      <formula>$I$16</formula>
    </cfRule>
  </conditionalFormatting>
  <conditionalFormatting sqref="K6">
    <cfRule type="containsText" dxfId="3168" priority="27" operator="containsText" text="衰退">
      <formula>NOT(ISERROR(SEARCH("衰退",K6)))</formula>
    </cfRule>
    <cfRule type="containsText" dxfId="3167" priority="28" operator="containsText" text="成長">
      <formula>NOT(ISERROR(SEARCH("成長",K6)))</formula>
    </cfRule>
  </conditionalFormatting>
  <conditionalFormatting sqref="I4:K4">
    <cfRule type="cellIs" dxfId="3166" priority="25" operator="lessThan">
      <formula>0</formula>
    </cfRule>
    <cfRule type="cellIs" dxfId="316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164" priority="22" operator="lessThanOrEqual">
      <formula>$I$16</formula>
    </cfRule>
    <cfRule type="cellIs" dxfId="3163" priority="23" operator="greaterThan">
      <formula>$I$16</formula>
    </cfRule>
  </conditionalFormatting>
  <conditionalFormatting sqref="I6">
    <cfRule type="containsText" dxfId="3162" priority="20" operator="containsText" text="衰退">
      <formula>NOT(ISERROR(SEARCH("衰退",I6)))</formula>
    </cfRule>
    <cfRule type="containsText" dxfId="3161" priority="21" operator="containsText" text="成長">
      <formula>NOT(ISERROR(SEARCH("成長",I6)))</formula>
    </cfRule>
  </conditionalFormatting>
  <conditionalFormatting sqref="M9">
    <cfRule type="cellIs" dxfId="3160" priority="19" operator="lessThan">
      <formula>$I$9</formula>
    </cfRule>
  </conditionalFormatting>
  <conditionalFormatting sqref="M10">
    <cfRule type="cellIs" dxfId="3159" priority="18" operator="greaterThan">
      <formula>$I$9</formula>
    </cfRule>
  </conditionalFormatting>
  <conditionalFormatting sqref="M11">
    <cfRule type="cellIs" dxfId="315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157" priority="14" operator="lessThan">
      <formula>0</formula>
    </cfRule>
    <cfRule type="cellIs" dxfId="3156" priority="15" operator="greaterThan">
      <formula>0.5</formula>
    </cfRule>
  </conditionalFormatting>
  <conditionalFormatting sqref="N14">
    <cfRule type="cellIs" dxfId="315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154" priority="10" operator="lessThan">
      <formula>0.1</formula>
    </cfRule>
  </conditionalFormatting>
  <conditionalFormatting sqref="I14">
    <cfRule type="cellIs" dxfId="315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15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151" priority="1" operator="lessThan">
      <formula>$N$5*0.9</formula>
    </cfRule>
    <cfRule type="cellIs" dxfId="3150" priority="2" operator="greaterThan">
      <formula>$N$5*1.1</formula>
    </cfRule>
  </conditionalFormatting>
  <hyperlinks>
    <hyperlink ref="L1" location="儀表板!A1" display="(回首頁)" xr:uid="{00000000-0004-0000-3D00-000000000000}"/>
  </hyperlink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6.08 ~ 17.7</v>
      </c>
      <c r="L1" s="83" t="s">
        <v>176</v>
      </c>
      <c r="M1" s="84" t="str">
        <f ca="1">VLOOKUP(_xlfn.NUMBERVALUE(N1),儀表板!A:B,2,FALSE)</f>
        <v>宜鼎</v>
      </c>
      <c r="N1" s="85" t="str">
        <f ca="1">MID(CELL("filename",L1),FIND("]",CELL("filename",L1))+1,255)</f>
        <v>5289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0.23655214183874232</v>
      </c>
    </row>
    <row r="3" spans="1:15" s="93" customFormat="1" x14ac:dyDescent="0.25">
      <c r="A3" s="81" t="s">
        <v>179</v>
      </c>
      <c r="B3" s="94">
        <f>SUM(F19:F22,F24:F27,J19)</f>
        <v>78.095727656561621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122.93070774100759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131.35489329686345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137.44942753850728</v>
      </c>
      <c r="L3" s="100"/>
      <c r="M3" s="79" t="s">
        <v>385</v>
      </c>
      <c r="N3" s="92">
        <f>(F69-E69)/E69</f>
        <v>0.45169700989356326</v>
      </c>
    </row>
    <row r="4" spans="1:15" s="93" customFormat="1" x14ac:dyDescent="0.25">
      <c r="A4" s="81" t="s">
        <v>182</v>
      </c>
      <c r="B4" s="96">
        <f>SUM(G36:G40)*2</f>
        <v>76</v>
      </c>
      <c r="C4" s="101"/>
      <c r="D4" s="102">
        <f>F4*(1+F141/10)</f>
        <v>6.9195000000000002</v>
      </c>
      <c r="E4" s="82">
        <f>(D4-F4)/F4</f>
        <v>5.0000000000000051E-2</v>
      </c>
      <c r="F4" s="103">
        <v>6.59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10.510286351629398</v>
      </c>
    </row>
    <row r="5" spans="1:15" s="93" customFormat="1" x14ac:dyDescent="0.25">
      <c r="A5" s="81" t="s">
        <v>184</v>
      </c>
      <c r="B5" s="107">
        <f>SUM(F30:F34)*2</f>
        <v>97.119383825417202</v>
      </c>
      <c r="C5" s="87"/>
      <c r="D5" s="87"/>
      <c r="E5" s="87"/>
      <c r="F5" s="86"/>
      <c r="G5" s="88"/>
      <c r="M5" s="79" t="s">
        <v>375</v>
      </c>
      <c r="N5" s="152">
        <f>D62</f>
        <v>9.9599999999999991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連2季成長</v>
      </c>
      <c r="L6" s="112"/>
      <c r="M6" s="79" t="s">
        <v>190</v>
      </c>
      <c r="N6" s="152">
        <f>A53</f>
        <v>13.925832756178554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17.190000000000001</v>
      </c>
      <c r="N9" s="129"/>
    </row>
    <row r="10" spans="1:15" s="93" customFormat="1" x14ac:dyDescent="0.25">
      <c r="A10" s="123" t="s">
        <v>194</v>
      </c>
      <c r="B10" s="126">
        <f>PERCENTILE(176:176,B9)</f>
        <v>11.022</v>
      </c>
      <c r="C10" s="126">
        <f>PERCENTILE(176:176,C9)</f>
        <v>11.82</v>
      </c>
      <c r="D10" s="126">
        <f>PERCENTILE(176:176,D9)</f>
        <v>12.63</v>
      </c>
      <c r="E10" s="126">
        <f>PERCENTILE(176:176,E9)</f>
        <v>13.215999999999999</v>
      </c>
      <c r="F10" s="126">
        <f>PERCENTILE(176:176,F9)</f>
        <v>14.114000000000001</v>
      </c>
      <c r="G10" s="95"/>
      <c r="H10" s="135"/>
      <c r="I10" s="135"/>
      <c r="J10" s="135"/>
      <c r="K10" s="135"/>
      <c r="L10" s="136" t="s">
        <v>374</v>
      </c>
      <c r="M10" s="130">
        <f>MIN(176:176)</f>
        <v>8.67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41.42</v>
      </c>
      <c r="L11" s="272" t="s">
        <v>193</v>
      </c>
      <c r="M11" s="128">
        <f>STDEV(176:176)</f>
        <v>1.9194519595227495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56.722689075630257</v>
      </c>
      <c r="C13" s="141">
        <f>$B$34/5.88%</f>
        <v>68.877551020408163</v>
      </c>
      <c r="D13" s="141">
        <f>$B$34/5%</f>
        <v>80.999999999999986</v>
      </c>
      <c r="E13" s="141">
        <f>$B$34/4.35%</f>
        <v>93.103448275862078</v>
      </c>
      <c r="F13" s="141">
        <f>$B$34/3.85%</f>
        <v>105.1948051948052</v>
      </c>
      <c r="G13" s="138" t="str">
        <f>"$"&amp;ROUND(B34,2)&amp;"/"&amp;IF(STDEV(C140:F140)/AVERAGE(C140:F140)&lt;15%,"高",IF(STDEV(C140:F140)/AVERAGE(C140:F140)&lt;30%,"中","低"))</f>
        <v>$4.05/中</v>
      </c>
      <c r="H13" s="142" t="s">
        <v>199</v>
      </c>
      <c r="I13" s="143">
        <f>MAX(0,1-J15)</f>
        <v>0.4475138121546961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85.861380000000011</v>
      </c>
      <c r="C14" s="141">
        <f>$B$33*C10</f>
        <v>92.077800000000011</v>
      </c>
      <c r="D14" s="141">
        <f>$B$33*D10</f>
        <v>98.387700000000024</v>
      </c>
      <c r="E14" s="141">
        <f>$B$33*E10</f>
        <v>102.95264</v>
      </c>
      <c r="F14" s="141">
        <f>$B$33*F10</f>
        <v>109.94806000000001</v>
      </c>
      <c r="G14" s="138" t="str">
        <f>"$"&amp;ROUND(B33,2)&amp;"/"&amp;IF(STDEV(B69:E69)/AVERAGE(B69:E69)&lt;15%,"高",IF(STDEV(B69:E69)/AVERAGE(B69:E69)&lt;30%,"中","低"))</f>
        <v>$7.79/中</v>
      </c>
      <c r="H14" s="142" t="s">
        <v>203</v>
      </c>
      <c r="I14" s="145">
        <f>G62/100*I13</f>
        <v>0.10301767955801104</v>
      </c>
      <c r="J14" s="76" t="s">
        <v>204</v>
      </c>
      <c r="K14" s="146"/>
      <c r="L14" s="147">
        <f>(HLOOKUP($C$1,$105:$106,2,FALSE)-HLOOKUP($C$1,$117:$127,9,FALSE))/(HLOOKUP($C$1,$117:$128,12,FALSE)/K11)</f>
        <v>15.28677712225949</v>
      </c>
      <c r="M14" s="148">
        <f>E135/E69</f>
        <v>0.88259668508287281</v>
      </c>
      <c r="N14" s="149">
        <f>F173/100</f>
        <v>1.2036</v>
      </c>
    </row>
    <row r="15" spans="1:15" s="93" customFormat="1" x14ac:dyDescent="0.25">
      <c r="A15" s="140" t="s">
        <v>375</v>
      </c>
      <c r="B15" s="141">
        <f>$D$62*B10</f>
        <v>109.77911999999999</v>
      </c>
      <c r="C15" s="141">
        <f>$D$62*C10</f>
        <v>117.7272</v>
      </c>
      <c r="D15" s="141">
        <f>$D$62*D10</f>
        <v>125.7948</v>
      </c>
      <c r="E15" s="141">
        <f>$D$62*E10</f>
        <v>131.63135999999997</v>
      </c>
      <c r="F15" s="141">
        <f>$D$62*F10</f>
        <v>140.57543999999999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0.5524861878453039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115.84437616765923</v>
      </c>
      <c r="C16" s="141">
        <f>$F$69*C10</f>
        <v>124.23158467625949</v>
      </c>
      <c r="D16" s="141">
        <f>$F$69*D10</f>
        <v>132.74491662107931</v>
      </c>
      <c r="E16" s="141">
        <f>$F$69*E10</f>
        <v>138.90394442313411</v>
      </c>
      <c r="F16" s="141">
        <f>$F$69*F10</f>
        <v>148.34218156689732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1017</v>
      </c>
      <c r="J17" s="92">
        <f ca="1">IF(I17&lt;=0,"",IF(I17&lt;=MIN($B$13:$F$16),(I17-MIN($B$13:$F$16))/MIN($B$13:$F$16),IF(I17&gt;=MAX($B$13:$F$16),I17/MAX($B$13:$F$16),PERCENTRANK($B$13:$F$16,I17))))</f>
        <v>6.8557708216079272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1.7149999999999999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0.42345679012345677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0.18197624998228634</v>
      </c>
      <c r="J20" s="171">
        <f>HLOOKUP($C$1,$117:$127,11,FALSE)/HLOOKUP($C$1,$105:$115,11,FALSE)</f>
        <v>0.32717647950625806</v>
      </c>
      <c r="K20" s="163"/>
    </row>
    <row r="21" spans="1:14" s="93" customFormat="1" x14ac:dyDescent="0.25">
      <c r="A21" s="151" t="s">
        <v>201</v>
      </c>
      <c r="B21" s="161">
        <f>AVERAGE(C173:F173)/100</f>
        <v>0.92189999999999994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12.7971</v>
      </c>
      <c r="G21" s="88" t="s">
        <v>220</v>
      </c>
      <c r="H21" s="123" t="s">
        <v>221</v>
      </c>
      <c r="I21" s="162">
        <f>HLOOKUP($C$1,$105:$115,7,FALSE)/HLOOKUP($C$1,$117:$127,8,FALSE)</f>
        <v>2.1423439577043433</v>
      </c>
      <c r="J21" s="78"/>
      <c r="K21" s="164" t="s">
        <v>356</v>
      </c>
      <c r="L21" s="165">
        <f>HLOOKUP($C$1,$105:$115,7,FALSE)/HLOOKUP($C$1,$105:$115,11,FALSE)</f>
        <v>0.70037134567313353</v>
      </c>
      <c r="M21" s="123" t="s">
        <v>268</v>
      </c>
      <c r="N21" s="165">
        <f>HLOOKUP($C$1,$117:$127,8,FALSE)/HLOOKUP($C$1,$117:$127,11,FALSE)</f>
        <v>0.99921074486984163</v>
      </c>
    </row>
    <row r="22" spans="1:14" s="93" customFormat="1" x14ac:dyDescent="0.25">
      <c r="A22" s="140" t="s">
        <v>222</v>
      </c>
      <c r="B22" s="161">
        <f>(-1)*SUM(C133:F133)/SUM(C132:F132)</f>
        <v>0.73794950267788828</v>
      </c>
      <c r="C22" s="157"/>
      <c r="D22" s="166"/>
      <c r="E22" s="140"/>
      <c r="F22" s="159">
        <f>IF(B22&lt;=0,10,IF(B22&gt;=100%,0,(1-B22)*10))</f>
        <v>2.6205049732211174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1.4309227818036203</v>
      </c>
      <c r="J22" s="78"/>
      <c r="K22" s="142" t="s">
        <v>357</v>
      </c>
      <c r="L22" s="165">
        <f>HLOOKUP($C$1,$105:$115,4,FALSE)/HLOOKUP($C$1,$105:$115,11,FALSE)</f>
        <v>0.20189809396581837</v>
      </c>
      <c r="M22" s="123" t="s">
        <v>353</v>
      </c>
      <c r="N22" s="165">
        <f>HLOOKUP($C$1,$117:$127,4,FALSE)/HLOOKUP($C$1,$117:$127,11,FALSE)</f>
        <v>0.44379788468625048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1.4862738437951222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0.23257656853564651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1.0551293131393018</v>
      </c>
      <c r="C24" s="169">
        <f>STDEV(C103:F103)</f>
        <v>6.8087324982310571E-2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50.28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7.2065893444103468E-2</v>
      </c>
      <c r="M24" s="123" t="s">
        <v>355</v>
      </c>
      <c r="N24" s="165">
        <f>HLOOKUP($C$1,$117:$127,9,FALSE)/HLOOKUP($C$1,$117:$127,11,FALSE)</f>
        <v>7.8925513015834601E-4</v>
      </c>
    </row>
    <row r="25" spans="1:14" s="93" customFormat="1" x14ac:dyDescent="0.25">
      <c r="A25" s="151" t="s">
        <v>366</v>
      </c>
      <c r="B25" s="255">
        <f>AVERAGE(94:94)</f>
        <v>13018.521739130434</v>
      </c>
      <c r="C25" s="254">
        <f>STDEV(94:94)/AVERAGE(94:94)</f>
        <v>2.3218773166595006</v>
      </c>
      <c r="D25" s="76" t="str">
        <f>IF(C25&lt;=1,"高",IF(C25&lt;=2,"中","低"))</f>
        <v>低</v>
      </c>
      <c r="E25" s="149"/>
      <c r="F25" s="160">
        <f>MAX(0,10-ABS(C25))</f>
        <v>7.678122683340499</v>
      </c>
      <c r="G25" s="88" t="s">
        <v>213</v>
      </c>
      <c r="H25" s="123" t="s">
        <v>232</v>
      </c>
      <c r="I25" s="170">
        <f>IF(HLOOKUP(C1,167:170,3,FALSE)="無",0,HLOOKUP(C1,167:170,3,FALSE))</f>
        <v>69.23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46.545263157894738</v>
      </c>
      <c r="C26" s="172">
        <f>IF(COUNTIF(168:168,"&gt;0")=0,0,STDEV(168:168))</f>
        <v>3.9326657179479172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72.477368421052631</v>
      </c>
      <c r="C27" s="172">
        <f>IF(COUNTIF(169:169,"&gt;0")=0,0,STDEV(169:169))</f>
        <v>5.5253545307118959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0.27105000000000001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0.112925</v>
      </c>
      <c r="C31" s="157" t="s">
        <v>217</v>
      </c>
      <c r="D31" s="174">
        <f>COUNTIF(149:149,"&gt;8")/COUNT(149:149)</f>
        <v>0.84210526315789469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22.197500000000002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7.7900000000000009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4.05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8.5596919127086011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3839500</v>
      </c>
      <c r="C36" s="178">
        <f>STDEV(C97:F97)</f>
        <v>842916.3759515729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27.105</v>
      </c>
      <c r="C37" s="180">
        <f>STDEV(C152:F152)</f>
        <v>1.0751899057065852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13.075000000000001</v>
      </c>
      <c r="C38" s="180">
        <f>STDEV(C153:F153)</f>
        <v>1.6230116039839761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22.197500000000002</v>
      </c>
      <c r="C39" s="181">
        <f>STDEV(C165:F165)</f>
        <v>4.8428048002509119</v>
      </c>
      <c r="D39" s="76" t="str">
        <f>IF(C39/B39&lt;15%,"高",IF(C39/B39&lt;30%,"中","低"))</f>
        <v>中</v>
      </c>
      <c r="E39" s="107">
        <f>IF(F165&gt;E165,1,0)+IF(E165&gt;D165,1,0)+IF(D165&gt;C165,1,0)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7.7900000000000009</v>
      </c>
      <c r="C40" s="183">
        <f>STDEV(B69:E69)</f>
        <v>1.5320139250890146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1.0797546012269941</v>
      </c>
      <c r="C44" s="186">
        <f>(C46-C49)/C49</f>
        <v>0.91999999999999993</v>
      </c>
      <c r="D44" s="186">
        <f>(D46-D49)/D49</f>
        <v>-0.20588235294117643</v>
      </c>
      <c r="E44" s="186">
        <f>(E46-E49)/E49</f>
        <v>-0.20689655172413796</v>
      </c>
      <c r="G44" s="86" t="s">
        <v>175</v>
      </c>
      <c r="H44" s="186">
        <f>(H47-H50)/H50</f>
        <v>0.52460383653044207</v>
      </c>
      <c r="I44" s="186">
        <f>(I47-I50)/I50</f>
        <v>0.21533161068044798</v>
      </c>
      <c r="J44" s="186">
        <f>(J47-J50)/J50</f>
        <v>-0.17363571934798019</v>
      </c>
      <c r="K44" s="186">
        <f>(K47-K50)/K50</f>
        <v>-0.38357843137254899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3.39</v>
      </c>
      <c r="C46" s="152">
        <f>HLOOKUP(C45,$81:$82,2,FALSE)</f>
        <v>2.88</v>
      </c>
      <c r="D46" s="152">
        <f>HLOOKUP(D45,$81:$82,2,FALSE)</f>
        <v>1.62</v>
      </c>
      <c r="E46" s="152">
        <f>HLOOKUP(E45,$81:$82,2,FALSE)</f>
        <v>2.0699999999999998</v>
      </c>
      <c r="G46" s="86" t="s">
        <v>164</v>
      </c>
      <c r="H46" s="145">
        <f>HLOOKUP(H45,$145:$147,2,FALSE)/100</f>
        <v>0.30049999999999999</v>
      </c>
      <c r="I46" s="145">
        <f>HLOOKUP(I45,$145:$147,2,FALSE)/100</f>
        <v>0.26869999999999999</v>
      </c>
      <c r="J46" s="145">
        <f>HLOOKUP(J45,$145:$147,2,FALSE)/100</f>
        <v>0.2515</v>
      </c>
      <c r="K46" s="145">
        <f>HLOOKUP(K45,$145:$147,2,FALSE)/100</f>
        <v>0.24399999999999999</v>
      </c>
    </row>
    <row r="47" spans="1:14" x14ac:dyDescent="0.25">
      <c r="A47" s="188" t="s">
        <v>165</v>
      </c>
      <c r="B47" s="189">
        <f>HLOOKUP(B45,$157:$159,3,FALSE)</f>
        <v>8.7100000000000009</v>
      </c>
      <c r="C47" s="189">
        <f>HLOOKUP(C45,$157:$159,3,FALSE)</f>
        <v>6.49</v>
      </c>
      <c r="D47" s="189">
        <f>HLOOKUP(D45,$157:$159,3,FALSE)</f>
        <v>3.16</v>
      </c>
      <c r="E47" s="189">
        <f>HLOOKUP(E45,$157:$159,3,FALSE)</f>
        <v>4.66</v>
      </c>
      <c r="G47" s="190" t="s">
        <v>166</v>
      </c>
      <c r="H47" s="145">
        <f>HLOOKUP(H45,$145:$147,3,FALSE)/100</f>
        <v>0.18280000000000002</v>
      </c>
      <c r="I47" s="145">
        <f>HLOOKUP(I45,$145:$147,3,FALSE)/100</f>
        <v>0.1411</v>
      </c>
      <c r="J47" s="145">
        <f>HLOOKUP(J45,$145:$147,3,FALSE)/100</f>
        <v>0.1166</v>
      </c>
      <c r="K47" s="145">
        <f>HLOOKUP(K45,$145:$147,3,FALSE)/100</f>
        <v>0.10060000000000001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1.63</v>
      </c>
      <c r="C49" s="152">
        <f>HLOOKUP(C48,$81:$82,2,FALSE)</f>
        <v>1.5</v>
      </c>
      <c r="D49" s="152">
        <f>HLOOKUP(D48,$81:$82,2,FALSE)</f>
        <v>2.04</v>
      </c>
      <c r="E49" s="152">
        <f>HLOOKUP(E48,$81:$82,2,FALSE)</f>
        <v>2.61</v>
      </c>
      <c r="G49" s="86" t="s">
        <v>164</v>
      </c>
      <c r="H49" s="145">
        <f>HLOOKUP(H48,$145:$147,2,FALSE)/100</f>
        <v>0.27629999999999999</v>
      </c>
      <c r="I49" s="145">
        <f>HLOOKUP(I48,$145:$147,2,FALSE)/100</f>
        <v>0.27879999999999999</v>
      </c>
      <c r="J49" s="145">
        <f>HLOOKUP(J48,$145:$147,2,FALSE)/100</f>
        <v>0.2954</v>
      </c>
      <c r="K49" s="145">
        <f>HLOOKUP(K48,$145:$147,2,FALSE)/100</f>
        <v>0.28449999999999998</v>
      </c>
    </row>
    <row r="50" spans="1:15" x14ac:dyDescent="0.25">
      <c r="A50" s="188" t="s">
        <v>165</v>
      </c>
      <c r="B50" s="189">
        <f>HLOOKUP(B48,$157:$159,3,FALSE)</f>
        <v>3.85</v>
      </c>
      <c r="C50" s="189">
        <f>HLOOKUP(C48,$157:$159,3,FALSE)</f>
        <v>3.35</v>
      </c>
      <c r="D50" s="189">
        <f>HLOOKUP(D48,$157:$159,3,FALSE)</f>
        <v>4.82</v>
      </c>
      <c r="E50" s="189">
        <f>HLOOKUP(E48,$157:$159,3,FALSE)</f>
        <v>6.71</v>
      </c>
      <c r="G50" s="190" t="s">
        <v>166</v>
      </c>
      <c r="H50" s="145">
        <f>HLOOKUP(H48,$145:$147,3,FALSE)/100</f>
        <v>0.11990000000000001</v>
      </c>
      <c r="I50" s="145">
        <f>HLOOKUP(I48,$145:$147,3,FALSE)/100</f>
        <v>0.11609999999999999</v>
      </c>
      <c r="J50" s="145">
        <f>HLOOKUP(J48,$145:$147,3,FALSE)/100</f>
        <v>0.1411</v>
      </c>
      <c r="K50" s="145">
        <f>HLOOKUP(K48,$145:$147,3,FALSE)/100</f>
        <v>0.16320000000000001</v>
      </c>
    </row>
    <row r="51" spans="1:15" x14ac:dyDescent="0.25">
      <c r="A51" s="86" t="s">
        <v>351</v>
      </c>
      <c r="B51" s="186">
        <f>(B47-B50)/B50</f>
        <v>1.2623376623376625</v>
      </c>
      <c r="C51" s="186">
        <f>(C47-C50)/C50</f>
        <v>0.93731343283582091</v>
      </c>
      <c r="D51" s="186">
        <f>(D47-D50)/D50</f>
        <v>-0.34439834024896265</v>
      </c>
      <c r="E51" s="186">
        <f>(E47-E50)/E50</f>
        <v>-0.30551415797317433</v>
      </c>
      <c r="G51" s="235" t="s">
        <v>174</v>
      </c>
      <c r="H51" s="186">
        <f>(H46-H49)/H49</f>
        <v>8.7585957292797681E-2</v>
      </c>
      <c r="I51" s="186">
        <f>(I46-I49)/I49</f>
        <v>-3.6226685796269718E-2</v>
      </c>
      <c r="J51" s="186">
        <f>(J46-J49)/J49</f>
        <v>-0.14861205145565334</v>
      </c>
      <c r="K51" s="186">
        <f>(K46-K49)/K49</f>
        <v>-0.14235500878734617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13.925832756178554</v>
      </c>
      <c r="B53" s="193">
        <f>B46</f>
        <v>3.39</v>
      </c>
      <c r="C53" s="193">
        <f>E46/HLOOKUP(E45,$87:$94,5,FALSE)*HLOOKUP(E45,$87:$94,4,FALSE)*($B$25/HLOOKUP(E45,$87:$94,4,FALSE)+SUM($B$57:$D$57)/SUM($B58:$D$58)*$G$69/100/K46)</f>
        <v>2.9941672292645496</v>
      </c>
      <c r="D53" s="193">
        <f>D46/HLOOKUP(D45,$87:$94,5,FALSE)*HLOOKUP(D45,$87:$94,4,FALSE)*($B$25/HLOOKUP(D45,$87:$94,4,FALSE)+SUM($B$57:$D$57)/SUM($B58:$D$58)*$G$69/100/J46)</f>
        <v>3.5448462179038311</v>
      </c>
      <c r="E53" s="193">
        <f>C46/HLOOKUP(C45,$87:$94,5,FALSE)*HLOOKUP(C45,$87:$94,4,FALSE)*($B$25/HLOOKUP(C45,$87:$94,4,FALSE)+SUM($B$57:$D$57)/SUM($B58:$D$58)*$G$69/100/I46)</f>
        <v>3.996819309010172</v>
      </c>
    </row>
    <row r="54" spans="1:15" x14ac:dyDescent="0.25">
      <c r="A54" s="278">
        <f>SUM(B54:E54)</f>
        <v>8.1999999999999993</v>
      </c>
      <c r="B54" s="277">
        <f t="shared" ref="B54:D54" si="0">HLOOKUP(B52-10,81:82,2,FALSE)</f>
        <v>1.63</v>
      </c>
      <c r="C54" s="277">
        <f t="shared" si="0"/>
        <v>2.0699999999999998</v>
      </c>
      <c r="D54" s="277">
        <f t="shared" si="0"/>
        <v>1.62</v>
      </c>
      <c r="E54" s="277">
        <f>HLOOKUP(E52-10,81:82,2,FALSE)</f>
        <v>2.88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613594</v>
      </c>
      <c r="C57" s="196">
        <f>HLOOKUP(C56,78:79,2,FALSE)</f>
        <v>557082</v>
      </c>
      <c r="D57" s="196">
        <f>HLOOKUP(D56,78:79,2,FALSE)</f>
        <v>553509</v>
      </c>
      <c r="E57" s="196">
        <f>HLOOKUP(E56,78:79,2,FALSE)</f>
        <v>555802</v>
      </c>
      <c r="F57" s="196">
        <f>HLOOKUP(F56,78:79,2,FALSE)</f>
        <v>543561</v>
      </c>
      <c r="G57" s="196">
        <f t="shared" ref="G57:M57" si="2">HLOOKUP(G56,78:79,2,FALSE)</f>
        <v>543639</v>
      </c>
      <c r="H57" s="196">
        <f t="shared" si="2"/>
        <v>546423</v>
      </c>
      <c r="I57" s="196">
        <f t="shared" si="2"/>
        <v>522458</v>
      </c>
      <c r="J57" s="196">
        <f t="shared" si="2"/>
        <v>436274</v>
      </c>
      <c r="K57" s="196">
        <f t="shared" si="2"/>
        <v>445621</v>
      </c>
      <c r="L57" s="196">
        <f t="shared" si="2"/>
        <v>416302</v>
      </c>
      <c r="M57" s="196">
        <f t="shared" si="2"/>
        <v>441315</v>
      </c>
      <c r="N57" s="197"/>
    </row>
    <row r="58" spans="1:15" x14ac:dyDescent="0.25">
      <c r="A58" s="198" t="s">
        <v>253</v>
      </c>
      <c r="B58" s="196">
        <f>HLOOKUP(B56-100,78:79,2,FALSE)</f>
        <v>467912</v>
      </c>
      <c r="C58" s="196">
        <f>HLOOKUP(C56-100,78:79,2,FALSE)</f>
        <v>375043</v>
      </c>
      <c r="D58" s="196">
        <f>HLOOKUP(D56-100,78:79,2,FALSE)</f>
        <v>416802</v>
      </c>
      <c r="E58" s="196">
        <f>HLOOKUP(E56-100,78:79,2,FALSE)</f>
        <v>387792</v>
      </c>
      <c r="F58" s="196">
        <f>HLOOKUP(F56-100,78:79,2,FALSE)</f>
        <v>343701</v>
      </c>
      <c r="G58" s="196">
        <f t="shared" ref="G58:M58" si="3">HLOOKUP(G56-100,78:79,2,FALSE)</f>
        <v>376025</v>
      </c>
      <c r="H58" s="196">
        <f t="shared" si="3"/>
        <v>328552</v>
      </c>
      <c r="I58" s="196">
        <f t="shared" si="3"/>
        <v>422202</v>
      </c>
      <c r="J58" s="196">
        <f t="shared" si="3"/>
        <v>289033</v>
      </c>
      <c r="K58" s="196">
        <f t="shared" si="3"/>
        <v>380877</v>
      </c>
      <c r="L58" s="196">
        <f t="shared" si="3"/>
        <v>392148</v>
      </c>
      <c r="M58" s="196">
        <f t="shared" si="3"/>
        <v>395674</v>
      </c>
      <c r="N58" s="197"/>
    </row>
    <row r="59" spans="1:15" x14ac:dyDescent="0.25">
      <c r="A59" s="199" t="s">
        <v>254</v>
      </c>
      <c r="B59" s="165">
        <f>IF(B57&lt;&gt;"",(B57-B58)/B58,"")</f>
        <v>0.31134486826582775</v>
      </c>
      <c r="C59" s="165">
        <f>IF(C57&lt;&gt;"",(C57-C58)/C58,"")</f>
        <v>0.48538167623445844</v>
      </c>
      <c r="D59" s="165">
        <f>IF(D57&lt;&gt;"",(D57-D58)/D58,"")</f>
        <v>0.32799026876070653</v>
      </c>
      <c r="E59" s="165">
        <f>IF(E57&lt;&gt;"",(E57-E58)/E58,"")</f>
        <v>0.43324772042744564</v>
      </c>
      <c r="F59" s="165">
        <f>IF(F57&lt;&gt;"",(F57-F58)/F58,"")</f>
        <v>0.58149379838871573</v>
      </c>
      <c r="G59" s="165">
        <f t="shared" ref="G59:M59" si="4">IF(G57&lt;&gt;"",(G57-G58)/G58,"")</f>
        <v>0.44575227710923476</v>
      </c>
      <c r="H59" s="165">
        <f t="shared" si="4"/>
        <v>0.66312486303537943</v>
      </c>
      <c r="I59" s="165">
        <f t="shared" si="4"/>
        <v>0.23745979412698187</v>
      </c>
      <c r="J59" s="165">
        <f t="shared" si="4"/>
        <v>0.50942625928527197</v>
      </c>
      <c r="K59" s="165">
        <f t="shared" si="4"/>
        <v>0.1699866361056194</v>
      </c>
      <c r="L59" s="165">
        <f t="shared" si="4"/>
        <v>6.1594092026479801E-2</v>
      </c>
      <c r="M59" s="165">
        <f t="shared" si="4"/>
        <v>0.11535001036206574</v>
      </c>
    </row>
    <row r="60" spans="1:15" x14ac:dyDescent="0.25">
      <c r="A60" s="195" t="s">
        <v>255</v>
      </c>
      <c r="B60" s="196">
        <f>SUM(B57:M57)</f>
        <v>6175580</v>
      </c>
    </row>
    <row r="61" spans="1:15" x14ac:dyDescent="0.25">
      <c r="A61" s="198" t="s">
        <v>256</v>
      </c>
      <c r="B61" s="196">
        <f>SUM(B58:M58)</f>
        <v>4575761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1.3496290562378586</v>
      </c>
      <c r="D62" s="152">
        <f>SUM(B46:E46)</f>
        <v>9.9599999999999991</v>
      </c>
      <c r="E62" s="152">
        <f>SUM(B49:E49)</f>
        <v>7.7799999999999994</v>
      </c>
      <c r="G62" s="126">
        <f>SUM(B47:E47)</f>
        <v>23.02</v>
      </c>
      <c r="H62" s="126">
        <f>SUM(B50:E50)</f>
        <v>18.73</v>
      </c>
      <c r="J62" s="200">
        <f>AVERAGE(H46:K46)</f>
        <v>0.26617499999999999</v>
      </c>
      <c r="K62" s="200">
        <f>AVERAGE(H49:K49)</f>
        <v>0.28374999999999995</v>
      </c>
      <c r="M62" s="200">
        <f>AVERAGE(H47:K47)</f>
        <v>0.13527500000000001</v>
      </c>
      <c r="N62" s="200">
        <f>AVERAGE(H50:K50)</f>
        <v>0.135075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1.74</v>
      </c>
      <c r="C65" s="205">
        <f t="shared" si="5"/>
        <v>1.67</v>
      </c>
      <c r="D65" s="205">
        <f t="shared" si="5"/>
        <v>1.84</v>
      </c>
      <c r="E65" s="205">
        <f t="shared" si="5"/>
        <v>2.04</v>
      </c>
      <c r="F65" s="206">
        <f>IF(ISNA(HLOOKUP(F$64*10+$A65,$81:$82,2,FALSE)),(HLOOKUP(E$64*10+$A65,$87:$94,4,FALSE)*$G65+$B$25)/HLOOKUP(E$64*10+$A65,$87:$94,5,FALSE)*$E65,HLOOKUP(F$64*10+$A65,$81:$82,2,FALSE))</f>
        <v>1.62</v>
      </c>
      <c r="G65" s="101">
        <f>MIN(130%,SUM($B$57:$D$57)/SUM($B$58:$D$58)*$G$69/HLOOKUP(E$64*10+$A65,$145:$146,2,FALSE))</f>
        <v>1.2385190347714496</v>
      </c>
      <c r="H65" s="204">
        <v>1</v>
      </c>
      <c r="I65" s="208">
        <f t="shared" ref="I65:M68" si="6">IF(ISNA(HLOOKUP(I$64*10+$H65,$145:$147,3,FALSE)),"",HLOOKUP(I$64*10+$H65,$145:$147,3,FALSE)/100)</f>
        <v>0.13970000000000002</v>
      </c>
      <c r="J65" s="208">
        <f t="shared" si="6"/>
        <v>0.1263</v>
      </c>
      <c r="K65" s="208">
        <f t="shared" si="6"/>
        <v>0.13500000000000001</v>
      </c>
      <c r="L65" s="208">
        <f t="shared" si="6"/>
        <v>0.1411</v>
      </c>
      <c r="M65" s="209">
        <f t="shared" si="6"/>
        <v>0.1166</v>
      </c>
      <c r="N65" s="256">
        <f t="shared" ref="N65:O68" si="7">HLOOKUP(E$64*10+$A65,$87:$94,8,FALSE)</f>
        <v>-9569</v>
      </c>
      <c r="O65" s="256">
        <f t="shared" si="7"/>
        <v>-48927</v>
      </c>
      <c r="P65" s="210"/>
    </row>
    <row r="66" spans="1:71" x14ac:dyDescent="0.25">
      <c r="A66" s="204">
        <v>2</v>
      </c>
      <c r="B66" s="205">
        <f t="shared" si="5"/>
        <v>1.57</v>
      </c>
      <c r="C66" s="205">
        <f t="shared" si="5"/>
        <v>2.0499999999999998</v>
      </c>
      <c r="D66" s="205">
        <f t="shared" si="5"/>
        <v>1.91</v>
      </c>
      <c r="E66" s="205">
        <f t="shared" si="5"/>
        <v>1.5</v>
      </c>
      <c r="F66" s="206">
        <f>IF(ISNA(HLOOKUP(F$64*10+$A66,$81:$82,2,FALSE)),(HLOOKUP(E$64*10+$A66,$87:$94,4,FALSE)*$G66+$B$25)/HLOOKUP(E$64*10+$A66,$87:$94,5,FALSE)*$E66,HLOOKUP(F$64*10+$A66,$81:$82,2,FALSE))</f>
        <v>2.88</v>
      </c>
      <c r="G66" s="101">
        <f>MIN(130%,SUM($B$57:$D$57)/SUM($B$58:$D$58)*$G$69/HLOOKUP(E$64*10+$A66,$145:$146,2,FALSE))</f>
        <v>1.3</v>
      </c>
      <c r="H66" s="204">
        <v>2</v>
      </c>
      <c r="I66" s="208">
        <f t="shared" si="6"/>
        <v>0.11800000000000001</v>
      </c>
      <c r="J66" s="208">
        <f t="shared" si="6"/>
        <v>9.74E-2</v>
      </c>
      <c r="K66" s="208">
        <f t="shared" si="6"/>
        <v>0.1351</v>
      </c>
      <c r="L66" s="208">
        <f t="shared" si="6"/>
        <v>0.11609999999999999</v>
      </c>
      <c r="M66" s="209">
        <f t="shared" si="6"/>
        <v>0.1411</v>
      </c>
      <c r="N66" s="256">
        <f t="shared" si="7"/>
        <v>-3769</v>
      </c>
      <c r="O66" s="256">
        <f t="shared" si="7"/>
        <v>5030</v>
      </c>
      <c r="P66" s="210"/>
    </row>
    <row r="67" spans="1:71" x14ac:dyDescent="0.25">
      <c r="A67" s="204">
        <v>3</v>
      </c>
      <c r="B67" s="205">
        <f t="shared" si="5"/>
        <v>1.22</v>
      </c>
      <c r="C67" s="205">
        <f t="shared" si="5"/>
        <v>2.0699999999999998</v>
      </c>
      <c r="D67" s="205">
        <f t="shared" si="5"/>
        <v>2.84</v>
      </c>
      <c r="E67" s="205">
        <f t="shared" si="5"/>
        <v>1.63</v>
      </c>
      <c r="F67" s="206">
        <f>IF(ISNA(HLOOKUP(F$64*10+$A67,$81:$82,2,FALSE)),(HLOOKUP(E$64*10+$A67,$87:$94,4,FALSE)*$G67+$B$25)/HLOOKUP(E$64*10+$A67,$87:$94,5,FALSE)*$E67,HLOOKUP(F$64*10+$A67,$81:$82,2,FALSE))</f>
        <v>3.39</v>
      </c>
      <c r="G67" s="101">
        <f>MIN(130%,SUM($B$57:$D$57)/SUM($B$58:$D$58)*$G$69/HLOOKUP(E$64*10+$A67,$145:$146,2,FALSE))</f>
        <v>1.3</v>
      </c>
      <c r="H67" s="204">
        <v>3</v>
      </c>
      <c r="I67" s="208">
        <f t="shared" si="6"/>
        <v>0.1007</v>
      </c>
      <c r="J67" s="208">
        <f t="shared" si="6"/>
        <v>0.1497</v>
      </c>
      <c r="K67" s="208">
        <f t="shared" si="6"/>
        <v>0.1444</v>
      </c>
      <c r="L67" s="208">
        <f t="shared" si="6"/>
        <v>0.11990000000000001</v>
      </c>
      <c r="M67" s="209">
        <f t="shared" si="6"/>
        <v>0.18280000000000002</v>
      </c>
      <c r="N67" s="256">
        <f t="shared" si="7"/>
        <v>-19548</v>
      </c>
      <c r="O67" s="256">
        <f t="shared" si="7"/>
        <v>-9700</v>
      </c>
      <c r="P67" s="210"/>
    </row>
    <row r="68" spans="1:71" x14ac:dyDescent="0.25">
      <c r="A68" s="204">
        <v>4</v>
      </c>
      <c r="B68" s="205">
        <f>HLOOKUP(B$64*10+$A68,$81:$82,2,FALSE)</f>
        <v>1.35</v>
      </c>
      <c r="C68" s="205">
        <f>HLOOKUP(C$64*10+$A68,$81:$82,2,FALSE)</f>
        <v>3.05</v>
      </c>
      <c r="D68" s="205">
        <f>HLOOKUP(D$64*10+$A68,$81:$82,2,FALSE)</f>
        <v>2.61</v>
      </c>
      <c r="E68" s="206">
        <f>IF(ISNA(HLOOKUP(E$64*10+$A68,$81:$82,2,FALSE)),D68*(1-$N68)*#REF!*(1+$B$25)/(1+$E$4),HLOOKUP(E$64*10+$A68,$81:$82,2,FALSE))</f>
        <v>2.0699999999999998</v>
      </c>
      <c r="F68" s="206">
        <f>IF(ISNA(HLOOKUP(F$64*10+$A68,$81:$82,2,FALSE)),(HLOOKUP(E$64*10+$A68,$87:$94,4,FALSE)*$G68+$B$25)/HLOOKUP(E$64*10+$A68,$87:$94,5,FALSE)*$E68,HLOOKUP(F$64*10+$A68,$81:$82,2,FALSE))</f>
        <v>2.6202863516293977</v>
      </c>
      <c r="G68" s="101">
        <f>MIN(130%,SUM($B$57:$D$57)/SUM($B$58:$D$58)*$G$69/HLOOKUP(E$64*10+$A68,$145:$146,2,FALSE))</f>
        <v>1.3</v>
      </c>
      <c r="H68" s="204">
        <v>4</v>
      </c>
      <c r="I68" s="208">
        <f t="shared" si="6"/>
        <v>0.10619999999999999</v>
      </c>
      <c r="J68" s="208">
        <f t="shared" si="6"/>
        <v>0.19109999999999999</v>
      </c>
      <c r="K68" s="208">
        <f t="shared" si="6"/>
        <v>0.16320000000000001</v>
      </c>
      <c r="L68" s="208">
        <f t="shared" si="6"/>
        <v>0.10060000000000001</v>
      </c>
      <c r="M68" s="209" t="str">
        <f t="shared" si="6"/>
        <v/>
      </c>
      <c r="N68" s="256">
        <f t="shared" si="7"/>
        <v>13884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5.8800000000000008</v>
      </c>
      <c r="C69" s="213">
        <f>SUM(C65:C68)</f>
        <v>8.84</v>
      </c>
      <c r="D69" s="213">
        <f>SUM(D65:D68)</f>
        <v>9.1999999999999993</v>
      </c>
      <c r="E69" s="213">
        <f>SUM(E65:E68)</f>
        <v>7.24</v>
      </c>
      <c r="F69" s="213">
        <f>SUM(F65:F68)</f>
        <v>10.510286351629398</v>
      </c>
      <c r="G69" s="257">
        <f>_xlfn.FORECAST.ETS(23,B146:W146,{1,2,3,4,5,6,7,8,9,10,11,12,13,14,15,16,17,18,19,20,21,22})</f>
        <v>26.731054683634</v>
      </c>
      <c r="H69" s="214" t="s">
        <v>19</v>
      </c>
      <c r="I69" s="215">
        <f>HLOOKUP(I64,151:155,3,FALSE)/100</f>
        <v>0.115</v>
      </c>
      <c r="J69" s="215">
        <f>HLOOKUP(J64,151:155,3,FALSE)/100</f>
        <v>0.14449999999999999</v>
      </c>
      <c r="K69" s="215">
        <f>HLOOKUP(K64,151:155,3,FALSE)/100</f>
        <v>0.14499999999999999</v>
      </c>
      <c r="L69" s="215">
        <f>IF(ISNA(HLOOKUP(L64,151:155,3,FALSE)/100),AVERAGE(L65:L68),HLOOKUP(L64,151:155,3,FALSE)/100)</f>
        <v>0.11849999999999999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7.08</v>
      </c>
      <c r="C72" s="205">
        <f t="shared" si="8"/>
        <v>5.63</v>
      </c>
      <c r="D72" s="205">
        <f t="shared" si="8"/>
        <v>4.76</v>
      </c>
      <c r="E72" s="205">
        <f t="shared" si="8"/>
        <v>4.82</v>
      </c>
      <c r="F72" s="205">
        <f t="shared" si="8"/>
        <v>3.16</v>
      </c>
    </row>
    <row r="73" spans="1:71" s="135" customFormat="1" x14ac:dyDescent="0.25">
      <c r="A73" s="204">
        <v>2</v>
      </c>
      <c r="B73" s="205">
        <f t="shared" si="8"/>
        <v>6.33</v>
      </c>
      <c r="C73" s="205">
        <f t="shared" si="8"/>
        <v>6.85</v>
      </c>
      <c r="D73" s="205">
        <f t="shared" si="8"/>
        <v>4.91</v>
      </c>
      <c r="E73" s="205">
        <f t="shared" si="8"/>
        <v>3.35</v>
      </c>
      <c r="F73" s="205">
        <f t="shared" si="8"/>
        <v>6.49</v>
      </c>
    </row>
    <row r="74" spans="1:71" s="135" customFormat="1" x14ac:dyDescent="0.25">
      <c r="A74" s="204">
        <v>3</v>
      </c>
      <c r="B74" s="205">
        <f t="shared" si="8"/>
        <v>5.21</v>
      </c>
      <c r="C74" s="205">
        <f t="shared" si="8"/>
        <v>7.32</v>
      </c>
      <c r="D74" s="205">
        <f t="shared" si="8"/>
        <v>7.96</v>
      </c>
      <c r="E74" s="205">
        <f t="shared" si="8"/>
        <v>3.85</v>
      </c>
      <c r="F74" s="205">
        <f t="shared" si="8"/>
        <v>8.7100000000000009</v>
      </c>
    </row>
    <row r="75" spans="1:71" s="135" customFormat="1" x14ac:dyDescent="0.25">
      <c r="A75" s="204">
        <v>4</v>
      </c>
      <c r="B75" s="205">
        <f t="shared" si="8"/>
        <v>4.88</v>
      </c>
      <c r="C75" s="205">
        <f t="shared" si="8"/>
        <v>9.4600000000000009</v>
      </c>
      <c r="D75" s="205">
        <f t="shared" si="8"/>
        <v>6.71</v>
      </c>
      <c r="E75" s="205">
        <f t="shared" si="8"/>
        <v>4.66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23.5</v>
      </c>
      <c r="C76" s="213">
        <f>SUM(C72:C75)</f>
        <v>29.26</v>
      </c>
      <c r="D76" s="213">
        <f>SUM(D72:D75)</f>
        <v>24.34</v>
      </c>
      <c r="E76" s="213">
        <f>AVERAGE(E72:E75)*4</f>
        <v>16.68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72" t="s">
        <v>43</v>
      </c>
      <c r="C79" s="72" t="s">
        <v>43</v>
      </c>
      <c r="D79" s="72" t="s">
        <v>43</v>
      </c>
      <c r="E79" s="72" t="s">
        <v>43</v>
      </c>
      <c r="F79" s="72" t="s">
        <v>43</v>
      </c>
      <c r="G79" s="72" t="s">
        <v>43</v>
      </c>
      <c r="H79" s="72" t="s">
        <v>43</v>
      </c>
      <c r="I79" s="270">
        <v>184798</v>
      </c>
      <c r="J79" s="270">
        <v>150186</v>
      </c>
      <c r="K79" s="270">
        <v>152321</v>
      </c>
      <c r="L79" s="270">
        <v>178005</v>
      </c>
      <c r="M79" s="270">
        <v>150648</v>
      </c>
      <c r="N79" s="270">
        <v>208438</v>
      </c>
      <c r="O79" s="270">
        <v>160407</v>
      </c>
      <c r="P79" s="270">
        <v>229704</v>
      </c>
      <c r="Q79" s="270">
        <v>230260</v>
      </c>
      <c r="R79" s="270">
        <v>252508</v>
      </c>
      <c r="S79" s="270">
        <v>250911</v>
      </c>
      <c r="T79" s="270">
        <v>261294</v>
      </c>
      <c r="U79" s="270">
        <v>240962</v>
      </c>
      <c r="V79" s="270">
        <v>255870</v>
      </c>
      <c r="W79" s="270">
        <v>255213</v>
      </c>
      <c r="X79" s="270">
        <v>248670</v>
      </c>
      <c r="Y79" s="270">
        <v>203023</v>
      </c>
      <c r="Z79" s="270">
        <v>257092</v>
      </c>
      <c r="AA79" s="270">
        <v>217645</v>
      </c>
      <c r="AB79" s="270">
        <v>267440</v>
      </c>
      <c r="AC79" s="270">
        <v>246310</v>
      </c>
      <c r="AD79" s="270">
        <v>274690</v>
      </c>
      <c r="AE79" s="270">
        <v>300767</v>
      </c>
      <c r="AF79" s="270">
        <v>344726</v>
      </c>
      <c r="AG79" s="270">
        <v>298166</v>
      </c>
      <c r="AH79" s="270">
        <v>307410</v>
      </c>
      <c r="AI79" s="270">
        <v>378097</v>
      </c>
      <c r="AJ79" s="270">
        <v>340808</v>
      </c>
      <c r="AK79" s="270">
        <v>296604</v>
      </c>
      <c r="AL79" s="270">
        <v>361562</v>
      </c>
      <c r="AM79" s="270">
        <v>260854</v>
      </c>
      <c r="AN79" s="270">
        <v>353999</v>
      </c>
      <c r="AO79" s="270">
        <v>335668</v>
      </c>
      <c r="AP79" s="270">
        <v>403862</v>
      </c>
      <c r="AQ79" s="270">
        <v>312320</v>
      </c>
      <c r="AR79" s="270">
        <v>383817</v>
      </c>
      <c r="AS79" s="270">
        <v>411680</v>
      </c>
      <c r="AT79" s="270">
        <v>403075</v>
      </c>
      <c r="AU79" s="270">
        <v>371324</v>
      </c>
      <c r="AV79" s="270">
        <v>395674</v>
      </c>
      <c r="AW79" s="270">
        <v>392148</v>
      </c>
      <c r="AX79" s="270">
        <v>380877</v>
      </c>
      <c r="AY79" s="270">
        <v>289033</v>
      </c>
      <c r="AZ79" s="270">
        <v>422202</v>
      </c>
      <c r="BA79" s="270">
        <v>328552</v>
      </c>
      <c r="BB79" s="270">
        <v>376025</v>
      </c>
      <c r="BC79" s="270">
        <v>343701</v>
      </c>
      <c r="BD79" s="270">
        <v>387792</v>
      </c>
      <c r="BE79" s="270">
        <v>416802</v>
      </c>
      <c r="BF79" s="270">
        <v>375043</v>
      </c>
      <c r="BG79" s="270">
        <v>467912</v>
      </c>
      <c r="BH79" s="270">
        <v>441315</v>
      </c>
      <c r="BI79" s="270">
        <v>416302</v>
      </c>
      <c r="BJ79" s="270">
        <v>445621</v>
      </c>
      <c r="BK79" s="270">
        <v>436274</v>
      </c>
      <c r="BL79" s="270">
        <v>522458</v>
      </c>
      <c r="BM79" s="270">
        <v>546423</v>
      </c>
      <c r="BN79" s="270">
        <v>543639</v>
      </c>
      <c r="BO79" s="270">
        <v>543561</v>
      </c>
      <c r="BP79" s="270">
        <v>555802</v>
      </c>
      <c r="BQ79" s="270">
        <v>553509</v>
      </c>
      <c r="BR79" s="270">
        <v>557082</v>
      </c>
      <c r="BS79" s="270">
        <v>613594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 t="s">
        <v>43</v>
      </c>
      <c r="C82" s="72" t="s">
        <v>43</v>
      </c>
      <c r="D82" s="72" t="s">
        <v>43</v>
      </c>
      <c r="E82" s="72">
        <v>1.4</v>
      </c>
      <c r="F82" s="72">
        <v>1.74</v>
      </c>
      <c r="G82" s="72">
        <v>1.57</v>
      </c>
      <c r="H82" s="72">
        <v>1.22</v>
      </c>
      <c r="I82" s="72">
        <v>1.35</v>
      </c>
      <c r="J82" s="72">
        <v>1.67</v>
      </c>
      <c r="K82" s="72">
        <v>2.0499999999999998</v>
      </c>
      <c r="L82" s="72">
        <v>2.0699999999999998</v>
      </c>
      <c r="M82" s="72">
        <v>3.05</v>
      </c>
      <c r="N82" s="72">
        <v>1.84</v>
      </c>
      <c r="O82" s="72">
        <v>1.91</v>
      </c>
      <c r="P82" s="72">
        <v>2.84</v>
      </c>
      <c r="Q82" s="72">
        <v>2.61</v>
      </c>
      <c r="R82" s="72">
        <v>2.04</v>
      </c>
      <c r="S82" s="72">
        <v>1.5</v>
      </c>
      <c r="T82" s="72">
        <v>1.63</v>
      </c>
      <c r="U82" s="72">
        <v>2.0699999999999998</v>
      </c>
      <c r="V82" s="72">
        <v>1.62</v>
      </c>
      <c r="W82" s="72">
        <v>2.88</v>
      </c>
      <c r="X82" s="72">
        <v>3.39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 t="s">
        <v>43</v>
      </c>
      <c r="C85" s="72" t="s">
        <v>43</v>
      </c>
      <c r="D85" s="72" t="s">
        <v>43</v>
      </c>
      <c r="E85" s="72">
        <v>23.69</v>
      </c>
      <c r="F85" s="72">
        <v>25.44</v>
      </c>
      <c r="G85" s="72">
        <v>24.02</v>
      </c>
      <c r="H85" s="72">
        <v>24.07</v>
      </c>
      <c r="I85" s="72">
        <v>28.81</v>
      </c>
      <c r="J85" s="72">
        <v>30.53</v>
      </c>
      <c r="K85" s="72">
        <v>29.39</v>
      </c>
      <c r="L85" s="72">
        <v>29.36</v>
      </c>
      <c r="M85" s="72">
        <v>32.72</v>
      </c>
      <c r="N85" s="72">
        <v>34.58</v>
      </c>
      <c r="O85" s="72">
        <v>32.01</v>
      </c>
      <c r="P85" s="72">
        <v>33.479999999999997</v>
      </c>
      <c r="Q85" s="72">
        <v>36.409999999999997</v>
      </c>
      <c r="R85" s="72">
        <v>38.58</v>
      </c>
      <c r="S85" s="72">
        <v>35.64</v>
      </c>
      <c r="T85" s="72">
        <v>35.58</v>
      </c>
      <c r="U85" s="72">
        <v>37.85</v>
      </c>
      <c r="V85" s="72">
        <v>39.47</v>
      </c>
      <c r="W85" s="72">
        <v>38.42</v>
      </c>
      <c r="X85" s="72">
        <v>41.42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653966</v>
      </c>
      <c r="C88" s="273">
        <v>586481</v>
      </c>
      <c r="D88" s="273">
        <v>577257</v>
      </c>
      <c r="E88" s="273">
        <v>553191</v>
      </c>
      <c r="F88" s="273">
        <v>597743</v>
      </c>
      <c r="G88" s="273">
        <v>733355</v>
      </c>
      <c r="H88" s="273">
        <v>758767</v>
      </c>
      <c r="I88" s="273">
        <v>706939</v>
      </c>
      <c r="J88" s="273">
        <v>742178</v>
      </c>
      <c r="K88" s="273">
        <v>821698</v>
      </c>
      <c r="L88" s="273">
        <v>950314</v>
      </c>
      <c r="M88" s="273">
        <v>1015495</v>
      </c>
      <c r="N88" s="273">
        <v>976415</v>
      </c>
      <c r="O88" s="273">
        <v>1051852</v>
      </c>
      <c r="P88" s="273">
        <v>1198571</v>
      </c>
      <c r="Q88" s="273">
        <v>1159147</v>
      </c>
      <c r="R88" s="273">
        <v>1092112</v>
      </c>
      <c r="S88" s="273">
        <v>1048276</v>
      </c>
      <c r="T88" s="273">
        <v>1179637</v>
      </c>
      <c r="U88" s="273">
        <v>1325501</v>
      </c>
      <c r="V88" s="273">
        <v>1404353</v>
      </c>
      <c r="W88" s="273">
        <v>1634038</v>
      </c>
      <c r="X88" s="273">
        <v>1665978</v>
      </c>
    </row>
    <row r="89" spans="1:25" ht="14.25" thickBot="1" x14ac:dyDescent="0.3">
      <c r="A89" s="250" t="s">
        <v>4</v>
      </c>
      <c r="B89" s="275">
        <v>178586</v>
      </c>
      <c r="C89" s="275">
        <v>149453</v>
      </c>
      <c r="D89" s="275">
        <v>149977</v>
      </c>
      <c r="E89" s="275">
        <v>152502</v>
      </c>
      <c r="F89" s="275">
        <v>172870</v>
      </c>
      <c r="G89" s="275">
        <v>187297</v>
      </c>
      <c r="H89" s="275">
        <v>167584</v>
      </c>
      <c r="I89" s="275">
        <v>187680</v>
      </c>
      <c r="J89" s="275">
        <v>209316</v>
      </c>
      <c r="K89" s="275">
        <v>203336</v>
      </c>
      <c r="L89" s="275">
        <v>265465</v>
      </c>
      <c r="M89" s="275">
        <v>312679</v>
      </c>
      <c r="N89" s="275">
        <v>270248</v>
      </c>
      <c r="O89" s="275">
        <v>281812</v>
      </c>
      <c r="P89" s="275">
        <v>326676</v>
      </c>
      <c r="Q89" s="275">
        <v>329774</v>
      </c>
      <c r="R89" s="275">
        <v>322635</v>
      </c>
      <c r="S89" s="275">
        <v>292277</v>
      </c>
      <c r="T89" s="275">
        <v>325937</v>
      </c>
      <c r="U89" s="275">
        <v>323475</v>
      </c>
      <c r="V89" s="275">
        <v>353253</v>
      </c>
      <c r="W89" s="275">
        <v>439126</v>
      </c>
      <c r="X89" s="275">
        <v>500594</v>
      </c>
    </row>
    <row r="90" spans="1:25" ht="14.25" thickBot="1" x14ac:dyDescent="0.3">
      <c r="A90" s="251" t="s">
        <v>5</v>
      </c>
      <c r="B90" s="68"/>
      <c r="C90" s="68"/>
      <c r="D90" s="68"/>
      <c r="E90" s="273">
        <v>75483</v>
      </c>
      <c r="F90" s="273">
        <v>83511</v>
      </c>
      <c r="G90" s="273">
        <v>86571</v>
      </c>
      <c r="H90" s="273">
        <v>76400</v>
      </c>
      <c r="I90" s="273">
        <v>75102</v>
      </c>
      <c r="J90" s="273">
        <v>93717</v>
      </c>
      <c r="K90" s="273">
        <v>80046</v>
      </c>
      <c r="L90" s="273">
        <v>142257</v>
      </c>
      <c r="M90" s="273">
        <v>194040</v>
      </c>
      <c r="N90" s="273">
        <v>131797</v>
      </c>
      <c r="O90" s="273">
        <v>142081</v>
      </c>
      <c r="P90" s="273">
        <v>173062</v>
      </c>
      <c r="Q90" s="273">
        <v>189134</v>
      </c>
      <c r="R90" s="273">
        <v>154089</v>
      </c>
      <c r="S90" s="273">
        <v>121714</v>
      </c>
      <c r="T90" s="273">
        <v>141466</v>
      </c>
      <c r="U90" s="273">
        <v>133379</v>
      </c>
      <c r="V90" s="273">
        <v>163714</v>
      </c>
      <c r="W90" s="273">
        <v>230482</v>
      </c>
      <c r="X90" s="273">
        <v>304527</v>
      </c>
    </row>
    <row r="91" spans="1:25" ht="14.25" thickBot="1" x14ac:dyDescent="0.3">
      <c r="A91" s="250" t="s">
        <v>6</v>
      </c>
      <c r="B91" s="275">
        <v>89757</v>
      </c>
      <c r="C91" s="275">
        <v>58289</v>
      </c>
      <c r="D91" s="275">
        <v>56723</v>
      </c>
      <c r="E91" s="275">
        <v>83258</v>
      </c>
      <c r="F91" s="275">
        <v>98030</v>
      </c>
      <c r="G91" s="275">
        <v>94225</v>
      </c>
      <c r="H91" s="275">
        <v>75326</v>
      </c>
      <c r="I91" s="275">
        <v>78679</v>
      </c>
      <c r="J91" s="275">
        <v>106983</v>
      </c>
      <c r="K91" s="275">
        <v>135051</v>
      </c>
      <c r="L91" s="275">
        <v>151436</v>
      </c>
      <c r="M91" s="275">
        <v>222148</v>
      </c>
      <c r="N91" s="275">
        <v>124535</v>
      </c>
      <c r="O91" s="275">
        <v>139898</v>
      </c>
      <c r="P91" s="275">
        <v>213720</v>
      </c>
      <c r="Q91" s="275">
        <v>187168</v>
      </c>
      <c r="R91" s="275">
        <v>144520</v>
      </c>
      <c r="S91" s="275">
        <v>117945</v>
      </c>
      <c r="T91" s="275">
        <v>121918</v>
      </c>
      <c r="U91" s="275">
        <v>147263</v>
      </c>
      <c r="V91" s="275">
        <v>114787</v>
      </c>
      <c r="W91" s="275">
        <v>235512</v>
      </c>
      <c r="X91" s="275">
        <v>294827</v>
      </c>
    </row>
    <row r="92" spans="1:25" ht="14.25" thickBot="1" x14ac:dyDescent="0.3">
      <c r="A92" s="251" t="s">
        <v>7</v>
      </c>
      <c r="B92" s="273">
        <v>76735</v>
      </c>
      <c r="C92" s="273">
        <v>48534</v>
      </c>
      <c r="D92" s="273">
        <v>49930</v>
      </c>
      <c r="E92" s="273">
        <v>64997</v>
      </c>
      <c r="F92" s="273">
        <v>82602</v>
      </c>
      <c r="G92" s="273">
        <v>74305</v>
      </c>
      <c r="H92" s="273">
        <v>60902</v>
      </c>
      <c r="I92" s="273">
        <v>67814</v>
      </c>
      <c r="J92" s="273">
        <v>91566</v>
      </c>
      <c r="K92" s="273">
        <v>112500</v>
      </c>
      <c r="L92" s="273">
        <v>122618</v>
      </c>
      <c r="M92" s="273">
        <v>179757</v>
      </c>
      <c r="N92" s="273">
        <v>100539</v>
      </c>
      <c r="O92" s="273">
        <v>102241</v>
      </c>
      <c r="P92" s="273">
        <v>166125</v>
      </c>
      <c r="Q92" s="273">
        <v>151779</v>
      </c>
      <c r="R92" s="273">
        <v>116714</v>
      </c>
      <c r="S92" s="273">
        <v>80251</v>
      </c>
      <c r="T92" s="273">
        <v>90723</v>
      </c>
      <c r="U92" s="273">
        <v>118196</v>
      </c>
      <c r="V92" s="273">
        <v>85395</v>
      </c>
      <c r="W92" s="273">
        <v>172641</v>
      </c>
      <c r="X92" s="273">
        <v>241808</v>
      </c>
    </row>
    <row r="93" spans="1:25" ht="26.25" thickBot="1" x14ac:dyDescent="0.3">
      <c r="A93" s="252" t="s">
        <v>8</v>
      </c>
      <c r="B93" s="73" t="s">
        <v>43</v>
      </c>
      <c r="C93" s="73" t="s">
        <v>43</v>
      </c>
      <c r="D93" s="73" t="s">
        <v>43</v>
      </c>
      <c r="E93" s="73" t="s">
        <v>43</v>
      </c>
      <c r="F93" s="276">
        <v>82602</v>
      </c>
      <c r="G93" s="276">
        <v>74305</v>
      </c>
      <c r="H93" s="276">
        <v>60902</v>
      </c>
      <c r="I93" s="276">
        <v>67853</v>
      </c>
      <c r="J93" s="276">
        <v>91616</v>
      </c>
      <c r="K93" s="276">
        <v>112551</v>
      </c>
      <c r="L93" s="276">
        <v>122664</v>
      </c>
      <c r="M93" s="276">
        <v>180478</v>
      </c>
      <c r="N93" s="276">
        <v>109153</v>
      </c>
      <c r="O93" s="276">
        <v>112805</v>
      </c>
      <c r="P93" s="276">
        <v>176441</v>
      </c>
      <c r="Q93" s="276">
        <v>162123</v>
      </c>
      <c r="R93" s="276">
        <v>126841</v>
      </c>
      <c r="S93" s="276">
        <v>93726</v>
      </c>
      <c r="T93" s="276">
        <v>106972</v>
      </c>
      <c r="U93" s="276">
        <v>136043</v>
      </c>
      <c r="V93" s="276">
        <v>107169</v>
      </c>
      <c r="W93" s="276">
        <v>191292</v>
      </c>
      <c r="X93" s="276">
        <v>239578</v>
      </c>
    </row>
    <row r="94" spans="1:25" x14ac:dyDescent="0.25">
      <c r="A94" s="233" t="s">
        <v>365</v>
      </c>
      <c r="B94" s="253">
        <f>IF(B91="","",B91-B90)</f>
        <v>89757</v>
      </c>
      <c r="C94" s="253">
        <f>IF(C91="","",C91-C90)</f>
        <v>58289</v>
      </c>
      <c r="D94" s="253">
        <f t="shared" ref="D94:Y94" si="9">IF(D91="","",D91-D90)</f>
        <v>56723</v>
      </c>
      <c r="E94" s="253">
        <f t="shared" si="9"/>
        <v>7775</v>
      </c>
      <c r="F94" s="253">
        <f t="shared" si="9"/>
        <v>14519</v>
      </c>
      <c r="G94" s="253">
        <f t="shared" si="9"/>
        <v>7654</v>
      </c>
      <c r="H94" s="253">
        <f t="shared" si="9"/>
        <v>-1074</v>
      </c>
      <c r="I94" s="253">
        <f t="shared" si="9"/>
        <v>3577</v>
      </c>
      <c r="J94" s="253">
        <f t="shared" si="9"/>
        <v>13266</v>
      </c>
      <c r="K94" s="253">
        <f t="shared" si="9"/>
        <v>55005</v>
      </c>
      <c r="L94" s="253">
        <f t="shared" si="9"/>
        <v>9179</v>
      </c>
      <c r="M94" s="253">
        <f t="shared" si="9"/>
        <v>28108</v>
      </c>
      <c r="N94" s="253">
        <f t="shared" si="9"/>
        <v>-7262</v>
      </c>
      <c r="O94" s="253">
        <f t="shared" si="9"/>
        <v>-2183</v>
      </c>
      <c r="P94" s="253">
        <f t="shared" si="9"/>
        <v>40658</v>
      </c>
      <c r="Q94" s="253">
        <f t="shared" si="9"/>
        <v>-1966</v>
      </c>
      <c r="R94" s="253">
        <f t="shared" si="9"/>
        <v>-9569</v>
      </c>
      <c r="S94" s="253">
        <f t="shared" si="9"/>
        <v>-3769</v>
      </c>
      <c r="T94" s="253">
        <f t="shared" si="9"/>
        <v>-19548</v>
      </c>
      <c r="U94" s="253">
        <f t="shared" si="9"/>
        <v>13884</v>
      </c>
      <c r="V94" s="253">
        <f t="shared" si="9"/>
        <v>-48927</v>
      </c>
      <c r="W94" s="253">
        <f t="shared" si="9"/>
        <v>5030</v>
      </c>
      <c r="X94" s="253">
        <f t="shared" si="9"/>
        <v>-9700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2370895</v>
      </c>
      <c r="C97" s="273">
        <v>2796804</v>
      </c>
      <c r="D97" s="273">
        <v>3529685</v>
      </c>
      <c r="E97" s="273">
        <v>4385985</v>
      </c>
      <c r="F97" s="273">
        <v>4645526</v>
      </c>
    </row>
    <row r="98" spans="1:24" ht="14.25" thickBot="1" x14ac:dyDescent="0.3">
      <c r="A98" s="225" t="s">
        <v>4</v>
      </c>
      <c r="B98" s="275">
        <v>630518</v>
      </c>
      <c r="C98" s="275">
        <v>715431</v>
      </c>
      <c r="D98" s="275">
        <v>990796</v>
      </c>
      <c r="E98" s="275">
        <v>1208510</v>
      </c>
      <c r="F98" s="275">
        <v>1264324</v>
      </c>
    </row>
    <row r="99" spans="1:24" ht="14.25" thickBot="1" x14ac:dyDescent="0.3">
      <c r="A99" s="224" t="s">
        <v>5</v>
      </c>
      <c r="B99" s="273">
        <v>265574</v>
      </c>
      <c r="C99" s="273">
        <v>321584</v>
      </c>
      <c r="D99" s="273">
        <v>510060</v>
      </c>
      <c r="E99" s="273">
        <v>636074</v>
      </c>
      <c r="F99" s="273">
        <v>550648</v>
      </c>
    </row>
    <row r="100" spans="1:24" ht="14.25" thickBot="1" x14ac:dyDescent="0.3">
      <c r="A100" s="225" t="s">
        <v>6</v>
      </c>
      <c r="B100" s="275">
        <v>288027</v>
      </c>
      <c r="C100" s="275">
        <v>346260</v>
      </c>
      <c r="D100" s="275">
        <v>615618</v>
      </c>
      <c r="E100" s="275">
        <v>665321</v>
      </c>
      <c r="F100" s="275">
        <v>531646</v>
      </c>
    </row>
    <row r="101" spans="1:24" ht="14.25" thickBot="1" x14ac:dyDescent="0.3">
      <c r="A101" s="224" t="s">
        <v>7</v>
      </c>
      <c r="B101" s="273">
        <v>240196</v>
      </c>
      <c r="C101" s="273">
        <v>285623</v>
      </c>
      <c r="D101" s="273">
        <v>506441</v>
      </c>
      <c r="E101" s="273">
        <v>520684</v>
      </c>
      <c r="F101" s="273">
        <v>405884</v>
      </c>
    </row>
    <row r="102" spans="1:24" ht="14.25" thickBot="1" x14ac:dyDescent="0.3">
      <c r="A102" s="227" t="s">
        <v>8</v>
      </c>
      <c r="B102" s="276">
        <v>240196</v>
      </c>
      <c r="C102" s="276">
        <v>285662</v>
      </c>
      <c r="D102" s="276">
        <v>507310</v>
      </c>
      <c r="E102" s="276">
        <v>560522</v>
      </c>
      <c r="F102" s="276">
        <v>463582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1.0001365436256884</v>
      </c>
      <c r="D103" s="234">
        <f>IF(OR(D102="",D102="無"),"",D102/D101)</f>
        <v>1.001715895829919</v>
      </c>
      <c r="E103" s="234">
        <f>IF(OR(E102="",E102="無"),"",E102/E101)</f>
        <v>1.0765108972044464</v>
      </c>
      <c r="F103" s="234">
        <f>IF(OR(F102="",F102="無"),"",F102/F101)</f>
        <v>1.142153915897153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496442</v>
      </c>
      <c r="C106" s="273">
        <v>362560</v>
      </c>
      <c r="D106" s="273">
        <v>401289</v>
      </c>
      <c r="E106" s="273">
        <v>481777</v>
      </c>
      <c r="F106" s="273">
        <v>455948</v>
      </c>
      <c r="G106" s="273">
        <v>464305</v>
      </c>
      <c r="H106" s="273">
        <v>254365</v>
      </c>
      <c r="I106" s="273">
        <v>242481</v>
      </c>
      <c r="J106" s="273">
        <v>199387</v>
      </c>
      <c r="K106" s="273">
        <v>293935</v>
      </c>
      <c r="L106" s="273">
        <v>259731</v>
      </c>
      <c r="M106" s="273">
        <v>446129</v>
      </c>
      <c r="N106" s="273">
        <v>339285</v>
      </c>
      <c r="O106" s="273">
        <v>505702</v>
      </c>
      <c r="P106" s="273">
        <v>379828</v>
      </c>
      <c r="Q106" s="273">
        <v>1034508</v>
      </c>
      <c r="R106" s="273">
        <v>1196478</v>
      </c>
      <c r="S106" s="273">
        <v>1050596</v>
      </c>
      <c r="T106" s="273">
        <v>902415</v>
      </c>
      <c r="U106" s="273">
        <v>1291484</v>
      </c>
      <c r="V106" s="273">
        <v>1081311</v>
      </c>
      <c r="W106" s="273">
        <v>1050938</v>
      </c>
      <c r="X106" s="273">
        <v>1105098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5">
        <v>90050</v>
      </c>
      <c r="F107" s="275">
        <v>70145</v>
      </c>
      <c r="G107" s="275">
        <v>70252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5">
        <v>80023</v>
      </c>
      <c r="O107" s="275">
        <v>20039</v>
      </c>
      <c r="P107" s="275">
        <v>20015</v>
      </c>
      <c r="Q107" s="275">
        <v>20040</v>
      </c>
      <c r="R107" s="275">
        <v>20059</v>
      </c>
      <c r="S107" s="275">
        <v>133661</v>
      </c>
      <c r="T107" s="275">
        <v>46074</v>
      </c>
      <c r="U107" s="275">
        <v>22051</v>
      </c>
      <c r="V107" s="275">
        <v>22070</v>
      </c>
      <c r="W107" s="274">
        <v>0</v>
      </c>
      <c r="X107" s="274">
        <v>95</v>
      </c>
    </row>
    <row r="108" spans="1:24" ht="14.25" thickBot="1" x14ac:dyDescent="0.3">
      <c r="A108" s="224" t="s">
        <v>263</v>
      </c>
      <c r="B108" s="68">
        <v>0</v>
      </c>
      <c r="C108" s="68">
        <v>0</v>
      </c>
      <c r="D108" s="68">
        <v>0</v>
      </c>
      <c r="E108" s="273">
        <v>206666</v>
      </c>
      <c r="F108" s="273">
        <v>291493</v>
      </c>
      <c r="G108" s="273">
        <v>346074</v>
      </c>
      <c r="H108" s="273">
        <v>369588</v>
      </c>
      <c r="I108" s="273">
        <v>339293</v>
      </c>
      <c r="J108" s="273">
        <v>379268</v>
      </c>
      <c r="K108" s="273">
        <v>434499</v>
      </c>
      <c r="L108" s="273">
        <v>520812</v>
      </c>
      <c r="M108" s="273">
        <v>467635</v>
      </c>
      <c r="N108" s="273">
        <v>558407</v>
      </c>
      <c r="O108" s="273">
        <v>617437</v>
      </c>
      <c r="P108" s="273">
        <v>701407</v>
      </c>
      <c r="Q108" s="273">
        <v>616215</v>
      </c>
      <c r="R108" s="273">
        <v>582183</v>
      </c>
      <c r="S108" s="273">
        <v>595834</v>
      </c>
      <c r="T108" s="273">
        <v>668523</v>
      </c>
      <c r="U108" s="273">
        <v>768381</v>
      </c>
      <c r="V108" s="273">
        <v>775382</v>
      </c>
      <c r="W108" s="273">
        <v>963689</v>
      </c>
      <c r="X108" s="273">
        <v>897583</v>
      </c>
    </row>
    <row r="109" spans="1:24" ht="14.25" thickBot="1" x14ac:dyDescent="0.3">
      <c r="A109" s="225" t="s">
        <v>264</v>
      </c>
      <c r="B109" s="275">
        <v>349995</v>
      </c>
      <c r="C109" s="275">
        <v>438584</v>
      </c>
      <c r="D109" s="275">
        <v>398102</v>
      </c>
      <c r="E109" s="275">
        <v>302479</v>
      </c>
      <c r="F109" s="275">
        <v>369937</v>
      </c>
      <c r="G109" s="275">
        <v>489426</v>
      </c>
      <c r="H109" s="275">
        <v>411845</v>
      </c>
      <c r="I109" s="275">
        <v>389679</v>
      </c>
      <c r="J109" s="275">
        <v>535109</v>
      </c>
      <c r="K109" s="275">
        <v>503959</v>
      </c>
      <c r="L109" s="275">
        <v>643243</v>
      </c>
      <c r="M109" s="275">
        <v>599503</v>
      </c>
      <c r="N109" s="275">
        <v>563923</v>
      </c>
      <c r="O109" s="275">
        <v>585883</v>
      </c>
      <c r="P109" s="275">
        <v>584785</v>
      </c>
      <c r="Q109" s="275">
        <v>644997</v>
      </c>
      <c r="R109" s="275">
        <v>689225</v>
      </c>
      <c r="S109" s="275">
        <v>634865</v>
      </c>
      <c r="T109" s="275">
        <v>778535</v>
      </c>
      <c r="U109" s="275">
        <v>887354</v>
      </c>
      <c r="V109" s="275">
        <v>949915</v>
      </c>
      <c r="W109" s="275">
        <v>756498</v>
      </c>
      <c r="X109" s="275">
        <v>1033971</v>
      </c>
    </row>
    <row r="110" spans="1:24" ht="14.25" thickBot="1" x14ac:dyDescent="0.3">
      <c r="A110" s="224" t="s">
        <v>23</v>
      </c>
      <c r="B110" s="273">
        <v>295462</v>
      </c>
      <c r="C110" s="273">
        <v>272975</v>
      </c>
      <c r="D110" s="273">
        <v>277715</v>
      </c>
      <c r="E110" s="273">
        <v>33834</v>
      </c>
      <c r="F110" s="273">
        <v>32713</v>
      </c>
      <c r="G110" s="273">
        <v>45400</v>
      </c>
      <c r="H110" s="273">
        <v>30695</v>
      </c>
      <c r="I110" s="273">
        <v>21006</v>
      </c>
      <c r="J110" s="273">
        <v>39439</v>
      </c>
      <c r="K110" s="273">
        <v>33275</v>
      </c>
      <c r="L110" s="273">
        <v>40506</v>
      </c>
      <c r="M110" s="273">
        <v>32046</v>
      </c>
      <c r="N110" s="273">
        <v>141329</v>
      </c>
      <c r="O110" s="273">
        <v>128637</v>
      </c>
      <c r="P110" s="273">
        <v>144436</v>
      </c>
      <c r="Q110" s="273">
        <v>51383</v>
      </c>
      <c r="R110" s="273">
        <v>52108</v>
      </c>
      <c r="S110" s="273">
        <v>43052</v>
      </c>
      <c r="T110" s="273">
        <v>67621</v>
      </c>
      <c r="U110" s="273">
        <v>60708</v>
      </c>
      <c r="V110" s="273">
        <v>72238</v>
      </c>
      <c r="W110" s="273">
        <v>47483</v>
      </c>
      <c r="X110" s="273">
        <v>76910</v>
      </c>
    </row>
    <row r="111" spans="1:24" ht="14.25" thickBot="1" x14ac:dyDescent="0.3">
      <c r="A111" s="225" t="s">
        <v>24</v>
      </c>
      <c r="B111" s="275">
        <v>1141899</v>
      </c>
      <c r="C111" s="275">
        <v>1074119</v>
      </c>
      <c r="D111" s="275">
        <v>1077106</v>
      </c>
      <c r="E111" s="275">
        <v>1114806</v>
      </c>
      <c r="F111" s="275">
        <v>1220236</v>
      </c>
      <c r="G111" s="275">
        <v>1415457</v>
      </c>
      <c r="H111" s="275">
        <v>1066493</v>
      </c>
      <c r="I111" s="275">
        <v>992459</v>
      </c>
      <c r="J111" s="275">
        <v>1153203</v>
      </c>
      <c r="K111" s="275">
        <v>1265668</v>
      </c>
      <c r="L111" s="275">
        <v>1464292</v>
      </c>
      <c r="M111" s="275">
        <v>1545313</v>
      </c>
      <c r="N111" s="275">
        <v>1682967</v>
      </c>
      <c r="O111" s="275">
        <v>1857698</v>
      </c>
      <c r="P111" s="275">
        <v>1830471</v>
      </c>
      <c r="Q111" s="275">
        <v>2367143</v>
      </c>
      <c r="R111" s="275">
        <v>2540053</v>
      </c>
      <c r="S111" s="275">
        <v>2458008</v>
      </c>
      <c r="T111" s="275">
        <v>2463168</v>
      </c>
      <c r="U111" s="275">
        <v>3029978</v>
      </c>
      <c r="V111" s="275">
        <v>2900916</v>
      </c>
      <c r="W111" s="275">
        <v>2818608</v>
      </c>
      <c r="X111" s="275">
        <v>3113657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273">
        <v>22104</v>
      </c>
      <c r="P112" s="273">
        <v>21443</v>
      </c>
      <c r="Q112" s="273">
        <v>20368</v>
      </c>
      <c r="R112" s="273">
        <v>18452</v>
      </c>
      <c r="S112" s="273">
        <v>17344</v>
      </c>
      <c r="T112" s="273">
        <v>16212</v>
      </c>
      <c r="U112" s="273">
        <v>14086</v>
      </c>
      <c r="V112" s="273">
        <v>13069</v>
      </c>
      <c r="W112" s="273">
        <v>86245</v>
      </c>
      <c r="X112" s="273">
        <v>70409</v>
      </c>
    </row>
    <row r="113" spans="1:24" ht="14.25" thickBot="1" x14ac:dyDescent="0.3">
      <c r="A113" s="225" t="s">
        <v>26</v>
      </c>
      <c r="B113" s="275">
        <v>145860</v>
      </c>
      <c r="C113" s="275">
        <v>147755</v>
      </c>
      <c r="D113" s="275">
        <v>145096</v>
      </c>
      <c r="E113" s="275">
        <v>146073</v>
      </c>
      <c r="F113" s="275">
        <v>144896</v>
      </c>
      <c r="G113" s="275">
        <v>151749</v>
      </c>
      <c r="H113" s="275">
        <v>147081</v>
      </c>
      <c r="I113" s="275">
        <v>933049</v>
      </c>
      <c r="J113" s="275">
        <v>935156</v>
      </c>
      <c r="K113" s="275">
        <v>909104</v>
      </c>
      <c r="L113" s="275">
        <v>907531</v>
      </c>
      <c r="M113" s="275">
        <v>922463</v>
      </c>
      <c r="N113" s="275">
        <v>917610</v>
      </c>
      <c r="O113" s="275">
        <v>913263</v>
      </c>
      <c r="P113" s="275">
        <v>948491</v>
      </c>
      <c r="Q113" s="275">
        <v>943990</v>
      </c>
      <c r="R113" s="275">
        <v>940956</v>
      </c>
      <c r="S113" s="275">
        <v>941177</v>
      </c>
      <c r="T113" s="275">
        <v>1022361</v>
      </c>
      <c r="U113" s="275">
        <v>1023115</v>
      </c>
      <c r="V113" s="275">
        <v>1028238</v>
      </c>
      <c r="W113" s="275">
        <v>948356</v>
      </c>
      <c r="X113" s="275">
        <v>941272</v>
      </c>
    </row>
    <row r="114" spans="1:24" ht="14.25" thickBot="1" x14ac:dyDescent="0.3">
      <c r="A114" s="224" t="s">
        <v>27</v>
      </c>
      <c r="B114" s="273">
        <v>187312</v>
      </c>
      <c r="C114" s="273">
        <v>186611</v>
      </c>
      <c r="D114" s="273">
        <v>180379</v>
      </c>
      <c r="E114" s="273">
        <v>151734</v>
      </c>
      <c r="F114" s="273">
        <v>164534</v>
      </c>
      <c r="G114" s="273">
        <v>151992</v>
      </c>
      <c r="H114" s="273">
        <v>323797</v>
      </c>
      <c r="I114" s="273">
        <v>146507</v>
      </c>
      <c r="J114" s="273">
        <v>154318</v>
      </c>
      <c r="K114" s="273">
        <v>184431</v>
      </c>
      <c r="L114" s="273">
        <v>186067</v>
      </c>
      <c r="M114" s="273">
        <v>173430</v>
      </c>
      <c r="N114" s="273">
        <v>183130</v>
      </c>
      <c r="O114" s="273">
        <v>179971</v>
      </c>
      <c r="P114" s="273">
        <v>227734</v>
      </c>
      <c r="Q114" s="273">
        <v>221721</v>
      </c>
      <c r="R114" s="273">
        <v>226965</v>
      </c>
      <c r="S114" s="273">
        <v>250503</v>
      </c>
      <c r="T114" s="273">
        <v>162939</v>
      </c>
      <c r="U114" s="273">
        <v>161871</v>
      </c>
      <c r="V114" s="273">
        <v>150615</v>
      </c>
      <c r="W114" s="273">
        <v>239034</v>
      </c>
      <c r="X114" s="273">
        <v>320385</v>
      </c>
    </row>
    <row r="115" spans="1:24" ht="14.25" thickBot="1" x14ac:dyDescent="0.3">
      <c r="A115" s="225" t="s">
        <v>265</v>
      </c>
      <c r="B115" s="276">
        <v>1475071</v>
      </c>
      <c r="C115" s="276">
        <v>1408485</v>
      </c>
      <c r="D115" s="276">
        <v>1402581</v>
      </c>
      <c r="E115" s="276">
        <v>1412613</v>
      </c>
      <c r="F115" s="276">
        <v>1529666</v>
      </c>
      <c r="G115" s="276">
        <v>1719198</v>
      </c>
      <c r="H115" s="276">
        <v>1537371</v>
      </c>
      <c r="I115" s="276">
        <v>2072015</v>
      </c>
      <c r="J115" s="276">
        <v>2242677</v>
      </c>
      <c r="K115" s="276">
        <v>2359203</v>
      </c>
      <c r="L115" s="276">
        <v>2557890</v>
      </c>
      <c r="M115" s="276">
        <v>2641206</v>
      </c>
      <c r="N115" s="276">
        <v>2783707</v>
      </c>
      <c r="O115" s="276">
        <v>2973036</v>
      </c>
      <c r="P115" s="276">
        <v>3028139</v>
      </c>
      <c r="Q115" s="276">
        <v>3553222</v>
      </c>
      <c r="R115" s="276">
        <v>3726426</v>
      </c>
      <c r="S115" s="276">
        <v>3667032</v>
      </c>
      <c r="T115" s="276">
        <v>3664680</v>
      </c>
      <c r="U115" s="276">
        <v>4229050</v>
      </c>
      <c r="V115" s="276">
        <v>4092838</v>
      </c>
      <c r="W115" s="276">
        <v>4092243</v>
      </c>
      <c r="X115" s="276">
        <v>4445723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273">
        <v>30000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273">
        <v>99000</v>
      </c>
      <c r="J118" s="273">
        <v>59000</v>
      </c>
      <c r="K118" s="273">
        <v>20000</v>
      </c>
      <c r="L118" s="68">
        <v>0</v>
      </c>
      <c r="M118" s="273">
        <v>20000</v>
      </c>
      <c r="N118" s="68">
        <v>0</v>
      </c>
      <c r="O118" s="273">
        <v>2000</v>
      </c>
      <c r="P118" s="273">
        <v>40000</v>
      </c>
      <c r="Q118" s="68">
        <v>0</v>
      </c>
      <c r="R118" s="273">
        <v>3000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273">
        <v>95000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68">
        <v>0</v>
      </c>
      <c r="C120" s="68">
        <v>0</v>
      </c>
      <c r="D120" s="68">
        <v>0</v>
      </c>
      <c r="E120" s="273">
        <v>121539</v>
      </c>
      <c r="F120" s="273">
        <v>133695</v>
      </c>
      <c r="G120" s="273">
        <v>243854</v>
      </c>
      <c r="H120" s="273">
        <v>174959</v>
      </c>
      <c r="I120" s="273">
        <v>132760</v>
      </c>
      <c r="J120" s="273">
        <v>235153</v>
      </c>
      <c r="K120" s="273">
        <v>218768</v>
      </c>
      <c r="L120" s="273">
        <v>288132</v>
      </c>
      <c r="M120" s="273">
        <v>210517</v>
      </c>
      <c r="N120" s="273">
        <v>242047</v>
      </c>
      <c r="O120" s="273">
        <v>337612</v>
      </c>
      <c r="P120" s="273">
        <v>396303</v>
      </c>
      <c r="Q120" s="273">
        <v>349023</v>
      </c>
      <c r="R120" s="273">
        <v>351567</v>
      </c>
      <c r="S120" s="273">
        <v>257080</v>
      </c>
      <c r="T120" s="273">
        <v>447392</v>
      </c>
      <c r="U120" s="273">
        <v>747960</v>
      </c>
      <c r="V120" s="273">
        <v>487504</v>
      </c>
      <c r="W120" s="273">
        <v>429466</v>
      </c>
      <c r="X120" s="273">
        <v>645520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5">
        <v>11504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2951</v>
      </c>
      <c r="C122" s="273">
        <v>2992</v>
      </c>
      <c r="D122" s="273">
        <v>2933</v>
      </c>
      <c r="E122" s="273">
        <v>2904</v>
      </c>
      <c r="F122" s="273">
        <v>2987</v>
      </c>
      <c r="G122" s="273">
        <v>2998</v>
      </c>
      <c r="H122" s="273">
        <v>2957</v>
      </c>
      <c r="I122" s="273">
        <v>7304</v>
      </c>
      <c r="J122" s="273">
        <v>6971</v>
      </c>
      <c r="K122" s="273">
        <v>6924</v>
      </c>
      <c r="L122" s="273">
        <v>6999</v>
      </c>
      <c r="M122" s="273">
        <v>9174</v>
      </c>
      <c r="N122" s="273">
        <v>11192</v>
      </c>
      <c r="O122" s="273">
        <v>13207</v>
      </c>
      <c r="P122" s="273">
        <v>18423</v>
      </c>
      <c r="Q122" s="273">
        <v>22594</v>
      </c>
      <c r="R122" s="273">
        <v>21393</v>
      </c>
      <c r="S122" s="273">
        <v>21070</v>
      </c>
      <c r="T122" s="273">
        <v>19723</v>
      </c>
      <c r="U122" s="273">
        <v>2910</v>
      </c>
      <c r="V122" s="273">
        <v>2848</v>
      </c>
      <c r="W122" s="273">
        <v>487955</v>
      </c>
      <c r="X122" s="273">
        <v>308369</v>
      </c>
    </row>
    <row r="123" spans="1:24" ht="14.25" thickBot="1" x14ac:dyDescent="0.3">
      <c r="A123" s="225" t="s">
        <v>31</v>
      </c>
      <c r="B123" s="275">
        <v>419234</v>
      </c>
      <c r="C123" s="275">
        <v>335219</v>
      </c>
      <c r="D123" s="275">
        <v>314695</v>
      </c>
      <c r="E123" s="275">
        <v>128657</v>
      </c>
      <c r="F123" s="275">
        <v>159545</v>
      </c>
      <c r="G123" s="275">
        <v>307535</v>
      </c>
      <c r="H123" s="275">
        <v>137068</v>
      </c>
      <c r="I123" s="275">
        <v>155318</v>
      </c>
      <c r="J123" s="275">
        <v>170518</v>
      </c>
      <c r="K123" s="275">
        <v>407901</v>
      </c>
      <c r="L123" s="275">
        <v>430223</v>
      </c>
      <c r="M123" s="275">
        <v>246022</v>
      </c>
      <c r="N123" s="275">
        <v>280023</v>
      </c>
      <c r="O123" s="275">
        <v>537031</v>
      </c>
      <c r="P123" s="275">
        <v>257095</v>
      </c>
      <c r="Q123" s="275">
        <v>298039</v>
      </c>
      <c r="R123" s="275">
        <v>325339</v>
      </c>
      <c r="S123" s="275">
        <v>568913</v>
      </c>
      <c r="T123" s="275">
        <v>258001</v>
      </c>
      <c r="U123" s="275">
        <v>321750</v>
      </c>
      <c r="V123" s="275">
        <v>343761</v>
      </c>
      <c r="W123" s="275">
        <v>610816</v>
      </c>
      <c r="X123" s="275">
        <v>404499</v>
      </c>
    </row>
    <row r="124" spans="1:24" ht="14.25" thickBot="1" x14ac:dyDescent="0.3">
      <c r="A124" s="224" t="s">
        <v>268</v>
      </c>
      <c r="B124" s="273">
        <v>422185</v>
      </c>
      <c r="C124" s="273">
        <v>368211</v>
      </c>
      <c r="D124" s="273">
        <v>317628</v>
      </c>
      <c r="E124" s="273">
        <v>264604</v>
      </c>
      <c r="F124" s="273">
        <v>296227</v>
      </c>
      <c r="G124" s="273">
        <v>554387</v>
      </c>
      <c r="H124" s="273">
        <v>314984</v>
      </c>
      <c r="I124" s="273">
        <v>394382</v>
      </c>
      <c r="J124" s="273">
        <v>471642</v>
      </c>
      <c r="K124" s="273">
        <v>653593</v>
      </c>
      <c r="L124" s="273">
        <v>725354</v>
      </c>
      <c r="M124" s="273">
        <v>485713</v>
      </c>
      <c r="N124" s="273">
        <v>533262</v>
      </c>
      <c r="O124" s="273">
        <v>889850</v>
      </c>
      <c r="P124" s="273">
        <v>711821</v>
      </c>
      <c r="Q124" s="273">
        <v>669656</v>
      </c>
      <c r="R124" s="273">
        <v>701299</v>
      </c>
      <c r="S124" s="273">
        <v>847063</v>
      </c>
      <c r="T124" s="273">
        <v>725116</v>
      </c>
      <c r="U124" s="273">
        <v>1072620</v>
      </c>
      <c r="V124" s="273">
        <v>834113</v>
      </c>
      <c r="W124" s="273">
        <v>1528237</v>
      </c>
      <c r="X124" s="273">
        <v>1453388</v>
      </c>
    </row>
    <row r="125" spans="1:24" ht="14.25" thickBot="1" x14ac:dyDescent="0.3">
      <c r="A125" s="225" t="s">
        <v>32</v>
      </c>
      <c r="B125" s="275">
        <v>27105</v>
      </c>
      <c r="C125" s="275">
        <v>27644</v>
      </c>
      <c r="D125" s="275">
        <v>24697</v>
      </c>
      <c r="E125" s="275">
        <v>23232</v>
      </c>
      <c r="F125" s="275">
        <v>25792</v>
      </c>
      <c r="G125" s="275">
        <v>24847</v>
      </c>
      <c r="H125" s="275">
        <v>23021</v>
      </c>
      <c r="I125" s="275">
        <v>98154</v>
      </c>
      <c r="J125" s="275">
        <v>97757</v>
      </c>
      <c r="K125" s="275">
        <v>94698</v>
      </c>
      <c r="L125" s="275">
        <v>94776</v>
      </c>
      <c r="M125" s="275">
        <v>93776</v>
      </c>
      <c r="N125" s="275">
        <v>87077</v>
      </c>
      <c r="O125" s="275">
        <v>82808</v>
      </c>
      <c r="P125" s="275">
        <v>140210</v>
      </c>
      <c r="Q125" s="275">
        <v>534955</v>
      </c>
      <c r="R125" s="275">
        <v>531051</v>
      </c>
      <c r="S125" s="275">
        <v>521260</v>
      </c>
      <c r="T125" s="275">
        <v>522105</v>
      </c>
      <c r="U125" s="275">
        <v>503851</v>
      </c>
      <c r="V125" s="275">
        <v>503677</v>
      </c>
      <c r="W125" s="275">
        <v>2219</v>
      </c>
      <c r="X125" s="275">
        <v>1148</v>
      </c>
    </row>
    <row r="126" spans="1:24" ht="14.25" thickBot="1" x14ac:dyDescent="0.3">
      <c r="A126" s="224" t="s">
        <v>33</v>
      </c>
      <c r="B126" s="68">
        <v>0</v>
      </c>
      <c r="C126" s="68">
        <v>0</v>
      </c>
      <c r="D126" s="68">
        <v>0</v>
      </c>
      <c r="E126" s="68">
        <v>500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449290</v>
      </c>
      <c r="C127" s="275">
        <v>395855</v>
      </c>
      <c r="D127" s="275">
        <v>342325</v>
      </c>
      <c r="E127" s="275">
        <v>288336</v>
      </c>
      <c r="F127" s="275">
        <v>322019</v>
      </c>
      <c r="G127" s="275">
        <v>579234</v>
      </c>
      <c r="H127" s="275">
        <v>338005</v>
      </c>
      <c r="I127" s="275">
        <v>492536</v>
      </c>
      <c r="J127" s="275">
        <v>569399</v>
      </c>
      <c r="K127" s="275">
        <v>748291</v>
      </c>
      <c r="L127" s="275">
        <v>820130</v>
      </c>
      <c r="M127" s="275">
        <v>579489</v>
      </c>
      <c r="N127" s="275">
        <v>620339</v>
      </c>
      <c r="O127" s="275">
        <v>972658</v>
      </c>
      <c r="P127" s="275">
        <v>852031</v>
      </c>
      <c r="Q127" s="275">
        <v>1204611</v>
      </c>
      <c r="R127" s="275">
        <v>1232350</v>
      </c>
      <c r="S127" s="275">
        <v>1368323</v>
      </c>
      <c r="T127" s="275">
        <v>1247221</v>
      </c>
      <c r="U127" s="275">
        <v>1576471</v>
      </c>
      <c r="V127" s="275">
        <v>1337790</v>
      </c>
      <c r="W127" s="275">
        <v>1530456</v>
      </c>
      <c r="X127" s="275">
        <v>1454536</v>
      </c>
    </row>
    <row r="128" spans="1:24" ht="14.25" thickBot="1" x14ac:dyDescent="0.3">
      <c r="A128" s="224" t="s">
        <v>34</v>
      </c>
      <c r="B128" s="273">
        <v>1025781</v>
      </c>
      <c r="C128" s="273">
        <v>1012630</v>
      </c>
      <c r="D128" s="273">
        <v>1060256</v>
      </c>
      <c r="E128" s="273">
        <v>1124277</v>
      </c>
      <c r="F128" s="273">
        <v>1207647</v>
      </c>
      <c r="G128" s="273">
        <v>1139964</v>
      </c>
      <c r="H128" s="273">
        <v>1199366</v>
      </c>
      <c r="I128" s="273">
        <v>1579479</v>
      </c>
      <c r="J128" s="273">
        <v>1673278</v>
      </c>
      <c r="K128" s="273">
        <v>1610912</v>
      </c>
      <c r="L128" s="273">
        <v>1737760</v>
      </c>
      <c r="M128" s="273">
        <v>2061717</v>
      </c>
      <c r="N128" s="273">
        <v>2163368</v>
      </c>
      <c r="O128" s="273">
        <v>2000378</v>
      </c>
      <c r="P128" s="273">
        <v>2176108</v>
      </c>
      <c r="Q128" s="273">
        <v>2348611</v>
      </c>
      <c r="R128" s="273">
        <v>2494076</v>
      </c>
      <c r="S128" s="273">
        <v>2298709</v>
      </c>
      <c r="T128" s="273">
        <v>2417459</v>
      </c>
      <c r="U128" s="273">
        <v>2652579</v>
      </c>
      <c r="V128" s="273">
        <v>2755048</v>
      </c>
      <c r="W128" s="273">
        <v>2561787</v>
      </c>
      <c r="X128" s="273">
        <v>2991187</v>
      </c>
    </row>
    <row r="129" spans="1:24" ht="14.25" thickBot="1" x14ac:dyDescent="0.3">
      <c r="A129" s="225" t="s">
        <v>35</v>
      </c>
      <c r="B129" s="276">
        <v>1475071</v>
      </c>
      <c r="C129" s="276">
        <v>1408485</v>
      </c>
      <c r="D129" s="276">
        <v>1402581</v>
      </c>
      <c r="E129" s="276">
        <v>1412613</v>
      </c>
      <c r="F129" s="276">
        <v>1529666</v>
      </c>
      <c r="G129" s="276">
        <v>1719198</v>
      </c>
      <c r="H129" s="276">
        <v>1537371</v>
      </c>
      <c r="I129" s="276">
        <v>2072015</v>
      </c>
      <c r="J129" s="276">
        <v>2242677</v>
      </c>
      <c r="K129" s="276">
        <v>2359203</v>
      </c>
      <c r="L129" s="276">
        <v>2557890</v>
      </c>
      <c r="M129" s="276">
        <v>2641206</v>
      </c>
      <c r="N129" s="276">
        <v>2783707</v>
      </c>
      <c r="O129" s="276">
        <v>2973036</v>
      </c>
      <c r="P129" s="276">
        <v>3028139</v>
      </c>
      <c r="Q129" s="276">
        <v>3553222</v>
      </c>
      <c r="R129" s="276">
        <v>3726426</v>
      </c>
      <c r="S129" s="276">
        <v>3667032</v>
      </c>
      <c r="T129" s="276">
        <v>3664680</v>
      </c>
      <c r="U129" s="276">
        <v>4229050</v>
      </c>
      <c r="V129" s="276">
        <v>4092838</v>
      </c>
      <c r="W129" s="276">
        <v>4092243</v>
      </c>
      <c r="X129" s="276">
        <v>4445723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2.23</v>
      </c>
      <c r="C132" s="68">
        <v>4.6900000000000004</v>
      </c>
      <c r="D132" s="68">
        <v>5.43</v>
      </c>
      <c r="E132" s="68">
        <v>8.58</v>
      </c>
      <c r="F132" s="68">
        <v>7.44</v>
      </c>
    </row>
    <row r="133" spans="1:24" ht="14.25" thickBot="1" x14ac:dyDescent="0.3">
      <c r="A133" s="225" t="s">
        <v>37</v>
      </c>
      <c r="B133" s="274">
        <v>-0.48</v>
      </c>
      <c r="C133" s="274">
        <v>-16.16</v>
      </c>
      <c r="D133" s="274">
        <v>0.06</v>
      </c>
      <c r="E133" s="274">
        <v>-2.19</v>
      </c>
      <c r="F133" s="274">
        <v>-1</v>
      </c>
    </row>
    <row r="134" spans="1:24" ht="14.25" thickBot="1" x14ac:dyDescent="0.3">
      <c r="A134" s="224" t="s">
        <v>38</v>
      </c>
      <c r="B134" s="68">
        <v>-1.83</v>
      </c>
      <c r="C134" s="68">
        <v>6.74</v>
      </c>
      <c r="D134" s="68">
        <v>-2.13</v>
      </c>
      <c r="E134" s="68">
        <v>3.07</v>
      </c>
      <c r="F134" s="68">
        <v>-2.4900000000000002</v>
      </c>
    </row>
    <row r="135" spans="1:24" ht="14.25" thickBot="1" x14ac:dyDescent="0.3">
      <c r="A135" s="225" t="s">
        <v>270</v>
      </c>
      <c r="B135" s="274">
        <v>1.75</v>
      </c>
      <c r="C135" s="274">
        <v>-11.47</v>
      </c>
      <c r="D135" s="274">
        <v>5.5</v>
      </c>
      <c r="E135" s="274">
        <v>6.39</v>
      </c>
      <c r="F135" s="274">
        <v>6.44</v>
      </c>
    </row>
    <row r="136" spans="1:24" ht="14.25" thickBot="1" x14ac:dyDescent="0.3">
      <c r="A136" s="229" t="s">
        <v>39</v>
      </c>
      <c r="B136" s="72">
        <v>-0.08</v>
      </c>
      <c r="C136" s="72">
        <v>-4.7300000000000004</v>
      </c>
      <c r="D136" s="72">
        <v>3.37</v>
      </c>
      <c r="E136" s="72">
        <v>9.4600000000000009</v>
      </c>
      <c r="F136" s="72">
        <v>3.95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</v>
      </c>
      <c r="C140" s="68">
        <v>3.2</v>
      </c>
      <c r="D140" s="68">
        <v>4.5</v>
      </c>
      <c r="E140" s="68">
        <v>4.5</v>
      </c>
      <c r="F140" s="68">
        <v>4</v>
      </c>
    </row>
    <row r="141" spans="1:24" ht="14.25" thickBot="1" x14ac:dyDescent="0.3">
      <c r="A141" s="227" t="s">
        <v>1</v>
      </c>
      <c r="B141" s="73">
        <v>0.5</v>
      </c>
      <c r="C141" s="73">
        <v>0.8</v>
      </c>
      <c r="D141" s="73">
        <v>0.5</v>
      </c>
      <c r="E141" s="73">
        <v>0.5</v>
      </c>
      <c r="F141" s="73">
        <v>0.5</v>
      </c>
    </row>
    <row r="142" spans="1:24" x14ac:dyDescent="0.25">
      <c r="A142" s="233" t="s">
        <v>272</v>
      </c>
      <c r="B142" s="234" t="e">
        <f>B140/(HLOOKUP(B139*10+1,81:82,2,FALSE)+HLOOKUP(B139*10+2,81:82,2,FALSE)+HLOOKUP(B139*10+3,81:82,2,FALSE)+HLOOKUP(B139*10+4,81:82,2,FALSE))</f>
        <v>#VALUE!</v>
      </c>
      <c r="C142" s="234">
        <f>IF(C140&lt;&gt;"無",IF(ISNA(HLOOKUP(C139,$B$64:$F$69,6,FALSE)),"",C140/HLOOKUP(C139,$B$64:$F$69,6,FALSE)),"")</f>
        <v>0.54421768707482987</v>
      </c>
      <c r="D142" s="234">
        <f>IF(D140&lt;&gt;"無",IF(ISNA(HLOOKUP(D139,$B$64:$F$69,6,FALSE)),"",D140/HLOOKUP(D139,$B$64:$F$69,6,FALSE)),"")</f>
        <v>0.50904977375565608</v>
      </c>
      <c r="E142" s="234">
        <f>IF(E140&lt;&gt;"無",IF(ISNA(HLOOKUP(E139,$B$64:$F$69,6,FALSE)),"",E140/HLOOKUP(E139,$B$64:$F$69,6,FALSE)),"")</f>
        <v>0.48913043478260876</v>
      </c>
      <c r="F142" s="234">
        <f>IF(F140&lt;&gt;"無",IF(ISNA(HLOOKUP(F139,$B$64:$F$69,6,FALSE)),"",F140/HLOOKUP(F139,$B$64:$F$69,6,FALSE)),"")</f>
        <v>0.5524861878453039</v>
      </c>
    </row>
    <row r="143" spans="1:24" x14ac:dyDescent="0.25">
      <c r="A143" s="233" t="s">
        <v>216</v>
      </c>
      <c r="B143" s="234">
        <f>IF(OR(B140=0,B140="無"),"",B135/B140)</f>
        <v>0.58333333333333337</v>
      </c>
      <c r="C143" s="234">
        <f>IF(OR(C140=0,C140="無"),"",C135/C140)</f>
        <v>-3.5843750000000001</v>
      </c>
      <c r="D143" s="234">
        <f>IF(OR(D140=0,D140="無"),"",D135/D140)</f>
        <v>1.2222222222222223</v>
      </c>
      <c r="E143" s="234">
        <f>IF(OR(E140=0,E140="無"),"",E135/E140)</f>
        <v>1.42</v>
      </c>
      <c r="F143" s="234">
        <f>IF(OR(F140=0,F140="無"),"",F135/F140)</f>
        <v>1.61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 t="s">
        <v>43</v>
      </c>
      <c r="C146" s="68" t="s">
        <v>43</v>
      </c>
      <c r="D146" s="68" t="s">
        <v>43</v>
      </c>
      <c r="E146" s="68" t="s">
        <v>43</v>
      </c>
      <c r="F146" s="68">
        <v>28.92</v>
      </c>
      <c r="G146" s="68">
        <v>25.54</v>
      </c>
      <c r="H146" s="68">
        <v>22.09</v>
      </c>
      <c r="I146" s="68">
        <v>26.55</v>
      </c>
      <c r="J146" s="68">
        <v>28.2</v>
      </c>
      <c r="K146" s="68">
        <v>24.75</v>
      </c>
      <c r="L146" s="68">
        <v>27.93</v>
      </c>
      <c r="M146" s="68">
        <v>30.79</v>
      </c>
      <c r="N146" s="68">
        <v>27.68</v>
      </c>
      <c r="O146" s="68">
        <v>26.79</v>
      </c>
      <c r="P146" s="68">
        <v>27.26</v>
      </c>
      <c r="Q146" s="68">
        <v>28.45</v>
      </c>
      <c r="R146" s="68">
        <v>29.54</v>
      </c>
      <c r="S146" s="68">
        <v>27.88</v>
      </c>
      <c r="T146" s="68">
        <v>27.63</v>
      </c>
      <c r="U146" s="68">
        <v>24.4</v>
      </c>
      <c r="V146" s="68">
        <v>25.15</v>
      </c>
      <c r="W146" s="68">
        <v>26.87</v>
      </c>
      <c r="X146" s="68">
        <v>30.05</v>
      </c>
    </row>
    <row r="147" spans="1:24" s="93" customFormat="1" ht="14.25" thickBot="1" x14ac:dyDescent="0.3">
      <c r="A147" s="225" t="s">
        <v>19</v>
      </c>
      <c r="B147" s="274" t="s">
        <v>43</v>
      </c>
      <c r="C147" s="274" t="s">
        <v>43</v>
      </c>
      <c r="D147" s="274" t="s">
        <v>43</v>
      </c>
      <c r="E147" s="274" t="s">
        <v>43</v>
      </c>
      <c r="F147" s="274">
        <v>13.97</v>
      </c>
      <c r="G147" s="274">
        <v>11.8</v>
      </c>
      <c r="H147" s="274">
        <v>10.07</v>
      </c>
      <c r="I147" s="274">
        <v>10.62</v>
      </c>
      <c r="J147" s="274">
        <v>12.63</v>
      </c>
      <c r="K147" s="274">
        <v>9.74</v>
      </c>
      <c r="L147" s="274">
        <v>14.97</v>
      </c>
      <c r="M147" s="274">
        <v>19.11</v>
      </c>
      <c r="N147" s="274">
        <v>13.5</v>
      </c>
      <c r="O147" s="274">
        <v>13.51</v>
      </c>
      <c r="P147" s="274">
        <v>14.44</v>
      </c>
      <c r="Q147" s="274">
        <v>16.32</v>
      </c>
      <c r="R147" s="274">
        <v>14.11</v>
      </c>
      <c r="S147" s="274">
        <v>11.61</v>
      </c>
      <c r="T147" s="274">
        <v>11.99</v>
      </c>
      <c r="U147" s="274">
        <v>10.06</v>
      </c>
      <c r="V147" s="274">
        <v>11.66</v>
      </c>
      <c r="W147" s="274">
        <v>14.11</v>
      </c>
      <c r="X147" s="274">
        <v>18.28</v>
      </c>
    </row>
    <row r="148" spans="1:24" s="93" customFormat="1" ht="14.25" thickBot="1" x14ac:dyDescent="0.3">
      <c r="A148" s="224" t="s">
        <v>41</v>
      </c>
      <c r="B148" s="68" t="s">
        <v>43</v>
      </c>
      <c r="C148" s="68" t="s">
        <v>43</v>
      </c>
      <c r="D148" s="68" t="s">
        <v>43</v>
      </c>
      <c r="E148" s="68" t="s">
        <v>43</v>
      </c>
      <c r="F148" s="68">
        <v>16.399999999999999</v>
      </c>
      <c r="G148" s="68">
        <v>12.85</v>
      </c>
      <c r="H148" s="68">
        <v>9.93</v>
      </c>
      <c r="I148" s="68">
        <v>11.13</v>
      </c>
      <c r="J148" s="68">
        <v>14.41</v>
      </c>
      <c r="K148" s="68">
        <v>16.440000000000001</v>
      </c>
      <c r="L148" s="68">
        <v>15.94</v>
      </c>
      <c r="M148" s="68">
        <v>21.88</v>
      </c>
      <c r="N148" s="68">
        <v>12.75</v>
      </c>
      <c r="O148" s="68">
        <v>13.3</v>
      </c>
      <c r="P148" s="68">
        <v>17.829999999999998</v>
      </c>
      <c r="Q148" s="68">
        <v>16.149999999999999</v>
      </c>
      <c r="R148" s="68">
        <v>13.23</v>
      </c>
      <c r="S148" s="68">
        <v>11.25</v>
      </c>
      <c r="T148" s="68">
        <v>10.34</v>
      </c>
      <c r="U148" s="68">
        <v>11.11</v>
      </c>
      <c r="V148" s="68">
        <v>8.17</v>
      </c>
      <c r="W148" s="68">
        <v>14.41</v>
      </c>
      <c r="X148" s="68">
        <v>17.7</v>
      </c>
    </row>
    <row r="149" spans="1:24" s="93" customFormat="1" ht="14.25" thickBot="1" x14ac:dyDescent="0.3">
      <c r="A149" s="225" t="s">
        <v>13</v>
      </c>
      <c r="B149" s="73" t="s">
        <v>43</v>
      </c>
      <c r="C149" s="73" t="s">
        <v>43</v>
      </c>
      <c r="D149" s="73" t="s">
        <v>43</v>
      </c>
      <c r="E149" s="73" t="s">
        <v>43</v>
      </c>
      <c r="F149" s="73">
        <v>13.82</v>
      </c>
      <c r="G149" s="73">
        <v>10.130000000000001</v>
      </c>
      <c r="H149" s="73">
        <v>8.0299999999999994</v>
      </c>
      <c r="I149" s="73">
        <v>9.59</v>
      </c>
      <c r="J149" s="73">
        <v>12.34</v>
      </c>
      <c r="K149" s="73">
        <v>13.69</v>
      </c>
      <c r="L149" s="73">
        <v>12.9</v>
      </c>
      <c r="M149" s="73">
        <v>17.7</v>
      </c>
      <c r="N149" s="73">
        <v>10.3</v>
      </c>
      <c r="O149" s="73">
        <v>9.7200000000000006</v>
      </c>
      <c r="P149" s="73">
        <v>13.86</v>
      </c>
      <c r="Q149" s="73">
        <v>13.09</v>
      </c>
      <c r="R149" s="73">
        <v>10.69</v>
      </c>
      <c r="S149" s="73">
        <v>7.66</v>
      </c>
      <c r="T149" s="73">
        <v>7.69</v>
      </c>
      <c r="U149" s="73">
        <v>8.92</v>
      </c>
      <c r="V149" s="73">
        <v>6.08</v>
      </c>
      <c r="W149" s="73">
        <v>10.57</v>
      </c>
      <c r="X149" s="73">
        <v>14.51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26.59</v>
      </c>
      <c r="C152" s="68">
        <v>25.58</v>
      </c>
      <c r="D152" s="68">
        <v>28.07</v>
      </c>
      <c r="E152" s="68">
        <v>27.55</v>
      </c>
      <c r="F152" s="68">
        <v>27.22</v>
      </c>
    </row>
    <row r="153" spans="1:24" s="93" customFormat="1" ht="14.25" thickBot="1" x14ac:dyDescent="0.3">
      <c r="A153" s="225" t="s">
        <v>19</v>
      </c>
      <c r="B153" s="274">
        <v>11.2</v>
      </c>
      <c r="C153" s="274">
        <v>11.5</v>
      </c>
      <c r="D153" s="274">
        <v>14.45</v>
      </c>
      <c r="E153" s="274">
        <v>14.5</v>
      </c>
      <c r="F153" s="274">
        <v>11.85</v>
      </c>
    </row>
    <row r="154" spans="1:24" s="93" customFormat="1" ht="14.25" thickBot="1" x14ac:dyDescent="0.3">
      <c r="A154" s="224" t="s">
        <v>41</v>
      </c>
      <c r="B154" s="68">
        <v>12.15</v>
      </c>
      <c r="C154" s="68">
        <v>12.38</v>
      </c>
      <c r="D154" s="68">
        <v>17.440000000000001</v>
      </c>
      <c r="E154" s="68">
        <v>15.17</v>
      </c>
      <c r="F154" s="68">
        <v>11.44</v>
      </c>
    </row>
    <row r="155" spans="1:24" s="93" customFormat="1" ht="14.25" thickBot="1" x14ac:dyDescent="0.3">
      <c r="A155" s="225" t="s">
        <v>13</v>
      </c>
      <c r="B155" s="73">
        <v>10.130000000000001</v>
      </c>
      <c r="C155" s="73">
        <v>10.210000000000001</v>
      </c>
      <c r="D155" s="73">
        <v>14.35</v>
      </c>
      <c r="E155" s="73">
        <v>11.87</v>
      </c>
      <c r="F155" s="73">
        <v>8.74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 t="s">
        <v>43</v>
      </c>
      <c r="C158" s="68" t="s">
        <v>43</v>
      </c>
      <c r="D158" s="68" t="s">
        <v>43</v>
      </c>
      <c r="E158" s="68" t="s">
        <v>43</v>
      </c>
      <c r="F158" s="68">
        <v>5.63</v>
      </c>
      <c r="G158" s="68">
        <v>4.58</v>
      </c>
      <c r="H158" s="68">
        <v>3.75</v>
      </c>
      <c r="I158" s="68">
        <v>3.82</v>
      </c>
      <c r="J158" s="68">
        <v>4.2699999999999996</v>
      </c>
      <c r="K158" s="68">
        <v>4.91</v>
      </c>
      <c r="L158" s="68">
        <v>5</v>
      </c>
      <c r="M158" s="68">
        <v>6.94</v>
      </c>
      <c r="N158" s="68">
        <v>3.72</v>
      </c>
      <c r="O158" s="68">
        <v>3.56</v>
      </c>
      <c r="P158" s="68">
        <v>5.55</v>
      </c>
      <c r="Q158" s="68">
        <v>4.67</v>
      </c>
      <c r="R158" s="68">
        <v>3.27</v>
      </c>
      <c r="S158" s="68">
        <v>2.2200000000000002</v>
      </c>
      <c r="T158" s="68">
        <v>2.5299999999999998</v>
      </c>
      <c r="U158" s="68">
        <v>3.05</v>
      </c>
      <c r="V158" s="68">
        <v>2.1</v>
      </c>
      <c r="W158" s="68">
        <v>4.26</v>
      </c>
      <c r="X158" s="68">
        <v>5.71</v>
      </c>
    </row>
    <row r="159" spans="1:24" s="93" customFormat="1" ht="14.25" thickBot="1" x14ac:dyDescent="0.3">
      <c r="A159" s="225" t="s">
        <v>45</v>
      </c>
      <c r="B159" s="73" t="s">
        <v>43</v>
      </c>
      <c r="C159" s="73" t="s">
        <v>43</v>
      </c>
      <c r="D159" s="73" t="s">
        <v>43</v>
      </c>
      <c r="E159" s="73" t="s">
        <v>43</v>
      </c>
      <c r="F159" s="73">
        <v>7.08</v>
      </c>
      <c r="G159" s="73">
        <v>6.33</v>
      </c>
      <c r="H159" s="73">
        <v>5.21</v>
      </c>
      <c r="I159" s="73">
        <v>4.88</v>
      </c>
      <c r="J159" s="73">
        <v>5.63</v>
      </c>
      <c r="K159" s="73">
        <v>6.85</v>
      </c>
      <c r="L159" s="73">
        <v>7.32</v>
      </c>
      <c r="M159" s="73">
        <v>9.4600000000000009</v>
      </c>
      <c r="N159" s="73">
        <v>4.76</v>
      </c>
      <c r="O159" s="73">
        <v>4.91</v>
      </c>
      <c r="P159" s="73">
        <v>7.96</v>
      </c>
      <c r="Q159" s="73">
        <v>6.71</v>
      </c>
      <c r="R159" s="73">
        <v>4.82</v>
      </c>
      <c r="S159" s="73">
        <v>3.35</v>
      </c>
      <c r="T159" s="73">
        <v>3.85</v>
      </c>
      <c r="U159" s="73">
        <v>4.66</v>
      </c>
      <c r="V159" s="73">
        <v>3.16</v>
      </c>
      <c r="W159" s="73">
        <v>6.49</v>
      </c>
      <c r="X159" s="73">
        <v>8.7100000000000009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10.130000000000001</v>
      </c>
      <c r="C162" s="68">
        <v>10.210000000000001</v>
      </c>
      <c r="D162" s="68">
        <v>14.35</v>
      </c>
      <c r="E162" s="68">
        <v>11.87</v>
      </c>
      <c r="F162" s="68">
        <v>8.74</v>
      </c>
    </row>
    <row r="163" spans="1:72" s="93" customFormat="1" ht="14.25" thickBot="1" x14ac:dyDescent="0.3">
      <c r="A163" s="225" t="s">
        <v>18</v>
      </c>
      <c r="B163" s="274">
        <v>1.68</v>
      </c>
      <c r="C163" s="274">
        <v>1.35</v>
      </c>
      <c r="D163" s="274">
        <v>1.34</v>
      </c>
      <c r="E163" s="274">
        <v>1.23</v>
      </c>
      <c r="F163" s="274">
        <v>1.1000000000000001</v>
      </c>
    </row>
    <row r="164" spans="1:72" s="93" customFormat="1" ht="14.25" thickBot="1" x14ac:dyDescent="0.3">
      <c r="A164" s="224" t="s">
        <v>15</v>
      </c>
      <c r="B164" s="68">
        <v>1.26</v>
      </c>
      <c r="C164" s="68">
        <v>1.31</v>
      </c>
      <c r="D164" s="68">
        <v>1.28</v>
      </c>
      <c r="E164" s="68">
        <v>1.51</v>
      </c>
      <c r="F164" s="68">
        <v>1.59</v>
      </c>
    </row>
    <row r="165" spans="1:72" s="93" customFormat="1" ht="14.25" thickBot="1" x14ac:dyDescent="0.3">
      <c r="A165" s="225" t="s">
        <v>45</v>
      </c>
      <c r="B165" s="73">
        <v>23.11</v>
      </c>
      <c r="C165" s="73">
        <v>21.13</v>
      </c>
      <c r="D165" s="73">
        <v>27.82</v>
      </c>
      <c r="E165" s="73">
        <v>23.61</v>
      </c>
      <c r="F165" s="73">
        <v>16.23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 t="s">
        <v>43</v>
      </c>
      <c r="C168" s="68" t="s">
        <v>43</v>
      </c>
      <c r="D168" s="68" t="s">
        <v>43</v>
      </c>
      <c r="E168" s="68" t="s">
        <v>43</v>
      </c>
      <c r="F168" s="68">
        <v>37.5</v>
      </c>
      <c r="G168" s="68">
        <v>39.130000000000003</v>
      </c>
      <c r="H168" s="68">
        <v>42.45</v>
      </c>
      <c r="I168" s="68">
        <v>45.23</v>
      </c>
      <c r="J168" s="68">
        <v>43.48</v>
      </c>
      <c r="K168" s="68">
        <v>44.55</v>
      </c>
      <c r="L168" s="68">
        <v>45.23</v>
      </c>
      <c r="M168" s="68">
        <v>43.9</v>
      </c>
      <c r="N168" s="68">
        <v>47.37</v>
      </c>
      <c r="O168" s="68">
        <v>50.28</v>
      </c>
      <c r="P168" s="68">
        <v>49.45</v>
      </c>
      <c r="Q168" s="68">
        <v>51.14</v>
      </c>
      <c r="R168" s="68">
        <v>49.45</v>
      </c>
      <c r="S168" s="68">
        <v>50.56</v>
      </c>
      <c r="T168" s="68">
        <v>48.13</v>
      </c>
      <c r="U168" s="68">
        <v>48.91</v>
      </c>
      <c r="V168" s="68">
        <v>49.45</v>
      </c>
      <c r="W168" s="68">
        <v>47.87</v>
      </c>
      <c r="X168" s="68">
        <v>50.28</v>
      </c>
    </row>
    <row r="169" spans="1:72" s="93" customFormat="1" ht="14.25" thickBot="1" x14ac:dyDescent="0.3">
      <c r="A169" s="225" t="s">
        <v>17</v>
      </c>
      <c r="B169" s="274" t="s">
        <v>43</v>
      </c>
      <c r="C169" s="274" t="s">
        <v>43</v>
      </c>
      <c r="D169" s="274" t="s">
        <v>43</v>
      </c>
      <c r="E169" s="274" t="s">
        <v>43</v>
      </c>
      <c r="F169" s="274">
        <v>71.430000000000007</v>
      </c>
      <c r="G169" s="274">
        <v>70.87</v>
      </c>
      <c r="H169" s="274">
        <v>68.7</v>
      </c>
      <c r="I169" s="274">
        <v>69.23</v>
      </c>
      <c r="J169" s="274">
        <v>78.260000000000005</v>
      </c>
      <c r="K169" s="274">
        <v>75.63</v>
      </c>
      <c r="L169" s="274">
        <v>75.63</v>
      </c>
      <c r="M169" s="274">
        <v>79.650000000000006</v>
      </c>
      <c r="N169" s="274">
        <v>74.38</v>
      </c>
      <c r="O169" s="274">
        <v>67.16</v>
      </c>
      <c r="P169" s="274">
        <v>60.4</v>
      </c>
      <c r="Q169" s="274">
        <v>66.67</v>
      </c>
      <c r="R169" s="274">
        <v>78.260000000000005</v>
      </c>
      <c r="S169" s="274">
        <v>78.95</v>
      </c>
      <c r="T169" s="274">
        <v>74.38</v>
      </c>
      <c r="U169" s="274">
        <v>75</v>
      </c>
      <c r="V169" s="274">
        <v>78.95</v>
      </c>
      <c r="W169" s="274">
        <v>64.290000000000006</v>
      </c>
      <c r="X169" s="274">
        <v>69.23</v>
      </c>
    </row>
    <row r="170" spans="1:72" s="93" customFormat="1" ht="14.25" thickBot="1" x14ac:dyDescent="0.3">
      <c r="A170" s="224" t="s">
        <v>42</v>
      </c>
      <c r="B170" s="72" t="s">
        <v>43</v>
      </c>
      <c r="C170" s="72" t="s">
        <v>43</v>
      </c>
      <c r="D170" s="72" t="s">
        <v>43</v>
      </c>
      <c r="E170" s="72" t="s">
        <v>43</v>
      </c>
      <c r="F170" s="72">
        <v>108.93</v>
      </c>
      <c r="G170" s="72">
        <v>110</v>
      </c>
      <c r="H170" s="72">
        <v>111.16</v>
      </c>
      <c r="I170" s="72">
        <v>114.46</v>
      </c>
      <c r="J170" s="72">
        <v>121.74</v>
      </c>
      <c r="K170" s="72">
        <v>120.18</v>
      </c>
      <c r="L170" s="72">
        <v>120.86</v>
      </c>
      <c r="M170" s="72">
        <v>123.55</v>
      </c>
      <c r="N170" s="72">
        <v>121.75</v>
      </c>
      <c r="O170" s="72">
        <v>117.44</v>
      </c>
      <c r="P170" s="72">
        <v>109.85</v>
      </c>
      <c r="Q170" s="72">
        <v>117.8</v>
      </c>
      <c r="R170" s="72">
        <v>127.71</v>
      </c>
      <c r="S170" s="72">
        <v>129.51</v>
      </c>
      <c r="T170" s="72">
        <v>122.51</v>
      </c>
      <c r="U170" s="72">
        <v>123.91</v>
      </c>
      <c r="V170" s="72">
        <v>128.4</v>
      </c>
      <c r="W170" s="72">
        <v>112.16</v>
      </c>
      <c r="X170" s="72">
        <v>119.51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43.07</v>
      </c>
      <c r="C173" s="72">
        <v>82.51</v>
      </c>
      <c r="D173" s="72">
        <v>63.48</v>
      </c>
      <c r="E173" s="72">
        <v>102.41</v>
      </c>
      <c r="F173" s="72">
        <v>120.36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 t="s">
        <v>43</v>
      </c>
      <c r="C176" s="72" t="s">
        <v>43</v>
      </c>
      <c r="D176" s="72" t="s">
        <v>43</v>
      </c>
      <c r="E176" s="72" t="s">
        <v>43</v>
      </c>
      <c r="F176" s="72" t="s">
        <v>43</v>
      </c>
      <c r="G176" s="72" t="s">
        <v>43</v>
      </c>
      <c r="H176" s="72" t="s">
        <v>43</v>
      </c>
      <c r="I176" s="72" t="s">
        <v>43</v>
      </c>
      <c r="J176" s="72" t="s">
        <v>43</v>
      </c>
      <c r="K176" s="72" t="s">
        <v>43</v>
      </c>
      <c r="L176" s="72" t="s">
        <v>43</v>
      </c>
      <c r="M176" s="72" t="s">
        <v>43</v>
      </c>
      <c r="N176" s="72" t="s">
        <v>43</v>
      </c>
      <c r="O176" s="72" t="s">
        <v>43</v>
      </c>
      <c r="P176" s="72" t="s">
        <v>43</v>
      </c>
      <c r="Q176" s="72" t="s">
        <v>43</v>
      </c>
      <c r="R176" s="72">
        <v>11.53</v>
      </c>
      <c r="S176" s="72">
        <v>12.37</v>
      </c>
      <c r="T176" s="72">
        <v>13.51</v>
      </c>
      <c r="U176" s="72">
        <v>12.23</v>
      </c>
      <c r="V176" s="72">
        <v>12.8</v>
      </c>
      <c r="W176" s="72">
        <v>12.43</v>
      </c>
      <c r="X176" s="72">
        <v>11.04</v>
      </c>
      <c r="Y176" s="72">
        <v>11.85</v>
      </c>
      <c r="Z176" s="72">
        <v>12.81</v>
      </c>
      <c r="AA176" s="72">
        <v>12.54</v>
      </c>
      <c r="AB176" s="72">
        <v>12.29</v>
      </c>
      <c r="AC176" s="72">
        <v>12.65</v>
      </c>
      <c r="AD176" s="72">
        <v>14.29</v>
      </c>
      <c r="AE176" s="72">
        <v>16.36</v>
      </c>
      <c r="AF176" s="72">
        <v>17.190000000000001</v>
      </c>
      <c r="AG176" s="72">
        <v>16.61</v>
      </c>
      <c r="AH176" s="72">
        <v>15.52</v>
      </c>
      <c r="AI176" s="72">
        <v>13.63</v>
      </c>
      <c r="AJ176" s="72">
        <v>12.75</v>
      </c>
      <c r="AK176" s="72">
        <v>13.91</v>
      </c>
      <c r="AL176" s="72">
        <v>13.77</v>
      </c>
      <c r="AM176" s="72">
        <v>13.86</v>
      </c>
      <c r="AN176" s="72">
        <v>12.82</v>
      </c>
      <c r="AO176" s="72">
        <v>14.29</v>
      </c>
      <c r="AP176" s="72">
        <v>12.42</v>
      </c>
      <c r="AQ176" s="72">
        <v>12.73</v>
      </c>
      <c r="AR176" s="72">
        <v>10.99</v>
      </c>
      <c r="AS176" s="72">
        <v>8.67</v>
      </c>
      <c r="AT176" s="72">
        <v>9.2200000000000006</v>
      </c>
      <c r="AU176" s="72">
        <v>10.57</v>
      </c>
      <c r="AV176" s="72">
        <v>10.32</v>
      </c>
      <c r="AW176" s="72">
        <v>9.89</v>
      </c>
      <c r="AX176" s="72">
        <v>9.16</v>
      </c>
      <c r="AY176" s="72">
        <v>10.85</v>
      </c>
      <c r="AZ176" s="72">
        <v>12.63</v>
      </c>
      <c r="BA176" s="72">
        <v>12.77</v>
      </c>
      <c r="BB176" s="72">
        <v>11.03</v>
      </c>
      <c r="BC176" s="72">
        <v>11.12</v>
      </c>
      <c r="BD176" s="72">
        <v>11.29</v>
      </c>
      <c r="BE176" s="72">
        <v>11.14</v>
      </c>
      <c r="BF176" s="72">
        <v>10.28</v>
      </c>
      <c r="BG176" s="72">
        <v>9.5399999999999991</v>
      </c>
      <c r="BH176" s="72">
        <v>10.94</v>
      </c>
      <c r="BI176" s="72">
        <v>11.64</v>
      </c>
      <c r="BJ176" s="72">
        <v>11.31</v>
      </c>
      <c r="BK176" s="72">
        <v>11.84</v>
      </c>
      <c r="BL176" s="72">
        <v>13.19</v>
      </c>
      <c r="BM176" s="72">
        <v>14.31</v>
      </c>
      <c r="BN176" s="72">
        <v>15.96</v>
      </c>
      <c r="BO176" s="72">
        <v>14.76</v>
      </c>
      <c r="BP176" s="72">
        <v>15.03</v>
      </c>
      <c r="BQ176" s="72">
        <v>14.07</v>
      </c>
      <c r="BR176" s="72">
        <v>13.54</v>
      </c>
      <c r="BS176" s="72">
        <v>13.45</v>
      </c>
      <c r="BT176" s="72">
        <v>14.36</v>
      </c>
    </row>
  </sheetData>
  <phoneticPr fontId="3" type="noConversion"/>
  <conditionalFormatting sqref="E4">
    <cfRule type="cellIs" dxfId="3149" priority="101" operator="greaterThan">
      <formula>0.2</formula>
    </cfRule>
    <cfRule type="cellIs" dxfId="314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314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146" priority="95" operator="greaterThan">
      <formula>$B$19</formula>
    </cfRule>
  </conditionalFormatting>
  <conditionalFormatting sqref="D33:D34">
    <cfRule type="cellIs" dxfId="314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3144" priority="89" operator="lessThan">
      <formula>$H$62</formula>
    </cfRule>
    <cfRule type="cellIs" dxfId="3143" priority="90" operator="greaterThan">
      <formula>$H$62</formula>
    </cfRule>
  </conditionalFormatting>
  <conditionalFormatting sqref="J62">
    <cfRule type="cellIs" dxfId="3142" priority="87" operator="lessThan">
      <formula>$K$62</formula>
    </cfRule>
    <cfRule type="cellIs" dxfId="3141" priority="88" operator="greaterThan">
      <formula>$K$62</formula>
    </cfRule>
  </conditionalFormatting>
  <conditionalFormatting sqref="M62">
    <cfRule type="cellIs" dxfId="3140" priority="85" operator="lessThan">
      <formula>$N$62</formula>
    </cfRule>
    <cfRule type="cellIs" dxfId="3139" priority="86" operator="greaterThan">
      <formula>$N$62</formula>
    </cfRule>
  </conditionalFormatting>
  <conditionalFormatting sqref="B44:E44">
    <cfRule type="cellIs" dxfId="3138" priority="83" operator="greaterThan">
      <formula>0</formula>
    </cfRule>
    <cfRule type="cellIs" dxfId="3137" priority="84" operator="lessThan">
      <formula>0</formula>
    </cfRule>
  </conditionalFormatting>
  <conditionalFormatting sqref="F72">
    <cfRule type="cellIs" dxfId="3136" priority="82" operator="lessThan">
      <formula>$E$72*90%</formula>
    </cfRule>
  </conditionalFormatting>
  <conditionalFormatting sqref="F73">
    <cfRule type="cellIs" dxfId="3135" priority="81" operator="lessThan">
      <formula>$E$73*90%</formula>
    </cfRule>
  </conditionalFormatting>
  <conditionalFormatting sqref="F74">
    <cfRule type="cellIs" dxfId="3134" priority="80" operator="lessThan">
      <formula>$E$74*90%</formula>
    </cfRule>
  </conditionalFormatting>
  <conditionalFormatting sqref="F75">
    <cfRule type="cellIs" dxfId="3133" priority="79" operator="lessThan">
      <formula>$E$75*90%</formula>
    </cfRule>
  </conditionalFormatting>
  <conditionalFormatting sqref="H44:K44">
    <cfRule type="cellIs" dxfId="3132" priority="77" operator="greaterThan">
      <formula>0</formula>
    </cfRule>
    <cfRule type="cellIs" dxfId="3131" priority="78" operator="lessThan">
      <formula>0</formula>
    </cfRule>
  </conditionalFormatting>
  <conditionalFormatting sqref="H51:K51">
    <cfRule type="cellIs" dxfId="3130" priority="75" operator="greaterThan">
      <formula>0</formula>
    </cfRule>
    <cfRule type="cellIs" dxfId="3129" priority="76" operator="lessThan">
      <formula>0</formula>
    </cfRule>
  </conditionalFormatting>
  <conditionalFormatting sqref="B51:E51">
    <cfRule type="cellIs" dxfId="3128" priority="73" operator="greaterThan">
      <formula>0</formula>
    </cfRule>
    <cfRule type="cellIs" dxfId="312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12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12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124" priority="56" operator="lessThan">
      <formula>0</formula>
    </cfRule>
  </conditionalFormatting>
  <conditionalFormatting sqref="A25 E25 C25">
    <cfRule type="cellIs" dxfId="3123" priority="57" operator="lessThan">
      <formula>0</formula>
    </cfRule>
  </conditionalFormatting>
  <conditionalFormatting sqref="F25">
    <cfRule type="cellIs" dxfId="3122" priority="55" operator="lessThan">
      <formula>0</formula>
    </cfRule>
  </conditionalFormatting>
  <conditionalFormatting sqref="E1">
    <cfRule type="containsText" dxfId="3121" priority="54" operator="containsText" text="本季業外損益/平均=-">
      <formula>NOT(ISERROR(SEARCH("本季業外損益/平均=-",E1)))</formula>
    </cfRule>
  </conditionalFormatting>
  <conditionalFormatting sqref="M65">
    <cfRule type="cellIs" dxfId="3120" priority="53" operator="lessThan">
      <formula>$L$65*90%</formula>
    </cfRule>
  </conditionalFormatting>
  <conditionalFormatting sqref="M66">
    <cfRule type="cellIs" dxfId="3119" priority="52" operator="lessThan">
      <formula>$L$66*90%</formula>
    </cfRule>
  </conditionalFormatting>
  <conditionalFormatting sqref="M67">
    <cfRule type="cellIs" dxfId="3118" priority="51" operator="lessThan">
      <formula>$L$67*90%</formula>
    </cfRule>
  </conditionalFormatting>
  <conditionalFormatting sqref="M68">
    <cfRule type="cellIs" dxfId="3117" priority="50" operator="lessThan">
      <formula>$L$68*90%</formula>
    </cfRule>
  </conditionalFormatting>
  <conditionalFormatting sqref="B60">
    <cfRule type="cellIs" dxfId="3116" priority="49" operator="lessThan">
      <formula>0</formula>
    </cfRule>
  </conditionalFormatting>
  <conditionalFormatting sqref="B59:F59">
    <cfRule type="cellIs" dxfId="3115" priority="48" operator="lessThanOrEqual">
      <formula>0</formula>
    </cfRule>
  </conditionalFormatting>
  <conditionalFormatting sqref="D62">
    <cfRule type="cellIs" dxfId="3114" priority="46" operator="lessThan">
      <formula>$E$62</formula>
    </cfRule>
    <cfRule type="cellIs" dxfId="3113" priority="47" operator="greaterThan">
      <formula>$E$62</formula>
    </cfRule>
  </conditionalFormatting>
  <conditionalFormatting sqref="F69">
    <cfRule type="cellIs" dxfId="3112" priority="44" operator="lessThan">
      <formula>0</formula>
    </cfRule>
  </conditionalFormatting>
  <conditionalFormatting sqref="B65:E67 B69:E69 B68:D68">
    <cfRule type="cellIs" dxfId="3111" priority="45" operator="lessThan">
      <formula>0</formula>
    </cfRule>
  </conditionalFormatting>
  <conditionalFormatting sqref="E68">
    <cfRule type="cellIs" dxfId="3110" priority="43" operator="lessThan">
      <formula>0</formula>
    </cfRule>
  </conditionalFormatting>
  <conditionalFormatting sqref="F65:F68">
    <cfRule type="cellIs" dxfId="3109" priority="42" operator="lessThan">
      <formula>0</formula>
    </cfRule>
  </conditionalFormatting>
  <conditionalFormatting sqref="F65:F68">
    <cfRule type="cellIs" dxfId="3108" priority="41" operator="lessThan">
      <formula>$E$65*0.9</formula>
    </cfRule>
  </conditionalFormatting>
  <conditionalFormatting sqref="F66">
    <cfRule type="cellIs" dxfId="3107" priority="40" operator="lessThan">
      <formula>$E$66*0.9</formula>
    </cfRule>
  </conditionalFormatting>
  <conditionalFormatting sqref="F67:F68">
    <cfRule type="cellIs" dxfId="3106" priority="39" operator="lessThan">
      <formula>$E$67*0.9</formula>
    </cfRule>
  </conditionalFormatting>
  <conditionalFormatting sqref="F68">
    <cfRule type="cellIs" dxfId="3105" priority="38" operator="lessThan">
      <formula>$E$68*0.9</formula>
    </cfRule>
  </conditionalFormatting>
  <conditionalFormatting sqref="B13:F13">
    <cfRule type="cellIs" dxfId="3104" priority="27" operator="greaterThan">
      <formula>$I$16</formula>
    </cfRule>
    <cfRule type="cellIs" dxfId="3103" priority="28" operator="lessThanOrEqual">
      <formula>$I$16</formula>
    </cfRule>
  </conditionalFormatting>
  <conditionalFormatting sqref="B10:F10">
    <cfRule type="cellIs" dxfId="3102" priority="29" operator="greaterThan">
      <formula>15</formula>
    </cfRule>
    <cfRule type="cellIs" dxfId="3101" priority="36" operator="lessThan">
      <formula>$I$9</formula>
    </cfRule>
    <cfRule type="cellIs" dxfId="3100" priority="37" operator="greaterThan">
      <formula>$I$9</formula>
    </cfRule>
  </conditionalFormatting>
  <conditionalFormatting sqref="B16:F16">
    <cfRule type="cellIs" dxfId="3099" priority="34" operator="greaterThan">
      <formula>$I$16</formula>
    </cfRule>
    <cfRule type="cellIs" dxfId="3098" priority="35" operator="lessThanOrEqual">
      <formula>$I$16</formula>
    </cfRule>
  </conditionalFormatting>
  <conditionalFormatting sqref="B15:F15">
    <cfRule type="cellIs" dxfId="3097" priority="32" operator="lessThanOrEqual">
      <formula>$I$16</formula>
    </cfRule>
    <cfRule type="cellIs" dxfId="3096" priority="33" operator="greaterThan">
      <formula>$I$16</formula>
    </cfRule>
  </conditionalFormatting>
  <conditionalFormatting sqref="B14:F14">
    <cfRule type="cellIs" dxfId="3095" priority="30" operator="greaterThan">
      <formula>$I$16</formula>
    </cfRule>
    <cfRule type="cellIs" dxfId="3094" priority="31" operator="lessThanOrEqual">
      <formula>$I$16</formula>
    </cfRule>
  </conditionalFormatting>
  <conditionalFormatting sqref="K6">
    <cfRule type="containsText" dxfId="3093" priority="25" operator="containsText" text="衰退">
      <formula>NOT(ISERROR(SEARCH("衰退",K6)))</formula>
    </cfRule>
    <cfRule type="containsText" dxfId="3092" priority="26" operator="containsText" text="成長">
      <formula>NOT(ISERROR(SEARCH("成長",K6)))</formula>
    </cfRule>
  </conditionalFormatting>
  <conditionalFormatting sqref="I4:K4">
    <cfRule type="cellIs" dxfId="3091" priority="23" operator="lessThan">
      <formula>0</formula>
    </cfRule>
    <cfRule type="cellIs" dxfId="309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089" priority="20" operator="lessThanOrEqual">
      <formula>$I$16</formula>
    </cfRule>
    <cfRule type="cellIs" dxfId="3088" priority="21" operator="greaterThan">
      <formula>$I$16</formula>
    </cfRule>
  </conditionalFormatting>
  <conditionalFormatting sqref="I6">
    <cfRule type="containsText" dxfId="3087" priority="18" operator="containsText" text="衰退">
      <formula>NOT(ISERROR(SEARCH("衰退",I6)))</formula>
    </cfRule>
    <cfRule type="containsText" dxfId="3086" priority="19" operator="containsText" text="成長">
      <formula>NOT(ISERROR(SEARCH("成長",I6)))</formula>
    </cfRule>
  </conditionalFormatting>
  <conditionalFormatting sqref="M9">
    <cfRule type="cellIs" dxfId="3085" priority="17" operator="lessThan">
      <formula>$I$9</formula>
    </cfRule>
  </conditionalFormatting>
  <conditionalFormatting sqref="M10">
    <cfRule type="cellIs" dxfId="3084" priority="16" operator="greaterThan">
      <formula>$I$9</formula>
    </cfRule>
  </conditionalFormatting>
  <conditionalFormatting sqref="M11">
    <cfRule type="cellIs" dxfId="308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082" priority="12" operator="lessThan">
      <formula>0</formula>
    </cfRule>
    <cfRule type="cellIs" dxfId="3081" priority="13" operator="greaterThan">
      <formula>0.5</formula>
    </cfRule>
  </conditionalFormatting>
  <conditionalFormatting sqref="N14">
    <cfRule type="cellIs" dxfId="308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079" priority="8" operator="lessThan">
      <formula>0.1</formula>
    </cfRule>
  </conditionalFormatting>
  <conditionalFormatting sqref="I14">
    <cfRule type="cellIs" dxfId="307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07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076" priority="1" operator="lessThan">
      <formula>$N$5*0.9</formula>
    </cfRule>
    <cfRule type="cellIs" dxfId="3075" priority="2" operator="greaterThan">
      <formula>$N$5*1.1</formula>
    </cfRule>
  </conditionalFormatting>
  <hyperlinks>
    <hyperlink ref="L1" location="儀表板!A1" display="(回首頁)" xr:uid="{00000000-0004-0000-3E00-000000000000}"/>
  </hyperlink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0.76 ~ 24.39</v>
      </c>
      <c r="L1" s="83" t="s">
        <v>176</v>
      </c>
      <c r="M1" s="84" t="str">
        <f ca="1">VLOOKUP(_xlfn.NUMBERVALUE(N1),儀表板!A:B,2,FALSE)</f>
        <v>世界</v>
      </c>
      <c r="N1" s="85" t="str">
        <f ca="1">MID(CELL("filename",L1),FIND("]",CELL("filename",L1))+1,255)</f>
        <v>5347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0.11536072781015748</v>
      </c>
    </row>
    <row r="3" spans="1:15" s="93" customFormat="1" x14ac:dyDescent="0.25">
      <c r="A3" s="81" t="s">
        <v>179</v>
      </c>
      <c r="B3" s="94">
        <f>SUM(F19:F22,F24:F27,J19)</f>
        <v>92.215231911666365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42.977064101233509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47.61842272828612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50.876957693591493</v>
      </c>
      <c r="L3" s="100"/>
      <c r="M3" s="79" t="s">
        <v>385</v>
      </c>
      <c r="N3" s="92">
        <f>(F69-E69)/E69</f>
        <v>-0.1997549127112071</v>
      </c>
    </row>
    <row r="4" spans="1:15" s="93" customFormat="1" x14ac:dyDescent="0.25">
      <c r="A4" s="81" t="s">
        <v>182</v>
      </c>
      <c r="B4" s="96">
        <f>SUM(G36:G40)*2</f>
        <v>90</v>
      </c>
      <c r="C4" s="101"/>
      <c r="D4" s="102">
        <f>F4*(1+F141/10)</f>
        <v>164</v>
      </c>
      <c r="E4" s="82">
        <f>(D4-F4)/F4</f>
        <v>0</v>
      </c>
      <c r="F4" s="103">
        <v>164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2.712830845909008</v>
      </c>
    </row>
    <row r="5" spans="1:15" s="93" customFormat="1" x14ac:dyDescent="0.25">
      <c r="A5" s="81" t="s">
        <v>184</v>
      </c>
      <c r="B5" s="107">
        <f>SUM(F30:F34)*2</f>
        <v>98.983388704318941</v>
      </c>
      <c r="C5" s="87"/>
      <c r="D5" s="87"/>
      <c r="E5" s="87"/>
      <c r="F5" s="86"/>
      <c r="G5" s="88"/>
      <c r="M5" s="79" t="s">
        <v>375</v>
      </c>
      <c r="N5" s="152">
        <f>D62</f>
        <v>2.84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2.7314044271655913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35.35</v>
      </c>
      <c r="N9" s="129"/>
    </row>
    <row r="10" spans="1:15" s="93" customFormat="1" x14ac:dyDescent="0.25">
      <c r="A10" s="123" t="s">
        <v>194</v>
      </c>
      <c r="B10" s="126">
        <f>PERCENTILE(176:176,B9)</f>
        <v>14.39</v>
      </c>
      <c r="C10" s="126">
        <f>PERCENTILE(176:176,C9)</f>
        <v>15.695</v>
      </c>
      <c r="D10" s="126">
        <f>PERCENTILE(176:176,D9)</f>
        <v>17.39</v>
      </c>
      <c r="E10" s="126">
        <f>PERCENTILE(176:176,E9)</f>
        <v>18.579999999999998</v>
      </c>
      <c r="F10" s="126">
        <f>PERCENTILE(176:176,F9)</f>
        <v>20.6</v>
      </c>
      <c r="G10" s="95"/>
      <c r="H10" s="135"/>
      <c r="I10" s="135"/>
      <c r="J10" s="135"/>
      <c r="K10" s="135"/>
      <c r="L10" s="136" t="s">
        <v>374</v>
      </c>
      <c r="M10" s="130">
        <f>MIN(176:176)</f>
        <v>11.33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16.399999999999999</v>
      </c>
      <c r="L11" s="272" t="s">
        <v>193</v>
      </c>
      <c r="M11" s="128">
        <f>STDEV(176:176)</f>
        <v>4.972435249843187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35.0140056022409</v>
      </c>
      <c r="C13" s="141">
        <f>$B$34/5.88%</f>
        <v>42.517006802721092</v>
      </c>
      <c r="D13" s="141">
        <f>$B$34/5%</f>
        <v>50</v>
      </c>
      <c r="E13" s="141">
        <f>$B$34/4.35%</f>
        <v>57.471264367816097</v>
      </c>
      <c r="F13" s="141">
        <f>$B$34/3.85%</f>
        <v>64.935064935064929</v>
      </c>
      <c r="G13" s="138" t="str">
        <f>"$"&amp;ROUND(B34,2)&amp;"/"&amp;IF(STDEV(C140:F140)/AVERAGE(C140:F140)&lt;15%,"高",IF(STDEV(C140:F140)/AVERAGE(C140:F140)&lt;30%,"中","低"))</f>
        <v>$2.5/中</v>
      </c>
      <c r="H13" s="142" t="s">
        <v>199</v>
      </c>
      <c r="I13" s="143">
        <f>MAX(0,1-J15)</f>
        <v>0.11504424778761069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43.313899999999997</v>
      </c>
      <c r="C14" s="141">
        <f>$B$33*C10</f>
        <v>47.241949999999996</v>
      </c>
      <c r="D14" s="141">
        <f>$B$33*D10</f>
        <v>52.343899999999998</v>
      </c>
      <c r="E14" s="141">
        <f>$B$33*E10</f>
        <v>55.925799999999988</v>
      </c>
      <c r="F14" s="141">
        <f>$B$33*F10</f>
        <v>62.006</v>
      </c>
      <c r="G14" s="138" t="str">
        <f>"$"&amp;ROUND(B33,2)&amp;"/"&amp;IF(STDEV(B69:E69)/AVERAGE(B69:E69)&lt;15%,"高",IF(STDEV(B69:E69)/AVERAGE(B69:E69)&lt;30%,"中","低"))</f>
        <v>$3.01/高</v>
      </c>
      <c r="H14" s="142" t="s">
        <v>203</v>
      </c>
      <c r="I14" s="145">
        <f>G62/100*I13</f>
        <v>1.9246902654867268E-2</v>
      </c>
      <c r="J14" s="76" t="s">
        <v>204</v>
      </c>
      <c r="K14" s="146"/>
      <c r="L14" s="147">
        <f>(HLOOKUP($C$1,$105:$106,2,FALSE)-HLOOKUP($C$1,$117:$127,9,FALSE))/(HLOOKUP($C$1,$117:$128,12,FALSE)/K11)</f>
        <v>8.6789769333304534</v>
      </c>
      <c r="M14" s="148">
        <f>E135/E69</f>
        <v>0.91740412979351027</v>
      </c>
      <c r="N14" s="149">
        <f>F173/100</f>
        <v>1.4398</v>
      </c>
    </row>
    <row r="15" spans="1:15" s="93" customFormat="1" x14ac:dyDescent="0.25">
      <c r="A15" s="140" t="s">
        <v>375</v>
      </c>
      <c r="B15" s="141">
        <f>$D$62*B10</f>
        <v>40.867600000000003</v>
      </c>
      <c r="C15" s="141">
        <f>$D$62*C10</f>
        <v>44.573799999999999</v>
      </c>
      <c r="D15" s="141">
        <f>$D$62*D10</f>
        <v>49.387599999999999</v>
      </c>
      <c r="E15" s="141">
        <f>$D$62*E10</f>
        <v>52.767199999999995</v>
      </c>
      <c r="F15" s="141">
        <f>$D$62*F10</f>
        <v>58.503999999999998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0.88495575221238931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39.037635872630624</v>
      </c>
      <c r="C16" s="141">
        <f>$F$69*C10</f>
        <v>42.577880126541885</v>
      </c>
      <c r="D16" s="141">
        <f>$F$69*D10</f>
        <v>47.176128410357649</v>
      </c>
      <c r="E16" s="141">
        <f>$F$69*E10</f>
        <v>50.404397116989365</v>
      </c>
      <c r="F16" s="141">
        <f>$F$69*F10</f>
        <v>55.884315425725568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6853</v>
      </c>
      <c r="J17" s="92">
        <f ca="1">IF(I17&lt;=0,"",IF(I17&lt;=MIN($B$13:$F$16),(I17-MIN($B$13:$F$16))/MIN($B$13:$F$16),IF(I17&gt;=MAX($B$13:$F$16),I17/MAX($B$13:$F$16),PERCENTRANK($B$13:$F$16,I17))))</f>
        <v>105.53620000000001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2.8274999999999997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1.1309999999999998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0.14287419415084457</v>
      </c>
      <c r="J20" s="171">
        <f>HLOOKUP($C$1,$117:$127,11,FALSE)/HLOOKUP($C$1,$105:$115,11,FALSE)</f>
        <v>0.17967237740222311</v>
      </c>
      <c r="K20" s="163"/>
    </row>
    <row r="21" spans="1:14" s="93" customFormat="1" x14ac:dyDescent="0.25">
      <c r="A21" s="151" t="s">
        <v>201</v>
      </c>
      <c r="B21" s="161">
        <f>AVERAGE(C173:F173)/100</f>
        <v>1.5301749999999998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4.5834279630026336</v>
      </c>
      <c r="J21" s="78"/>
      <c r="K21" s="164" t="s">
        <v>356</v>
      </c>
      <c r="L21" s="165">
        <f>HLOOKUP($C$1,$105:$115,7,FALSE)/HLOOKUP($C$1,$105:$115,11,FALSE)</f>
        <v>0.70342937799401206</v>
      </c>
      <c r="M21" s="123" t="s">
        <v>268</v>
      </c>
      <c r="N21" s="165">
        <f>HLOOKUP($C$1,$117:$127,8,FALSE)/HLOOKUP($C$1,$117:$127,11,FALSE)</f>
        <v>0.85417877923028485</v>
      </c>
    </row>
    <row r="22" spans="1:14" s="93" customFormat="1" x14ac:dyDescent="0.25">
      <c r="A22" s="140" t="s">
        <v>222</v>
      </c>
      <c r="B22" s="161">
        <f>(-1)*SUM(C133:F133)/SUM(C132:F132)</f>
        <v>0.37410071942446044</v>
      </c>
      <c r="C22" s="157"/>
      <c r="D22" s="166"/>
      <c r="E22" s="140"/>
      <c r="F22" s="159">
        <f>IF(B22&lt;=0,10,IF(B22&gt;=100%,0,(1-B22)*10))</f>
        <v>6.2589928057553958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4.0824084687934921</v>
      </c>
      <c r="J22" s="78"/>
      <c r="K22" s="142" t="s">
        <v>357</v>
      </c>
      <c r="L22" s="165">
        <f>HLOOKUP($C$1,$105:$115,4,FALSE)/HLOOKUP($C$1,$105:$115,11,FALSE)</f>
        <v>0.12385211541184278</v>
      </c>
      <c r="M22" s="123" t="s">
        <v>353</v>
      </c>
      <c r="N22" s="165">
        <f>HLOOKUP($C$1,$117:$127,4,FALSE)/HLOOKUP($C$1,$117:$127,11,FALSE)</f>
        <v>0.20480712607815266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1.2190251461157002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7.6892630149145089E-2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55.9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1.2204142937567398E-2</v>
      </c>
      <c r="M24" s="123" t="s">
        <v>355</v>
      </c>
      <c r="N24" s="165">
        <f>HLOOKUP($C$1,$117:$127,9,FALSE)/HLOOKUP($C$1,$117:$127,11,FALSE)</f>
        <v>0.14582122076971513</v>
      </c>
    </row>
    <row r="25" spans="1:14" s="93" customFormat="1" x14ac:dyDescent="0.25">
      <c r="A25" s="151" t="s">
        <v>366</v>
      </c>
      <c r="B25" s="255">
        <f>AVERAGE(94:94)</f>
        <v>54095.478260869568</v>
      </c>
      <c r="C25" s="254">
        <f>STDEV(94:94)/AVERAGE(94:94)</f>
        <v>1.0437608940890395</v>
      </c>
      <c r="D25" s="76" t="str">
        <f>IF(C25&lt;=1,"高",IF(C25&lt;=2,"中","低"))</f>
        <v>中</v>
      </c>
      <c r="E25" s="149"/>
      <c r="F25" s="160">
        <f>MAX(0,10-ABS(C25))</f>
        <v>8.9562391059109601</v>
      </c>
      <c r="G25" s="88" t="s">
        <v>213</v>
      </c>
      <c r="H25" s="123" t="s">
        <v>232</v>
      </c>
      <c r="I25" s="170">
        <f>IF(HLOOKUP(C1,167:170,3,FALSE)="無",0,HLOOKUP(C1,167:170,3,FALSE))</f>
        <v>49.72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52.634782608695659</v>
      </c>
      <c r="C26" s="172">
        <f>IF(COUNTIF(168:168,"&gt;0")=0,0,STDEV(168:168))</f>
        <v>3.6061763552464177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47.919565217391309</v>
      </c>
      <c r="C27" s="172">
        <f>IF(COUNTIF(169:169,"&gt;0")=0,0,STDEV(169:169))</f>
        <v>4.9375872634505287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0.33147500000000002</v>
      </c>
      <c r="C30" s="157" t="s">
        <v>217</v>
      </c>
      <c r="D30" s="174">
        <f>COUNTIF(146:146,"&gt;20")/COUNT(146:146)</f>
        <v>0.95652173913043481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0.206675</v>
      </c>
      <c r="C31" s="157" t="s">
        <v>217</v>
      </c>
      <c r="D31" s="174">
        <f>COUNTIF(149:149,"&gt;8")/COUNT(149:149)</f>
        <v>0.95652173913043481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18.7575</v>
      </c>
      <c r="C32" s="157" t="s">
        <v>217</v>
      </c>
      <c r="D32" s="174">
        <f>COUNTIF(159:159,"&gt;3")/COUNT(159:159)</f>
        <v>0.95652173913043481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3.01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9.4916943521594686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23553723.5</v>
      </c>
      <c r="C36" s="178">
        <f>STDEV(C97:F97)</f>
        <v>1934132.6477286057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33.147500000000001</v>
      </c>
      <c r="C37" s="180">
        <f>STDEV(C152:F152)</f>
        <v>2.7828567456243003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23.055</v>
      </c>
      <c r="C38" s="180">
        <f>STDEV(C153:F153)</f>
        <v>2.5388777048136837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18.7575</v>
      </c>
      <c r="C39" s="181">
        <f>STDEV(C165:F165)</f>
        <v>2.5210497152310669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3.01</v>
      </c>
      <c r="C40" s="183">
        <f>STDEV(B69:E69)</f>
        <v>0.42559761904096122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-0.1125000000000001</v>
      </c>
      <c r="C44" s="186">
        <f>(C46-C49)/C49</f>
        <v>-0.35483870967741943</v>
      </c>
      <c r="D44" s="186">
        <f>(D46-D49)/D49</f>
        <v>-0.15662650602409639</v>
      </c>
      <c r="E44" s="186">
        <f>(E46-E49)/E49</f>
        <v>0.56603773584905648</v>
      </c>
      <c r="G44" s="86" t="s">
        <v>175</v>
      </c>
      <c r="H44" s="186">
        <f>(H47-H50)/H50</f>
        <v>-0.10273972602739723</v>
      </c>
      <c r="I44" s="186">
        <f>(I47-I50)/I50</f>
        <v>-0.24295190713101156</v>
      </c>
      <c r="J44" s="186">
        <f>(J47-J50)/J50</f>
        <v>-0.17506838608831587</v>
      </c>
      <c r="K44" s="186">
        <f>(K47-K50)/K50</f>
        <v>0.20268006700167487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0.71</v>
      </c>
      <c r="C46" s="152">
        <f>HLOOKUP(C45,$81:$82,2,FALSE)</f>
        <v>0.6</v>
      </c>
      <c r="D46" s="152">
        <f>HLOOKUP(D45,$81:$82,2,FALSE)</f>
        <v>0.7</v>
      </c>
      <c r="E46" s="152">
        <f>HLOOKUP(E45,$81:$82,2,FALSE)</f>
        <v>0.83</v>
      </c>
      <c r="G46" s="86" t="s">
        <v>164</v>
      </c>
      <c r="H46" s="145">
        <f>HLOOKUP(H45,$145:$147,2,FALSE)/100</f>
        <v>0.31829999999999997</v>
      </c>
      <c r="I46" s="145">
        <f>HLOOKUP(I45,$145:$147,2,FALSE)/100</f>
        <v>0.30010000000000003</v>
      </c>
      <c r="J46" s="145">
        <f>HLOOKUP(J45,$145:$147,2,FALSE)/100</f>
        <v>0.3211</v>
      </c>
      <c r="K46" s="145">
        <f>HLOOKUP(K45,$145:$147,2,FALSE)/100</f>
        <v>0.33740000000000003</v>
      </c>
    </row>
    <row r="47" spans="1:14" x14ac:dyDescent="0.25">
      <c r="A47" s="188" t="s">
        <v>165</v>
      </c>
      <c r="B47" s="189">
        <f>HLOOKUP(B45,$157:$159,3,FALSE)</f>
        <v>4.41</v>
      </c>
      <c r="C47" s="189">
        <f>HLOOKUP(C45,$157:$159,3,FALSE)</f>
        <v>3.54</v>
      </c>
      <c r="D47" s="189">
        <f>HLOOKUP(D45,$157:$159,3,FALSE)</f>
        <v>3.94</v>
      </c>
      <c r="E47" s="189">
        <f>HLOOKUP(E45,$157:$159,3,FALSE)</f>
        <v>4.84</v>
      </c>
      <c r="G47" s="190" t="s">
        <v>166</v>
      </c>
      <c r="H47" s="145">
        <f>HLOOKUP(H45,$145:$147,3,FALSE)/100</f>
        <v>0.20960000000000001</v>
      </c>
      <c r="I47" s="145">
        <f>HLOOKUP(I45,$145:$147,3,FALSE)/100</f>
        <v>0.18260000000000001</v>
      </c>
      <c r="J47" s="145">
        <f>HLOOKUP(J45,$145:$147,3,FALSE)/100</f>
        <v>0.21109999999999998</v>
      </c>
      <c r="K47" s="145">
        <f>HLOOKUP(K45,$145:$147,3,FALSE)/100</f>
        <v>0.21539999999999998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0.8</v>
      </c>
      <c r="C49" s="152">
        <f>HLOOKUP(C48,$81:$82,2,FALSE)</f>
        <v>0.93</v>
      </c>
      <c r="D49" s="152">
        <f>HLOOKUP(D48,$81:$82,2,FALSE)</f>
        <v>0.83</v>
      </c>
      <c r="E49" s="152">
        <f>HLOOKUP(E48,$81:$82,2,FALSE)</f>
        <v>0.53</v>
      </c>
      <c r="G49" s="86" t="s">
        <v>164</v>
      </c>
      <c r="H49" s="145">
        <f>HLOOKUP(H48,$145:$147,2,FALSE)/100</f>
        <v>0.34439999999999998</v>
      </c>
      <c r="I49" s="145">
        <f>HLOOKUP(I48,$145:$147,2,FALSE)/100</f>
        <v>0.34820000000000001</v>
      </c>
      <c r="J49" s="145">
        <f>HLOOKUP(J48,$145:$147,2,FALSE)/100</f>
        <v>0.35249999999999998</v>
      </c>
      <c r="K49" s="145">
        <f>HLOOKUP(K48,$145:$147,2,FALSE)/100</f>
        <v>0.27510000000000001</v>
      </c>
    </row>
    <row r="50" spans="1:15" x14ac:dyDescent="0.25">
      <c r="A50" s="188" t="s">
        <v>165</v>
      </c>
      <c r="B50" s="189">
        <f>HLOOKUP(B48,$157:$159,3,FALSE)</f>
        <v>4.91</v>
      </c>
      <c r="C50" s="189">
        <f>HLOOKUP(C48,$157:$159,3,FALSE)</f>
        <v>5.52</v>
      </c>
      <c r="D50" s="189">
        <f>HLOOKUP(D48,$157:$159,3,FALSE)</f>
        <v>4.8099999999999996</v>
      </c>
      <c r="E50" s="189">
        <f>HLOOKUP(E48,$157:$159,3,FALSE)</f>
        <v>3.24</v>
      </c>
      <c r="G50" s="190" t="s">
        <v>166</v>
      </c>
      <c r="H50" s="145">
        <f>HLOOKUP(H48,$145:$147,3,FALSE)/100</f>
        <v>0.2336</v>
      </c>
      <c r="I50" s="145">
        <f>HLOOKUP(I48,$145:$147,3,FALSE)/100</f>
        <v>0.2412</v>
      </c>
      <c r="J50" s="145">
        <f>HLOOKUP(J48,$145:$147,3,FALSE)/100</f>
        <v>0.25590000000000002</v>
      </c>
      <c r="K50" s="145">
        <f>HLOOKUP(K48,$145:$147,3,FALSE)/100</f>
        <v>0.17910000000000001</v>
      </c>
    </row>
    <row r="51" spans="1:15" x14ac:dyDescent="0.25">
      <c r="A51" s="86" t="s">
        <v>351</v>
      </c>
      <c r="B51" s="186">
        <f>(B47-B50)/B50</f>
        <v>-0.10183299389002036</v>
      </c>
      <c r="C51" s="186">
        <f>(C47-C50)/C50</f>
        <v>-0.35869565217391297</v>
      </c>
      <c r="D51" s="186">
        <f>(D47-D50)/D50</f>
        <v>-0.18087318087318083</v>
      </c>
      <c r="E51" s="186">
        <f>(E47-E50)/E50</f>
        <v>0.49382716049382702</v>
      </c>
      <c r="G51" s="235" t="s">
        <v>174</v>
      </c>
      <c r="H51" s="186">
        <f>(H46-H49)/H49</f>
        <v>-7.5783972125435584E-2</v>
      </c>
      <c r="I51" s="186">
        <f>(I46-I49)/I49</f>
        <v>-0.13813900057438247</v>
      </c>
      <c r="J51" s="186">
        <f>(J46-J49)/J49</f>
        <v>-8.907801418439712E-2</v>
      </c>
      <c r="K51" s="186">
        <f>(K46-K49)/K49</f>
        <v>0.22646310432569983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2.7314044271655913</v>
      </c>
      <c r="B53" s="193">
        <f>B46</f>
        <v>0.71</v>
      </c>
      <c r="C53" s="193">
        <f>E46/HLOOKUP(E45,$87:$94,5,FALSE)*HLOOKUP(E45,$87:$94,4,FALSE)*($B$25/HLOOKUP(E45,$87:$94,4,FALSE)+SUM($B$57:$D$57)/SUM($B58:$D$58)*$G$69/100/K46)</f>
        <v>0.70283084590900846</v>
      </c>
      <c r="D53" s="193">
        <f>D46/HLOOKUP(D45,$87:$94,5,FALSE)*HLOOKUP(D45,$87:$94,4,FALSE)*($B$25/HLOOKUP(D45,$87:$94,4,FALSE)+SUM($B$57:$D$57)/SUM($B58:$D$58)*$G$69/100/J46)</f>
        <v>0.74149681870420536</v>
      </c>
      <c r="E53" s="193">
        <f>C46/HLOOKUP(C45,$87:$94,5,FALSE)*HLOOKUP(C45,$87:$94,4,FALSE)*($B$25/HLOOKUP(C45,$87:$94,4,FALSE)+SUM($B$57:$D$57)/SUM($B58:$D$58)*$G$69/100/I46)</f>
        <v>0.57707676255237772</v>
      </c>
    </row>
    <row r="54" spans="1:15" x14ac:dyDescent="0.25">
      <c r="A54" s="278">
        <f>SUM(B54:E54)</f>
        <v>2.93</v>
      </c>
      <c r="B54" s="277">
        <f t="shared" ref="B54:D54" si="0">HLOOKUP(B52-10,81:82,2,FALSE)</f>
        <v>0.8</v>
      </c>
      <c r="C54" s="277">
        <f t="shared" si="0"/>
        <v>0.83</v>
      </c>
      <c r="D54" s="277">
        <f t="shared" si="0"/>
        <v>0.7</v>
      </c>
      <c r="E54" s="277">
        <f>HLOOKUP(E52-10,81:82,2,FALSE)</f>
        <v>0.6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2086125</v>
      </c>
      <c r="C57" s="196">
        <f>HLOOKUP(C56,78:79,2,FALSE)</f>
        <v>2251091</v>
      </c>
      <c r="D57" s="196">
        <f>HLOOKUP(D56,78:79,2,FALSE)</f>
        <v>2214037</v>
      </c>
      <c r="E57" s="196">
        <f>HLOOKUP(E56,78:79,2,FALSE)</f>
        <v>1934929</v>
      </c>
      <c r="F57" s="196">
        <f>HLOOKUP(F56,78:79,2,FALSE)</f>
        <v>2185411</v>
      </c>
      <c r="G57" s="196">
        <f t="shared" ref="G57:M57" si="2">HLOOKUP(G56,78:79,2,FALSE)</f>
        <v>1971259</v>
      </c>
      <c r="H57" s="196">
        <f t="shared" si="2"/>
        <v>1714443</v>
      </c>
      <c r="I57" s="196">
        <f t="shared" si="2"/>
        <v>2396524</v>
      </c>
      <c r="J57" s="196">
        <f t="shared" si="2"/>
        <v>1895636</v>
      </c>
      <c r="K57" s="196">
        <f t="shared" si="2"/>
        <v>1971271</v>
      </c>
      <c r="L57" s="196">
        <f t="shared" si="2"/>
        <v>2179636</v>
      </c>
      <c r="M57" s="196">
        <f t="shared" si="2"/>
        <v>2165964</v>
      </c>
      <c r="N57" s="197"/>
    </row>
    <row r="58" spans="1:15" x14ac:dyDescent="0.25">
      <c r="A58" s="198" t="s">
        <v>253</v>
      </c>
      <c r="B58" s="196">
        <f>HLOOKUP(B56-100,78:79,2,FALSE)</f>
        <v>2250884</v>
      </c>
      <c r="C58" s="196">
        <f>HLOOKUP(C56-100,78:79,2,FALSE)</f>
        <v>2145748</v>
      </c>
      <c r="D58" s="196">
        <f>HLOOKUP(D56-100,78:79,2,FALSE)</f>
        <v>2234220</v>
      </c>
      <c r="E58" s="196">
        <f>HLOOKUP(E56-100,78:79,2,FALSE)</f>
        <v>2174642</v>
      </c>
      <c r="F58" s="196">
        <f>HLOOKUP(F56-100,78:79,2,FALSE)</f>
        <v>2107800</v>
      </c>
      <c r="G58" s="196">
        <f t="shared" ref="G58:M58" si="3">HLOOKUP(G56-100,78:79,2,FALSE)</f>
        <v>2209130</v>
      </c>
      <c r="H58" s="196">
        <f t="shared" si="3"/>
        <v>2146058</v>
      </c>
      <c r="I58" s="196">
        <f t="shared" si="3"/>
        <v>2180520</v>
      </c>
      <c r="J58" s="196">
        <f t="shared" si="3"/>
        <v>2022455</v>
      </c>
      <c r="K58" s="196">
        <f t="shared" si="3"/>
        <v>2011577</v>
      </c>
      <c r="L58" s="196">
        <f t="shared" si="3"/>
        <v>1800112</v>
      </c>
      <c r="M58" s="196">
        <f t="shared" si="3"/>
        <v>1784648</v>
      </c>
      <c r="N58" s="197"/>
    </row>
    <row r="59" spans="1:15" x14ac:dyDescent="0.25">
      <c r="A59" s="199" t="s">
        <v>254</v>
      </c>
      <c r="B59" s="165">
        <f>IF(B57&lt;&gt;"",(B57-B58)/B58,"")</f>
        <v>-7.3197463752019201E-2</v>
      </c>
      <c r="C59" s="165">
        <f>IF(C57&lt;&gt;"",(C57-C58)/C58,"")</f>
        <v>4.9093835809237617E-2</v>
      </c>
      <c r="D59" s="165">
        <f>IF(D57&lt;&gt;"",(D57-D58)/D58,"")</f>
        <v>-9.0335777139225314E-3</v>
      </c>
      <c r="E59" s="165">
        <f>IF(E57&lt;&gt;"",(E57-E58)/E58,"")</f>
        <v>-0.11023101733526713</v>
      </c>
      <c r="F59" s="165">
        <f>IF(F57&lt;&gt;"",(F57-F58)/F58,"")</f>
        <v>3.682085586867824E-2</v>
      </c>
      <c r="G59" s="165">
        <f t="shared" ref="G59:M59" si="4">IF(G57&lt;&gt;"",(G57-G58)/G58,"")</f>
        <v>-0.10767632506914487</v>
      </c>
      <c r="H59" s="165">
        <f t="shared" si="4"/>
        <v>-0.20111991381407213</v>
      </c>
      <c r="I59" s="165">
        <f t="shared" si="4"/>
        <v>9.9060774494157358E-2</v>
      </c>
      <c r="J59" s="165">
        <f t="shared" si="4"/>
        <v>-6.2705474287437793E-2</v>
      </c>
      <c r="K59" s="165">
        <f t="shared" si="4"/>
        <v>-2.0037015734421303E-2</v>
      </c>
      <c r="L59" s="165">
        <f t="shared" si="4"/>
        <v>0.21083354813478272</v>
      </c>
      <c r="M59" s="165">
        <f t="shared" si="4"/>
        <v>0.21366454337213836</v>
      </c>
    </row>
    <row r="60" spans="1:15" x14ac:dyDescent="0.25">
      <c r="A60" s="195" t="s">
        <v>255</v>
      </c>
      <c r="B60" s="196">
        <f>SUM(B57:M57)</f>
        <v>24966326</v>
      </c>
    </row>
    <row r="61" spans="1:15" x14ac:dyDescent="0.25">
      <c r="A61" s="198" t="s">
        <v>256</v>
      </c>
      <c r="B61" s="196">
        <f>SUM(B58:M58)</f>
        <v>25067794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0.99595225650888941</v>
      </c>
      <c r="D62" s="152">
        <f>SUM(B46:E46)</f>
        <v>2.84</v>
      </c>
      <c r="E62" s="152">
        <f>SUM(B49:E49)</f>
        <v>3.09</v>
      </c>
      <c r="G62" s="126">
        <f>SUM(B47:E47)</f>
        <v>16.73</v>
      </c>
      <c r="H62" s="126">
        <f>SUM(B50:E50)</f>
        <v>18.479999999999997</v>
      </c>
      <c r="J62" s="200">
        <f>AVERAGE(H46:K46)</f>
        <v>0.31922499999999998</v>
      </c>
      <c r="K62" s="200">
        <f>AVERAGE(H49:K49)</f>
        <v>0.33004999999999995</v>
      </c>
      <c r="M62" s="200">
        <f>AVERAGE(H47:K47)</f>
        <v>0.204675</v>
      </c>
      <c r="N62" s="200">
        <f>AVERAGE(H50:K50)</f>
        <v>0.22745000000000001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0.56999999999999995</v>
      </c>
      <c r="C65" s="205">
        <f t="shared" si="5"/>
        <v>0.84</v>
      </c>
      <c r="D65" s="205">
        <f t="shared" si="5"/>
        <v>0.84</v>
      </c>
      <c r="E65" s="205">
        <f t="shared" si="5"/>
        <v>0.83</v>
      </c>
      <c r="F65" s="206">
        <f>IF(ISNA(HLOOKUP(F$64*10+$A65,$81:$82,2,FALSE)),(HLOOKUP(E$64*10+$A65,$87:$94,4,FALSE)*$G65+$B$25)/HLOOKUP(E$64*10+$A65,$87:$94,5,FALSE)*$E65,HLOOKUP(F$64*10+$A65,$81:$82,2,FALSE))</f>
        <v>0.7</v>
      </c>
      <c r="G65" s="101">
        <f>MIN(130%,SUM($B$57:$D$57)/SUM($B$58:$D$58)*$G$69/HLOOKUP(E$64*10+$A65,$145:$146,2,FALSE))</f>
        <v>0.85966978365351898</v>
      </c>
      <c r="H65" s="204">
        <v>1</v>
      </c>
      <c r="I65" s="208">
        <f t="shared" ref="I65:M68" si="6">IF(ISNA(HLOOKUP(I$64*10+$H65,$145:$147,3,FALSE)),"",HLOOKUP(I$64*10+$H65,$145:$147,3,FALSE)/100)</f>
        <v>0.19989999999999999</v>
      </c>
      <c r="J65" s="208">
        <f t="shared" si="6"/>
        <v>0.2722</v>
      </c>
      <c r="K65" s="208">
        <f t="shared" si="6"/>
        <v>0.24179999999999999</v>
      </c>
      <c r="L65" s="208">
        <f t="shared" si="6"/>
        <v>0.25590000000000002</v>
      </c>
      <c r="M65" s="209">
        <f t="shared" si="6"/>
        <v>0.21109999999999998</v>
      </c>
      <c r="N65" s="256">
        <f t="shared" ref="N65:O68" si="7">HLOOKUP(E$64*10+$A65,$87:$94,8,FALSE)</f>
        <v>-58443</v>
      </c>
      <c r="O65" s="256">
        <f t="shared" si="7"/>
        <v>-93142</v>
      </c>
      <c r="P65" s="210"/>
    </row>
    <row r="66" spans="1:71" x14ac:dyDescent="0.25">
      <c r="A66" s="204">
        <v>2</v>
      </c>
      <c r="B66" s="205">
        <f t="shared" si="5"/>
        <v>0.71</v>
      </c>
      <c r="C66" s="205">
        <f t="shared" si="5"/>
        <v>0.81</v>
      </c>
      <c r="D66" s="205">
        <f t="shared" si="5"/>
        <v>0.65</v>
      </c>
      <c r="E66" s="205">
        <f t="shared" si="5"/>
        <v>0.93</v>
      </c>
      <c r="F66" s="206">
        <f>IF(ISNA(HLOOKUP(F$64*10+$A66,$81:$82,2,FALSE)),(HLOOKUP(E$64*10+$A66,$87:$94,4,FALSE)*$G66+$B$25)/HLOOKUP(E$64*10+$A66,$87:$94,5,FALSE)*$E66,HLOOKUP(F$64*10+$A66,$81:$82,2,FALSE))</f>
        <v>0.6</v>
      </c>
      <c r="G66" s="101">
        <f>MIN(130%,SUM($B$57:$D$57)/SUM($B$58:$D$58)*$G$69/HLOOKUP(E$64*10+$A66,$145:$146,2,FALSE))</f>
        <v>0.87028603887956757</v>
      </c>
      <c r="H66" s="204">
        <v>2</v>
      </c>
      <c r="I66" s="208">
        <f t="shared" si="6"/>
        <v>0.23550000000000001</v>
      </c>
      <c r="J66" s="208">
        <f t="shared" si="6"/>
        <v>0.27800000000000002</v>
      </c>
      <c r="K66" s="208">
        <f t="shared" si="6"/>
        <v>0.19339999999999999</v>
      </c>
      <c r="L66" s="208">
        <f t="shared" si="6"/>
        <v>0.2412</v>
      </c>
      <c r="M66" s="209">
        <f t="shared" si="6"/>
        <v>0.18260000000000001</v>
      </c>
      <c r="N66" s="256">
        <f t="shared" si="7"/>
        <v>80691</v>
      </c>
      <c r="O66" s="256">
        <f t="shared" si="7"/>
        <v>109724</v>
      </c>
      <c r="P66" s="210"/>
    </row>
    <row r="67" spans="1:71" x14ac:dyDescent="0.25">
      <c r="A67" s="204">
        <v>3</v>
      </c>
      <c r="B67" s="205">
        <f t="shared" si="5"/>
        <v>0.77</v>
      </c>
      <c r="C67" s="205">
        <f t="shared" si="5"/>
        <v>0.81</v>
      </c>
      <c r="D67" s="205">
        <f t="shared" si="5"/>
        <v>0.52</v>
      </c>
      <c r="E67" s="205">
        <f t="shared" si="5"/>
        <v>0.8</v>
      </c>
      <c r="F67" s="206">
        <f>IF(ISNA(HLOOKUP(F$64*10+$A67,$81:$82,2,FALSE)),(HLOOKUP(E$64*10+$A67,$87:$94,4,FALSE)*$G67+$B$25)/HLOOKUP(E$64*10+$A67,$87:$94,5,FALSE)*$E67,HLOOKUP(F$64*10+$A67,$81:$82,2,FALSE))</f>
        <v>0.71</v>
      </c>
      <c r="G67" s="101">
        <f>MIN(130%,SUM($B$57:$D$57)/SUM($B$58:$D$58)*$G$69/HLOOKUP(E$64*10+$A67,$145:$146,2,FALSE))</f>
        <v>0.87988849807742586</v>
      </c>
      <c r="H67" s="204">
        <v>3</v>
      </c>
      <c r="I67" s="208">
        <f t="shared" si="6"/>
        <v>0.24600000000000002</v>
      </c>
      <c r="J67" s="208">
        <f t="shared" si="6"/>
        <v>0.2409</v>
      </c>
      <c r="K67" s="208">
        <f t="shared" si="6"/>
        <v>0.16899999999999998</v>
      </c>
      <c r="L67" s="208">
        <f t="shared" si="6"/>
        <v>0.2336</v>
      </c>
      <c r="M67" s="209">
        <f t="shared" si="6"/>
        <v>0.20960000000000001</v>
      </c>
      <c r="N67" s="256">
        <f t="shared" si="7"/>
        <v>-13114</v>
      </c>
      <c r="O67" s="256">
        <f t="shared" si="7"/>
        <v>64862</v>
      </c>
      <c r="P67" s="210"/>
    </row>
    <row r="68" spans="1:71" x14ac:dyDescent="0.25">
      <c r="A68" s="204">
        <v>4</v>
      </c>
      <c r="B68" s="205">
        <f>HLOOKUP(B$64*10+$A68,$81:$82,2,FALSE)</f>
        <v>0.71</v>
      </c>
      <c r="C68" s="205">
        <f>HLOOKUP(C$64*10+$A68,$81:$82,2,FALSE)</f>
        <v>0.89</v>
      </c>
      <c r="D68" s="205">
        <f>HLOOKUP(D$64*10+$A68,$81:$82,2,FALSE)</f>
        <v>0.53</v>
      </c>
      <c r="E68" s="206">
        <f>IF(ISNA(HLOOKUP(E$64*10+$A68,$81:$82,2,FALSE)),D68*(1-$N68)*#REF!*(1+$B$25)/(1+$E$4),HLOOKUP(E$64*10+$A68,$81:$82,2,FALSE))</f>
        <v>0.83</v>
      </c>
      <c r="F68" s="206">
        <f>IF(ISNA(HLOOKUP(F$64*10+$A68,$81:$82,2,FALSE)),(HLOOKUP(E$64*10+$A68,$87:$94,4,FALSE)*$G68+$B$25)/HLOOKUP(E$64*10+$A68,$87:$94,5,FALSE)*$E68,HLOOKUP(F$64*10+$A68,$81:$82,2,FALSE))</f>
        <v>0.70283084590900846</v>
      </c>
      <c r="G68" s="101">
        <f>MIN(130%,SUM($B$57:$D$57)/SUM($B$58:$D$58)*$G$69/HLOOKUP(E$64*10+$A68,$145:$146,2,FALSE))</f>
        <v>0.89814344617031838</v>
      </c>
      <c r="H68" s="204">
        <v>4</v>
      </c>
      <c r="I68" s="208">
        <f t="shared" si="6"/>
        <v>0.2303</v>
      </c>
      <c r="J68" s="208">
        <f t="shared" si="6"/>
        <v>0.24890000000000001</v>
      </c>
      <c r="K68" s="208">
        <f t="shared" si="6"/>
        <v>0.17910000000000001</v>
      </c>
      <c r="L68" s="208">
        <f t="shared" si="6"/>
        <v>0.21539999999999998</v>
      </c>
      <c r="M68" s="209" t="str">
        <f t="shared" si="6"/>
        <v/>
      </c>
      <c r="N68" s="256">
        <f t="shared" si="7"/>
        <v>150055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2.76</v>
      </c>
      <c r="C69" s="213">
        <f>SUM(C65:C68)</f>
        <v>3.35</v>
      </c>
      <c r="D69" s="213">
        <f>SUM(D65:D68)</f>
        <v>2.54</v>
      </c>
      <c r="E69" s="213">
        <f>SUM(E65:E68)</f>
        <v>3.39</v>
      </c>
      <c r="F69" s="213">
        <f>SUM(F65:F68)</f>
        <v>2.712830845909008</v>
      </c>
      <c r="G69" s="257">
        <f>_xlfn.FORECAST.ETS(23,B146:W146,{1,2,3,4,5,6,7,8,9,10,11,12,13,14,15,16,17,18,19,20,21,22})</f>
        <v>30.671551598727337</v>
      </c>
      <c r="H69" s="214" t="s">
        <v>19</v>
      </c>
      <c r="I69" s="215">
        <f>HLOOKUP(I64,151:155,3,FALSE)/100</f>
        <v>0.22889999999999999</v>
      </c>
      <c r="J69" s="215">
        <f>HLOOKUP(J64,151:155,3,FALSE)/100</f>
        <v>0.25929999999999997</v>
      </c>
      <c r="K69" s="215">
        <f>HLOOKUP(K64,151:155,3,FALSE)/100</f>
        <v>0.1978</v>
      </c>
      <c r="L69" s="215">
        <f>IF(ISNA(HLOOKUP(L64,151:155,3,FALSE)/100),AVERAGE(L65:L68),HLOOKUP(L64,151:155,3,FALSE)/100)</f>
        <v>0.23620000000000002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4.08</v>
      </c>
      <c r="C72" s="205">
        <f t="shared" si="8"/>
        <v>5.31</v>
      </c>
      <c r="D72" s="205">
        <f t="shared" si="8"/>
        <v>4.8499999999999996</v>
      </c>
      <c r="E72" s="205">
        <f t="shared" si="8"/>
        <v>4.8099999999999996</v>
      </c>
      <c r="F72" s="205">
        <f t="shared" si="8"/>
        <v>3.94</v>
      </c>
    </row>
    <row r="73" spans="1:71" s="135" customFormat="1" x14ac:dyDescent="0.25">
      <c r="A73" s="204">
        <v>2</v>
      </c>
      <c r="B73" s="205">
        <f t="shared" si="8"/>
        <v>5.13</v>
      </c>
      <c r="C73" s="205">
        <f t="shared" si="8"/>
        <v>5.2</v>
      </c>
      <c r="D73" s="205">
        <f t="shared" si="8"/>
        <v>3.89</v>
      </c>
      <c r="E73" s="205">
        <f t="shared" si="8"/>
        <v>5.52</v>
      </c>
      <c r="F73" s="205">
        <f t="shared" si="8"/>
        <v>3.54</v>
      </c>
    </row>
    <row r="74" spans="1:71" s="135" customFormat="1" x14ac:dyDescent="0.25">
      <c r="A74" s="204">
        <v>3</v>
      </c>
      <c r="B74" s="205">
        <f t="shared" si="8"/>
        <v>5.41</v>
      </c>
      <c r="C74" s="205">
        <f t="shared" si="8"/>
        <v>5.21</v>
      </c>
      <c r="D74" s="205">
        <f t="shared" si="8"/>
        <v>3.26</v>
      </c>
      <c r="E74" s="205">
        <f t="shared" si="8"/>
        <v>4.91</v>
      </c>
      <c r="F74" s="205">
        <f t="shared" si="8"/>
        <v>4.41</v>
      </c>
    </row>
    <row r="75" spans="1:71" s="135" customFormat="1" x14ac:dyDescent="0.25">
      <c r="A75" s="204">
        <v>4</v>
      </c>
      <c r="B75" s="205">
        <f t="shared" si="8"/>
        <v>4.7300000000000004</v>
      </c>
      <c r="C75" s="205">
        <f t="shared" si="8"/>
        <v>5.4</v>
      </c>
      <c r="D75" s="205">
        <f t="shared" si="8"/>
        <v>3.24</v>
      </c>
      <c r="E75" s="205">
        <f t="shared" si="8"/>
        <v>4.84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19.350000000000001</v>
      </c>
      <c r="C76" s="213">
        <f>SUM(C72:C75)</f>
        <v>21.119999999999997</v>
      </c>
      <c r="D76" s="213">
        <f>SUM(D72:D75)</f>
        <v>15.24</v>
      </c>
      <c r="E76" s="213">
        <f>AVERAGE(E72:E75)*4</f>
        <v>20.079999999999998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1062378</v>
      </c>
      <c r="C79" s="270">
        <v>992862</v>
      </c>
      <c r="D79" s="270">
        <v>1095079</v>
      </c>
      <c r="E79" s="270">
        <v>1379438</v>
      </c>
      <c r="F79" s="270">
        <v>1529959</v>
      </c>
      <c r="G79" s="270">
        <v>1642788</v>
      </c>
      <c r="H79" s="270">
        <v>1581153</v>
      </c>
      <c r="I79" s="270">
        <v>1663048</v>
      </c>
      <c r="J79" s="270">
        <v>1462855</v>
      </c>
      <c r="K79" s="270">
        <v>1801607</v>
      </c>
      <c r="L79" s="270">
        <v>1562141</v>
      </c>
      <c r="M79" s="270">
        <v>1389238</v>
      </c>
      <c r="N79" s="270">
        <v>1668906</v>
      </c>
      <c r="O79" s="270">
        <v>1433720</v>
      </c>
      <c r="P79" s="270">
        <v>1683666</v>
      </c>
      <c r="Q79" s="270">
        <v>1724497</v>
      </c>
      <c r="R79" s="270">
        <v>1782527</v>
      </c>
      <c r="S79" s="270">
        <v>1848999</v>
      </c>
      <c r="T79" s="270">
        <v>1927789</v>
      </c>
      <c r="U79" s="270">
        <v>1878651</v>
      </c>
      <c r="V79" s="270">
        <v>1783902</v>
      </c>
      <c r="W79" s="270">
        <v>1810489</v>
      </c>
      <c r="X79" s="270">
        <v>1779034</v>
      </c>
      <c r="Y79" s="270">
        <v>1812880</v>
      </c>
      <c r="Z79" s="270">
        <v>1812279</v>
      </c>
      <c r="AA79" s="270">
        <v>1829484</v>
      </c>
      <c r="AB79" s="270">
        <v>1865391</v>
      </c>
      <c r="AC79" s="270">
        <v>1888113</v>
      </c>
      <c r="AD79" s="270">
        <v>1940126</v>
      </c>
      <c r="AE79" s="270">
        <v>1993283</v>
      </c>
      <c r="AF79" s="270">
        <v>2069856</v>
      </c>
      <c r="AG79" s="270">
        <v>2054441</v>
      </c>
      <c r="AH79" s="270">
        <v>2060475</v>
      </c>
      <c r="AI79" s="270">
        <v>2151548</v>
      </c>
      <c r="AJ79" s="270">
        <v>1972562</v>
      </c>
      <c r="AK79" s="270">
        <v>2293921</v>
      </c>
      <c r="AL79" s="270">
        <v>2088416</v>
      </c>
      <c r="AM79" s="270">
        <v>2006514</v>
      </c>
      <c r="AN79" s="270">
        <v>2303239</v>
      </c>
      <c r="AO79" s="270">
        <v>2155695</v>
      </c>
      <c r="AP79" s="270">
        <v>2053186</v>
      </c>
      <c r="AQ79" s="270">
        <v>1935117</v>
      </c>
      <c r="AR79" s="270">
        <v>1833496</v>
      </c>
      <c r="AS79" s="270">
        <v>1694148</v>
      </c>
      <c r="AT79" s="270">
        <v>1767913</v>
      </c>
      <c r="AU79" s="270">
        <v>1897237</v>
      </c>
      <c r="AV79" s="270">
        <v>1784648</v>
      </c>
      <c r="AW79" s="270">
        <v>1800112</v>
      </c>
      <c r="AX79" s="270">
        <v>2011577</v>
      </c>
      <c r="AY79" s="270">
        <v>2022455</v>
      </c>
      <c r="AZ79" s="270">
        <v>2180520</v>
      </c>
      <c r="BA79" s="270">
        <v>2146058</v>
      </c>
      <c r="BB79" s="270">
        <v>2209130</v>
      </c>
      <c r="BC79" s="270">
        <v>2107800</v>
      </c>
      <c r="BD79" s="270">
        <v>2174642</v>
      </c>
      <c r="BE79" s="270">
        <v>2234220</v>
      </c>
      <c r="BF79" s="270">
        <v>2145748</v>
      </c>
      <c r="BG79" s="270">
        <v>2250884</v>
      </c>
      <c r="BH79" s="270">
        <v>2165964</v>
      </c>
      <c r="BI79" s="270">
        <v>2179636</v>
      </c>
      <c r="BJ79" s="270">
        <v>1971271</v>
      </c>
      <c r="BK79" s="270">
        <v>1895636</v>
      </c>
      <c r="BL79" s="270">
        <v>2396524</v>
      </c>
      <c r="BM79" s="270">
        <v>1714443</v>
      </c>
      <c r="BN79" s="270">
        <v>1971259</v>
      </c>
      <c r="BO79" s="270">
        <v>2185411</v>
      </c>
      <c r="BP79" s="270">
        <v>1934929</v>
      </c>
      <c r="BQ79" s="270">
        <v>2214037</v>
      </c>
      <c r="BR79" s="270">
        <v>2251091</v>
      </c>
      <c r="BS79" s="270">
        <v>2086125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0.02</v>
      </c>
      <c r="C82" s="72">
        <v>0.49</v>
      </c>
      <c r="D82" s="72">
        <v>0.51</v>
      </c>
      <c r="E82" s="72">
        <v>0.48</v>
      </c>
      <c r="F82" s="72">
        <v>0.56999999999999995</v>
      </c>
      <c r="G82" s="72">
        <v>0.71</v>
      </c>
      <c r="H82" s="72">
        <v>0.77</v>
      </c>
      <c r="I82" s="72">
        <v>0.71</v>
      </c>
      <c r="J82" s="72">
        <v>0.84</v>
      </c>
      <c r="K82" s="72">
        <v>0.81</v>
      </c>
      <c r="L82" s="72">
        <v>0.81</v>
      </c>
      <c r="M82" s="72">
        <v>0.89</v>
      </c>
      <c r="N82" s="72">
        <v>0.84</v>
      </c>
      <c r="O82" s="72">
        <v>0.65</v>
      </c>
      <c r="P82" s="72">
        <v>0.52</v>
      </c>
      <c r="Q82" s="72">
        <v>0.53</v>
      </c>
      <c r="R82" s="72">
        <v>0.83</v>
      </c>
      <c r="S82" s="72">
        <v>0.93</v>
      </c>
      <c r="T82" s="72">
        <v>0.8</v>
      </c>
      <c r="U82" s="72">
        <v>0.83</v>
      </c>
      <c r="V82" s="72">
        <v>0.7</v>
      </c>
      <c r="W82" s="72">
        <v>0.6</v>
      </c>
      <c r="X82" s="72">
        <v>0.71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12.62</v>
      </c>
      <c r="C85" s="72">
        <v>12.51</v>
      </c>
      <c r="D85" s="72">
        <v>13.07</v>
      </c>
      <c r="E85" s="72">
        <v>13.55</v>
      </c>
      <c r="F85" s="72">
        <v>14.06</v>
      </c>
      <c r="G85" s="72">
        <v>13.81</v>
      </c>
      <c r="H85" s="72">
        <v>14.59</v>
      </c>
      <c r="I85" s="72">
        <v>15.3</v>
      </c>
      <c r="J85" s="72">
        <v>16.13</v>
      </c>
      <c r="K85" s="72">
        <v>15.14</v>
      </c>
      <c r="L85" s="72">
        <v>15.95</v>
      </c>
      <c r="M85" s="72">
        <v>16.809999999999999</v>
      </c>
      <c r="N85" s="72">
        <v>17.649999999999999</v>
      </c>
      <c r="O85" s="72">
        <v>15.68</v>
      </c>
      <c r="P85" s="72">
        <v>16.190000000000001</v>
      </c>
      <c r="Q85" s="72">
        <v>16.72</v>
      </c>
      <c r="R85" s="72">
        <v>17.59</v>
      </c>
      <c r="S85" s="72">
        <v>15.92</v>
      </c>
      <c r="T85" s="72">
        <v>16.68</v>
      </c>
      <c r="U85" s="72">
        <v>17.510000000000002</v>
      </c>
      <c r="V85" s="72">
        <v>18.09</v>
      </c>
      <c r="W85" s="72">
        <v>15.69</v>
      </c>
      <c r="X85" s="72">
        <v>16.399999999999999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3150319</v>
      </c>
      <c r="C88" s="273">
        <v>4552185</v>
      </c>
      <c r="D88" s="273">
        <v>4707055</v>
      </c>
      <c r="E88" s="273">
        <v>4752986</v>
      </c>
      <c r="F88" s="273">
        <v>4786292</v>
      </c>
      <c r="G88" s="273">
        <v>5356023</v>
      </c>
      <c r="H88" s="273">
        <v>5590342</v>
      </c>
      <c r="I88" s="273">
        <v>5402403</v>
      </c>
      <c r="J88" s="273">
        <v>5507154</v>
      </c>
      <c r="K88" s="273">
        <v>5821522</v>
      </c>
      <c r="L88" s="273">
        <v>6184772</v>
      </c>
      <c r="M88" s="273">
        <v>6418031</v>
      </c>
      <c r="N88" s="273">
        <v>6398169</v>
      </c>
      <c r="O88" s="273">
        <v>6143998</v>
      </c>
      <c r="P88" s="273">
        <v>5295557</v>
      </c>
      <c r="Q88" s="273">
        <v>5481997</v>
      </c>
      <c r="R88" s="273">
        <v>6214552</v>
      </c>
      <c r="S88" s="273">
        <v>6462988</v>
      </c>
      <c r="T88" s="273">
        <v>6554610</v>
      </c>
      <c r="U88" s="273">
        <v>6596484</v>
      </c>
      <c r="V88" s="273">
        <v>6263431</v>
      </c>
      <c r="W88" s="273">
        <v>5871113</v>
      </c>
      <c r="X88" s="273">
        <v>6400057</v>
      </c>
    </row>
    <row r="89" spans="1:25" ht="14.25" thickBot="1" x14ac:dyDescent="0.3">
      <c r="A89" s="250" t="s">
        <v>4</v>
      </c>
      <c r="B89" s="275">
        <v>355769</v>
      </c>
      <c r="C89" s="275">
        <v>1261437</v>
      </c>
      <c r="D89" s="275">
        <v>1300566</v>
      </c>
      <c r="E89" s="275">
        <v>1170768</v>
      </c>
      <c r="F89" s="275">
        <v>1429578</v>
      </c>
      <c r="G89" s="275">
        <v>1742876</v>
      </c>
      <c r="H89" s="275">
        <v>1884930</v>
      </c>
      <c r="I89" s="275">
        <v>1805549</v>
      </c>
      <c r="J89" s="275">
        <v>2051731</v>
      </c>
      <c r="K89" s="275">
        <v>2205944</v>
      </c>
      <c r="L89" s="275">
        <v>2108565</v>
      </c>
      <c r="M89" s="275">
        <v>2247433</v>
      </c>
      <c r="N89" s="275">
        <v>2134467</v>
      </c>
      <c r="O89" s="275">
        <v>1815035</v>
      </c>
      <c r="P89" s="275">
        <v>1439499</v>
      </c>
      <c r="Q89" s="275">
        <v>1508265</v>
      </c>
      <c r="R89" s="275">
        <v>2190362</v>
      </c>
      <c r="S89" s="275">
        <v>2250670</v>
      </c>
      <c r="T89" s="275">
        <v>2257250</v>
      </c>
      <c r="U89" s="275">
        <v>2225870</v>
      </c>
      <c r="V89" s="275">
        <v>2010958</v>
      </c>
      <c r="W89" s="275">
        <v>1761853</v>
      </c>
      <c r="X89" s="275">
        <v>2037188</v>
      </c>
    </row>
    <row r="90" spans="1:25" ht="14.25" thickBot="1" x14ac:dyDescent="0.3">
      <c r="A90" s="251" t="s">
        <v>5</v>
      </c>
      <c r="B90" s="273">
        <v>-18518</v>
      </c>
      <c r="C90" s="273">
        <v>831233</v>
      </c>
      <c r="D90" s="273">
        <v>868623</v>
      </c>
      <c r="E90" s="273">
        <v>698228</v>
      </c>
      <c r="F90" s="273">
        <v>956573</v>
      </c>
      <c r="G90" s="273">
        <v>1261358</v>
      </c>
      <c r="H90" s="273">
        <v>1374964</v>
      </c>
      <c r="I90" s="273">
        <v>1244313</v>
      </c>
      <c r="J90" s="273">
        <v>1499161</v>
      </c>
      <c r="K90" s="273">
        <v>1618600</v>
      </c>
      <c r="L90" s="273">
        <v>1489606</v>
      </c>
      <c r="M90" s="273">
        <v>1597448</v>
      </c>
      <c r="N90" s="273">
        <v>1547121</v>
      </c>
      <c r="O90" s="273">
        <v>1187969</v>
      </c>
      <c r="P90" s="273">
        <v>894800</v>
      </c>
      <c r="Q90" s="273">
        <v>982092</v>
      </c>
      <c r="R90" s="273">
        <v>1590242</v>
      </c>
      <c r="S90" s="273">
        <v>1558781</v>
      </c>
      <c r="T90" s="273">
        <v>1531132</v>
      </c>
      <c r="U90" s="273">
        <v>1420750</v>
      </c>
      <c r="V90" s="273">
        <v>1322071</v>
      </c>
      <c r="W90" s="273">
        <v>1072022</v>
      </c>
      <c r="X90" s="273">
        <v>1341465</v>
      </c>
    </row>
    <row r="91" spans="1:25" ht="14.25" thickBot="1" x14ac:dyDescent="0.3">
      <c r="A91" s="250" t="s">
        <v>6</v>
      </c>
      <c r="B91" s="275">
        <v>-9745</v>
      </c>
      <c r="C91" s="275">
        <v>854031</v>
      </c>
      <c r="D91" s="275">
        <v>892391</v>
      </c>
      <c r="E91" s="275">
        <v>805193</v>
      </c>
      <c r="F91" s="275">
        <v>996712</v>
      </c>
      <c r="G91" s="275">
        <v>1324696</v>
      </c>
      <c r="H91" s="275">
        <v>1429029</v>
      </c>
      <c r="I91" s="275">
        <v>1311894</v>
      </c>
      <c r="J91" s="275">
        <v>1555589</v>
      </c>
      <c r="K91" s="275">
        <v>1663392</v>
      </c>
      <c r="L91" s="275">
        <v>1576891</v>
      </c>
      <c r="M91" s="275">
        <v>1698550</v>
      </c>
      <c r="N91" s="275">
        <v>1607712</v>
      </c>
      <c r="O91" s="275">
        <v>1304597</v>
      </c>
      <c r="P91" s="275">
        <v>1006457</v>
      </c>
      <c r="Q91" s="275">
        <v>1019745</v>
      </c>
      <c r="R91" s="275">
        <v>1531799</v>
      </c>
      <c r="S91" s="275">
        <v>1639472</v>
      </c>
      <c r="T91" s="275">
        <v>1518018</v>
      </c>
      <c r="U91" s="275">
        <v>1570805</v>
      </c>
      <c r="V91" s="275">
        <v>1228929</v>
      </c>
      <c r="W91" s="275">
        <v>1181746</v>
      </c>
      <c r="X91" s="275">
        <v>1406327</v>
      </c>
    </row>
    <row r="92" spans="1:25" ht="14.25" thickBot="1" x14ac:dyDescent="0.3">
      <c r="A92" s="251" t="s">
        <v>7</v>
      </c>
      <c r="B92" s="273">
        <v>24096</v>
      </c>
      <c r="C92" s="273">
        <v>772009</v>
      </c>
      <c r="D92" s="273">
        <v>794913</v>
      </c>
      <c r="E92" s="273">
        <v>738791</v>
      </c>
      <c r="F92" s="273">
        <v>880588</v>
      </c>
      <c r="G92" s="273">
        <v>1134850</v>
      </c>
      <c r="H92" s="273">
        <v>1226298</v>
      </c>
      <c r="I92" s="273">
        <v>1129252</v>
      </c>
      <c r="J92" s="273">
        <v>1342928</v>
      </c>
      <c r="K92" s="273">
        <v>1322843</v>
      </c>
      <c r="L92" s="273">
        <v>1324468</v>
      </c>
      <c r="M92" s="273">
        <v>1448198</v>
      </c>
      <c r="N92" s="273">
        <v>1368808</v>
      </c>
      <c r="O92" s="273">
        <v>1062641</v>
      </c>
      <c r="P92" s="273">
        <v>851304</v>
      </c>
      <c r="Q92" s="273">
        <v>874830</v>
      </c>
      <c r="R92" s="273">
        <v>1353171</v>
      </c>
      <c r="S92" s="273">
        <v>1516348</v>
      </c>
      <c r="T92" s="273">
        <v>1311982</v>
      </c>
      <c r="U92" s="273">
        <v>1356424</v>
      </c>
      <c r="V92" s="273">
        <v>1150449</v>
      </c>
      <c r="W92" s="273">
        <v>979408</v>
      </c>
      <c r="X92" s="273">
        <v>1158225</v>
      </c>
    </row>
    <row r="93" spans="1:25" ht="26.25" thickBot="1" x14ac:dyDescent="0.3">
      <c r="A93" s="252" t="s">
        <v>8</v>
      </c>
      <c r="B93" s="276">
        <v>24096</v>
      </c>
      <c r="C93" s="276">
        <v>772009</v>
      </c>
      <c r="D93" s="276">
        <v>794913</v>
      </c>
      <c r="E93" s="276">
        <v>738791</v>
      </c>
      <c r="F93" s="276">
        <v>880588</v>
      </c>
      <c r="G93" s="276">
        <v>1134850</v>
      </c>
      <c r="H93" s="276">
        <v>1226298</v>
      </c>
      <c r="I93" s="276">
        <v>1129252</v>
      </c>
      <c r="J93" s="276">
        <v>1342928</v>
      </c>
      <c r="K93" s="276">
        <v>1322843</v>
      </c>
      <c r="L93" s="276">
        <v>1324468</v>
      </c>
      <c r="M93" s="276">
        <v>1448198</v>
      </c>
      <c r="N93" s="276">
        <v>1368808</v>
      </c>
      <c r="O93" s="276">
        <v>1062641</v>
      </c>
      <c r="P93" s="276">
        <v>851304</v>
      </c>
      <c r="Q93" s="276">
        <v>874830</v>
      </c>
      <c r="R93" s="276">
        <v>1353171</v>
      </c>
      <c r="S93" s="276">
        <v>1516348</v>
      </c>
      <c r="T93" s="276">
        <v>1311982</v>
      </c>
      <c r="U93" s="276">
        <v>1356424</v>
      </c>
      <c r="V93" s="276">
        <v>1150449</v>
      </c>
      <c r="W93" s="276">
        <v>979408</v>
      </c>
      <c r="X93" s="276">
        <v>1158225</v>
      </c>
    </row>
    <row r="94" spans="1:25" x14ac:dyDescent="0.25">
      <c r="A94" s="233" t="s">
        <v>365</v>
      </c>
      <c r="B94" s="253">
        <f>IF(B91="","",B91-B90)</f>
        <v>8773</v>
      </c>
      <c r="C94" s="253">
        <f>IF(C91="","",C91-C90)</f>
        <v>22798</v>
      </c>
      <c r="D94" s="253">
        <f t="shared" ref="D94:Y94" si="9">IF(D91="","",D91-D90)</f>
        <v>23768</v>
      </c>
      <c r="E94" s="253">
        <f t="shared" si="9"/>
        <v>106965</v>
      </c>
      <c r="F94" s="253">
        <f t="shared" si="9"/>
        <v>40139</v>
      </c>
      <c r="G94" s="253">
        <f t="shared" si="9"/>
        <v>63338</v>
      </c>
      <c r="H94" s="253">
        <f t="shared" si="9"/>
        <v>54065</v>
      </c>
      <c r="I94" s="253">
        <f t="shared" si="9"/>
        <v>67581</v>
      </c>
      <c r="J94" s="253">
        <f t="shared" si="9"/>
        <v>56428</v>
      </c>
      <c r="K94" s="253">
        <f t="shared" si="9"/>
        <v>44792</v>
      </c>
      <c r="L94" s="253">
        <f t="shared" si="9"/>
        <v>87285</v>
      </c>
      <c r="M94" s="253">
        <f t="shared" si="9"/>
        <v>101102</v>
      </c>
      <c r="N94" s="253">
        <f t="shared" si="9"/>
        <v>60591</v>
      </c>
      <c r="O94" s="253">
        <f t="shared" si="9"/>
        <v>116628</v>
      </c>
      <c r="P94" s="253">
        <f t="shared" si="9"/>
        <v>111657</v>
      </c>
      <c r="Q94" s="253">
        <f t="shared" si="9"/>
        <v>37653</v>
      </c>
      <c r="R94" s="253">
        <f t="shared" si="9"/>
        <v>-58443</v>
      </c>
      <c r="S94" s="253">
        <f t="shared" si="9"/>
        <v>80691</v>
      </c>
      <c r="T94" s="253">
        <f t="shared" si="9"/>
        <v>-13114</v>
      </c>
      <c r="U94" s="253">
        <f t="shared" si="9"/>
        <v>150055</v>
      </c>
      <c r="V94" s="253">
        <f t="shared" si="9"/>
        <v>-93142</v>
      </c>
      <c r="W94" s="253">
        <f t="shared" si="9"/>
        <v>109724</v>
      </c>
      <c r="X94" s="253">
        <f t="shared" si="9"/>
        <v>64862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17162545</v>
      </c>
      <c r="C97" s="273">
        <v>21135060</v>
      </c>
      <c r="D97" s="273">
        <v>23931479</v>
      </c>
      <c r="E97" s="273">
        <v>23319721</v>
      </c>
      <c r="F97" s="273">
        <v>25828634</v>
      </c>
    </row>
    <row r="98" spans="1:24" ht="14.25" thickBot="1" x14ac:dyDescent="0.3">
      <c r="A98" s="225" t="s">
        <v>4</v>
      </c>
      <c r="B98" s="275">
        <v>4088540</v>
      </c>
      <c r="C98" s="275">
        <v>6862933</v>
      </c>
      <c r="D98" s="275">
        <v>8613673</v>
      </c>
      <c r="E98" s="275">
        <v>6897266</v>
      </c>
      <c r="F98" s="275">
        <v>8924152</v>
      </c>
    </row>
    <row r="99" spans="1:24" ht="14.25" thickBot="1" x14ac:dyDescent="0.3">
      <c r="A99" s="224" t="s">
        <v>5</v>
      </c>
      <c r="B99" s="273">
        <v>2379566</v>
      </c>
      <c r="C99" s="273">
        <v>4837208</v>
      </c>
      <c r="D99" s="273">
        <v>6204267</v>
      </c>
      <c r="E99" s="273">
        <v>4611982</v>
      </c>
      <c r="F99" s="273">
        <v>6100905</v>
      </c>
    </row>
    <row r="100" spans="1:24" ht="14.25" thickBot="1" x14ac:dyDescent="0.3">
      <c r="A100" s="225" t="s">
        <v>6</v>
      </c>
      <c r="B100" s="275">
        <v>2541870</v>
      </c>
      <c r="C100" s="275">
        <v>5062331</v>
      </c>
      <c r="D100" s="275">
        <v>6493874</v>
      </c>
      <c r="E100" s="275">
        <v>4938511</v>
      </c>
      <c r="F100" s="275">
        <v>6260094</v>
      </c>
    </row>
    <row r="101" spans="1:24" ht="14.25" thickBot="1" x14ac:dyDescent="0.3">
      <c r="A101" s="224" t="s">
        <v>7</v>
      </c>
      <c r="B101" s="273">
        <v>2329809</v>
      </c>
      <c r="C101" s="273">
        <v>4370988</v>
      </c>
      <c r="D101" s="273">
        <v>5437889</v>
      </c>
      <c r="E101" s="273">
        <v>4157583</v>
      </c>
      <c r="F101" s="273">
        <v>5537925</v>
      </c>
    </row>
    <row r="102" spans="1:24" ht="14.25" thickBot="1" x14ac:dyDescent="0.3">
      <c r="A102" s="227" t="s">
        <v>8</v>
      </c>
      <c r="B102" s="276">
        <v>2329809</v>
      </c>
      <c r="C102" s="276">
        <v>4370988</v>
      </c>
      <c r="D102" s="276">
        <v>5437889</v>
      </c>
      <c r="E102" s="276">
        <v>4157583</v>
      </c>
      <c r="F102" s="276">
        <v>5537925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8000386</v>
      </c>
      <c r="C106" s="273">
        <v>8492293</v>
      </c>
      <c r="D106" s="273">
        <v>9820757</v>
      </c>
      <c r="E106" s="273">
        <v>11090275</v>
      </c>
      <c r="F106" s="273">
        <v>12077418</v>
      </c>
      <c r="G106" s="273">
        <v>13672030</v>
      </c>
      <c r="H106" s="273">
        <v>13909653</v>
      </c>
      <c r="I106" s="273">
        <v>16041723</v>
      </c>
      <c r="J106" s="273">
        <v>17644216</v>
      </c>
      <c r="K106" s="273">
        <v>19497352</v>
      </c>
      <c r="L106" s="273">
        <v>16222691</v>
      </c>
      <c r="M106" s="273">
        <v>17149735</v>
      </c>
      <c r="N106" s="273">
        <v>19051942</v>
      </c>
      <c r="O106" s="273">
        <v>20668644</v>
      </c>
      <c r="P106" s="273">
        <v>16697855</v>
      </c>
      <c r="Q106" s="273">
        <v>17950847</v>
      </c>
      <c r="R106" s="273">
        <v>18805909</v>
      </c>
      <c r="S106" s="273">
        <v>20475538</v>
      </c>
      <c r="T106" s="273">
        <v>16082791</v>
      </c>
      <c r="U106" s="273">
        <v>17564903</v>
      </c>
      <c r="V106" s="273">
        <v>18602854</v>
      </c>
      <c r="W106" s="273">
        <v>18931351</v>
      </c>
      <c r="X106" s="273">
        <v>15079376</v>
      </c>
    </row>
    <row r="107" spans="1:24" ht="14.25" thickBot="1" x14ac:dyDescent="0.3">
      <c r="A107" s="225" t="s">
        <v>22</v>
      </c>
      <c r="B107" s="275">
        <v>111242</v>
      </c>
      <c r="C107" s="275">
        <v>323457</v>
      </c>
      <c r="D107" s="275">
        <v>207387</v>
      </c>
      <c r="E107" s="275">
        <v>148971</v>
      </c>
      <c r="F107" s="275">
        <v>134061</v>
      </c>
      <c r="G107" s="275">
        <v>159541</v>
      </c>
      <c r="H107" s="275">
        <v>175323</v>
      </c>
      <c r="I107" s="275">
        <v>196498</v>
      </c>
      <c r="J107" s="275">
        <v>222059</v>
      </c>
      <c r="K107" s="275">
        <v>349573</v>
      </c>
      <c r="L107" s="275">
        <v>442403</v>
      </c>
      <c r="M107" s="275">
        <v>810991</v>
      </c>
      <c r="N107" s="275">
        <v>138649</v>
      </c>
      <c r="O107" s="275">
        <v>263522</v>
      </c>
      <c r="P107" s="275">
        <v>539274</v>
      </c>
      <c r="Q107" s="275">
        <v>1097895</v>
      </c>
      <c r="R107" s="275">
        <v>1441623</v>
      </c>
      <c r="S107" s="275">
        <v>1307434</v>
      </c>
      <c r="T107" s="275">
        <v>1298493</v>
      </c>
      <c r="U107" s="275">
        <v>1492472</v>
      </c>
      <c r="V107" s="275">
        <v>1140154</v>
      </c>
      <c r="W107" s="275">
        <v>1011172</v>
      </c>
      <c r="X107" s="275">
        <v>324314</v>
      </c>
    </row>
    <row r="108" spans="1:24" ht="14.25" thickBot="1" x14ac:dyDescent="0.3">
      <c r="A108" s="224" t="s">
        <v>263</v>
      </c>
      <c r="B108" s="273">
        <v>2138229</v>
      </c>
      <c r="C108" s="273">
        <v>3231542</v>
      </c>
      <c r="D108" s="273">
        <v>2619044</v>
      </c>
      <c r="E108" s="273">
        <v>2548837</v>
      </c>
      <c r="F108" s="273">
        <v>2768264</v>
      </c>
      <c r="G108" s="273">
        <v>3119393</v>
      </c>
      <c r="H108" s="273">
        <v>3054029</v>
      </c>
      <c r="I108" s="273">
        <v>3026445</v>
      </c>
      <c r="J108" s="273">
        <v>3214335</v>
      </c>
      <c r="K108" s="273">
        <v>3183539</v>
      </c>
      <c r="L108" s="273">
        <v>3569386</v>
      </c>
      <c r="M108" s="273">
        <v>3990615</v>
      </c>
      <c r="N108" s="273">
        <v>3863709</v>
      </c>
      <c r="O108" s="273">
        <v>3335716</v>
      </c>
      <c r="P108" s="273">
        <v>3062604</v>
      </c>
      <c r="Q108" s="273">
        <v>3053448</v>
      </c>
      <c r="R108" s="273">
        <v>3702010</v>
      </c>
      <c r="S108" s="273">
        <v>3731721</v>
      </c>
      <c r="T108" s="273">
        <v>3766509</v>
      </c>
      <c r="U108" s="273">
        <v>3961561</v>
      </c>
      <c r="V108" s="273">
        <v>3717877</v>
      </c>
      <c r="W108" s="273">
        <v>3902416</v>
      </c>
      <c r="X108" s="273">
        <v>4057185</v>
      </c>
    </row>
    <row r="109" spans="1:24" ht="14.25" thickBot="1" x14ac:dyDescent="0.3">
      <c r="A109" s="225" t="s">
        <v>264</v>
      </c>
      <c r="B109" s="275">
        <v>1407780</v>
      </c>
      <c r="C109" s="275">
        <v>1629647</v>
      </c>
      <c r="D109" s="275">
        <v>1799521</v>
      </c>
      <c r="E109" s="275">
        <v>1852572</v>
      </c>
      <c r="F109" s="275">
        <v>1965831</v>
      </c>
      <c r="G109" s="275">
        <v>1782891</v>
      </c>
      <c r="H109" s="275">
        <v>1730959</v>
      </c>
      <c r="I109" s="275">
        <v>1670944</v>
      </c>
      <c r="J109" s="275">
        <v>1668020</v>
      </c>
      <c r="K109" s="275">
        <v>1680135</v>
      </c>
      <c r="L109" s="275">
        <v>2352010</v>
      </c>
      <c r="M109" s="275">
        <v>2498400</v>
      </c>
      <c r="N109" s="275">
        <v>2633741</v>
      </c>
      <c r="O109" s="275">
        <v>2599360</v>
      </c>
      <c r="P109" s="275">
        <v>2545982</v>
      </c>
      <c r="Q109" s="275">
        <v>2250611</v>
      </c>
      <c r="R109" s="275">
        <v>2329910</v>
      </c>
      <c r="S109" s="275">
        <v>2341412</v>
      </c>
      <c r="T109" s="275">
        <v>2263021</v>
      </c>
      <c r="U109" s="275">
        <v>2199775</v>
      </c>
      <c r="V109" s="275">
        <v>2119353</v>
      </c>
      <c r="W109" s="275">
        <v>2302459</v>
      </c>
      <c r="X109" s="275">
        <v>2518872</v>
      </c>
    </row>
    <row r="110" spans="1:24" ht="14.25" thickBot="1" x14ac:dyDescent="0.3">
      <c r="A110" s="224" t="s">
        <v>23</v>
      </c>
      <c r="B110" s="273">
        <v>362159</v>
      </c>
      <c r="C110" s="273">
        <v>438730</v>
      </c>
      <c r="D110" s="273">
        <v>460970</v>
      </c>
      <c r="E110" s="273">
        <v>462020</v>
      </c>
      <c r="F110" s="273">
        <v>355369</v>
      </c>
      <c r="G110" s="273">
        <v>479244</v>
      </c>
      <c r="H110" s="273">
        <v>529482</v>
      </c>
      <c r="I110" s="273">
        <v>620587</v>
      </c>
      <c r="J110" s="273">
        <v>740802</v>
      </c>
      <c r="K110" s="273">
        <v>788274</v>
      </c>
      <c r="L110" s="273">
        <v>618069</v>
      </c>
      <c r="M110" s="273">
        <v>664685</v>
      </c>
      <c r="N110" s="273">
        <v>1092083</v>
      </c>
      <c r="O110" s="273">
        <v>517352</v>
      </c>
      <c r="P110" s="273">
        <v>534876</v>
      </c>
      <c r="Q110" s="273">
        <v>447948</v>
      </c>
      <c r="R110" s="273">
        <v>517976</v>
      </c>
      <c r="S110" s="273">
        <v>430885</v>
      </c>
      <c r="T110" s="273">
        <v>636925</v>
      </c>
      <c r="U110" s="273">
        <v>444210</v>
      </c>
      <c r="V110" s="273">
        <v>632255</v>
      </c>
      <c r="W110" s="273">
        <v>1125194</v>
      </c>
      <c r="X110" s="273">
        <v>1063405</v>
      </c>
    </row>
    <row r="111" spans="1:24" ht="14.25" thickBot="1" x14ac:dyDescent="0.3">
      <c r="A111" s="225" t="s">
        <v>24</v>
      </c>
      <c r="B111" s="275">
        <v>12019796</v>
      </c>
      <c r="C111" s="275">
        <v>14115669</v>
      </c>
      <c r="D111" s="275">
        <v>14907679</v>
      </c>
      <c r="E111" s="275">
        <v>16102675</v>
      </c>
      <c r="F111" s="275">
        <v>17300943</v>
      </c>
      <c r="G111" s="275">
        <v>19213099</v>
      </c>
      <c r="H111" s="275">
        <v>19399446</v>
      </c>
      <c r="I111" s="275">
        <v>21556197</v>
      </c>
      <c r="J111" s="275">
        <v>23489432</v>
      </c>
      <c r="K111" s="275">
        <v>25498873</v>
      </c>
      <c r="L111" s="275">
        <v>23204559</v>
      </c>
      <c r="M111" s="275">
        <v>25114426</v>
      </c>
      <c r="N111" s="275">
        <v>26780124</v>
      </c>
      <c r="O111" s="275">
        <v>27384594</v>
      </c>
      <c r="P111" s="275">
        <v>23380591</v>
      </c>
      <c r="Q111" s="275">
        <v>24800749</v>
      </c>
      <c r="R111" s="275">
        <v>26797428</v>
      </c>
      <c r="S111" s="275">
        <v>28286990</v>
      </c>
      <c r="T111" s="275">
        <v>24047739</v>
      </c>
      <c r="U111" s="275">
        <v>25662921</v>
      </c>
      <c r="V111" s="275">
        <v>26212493</v>
      </c>
      <c r="W111" s="275">
        <v>27272592</v>
      </c>
      <c r="X111" s="275">
        <v>23043152</v>
      </c>
    </row>
    <row r="112" spans="1:24" ht="14.25" thickBot="1" x14ac:dyDescent="0.3">
      <c r="A112" s="224" t="s">
        <v>25</v>
      </c>
      <c r="B112" s="273">
        <v>337153</v>
      </c>
      <c r="C112" s="273">
        <v>343678</v>
      </c>
      <c r="D112" s="273">
        <v>412681</v>
      </c>
      <c r="E112" s="273">
        <v>211108</v>
      </c>
      <c r="F112" s="273">
        <v>316332</v>
      </c>
      <c r="G112" s="273">
        <v>341456</v>
      </c>
      <c r="H112" s="273">
        <v>341457</v>
      </c>
      <c r="I112" s="273">
        <v>345519</v>
      </c>
      <c r="J112" s="273">
        <v>390504</v>
      </c>
      <c r="K112" s="273">
        <v>334819</v>
      </c>
      <c r="L112" s="273">
        <v>322939</v>
      </c>
      <c r="M112" s="273">
        <v>307225</v>
      </c>
      <c r="N112" s="273">
        <v>278954</v>
      </c>
      <c r="O112" s="273">
        <v>270717</v>
      </c>
      <c r="P112" s="273">
        <v>244497</v>
      </c>
      <c r="Q112" s="273">
        <v>249089</v>
      </c>
      <c r="R112" s="273">
        <v>359047</v>
      </c>
      <c r="S112" s="273">
        <v>893914</v>
      </c>
      <c r="T112" s="273">
        <v>1964748</v>
      </c>
      <c r="U112" s="273">
        <v>2686368</v>
      </c>
      <c r="V112" s="273">
        <v>2830814</v>
      </c>
      <c r="W112" s="273">
        <v>2950003</v>
      </c>
      <c r="X112" s="273">
        <v>3244444</v>
      </c>
    </row>
    <row r="113" spans="1:24" ht="14.25" thickBot="1" x14ac:dyDescent="0.3">
      <c r="A113" s="225" t="s">
        <v>26</v>
      </c>
      <c r="B113" s="275">
        <v>8722169</v>
      </c>
      <c r="C113" s="275">
        <v>7932663</v>
      </c>
      <c r="D113" s="275">
        <v>7140651</v>
      </c>
      <c r="E113" s="275">
        <v>7547491</v>
      </c>
      <c r="F113" s="275">
        <v>8028633</v>
      </c>
      <c r="G113" s="275">
        <v>7530690</v>
      </c>
      <c r="H113" s="275">
        <v>7043551</v>
      </c>
      <c r="I113" s="275">
        <v>6639474</v>
      </c>
      <c r="J113" s="275">
        <v>6563082</v>
      </c>
      <c r="K113" s="275">
        <v>6592760</v>
      </c>
      <c r="L113" s="275">
        <v>7704400</v>
      </c>
      <c r="M113" s="275">
        <v>7983767</v>
      </c>
      <c r="N113" s="275">
        <v>8133258</v>
      </c>
      <c r="O113" s="275">
        <v>7749535</v>
      </c>
      <c r="P113" s="275">
        <v>7350436</v>
      </c>
      <c r="Q113" s="275">
        <v>6979397</v>
      </c>
      <c r="R113" s="275">
        <v>6577896</v>
      </c>
      <c r="S113" s="275">
        <v>6634666</v>
      </c>
      <c r="T113" s="275">
        <v>6360320</v>
      </c>
      <c r="U113" s="275">
        <v>6284081</v>
      </c>
      <c r="V113" s="275">
        <v>6376270</v>
      </c>
      <c r="W113" s="275">
        <v>6349743</v>
      </c>
      <c r="X113" s="275">
        <v>6070919</v>
      </c>
    </row>
    <row r="114" spans="1:24" ht="14.25" thickBot="1" x14ac:dyDescent="0.3">
      <c r="A114" s="224" t="s">
        <v>27</v>
      </c>
      <c r="B114" s="273">
        <v>956214</v>
      </c>
      <c r="C114" s="273">
        <v>925154</v>
      </c>
      <c r="D114" s="273">
        <v>894088</v>
      </c>
      <c r="E114" s="273">
        <v>866126</v>
      </c>
      <c r="F114" s="273">
        <v>448117</v>
      </c>
      <c r="G114" s="273">
        <v>376142</v>
      </c>
      <c r="H114" s="273">
        <v>317409</v>
      </c>
      <c r="I114" s="273">
        <v>308769</v>
      </c>
      <c r="J114" s="273">
        <v>309730</v>
      </c>
      <c r="K114" s="273">
        <v>331605</v>
      </c>
      <c r="L114" s="273">
        <v>344445</v>
      </c>
      <c r="M114" s="273">
        <v>349352</v>
      </c>
      <c r="N114" s="273">
        <v>346157</v>
      </c>
      <c r="O114" s="273">
        <v>355538</v>
      </c>
      <c r="P114" s="273">
        <v>347292</v>
      </c>
      <c r="Q114" s="273">
        <v>355006</v>
      </c>
      <c r="R114" s="273">
        <v>350101</v>
      </c>
      <c r="S114" s="273">
        <v>348850</v>
      </c>
      <c r="T114" s="273">
        <v>356431</v>
      </c>
      <c r="U114" s="273">
        <v>346672</v>
      </c>
      <c r="V114" s="273">
        <v>354238</v>
      </c>
      <c r="W114" s="273">
        <v>377917</v>
      </c>
      <c r="X114" s="273">
        <v>399787</v>
      </c>
    </row>
    <row r="115" spans="1:24" ht="14.25" thickBot="1" x14ac:dyDescent="0.3">
      <c r="A115" s="225" t="s">
        <v>265</v>
      </c>
      <c r="B115" s="276">
        <v>22035332</v>
      </c>
      <c r="C115" s="276">
        <v>23317164</v>
      </c>
      <c r="D115" s="276">
        <v>23355099</v>
      </c>
      <c r="E115" s="276">
        <v>24727400</v>
      </c>
      <c r="F115" s="276">
        <v>26094025</v>
      </c>
      <c r="G115" s="276">
        <v>27461387</v>
      </c>
      <c r="H115" s="276">
        <v>27101863</v>
      </c>
      <c r="I115" s="276">
        <v>28849959</v>
      </c>
      <c r="J115" s="276">
        <v>30752748</v>
      </c>
      <c r="K115" s="276">
        <v>32758057</v>
      </c>
      <c r="L115" s="276">
        <v>31576343</v>
      </c>
      <c r="M115" s="276">
        <v>33754770</v>
      </c>
      <c r="N115" s="276">
        <v>35538493</v>
      </c>
      <c r="O115" s="276">
        <v>35760384</v>
      </c>
      <c r="P115" s="276">
        <v>31322816</v>
      </c>
      <c r="Q115" s="276">
        <v>32384241</v>
      </c>
      <c r="R115" s="276">
        <v>34084472</v>
      </c>
      <c r="S115" s="276">
        <v>36164420</v>
      </c>
      <c r="T115" s="276">
        <v>32729238</v>
      </c>
      <c r="U115" s="276">
        <v>34980042</v>
      </c>
      <c r="V115" s="276">
        <v>35773815</v>
      </c>
      <c r="W115" s="276">
        <v>36950255</v>
      </c>
      <c r="X115" s="276">
        <v>32758302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681767</v>
      </c>
      <c r="C120" s="273">
        <v>878223</v>
      </c>
      <c r="D120" s="273">
        <v>814642</v>
      </c>
      <c r="E120" s="273">
        <v>737519</v>
      </c>
      <c r="F120" s="273">
        <v>899499</v>
      </c>
      <c r="G120" s="273">
        <v>834534</v>
      </c>
      <c r="H120" s="273">
        <v>777686</v>
      </c>
      <c r="I120" s="273">
        <v>824849</v>
      </c>
      <c r="J120" s="273">
        <v>944605</v>
      </c>
      <c r="K120" s="273">
        <v>980633</v>
      </c>
      <c r="L120" s="273">
        <v>1276058</v>
      </c>
      <c r="M120" s="273">
        <v>1160066</v>
      </c>
      <c r="N120" s="273">
        <v>1168769</v>
      </c>
      <c r="O120" s="273">
        <v>1028552</v>
      </c>
      <c r="P120" s="273">
        <v>869913</v>
      </c>
      <c r="Q120" s="273">
        <v>878126</v>
      </c>
      <c r="R120" s="273">
        <v>1066143</v>
      </c>
      <c r="S120" s="273">
        <v>1032209</v>
      </c>
      <c r="T120" s="273">
        <v>1045821</v>
      </c>
      <c r="U120" s="273">
        <v>1130381</v>
      </c>
      <c r="V120" s="273">
        <v>1168684</v>
      </c>
      <c r="W120" s="273">
        <v>1116296</v>
      </c>
      <c r="X120" s="273">
        <v>1205446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1378886</v>
      </c>
      <c r="C123" s="275">
        <v>2615175</v>
      </c>
      <c r="D123" s="275">
        <v>1813567</v>
      </c>
      <c r="E123" s="275">
        <v>2449656</v>
      </c>
      <c r="F123" s="275">
        <v>2409060</v>
      </c>
      <c r="G123" s="275">
        <v>3976075</v>
      </c>
      <c r="H123" s="275">
        <v>2392294</v>
      </c>
      <c r="I123" s="275">
        <v>2873016</v>
      </c>
      <c r="J123" s="275">
        <v>2957717</v>
      </c>
      <c r="K123" s="275">
        <v>6313312</v>
      </c>
      <c r="L123" s="275">
        <v>3447976</v>
      </c>
      <c r="M123" s="275">
        <v>4231733</v>
      </c>
      <c r="N123" s="275">
        <v>4645812</v>
      </c>
      <c r="O123" s="275">
        <v>8240443</v>
      </c>
      <c r="P123" s="275">
        <v>3157899</v>
      </c>
      <c r="Q123" s="275">
        <v>3383875</v>
      </c>
      <c r="R123" s="275">
        <v>3469986</v>
      </c>
      <c r="S123" s="275">
        <v>8322519</v>
      </c>
      <c r="T123" s="275">
        <v>3620858</v>
      </c>
      <c r="U123" s="275">
        <v>4346291</v>
      </c>
      <c r="V123" s="275">
        <v>4154748</v>
      </c>
      <c r="W123" s="275">
        <v>9303239</v>
      </c>
      <c r="X123" s="275">
        <v>3822047</v>
      </c>
    </row>
    <row r="124" spans="1:24" ht="14.25" thickBot="1" x14ac:dyDescent="0.3">
      <c r="A124" s="224" t="s">
        <v>268</v>
      </c>
      <c r="B124" s="273">
        <v>2060653</v>
      </c>
      <c r="C124" s="273">
        <v>3493398</v>
      </c>
      <c r="D124" s="273">
        <v>2628209</v>
      </c>
      <c r="E124" s="273">
        <v>3187175</v>
      </c>
      <c r="F124" s="273">
        <v>3308559</v>
      </c>
      <c r="G124" s="273">
        <v>4810609</v>
      </c>
      <c r="H124" s="273">
        <v>3169980</v>
      </c>
      <c r="I124" s="273">
        <v>3697865</v>
      </c>
      <c r="J124" s="273">
        <v>3902322</v>
      </c>
      <c r="K124" s="273">
        <v>7293945</v>
      </c>
      <c r="L124" s="273">
        <v>4724034</v>
      </c>
      <c r="M124" s="273">
        <v>5391799</v>
      </c>
      <c r="N124" s="273">
        <v>5814581</v>
      </c>
      <c r="O124" s="273">
        <v>9268995</v>
      </c>
      <c r="P124" s="273">
        <v>4027812</v>
      </c>
      <c r="Q124" s="273">
        <v>4262001</v>
      </c>
      <c r="R124" s="273">
        <v>4536129</v>
      </c>
      <c r="S124" s="273">
        <v>9354728</v>
      </c>
      <c r="T124" s="273">
        <v>4666679</v>
      </c>
      <c r="U124" s="273">
        <v>5476672</v>
      </c>
      <c r="V124" s="273">
        <v>5323432</v>
      </c>
      <c r="W124" s="273">
        <v>10419535</v>
      </c>
      <c r="X124" s="273">
        <v>5027493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599111</v>
      </c>
      <c r="G125" s="275">
        <v>626022</v>
      </c>
      <c r="H125" s="275">
        <v>655370</v>
      </c>
      <c r="I125" s="275">
        <v>722334</v>
      </c>
      <c r="J125" s="275">
        <v>721341</v>
      </c>
      <c r="K125" s="275">
        <v>713066</v>
      </c>
      <c r="L125" s="275">
        <v>722854</v>
      </c>
      <c r="M125" s="275">
        <v>828739</v>
      </c>
      <c r="N125" s="275">
        <v>804968</v>
      </c>
      <c r="O125" s="275">
        <v>790643</v>
      </c>
      <c r="P125" s="275">
        <v>752592</v>
      </c>
      <c r="Q125" s="275">
        <v>712611</v>
      </c>
      <c r="R125" s="275">
        <v>720969</v>
      </c>
      <c r="S125" s="275">
        <v>724169</v>
      </c>
      <c r="T125" s="275">
        <v>723186</v>
      </c>
      <c r="U125" s="275">
        <v>804107</v>
      </c>
      <c r="V125" s="275">
        <v>808073</v>
      </c>
      <c r="W125" s="275">
        <v>822603</v>
      </c>
      <c r="X125" s="275">
        <v>858269</v>
      </c>
    </row>
    <row r="126" spans="1:24" ht="14.25" thickBot="1" x14ac:dyDescent="0.3">
      <c r="A126" s="224" t="s">
        <v>33</v>
      </c>
      <c r="B126" s="273">
        <v>494926</v>
      </c>
      <c r="C126" s="273">
        <v>503919</v>
      </c>
      <c r="D126" s="273">
        <v>507379</v>
      </c>
      <c r="E126" s="273">
        <v>509667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2555579</v>
      </c>
      <c r="C127" s="275">
        <v>3997317</v>
      </c>
      <c r="D127" s="275">
        <v>3135588</v>
      </c>
      <c r="E127" s="275">
        <v>3696842</v>
      </c>
      <c r="F127" s="275">
        <v>3907670</v>
      </c>
      <c r="G127" s="275">
        <v>5436631</v>
      </c>
      <c r="H127" s="275">
        <v>3825350</v>
      </c>
      <c r="I127" s="275">
        <v>4420199</v>
      </c>
      <c r="J127" s="275">
        <v>4623663</v>
      </c>
      <c r="K127" s="275">
        <v>8007011</v>
      </c>
      <c r="L127" s="275">
        <v>5446888</v>
      </c>
      <c r="M127" s="275">
        <v>6220538</v>
      </c>
      <c r="N127" s="275">
        <v>6619549</v>
      </c>
      <c r="O127" s="275">
        <v>10059638</v>
      </c>
      <c r="P127" s="275">
        <v>4780404</v>
      </c>
      <c r="Q127" s="275">
        <v>4974612</v>
      </c>
      <c r="R127" s="275">
        <v>5257098</v>
      </c>
      <c r="S127" s="275">
        <v>10078897</v>
      </c>
      <c r="T127" s="275">
        <v>5389865</v>
      </c>
      <c r="U127" s="275">
        <v>6280779</v>
      </c>
      <c r="V127" s="275">
        <v>6131505</v>
      </c>
      <c r="W127" s="275">
        <v>11242138</v>
      </c>
      <c r="X127" s="275">
        <v>5885762</v>
      </c>
    </row>
    <row r="128" spans="1:24" ht="14.25" thickBot="1" x14ac:dyDescent="0.3">
      <c r="A128" s="224" t="s">
        <v>34</v>
      </c>
      <c r="B128" s="273">
        <v>19479753</v>
      </c>
      <c r="C128" s="273">
        <v>19319847</v>
      </c>
      <c r="D128" s="273">
        <v>20219511</v>
      </c>
      <c r="E128" s="273">
        <v>21030558</v>
      </c>
      <c r="F128" s="273">
        <v>22186355</v>
      </c>
      <c r="G128" s="273">
        <v>22024756</v>
      </c>
      <c r="H128" s="273">
        <v>23276513</v>
      </c>
      <c r="I128" s="273">
        <v>24429760</v>
      </c>
      <c r="J128" s="273">
        <v>26129085</v>
      </c>
      <c r="K128" s="273">
        <v>24751046</v>
      </c>
      <c r="L128" s="273">
        <v>26129455</v>
      </c>
      <c r="M128" s="273">
        <v>27534232</v>
      </c>
      <c r="N128" s="273">
        <v>28918944</v>
      </c>
      <c r="O128" s="273">
        <v>25700746</v>
      </c>
      <c r="P128" s="273">
        <v>26542412</v>
      </c>
      <c r="Q128" s="273">
        <v>27409629</v>
      </c>
      <c r="R128" s="273">
        <v>28827374</v>
      </c>
      <c r="S128" s="273">
        <v>26085523</v>
      </c>
      <c r="T128" s="273">
        <v>27339373</v>
      </c>
      <c r="U128" s="273">
        <v>28699263</v>
      </c>
      <c r="V128" s="273">
        <v>29642310</v>
      </c>
      <c r="W128" s="273">
        <v>25708117</v>
      </c>
      <c r="X128" s="273">
        <v>26872540</v>
      </c>
    </row>
    <row r="129" spans="1:24" ht="14.25" thickBot="1" x14ac:dyDescent="0.3">
      <c r="A129" s="225" t="s">
        <v>35</v>
      </c>
      <c r="B129" s="276">
        <v>22035332</v>
      </c>
      <c r="C129" s="276">
        <v>23317164</v>
      </c>
      <c r="D129" s="276">
        <v>23355099</v>
      </c>
      <c r="E129" s="276">
        <v>24727400</v>
      </c>
      <c r="F129" s="276">
        <v>26094025</v>
      </c>
      <c r="G129" s="276">
        <v>27461387</v>
      </c>
      <c r="H129" s="276">
        <v>27101863</v>
      </c>
      <c r="I129" s="276">
        <v>28849959</v>
      </c>
      <c r="J129" s="276">
        <v>30752748</v>
      </c>
      <c r="K129" s="276">
        <v>32758057</v>
      </c>
      <c r="L129" s="276">
        <v>31576343</v>
      </c>
      <c r="M129" s="276">
        <v>33754770</v>
      </c>
      <c r="N129" s="276">
        <v>35538493</v>
      </c>
      <c r="O129" s="276">
        <v>35760384</v>
      </c>
      <c r="P129" s="276">
        <v>31322816</v>
      </c>
      <c r="Q129" s="276">
        <v>32384241</v>
      </c>
      <c r="R129" s="276">
        <v>34084472</v>
      </c>
      <c r="S129" s="276">
        <v>36164420</v>
      </c>
      <c r="T129" s="276">
        <v>32729238</v>
      </c>
      <c r="U129" s="276">
        <v>34980042</v>
      </c>
      <c r="V129" s="276">
        <v>35773815</v>
      </c>
      <c r="W129" s="276">
        <v>36950255</v>
      </c>
      <c r="X129" s="276">
        <v>32758302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3.81</v>
      </c>
      <c r="C132" s="68">
        <v>4.75</v>
      </c>
      <c r="D132" s="68">
        <v>4.0999999999999996</v>
      </c>
      <c r="E132" s="68">
        <v>4.3499999999999996</v>
      </c>
      <c r="F132" s="68">
        <v>4.87</v>
      </c>
    </row>
    <row r="133" spans="1:24" ht="14.25" thickBot="1" x14ac:dyDescent="0.3">
      <c r="A133" s="225" t="s">
        <v>37</v>
      </c>
      <c r="B133" s="274">
        <v>-0.81</v>
      </c>
      <c r="C133" s="274">
        <v>-1.01</v>
      </c>
      <c r="D133" s="274">
        <v>-2</v>
      </c>
      <c r="E133" s="274">
        <v>-1.25</v>
      </c>
      <c r="F133" s="274">
        <v>-2.5</v>
      </c>
    </row>
    <row r="134" spans="1:24" ht="14.25" thickBot="1" x14ac:dyDescent="0.3">
      <c r="A134" s="224" t="s">
        <v>38</v>
      </c>
      <c r="B134" s="68">
        <v>-1.1100000000000001</v>
      </c>
      <c r="C134" s="68">
        <v>-0.62</v>
      </c>
      <c r="D134" s="68">
        <v>-1.42</v>
      </c>
      <c r="E134" s="68">
        <v>-2.63</v>
      </c>
      <c r="F134" s="68">
        <v>-2.6</v>
      </c>
    </row>
    <row r="135" spans="1:24" ht="14.25" thickBot="1" x14ac:dyDescent="0.3">
      <c r="A135" s="225" t="s">
        <v>270</v>
      </c>
      <c r="B135" s="274">
        <v>2.99</v>
      </c>
      <c r="C135" s="274">
        <v>3.74</v>
      </c>
      <c r="D135" s="274">
        <v>2.09</v>
      </c>
      <c r="E135" s="274">
        <v>3.11</v>
      </c>
      <c r="F135" s="274">
        <v>2.37</v>
      </c>
    </row>
    <row r="136" spans="1:24" ht="14.25" thickBot="1" x14ac:dyDescent="0.3">
      <c r="A136" s="229" t="s">
        <v>39</v>
      </c>
      <c r="B136" s="72">
        <v>1.88</v>
      </c>
      <c r="C136" s="72">
        <v>3.11</v>
      </c>
      <c r="D136" s="72">
        <v>0.67</v>
      </c>
      <c r="E136" s="72">
        <v>0.48</v>
      </c>
      <c r="F136" s="72">
        <v>-0.23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</v>
      </c>
      <c r="C140" s="68">
        <v>1.8</v>
      </c>
      <c r="D140" s="68">
        <v>2.6</v>
      </c>
      <c r="E140" s="68">
        <v>2.6</v>
      </c>
      <c r="F140" s="68">
        <v>3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0.66666666666666663</v>
      </c>
      <c r="C142" s="234">
        <f>IF(C140&lt;&gt;"無",IF(ISNA(HLOOKUP(C139,$B$64:$F$69,6,FALSE)),"",C140/HLOOKUP(C139,$B$64:$F$69,6,FALSE)),"")</f>
        <v>0.65217391304347838</v>
      </c>
      <c r="D142" s="234">
        <f>IF(D140&lt;&gt;"無",IF(ISNA(HLOOKUP(D139,$B$64:$F$69,6,FALSE)),"",D140/HLOOKUP(D139,$B$64:$F$69,6,FALSE)),"")</f>
        <v>0.77611940298507465</v>
      </c>
      <c r="E142" s="234">
        <f>IF(E140&lt;&gt;"無",IF(ISNA(HLOOKUP(E139,$B$64:$F$69,6,FALSE)),"",E140/HLOOKUP(E139,$B$64:$F$69,6,FALSE)),"")</f>
        <v>1.0236220472440944</v>
      </c>
      <c r="F142" s="234">
        <f>IF(F140&lt;&gt;"無",IF(ISNA(HLOOKUP(F139,$B$64:$F$69,6,FALSE)),"",F140/HLOOKUP(F139,$B$64:$F$69,6,FALSE)),"")</f>
        <v>0.88495575221238931</v>
      </c>
    </row>
    <row r="143" spans="1:24" x14ac:dyDescent="0.25">
      <c r="A143" s="233" t="s">
        <v>216</v>
      </c>
      <c r="B143" s="234">
        <f>IF(OR(B140=0,B140="無"),"",B135/B140)</f>
        <v>2.99</v>
      </c>
      <c r="C143" s="234">
        <f>IF(OR(C140=0,C140="無"),"",C135/C140)</f>
        <v>2.0777777777777779</v>
      </c>
      <c r="D143" s="234">
        <f>IF(OR(D140=0,D140="無"),"",D135/D140)</f>
        <v>0.80384615384615377</v>
      </c>
      <c r="E143" s="234">
        <f>IF(OR(E140=0,E140="無"),"",E135/E140)</f>
        <v>1.1961538461538461</v>
      </c>
      <c r="F143" s="234">
        <f>IF(OR(F140=0,F140="無"),"",F135/F140)</f>
        <v>0.79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11.29</v>
      </c>
      <c r="C146" s="68">
        <v>27.71</v>
      </c>
      <c r="D146" s="68">
        <v>27.63</v>
      </c>
      <c r="E146" s="68">
        <v>24.63</v>
      </c>
      <c r="F146" s="68">
        <v>29.87</v>
      </c>
      <c r="G146" s="68">
        <v>32.54</v>
      </c>
      <c r="H146" s="68">
        <v>33.72</v>
      </c>
      <c r="I146" s="68">
        <v>33.42</v>
      </c>
      <c r="J146" s="68">
        <v>37.26</v>
      </c>
      <c r="K146" s="68">
        <v>37.89</v>
      </c>
      <c r="L146" s="68">
        <v>34.090000000000003</v>
      </c>
      <c r="M146" s="68">
        <v>35.020000000000003</v>
      </c>
      <c r="N146" s="68">
        <v>33.36</v>
      </c>
      <c r="O146" s="68">
        <v>29.54</v>
      </c>
      <c r="P146" s="68">
        <v>27.18</v>
      </c>
      <c r="Q146" s="68">
        <v>27.51</v>
      </c>
      <c r="R146" s="68">
        <v>35.25</v>
      </c>
      <c r="S146" s="68">
        <v>34.82</v>
      </c>
      <c r="T146" s="68">
        <v>34.44</v>
      </c>
      <c r="U146" s="68">
        <v>33.74</v>
      </c>
      <c r="V146" s="68">
        <v>32.11</v>
      </c>
      <c r="W146" s="68">
        <v>30.01</v>
      </c>
      <c r="X146" s="68">
        <v>31.83</v>
      </c>
    </row>
    <row r="147" spans="1:24" s="93" customFormat="1" ht="14.25" thickBot="1" x14ac:dyDescent="0.3">
      <c r="A147" s="225" t="s">
        <v>19</v>
      </c>
      <c r="B147" s="274">
        <v>-0.59</v>
      </c>
      <c r="C147" s="274">
        <v>18.260000000000002</v>
      </c>
      <c r="D147" s="274">
        <v>18.45</v>
      </c>
      <c r="E147" s="274">
        <v>14.69</v>
      </c>
      <c r="F147" s="274">
        <v>19.989999999999998</v>
      </c>
      <c r="G147" s="274">
        <v>23.55</v>
      </c>
      <c r="H147" s="274">
        <v>24.6</v>
      </c>
      <c r="I147" s="274">
        <v>23.03</v>
      </c>
      <c r="J147" s="274">
        <v>27.22</v>
      </c>
      <c r="K147" s="274">
        <v>27.8</v>
      </c>
      <c r="L147" s="274">
        <v>24.09</v>
      </c>
      <c r="M147" s="274">
        <v>24.89</v>
      </c>
      <c r="N147" s="274">
        <v>24.18</v>
      </c>
      <c r="O147" s="274">
        <v>19.34</v>
      </c>
      <c r="P147" s="274">
        <v>16.899999999999999</v>
      </c>
      <c r="Q147" s="274">
        <v>17.91</v>
      </c>
      <c r="R147" s="274">
        <v>25.59</v>
      </c>
      <c r="S147" s="274">
        <v>24.12</v>
      </c>
      <c r="T147" s="274">
        <v>23.36</v>
      </c>
      <c r="U147" s="274">
        <v>21.54</v>
      </c>
      <c r="V147" s="274">
        <v>21.11</v>
      </c>
      <c r="W147" s="274">
        <v>18.260000000000002</v>
      </c>
      <c r="X147" s="274">
        <v>20.96</v>
      </c>
    </row>
    <row r="148" spans="1:24" s="93" customFormat="1" ht="14.25" thickBot="1" x14ac:dyDescent="0.3">
      <c r="A148" s="224" t="s">
        <v>41</v>
      </c>
      <c r="B148" s="68">
        <v>-0.31</v>
      </c>
      <c r="C148" s="68">
        <v>18.760000000000002</v>
      </c>
      <c r="D148" s="68">
        <v>18.96</v>
      </c>
      <c r="E148" s="68">
        <v>16.940000000000001</v>
      </c>
      <c r="F148" s="68">
        <v>20.82</v>
      </c>
      <c r="G148" s="68">
        <v>24.73</v>
      </c>
      <c r="H148" s="68">
        <v>25.56</v>
      </c>
      <c r="I148" s="68">
        <v>24.28</v>
      </c>
      <c r="J148" s="68">
        <v>28.25</v>
      </c>
      <c r="K148" s="68">
        <v>28.57</v>
      </c>
      <c r="L148" s="68">
        <v>25.5</v>
      </c>
      <c r="M148" s="68">
        <v>26.47</v>
      </c>
      <c r="N148" s="68">
        <v>25.13</v>
      </c>
      <c r="O148" s="68">
        <v>21.23</v>
      </c>
      <c r="P148" s="68">
        <v>19.010000000000002</v>
      </c>
      <c r="Q148" s="68">
        <v>18.600000000000001</v>
      </c>
      <c r="R148" s="68">
        <v>24.65</v>
      </c>
      <c r="S148" s="68">
        <v>25.37</v>
      </c>
      <c r="T148" s="68">
        <v>23.16</v>
      </c>
      <c r="U148" s="68">
        <v>23.81</v>
      </c>
      <c r="V148" s="68">
        <v>19.62</v>
      </c>
      <c r="W148" s="68">
        <v>20.13</v>
      </c>
      <c r="X148" s="68">
        <v>21.97</v>
      </c>
    </row>
    <row r="149" spans="1:24" s="93" customFormat="1" ht="14.25" thickBot="1" x14ac:dyDescent="0.3">
      <c r="A149" s="225" t="s">
        <v>13</v>
      </c>
      <c r="B149" s="73">
        <v>0.76</v>
      </c>
      <c r="C149" s="73">
        <v>16.96</v>
      </c>
      <c r="D149" s="73">
        <v>16.89</v>
      </c>
      <c r="E149" s="73">
        <v>15.54</v>
      </c>
      <c r="F149" s="73">
        <v>18.399999999999999</v>
      </c>
      <c r="G149" s="73">
        <v>21.19</v>
      </c>
      <c r="H149" s="73">
        <v>21.94</v>
      </c>
      <c r="I149" s="73">
        <v>20.9</v>
      </c>
      <c r="J149" s="73">
        <v>24.39</v>
      </c>
      <c r="K149" s="73">
        <v>22.72</v>
      </c>
      <c r="L149" s="73">
        <v>21.42</v>
      </c>
      <c r="M149" s="73">
        <v>22.56</v>
      </c>
      <c r="N149" s="73">
        <v>21.39</v>
      </c>
      <c r="O149" s="73">
        <v>17.3</v>
      </c>
      <c r="P149" s="73">
        <v>16.079999999999998</v>
      </c>
      <c r="Q149" s="73">
        <v>15.96</v>
      </c>
      <c r="R149" s="73">
        <v>21.77</v>
      </c>
      <c r="S149" s="73">
        <v>23.46</v>
      </c>
      <c r="T149" s="73">
        <v>20.02</v>
      </c>
      <c r="U149" s="73">
        <v>20.56</v>
      </c>
      <c r="V149" s="73">
        <v>18.37</v>
      </c>
      <c r="W149" s="73">
        <v>16.68</v>
      </c>
      <c r="X149" s="73">
        <v>18.100000000000001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23.82</v>
      </c>
      <c r="C152" s="68">
        <v>32.47</v>
      </c>
      <c r="D152" s="68">
        <v>35.99</v>
      </c>
      <c r="E152" s="68">
        <v>29.58</v>
      </c>
      <c r="F152" s="68">
        <v>34.549999999999997</v>
      </c>
    </row>
    <row r="153" spans="1:24" s="93" customFormat="1" ht="14.25" thickBot="1" x14ac:dyDescent="0.3">
      <c r="A153" s="225" t="s">
        <v>19</v>
      </c>
      <c r="B153" s="274">
        <v>13.86</v>
      </c>
      <c r="C153" s="274">
        <v>22.89</v>
      </c>
      <c r="D153" s="274">
        <v>25.93</v>
      </c>
      <c r="E153" s="274">
        <v>19.78</v>
      </c>
      <c r="F153" s="274">
        <v>23.62</v>
      </c>
    </row>
    <row r="154" spans="1:24" s="93" customFormat="1" ht="14.25" thickBot="1" x14ac:dyDescent="0.3">
      <c r="A154" s="224" t="s">
        <v>41</v>
      </c>
      <c r="B154" s="68">
        <v>14.81</v>
      </c>
      <c r="C154" s="68">
        <v>23.95</v>
      </c>
      <c r="D154" s="68">
        <v>27.14</v>
      </c>
      <c r="E154" s="68">
        <v>21.18</v>
      </c>
      <c r="F154" s="68">
        <v>24.24</v>
      </c>
    </row>
    <row r="155" spans="1:24" s="93" customFormat="1" ht="14.25" thickBot="1" x14ac:dyDescent="0.3">
      <c r="A155" s="225" t="s">
        <v>13</v>
      </c>
      <c r="B155" s="73">
        <v>13.58</v>
      </c>
      <c r="C155" s="73">
        <v>20.68</v>
      </c>
      <c r="D155" s="73">
        <v>22.72</v>
      </c>
      <c r="E155" s="73">
        <v>17.829999999999998</v>
      </c>
      <c r="F155" s="73">
        <v>21.44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0.11</v>
      </c>
      <c r="C158" s="68">
        <v>3.4</v>
      </c>
      <c r="D158" s="68">
        <v>3.41</v>
      </c>
      <c r="E158" s="68">
        <v>3.07</v>
      </c>
      <c r="F158" s="68">
        <v>3.47</v>
      </c>
      <c r="G158" s="68">
        <v>4.24</v>
      </c>
      <c r="H158" s="68">
        <v>4.5</v>
      </c>
      <c r="I158" s="68">
        <v>4.04</v>
      </c>
      <c r="J158" s="68">
        <v>4.51</v>
      </c>
      <c r="K158" s="68">
        <v>4.17</v>
      </c>
      <c r="L158" s="68">
        <v>4.12</v>
      </c>
      <c r="M158" s="68">
        <v>4.43</v>
      </c>
      <c r="N158" s="68">
        <v>3.95</v>
      </c>
      <c r="O158" s="68">
        <v>2.98</v>
      </c>
      <c r="P158" s="68">
        <v>2.54</v>
      </c>
      <c r="Q158" s="68">
        <v>2.75</v>
      </c>
      <c r="R158" s="68">
        <v>4.07</v>
      </c>
      <c r="S158" s="68">
        <v>4.32</v>
      </c>
      <c r="T158" s="68">
        <v>3.81</v>
      </c>
      <c r="U158" s="68">
        <v>4.01</v>
      </c>
      <c r="V158" s="68">
        <v>3.25</v>
      </c>
      <c r="W158" s="68">
        <v>2.69</v>
      </c>
      <c r="X158" s="68">
        <v>3.32</v>
      </c>
    </row>
    <row r="159" spans="1:24" s="93" customFormat="1" ht="14.25" thickBot="1" x14ac:dyDescent="0.3">
      <c r="A159" s="225" t="s">
        <v>45</v>
      </c>
      <c r="B159" s="73">
        <v>0.12</v>
      </c>
      <c r="C159" s="73">
        <v>3.98</v>
      </c>
      <c r="D159" s="73">
        <v>4.0199999999999996</v>
      </c>
      <c r="E159" s="73">
        <v>3.58</v>
      </c>
      <c r="F159" s="73">
        <v>4.08</v>
      </c>
      <c r="G159" s="73">
        <v>5.13</v>
      </c>
      <c r="H159" s="73">
        <v>5.41</v>
      </c>
      <c r="I159" s="73">
        <v>4.7300000000000004</v>
      </c>
      <c r="J159" s="73">
        <v>5.31</v>
      </c>
      <c r="K159" s="73">
        <v>5.2</v>
      </c>
      <c r="L159" s="73">
        <v>5.21</v>
      </c>
      <c r="M159" s="73">
        <v>5.4</v>
      </c>
      <c r="N159" s="73">
        <v>4.8499999999999996</v>
      </c>
      <c r="O159" s="73">
        <v>3.89</v>
      </c>
      <c r="P159" s="73">
        <v>3.26</v>
      </c>
      <c r="Q159" s="73">
        <v>3.24</v>
      </c>
      <c r="R159" s="73">
        <v>4.8099999999999996</v>
      </c>
      <c r="S159" s="73">
        <v>5.52</v>
      </c>
      <c r="T159" s="73">
        <v>4.91</v>
      </c>
      <c r="U159" s="73">
        <v>4.84</v>
      </c>
      <c r="V159" s="73">
        <v>3.94</v>
      </c>
      <c r="W159" s="73">
        <v>3.54</v>
      </c>
      <c r="X159" s="73">
        <v>4.41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13.58</v>
      </c>
      <c r="C162" s="68">
        <v>20.68</v>
      </c>
      <c r="D162" s="68">
        <v>22.72</v>
      </c>
      <c r="E162" s="68">
        <v>17.829999999999998</v>
      </c>
      <c r="F162" s="68">
        <v>21.44</v>
      </c>
    </row>
    <row r="163" spans="1:72" s="93" customFormat="1" ht="14.25" thickBot="1" x14ac:dyDescent="0.3">
      <c r="A163" s="225" t="s">
        <v>18</v>
      </c>
      <c r="B163" s="274">
        <v>0.69</v>
      </c>
      <c r="C163" s="274">
        <v>0.73</v>
      </c>
      <c r="D163" s="274">
        <v>0.71</v>
      </c>
      <c r="E163" s="274">
        <v>0.72</v>
      </c>
      <c r="F163" s="274">
        <v>0.74</v>
      </c>
    </row>
    <row r="164" spans="1:72" s="93" customFormat="1" ht="14.25" thickBot="1" x14ac:dyDescent="0.3">
      <c r="A164" s="224" t="s">
        <v>15</v>
      </c>
      <c r="B164" s="68">
        <v>1.18</v>
      </c>
      <c r="C164" s="68">
        <v>1.18</v>
      </c>
      <c r="D164" s="68">
        <v>1.23</v>
      </c>
      <c r="E164" s="68">
        <v>1.18</v>
      </c>
      <c r="F164" s="68">
        <v>1.22</v>
      </c>
    </row>
    <row r="165" spans="1:72" s="93" customFormat="1" ht="14.25" thickBot="1" x14ac:dyDescent="0.3">
      <c r="A165" s="225" t="s">
        <v>45</v>
      </c>
      <c r="B165" s="73">
        <v>11.28</v>
      </c>
      <c r="C165" s="73">
        <v>19.23</v>
      </c>
      <c r="D165" s="73">
        <v>20.93</v>
      </c>
      <c r="E165" s="73">
        <v>15.13</v>
      </c>
      <c r="F165" s="73">
        <v>19.739999999999998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63.83</v>
      </c>
      <c r="C168" s="68">
        <v>52.94</v>
      </c>
      <c r="D168" s="68">
        <v>55.9</v>
      </c>
      <c r="E168" s="68">
        <v>48.91</v>
      </c>
      <c r="F168" s="68">
        <v>50</v>
      </c>
      <c r="G168" s="68">
        <v>49.45</v>
      </c>
      <c r="H168" s="68">
        <v>49.72</v>
      </c>
      <c r="I168" s="68">
        <v>50.56</v>
      </c>
      <c r="J168" s="68">
        <v>51.14</v>
      </c>
      <c r="K168" s="68">
        <v>49.45</v>
      </c>
      <c r="L168" s="68">
        <v>49.18</v>
      </c>
      <c r="M168" s="68">
        <v>52.94</v>
      </c>
      <c r="N168" s="68">
        <v>55.21</v>
      </c>
      <c r="O168" s="68">
        <v>52.63</v>
      </c>
      <c r="P168" s="68">
        <v>54.22</v>
      </c>
      <c r="Q168" s="68">
        <v>50.28</v>
      </c>
      <c r="R168" s="68">
        <v>48.91</v>
      </c>
      <c r="S168" s="68">
        <v>51.72</v>
      </c>
      <c r="T168" s="68">
        <v>51.43</v>
      </c>
      <c r="U168" s="68">
        <v>52.63</v>
      </c>
      <c r="V168" s="68">
        <v>55.21</v>
      </c>
      <c r="W168" s="68">
        <v>58.44</v>
      </c>
      <c r="X168" s="68">
        <v>55.9</v>
      </c>
    </row>
    <row r="169" spans="1:72" s="93" customFormat="1" ht="14.25" thickBot="1" x14ac:dyDescent="0.3">
      <c r="A169" s="225" t="s">
        <v>17</v>
      </c>
      <c r="B169" s="274">
        <v>42.45</v>
      </c>
      <c r="C169" s="274">
        <v>41.47</v>
      </c>
      <c r="D169" s="274">
        <v>45.23</v>
      </c>
      <c r="E169" s="274">
        <v>45.92</v>
      </c>
      <c r="F169" s="274">
        <v>51.14</v>
      </c>
      <c r="G169" s="274">
        <v>46.63</v>
      </c>
      <c r="H169" s="274">
        <v>42.65</v>
      </c>
      <c r="I169" s="274">
        <v>42.65</v>
      </c>
      <c r="J169" s="274">
        <v>43.48</v>
      </c>
      <c r="K169" s="274">
        <v>41.67</v>
      </c>
      <c r="L169" s="274">
        <v>44.55</v>
      </c>
      <c r="M169" s="274">
        <v>52.33</v>
      </c>
      <c r="N169" s="274">
        <v>54.22</v>
      </c>
      <c r="O169" s="274">
        <v>54.55</v>
      </c>
      <c r="P169" s="274">
        <v>60</v>
      </c>
      <c r="Q169" s="274">
        <v>54.22</v>
      </c>
      <c r="R169" s="274">
        <v>51.14</v>
      </c>
      <c r="S169" s="274">
        <v>50</v>
      </c>
      <c r="T169" s="274">
        <v>48.13</v>
      </c>
      <c r="U169" s="274">
        <v>45.92</v>
      </c>
      <c r="V169" s="274">
        <v>45.69</v>
      </c>
      <c r="W169" s="274">
        <v>48.39</v>
      </c>
      <c r="X169" s="274">
        <v>49.72</v>
      </c>
    </row>
    <row r="170" spans="1:72" s="93" customFormat="1" ht="14.25" thickBot="1" x14ac:dyDescent="0.3">
      <c r="A170" s="224" t="s">
        <v>42</v>
      </c>
      <c r="B170" s="72">
        <v>106.28</v>
      </c>
      <c r="C170" s="72">
        <v>94.42</v>
      </c>
      <c r="D170" s="72">
        <v>101.13</v>
      </c>
      <c r="E170" s="72">
        <v>94.83</v>
      </c>
      <c r="F170" s="72">
        <v>101.14</v>
      </c>
      <c r="G170" s="72">
        <v>96.08</v>
      </c>
      <c r="H170" s="72">
        <v>92.38</v>
      </c>
      <c r="I170" s="72">
        <v>93.22</v>
      </c>
      <c r="J170" s="72">
        <v>94.61</v>
      </c>
      <c r="K170" s="72">
        <v>91.12</v>
      </c>
      <c r="L170" s="72">
        <v>93.73</v>
      </c>
      <c r="M170" s="72">
        <v>105.27</v>
      </c>
      <c r="N170" s="72">
        <v>109.43</v>
      </c>
      <c r="O170" s="72">
        <v>107.18</v>
      </c>
      <c r="P170" s="72">
        <v>114.22</v>
      </c>
      <c r="Q170" s="72">
        <v>104.5</v>
      </c>
      <c r="R170" s="72">
        <v>100.05</v>
      </c>
      <c r="S170" s="72">
        <v>101.72</v>
      </c>
      <c r="T170" s="72">
        <v>99.56</v>
      </c>
      <c r="U170" s="72">
        <v>98.55</v>
      </c>
      <c r="V170" s="72">
        <v>100.9</v>
      </c>
      <c r="W170" s="72">
        <v>106.83</v>
      </c>
      <c r="X170" s="72">
        <v>105.62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251.49</v>
      </c>
      <c r="C173" s="72">
        <v>172.75</v>
      </c>
      <c r="D173" s="72">
        <v>122.58</v>
      </c>
      <c r="E173" s="72">
        <v>172.76</v>
      </c>
      <c r="F173" s="72">
        <v>143.97999999999999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15.08</v>
      </c>
      <c r="C176" s="72">
        <v>17.13</v>
      </c>
      <c r="D176" s="72">
        <v>17.39</v>
      </c>
      <c r="E176" s="72">
        <v>21.03</v>
      </c>
      <c r="F176" s="72">
        <v>35.35</v>
      </c>
      <c r="G176" s="72">
        <v>34.700000000000003</v>
      </c>
      <c r="H176" s="72">
        <v>30.73</v>
      </c>
      <c r="I176" s="72">
        <v>23.15</v>
      </c>
      <c r="J176" s="72">
        <v>28.17</v>
      </c>
      <c r="K176" s="72">
        <v>31.65</v>
      </c>
      <c r="L176" s="72">
        <v>18.37</v>
      </c>
      <c r="M176" s="72">
        <v>18.64</v>
      </c>
      <c r="N176" s="72">
        <v>20.6</v>
      </c>
      <c r="O176" s="72">
        <v>23.67</v>
      </c>
      <c r="P176" s="72">
        <v>26.63</v>
      </c>
      <c r="Q176" s="72">
        <v>19.71</v>
      </c>
      <c r="R176" s="72">
        <v>16.7</v>
      </c>
      <c r="S176" s="72">
        <v>16.850000000000001</v>
      </c>
      <c r="T176" s="72">
        <v>16.149999999999999</v>
      </c>
      <c r="U176" s="72">
        <v>13.66</v>
      </c>
      <c r="V176" s="72">
        <v>15.35</v>
      </c>
      <c r="W176" s="72">
        <v>14.39</v>
      </c>
      <c r="X176" s="72">
        <v>12.75</v>
      </c>
      <c r="Y176" s="72">
        <v>13.94</v>
      </c>
      <c r="Z176" s="72">
        <v>14.02</v>
      </c>
      <c r="AA176" s="72">
        <v>15.97</v>
      </c>
      <c r="AB176" s="72">
        <v>16.46</v>
      </c>
      <c r="AC176" s="72">
        <v>16.03</v>
      </c>
      <c r="AD176" s="72">
        <v>14.59</v>
      </c>
      <c r="AE176" s="72">
        <v>15.25</v>
      </c>
      <c r="AF176" s="72">
        <v>15.42</v>
      </c>
      <c r="AG176" s="72">
        <v>13.87</v>
      </c>
      <c r="AH176" s="72">
        <v>14.36</v>
      </c>
      <c r="AI176" s="72">
        <v>14.82</v>
      </c>
      <c r="AJ176" s="72">
        <v>14.85</v>
      </c>
      <c r="AK176" s="72">
        <v>15.22</v>
      </c>
      <c r="AL176" s="72">
        <v>17.010000000000002</v>
      </c>
      <c r="AM176" s="72">
        <v>17.66</v>
      </c>
      <c r="AN176" s="72">
        <v>16.2</v>
      </c>
      <c r="AO176" s="72">
        <v>14.83</v>
      </c>
      <c r="AP176" s="72">
        <v>14.13</v>
      </c>
      <c r="AQ176" s="72">
        <v>14.32</v>
      </c>
      <c r="AR176" s="72">
        <v>12.13</v>
      </c>
      <c r="AS176" s="72">
        <v>11.33</v>
      </c>
      <c r="AT176" s="72">
        <v>11.85</v>
      </c>
      <c r="AU176" s="72">
        <v>12.99</v>
      </c>
      <c r="AV176" s="72">
        <v>14.21</v>
      </c>
      <c r="AW176" s="72">
        <v>14.45</v>
      </c>
      <c r="AX176" s="72">
        <v>14.22</v>
      </c>
      <c r="AY176" s="72">
        <v>17.55</v>
      </c>
      <c r="AZ176" s="72">
        <v>20.09</v>
      </c>
      <c r="BA176" s="72">
        <v>20.04</v>
      </c>
      <c r="BB176" s="72">
        <v>20.59</v>
      </c>
      <c r="BC176" s="72">
        <v>21.12</v>
      </c>
      <c r="BD176" s="72">
        <v>21.75</v>
      </c>
      <c r="BE176" s="72">
        <v>19.93</v>
      </c>
      <c r="BF176" s="72">
        <v>20.82</v>
      </c>
      <c r="BG176" s="72">
        <v>22.34</v>
      </c>
      <c r="BH176" s="72">
        <v>19.39</v>
      </c>
      <c r="BI176" s="72">
        <v>18.52</v>
      </c>
      <c r="BJ176" s="72">
        <v>18.25</v>
      </c>
      <c r="BK176" s="72">
        <v>19.260000000000002</v>
      </c>
      <c r="BL176" s="72">
        <v>17.71</v>
      </c>
      <c r="BM176" s="72">
        <v>17.059999999999999</v>
      </c>
      <c r="BN176" s="72">
        <v>17.45</v>
      </c>
      <c r="BO176" s="72">
        <v>17.93</v>
      </c>
      <c r="BP176" s="72">
        <v>19.25</v>
      </c>
      <c r="BQ176" s="72">
        <v>18.260000000000002</v>
      </c>
      <c r="BR176" s="72">
        <v>18.25</v>
      </c>
      <c r="BS176" s="72">
        <v>18.809999999999999</v>
      </c>
      <c r="BT176" s="72">
        <v>24.24</v>
      </c>
    </row>
  </sheetData>
  <phoneticPr fontId="3" type="noConversion"/>
  <conditionalFormatting sqref="E4">
    <cfRule type="cellIs" dxfId="3074" priority="101" operator="greaterThan">
      <formula>0.2</formula>
    </cfRule>
    <cfRule type="cellIs" dxfId="307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307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071" priority="95" operator="greaterThan">
      <formula>$B$19</formula>
    </cfRule>
  </conditionalFormatting>
  <conditionalFormatting sqref="D33:D34">
    <cfRule type="cellIs" dxfId="307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3069" priority="89" operator="lessThan">
      <formula>$H$62</formula>
    </cfRule>
    <cfRule type="cellIs" dxfId="3068" priority="90" operator="greaterThan">
      <formula>$H$62</formula>
    </cfRule>
  </conditionalFormatting>
  <conditionalFormatting sqref="J62">
    <cfRule type="cellIs" dxfId="3067" priority="87" operator="lessThan">
      <formula>$K$62</formula>
    </cfRule>
    <cfRule type="cellIs" dxfId="3066" priority="88" operator="greaterThan">
      <formula>$K$62</formula>
    </cfRule>
  </conditionalFormatting>
  <conditionalFormatting sqref="M62">
    <cfRule type="cellIs" dxfId="3065" priority="85" operator="lessThan">
      <formula>$N$62</formula>
    </cfRule>
    <cfRule type="cellIs" dxfId="3064" priority="86" operator="greaterThan">
      <formula>$N$62</formula>
    </cfRule>
  </conditionalFormatting>
  <conditionalFormatting sqref="B44:E44">
    <cfRule type="cellIs" dxfId="3063" priority="83" operator="greaterThan">
      <formula>0</formula>
    </cfRule>
    <cfRule type="cellIs" dxfId="3062" priority="84" operator="lessThan">
      <formula>0</formula>
    </cfRule>
  </conditionalFormatting>
  <conditionalFormatting sqref="F72">
    <cfRule type="cellIs" dxfId="3061" priority="82" operator="lessThan">
      <formula>$E$72*90%</formula>
    </cfRule>
  </conditionalFormatting>
  <conditionalFormatting sqref="F73">
    <cfRule type="cellIs" dxfId="3060" priority="81" operator="lessThan">
      <formula>$E$73*90%</formula>
    </cfRule>
  </conditionalFormatting>
  <conditionalFormatting sqref="F74">
    <cfRule type="cellIs" dxfId="3059" priority="80" operator="lessThan">
      <formula>$E$74*90%</formula>
    </cfRule>
  </conditionalFormatting>
  <conditionalFormatting sqref="F75">
    <cfRule type="cellIs" dxfId="3058" priority="79" operator="lessThan">
      <formula>$E$75*90%</formula>
    </cfRule>
  </conditionalFormatting>
  <conditionalFormatting sqref="H44:K44">
    <cfRule type="cellIs" dxfId="3057" priority="77" operator="greaterThan">
      <formula>0</formula>
    </cfRule>
    <cfRule type="cellIs" dxfId="3056" priority="78" operator="lessThan">
      <formula>0</formula>
    </cfRule>
  </conditionalFormatting>
  <conditionalFormatting sqref="H51:K51">
    <cfRule type="cellIs" dxfId="3055" priority="75" operator="greaterThan">
      <formula>0</formula>
    </cfRule>
    <cfRule type="cellIs" dxfId="3054" priority="76" operator="lessThan">
      <formula>0</formula>
    </cfRule>
  </conditionalFormatting>
  <conditionalFormatting sqref="B51:E51">
    <cfRule type="cellIs" dxfId="3053" priority="73" operator="greaterThan">
      <formula>0</formula>
    </cfRule>
    <cfRule type="cellIs" dxfId="305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05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05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049" priority="56" operator="lessThan">
      <formula>0</formula>
    </cfRule>
  </conditionalFormatting>
  <conditionalFormatting sqref="A25 E25 C25">
    <cfRule type="cellIs" dxfId="3048" priority="57" operator="lessThan">
      <formula>0</formula>
    </cfRule>
  </conditionalFormatting>
  <conditionalFormatting sqref="F25">
    <cfRule type="cellIs" dxfId="3047" priority="55" operator="lessThan">
      <formula>0</formula>
    </cfRule>
  </conditionalFormatting>
  <conditionalFormatting sqref="E1">
    <cfRule type="containsText" dxfId="3046" priority="54" operator="containsText" text="本季業外損益/平均=-">
      <formula>NOT(ISERROR(SEARCH("本季業外損益/平均=-",E1)))</formula>
    </cfRule>
  </conditionalFormatting>
  <conditionalFormatting sqref="M65">
    <cfRule type="cellIs" dxfId="3045" priority="53" operator="lessThan">
      <formula>$L$65*90%</formula>
    </cfRule>
  </conditionalFormatting>
  <conditionalFormatting sqref="M66">
    <cfRule type="cellIs" dxfId="3044" priority="52" operator="lessThan">
      <formula>$L$66*90%</formula>
    </cfRule>
  </conditionalFormatting>
  <conditionalFormatting sqref="M67">
    <cfRule type="cellIs" dxfId="3043" priority="51" operator="lessThan">
      <formula>$L$67*90%</formula>
    </cfRule>
  </conditionalFormatting>
  <conditionalFormatting sqref="M68">
    <cfRule type="cellIs" dxfId="3042" priority="50" operator="lessThan">
      <formula>$L$68*90%</formula>
    </cfRule>
  </conditionalFormatting>
  <conditionalFormatting sqref="B60">
    <cfRule type="cellIs" dxfId="3041" priority="49" operator="lessThan">
      <formula>0</formula>
    </cfRule>
  </conditionalFormatting>
  <conditionalFormatting sqref="B59:F59">
    <cfRule type="cellIs" dxfId="3040" priority="48" operator="lessThanOrEqual">
      <formula>0</formula>
    </cfRule>
  </conditionalFormatting>
  <conditionalFormatting sqref="D62">
    <cfRule type="cellIs" dxfId="3039" priority="46" operator="lessThan">
      <formula>$E$62</formula>
    </cfRule>
    <cfRule type="cellIs" dxfId="3038" priority="47" operator="greaterThan">
      <formula>$E$62</formula>
    </cfRule>
  </conditionalFormatting>
  <conditionalFormatting sqref="F69">
    <cfRule type="cellIs" dxfId="3037" priority="44" operator="lessThan">
      <formula>0</formula>
    </cfRule>
  </conditionalFormatting>
  <conditionalFormatting sqref="B65:E67 B69:E69 B68:D68">
    <cfRule type="cellIs" dxfId="3036" priority="45" operator="lessThan">
      <formula>0</formula>
    </cfRule>
  </conditionalFormatting>
  <conditionalFormatting sqref="E68">
    <cfRule type="cellIs" dxfId="3035" priority="43" operator="lessThan">
      <formula>0</formula>
    </cfRule>
  </conditionalFormatting>
  <conditionalFormatting sqref="F65:F68">
    <cfRule type="cellIs" dxfId="3034" priority="42" operator="lessThan">
      <formula>0</formula>
    </cfRule>
  </conditionalFormatting>
  <conditionalFormatting sqref="F65:F68">
    <cfRule type="cellIs" dxfId="3033" priority="41" operator="lessThan">
      <formula>$E$65*0.9</formula>
    </cfRule>
  </conditionalFormatting>
  <conditionalFormatting sqref="F66">
    <cfRule type="cellIs" dxfId="3032" priority="40" operator="lessThan">
      <formula>$E$66*0.9</formula>
    </cfRule>
  </conditionalFormatting>
  <conditionalFormatting sqref="F67:F68">
    <cfRule type="cellIs" dxfId="3031" priority="39" operator="lessThan">
      <formula>$E$67*0.9</formula>
    </cfRule>
  </conditionalFormatting>
  <conditionalFormatting sqref="F68">
    <cfRule type="cellIs" dxfId="3030" priority="38" operator="lessThan">
      <formula>$E$68*0.9</formula>
    </cfRule>
  </conditionalFormatting>
  <conditionalFormatting sqref="B13:F13">
    <cfRule type="cellIs" dxfId="3029" priority="27" operator="greaterThan">
      <formula>$I$16</formula>
    </cfRule>
    <cfRule type="cellIs" dxfId="3028" priority="28" operator="lessThanOrEqual">
      <formula>$I$16</formula>
    </cfRule>
  </conditionalFormatting>
  <conditionalFormatting sqref="B10:F10">
    <cfRule type="cellIs" dxfId="3027" priority="29" operator="greaterThan">
      <formula>15</formula>
    </cfRule>
    <cfRule type="cellIs" dxfId="3026" priority="36" operator="lessThan">
      <formula>$I$9</formula>
    </cfRule>
    <cfRule type="cellIs" dxfId="3025" priority="37" operator="greaterThan">
      <formula>$I$9</formula>
    </cfRule>
  </conditionalFormatting>
  <conditionalFormatting sqref="B16:F16">
    <cfRule type="cellIs" dxfId="3024" priority="34" operator="greaterThan">
      <formula>$I$16</formula>
    </cfRule>
    <cfRule type="cellIs" dxfId="3023" priority="35" operator="lessThanOrEqual">
      <formula>$I$16</formula>
    </cfRule>
  </conditionalFormatting>
  <conditionalFormatting sqref="B15:F15">
    <cfRule type="cellIs" dxfId="3022" priority="32" operator="lessThanOrEqual">
      <formula>$I$16</formula>
    </cfRule>
    <cfRule type="cellIs" dxfId="3021" priority="33" operator="greaterThan">
      <formula>$I$16</formula>
    </cfRule>
  </conditionalFormatting>
  <conditionalFormatting sqref="B14:F14">
    <cfRule type="cellIs" dxfId="3020" priority="30" operator="greaterThan">
      <formula>$I$16</formula>
    </cfRule>
    <cfRule type="cellIs" dxfId="3019" priority="31" operator="lessThanOrEqual">
      <formula>$I$16</formula>
    </cfRule>
  </conditionalFormatting>
  <conditionalFormatting sqref="K6">
    <cfRule type="containsText" dxfId="3018" priority="25" operator="containsText" text="衰退">
      <formula>NOT(ISERROR(SEARCH("衰退",K6)))</formula>
    </cfRule>
    <cfRule type="containsText" dxfId="3017" priority="26" operator="containsText" text="成長">
      <formula>NOT(ISERROR(SEARCH("成長",K6)))</formula>
    </cfRule>
  </conditionalFormatting>
  <conditionalFormatting sqref="I4:K4">
    <cfRule type="cellIs" dxfId="3016" priority="23" operator="lessThan">
      <formula>0</formula>
    </cfRule>
    <cfRule type="cellIs" dxfId="301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014" priority="20" operator="lessThanOrEqual">
      <formula>$I$16</formula>
    </cfRule>
    <cfRule type="cellIs" dxfId="3013" priority="21" operator="greaterThan">
      <formula>$I$16</formula>
    </cfRule>
  </conditionalFormatting>
  <conditionalFormatting sqref="I6">
    <cfRule type="containsText" dxfId="3012" priority="18" operator="containsText" text="衰退">
      <formula>NOT(ISERROR(SEARCH("衰退",I6)))</formula>
    </cfRule>
    <cfRule type="containsText" dxfId="3011" priority="19" operator="containsText" text="成長">
      <formula>NOT(ISERROR(SEARCH("成長",I6)))</formula>
    </cfRule>
  </conditionalFormatting>
  <conditionalFormatting sqref="M9">
    <cfRule type="cellIs" dxfId="3010" priority="17" operator="lessThan">
      <formula>$I$9</formula>
    </cfRule>
  </conditionalFormatting>
  <conditionalFormatting sqref="M10">
    <cfRule type="cellIs" dxfId="3009" priority="16" operator="greaterThan">
      <formula>$I$9</formula>
    </cfRule>
  </conditionalFormatting>
  <conditionalFormatting sqref="M11">
    <cfRule type="cellIs" dxfId="300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007" priority="12" operator="lessThan">
      <formula>0</formula>
    </cfRule>
    <cfRule type="cellIs" dxfId="3006" priority="13" operator="greaterThan">
      <formula>0.5</formula>
    </cfRule>
  </conditionalFormatting>
  <conditionalFormatting sqref="N14">
    <cfRule type="cellIs" dxfId="300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004" priority="8" operator="lessThan">
      <formula>0.1</formula>
    </cfRule>
  </conditionalFormatting>
  <conditionalFormatting sqref="I14">
    <cfRule type="cellIs" dxfId="300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00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001" priority="1" operator="lessThan">
      <formula>$N$5*0.9</formula>
    </cfRule>
    <cfRule type="cellIs" dxfId="3000" priority="2" operator="greaterThan">
      <formula>$N$5*1.1</formula>
    </cfRule>
  </conditionalFormatting>
  <hyperlinks>
    <hyperlink ref="L1" location="儀表板!A1" display="(回首頁)" xr:uid="{00000000-0004-0000-3F00-000000000000}"/>
  </hyperlink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2.63 ~ 5.42</v>
      </c>
      <c r="L1" s="83" t="s">
        <v>176</v>
      </c>
      <c r="M1" s="84" t="str">
        <f ca="1">VLOOKUP(_xlfn.NUMBERVALUE(N1),儀表板!A:B,2,FALSE)</f>
        <v>中磊</v>
      </c>
      <c r="N1" s="85" t="str">
        <f ca="1">MID(CELL("filename",L1),FIND("]",CELL("filename",L1))+1,255)</f>
        <v>5388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0.19275087461996257</v>
      </c>
    </row>
    <row r="3" spans="1:15" s="93" customFormat="1" x14ac:dyDescent="0.25">
      <c r="A3" s="81" t="s">
        <v>179</v>
      </c>
      <c r="B3" s="94">
        <f>SUM(F19:F22,F24:F27,J19)</f>
        <v>77.454436927974541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71.128581273318133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75.277061679757296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82.475087285631929</v>
      </c>
      <c r="L3" s="100"/>
      <c r="M3" s="79" t="s">
        <v>385</v>
      </c>
      <c r="N3" s="92">
        <f>(F69-E69)/E69</f>
        <v>-9.3419560526230266E-2</v>
      </c>
    </row>
    <row r="4" spans="1:15" s="93" customFormat="1" x14ac:dyDescent="0.25">
      <c r="A4" s="81" t="s">
        <v>182</v>
      </c>
      <c r="B4" s="96">
        <f>SUM(G36:G40)*2</f>
        <v>80</v>
      </c>
      <c r="C4" s="101"/>
      <c r="D4" s="102">
        <f>F4*(1+F141/10)</f>
        <v>24.3</v>
      </c>
      <c r="E4" s="82">
        <f>(D4-F4)/F4</f>
        <v>0</v>
      </c>
      <c r="F4" s="103">
        <v>24.3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5.4666800500268309</v>
      </c>
    </row>
    <row r="5" spans="1:15" s="93" customFormat="1" x14ac:dyDescent="0.25">
      <c r="A5" s="81" t="s">
        <v>184</v>
      </c>
      <c r="B5" s="107">
        <f>SUM(F30:F34)*2</f>
        <v>78.46938728897716</v>
      </c>
      <c r="C5" s="87"/>
      <c r="D5" s="87"/>
      <c r="E5" s="87"/>
      <c r="F5" s="86"/>
      <c r="G5" s="88"/>
      <c r="M5" s="79" t="s">
        <v>375</v>
      </c>
      <c r="N5" s="152">
        <f>D62</f>
        <v>5.5600000000000005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5.8165330744607671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18.34</v>
      </c>
      <c r="N9" s="129"/>
    </row>
    <row r="10" spans="1:15" s="93" customFormat="1" x14ac:dyDescent="0.25">
      <c r="A10" s="123" t="s">
        <v>194</v>
      </c>
      <c r="B10" s="126">
        <f>PERCENTILE(176:176,B9)</f>
        <v>11.68</v>
      </c>
      <c r="C10" s="126">
        <f>PERCENTILE(176:176,C9)</f>
        <v>12.945</v>
      </c>
      <c r="D10" s="126">
        <f>PERCENTILE(176:176,D9)</f>
        <v>13.7</v>
      </c>
      <c r="E10" s="126">
        <f>PERCENTILE(176:176,E9)</f>
        <v>15.010000000000002</v>
      </c>
      <c r="F10" s="126">
        <f>PERCENTILE(176:176,F9)</f>
        <v>16.13</v>
      </c>
      <c r="G10" s="95"/>
      <c r="H10" s="135"/>
      <c r="I10" s="135"/>
      <c r="J10" s="135"/>
      <c r="K10" s="135"/>
      <c r="L10" s="136" t="s">
        <v>374</v>
      </c>
      <c r="M10" s="130">
        <f>MIN(176:176)</f>
        <v>9.41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27.83</v>
      </c>
      <c r="L11" s="272" t="s">
        <v>193</v>
      </c>
      <c r="M11" s="128">
        <f>STDEV(176:176)</f>
        <v>2.2372356559562085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49.719887955182074</v>
      </c>
      <c r="C13" s="141">
        <f>$B$34/5.88%</f>
        <v>60.374149659863946</v>
      </c>
      <c r="D13" s="141">
        <f>$B$34/5%</f>
        <v>70.999999999999986</v>
      </c>
      <c r="E13" s="141">
        <f>$B$34/4.35%</f>
        <v>81.609195402298852</v>
      </c>
      <c r="F13" s="141">
        <f>$B$34/3.85%</f>
        <v>92.20779220779221</v>
      </c>
      <c r="G13" s="138" t="str">
        <f>"$"&amp;ROUND(B34,2)&amp;"/"&amp;IF(STDEV(C140:F140)/AVERAGE(C140:F140)&lt;15%,"高",IF(STDEV(C140:F140)/AVERAGE(C140:F140)&lt;30%,"中","低"))</f>
        <v>$3.55/中</v>
      </c>
      <c r="H13" s="142" t="s">
        <v>199</v>
      </c>
      <c r="I13" s="143">
        <f>MAX(0,1-J15)</f>
        <v>0.30348258706467657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58.808799999999998</v>
      </c>
      <c r="C14" s="141">
        <f>$B$33*C10</f>
        <v>65.178075000000007</v>
      </c>
      <c r="D14" s="141">
        <f>$B$33*D10</f>
        <v>68.979500000000002</v>
      </c>
      <c r="E14" s="141">
        <f>$B$33*E10</f>
        <v>75.575350000000014</v>
      </c>
      <c r="F14" s="141">
        <f>$B$33*F10</f>
        <v>81.214550000000003</v>
      </c>
      <c r="G14" s="138" t="str">
        <f>"$"&amp;ROUND(B33,2)&amp;"/"&amp;IF(STDEV(B69:E69)/AVERAGE(B69:E69)&lt;15%,"高",IF(STDEV(B69:E69)/AVERAGE(B69:E69)&lt;30%,"中","低"))</f>
        <v>$5.04/中</v>
      </c>
      <c r="H14" s="142" t="s">
        <v>203</v>
      </c>
      <c r="I14" s="145">
        <f>G62/100*I13</f>
        <v>5.8116915422885558E-2</v>
      </c>
      <c r="J14" s="76" t="s">
        <v>204</v>
      </c>
      <c r="K14" s="146"/>
      <c r="L14" s="147">
        <f>(HLOOKUP($C$1,$105:$106,2,FALSE)-HLOOKUP($C$1,$117:$127,9,FALSE))/(HLOOKUP($C$1,$117:$128,12,FALSE)/K11)</f>
        <v>23.378383976945397</v>
      </c>
      <c r="M14" s="148">
        <f>E135/E69</f>
        <v>0.54063018242122718</v>
      </c>
      <c r="N14" s="149">
        <f>F173/100</f>
        <v>1.7134</v>
      </c>
    </row>
    <row r="15" spans="1:15" s="93" customFormat="1" x14ac:dyDescent="0.25">
      <c r="A15" s="140" t="s">
        <v>375</v>
      </c>
      <c r="B15" s="141">
        <f>$D$62*B10</f>
        <v>64.94080000000001</v>
      </c>
      <c r="C15" s="141">
        <f>$D$62*C10</f>
        <v>71.97420000000001</v>
      </c>
      <c r="D15" s="141">
        <f>$D$62*D10</f>
        <v>76.171999999999997</v>
      </c>
      <c r="E15" s="141">
        <f>$D$62*E10</f>
        <v>83.455600000000018</v>
      </c>
      <c r="F15" s="141">
        <f>$D$62*F10</f>
        <v>89.6828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0.69651741293532343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63.850822984313382</v>
      </c>
      <c r="C16" s="141">
        <f>$F$69*C10</f>
        <v>70.766173247597322</v>
      </c>
      <c r="D16" s="141">
        <f>$F$69*D10</f>
        <v>74.893516685367572</v>
      </c>
      <c r="E16" s="141">
        <f>$F$69*E10</f>
        <v>82.054867550902742</v>
      </c>
      <c r="F16" s="141">
        <f>$F$69*F10</f>
        <v>88.177549206932781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989</v>
      </c>
      <c r="J17" s="92">
        <f ca="1">IF(I17&lt;=0,"",IF(I17&lt;=MIN($B$13:$F$16),(I17-MIN($B$13:$F$16))/MIN($B$13:$F$16),IF(I17&gt;=MAX($B$13:$F$16),I17/MAX($B$13:$F$16),PERCENTRANK($B$13:$F$16,I17))))</f>
        <v>10.725774647887324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4.0549999999999997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13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1.1422535211267606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0.26764524934271144</v>
      </c>
      <c r="J20" s="171">
        <f>HLOOKUP($C$1,$117:$127,11,FALSE)/HLOOKUP($C$1,$105:$115,11,FALSE)</f>
        <v>0.71932057635094793</v>
      </c>
      <c r="K20" s="163"/>
    </row>
    <row r="21" spans="1:14" s="93" customFormat="1" x14ac:dyDescent="0.25">
      <c r="A21" s="151" t="s">
        <v>201</v>
      </c>
      <c r="B21" s="161">
        <f>AVERAGE(C173:F173)/100</f>
        <v>1.2162500000000001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1.1581047183660513</v>
      </c>
      <c r="J21" s="78"/>
      <c r="K21" s="164" t="s">
        <v>356</v>
      </c>
      <c r="L21" s="165">
        <f>HLOOKUP($C$1,$105:$115,7,FALSE)/HLOOKUP($C$1,$105:$115,11,FALSE)</f>
        <v>0.82276820564297037</v>
      </c>
      <c r="M21" s="123" t="s">
        <v>268</v>
      </c>
      <c r="N21" s="165">
        <f>HLOOKUP($C$1,$117:$127,8,FALSE)/HLOOKUP($C$1,$117:$127,11,FALSE)</f>
        <v>0.98765936534697363</v>
      </c>
    </row>
    <row r="22" spans="1:14" s="93" customFormat="1" x14ac:dyDescent="0.25">
      <c r="A22" s="140" t="s">
        <v>222</v>
      </c>
      <c r="B22" s="161">
        <f>(-1)*SUM(C133:F133)/SUM(C132:F132)</f>
        <v>0.35455630720254677</v>
      </c>
      <c r="C22" s="157"/>
      <c r="D22" s="166"/>
      <c r="E22" s="140"/>
      <c r="F22" s="159">
        <f>IF(B22&lt;=0,10,IF(B22&gt;=100%,0,(1-B22)*10))</f>
        <v>6.4544369279745322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0.80972912847458511</v>
      </c>
      <c r="J22" s="78"/>
      <c r="K22" s="142" t="s">
        <v>357</v>
      </c>
      <c r="L22" s="165">
        <f>HLOOKUP($C$1,$105:$115,4,FALSE)/HLOOKUP($C$1,$105:$115,11,FALSE)</f>
        <v>0.29986026939197469</v>
      </c>
      <c r="M22" s="123" t="s">
        <v>353</v>
      </c>
      <c r="N22" s="165">
        <f>HLOOKUP($C$1,$117:$127,4,FALSE)/HLOOKUP($C$1,$117:$127,11,FALSE)</f>
        <v>0.62791937539107667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3.5627834310018804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0.2475012444377373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1.0026035867888652</v>
      </c>
      <c r="C24" s="169">
        <f>STDEV(C103:F103)</f>
        <v>2.9185333948788059E-3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55.9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3.7838943155765525E-2</v>
      </c>
      <c r="M24" s="123" t="s">
        <v>355</v>
      </c>
      <c r="N24" s="165">
        <f>HLOOKUP($C$1,$117:$127,9,FALSE)/HLOOKUP($C$1,$117:$127,11,FALSE)</f>
        <v>1.2340634653026424E-2</v>
      </c>
    </row>
    <row r="25" spans="1:14" s="93" customFormat="1" x14ac:dyDescent="0.25">
      <c r="A25" s="151" t="s">
        <v>366</v>
      </c>
      <c r="B25" s="255">
        <f>AVERAGE(94:94)</f>
        <v>2161.6521739130435</v>
      </c>
      <c r="C25" s="254">
        <f>STDEV(94:94)/AVERAGE(94:94)</f>
        <v>17.159110269205986</v>
      </c>
      <c r="D25" s="76" t="str">
        <f>IF(C25&lt;=1,"高",IF(C25&lt;=2,"中","低"))</f>
        <v>低</v>
      </c>
      <c r="E25" s="149"/>
      <c r="F25" s="160">
        <f>MAX(0,10-ABS(C25))</f>
        <v>0</v>
      </c>
      <c r="G25" s="88" t="s">
        <v>213</v>
      </c>
      <c r="H25" s="123" t="s">
        <v>232</v>
      </c>
      <c r="I25" s="170">
        <f>IF(HLOOKUP(C1,167:170,3,FALSE)="無",0,HLOOKUP(C1,167:170,3,FALSE))</f>
        <v>57.69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53.26652173913044</v>
      </c>
      <c r="C26" s="172">
        <f>IF(COUNTIF(168:168,"&gt;0")=0,0,STDEV(168:168))</f>
        <v>9.8622026899284716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57.876086956521746</v>
      </c>
      <c r="C27" s="172">
        <f>IF(COUNTIF(169:169,"&gt;0")=0,0,STDEV(169:169))</f>
        <v>5.4004425232234734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0.15180000000000002</v>
      </c>
      <c r="C30" s="157" t="s">
        <v>217</v>
      </c>
      <c r="D30" s="174">
        <f>COUNTIF(146:146,"&gt;20")/COUNT(146:146)</f>
        <v>0</v>
      </c>
      <c r="E30" s="140" t="s">
        <v>239</v>
      </c>
      <c r="F30" s="159">
        <f>MIN(B30/25%*10,10)</f>
        <v>6.072000000000001</v>
      </c>
      <c r="G30" s="175"/>
      <c r="H30" s="176"/>
    </row>
    <row r="31" spans="1:14" x14ac:dyDescent="0.25">
      <c r="A31" s="164" t="s">
        <v>240</v>
      </c>
      <c r="B31" s="173">
        <f>AVERAGE(C155:F155)/100</f>
        <v>4.0474999999999997E-2</v>
      </c>
      <c r="C31" s="157" t="s">
        <v>217</v>
      </c>
      <c r="D31" s="174">
        <f>COUNTIF(149:149,"&gt;8")/COUNT(149:149)</f>
        <v>0</v>
      </c>
      <c r="E31" s="140" t="s">
        <v>241</v>
      </c>
      <c r="F31" s="159">
        <f>MIN(B31/10%*10,10)</f>
        <v>4.0474999999999994</v>
      </c>
      <c r="G31" s="175"/>
    </row>
    <row r="32" spans="1:14" x14ac:dyDescent="0.25">
      <c r="A32" s="155" t="s">
        <v>47</v>
      </c>
      <c r="B32" s="177">
        <f>AVERAGE(C165:F165)</f>
        <v>19.405000000000001</v>
      </c>
      <c r="C32" s="157" t="s">
        <v>217</v>
      </c>
      <c r="D32" s="174">
        <f>COUNTIF(159:159,"&gt;3")/COUNT(159:159)</f>
        <v>0.91304347826086951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5.0350000000000001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3.55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9.1151936444885795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28495754.25</v>
      </c>
      <c r="C36" s="178">
        <f>STDEV(C97:F97)</f>
        <v>8691788.4540034868</v>
      </c>
      <c r="D36" s="76" t="str">
        <f>IF(C36/B36&lt;15%,"高",IF(C36/B36&lt;30%,"中","低"))</f>
        <v>低</v>
      </c>
      <c r="E36" s="107">
        <f>IF(F97&gt;E97,1,0)+IF(E97&gt;D97,1,0)+IF(D97&gt;C97,1,0)</f>
        <v>3</v>
      </c>
      <c r="F36" s="179"/>
      <c r="G36" s="160">
        <f>IF(D36="高",6,IF(D36="中",4,2))+E36+1</f>
        <v>6</v>
      </c>
    </row>
    <row r="37" spans="1:14" x14ac:dyDescent="0.25">
      <c r="A37" s="164" t="s">
        <v>248</v>
      </c>
      <c r="B37" s="180">
        <f>AVERAGE(C152:F152)</f>
        <v>15.180000000000001</v>
      </c>
      <c r="C37" s="180">
        <f>STDEV(C152:F152)</f>
        <v>0.88517418248237034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4.8100000000000005</v>
      </c>
      <c r="C38" s="180">
        <f>STDEV(C153:F153)</f>
        <v>0.2160246899469285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19.405000000000001</v>
      </c>
      <c r="C39" s="181">
        <f>STDEV(C165:F165)</f>
        <v>1.2335720489699813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5.0350000000000001</v>
      </c>
      <c r="C40" s="183">
        <f>STDEV(B69:E69)</f>
        <v>0.92255081160876351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-6.9767441860465046E-2</v>
      </c>
      <c r="C44" s="186">
        <f>(C46-C49)/C49</f>
        <v>-8.3916083916083836E-2</v>
      </c>
      <c r="D44" s="186">
        <f>(D46-D49)/D49</f>
        <v>-0.19658119658119658</v>
      </c>
      <c r="E44" s="186">
        <f>(E46-E49)/E49</f>
        <v>9.615384615384609E-2</v>
      </c>
      <c r="G44" s="86" t="s">
        <v>175</v>
      </c>
      <c r="H44" s="186">
        <f>(H47-H50)/H50</f>
        <v>-0.20765027322404384</v>
      </c>
      <c r="I44" s="186">
        <f>(I47-I50)/I50</f>
        <v>-0.16052060737527121</v>
      </c>
      <c r="J44" s="186">
        <f>(J47-J50)/J50</f>
        <v>-0.1843434343434342</v>
      </c>
      <c r="K44" s="186">
        <f>(K47-K50)/K50</f>
        <v>3.7999999999999978E-2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1.6</v>
      </c>
      <c r="C46" s="152">
        <f>HLOOKUP(C45,$81:$82,2,FALSE)</f>
        <v>1.31</v>
      </c>
      <c r="D46" s="152">
        <f>HLOOKUP(D45,$81:$82,2,FALSE)</f>
        <v>0.94</v>
      </c>
      <c r="E46" s="152">
        <f>HLOOKUP(E45,$81:$82,2,FALSE)</f>
        <v>1.71</v>
      </c>
      <c r="G46" s="86" t="s">
        <v>164</v>
      </c>
      <c r="H46" s="145">
        <f>HLOOKUP(H45,$145:$147,2,FALSE)/100</f>
        <v>0.1305</v>
      </c>
      <c r="I46" s="145">
        <f>HLOOKUP(I45,$145:$147,2,FALSE)/100</f>
        <v>0.12939999999999999</v>
      </c>
      <c r="J46" s="145">
        <f>HLOOKUP(J45,$145:$147,2,FALSE)/100</f>
        <v>0.1308</v>
      </c>
      <c r="K46" s="145">
        <f>HLOOKUP(K45,$145:$147,2,FALSE)/100</f>
        <v>0.1532</v>
      </c>
    </row>
    <row r="47" spans="1:14" x14ac:dyDescent="0.25">
      <c r="A47" s="188" t="s">
        <v>165</v>
      </c>
      <c r="B47" s="189">
        <f>HLOOKUP(B45,$157:$159,3,FALSE)</f>
        <v>5.89</v>
      </c>
      <c r="C47" s="189">
        <f>HLOOKUP(C45,$157:$159,3,FALSE)</f>
        <v>4.3499999999999996</v>
      </c>
      <c r="D47" s="189">
        <f>HLOOKUP(D45,$157:$159,3,FALSE)</f>
        <v>3.14</v>
      </c>
      <c r="E47" s="189">
        <f>HLOOKUP(E45,$157:$159,3,FALSE)</f>
        <v>5.77</v>
      </c>
      <c r="G47" s="190" t="s">
        <v>166</v>
      </c>
      <c r="H47" s="145">
        <f>HLOOKUP(H45,$145:$147,3,FALSE)/100</f>
        <v>4.3499999999999997E-2</v>
      </c>
      <c r="I47" s="145">
        <f>HLOOKUP(I45,$145:$147,3,FALSE)/100</f>
        <v>3.8699999999999998E-2</v>
      </c>
      <c r="J47" s="145">
        <f>HLOOKUP(J45,$145:$147,3,FALSE)/100</f>
        <v>3.2300000000000002E-2</v>
      </c>
      <c r="K47" s="145">
        <f>HLOOKUP(K45,$145:$147,3,FALSE)/100</f>
        <v>5.1900000000000002E-2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1.72</v>
      </c>
      <c r="C49" s="152">
        <f>HLOOKUP(C48,$81:$82,2,FALSE)</f>
        <v>1.43</v>
      </c>
      <c r="D49" s="152">
        <f>HLOOKUP(D48,$81:$82,2,FALSE)</f>
        <v>1.17</v>
      </c>
      <c r="E49" s="152">
        <f>HLOOKUP(E48,$81:$82,2,FALSE)</f>
        <v>1.56</v>
      </c>
      <c r="G49" s="86" t="s">
        <v>164</v>
      </c>
      <c r="H49" s="145">
        <f>HLOOKUP(H48,$145:$147,2,FALSE)/100</f>
        <v>0.15289999999999998</v>
      </c>
      <c r="I49" s="145">
        <f>HLOOKUP(I48,$145:$147,2,FALSE)/100</f>
        <v>0.13830000000000001</v>
      </c>
      <c r="J49" s="145">
        <f>HLOOKUP(J48,$145:$147,2,FALSE)/100</f>
        <v>0.1404</v>
      </c>
      <c r="K49" s="145">
        <f>HLOOKUP(K48,$145:$147,2,FALSE)/100</f>
        <v>0.14810000000000001</v>
      </c>
    </row>
    <row r="50" spans="1:15" x14ac:dyDescent="0.25">
      <c r="A50" s="188" t="s">
        <v>165</v>
      </c>
      <c r="B50" s="189">
        <f>HLOOKUP(B48,$157:$159,3,FALSE)</f>
        <v>6.24</v>
      </c>
      <c r="C50" s="189">
        <f>HLOOKUP(C48,$157:$159,3,FALSE)</f>
        <v>5.03</v>
      </c>
      <c r="D50" s="189">
        <f>HLOOKUP(D48,$157:$159,3,FALSE)</f>
        <v>4.08</v>
      </c>
      <c r="E50" s="189">
        <f>HLOOKUP(E48,$157:$159,3,FALSE)</f>
        <v>5.31</v>
      </c>
      <c r="G50" s="190" t="s">
        <v>166</v>
      </c>
      <c r="H50" s="145">
        <f>HLOOKUP(H48,$145:$147,3,FALSE)/100</f>
        <v>5.4900000000000004E-2</v>
      </c>
      <c r="I50" s="145">
        <f>HLOOKUP(I48,$145:$147,3,FALSE)/100</f>
        <v>4.6100000000000002E-2</v>
      </c>
      <c r="J50" s="145">
        <f>HLOOKUP(J48,$145:$147,3,FALSE)/100</f>
        <v>3.9599999999999996E-2</v>
      </c>
      <c r="K50" s="145">
        <f>HLOOKUP(K48,$145:$147,3,FALSE)/100</f>
        <v>0.05</v>
      </c>
    </row>
    <row r="51" spans="1:15" x14ac:dyDescent="0.25">
      <c r="A51" s="86" t="s">
        <v>351</v>
      </c>
      <c r="B51" s="186">
        <f>(B47-B50)/B50</f>
        <v>-5.6089743589743675E-2</v>
      </c>
      <c r="C51" s="186">
        <f>(C47-C50)/C50</f>
        <v>-0.13518886679920489</v>
      </c>
      <c r="D51" s="186">
        <f>(D47-D50)/D50</f>
        <v>-0.23039215686274508</v>
      </c>
      <c r="E51" s="186">
        <f>(E47-E50)/E50</f>
        <v>8.6629001883239173E-2</v>
      </c>
      <c r="G51" s="235" t="s">
        <v>174</v>
      </c>
      <c r="H51" s="186">
        <f>(H46-H49)/H49</f>
        <v>-0.14650098103335499</v>
      </c>
      <c r="I51" s="186">
        <f>(I46-I49)/I49</f>
        <v>-6.435285610990614E-2</v>
      </c>
      <c r="J51" s="186">
        <f>(J46-J49)/J49</f>
        <v>-6.8376068376068355E-2</v>
      </c>
      <c r="K51" s="186">
        <f>(K46-K49)/K49</f>
        <v>3.443619176232271E-2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5.8165330744607671</v>
      </c>
      <c r="B53" s="193">
        <f>B46</f>
        <v>1.6</v>
      </c>
      <c r="C53" s="193">
        <f>E46/HLOOKUP(E45,$87:$94,5,FALSE)*HLOOKUP(E45,$87:$94,4,FALSE)*($B$25/HLOOKUP(E45,$87:$94,4,FALSE)+SUM($B$57:$D$57)/SUM($B58:$D$58)*$G$69/100/K46)</f>
        <v>1.616680050026831</v>
      </c>
      <c r="D53" s="193">
        <f>D46/HLOOKUP(D45,$87:$94,5,FALSE)*HLOOKUP(D45,$87:$94,4,FALSE)*($B$25/HLOOKUP(D45,$87:$94,4,FALSE)+SUM($B$57:$D$57)/SUM($B58:$D$58)*$G$69/100/J46)</f>
        <v>1.0603045761374497</v>
      </c>
      <c r="E53" s="193">
        <f>C46/HLOOKUP(C45,$87:$94,5,FALSE)*HLOOKUP(C45,$87:$94,4,FALSE)*($B$25/HLOOKUP(C45,$87:$94,4,FALSE)+SUM($B$57:$D$57)/SUM($B58:$D$58)*$G$69/100/I46)</f>
        <v>1.5395484482964872</v>
      </c>
    </row>
    <row r="54" spans="1:15" x14ac:dyDescent="0.25">
      <c r="A54" s="278">
        <f>SUM(B54:E54)</f>
        <v>5.68</v>
      </c>
      <c r="B54" s="277">
        <f t="shared" ref="B54:D54" si="0">HLOOKUP(B52-10,81:82,2,FALSE)</f>
        <v>1.72</v>
      </c>
      <c r="C54" s="277">
        <f t="shared" si="0"/>
        <v>1.71</v>
      </c>
      <c r="D54" s="277">
        <f t="shared" si="0"/>
        <v>0.94</v>
      </c>
      <c r="E54" s="277">
        <f>HLOOKUP(E52-10,81:82,2,FALSE)</f>
        <v>1.31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3408807</v>
      </c>
      <c r="C57" s="196">
        <f>HLOOKUP(C56,78:79,2,FALSE)</f>
        <v>3705754</v>
      </c>
      <c r="D57" s="196">
        <f>HLOOKUP(D56,78:79,2,FALSE)</f>
        <v>3542783</v>
      </c>
      <c r="E57" s="196">
        <f>HLOOKUP(E56,78:79,2,FALSE)</f>
        <v>3269580</v>
      </c>
      <c r="F57" s="196">
        <f>HLOOKUP(F56,78:79,2,FALSE)</f>
        <v>3229976</v>
      </c>
      <c r="G57" s="196">
        <f t="shared" ref="G57:M57" si="2">HLOOKUP(G56,78:79,2,FALSE)</f>
        <v>3026391</v>
      </c>
      <c r="H57" s="196">
        <f t="shared" si="2"/>
        <v>3042497</v>
      </c>
      <c r="I57" s="196">
        <f t="shared" si="2"/>
        <v>3023039</v>
      </c>
      <c r="J57" s="196">
        <f t="shared" si="2"/>
        <v>2379555</v>
      </c>
      <c r="K57" s="196">
        <f t="shared" si="2"/>
        <v>2926059</v>
      </c>
      <c r="L57" s="196">
        <f t="shared" si="2"/>
        <v>3129637</v>
      </c>
      <c r="M57" s="196">
        <f t="shared" si="2"/>
        <v>3012958</v>
      </c>
      <c r="N57" s="197"/>
    </row>
    <row r="58" spans="1:15" x14ac:dyDescent="0.25">
      <c r="A58" s="198" t="s">
        <v>253</v>
      </c>
      <c r="B58" s="196">
        <f>HLOOKUP(B56-100,78:79,2,FALSE)</f>
        <v>3001648</v>
      </c>
      <c r="C58" s="196">
        <f>HLOOKUP(C56-100,78:79,2,FALSE)</f>
        <v>3156280</v>
      </c>
      <c r="D58" s="196">
        <f>HLOOKUP(D56-100,78:79,2,FALSE)</f>
        <v>3212472</v>
      </c>
      <c r="E58" s="196">
        <f>HLOOKUP(E56-100,78:79,2,FALSE)</f>
        <v>3113218</v>
      </c>
      <c r="F58" s="196">
        <f>HLOOKUP(F56-100,78:79,2,FALSE)</f>
        <v>3166745</v>
      </c>
      <c r="G58" s="196">
        <f t="shared" ref="G58:M58" si="3">HLOOKUP(G56-100,78:79,2,FALSE)</f>
        <v>3037217</v>
      </c>
      <c r="H58" s="196">
        <f t="shared" si="3"/>
        <v>3064067</v>
      </c>
      <c r="I58" s="196">
        <f t="shared" si="3"/>
        <v>3182045</v>
      </c>
      <c r="J58" s="196">
        <f t="shared" si="3"/>
        <v>2553733</v>
      </c>
      <c r="K58" s="196">
        <f t="shared" si="3"/>
        <v>3080075</v>
      </c>
      <c r="L58" s="196">
        <f t="shared" si="3"/>
        <v>3160163</v>
      </c>
      <c r="M58" s="196">
        <f t="shared" si="3"/>
        <v>3227368</v>
      </c>
      <c r="N58" s="197"/>
    </row>
    <row r="59" spans="1:15" x14ac:dyDescent="0.25">
      <c r="A59" s="199" t="s">
        <v>254</v>
      </c>
      <c r="B59" s="165">
        <f>IF(B57&lt;&gt;"",(B57-B58)/B58,"")</f>
        <v>0.13564515226302351</v>
      </c>
      <c r="C59" s="165">
        <f>IF(C57&lt;&gt;"",(C57-C58)/C58,"")</f>
        <v>0.17408911756878351</v>
      </c>
      <c r="D59" s="165">
        <f>IF(D57&lt;&gt;"",(D57-D58)/D58,"")</f>
        <v>0.1028214409339599</v>
      </c>
      <c r="E59" s="165">
        <f>IF(E57&lt;&gt;"",(E57-E58)/E58,"")</f>
        <v>5.0225201062052194E-2</v>
      </c>
      <c r="F59" s="165">
        <f>IF(F57&lt;&gt;"",(F57-F58)/F58,"")</f>
        <v>1.9967190285292941E-2</v>
      </c>
      <c r="G59" s="165">
        <f t="shared" ref="G59:M59" si="4">IF(G57&lt;&gt;"",(G57-G58)/G58,"")</f>
        <v>-3.5644473213471413E-3</v>
      </c>
      <c r="H59" s="165">
        <f t="shared" si="4"/>
        <v>-7.0396632971798595E-3</v>
      </c>
      <c r="I59" s="165">
        <f t="shared" si="4"/>
        <v>-4.9969752156239146E-2</v>
      </c>
      <c r="J59" s="165">
        <f t="shared" si="4"/>
        <v>-6.8205250901327591E-2</v>
      </c>
      <c r="K59" s="165">
        <f t="shared" si="4"/>
        <v>-5.0003977175880454E-2</v>
      </c>
      <c r="L59" s="165">
        <f t="shared" si="4"/>
        <v>-9.6596283166406286E-3</v>
      </c>
      <c r="M59" s="165">
        <f t="shared" si="4"/>
        <v>-6.6434940174160489E-2</v>
      </c>
    </row>
    <row r="60" spans="1:15" x14ac:dyDescent="0.25">
      <c r="A60" s="195" t="s">
        <v>255</v>
      </c>
      <c r="B60" s="196">
        <f>SUM(B57:M57)</f>
        <v>37697036</v>
      </c>
    </row>
    <row r="61" spans="1:15" x14ac:dyDescent="0.25">
      <c r="A61" s="198" t="s">
        <v>256</v>
      </c>
      <c r="B61" s="196">
        <f>SUM(B58:M58)</f>
        <v>36955031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1.0200785922761098</v>
      </c>
      <c r="D62" s="152">
        <f>SUM(B46:E46)</f>
        <v>5.5600000000000005</v>
      </c>
      <c r="E62" s="152">
        <f>SUM(B49:E49)</f>
        <v>5.8800000000000008</v>
      </c>
      <c r="G62" s="126">
        <f>SUM(B47:E47)</f>
        <v>19.149999999999999</v>
      </c>
      <c r="H62" s="126">
        <f>SUM(B50:E50)</f>
        <v>20.66</v>
      </c>
      <c r="J62" s="200">
        <f>AVERAGE(H46:K46)</f>
        <v>0.13597500000000001</v>
      </c>
      <c r="K62" s="200">
        <f>AVERAGE(H49:K49)</f>
        <v>0.144925</v>
      </c>
      <c r="M62" s="200">
        <f>AVERAGE(H47:K47)</f>
        <v>4.1599999999999998E-2</v>
      </c>
      <c r="N62" s="200">
        <f>AVERAGE(H50:K50)</f>
        <v>4.7649999999999998E-2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0.6</v>
      </c>
      <c r="C65" s="205">
        <f t="shared" si="5"/>
        <v>0.84</v>
      </c>
      <c r="D65" s="205">
        <f t="shared" si="5"/>
        <v>0.73</v>
      </c>
      <c r="E65" s="205">
        <f t="shared" si="5"/>
        <v>1.17</v>
      </c>
      <c r="F65" s="206">
        <f>IF(ISNA(HLOOKUP(F$64*10+$A65,$81:$82,2,FALSE)),(HLOOKUP(E$64*10+$A65,$87:$94,4,FALSE)*$G65+$B$25)/HLOOKUP(E$64*10+$A65,$87:$94,5,FALSE)*$E65,HLOOKUP(F$64*10+$A65,$81:$82,2,FALSE))</f>
        <v>0.94</v>
      </c>
      <c r="G65" s="101">
        <f>MIN(130%,SUM($B$57:$D$57)/SUM($B$58:$D$58)*$G$69/HLOOKUP(E$64*10+$A65,$145:$146,2,FALSE))</f>
        <v>1.1009490503115846</v>
      </c>
      <c r="H65" s="204">
        <v>1</v>
      </c>
      <c r="I65" s="208">
        <f t="shared" ref="I65:M68" si="6">IF(ISNA(HLOOKUP(I$64*10+$H65,$145:$147,3,FALSE)),"",HLOOKUP(I$64*10+$H65,$145:$147,3,FALSE)/100)</f>
        <v>1.95E-2</v>
      </c>
      <c r="J65" s="208">
        <f t="shared" si="6"/>
        <v>4.99E-2</v>
      </c>
      <c r="K65" s="208">
        <f t="shared" si="6"/>
        <v>2.9399999999999999E-2</v>
      </c>
      <c r="L65" s="208">
        <f t="shared" si="6"/>
        <v>3.9599999999999996E-2</v>
      </c>
      <c r="M65" s="209">
        <f t="shared" si="6"/>
        <v>3.2300000000000002E-2</v>
      </c>
      <c r="N65" s="256">
        <f t="shared" ref="N65:O68" si="7">HLOOKUP(E$64*10+$A65,$87:$94,8,FALSE)</f>
        <v>2392</v>
      </c>
      <c r="O65" s="256">
        <f t="shared" si="7"/>
        <v>14724</v>
      </c>
      <c r="P65" s="210"/>
    </row>
    <row r="66" spans="1:71" x14ac:dyDescent="0.25">
      <c r="A66" s="204">
        <v>2</v>
      </c>
      <c r="B66" s="205">
        <f t="shared" si="5"/>
        <v>1.39</v>
      </c>
      <c r="C66" s="205">
        <f t="shared" si="5"/>
        <v>1.22</v>
      </c>
      <c r="D66" s="205">
        <f t="shared" si="5"/>
        <v>1.43</v>
      </c>
      <c r="E66" s="205">
        <f t="shared" si="5"/>
        <v>1.43</v>
      </c>
      <c r="F66" s="206">
        <f>IF(ISNA(HLOOKUP(F$64*10+$A66,$81:$82,2,FALSE)),(HLOOKUP(E$64*10+$A66,$87:$94,4,FALSE)*$G66+$B$25)/HLOOKUP(E$64*10+$A66,$87:$94,5,FALSE)*$E66,HLOOKUP(F$64*10+$A66,$81:$82,2,FALSE))</f>
        <v>1.31</v>
      </c>
      <c r="G66" s="101">
        <f>MIN(130%,SUM($B$57:$D$57)/SUM($B$58:$D$58)*$G$69/HLOOKUP(E$64*10+$A66,$145:$146,2,FALSE))</f>
        <v>1.117666281010459</v>
      </c>
      <c r="H66" s="204">
        <v>2</v>
      </c>
      <c r="I66" s="208">
        <f t="shared" si="6"/>
        <v>4.82E-2</v>
      </c>
      <c r="J66" s="208">
        <f t="shared" si="6"/>
        <v>5.4199999999999998E-2</v>
      </c>
      <c r="K66" s="208">
        <f t="shared" si="6"/>
        <v>4.3099999999999999E-2</v>
      </c>
      <c r="L66" s="208">
        <f t="shared" si="6"/>
        <v>4.6100000000000002E-2</v>
      </c>
      <c r="M66" s="209">
        <f t="shared" si="6"/>
        <v>3.8699999999999998E-2</v>
      </c>
      <c r="N66" s="256">
        <f t="shared" si="7"/>
        <v>-7210</v>
      </c>
      <c r="O66" s="256">
        <f t="shared" si="7"/>
        <v>7752</v>
      </c>
      <c r="P66" s="210"/>
    </row>
    <row r="67" spans="1:71" x14ac:dyDescent="0.25">
      <c r="A67" s="204">
        <v>3</v>
      </c>
      <c r="B67" s="205">
        <f t="shared" si="5"/>
        <v>1.1499999999999999</v>
      </c>
      <c r="C67" s="205">
        <f t="shared" si="5"/>
        <v>1.07</v>
      </c>
      <c r="D67" s="205">
        <f t="shared" si="5"/>
        <v>1.89</v>
      </c>
      <c r="E67" s="205">
        <f t="shared" si="5"/>
        <v>1.72</v>
      </c>
      <c r="F67" s="206">
        <f>IF(ISNA(HLOOKUP(F$64*10+$A67,$81:$82,2,FALSE)),(HLOOKUP(E$64*10+$A67,$87:$94,4,FALSE)*$G67+$B$25)/HLOOKUP(E$64*10+$A67,$87:$94,5,FALSE)*$E67,HLOOKUP(F$64*10+$A67,$81:$82,2,FALSE))</f>
        <v>1.6</v>
      </c>
      <c r="G67" s="101">
        <f>MIN(130%,SUM($B$57:$D$57)/SUM($B$58:$D$58)*$G$69/HLOOKUP(E$64*10+$A67,$145:$146,2,FALSE))</f>
        <v>1.0109434052566808</v>
      </c>
      <c r="H67" s="204">
        <v>3</v>
      </c>
      <c r="I67" s="208">
        <f t="shared" si="6"/>
        <v>5.4400000000000004E-2</v>
      </c>
      <c r="J67" s="208">
        <f t="shared" si="6"/>
        <v>5.1100000000000007E-2</v>
      </c>
      <c r="K67" s="208">
        <f t="shared" si="6"/>
        <v>0.06</v>
      </c>
      <c r="L67" s="208">
        <f t="shared" si="6"/>
        <v>5.4900000000000004E-2</v>
      </c>
      <c r="M67" s="209">
        <f t="shared" si="6"/>
        <v>4.3499999999999997E-2</v>
      </c>
      <c r="N67" s="256">
        <f t="shared" si="7"/>
        <v>2529</v>
      </c>
      <c r="O67" s="256">
        <f t="shared" si="7"/>
        <v>14650</v>
      </c>
      <c r="P67" s="210"/>
    </row>
    <row r="68" spans="1:71" x14ac:dyDescent="0.25">
      <c r="A68" s="204">
        <v>4</v>
      </c>
      <c r="B68" s="205">
        <f>HLOOKUP(B$64*10+$A68,$81:$82,2,FALSE)</f>
        <v>1.1000000000000001</v>
      </c>
      <c r="C68" s="205">
        <f>HLOOKUP(C$64*10+$A68,$81:$82,2,FALSE)</f>
        <v>1.1299999999999999</v>
      </c>
      <c r="D68" s="205">
        <f>HLOOKUP(D$64*10+$A68,$81:$82,2,FALSE)</f>
        <v>1.56</v>
      </c>
      <c r="E68" s="206">
        <f>IF(ISNA(HLOOKUP(E$64*10+$A68,$81:$82,2,FALSE)),D68*(1-$N68)*#REF!*(1+$B$25)/(1+$E$4),HLOOKUP(E$64*10+$A68,$81:$82,2,FALSE))</f>
        <v>1.71</v>
      </c>
      <c r="F68" s="206">
        <f>IF(ISNA(HLOOKUP(F$64*10+$A68,$81:$82,2,FALSE)),(HLOOKUP(E$64*10+$A68,$87:$94,4,FALSE)*$G68+$B$25)/HLOOKUP(E$64*10+$A68,$87:$94,5,FALSE)*$E68,HLOOKUP(F$64*10+$A68,$81:$82,2,FALSE))</f>
        <v>1.616680050026831</v>
      </c>
      <c r="G68" s="101">
        <f>MIN(130%,SUM($B$57:$D$57)/SUM($B$58:$D$58)*$G$69/HLOOKUP(E$64*10+$A68,$145:$146,2,FALSE))</f>
        <v>1.0089637510688412</v>
      </c>
      <c r="H68" s="204">
        <v>4</v>
      </c>
      <c r="I68" s="208">
        <f t="shared" si="6"/>
        <v>5.6399999999999999E-2</v>
      </c>
      <c r="J68" s="208">
        <f t="shared" si="6"/>
        <v>4.8300000000000003E-2</v>
      </c>
      <c r="K68" s="208">
        <f t="shared" si="6"/>
        <v>0.05</v>
      </c>
      <c r="L68" s="208">
        <f t="shared" si="6"/>
        <v>5.1900000000000002E-2</v>
      </c>
      <c r="M68" s="209" t="str">
        <f t="shared" si="6"/>
        <v/>
      </c>
      <c r="N68" s="256">
        <f t="shared" si="7"/>
        <v>34162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4.24</v>
      </c>
      <c r="C69" s="213">
        <f>SUM(C65:C68)</f>
        <v>4.26</v>
      </c>
      <c r="D69" s="213">
        <f>SUM(D65:D68)</f>
        <v>5.6099999999999994</v>
      </c>
      <c r="E69" s="213">
        <f>SUM(E65:E68)</f>
        <v>6.0299999999999994</v>
      </c>
      <c r="F69" s="213">
        <f>SUM(F65:F68)</f>
        <v>5.4666800500268309</v>
      </c>
      <c r="G69" s="257">
        <f>_xlfn.FORECAST.ETS(23,B146:W146,{1,2,3,4,5,6,7,8,9,10,11,12,13,14,15,16,17,18,19,20,21,22})</f>
        <v>13.59075160319466</v>
      </c>
      <c r="H69" s="214" t="s">
        <v>19</v>
      </c>
      <c r="I69" s="215">
        <f>HLOOKUP(I64,151:155,3,FALSE)/100</f>
        <v>4.5700000000000005E-2</v>
      </c>
      <c r="J69" s="215">
        <f>HLOOKUP(J64,151:155,3,FALSE)/100</f>
        <v>5.0900000000000001E-2</v>
      </c>
      <c r="K69" s="215">
        <f>HLOOKUP(K64,151:155,3,FALSE)/100</f>
        <v>4.7500000000000001E-2</v>
      </c>
      <c r="L69" s="215">
        <f>IF(ISNA(HLOOKUP(L64,151:155,3,FALSE)/100),AVERAGE(L65:L68),HLOOKUP(L64,151:155,3,FALSE)/100)</f>
        <v>4.8300000000000003E-2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2.97</v>
      </c>
      <c r="C72" s="205">
        <f t="shared" si="8"/>
        <v>3.61</v>
      </c>
      <c r="D72" s="205">
        <f t="shared" si="8"/>
        <v>2.66</v>
      </c>
      <c r="E72" s="205">
        <f t="shared" si="8"/>
        <v>4.08</v>
      </c>
      <c r="F72" s="205">
        <f t="shared" si="8"/>
        <v>3.14</v>
      </c>
    </row>
    <row r="73" spans="1:71" s="135" customFormat="1" x14ac:dyDescent="0.25">
      <c r="A73" s="204">
        <v>2</v>
      </c>
      <c r="B73" s="205">
        <f t="shared" si="8"/>
        <v>6.92</v>
      </c>
      <c r="C73" s="205">
        <f t="shared" si="8"/>
        <v>5.13</v>
      </c>
      <c r="D73" s="205">
        <f t="shared" si="8"/>
        <v>5.32</v>
      </c>
      <c r="E73" s="205">
        <f t="shared" si="8"/>
        <v>5.03</v>
      </c>
      <c r="F73" s="205">
        <f t="shared" si="8"/>
        <v>4.3499999999999996</v>
      </c>
    </row>
    <row r="74" spans="1:71" s="135" customFormat="1" x14ac:dyDescent="0.25">
      <c r="A74" s="204">
        <v>3</v>
      </c>
      <c r="B74" s="205">
        <f t="shared" si="8"/>
        <v>5.62</v>
      </c>
      <c r="C74" s="205">
        <f t="shared" si="8"/>
        <v>4.45</v>
      </c>
      <c r="D74" s="205">
        <f t="shared" si="8"/>
        <v>7</v>
      </c>
      <c r="E74" s="205">
        <f t="shared" si="8"/>
        <v>6.24</v>
      </c>
      <c r="F74" s="205">
        <f t="shared" si="8"/>
        <v>5.89</v>
      </c>
    </row>
    <row r="75" spans="1:71" s="135" customFormat="1" x14ac:dyDescent="0.25">
      <c r="A75" s="204">
        <v>4</v>
      </c>
      <c r="B75" s="205">
        <f t="shared" si="8"/>
        <v>4.95</v>
      </c>
      <c r="C75" s="205">
        <f t="shared" si="8"/>
        <v>4.3600000000000003</v>
      </c>
      <c r="D75" s="205">
        <f t="shared" si="8"/>
        <v>5.31</v>
      </c>
      <c r="E75" s="205">
        <f t="shared" si="8"/>
        <v>5.77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20.46</v>
      </c>
      <c r="C76" s="213">
        <f>SUM(C72:C75)</f>
        <v>17.55</v>
      </c>
      <c r="D76" s="213">
        <f>SUM(D72:D75)</f>
        <v>20.29</v>
      </c>
      <c r="E76" s="213">
        <f>AVERAGE(E72:E75)*4</f>
        <v>21.119999999999997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1113298</v>
      </c>
      <c r="C79" s="270">
        <v>1407975</v>
      </c>
      <c r="D79" s="270">
        <v>1620010</v>
      </c>
      <c r="E79" s="270">
        <v>1663618</v>
      </c>
      <c r="F79" s="270">
        <v>1793956</v>
      </c>
      <c r="G79" s="270">
        <v>1860404</v>
      </c>
      <c r="H79" s="270">
        <v>1909664</v>
      </c>
      <c r="I79" s="270">
        <v>1852314</v>
      </c>
      <c r="J79" s="270">
        <v>1771237</v>
      </c>
      <c r="K79" s="270">
        <v>1545835</v>
      </c>
      <c r="L79" s="270">
        <v>1359280</v>
      </c>
      <c r="M79" s="270">
        <v>1369078</v>
      </c>
      <c r="N79" s="270">
        <v>1407245</v>
      </c>
      <c r="O79" s="270">
        <v>1056588</v>
      </c>
      <c r="P79" s="270">
        <v>1643571</v>
      </c>
      <c r="Q79" s="270">
        <v>1720539</v>
      </c>
      <c r="R79" s="270">
        <v>1694484</v>
      </c>
      <c r="S79" s="270">
        <v>1675272</v>
      </c>
      <c r="T79" s="270">
        <v>1778748</v>
      </c>
      <c r="U79" s="270">
        <v>1712621</v>
      </c>
      <c r="V79" s="270">
        <v>1581811</v>
      </c>
      <c r="W79" s="270">
        <v>1545105</v>
      </c>
      <c r="X79" s="270">
        <v>1622611</v>
      </c>
      <c r="Y79" s="270">
        <v>1632315</v>
      </c>
      <c r="Z79" s="270">
        <v>1569147</v>
      </c>
      <c r="AA79" s="270">
        <v>1356491</v>
      </c>
      <c r="AB79" s="270">
        <v>1743606</v>
      </c>
      <c r="AC79" s="270">
        <v>1852487</v>
      </c>
      <c r="AD79" s="270">
        <v>2080068</v>
      </c>
      <c r="AE79" s="270">
        <v>2089893</v>
      </c>
      <c r="AF79" s="270">
        <v>2034845</v>
      </c>
      <c r="AG79" s="270">
        <v>2032407</v>
      </c>
      <c r="AH79" s="270">
        <v>2086067</v>
      </c>
      <c r="AI79" s="270">
        <v>2035301</v>
      </c>
      <c r="AJ79" s="270">
        <v>2082813</v>
      </c>
      <c r="AK79" s="270">
        <v>2235678</v>
      </c>
      <c r="AL79" s="270">
        <v>2296628</v>
      </c>
      <c r="AM79" s="270">
        <v>1693826</v>
      </c>
      <c r="AN79" s="270">
        <v>2355117</v>
      </c>
      <c r="AO79" s="270">
        <v>2628169</v>
      </c>
      <c r="AP79" s="270">
        <v>2802709</v>
      </c>
      <c r="AQ79" s="270">
        <v>3124100</v>
      </c>
      <c r="AR79" s="270">
        <v>3502108</v>
      </c>
      <c r="AS79" s="270">
        <v>3519616</v>
      </c>
      <c r="AT79" s="270">
        <v>3380441</v>
      </c>
      <c r="AU79" s="270">
        <v>3289510</v>
      </c>
      <c r="AV79" s="270">
        <v>3227368</v>
      </c>
      <c r="AW79" s="270">
        <v>3160163</v>
      </c>
      <c r="AX79" s="270">
        <v>3080075</v>
      </c>
      <c r="AY79" s="270">
        <v>2553733</v>
      </c>
      <c r="AZ79" s="270">
        <v>3182045</v>
      </c>
      <c r="BA79" s="270">
        <v>3064067</v>
      </c>
      <c r="BB79" s="270">
        <v>3037217</v>
      </c>
      <c r="BC79" s="270">
        <v>3166745</v>
      </c>
      <c r="BD79" s="270">
        <v>3113218</v>
      </c>
      <c r="BE79" s="270">
        <v>3212472</v>
      </c>
      <c r="BF79" s="270">
        <v>3156280</v>
      </c>
      <c r="BG79" s="270">
        <v>3001648</v>
      </c>
      <c r="BH79" s="270">
        <v>3012958</v>
      </c>
      <c r="BI79" s="270">
        <v>3129637</v>
      </c>
      <c r="BJ79" s="270">
        <v>2926059</v>
      </c>
      <c r="BK79" s="270">
        <v>2379555</v>
      </c>
      <c r="BL79" s="270">
        <v>3023039</v>
      </c>
      <c r="BM79" s="270">
        <v>3042497</v>
      </c>
      <c r="BN79" s="270">
        <v>3026391</v>
      </c>
      <c r="BO79" s="270">
        <v>3229976</v>
      </c>
      <c r="BP79" s="270">
        <v>3269580</v>
      </c>
      <c r="BQ79" s="270">
        <v>3542783</v>
      </c>
      <c r="BR79" s="270">
        <v>3705754</v>
      </c>
      <c r="BS79" s="270">
        <v>3408807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0.86</v>
      </c>
      <c r="C82" s="72">
        <v>1.22</v>
      </c>
      <c r="D82" s="72">
        <v>1.26</v>
      </c>
      <c r="E82" s="72">
        <v>0.62</v>
      </c>
      <c r="F82" s="72">
        <v>0.6</v>
      </c>
      <c r="G82" s="72">
        <v>1.39</v>
      </c>
      <c r="H82" s="72">
        <v>1.1499999999999999</v>
      </c>
      <c r="I82" s="72">
        <v>1.1000000000000001</v>
      </c>
      <c r="J82" s="72">
        <v>0.84</v>
      </c>
      <c r="K82" s="72">
        <v>1.22</v>
      </c>
      <c r="L82" s="72">
        <v>1.07</v>
      </c>
      <c r="M82" s="72">
        <v>1.1299999999999999</v>
      </c>
      <c r="N82" s="72">
        <v>0.73</v>
      </c>
      <c r="O82" s="72">
        <v>1.43</v>
      </c>
      <c r="P82" s="72">
        <v>1.89</v>
      </c>
      <c r="Q82" s="72">
        <v>1.56</v>
      </c>
      <c r="R82" s="72">
        <v>1.17</v>
      </c>
      <c r="S82" s="72">
        <v>1.43</v>
      </c>
      <c r="T82" s="72">
        <v>1.72</v>
      </c>
      <c r="U82" s="72">
        <v>1.71</v>
      </c>
      <c r="V82" s="72">
        <v>0.94</v>
      </c>
      <c r="W82" s="72">
        <v>1.31</v>
      </c>
      <c r="X82" s="72">
        <v>1.6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18.559999999999999</v>
      </c>
      <c r="C85" s="72">
        <v>17.57</v>
      </c>
      <c r="D85" s="72">
        <v>18.940000000000001</v>
      </c>
      <c r="E85" s="72">
        <v>19.690000000000001</v>
      </c>
      <c r="F85" s="72">
        <v>20.61</v>
      </c>
      <c r="G85" s="72">
        <v>19.48</v>
      </c>
      <c r="H85" s="72">
        <v>20.71</v>
      </c>
      <c r="I85" s="72">
        <v>22.4</v>
      </c>
      <c r="J85" s="72">
        <v>24.22</v>
      </c>
      <c r="K85" s="72">
        <v>22.67</v>
      </c>
      <c r="L85" s="72">
        <v>24.68</v>
      </c>
      <c r="M85" s="72">
        <v>26.32</v>
      </c>
      <c r="N85" s="72">
        <v>27.96</v>
      </c>
      <c r="O85" s="72">
        <v>25.39</v>
      </c>
      <c r="P85" s="72">
        <v>27.8</v>
      </c>
      <c r="Q85" s="72">
        <v>28.75</v>
      </c>
      <c r="R85" s="72">
        <v>29.34</v>
      </c>
      <c r="S85" s="72">
        <v>27.03</v>
      </c>
      <c r="T85" s="72">
        <v>27.9</v>
      </c>
      <c r="U85" s="72">
        <v>30.29</v>
      </c>
      <c r="V85" s="72">
        <v>29.86</v>
      </c>
      <c r="W85" s="72">
        <v>26.13</v>
      </c>
      <c r="X85" s="72">
        <v>27.83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4144209</v>
      </c>
      <c r="C88" s="273">
        <v>5316736</v>
      </c>
      <c r="D88" s="273">
        <v>5537479</v>
      </c>
      <c r="E88" s="273">
        <v>4269547</v>
      </c>
      <c r="F88" s="273">
        <v>4107920</v>
      </c>
      <c r="G88" s="273">
        <v>5093177</v>
      </c>
      <c r="H88" s="273">
        <v>5073154</v>
      </c>
      <c r="I88" s="273">
        <v>4802377</v>
      </c>
      <c r="J88" s="273">
        <v>4670763</v>
      </c>
      <c r="K88" s="273">
        <v>6020927</v>
      </c>
      <c r="L88" s="273">
        <v>6147207</v>
      </c>
      <c r="M88" s="273">
        <v>6353792</v>
      </c>
      <c r="N88" s="273">
        <v>6347384</v>
      </c>
      <c r="O88" s="273">
        <v>8561902</v>
      </c>
      <c r="P88" s="273">
        <v>10415166</v>
      </c>
      <c r="Q88" s="273">
        <v>9687514</v>
      </c>
      <c r="R88" s="273">
        <v>8809588</v>
      </c>
      <c r="S88" s="273">
        <v>9267943</v>
      </c>
      <c r="T88" s="273">
        <v>9485003</v>
      </c>
      <c r="U88" s="273">
        <v>9139200</v>
      </c>
      <c r="V88" s="273">
        <v>8328114</v>
      </c>
      <c r="W88" s="273">
        <v>9299174</v>
      </c>
      <c r="X88" s="273">
        <v>10523806</v>
      </c>
    </row>
    <row r="89" spans="1:25" ht="14.25" thickBot="1" x14ac:dyDescent="0.3">
      <c r="A89" s="250" t="s">
        <v>4</v>
      </c>
      <c r="B89" s="275">
        <v>643893</v>
      </c>
      <c r="C89" s="275">
        <v>855177</v>
      </c>
      <c r="D89" s="275">
        <v>819793</v>
      </c>
      <c r="E89" s="275">
        <v>666874</v>
      </c>
      <c r="F89" s="275">
        <v>576119</v>
      </c>
      <c r="G89" s="275">
        <v>802399</v>
      </c>
      <c r="H89" s="275">
        <v>830603</v>
      </c>
      <c r="I89" s="275">
        <v>860919</v>
      </c>
      <c r="J89" s="275">
        <v>790406</v>
      </c>
      <c r="K89" s="275">
        <v>988631</v>
      </c>
      <c r="L89" s="275">
        <v>924801</v>
      </c>
      <c r="M89" s="275">
        <v>951149</v>
      </c>
      <c r="N89" s="275">
        <v>863936</v>
      </c>
      <c r="O89" s="275">
        <v>1132469</v>
      </c>
      <c r="P89" s="275">
        <v>1553194</v>
      </c>
      <c r="Q89" s="275">
        <v>1434370</v>
      </c>
      <c r="R89" s="275">
        <v>1236621</v>
      </c>
      <c r="S89" s="275">
        <v>1281891</v>
      </c>
      <c r="T89" s="275">
        <v>1449830</v>
      </c>
      <c r="U89" s="275">
        <v>1400386</v>
      </c>
      <c r="V89" s="275">
        <v>1088931</v>
      </c>
      <c r="W89" s="275">
        <v>1203069</v>
      </c>
      <c r="X89" s="275">
        <v>1373520</v>
      </c>
    </row>
    <row r="90" spans="1:25" ht="14.25" thickBot="1" x14ac:dyDescent="0.3">
      <c r="A90" s="251" t="s">
        <v>5</v>
      </c>
      <c r="B90" s="273">
        <v>208033</v>
      </c>
      <c r="C90" s="273">
        <v>319672</v>
      </c>
      <c r="D90" s="273">
        <v>300255</v>
      </c>
      <c r="E90" s="273">
        <v>204697</v>
      </c>
      <c r="F90" s="273">
        <v>79977</v>
      </c>
      <c r="G90" s="273">
        <v>245359</v>
      </c>
      <c r="H90" s="273">
        <v>276115</v>
      </c>
      <c r="I90" s="273">
        <v>270740</v>
      </c>
      <c r="J90" s="273">
        <v>233020</v>
      </c>
      <c r="K90" s="273">
        <v>326219</v>
      </c>
      <c r="L90" s="273">
        <v>314114</v>
      </c>
      <c r="M90" s="273">
        <v>307064</v>
      </c>
      <c r="N90" s="273">
        <v>186916</v>
      </c>
      <c r="O90" s="273">
        <v>368649</v>
      </c>
      <c r="P90" s="273">
        <v>624630</v>
      </c>
      <c r="Q90" s="273">
        <v>484511</v>
      </c>
      <c r="R90" s="273">
        <v>348490</v>
      </c>
      <c r="S90" s="273">
        <v>427598</v>
      </c>
      <c r="T90" s="273">
        <v>520514</v>
      </c>
      <c r="U90" s="273">
        <v>474308</v>
      </c>
      <c r="V90" s="273">
        <v>268682</v>
      </c>
      <c r="W90" s="273">
        <v>359843</v>
      </c>
      <c r="X90" s="273">
        <v>457995</v>
      </c>
    </row>
    <row r="91" spans="1:25" ht="14.25" thickBot="1" x14ac:dyDescent="0.3">
      <c r="A91" s="250" t="s">
        <v>6</v>
      </c>
      <c r="B91" s="275">
        <v>192474</v>
      </c>
      <c r="C91" s="275">
        <v>288472</v>
      </c>
      <c r="D91" s="275">
        <v>290768</v>
      </c>
      <c r="E91" s="275">
        <v>163002</v>
      </c>
      <c r="F91" s="275">
        <v>141153</v>
      </c>
      <c r="G91" s="275">
        <v>335760</v>
      </c>
      <c r="H91" s="275">
        <v>278392</v>
      </c>
      <c r="I91" s="275">
        <v>268416</v>
      </c>
      <c r="J91" s="275">
        <v>221230</v>
      </c>
      <c r="K91" s="275">
        <v>327597</v>
      </c>
      <c r="L91" s="275">
        <v>289489</v>
      </c>
      <c r="M91" s="275">
        <v>350622</v>
      </c>
      <c r="N91" s="275">
        <v>201500</v>
      </c>
      <c r="O91" s="275">
        <v>403736</v>
      </c>
      <c r="P91" s="275">
        <v>536667</v>
      </c>
      <c r="Q91" s="275">
        <v>441412</v>
      </c>
      <c r="R91" s="275">
        <v>350882</v>
      </c>
      <c r="S91" s="275">
        <v>420388</v>
      </c>
      <c r="T91" s="275">
        <v>523043</v>
      </c>
      <c r="U91" s="275">
        <v>508470</v>
      </c>
      <c r="V91" s="275">
        <v>283406</v>
      </c>
      <c r="W91" s="275">
        <v>367595</v>
      </c>
      <c r="X91" s="275">
        <v>472645</v>
      </c>
    </row>
    <row r="92" spans="1:25" ht="14.25" thickBot="1" x14ac:dyDescent="0.3">
      <c r="A92" s="251" t="s">
        <v>7</v>
      </c>
      <c r="B92" s="273">
        <v>160193</v>
      </c>
      <c r="C92" s="273">
        <v>232679</v>
      </c>
      <c r="D92" s="273">
        <v>241637</v>
      </c>
      <c r="E92" s="273">
        <v>120327</v>
      </c>
      <c r="F92" s="273">
        <v>118222</v>
      </c>
      <c r="G92" s="273">
        <v>276278</v>
      </c>
      <c r="H92" s="273">
        <v>228202</v>
      </c>
      <c r="I92" s="273">
        <v>222225</v>
      </c>
      <c r="J92" s="273">
        <v>183791</v>
      </c>
      <c r="K92" s="273">
        <v>271657</v>
      </c>
      <c r="L92" s="273">
        <v>239226</v>
      </c>
      <c r="M92" s="273">
        <v>254385</v>
      </c>
      <c r="N92" s="273">
        <v>166699</v>
      </c>
      <c r="O92" s="273">
        <v>328224</v>
      </c>
      <c r="P92" s="273">
        <v>439897</v>
      </c>
      <c r="Q92" s="273">
        <v>362180</v>
      </c>
      <c r="R92" s="273">
        <v>287269</v>
      </c>
      <c r="S92" s="273">
        <v>344228</v>
      </c>
      <c r="T92" s="273">
        <v>416305</v>
      </c>
      <c r="U92" s="273">
        <v>407493</v>
      </c>
      <c r="V92" s="273">
        <v>229676</v>
      </c>
      <c r="W92" s="273">
        <v>295027</v>
      </c>
      <c r="X92" s="273">
        <v>386940</v>
      </c>
    </row>
    <row r="93" spans="1:25" ht="26.25" thickBot="1" x14ac:dyDescent="0.3">
      <c r="A93" s="252" t="s">
        <v>8</v>
      </c>
      <c r="B93" s="276">
        <v>160193</v>
      </c>
      <c r="C93" s="276">
        <v>232679</v>
      </c>
      <c r="D93" s="276">
        <v>241637</v>
      </c>
      <c r="E93" s="276">
        <v>120327</v>
      </c>
      <c r="F93" s="276">
        <v>118222</v>
      </c>
      <c r="G93" s="276">
        <v>276291</v>
      </c>
      <c r="H93" s="276">
        <v>228215</v>
      </c>
      <c r="I93" s="276">
        <v>222199</v>
      </c>
      <c r="J93" s="276">
        <v>183791</v>
      </c>
      <c r="K93" s="276">
        <v>271657</v>
      </c>
      <c r="L93" s="276">
        <v>239226</v>
      </c>
      <c r="M93" s="276">
        <v>254628</v>
      </c>
      <c r="N93" s="276">
        <v>167836</v>
      </c>
      <c r="O93" s="276">
        <v>329340</v>
      </c>
      <c r="P93" s="276">
        <v>441814</v>
      </c>
      <c r="Q93" s="276">
        <v>365518</v>
      </c>
      <c r="R93" s="276">
        <v>282186</v>
      </c>
      <c r="S93" s="276">
        <v>346175</v>
      </c>
      <c r="T93" s="276">
        <v>418840</v>
      </c>
      <c r="U93" s="276">
        <v>414453</v>
      </c>
      <c r="V93" s="276">
        <v>228806</v>
      </c>
      <c r="W93" s="276">
        <v>318157</v>
      </c>
      <c r="X93" s="276">
        <v>388920</v>
      </c>
    </row>
    <row r="94" spans="1:25" x14ac:dyDescent="0.25">
      <c r="A94" s="233" t="s">
        <v>365</v>
      </c>
      <c r="B94" s="253">
        <f>IF(B91="","",B91-B90)</f>
        <v>-15559</v>
      </c>
      <c r="C94" s="253">
        <f>IF(C91="","",C91-C90)</f>
        <v>-31200</v>
      </c>
      <c r="D94" s="253">
        <f t="shared" ref="D94:Y94" si="9">IF(D91="","",D91-D90)</f>
        <v>-9487</v>
      </c>
      <c r="E94" s="253">
        <f t="shared" si="9"/>
        <v>-41695</v>
      </c>
      <c r="F94" s="253">
        <f t="shared" si="9"/>
        <v>61176</v>
      </c>
      <c r="G94" s="253">
        <f t="shared" si="9"/>
        <v>90401</v>
      </c>
      <c r="H94" s="253">
        <f t="shared" si="9"/>
        <v>2277</v>
      </c>
      <c r="I94" s="253">
        <f t="shared" si="9"/>
        <v>-2324</v>
      </c>
      <c r="J94" s="253">
        <f t="shared" si="9"/>
        <v>-11790</v>
      </c>
      <c r="K94" s="253">
        <f t="shared" si="9"/>
        <v>1378</v>
      </c>
      <c r="L94" s="253">
        <f t="shared" si="9"/>
        <v>-24625</v>
      </c>
      <c r="M94" s="253">
        <f t="shared" si="9"/>
        <v>43558</v>
      </c>
      <c r="N94" s="253">
        <f t="shared" si="9"/>
        <v>14584</v>
      </c>
      <c r="O94" s="253">
        <f t="shared" si="9"/>
        <v>35087</v>
      </c>
      <c r="P94" s="253">
        <f t="shared" si="9"/>
        <v>-87963</v>
      </c>
      <c r="Q94" s="253">
        <f t="shared" si="9"/>
        <v>-43099</v>
      </c>
      <c r="R94" s="253">
        <f t="shared" si="9"/>
        <v>2392</v>
      </c>
      <c r="S94" s="253">
        <f t="shared" si="9"/>
        <v>-7210</v>
      </c>
      <c r="T94" s="253">
        <f t="shared" si="9"/>
        <v>2529</v>
      </c>
      <c r="U94" s="253">
        <f t="shared" si="9"/>
        <v>34162</v>
      </c>
      <c r="V94" s="253">
        <f t="shared" si="9"/>
        <v>14724</v>
      </c>
      <c r="W94" s="253">
        <f t="shared" si="9"/>
        <v>7752</v>
      </c>
      <c r="X94" s="253">
        <f t="shared" si="9"/>
        <v>14650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19267971</v>
      </c>
      <c r="C97" s="273">
        <v>19076628</v>
      </c>
      <c r="D97" s="273">
        <v>23192689</v>
      </c>
      <c r="E97" s="273">
        <v>35011966</v>
      </c>
      <c r="F97" s="273">
        <v>36701734</v>
      </c>
    </row>
    <row r="98" spans="1:24" ht="14.25" thickBot="1" x14ac:dyDescent="0.3">
      <c r="A98" s="225" t="s">
        <v>4</v>
      </c>
      <c r="B98" s="275">
        <v>2985737</v>
      </c>
      <c r="C98" s="275">
        <v>3070040</v>
      </c>
      <c r="D98" s="275">
        <v>3654987</v>
      </c>
      <c r="E98" s="275">
        <v>4983969</v>
      </c>
      <c r="F98" s="275">
        <v>5368728</v>
      </c>
    </row>
    <row r="99" spans="1:24" ht="14.25" thickBot="1" x14ac:dyDescent="0.3">
      <c r="A99" s="224" t="s">
        <v>5</v>
      </c>
      <c r="B99" s="273">
        <v>1032657</v>
      </c>
      <c r="C99" s="273">
        <v>872191</v>
      </c>
      <c r="D99" s="273">
        <v>1180417</v>
      </c>
      <c r="E99" s="273">
        <v>1664706</v>
      </c>
      <c r="F99" s="273">
        <v>1770910</v>
      </c>
    </row>
    <row r="100" spans="1:24" ht="14.25" thickBot="1" x14ac:dyDescent="0.3">
      <c r="A100" s="225" t="s">
        <v>6</v>
      </c>
      <c r="B100" s="275">
        <v>934716</v>
      </c>
      <c r="C100" s="275">
        <v>1023721</v>
      </c>
      <c r="D100" s="275">
        <v>1188938</v>
      </c>
      <c r="E100" s="275">
        <v>1583315</v>
      </c>
      <c r="F100" s="275">
        <v>1802783</v>
      </c>
    </row>
    <row r="101" spans="1:24" ht="14.25" thickBot="1" x14ac:dyDescent="0.3">
      <c r="A101" s="224" t="s">
        <v>7</v>
      </c>
      <c r="B101" s="273">
        <v>754836</v>
      </c>
      <c r="C101" s="273">
        <v>844927</v>
      </c>
      <c r="D101" s="273">
        <v>949059</v>
      </c>
      <c r="E101" s="273">
        <v>1297000</v>
      </c>
      <c r="F101" s="273">
        <v>1455295</v>
      </c>
    </row>
    <row r="102" spans="1:24" ht="14.25" thickBot="1" x14ac:dyDescent="0.3">
      <c r="A102" s="227" t="s">
        <v>8</v>
      </c>
      <c r="B102" s="276">
        <v>754836</v>
      </c>
      <c r="C102" s="276">
        <v>844927</v>
      </c>
      <c r="D102" s="276">
        <v>949302</v>
      </c>
      <c r="E102" s="276">
        <v>1304508</v>
      </c>
      <c r="F102" s="276">
        <v>1461654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1.0002560430911038</v>
      </c>
      <c r="E103" s="234">
        <f>IF(OR(E102="",E102="無"),"",E102/E101)</f>
        <v>1.0057887432536623</v>
      </c>
      <c r="F103" s="234">
        <f>IF(OR(F102="",F102="無"),"",F102/F101)</f>
        <v>1.0043695608106948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4113313</v>
      </c>
      <c r="C106" s="273">
        <v>3801097</v>
      </c>
      <c r="D106" s="273">
        <v>3739952</v>
      </c>
      <c r="E106" s="273">
        <v>4660206</v>
      </c>
      <c r="F106" s="273">
        <v>4049091</v>
      </c>
      <c r="G106" s="273">
        <v>4494420</v>
      </c>
      <c r="H106" s="273">
        <v>3882142</v>
      </c>
      <c r="I106" s="273">
        <v>3812508</v>
      </c>
      <c r="J106" s="273">
        <v>3954038</v>
      </c>
      <c r="K106" s="273">
        <v>4966127</v>
      </c>
      <c r="L106" s="273">
        <v>4813350</v>
      </c>
      <c r="M106" s="273">
        <v>5223705</v>
      </c>
      <c r="N106" s="273">
        <v>5220762</v>
      </c>
      <c r="O106" s="273">
        <v>5561876</v>
      </c>
      <c r="P106" s="273">
        <v>5928551</v>
      </c>
      <c r="Q106" s="273">
        <v>5364658</v>
      </c>
      <c r="R106" s="273">
        <v>6828519</v>
      </c>
      <c r="S106" s="273">
        <v>6471175</v>
      </c>
      <c r="T106" s="273">
        <v>5621912</v>
      </c>
      <c r="U106" s="273">
        <v>5721341</v>
      </c>
      <c r="V106" s="273">
        <v>5372392</v>
      </c>
      <c r="W106" s="273">
        <v>6237371</v>
      </c>
      <c r="X106" s="273">
        <v>5936903</v>
      </c>
    </row>
    <row r="107" spans="1:24" ht="14.25" thickBot="1" x14ac:dyDescent="0.3">
      <c r="A107" s="225" t="s">
        <v>22</v>
      </c>
      <c r="B107" s="275">
        <v>9106</v>
      </c>
      <c r="C107" s="275">
        <v>12574</v>
      </c>
      <c r="D107" s="275">
        <v>6459</v>
      </c>
      <c r="E107" s="275">
        <v>23086</v>
      </c>
      <c r="F107" s="275">
        <v>55182</v>
      </c>
      <c r="G107" s="275">
        <v>12980</v>
      </c>
      <c r="H107" s="274">
        <v>865</v>
      </c>
      <c r="I107" s="274">
        <v>25</v>
      </c>
      <c r="J107" s="275">
        <v>4123</v>
      </c>
      <c r="K107" s="275">
        <v>28019</v>
      </c>
      <c r="L107" s="275">
        <v>137169</v>
      </c>
      <c r="M107" s="275">
        <v>99885</v>
      </c>
      <c r="N107" s="275">
        <v>374624</v>
      </c>
      <c r="O107" s="275">
        <v>132770</v>
      </c>
      <c r="P107" s="275">
        <v>397655</v>
      </c>
      <c r="Q107" s="275">
        <v>251155</v>
      </c>
      <c r="R107" s="275">
        <v>151998</v>
      </c>
      <c r="S107" s="275">
        <v>157453</v>
      </c>
      <c r="T107" s="275">
        <v>100739</v>
      </c>
      <c r="U107" s="275">
        <v>341619</v>
      </c>
      <c r="V107" s="275">
        <v>210409</v>
      </c>
      <c r="W107" s="275">
        <v>22031</v>
      </c>
      <c r="X107" s="275">
        <v>1604</v>
      </c>
    </row>
    <row r="108" spans="1:24" ht="14.25" thickBot="1" x14ac:dyDescent="0.3">
      <c r="A108" s="224" t="s">
        <v>263</v>
      </c>
      <c r="B108" s="273">
        <v>2225021</v>
      </c>
      <c r="C108" s="273">
        <v>2192105</v>
      </c>
      <c r="D108" s="273">
        <v>2423664</v>
      </c>
      <c r="E108" s="273">
        <v>1815441</v>
      </c>
      <c r="F108" s="273">
        <v>1762599</v>
      </c>
      <c r="G108" s="273">
        <v>2508024</v>
      </c>
      <c r="H108" s="273">
        <v>2301047</v>
      </c>
      <c r="I108" s="273">
        <v>2625745</v>
      </c>
      <c r="J108" s="273">
        <v>3132773</v>
      </c>
      <c r="K108" s="273">
        <v>3480596</v>
      </c>
      <c r="L108" s="273">
        <v>3835899</v>
      </c>
      <c r="M108" s="273">
        <v>4411516</v>
      </c>
      <c r="N108" s="273">
        <v>5089953</v>
      </c>
      <c r="O108" s="273">
        <v>6755412</v>
      </c>
      <c r="P108" s="273">
        <v>6920272</v>
      </c>
      <c r="Q108" s="273">
        <v>6528335</v>
      </c>
      <c r="R108" s="273">
        <v>4927975</v>
      </c>
      <c r="S108" s="273">
        <v>6116923</v>
      </c>
      <c r="T108" s="273">
        <v>6244673</v>
      </c>
      <c r="U108" s="273">
        <v>7123841</v>
      </c>
      <c r="V108" s="273">
        <v>5910251</v>
      </c>
      <c r="W108" s="273">
        <v>5778977</v>
      </c>
      <c r="X108" s="273">
        <v>7276403</v>
      </c>
    </row>
    <row r="109" spans="1:24" ht="14.25" thickBot="1" x14ac:dyDescent="0.3">
      <c r="A109" s="225" t="s">
        <v>264</v>
      </c>
      <c r="B109" s="275">
        <v>2566646</v>
      </c>
      <c r="C109" s="275">
        <v>2726769</v>
      </c>
      <c r="D109" s="275">
        <v>2151670</v>
      </c>
      <c r="E109" s="275">
        <v>2275810</v>
      </c>
      <c r="F109" s="275">
        <v>2532785</v>
      </c>
      <c r="G109" s="275">
        <v>2426551</v>
      </c>
      <c r="H109" s="275">
        <v>2435019</v>
      </c>
      <c r="I109" s="275">
        <v>2634256</v>
      </c>
      <c r="J109" s="275">
        <v>3112037</v>
      </c>
      <c r="K109" s="275">
        <v>3288027</v>
      </c>
      <c r="L109" s="275">
        <v>3291953</v>
      </c>
      <c r="M109" s="275">
        <v>3629484</v>
      </c>
      <c r="N109" s="275">
        <v>4173354</v>
      </c>
      <c r="O109" s="275">
        <v>5158326</v>
      </c>
      <c r="P109" s="275">
        <v>5575451</v>
      </c>
      <c r="Q109" s="275">
        <v>5368951</v>
      </c>
      <c r="R109" s="275">
        <v>5031506</v>
      </c>
      <c r="S109" s="275">
        <v>4621699</v>
      </c>
      <c r="T109" s="275">
        <v>4870014</v>
      </c>
      <c r="U109" s="275">
        <v>5506969</v>
      </c>
      <c r="V109" s="275">
        <v>5912364</v>
      </c>
      <c r="W109" s="275">
        <v>5757979</v>
      </c>
      <c r="X109" s="275">
        <v>6005860</v>
      </c>
    </row>
    <row r="110" spans="1:24" ht="14.25" thickBot="1" x14ac:dyDescent="0.3">
      <c r="A110" s="224" t="s">
        <v>23</v>
      </c>
      <c r="B110" s="273">
        <v>553476</v>
      </c>
      <c r="C110" s="273">
        <v>1426932</v>
      </c>
      <c r="D110" s="273">
        <v>991497</v>
      </c>
      <c r="E110" s="273">
        <v>555616</v>
      </c>
      <c r="F110" s="273">
        <v>325858</v>
      </c>
      <c r="G110" s="273">
        <v>481164</v>
      </c>
      <c r="H110" s="273">
        <v>377118</v>
      </c>
      <c r="I110" s="273">
        <v>398834</v>
      </c>
      <c r="J110" s="273">
        <v>271381</v>
      </c>
      <c r="K110" s="273">
        <v>346398</v>
      </c>
      <c r="L110" s="273">
        <v>363239</v>
      </c>
      <c r="M110" s="273">
        <v>548357</v>
      </c>
      <c r="N110" s="273">
        <v>457068</v>
      </c>
      <c r="O110" s="273">
        <v>498273</v>
      </c>
      <c r="P110" s="273">
        <v>392392</v>
      </c>
      <c r="Q110" s="273">
        <v>516718</v>
      </c>
      <c r="R110" s="273">
        <v>585656</v>
      </c>
      <c r="S110" s="273">
        <v>485591</v>
      </c>
      <c r="T110" s="273">
        <v>738338</v>
      </c>
      <c r="U110" s="273">
        <v>778248</v>
      </c>
      <c r="V110" s="273">
        <v>658579</v>
      </c>
      <c r="W110" s="273">
        <v>802782</v>
      </c>
      <c r="X110" s="273">
        <v>744506</v>
      </c>
    </row>
    <row r="111" spans="1:24" ht="14.25" thickBot="1" x14ac:dyDescent="0.3">
      <c r="A111" s="225" t="s">
        <v>24</v>
      </c>
      <c r="B111" s="275">
        <v>9467562</v>
      </c>
      <c r="C111" s="275">
        <v>10159477</v>
      </c>
      <c r="D111" s="275">
        <v>9313242</v>
      </c>
      <c r="E111" s="275">
        <v>9330159</v>
      </c>
      <c r="F111" s="275">
        <v>8725515</v>
      </c>
      <c r="G111" s="275">
        <v>9923139</v>
      </c>
      <c r="H111" s="275">
        <v>8996191</v>
      </c>
      <c r="I111" s="275">
        <v>9471368</v>
      </c>
      <c r="J111" s="275">
        <v>10474352</v>
      </c>
      <c r="K111" s="275">
        <v>12109167</v>
      </c>
      <c r="L111" s="275">
        <v>12441610</v>
      </c>
      <c r="M111" s="275">
        <v>13912947</v>
      </c>
      <c r="N111" s="275">
        <v>15315761</v>
      </c>
      <c r="O111" s="275">
        <v>18106657</v>
      </c>
      <c r="P111" s="275">
        <v>19214321</v>
      </c>
      <c r="Q111" s="275">
        <v>18029817</v>
      </c>
      <c r="R111" s="275">
        <v>17525654</v>
      </c>
      <c r="S111" s="275">
        <v>17852841</v>
      </c>
      <c r="T111" s="275">
        <v>17575676</v>
      </c>
      <c r="U111" s="275">
        <v>19472018</v>
      </c>
      <c r="V111" s="275">
        <v>18063995</v>
      </c>
      <c r="W111" s="275">
        <v>18599140</v>
      </c>
      <c r="X111" s="275">
        <v>19965276</v>
      </c>
    </row>
    <row r="112" spans="1:24" ht="14.25" thickBot="1" x14ac:dyDescent="0.3">
      <c r="A112" s="224" t="s">
        <v>25</v>
      </c>
      <c r="B112" s="273">
        <v>106514</v>
      </c>
      <c r="C112" s="273">
        <v>107254</v>
      </c>
      <c r="D112" s="273">
        <v>106138</v>
      </c>
      <c r="E112" s="273">
        <v>47913</v>
      </c>
      <c r="F112" s="273">
        <v>102116</v>
      </c>
      <c r="G112" s="273">
        <v>40790</v>
      </c>
      <c r="H112" s="273">
        <v>46926</v>
      </c>
      <c r="I112" s="273">
        <v>46001</v>
      </c>
      <c r="J112" s="273">
        <v>49956</v>
      </c>
      <c r="K112" s="273">
        <v>51725</v>
      </c>
      <c r="L112" s="273">
        <v>56292</v>
      </c>
      <c r="M112" s="273">
        <v>58812</v>
      </c>
      <c r="N112" s="273">
        <v>71641</v>
      </c>
      <c r="O112" s="273">
        <v>85509</v>
      </c>
      <c r="P112" s="273">
        <v>126462</v>
      </c>
      <c r="Q112" s="273">
        <v>123172</v>
      </c>
      <c r="R112" s="273">
        <v>121028</v>
      </c>
      <c r="S112" s="273">
        <v>118617</v>
      </c>
      <c r="T112" s="273">
        <v>120360</v>
      </c>
      <c r="U112" s="273">
        <v>123898</v>
      </c>
      <c r="V112" s="273">
        <v>136672</v>
      </c>
      <c r="W112" s="273">
        <v>123556</v>
      </c>
      <c r="X112" s="273">
        <v>108797</v>
      </c>
    </row>
    <row r="113" spans="1:24" ht="14.25" thickBot="1" x14ac:dyDescent="0.3">
      <c r="A113" s="225" t="s">
        <v>26</v>
      </c>
      <c r="B113" s="275">
        <v>2652564</v>
      </c>
      <c r="C113" s="275">
        <v>2752386</v>
      </c>
      <c r="D113" s="275">
        <v>2987519</v>
      </c>
      <c r="E113" s="275">
        <v>3026655</v>
      </c>
      <c r="F113" s="275">
        <v>3218550</v>
      </c>
      <c r="G113" s="275">
        <v>3302780</v>
      </c>
      <c r="H113" s="275">
        <v>3240744</v>
      </c>
      <c r="I113" s="275">
        <v>3245122</v>
      </c>
      <c r="J113" s="275">
        <v>3242238</v>
      </c>
      <c r="K113" s="275">
        <v>3221759</v>
      </c>
      <c r="L113" s="275">
        <v>3227198</v>
      </c>
      <c r="M113" s="275">
        <v>3321363</v>
      </c>
      <c r="N113" s="275">
        <v>3260786</v>
      </c>
      <c r="O113" s="275">
        <v>3434995</v>
      </c>
      <c r="P113" s="275">
        <v>3474294</v>
      </c>
      <c r="Q113" s="275">
        <v>3380603</v>
      </c>
      <c r="R113" s="275">
        <v>3421693</v>
      </c>
      <c r="S113" s="275">
        <v>3361320</v>
      </c>
      <c r="T113" s="275">
        <v>3270142</v>
      </c>
      <c r="U113" s="275">
        <v>3265690</v>
      </c>
      <c r="V113" s="275">
        <v>3220327</v>
      </c>
      <c r="W113" s="275">
        <v>3247422</v>
      </c>
      <c r="X113" s="275">
        <v>3273707</v>
      </c>
    </row>
    <row r="114" spans="1:24" ht="14.25" thickBot="1" x14ac:dyDescent="0.3">
      <c r="A114" s="224" t="s">
        <v>27</v>
      </c>
      <c r="B114" s="273">
        <v>436607</v>
      </c>
      <c r="C114" s="273">
        <v>460348</v>
      </c>
      <c r="D114" s="273">
        <v>435950</v>
      </c>
      <c r="E114" s="273">
        <v>498399</v>
      </c>
      <c r="F114" s="273">
        <v>522330</v>
      </c>
      <c r="G114" s="273">
        <v>555199</v>
      </c>
      <c r="H114" s="273">
        <v>590043</v>
      </c>
      <c r="I114" s="273">
        <v>630408</v>
      </c>
      <c r="J114" s="273">
        <v>618335</v>
      </c>
      <c r="K114" s="273">
        <v>658618</v>
      </c>
      <c r="L114" s="273">
        <v>696381</v>
      </c>
      <c r="M114" s="273">
        <v>695275</v>
      </c>
      <c r="N114" s="273">
        <v>714568</v>
      </c>
      <c r="O114" s="273">
        <v>700872</v>
      </c>
      <c r="P114" s="273">
        <v>858242</v>
      </c>
      <c r="Q114" s="273">
        <v>994391</v>
      </c>
      <c r="R114" s="273">
        <v>885327</v>
      </c>
      <c r="S114" s="273">
        <v>902734</v>
      </c>
      <c r="T114" s="273">
        <v>925975</v>
      </c>
      <c r="U114" s="273">
        <v>917447</v>
      </c>
      <c r="V114" s="273">
        <v>946251</v>
      </c>
      <c r="W114" s="273">
        <v>894327</v>
      </c>
      <c r="X114" s="273">
        <v>918199</v>
      </c>
    </row>
    <row r="115" spans="1:24" ht="14.25" thickBot="1" x14ac:dyDescent="0.3">
      <c r="A115" s="225" t="s">
        <v>265</v>
      </c>
      <c r="B115" s="276">
        <v>12663247</v>
      </c>
      <c r="C115" s="276">
        <v>13479465</v>
      </c>
      <c r="D115" s="276">
        <v>12842849</v>
      </c>
      <c r="E115" s="276">
        <v>12903126</v>
      </c>
      <c r="F115" s="276">
        <v>12568511</v>
      </c>
      <c r="G115" s="276">
        <v>13821908</v>
      </c>
      <c r="H115" s="276">
        <v>12873904</v>
      </c>
      <c r="I115" s="276">
        <v>13392899</v>
      </c>
      <c r="J115" s="276">
        <v>14384881</v>
      </c>
      <c r="K115" s="276">
        <v>16041269</v>
      </c>
      <c r="L115" s="276">
        <v>16421481</v>
      </c>
      <c r="M115" s="276">
        <v>17988397</v>
      </c>
      <c r="N115" s="276">
        <v>19362756</v>
      </c>
      <c r="O115" s="276">
        <v>22328033</v>
      </c>
      <c r="P115" s="276">
        <v>23673319</v>
      </c>
      <c r="Q115" s="276">
        <v>22527983</v>
      </c>
      <c r="R115" s="276">
        <v>21953702</v>
      </c>
      <c r="S115" s="276">
        <v>22235512</v>
      </c>
      <c r="T115" s="276">
        <v>21892153</v>
      </c>
      <c r="U115" s="276">
        <v>23779053</v>
      </c>
      <c r="V115" s="276">
        <v>22367245</v>
      </c>
      <c r="W115" s="276">
        <v>22864445</v>
      </c>
      <c r="X115" s="276">
        <v>24265979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2390757</v>
      </c>
      <c r="C118" s="273">
        <v>2191086</v>
      </c>
      <c r="D118" s="273">
        <v>1957077</v>
      </c>
      <c r="E118" s="273">
        <v>1904094</v>
      </c>
      <c r="F118" s="273">
        <v>1202875</v>
      </c>
      <c r="G118" s="273">
        <v>1558989</v>
      </c>
      <c r="H118" s="273">
        <v>1179922</v>
      </c>
      <c r="I118" s="273">
        <v>986508</v>
      </c>
      <c r="J118" s="273">
        <v>1614513</v>
      </c>
      <c r="K118" s="273">
        <v>2221261</v>
      </c>
      <c r="L118" s="273">
        <v>2224986</v>
      </c>
      <c r="M118" s="273">
        <v>2541694</v>
      </c>
      <c r="N118" s="273">
        <v>3081753</v>
      </c>
      <c r="O118" s="273">
        <v>3688427</v>
      </c>
      <c r="P118" s="273">
        <v>3337589</v>
      </c>
      <c r="Q118" s="273">
        <v>2632498</v>
      </c>
      <c r="R118" s="273">
        <v>2354911</v>
      </c>
      <c r="S118" s="273">
        <v>1800104</v>
      </c>
      <c r="T118" s="273">
        <v>2192957</v>
      </c>
      <c r="U118" s="273">
        <v>2135317</v>
      </c>
      <c r="V118" s="273">
        <v>2011351</v>
      </c>
      <c r="W118" s="273">
        <v>2115876</v>
      </c>
      <c r="X118" s="273">
        <v>2605950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4413557</v>
      </c>
      <c r="C120" s="273">
        <v>4819220</v>
      </c>
      <c r="D120" s="273">
        <v>4102804</v>
      </c>
      <c r="E120" s="273">
        <v>4066596</v>
      </c>
      <c r="F120" s="273">
        <v>4306332</v>
      </c>
      <c r="G120" s="273">
        <v>4678511</v>
      </c>
      <c r="H120" s="273">
        <v>4369499</v>
      </c>
      <c r="I120" s="273">
        <v>4621942</v>
      </c>
      <c r="J120" s="273">
        <v>4838523</v>
      </c>
      <c r="K120" s="273">
        <v>5319416</v>
      </c>
      <c r="L120" s="273">
        <v>5951248</v>
      </c>
      <c r="M120" s="273">
        <v>6573478</v>
      </c>
      <c r="N120" s="273">
        <v>7021336</v>
      </c>
      <c r="O120" s="273">
        <v>8710191</v>
      </c>
      <c r="P120" s="273">
        <v>9994973</v>
      </c>
      <c r="Q120" s="273">
        <v>9249484</v>
      </c>
      <c r="R120" s="273">
        <v>8810692</v>
      </c>
      <c r="S120" s="273">
        <v>9198575</v>
      </c>
      <c r="T120" s="273">
        <v>9163880</v>
      </c>
      <c r="U120" s="273">
        <v>10004704</v>
      </c>
      <c r="V120" s="273">
        <v>9166497</v>
      </c>
      <c r="W120" s="273">
        <v>9420249</v>
      </c>
      <c r="X120" s="273">
        <v>10960344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197813</v>
      </c>
      <c r="C122" s="273">
        <v>185618</v>
      </c>
      <c r="D122" s="273">
        <v>186116</v>
      </c>
      <c r="E122" s="68">
        <v>0</v>
      </c>
      <c r="F122" s="68">
        <v>0</v>
      </c>
      <c r="G122" s="68">
        <v>0</v>
      </c>
      <c r="H122" s="68">
        <v>0</v>
      </c>
      <c r="I122" s="273">
        <v>450920</v>
      </c>
      <c r="J122" s="273">
        <v>211285</v>
      </c>
      <c r="K122" s="273">
        <v>212394</v>
      </c>
      <c r="L122" s="273">
        <v>326408</v>
      </c>
      <c r="M122" s="273">
        <v>249776</v>
      </c>
      <c r="N122" s="273">
        <v>231659</v>
      </c>
      <c r="O122" s="273">
        <v>227647</v>
      </c>
      <c r="P122" s="273">
        <v>19910</v>
      </c>
      <c r="Q122" s="273">
        <v>19996</v>
      </c>
      <c r="R122" s="68">
        <v>199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1074197</v>
      </c>
      <c r="C123" s="275">
        <v>1961848</v>
      </c>
      <c r="D123" s="275">
        <v>1461829</v>
      </c>
      <c r="E123" s="275">
        <v>1466030</v>
      </c>
      <c r="F123" s="275">
        <v>1499428</v>
      </c>
      <c r="G123" s="275">
        <v>2248669</v>
      </c>
      <c r="H123" s="275">
        <v>1652676</v>
      </c>
      <c r="I123" s="275">
        <v>1827654</v>
      </c>
      <c r="J123" s="275">
        <v>1794393</v>
      </c>
      <c r="K123" s="275">
        <v>2709570</v>
      </c>
      <c r="L123" s="275">
        <v>2015265</v>
      </c>
      <c r="M123" s="275">
        <v>2287162</v>
      </c>
      <c r="N123" s="275">
        <v>2262922</v>
      </c>
      <c r="O123" s="275">
        <v>3573552</v>
      </c>
      <c r="P123" s="275">
        <v>3297471</v>
      </c>
      <c r="Q123" s="275">
        <v>3426528</v>
      </c>
      <c r="R123" s="275">
        <v>3428238</v>
      </c>
      <c r="S123" s="275">
        <v>4445110</v>
      </c>
      <c r="T123" s="275">
        <v>3544370</v>
      </c>
      <c r="U123" s="275">
        <v>4001564</v>
      </c>
      <c r="V123" s="275">
        <v>3691517</v>
      </c>
      <c r="W123" s="275">
        <v>4790540</v>
      </c>
      <c r="X123" s="275">
        <v>3673318</v>
      </c>
    </row>
    <row r="124" spans="1:24" ht="14.25" thickBot="1" x14ac:dyDescent="0.3">
      <c r="A124" s="224" t="s">
        <v>268</v>
      </c>
      <c r="B124" s="273">
        <v>8076324</v>
      </c>
      <c r="C124" s="273">
        <v>9157772</v>
      </c>
      <c r="D124" s="273">
        <v>7707826</v>
      </c>
      <c r="E124" s="273">
        <v>7436720</v>
      </c>
      <c r="F124" s="273">
        <v>7008635</v>
      </c>
      <c r="G124" s="273">
        <v>8486169</v>
      </c>
      <c r="H124" s="273">
        <v>7202097</v>
      </c>
      <c r="I124" s="273">
        <v>7887024</v>
      </c>
      <c r="J124" s="273">
        <v>8458714</v>
      </c>
      <c r="K124" s="273">
        <v>10462641</v>
      </c>
      <c r="L124" s="273">
        <v>10517907</v>
      </c>
      <c r="M124" s="273">
        <v>11652110</v>
      </c>
      <c r="N124" s="273">
        <v>12597670</v>
      </c>
      <c r="O124" s="273">
        <v>16199817</v>
      </c>
      <c r="P124" s="273">
        <v>16649943</v>
      </c>
      <c r="Q124" s="273">
        <v>15328506</v>
      </c>
      <c r="R124" s="273">
        <v>14594040</v>
      </c>
      <c r="S124" s="273">
        <v>15443789</v>
      </c>
      <c r="T124" s="273">
        <v>14901207</v>
      </c>
      <c r="U124" s="273">
        <v>16141585</v>
      </c>
      <c r="V124" s="273">
        <v>14869365</v>
      </c>
      <c r="W124" s="273">
        <v>16326665</v>
      </c>
      <c r="X124" s="273">
        <v>17239612</v>
      </c>
    </row>
    <row r="125" spans="1:24" ht="14.25" thickBot="1" x14ac:dyDescent="0.3">
      <c r="A125" s="225" t="s">
        <v>32</v>
      </c>
      <c r="B125" s="275">
        <v>872361</v>
      </c>
      <c r="C125" s="275">
        <v>870971</v>
      </c>
      <c r="D125" s="275">
        <v>1411977</v>
      </c>
      <c r="E125" s="275">
        <v>1600469</v>
      </c>
      <c r="F125" s="275">
        <v>1457919</v>
      </c>
      <c r="G125" s="275">
        <v>1453280</v>
      </c>
      <c r="H125" s="275">
        <v>1426511</v>
      </c>
      <c r="I125" s="275">
        <v>778180</v>
      </c>
      <c r="J125" s="275">
        <v>461109</v>
      </c>
      <c r="K125" s="275">
        <v>455582</v>
      </c>
      <c r="L125" s="275">
        <v>280721</v>
      </c>
      <c r="M125" s="275">
        <v>277340</v>
      </c>
      <c r="N125" s="275">
        <v>301135</v>
      </c>
      <c r="O125" s="275">
        <v>256081</v>
      </c>
      <c r="P125" s="275">
        <v>324025</v>
      </c>
      <c r="Q125" s="275">
        <v>261842</v>
      </c>
      <c r="R125" s="275">
        <v>227841</v>
      </c>
      <c r="S125" s="275">
        <v>224188</v>
      </c>
      <c r="T125" s="275">
        <v>214960</v>
      </c>
      <c r="U125" s="275">
        <v>280400</v>
      </c>
      <c r="V125" s="275">
        <v>245715</v>
      </c>
      <c r="W125" s="275">
        <v>213578</v>
      </c>
      <c r="X125" s="275">
        <v>215406</v>
      </c>
    </row>
    <row r="126" spans="1:24" ht="14.25" thickBot="1" x14ac:dyDescent="0.3">
      <c r="A126" s="224" t="s">
        <v>33</v>
      </c>
      <c r="B126" s="273">
        <v>109631</v>
      </c>
      <c r="C126" s="273">
        <v>18535</v>
      </c>
      <c r="D126" s="273">
        <v>18804</v>
      </c>
      <c r="E126" s="273">
        <v>15275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9058316</v>
      </c>
      <c r="C127" s="275">
        <v>10047278</v>
      </c>
      <c r="D127" s="275">
        <v>9138607</v>
      </c>
      <c r="E127" s="275">
        <v>9052464</v>
      </c>
      <c r="F127" s="275">
        <v>8466554</v>
      </c>
      <c r="G127" s="275">
        <v>9939449</v>
      </c>
      <c r="H127" s="275">
        <v>8628608</v>
      </c>
      <c r="I127" s="275">
        <v>8665204</v>
      </c>
      <c r="J127" s="275">
        <v>8919823</v>
      </c>
      <c r="K127" s="275">
        <v>10918223</v>
      </c>
      <c r="L127" s="275">
        <v>10798628</v>
      </c>
      <c r="M127" s="275">
        <v>11929450</v>
      </c>
      <c r="N127" s="275">
        <v>12898805</v>
      </c>
      <c r="O127" s="275">
        <v>16455898</v>
      </c>
      <c r="P127" s="275">
        <v>16973968</v>
      </c>
      <c r="Q127" s="275">
        <v>15590348</v>
      </c>
      <c r="R127" s="275">
        <v>14821881</v>
      </c>
      <c r="S127" s="275">
        <v>15667977</v>
      </c>
      <c r="T127" s="275">
        <v>15116167</v>
      </c>
      <c r="U127" s="275">
        <v>16421985</v>
      </c>
      <c r="V127" s="275">
        <v>15115080</v>
      </c>
      <c r="W127" s="275">
        <v>16540243</v>
      </c>
      <c r="X127" s="275">
        <v>17455018</v>
      </c>
    </row>
    <row r="128" spans="1:24" ht="14.25" thickBot="1" x14ac:dyDescent="0.3">
      <c r="A128" s="224" t="s">
        <v>34</v>
      </c>
      <c r="B128" s="273">
        <v>3604931</v>
      </c>
      <c r="C128" s="273">
        <v>3432187</v>
      </c>
      <c r="D128" s="273">
        <v>3704242</v>
      </c>
      <c r="E128" s="273">
        <v>3850662</v>
      </c>
      <c r="F128" s="273">
        <v>4101957</v>
      </c>
      <c r="G128" s="273">
        <v>3882459</v>
      </c>
      <c r="H128" s="273">
        <v>4245296</v>
      </c>
      <c r="I128" s="273">
        <v>4727695</v>
      </c>
      <c r="J128" s="273">
        <v>5465058</v>
      </c>
      <c r="K128" s="273">
        <v>5123046</v>
      </c>
      <c r="L128" s="273">
        <v>5622853</v>
      </c>
      <c r="M128" s="273">
        <v>6058947</v>
      </c>
      <c r="N128" s="273">
        <v>6463951</v>
      </c>
      <c r="O128" s="273">
        <v>5872135</v>
      </c>
      <c r="P128" s="273">
        <v>6699351</v>
      </c>
      <c r="Q128" s="273">
        <v>6937635</v>
      </c>
      <c r="R128" s="273">
        <v>7131821</v>
      </c>
      <c r="S128" s="273">
        <v>6567535</v>
      </c>
      <c r="T128" s="273">
        <v>6775986</v>
      </c>
      <c r="U128" s="273">
        <v>7357068</v>
      </c>
      <c r="V128" s="273">
        <v>7252165</v>
      </c>
      <c r="W128" s="273">
        <v>6324202</v>
      </c>
      <c r="X128" s="273">
        <v>6810961</v>
      </c>
    </row>
    <row r="129" spans="1:24" ht="14.25" thickBot="1" x14ac:dyDescent="0.3">
      <c r="A129" s="225" t="s">
        <v>35</v>
      </c>
      <c r="B129" s="276">
        <v>12663247</v>
      </c>
      <c r="C129" s="276">
        <v>13479465</v>
      </c>
      <c r="D129" s="276">
        <v>12842849</v>
      </c>
      <c r="E129" s="276">
        <v>12903126</v>
      </c>
      <c r="F129" s="276">
        <v>12568511</v>
      </c>
      <c r="G129" s="276">
        <v>13821908</v>
      </c>
      <c r="H129" s="276">
        <v>12873904</v>
      </c>
      <c r="I129" s="276">
        <v>13392899</v>
      </c>
      <c r="J129" s="276">
        <v>14384881</v>
      </c>
      <c r="K129" s="276">
        <v>16041269</v>
      </c>
      <c r="L129" s="276">
        <v>16421481</v>
      </c>
      <c r="M129" s="276">
        <v>17988397</v>
      </c>
      <c r="N129" s="276">
        <v>19362756</v>
      </c>
      <c r="O129" s="276">
        <v>22328033</v>
      </c>
      <c r="P129" s="276">
        <v>23673319</v>
      </c>
      <c r="Q129" s="276">
        <v>22527983</v>
      </c>
      <c r="R129" s="276">
        <v>21953702</v>
      </c>
      <c r="S129" s="276">
        <v>22235512</v>
      </c>
      <c r="T129" s="276">
        <v>21892153</v>
      </c>
      <c r="U129" s="276">
        <v>23779053</v>
      </c>
      <c r="V129" s="276">
        <v>22367245</v>
      </c>
      <c r="W129" s="276">
        <v>22864445</v>
      </c>
      <c r="X129" s="276">
        <v>24265979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12.63</v>
      </c>
      <c r="C132" s="68">
        <v>4.6100000000000003</v>
      </c>
      <c r="D132" s="68">
        <v>3.46</v>
      </c>
      <c r="E132" s="68">
        <v>6.79</v>
      </c>
      <c r="F132" s="68">
        <v>10.27</v>
      </c>
    </row>
    <row r="133" spans="1:24" ht="14.25" thickBot="1" x14ac:dyDescent="0.3">
      <c r="A133" s="225" t="s">
        <v>37</v>
      </c>
      <c r="B133" s="274">
        <v>-4.66</v>
      </c>
      <c r="C133" s="274">
        <v>-1.86</v>
      </c>
      <c r="D133" s="274">
        <v>-1.69</v>
      </c>
      <c r="E133" s="274">
        <v>-3.53</v>
      </c>
      <c r="F133" s="274">
        <v>-1.83</v>
      </c>
    </row>
    <row r="134" spans="1:24" ht="14.25" thickBot="1" x14ac:dyDescent="0.3">
      <c r="A134" s="224" t="s">
        <v>38</v>
      </c>
      <c r="B134" s="68">
        <v>-3.96</v>
      </c>
      <c r="C134" s="68">
        <v>-7.25</v>
      </c>
      <c r="D134" s="68">
        <v>4.21</v>
      </c>
      <c r="E134" s="68">
        <v>-2.6</v>
      </c>
      <c r="F134" s="68">
        <v>-5.92</v>
      </c>
    </row>
    <row r="135" spans="1:24" ht="14.25" thickBot="1" x14ac:dyDescent="0.3">
      <c r="A135" s="225" t="s">
        <v>270</v>
      </c>
      <c r="B135" s="274">
        <v>7.97</v>
      </c>
      <c r="C135" s="274">
        <v>2.75</v>
      </c>
      <c r="D135" s="274">
        <v>1.77</v>
      </c>
      <c r="E135" s="274">
        <v>3.26</v>
      </c>
      <c r="F135" s="274">
        <v>8.44</v>
      </c>
    </row>
    <row r="136" spans="1:24" ht="14.25" thickBot="1" x14ac:dyDescent="0.3">
      <c r="A136" s="229" t="s">
        <v>39</v>
      </c>
      <c r="B136" s="72">
        <v>4.01</v>
      </c>
      <c r="C136" s="72">
        <v>-4.5</v>
      </c>
      <c r="D136" s="72">
        <v>5.98</v>
      </c>
      <c r="E136" s="72">
        <v>0.66</v>
      </c>
      <c r="F136" s="72">
        <v>2.52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2.75</v>
      </c>
      <c r="C140" s="68">
        <v>3</v>
      </c>
      <c r="D140" s="68">
        <v>3</v>
      </c>
      <c r="E140" s="68">
        <v>4</v>
      </c>
      <c r="F140" s="68">
        <v>4.2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0.69444444444444442</v>
      </c>
      <c r="C142" s="234">
        <f>IF(C140&lt;&gt;"無",IF(ISNA(HLOOKUP(C139,$B$64:$F$69,6,FALSE)),"",C140/HLOOKUP(C139,$B$64:$F$69,6,FALSE)),"")</f>
        <v>0.70754716981132071</v>
      </c>
      <c r="D142" s="234">
        <f>IF(D140&lt;&gt;"無",IF(ISNA(HLOOKUP(D139,$B$64:$F$69,6,FALSE)),"",D140/HLOOKUP(D139,$B$64:$F$69,6,FALSE)),"")</f>
        <v>0.70422535211267612</v>
      </c>
      <c r="E142" s="234">
        <f>IF(E140&lt;&gt;"無",IF(ISNA(HLOOKUP(E139,$B$64:$F$69,6,FALSE)),"",E140/HLOOKUP(E139,$B$64:$F$69,6,FALSE)),"")</f>
        <v>0.71301247771836018</v>
      </c>
      <c r="F142" s="234">
        <f>IF(F140&lt;&gt;"無",IF(ISNA(HLOOKUP(F139,$B$64:$F$69,6,FALSE)),"",F140/HLOOKUP(F139,$B$64:$F$69,6,FALSE)),"")</f>
        <v>0.69651741293532343</v>
      </c>
    </row>
    <row r="143" spans="1:24" x14ac:dyDescent="0.25">
      <c r="A143" s="233" t="s">
        <v>216</v>
      </c>
      <c r="B143" s="234">
        <f>IF(OR(B140=0,B140="無"),"",B135/B140)</f>
        <v>2.898181818181818</v>
      </c>
      <c r="C143" s="234">
        <f>IF(OR(C140=0,C140="無"),"",C135/C140)</f>
        <v>0.91666666666666663</v>
      </c>
      <c r="D143" s="234">
        <f>IF(OR(D140=0,D140="無"),"",D135/D140)</f>
        <v>0.59</v>
      </c>
      <c r="E143" s="234">
        <f>IF(OR(E140=0,E140="無"),"",E135/E140)</f>
        <v>0.81499999999999995</v>
      </c>
      <c r="F143" s="234">
        <f>IF(OR(F140=0,F140="無"),"",F135/F140)</f>
        <v>2.0095238095238095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15.54</v>
      </c>
      <c r="C146" s="68">
        <v>16.079999999999998</v>
      </c>
      <c r="D146" s="68">
        <v>14.8</v>
      </c>
      <c r="E146" s="68">
        <v>15.62</v>
      </c>
      <c r="F146" s="68">
        <v>14.02</v>
      </c>
      <c r="G146" s="68">
        <v>15.75</v>
      </c>
      <c r="H146" s="68">
        <v>16.37</v>
      </c>
      <c r="I146" s="68">
        <v>17.93</v>
      </c>
      <c r="J146" s="68">
        <v>16.920000000000002</v>
      </c>
      <c r="K146" s="68">
        <v>16.420000000000002</v>
      </c>
      <c r="L146" s="68">
        <v>15.04</v>
      </c>
      <c r="M146" s="68">
        <v>14.97</v>
      </c>
      <c r="N146" s="68">
        <v>13.61</v>
      </c>
      <c r="O146" s="68">
        <v>13.23</v>
      </c>
      <c r="P146" s="68">
        <v>14.91</v>
      </c>
      <c r="Q146" s="68">
        <v>14.81</v>
      </c>
      <c r="R146" s="68">
        <v>14.04</v>
      </c>
      <c r="S146" s="68">
        <v>13.83</v>
      </c>
      <c r="T146" s="68">
        <v>15.29</v>
      </c>
      <c r="U146" s="68">
        <v>15.32</v>
      </c>
      <c r="V146" s="68">
        <v>13.08</v>
      </c>
      <c r="W146" s="68">
        <v>12.94</v>
      </c>
      <c r="X146" s="68">
        <v>13.05</v>
      </c>
    </row>
    <row r="147" spans="1:24" s="93" customFormat="1" ht="14.25" thickBot="1" x14ac:dyDescent="0.3">
      <c r="A147" s="225" t="s">
        <v>19</v>
      </c>
      <c r="B147" s="274">
        <v>5.0199999999999996</v>
      </c>
      <c r="C147" s="274">
        <v>6.01</v>
      </c>
      <c r="D147" s="274">
        <v>5.42</v>
      </c>
      <c r="E147" s="274">
        <v>4.79</v>
      </c>
      <c r="F147" s="274">
        <v>1.95</v>
      </c>
      <c r="G147" s="274">
        <v>4.82</v>
      </c>
      <c r="H147" s="274">
        <v>5.44</v>
      </c>
      <c r="I147" s="274">
        <v>5.64</v>
      </c>
      <c r="J147" s="274">
        <v>4.99</v>
      </c>
      <c r="K147" s="274">
        <v>5.42</v>
      </c>
      <c r="L147" s="274">
        <v>5.1100000000000003</v>
      </c>
      <c r="M147" s="274">
        <v>4.83</v>
      </c>
      <c r="N147" s="274">
        <v>2.94</v>
      </c>
      <c r="O147" s="274">
        <v>4.3099999999999996</v>
      </c>
      <c r="P147" s="274">
        <v>6</v>
      </c>
      <c r="Q147" s="274">
        <v>5</v>
      </c>
      <c r="R147" s="274">
        <v>3.96</v>
      </c>
      <c r="S147" s="274">
        <v>4.6100000000000003</v>
      </c>
      <c r="T147" s="274">
        <v>5.49</v>
      </c>
      <c r="U147" s="274">
        <v>5.19</v>
      </c>
      <c r="V147" s="274">
        <v>3.23</v>
      </c>
      <c r="W147" s="274">
        <v>3.87</v>
      </c>
      <c r="X147" s="274">
        <v>4.3499999999999996</v>
      </c>
    </row>
    <row r="148" spans="1:24" s="93" customFormat="1" ht="14.25" thickBot="1" x14ac:dyDescent="0.3">
      <c r="A148" s="224" t="s">
        <v>41</v>
      </c>
      <c r="B148" s="68">
        <v>4.6399999999999997</v>
      </c>
      <c r="C148" s="68">
        <v>5.43</v>
      </c>
      <c r="D148" s="68">
        <v>5.25</v>
      </c>
      <c r="E148" s="68">
        <v>3.82</v>
      </c>
      <c r="F148" s="68">
        <v>3.44</v>
      </c>
      <c r="G148" s="68">
        <v>6.59</v>
      </c>
      <c r="H148" s="68">
        <v>5.49</v>
      </c>
      <c r="I148" s="68">
        <v>5.59</v>
      </c>
      <c r="J148" s="68">
        <v>4.74</v>
      </c>
      <c r="K148" s="68">
        <v>5.44</v>
      </c>
      <c r="L148" s="68">
        <v>4.71</v>
      </c>
      <c r="M148" s="68">
        <v>5.52</v>
      </c>
      <c r="N148" s="68">
        <v>3.17</v>
      </c>
      <c r="O148" s="68">
        <v>4.72</v>
      </c>
      <c r="P148" s="68">
        <v>5.15</v>
      </c>
      <c r="Q148" s="68">
        <v>4.5599999999999996</v>
      </c>
      <c r="R148" s="68">
        <v>3.98</v>
      </c>
      <c r="S148" s="68">
        <v>4.54</v>
      </c>
      <c r="T148" s="68">
        <v>5.51</v>
      </c>
      <c r="U148" s="68">
        <v>5.56</v>
      </c>
      <c r="V148" s="68">
        <v>3.4</v>
      </c>
      <c r="W148" s="68">
        <v>3.95</v>
      </c>
      <c r="X148" s="68">
        <v>4.49</v>
      </c>
    </row>
    <row r="149" spans="1:24" s="93" customFormat="1" ht="14.25" thickBot="1" x14ac:dyDescent="0.3">
      <c r="A149" s="225" t="s">
        <v>13</v>
      </c>
      <c r="B149" s="73">
        <v>3.87</v>
      </c>
      <c r="C149" s="73">
        <v>4.38</v>
      </c>
      <c r="D149" s="73">
        <v>4.3600000000000003</v>
      </c>
      <c r="E149" s="73">
        <v>2.82</v>
      </c>
      <c r="F149" s="73">
        <v>2.88</v>
      </c>
      <c r="G149" s="73">
        <v>5.42</v>
      </c>
      <c r="H149" s="73">
        <v>4.5</v>
      </c>
      <c r="I149" s="73">
        <v>4.63</v>
      </c>
      <c r="J149" s="73">
        <v>3.93</v>
      </c>
      <c r="K149" s="73">
        <v>4.51</v>
      </c>
      <c r="L149" s="73">
        <v>3.89</v>
      </c>
      <c r="M149" s="73">
        <v>4</v>
      </c>
      <c r="N149" s="73">
        <v>2.63</v>
      </c>
      <c r="O149" s="73">
        <v>3.83</v>
      </c>
      <c r="P149" s="73">
        <v>4.22</v>
      </c>
      <c r="Q149" s="73">
        <v>3.74</v>
      </c>
      <c r="R149" s="73">
        <v>3.26</v>
      </c>
      <c r="S149" s="73">
        <v>3.71</v>
      </c>
      <c r="T149" s="73">
        <v>4.3899999999999997</v>
      </c>
      <c r="U149" s="73">
        <v>4.46</v>
      </c>
      <c r="V149" s="73">
        <v>2.76</v>
      </c>
      <c r="W149" s="73">
        <v>3.17</v>
      </c>
      <c r="X149" s="73">
        <v>3.68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15.5</v>
      </c>
      <c r="C152" s="68">
        <v>16.09</v>
      </c>
      <c r="D152" s="68">
        <v>15.76</v>
      </c>
      <c r="E152" s="68">
        <v>14.24</v>
      </c>
      <c r="F152" s="68">
        <v>14.63</v>
      </c>
    </row>
    <row r="153" spans="1:24" s="93" customFormat="1" ht="14.25" thickBot="1" x14ac:dyDescent="0.3">
      <c r="A153" s="225" t="s">
        <v>19</v>
      </c>
      <c r="B153" s="274">
        <v>5.36</v>
      </c>
      <c r="C153" s="274">
        <v>4.57</v>
      </c>
      <c r="D153" s="274">
        <v>5.09</v>
      </c>
      <c r="E153" s="274">
        <v>4.75</v>
      </c>
      <c r="F153" s="274">
        <v>4.83</v>
      </c>
    </row>
    <row r="154" spans="1:24" s="93" customFormat="1" ht="14.25" thickBot="1" x14ac:dyDescent="0.3">
      <c r="A154" s="224" t="s">
        <v>41</v>
      </c>
      <c r="B154" s="68">
        <v>4.8499999999999996</v>
      </c>
      <c r="C154" s="68">
        <v>5.37</v>
      </c>
      <c r="D154" s="68">
        <v>5.13</v>
      </c>
      <c r="E154" s="68">
        <v>4.5199999999999996</v>
      </c>
      <c r="F154" s="68">
        <v>4.91</v>
      </c>
    </row>
    <row r="155" spans="1:24" s="93" customFormat="1" ht="14.25" thickBot="1" x14ac:dyDescent="0.3">
      <c r="A155" s="225" t="s">
        <v>13</v>
      </c>
      <c r="B155" s="73">
        <v>3.92</v>
      </c>
      <c r="C155" s="73">
        <v>4.43</v>
      </c>
      <c r="D155" s="73">
        <v>4.09</v>
      </c>
      <c r="E155" s="73">
        <v>3.7</v>
      </c>
      <c r="F155" s="73">
        <v>3.97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1.47</v>
      </c>
      <c r="C158" s="68">
        <v>1.92</v>
      </c>
      <c r="D158" s="68">
        <v>1.96</v>
      </c>
      <c r="E158" s="68">
        <v>1.03</v>
      </c>
      <c r="F158" s="68">
        <v>1.02</v>
      </c>
      <c r="G158" s="68">
        <v>2.1800000000000002</v>
      </c>
      <c r="H158" s="68">
        <v>1.8</v>
      </c>
      <c r="I158" s="68">
        <v>1.77</v>
      </c>
      <c r="J158" s="68">
        <v>1.4</v>
      </c>
      <c r="K158" s="68">
        <v>1.89</v>
      </c>
      <c r="L158" s="68">
        <v>1.6</v>
      </c>
      <c r="M158" s="68">
        <v>1.59</v>
      </c>
      <c r="N158" s="68">
        <v>0.94</v>
      </c>
      <c r="O158" s="68">
        <v>1.64</v>
      </c>
      <c r="P158" s="68">
        <v>1.99</v>
      </c>
      <c r="Q158" s="68">
        <v>1.65</v>
      </c>
      <c r="R158" s="68">
        <v>1.39</v>
      </c>
      <c r="S158" s="68">
        <v>1.62</v>
      </c>
      <c r="T158" s="68">
        <v>1.94</v>
      </c>
      <c r="U158" s="68">
        <v>1.83</v>
      </c>
      <c r="V158" s="68">
        <v>1.04</v>
      </c>
      <c r="W158" s="68">
        <v>1.35</v>
      </c>
      <c r="X158" s="68">
        <v>1.7</v>
      </c>
    </row>
    <row r="159" spans="1:24" s="93" customFormat="1" ht="14.25" thickBot="1" x14ac:dyDescent="0.3">
      <c r="A159" s="225" t="s">
        <v>45</v>
      </c>
      <c r="B159" s="73">
        <v>4.66</v>
      </c>
      <c r="C159" s="73">
        <v>6.61</v>
      </c>
      <c r="D159" s="73">
        <v>6.77</v>
      </c>
      <c r="E159" s="73">
        <v>3.19</v>
      </c>
      <c r="F159" s="73">
        <v>2.97</v>
      </c>
      <c r="G159" s="73">
        <v>6.92</v>
      </c>
      <c r="H159" s="73">
        <v>5.62</v>
      </c>
      <c r="I159" s="73">
        <v>4.95</v>
      </c>
      <c r="J159" s="73">
        <v>3.61</v>
      </c>
      <c r="K159" s="73">
        <v>5.13</v>
      </c>
      <c r="L159" s="73">
        <v>4.45</v>
      </c>
      <c r="M159" s="73">
        <v>4.3600000000000003</v>
      </c>
      <c r="N159" s="73">
        <v>2.66</v>
      </c>
      <c r="O159" s="73">
        <v>5.32</v>
      </c>
      <c r="P159" s="73">
        <v>7</v>
      </c>
      <c r="Q159" s="73">
        <v>5.31</v>
      </c>
      <c r="R159" s="73">
        <v>4.08</v>
      </c>
      <c r="S159" s="73">
        <v>5.03</v>
      </c>
      <c r="T159" s="73">
        <v>6.24</v>
      </c>
      <c r="U159" s="73">
        <v>5.77</v>
      </c>
      <c r="V159" s="73">
        <v>3.14</v>
      </c>
      <c r="W159" s="73">
        <v>4.3499999999999996</v>
      </c>
      <c r="X159" s="73">
        <v>5.89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3.92</v>
      </c>
      <c r="C162" s="68">
        <v>4.43</v>
      </c>
      <c r="D162" s="68">
        <v>4.09</v>
      </c>
      <c r="E162" s="68">
        <v>3.7</v>
      </c>
      <c r="F162" s="68">
        <v>3.97</v>
      </c>
    </row>
    <row r="163" spans="1:72" s="93" customFormat="1" ht="14.25" thickBot="1" x14ac:dyDescent="0.3">
      <c r="A163" s="225" t="s">
        <v>18</v>
      </c>
      <c r="B163" s="274">
        <v>1.49</v>
      </c>
      <c r="C163" s="274">
        <v>1.42</v>
      </c>
      <c r="D163" s="274">
        <v>1.29</v>
      </c>
      <c r="E163" s="274">
        <v>1.55</v>
      </c>
      <c r="F163" s="274">
        <v>1.54</v>
      </c>
    </row>
    <row r="164" spans="1:72" s="93" customFormat="1" ht="14.25" thickBot="1" x14ac:dyDescent="0.3">
      <c r="A164" s="224" t="s">
        <v>15</v>
      </c>
      <c r="B164" s="68">
        <v>3.35</v>
      </c>
      <c r="C164" s="68">
        <v>2.83</v>
      </c>
      <c r="D164" s="68">
        <v>2.97</v>
      </c>
      <c r="E164" s="68">
        <v>3.25</v>
      </c>
      <c r="F164" s="68">
        <v>3.23</v>
      </c>
    </row>
    <row r="165" spans="1:72" s="93" customFormat="1" ht="14.25" thickBot="1" x14ac:dyDescent="0.3">
      <c r="A165" s="225" t="s">
        <v>45</v>
      </c>
      <c r="B165" s="73">
        <v>21.19</v>
      </c>
      <c r="C165" s="73">
        <v>19.7</v>
      </c>
      <c r="D165" s="73">
        <v>17.600000000000001</v>
      </c>
      <c r="E165" s="73">
        <v>19.96</v>
      </c>
      <c r="F165" s="73">
        <v>20.36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52.63</v>
      </c>
      <c r="C168" s="68">
        <v>37.340000000000003</v>
      </c>
      <c r="D168" s="68">
        <v>37.5</v>
      </c>
      <c r="E168" s="68">
        <v>44.78</v>
      </c>
      <c r="F168" s="68">
        <v>39.130000000000003</v>
      </c>
      <c r="G168" s="68">
        <v>37.659999999999997</v>
      </c>
      <c r="H168" s="68">
        <v>42.65</v>
      </c>
      <c r="I168" s="68">
        <v>46.15</v>
      </c>
      <c r="J168" s="68">
        <v>55.56</v>
      </c>
      <c r="K168" s="68">
        <v>49.45</v>
      </c>
      <c r="L168" s="68">
        <v>53.57</v>
      </c>
      <c r="M168" s="68">
        <v>58.44</v>
      </c>
      <c r="N168" s="68">
        <v>67.16</v>
      </c>
      <c r="O168" s="68">
        <v>62.07</v>
      </c>
      <c r="P168" s="68">
        <v>59.21</v>
      </c>
      <c r="Q168" s="68">
        <v>62.5</v>
      </c>
      <c r="R168" s="68">
        <v>58.44</v>
      </c>
      <c r="S168" s="68">
        <v>53.57</v>
      </c>
      <c r="T168" s="68">
        <v>58.82</v>
      </c>
      <c r="U168" s="68">
        <v>65.69</v>
      </c>
      <c r="V168" s="68">
        <v>70.31</v>
      </c>
      <c r="W168" s="68">
        <v>56.6</v>
      </c>
      <c r="X168" s="68">
        <v>55.9</v>
      </c>
    </row>
    <row r="169" spans="1:72" s="93" customFormat="1" ht="14.25" thickBot="1" x14ac:dyDescent="0.3">
      <c r="A169" s="225" t="s">
        <v>17</v>
      </c>
      <c r="B169" s="274">
        <v>57.69</v>
      </c>
      <c r="C169" s="274">
        <v>53.25</v>
      </c>
      <c r="D169" s="274">
        <v>46.63</v>
      </c>
      <c r="E169" s="274">
        <v>55.21</v>
      </c>
      <c r="F169" s="274">
        <v>61.22</v>
      </c>
      <c r="G169" s="274">
        <v>52.02</v>
      </c>
      <c r="H169" s="274">
        <v>51.43</v>
      </c>
      <c r="I169" s="274">
        <v>57.69</v>
      </c>
      <c r="J169" s="274">
        <v>66.67</v>
      </c>
      <c r="K169" s="274">
        <v>57.32</v>
      </c>
      <c r="L169" s="274">
        <v>56.6</v>
      </c>
      <c r="M169" s="274">
        <v>57.69</v>
      </c>
      <c r="N169" s="274">
        <v>63.83</v>
      </c>
      <c r="O169" s="274">
        <v>56.6</v>
      </c>
      <c r="P169" s="274">
        <v>54.55</v>
      </c>
      <c r="Q169" s="274">
        <v>59.6</v>
      </c>
      <c r="R169" s="274">
        <v>61.64</v>
      </c>
      <c r="S169" s="274">
        <v>54.55</v>
      </c>
      <c r="T169" s="274">
        <v>53.25</v>
      </c>
      <c r="U169" s="274">
        <v>60.4</v>
      </c>
      <c r="V169" s="274">
        <v>70.87</v>
      </c>
      <c r="W169" s="274">
        <v>64.75</v>
      </c>
      <c r="X169" s="274">
        <v>57.69</v>
      </c>
    </row>
    <row r="170" spans="1:72" s="93" customFormat="1" ht="14.25" thickBot="1" x14ac:dyDescent="0.3">
      <c r="A170" s="224" t="s">
        <v>42</v>
      </c>
      <c r="B170" s="72">
        <v>110.32</v>
      </c>
      <c r="C170" s="72">
        <v>90.6</v>
      </c>
      <c r="D170" s="72">
        <v>84.13</v>
      </c>
      <c r="E170" s="72">
        <v>99.99</v>
      </c>
      <c r="F170" s="72">
        <v>100.35</v>
      </c>
      <c r="G170" s="72">
        <v>89.68</v>
      </c>
      <c r="H170" s="72">
        <v>94.08</v>
      </c>
      <c r="I170" s="72">
        <v>103.85</v>
      </c>
      <c r="J170" s="72">
        <v>122.22</v>
      </c>
      <c r="K170" s="72">
        <v>106.78</v>
      </c>
      <c r="L170" s="72">
        <v>110.18</v>
      </c>
      <c r="M170" s="72">
        <v>116.13</v>
      </c>
      <c r="N170" s="72">
        <v>130.99</v>
      </c>
      <c r="O170" s="72">
        <v>118.67</v>
      </c>
      <c r="P170" s="72">
        <v>113.76</v>
      </c>
      <c r="Q170" s="72">
        <v>122.1</v>
      </c>
      <c r="R170" s="72">
        <v>120.09</v>
      </c>
      <c r="S170" s="72">
        <v>108.12</v>
      </c>
      <c r="T170" s="72">
        <v>112.08</v>
      </c>
      <c r="U170" s="72">
        <v>126.1</v>
      </c>
      <c r="V170" s="72">
        <v>141.18</v>
      </c>
      <c r="W170" s="72">
        <v>121.35</v>
      </c>
      <c r="X170" s="72">
        <v>113.59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324.74</v>
      </c>
      <c r="C173" s="72">
        <v>110.24</v>
      </c>
      <c r="D173" s="72">
        <v>82.22</v>
      </c>
      <c r="E173" s="72">
        <v>122.7</v>
      </c>
      <c r="F173" s="72">
        <v>171.34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11.24</v>
      </c>
      <c r="C176" s="72">
        <v>12.77</v>
      </c>
      <c r="D176" s="72">
        <v>14.63</v>
      </c>
      <c r="E176" s="72">
        <v>13.23</v>
      </c>
      <c r="F176" s="72">
        <v>13.23</v>
      </c>
      <c r="G176" s="72">
        <v>13.17</v>
      </c>
      <c r="H176" s="72">
        <v>13.78</v>
      </c>
      <c r="I176" s="72">
        <v>12.98</v>
      </c>
      <c r="J176" s="72">
        <v>12.83</v>
      </c>
      <c r="K176" s="72">
        <v>11.94</v>
      </c>
      <c r="L176" s="72">
        <v>9.41</v>
      </c>
      <c r="M176" s="72">
        <v>9.81</v>
      </c>
      <c r="N176" s="72">
        <v>10.39</v>
      </c>
      <c r="O176" s="72">
        <v>10.89</v>
      </c>
      <c r="P176" s="72">
        <v>10.63</v>
      </c>
      <c r="Q176" s="72">
        <v>10.54</v>
      </c>
      <c r="R176" s="72">
        <v>11.41</v>
      </c>
      <c r="S176" s="72">
        <v>10.93</v>
      </c>
      <c r="T176" s="72">
        <v>10.83</v>
      </c>
      <c r="U176" s="72">
        <v>10.37</v>
      </c>
      <c r="V176" s="72">
        <v>11.01</v>
      </c>
      <c r="W176" s="72">
        <v>10.78</v>
      </c>
      <c r="X176" s="72">
        <v>11.66</v>
      </c>
      <c r="Y176" s="72">
        <v>12.43</v>
      </c>
      <c r="Z176" s="72">
        <v>15.05</v>
      </c>
      <c r="AA176" s="72">
        <v>16.07</v>
      </c>
      <c r="AB176" s="72">
        <v>16.23</v>
      </c>
      <c r="AC176" s="72">
        <v>15.24</v>
      </c>
      <c r="AD176" s="72">
        <v>14.97</v>
      </c>
      <c r="AE176" s="72">
        <v>16.940000000000001</v>
      </c>
      <c r="AF176" s="72">
        <v>17.41</v>
      </c>
      <c r="AG176" s="72">
        <v>17.149999999999999</v>
      </c>
      <c r="AH176" s="72">
        <v>16.690000000000001</v>
      </c>
      <c r="AI176" s="72">
        <v>15.95</v>
      </c>
      <c r="AJ176" s="72">
        <v>15.84</v>
      </c>
      <c r="AK176" s="72">
        <v>16.61</v>
      </c>
      <c r="AL176" s="72">
        <v>16.93</v>
      </c>
      <c r="AM176" s="72">
        <v>16.71</v>
      </c>
      <c r="AN176" s="72">
        <v>16.64</v>
      </c>
      <c r="AO176" s="72">
        <v>16.14</v>
      </c>
      <c r="AP176" s="72">
        <v>16.09</v>
      </c>
      <c r="AQ176" s="72">
        <v>15.94</v>
      </c>
      <c r="AR176" s="72">
        <v>16.13</v>
      </c>
      <c r="AS176" s="72">
        <v>16.079999999999998</v>
      </c>
      <c r="AT176" s="72">
        <v>17.11</v>
      </c>
      <c r="AU176" s="72">
        <v>18.34</v>
      </c>
      <c r="AV176" s="72">
        <v>15.25</v>
      </c>
      <c r="AW176" s="72">
        <v>16.899999999999999</v>
      </c>
      <c r="AX176" s="72">
        <v>16</v>
      </c>
      <c r="AY176" s="72">
        <v>16.2</v>
      </c>
      <c r="AZ176" s="72">
        <v>14.91</v>
      </c>
      <c r="BA176" s="72">
        <v>13.88</v>
      </c>
      <c r="BB176" s="72">
        <v>13.1</v>
      </c>
      <c r="BC176" s="72">
        <v>12.8</v>
      </c>
      <c r="BD176" s="72">
        <v>11.68</v>
      </c>
      <c r="BE176" s="72">
        <v>11.75</v>
      </c>
      <c r="BF176" s="72">
        <v>12.28</v>
      </c>
      <c r="BG176" s="72">
        <v>12.28</v>
      </c>
      <c r="BH176" s="72">
        <v>12.91</v>
      </c>
      <c r="BI176" s="72">
        <v>13.6</v>
      </c>
      <c r="BJ176" s="72">
        <v>13.7</v>
      </c>
      <c r="BK176" s="72">
        <v>13.91</v>
      </c>
      <c r="BL176" s="72">
        <v>13.25</v>
      </c>
      <c r="BM176" s="72">
        <v>12.76</v>
      </c>
      <c r="BN176" s="72">
        <v>12.99</v>
      </c>
      <c r="BO176" s="72">
        <v>13.42</v>
      </c>
      <c r="BP176" s="72">
        <v>13.68</v>
      </c>
      <c r="BQ176" s="72">
        <v>13.81</v>
      </c>
      <c r="BR176" s="72">
        <v>14.17</v>
      </c>
      <c r="BS176" s="72">
        <v>14.9</v>
      </c>
      <c r="BT176" s="72">
        <v>14.71</v>
      </c>
    </row>
  </sheetData>
  <phoneticPr fontId="3" type="noConversion"/>
  <conditionalFormatting sqref="E4">
    <cfRule type="cellIs" dxfId="2999" priority="101" operator="greaterThan">
      <formula>0.2</formula>
    </cfRule>
    <cfRule type="cellIs" dxfId="299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299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996" priority="95" operator="greaterThan">
      <formula>$B$19</formula>
    </cfRule>
  </conditionalFormatting>
  <conditionalFormatting sqref="D33:D34">
    <cfRule type="cellIs" dxfId="299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2994" priority="89" operator="lessThan">
      <formula>$H$62</formula>
    </cfRule>
    <cfRule type="cellIs" dxfId="2993" priority="90" operator="greaterThan">
      <formula>$H$62</formula>
    </cfRule>
  </conditionalFormatting>
  <conditionalFormatting sqref="J62">
    <cfRule type="cellIs" dxfId="2992" priority="87" operator="lessThan">
      <formula>$K$62</formula>
    </cfRule>
    <cfRule type="cellIs" dxfId="2991" priority="88" operator="greaterThan">
      <formula>$K$62</formula>
    </cfRule>
  </conditionalFormatting>
  <conditionalFormatting sqref="M62">
    <cfRule type="cellIs" dxfId="2990" priority="85" operator="lessThan">
      <formula>$N$62</formula>
    </cfRule>
    <cfRule type="cellIs" dxfId="2989" priority="86" operator="greaterThan">
      <formula>$N$62</formula>
    </cfRule>
  </conditionalFormatting>
  <conditionalFormatting sqref="B44:E44">
    <cfRule type="cellIs" dxfId="2988" priority="83" operator="greaterThan">
      <formula>0</formula>
    </cfRule>
    <cfRule type="cellIs" dxfId="2987" priority="84" operator="lessThan">
      <formula>0</formula>
    </cfRule>
  </conditionalFormatting>
  <conditionalFormatting sqref="F72">
    <cfRule type="cellIs" dxfId="2986" priority="82" operator="lessThan">
      <formula>$E$72*90%</formula>
    </cfRule>
  </conditionalFormatting>
  <conditionalFormatting sqref="F73">
    <cfRule type="cellIs" dxfId="2985" priority="81" operator="lessThan">
      <formula>$E$73*90%</formula>
    </cfRule>
  </conditionalFormatting>
  <conditionalFormatting sqref="F74">
    <cfRule type="cellIs" dxfId="2984" priority="80" operator="lessThan">
      <formula>$E$74*90%</formula>
    </cfRule>
  </conditionalFormatting>
  <conditionalFormatting sqref="F75">
    <cfRule type="cellIs" dxfId="2983" priority="79" operator="lessThan">
      <formula>$E$75*90%</formula>
    </cfRule>
  </conditionalFormatting>
  <conditionalFormatting sqref="H44:K44">
    <cfRule type="cellIs" dxfId="2982" priority="77" operator="greaterThan">
      <formula>0</formula>
    </cfRule>
    <cfRule type="cellIs" dxfId="2981" priority="78" operator="lessThan">
      <formula>0</formula>
    </cfRule>
  </conditionalFormatting>
  <conditionalFormatting sqref="H51:K51">
    <cfRule type="cellIs" dxfId="2980" priority="75" operator="greaterThan">
      <formula>0</formula>
    </cfRule>
    <cfRule type="cellIs" dxfId="2979" priority="76" operator="lessThan">
      <formula>0</formula>
    </cfRule>
  </conditionalFormatting>
  <conditionalFormatting sqref="B51:E51">
    <cfRule type="cellIs" dxfId="2978" priority="73" operator="greaterThan">
      <formula>0</formula>
    </cfRule>
    <cfRule type="cellIs" dxfId="297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97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97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974" priority="56" operator="lessThan">
      <formula>0</formula>
    </cfRule>
  </conditionalFormatting>
  <conditionalFormatting sqref="A25 E25 C25">
    <cfRule type="cellIs" dxfId="2973" priority="57" operator="lessThan">
      <formula>0</formula>
    </cfRule>
  </conditionalFormatting>
  <conditionalFormatting sqref="F25">
    <cfRule type="cellIs" dxfId="2972" priority="55" operator="lessThan">
      <formula>0</formula>
    </cfRule>
  </conditionalFormatting>
  <conditionalFormatting sqref="E1">
    <cfRule type="containsText" dxfId="2971" priority="54" operator="containsText" text="本季業外損益/平均=-">
      <formula>NOT(ISERROR(SEARCH("本季業外損益/平均=-",E1)))</formula>
    </cfRule>
  </conditionalFormatting>
  <conditionalFormatting sqref="M65">
    <cfRule type="cellIs" dxfId="2970" priority="53" operator="lessThan">
      <formula>$L$65*90%</formula>
    </cfRule>
  </conditionalFormatting>
  <conditionalFormatting sqref="M66">
    <cfRule type="cellIs" dxfId="2969" priority="52" operator="lessThan">
      <formula>$L$66*90%</formula>
    </cfRule>
  </conditionalFormatting>
  <conditionalFormatting sqref="M67">
    <cfRule type="cellIs" dxfId="2968" priority="51" operator="lessThan">
      <formula>$L$67*90%</formula>
    </cfRule>
  </conditionalFormatting>
  <conditionalFormatting sqref="M68">
    <cfRule type="cellIs" dxfId="2967" priority="50" operator="lessThan">
      <formula>$L$68*90%</formula>
    </cfRule>
  </conditionalFormatting>
  <conditionalFormatting sqref="B60">
    <cfRule type="cellIs" dxfId="2966" priority="49" operator="lessThan">
      <formula>0</formula>
    </cfRule>
  </conditionalFormatting>
  <conditionalFormatting sqref="B59:F59">
    <cfRule type="cellIs" dxfId="2965" priority="48" operator="lessThanOrEqual">
      <formula>0</formula>
    </cfRule>
  </conditionalFormatting>
  <conditionalFormatting sqref="D62">
    <cfRule type="cellIs" dxfId="2964" priority="46" operator="lessThan">
      <formula>$E$62</formula>
    </cfRule>
    <cfRule type="cellIs" dxfId="2963" priority="47" operator="greaterThan">
      <formula>$E$62</formula>
    </cfRule>
  </conditionalFormatting>
  <conditionalFormatting sqref="F69">
    <cfRule type="cellIs" dxfId="2962" priority="44" operator="lessThan">
      <formula>0</formula>
    </cfRule>
  </conditionalFormatting>
  <conditionalFormatting sqref="B65:E67 B69:E69 B68:D68">
    <cfRule type="cellIs" dxfId="2961" priority="45" operator="lessThan">
      <formula>0</formula>
    </cfRule>
  </conditionalFormatting>
  <conditionalFormatting sqref="E68">
    <cfRule type="cellIs" dxfId="2960" priority="43" operator="lessThan">
      <formula>0</formula>
    </cfRule>
  </conditionalFormatting>
  <conditionalFormatting sqref="F65:F68">
    <cfRule type="cellIs" dxfId="2959" priority="42" operator="lessThan">
      <formula>0</formula>
    </cfRule>
  </conditionalFormatting>
  <conditionalFormatting sqref="F65:F68">
    <cfRule type="cellIs" dxfId="2958" priority="41" operator="lessThan">
      <formula>$E$65*0.9</formula>
    </cfRule>
  </conditionalFormatting>
  <conditionalFormatting sqref="F66">
    <cfRule type="cellIs" dxfId="2957" priority="40" operator="lessThan">
      <formula>$E$66*0.9</formula>
    </cfRule>
  </conditionalFormatting>
  <conditionalFormatting sqref="F67:F68">
    <cfRule type="cellIs" dxfId="2956" priority="39" operator="lessThan">
      <formula>$E$67*0.9</formula>
    </cfRule>
  </conditionalFormatting>
  <conditionalFormatting sqref="F68">
    <cfRule type="cellIs" dxfId="2955" priority="38" operator="lessThan">
      <formula>$E$68*0.9</formula>
    </cfRule>
  </conditionalFormatting>
  <conditionalFormatting sqref="B13:F13">
    <cfRule type="cellIs" dxfId="2954" priority="27" operator="greaterThan">
      <formula>$I$16</formula>
    </cfRule>
    <cfRule type="cellIs" dxfId="2953" priority="28" operator="lessThanOrEqual">
      <formula>$I$16</formula>
    </cfRule>
  </conditionalFormatting>
  <conditionalFormatting sqref="B10:F10">
    <cfRule type="cellIs" dxfId="2952" priority="29" operator="greaterThan">
      <formula>15</formula>
    </cfRule>
    <cfRule type="cellIs" dxfId="2951" priority="36" operator="lessThan">
      <formula>$I$9</formula>
    </cfRule>
    <cfRule type="cellIs" dxfId="2950" priority="37" operator="greaterThan">
      <formula>$I$9</formula>
    </cfRule>
  </conditionalFormatting>
  <conditionalFormatting sqref="B16:F16">
    <cfRule type="cellIs" dxfId="2949" priority="34" operator="greaterThan">
      <formula>$I$16</formula>
    </cfRule>
    <cfRule type="cellIs" dxfId="2948" priority="35" operator="lessThanOrEqual">
      <formula>$I$16</formula>
    </cfRule>
  </conditionalFormatting>
  <conditionalFormatting sqref="B15:F15">
    <cfRule type="cellIs" dxfId="2947" priority="32" operator="lessThanOrEqual">
      <formula>$I$16</formula>
    </cfRule>
    <cfRule type="cellIs" dxfId="2946" priority="33" operator="greaterThan">
      <formula>$I$16</formula>
    </cfRule>
  </conditionalFormatting>
  <conditionalFormatting sqref="B14:F14">
    <cfRule type="cellIs" dxfId="2945" priority="30" operator="greaterThan">
      <formula>$I$16</formula>
    </cfRule>
    <cfRule type="cellIs" dxfId="2944" priority="31" operator="lessThanOrEqual">
      <formula>$I$16</formula>
    </cfRule>
  </conditionalFormatting>
  <conditionalFormatting sqref="K6">
    <cfRule type="containsText" dxfId="2943" priority="25" operator="containsText" text="衰退">
      <formula>NOT(ISERROR(SEARCH("衰退",K6)))</formula>
    </cfRule>
    <cfRule type="containsText" dxfId="2942" priority="26" operator="containsText" text="成長">
      <formula>NOT(ISERROR(SEARCH("成長",K6)))</formula>
    </cfRule>
  </conditionalFormatting>
  <conditionalFormatting sqref="I4:K4">
    <cfRule type="cellIs" dxfId="2941" priority="23" operator="lessThan">
      <formula>0</formula>
    </cfRule>
    <cfRule type="cellIs" dxfId="294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939" priority="20" operator="lessThanOrEqual">
      <formula>$I$16</formula>
    </cfRule>
    <cfRule type="cellIs" dxfId="2938" priority="21" operator="greaterThan">
      <formula>$I$16</formula>
    </cfRule>
  </conditionalFormatting>
  <conditionalFormatting sqref="I6">
    <cfRule type="containsText" dxfId="2937" priority="18" operator="containsText" text="衰退">
      <formula>NOT(ISERROR(SEARCH("衰退",I6)))</formula>
    </cfRule>
    <cfRule type="containsText" dxfId="2936" priority="19" operator="containsText" text="成長">
      <formula>NOT(ISERROR(SEARCH("成長",I6)))</formula>
    </cfRule>
  </conditionalFormatting>
  <conditionalFormatting sqref="M9">
    <cfRule type="cellIs" dxfId="2935" priority="17" operator="lessThan">
      <formula>$I$9</formula>
    </cfRule>
  </conditionalFormatting>
  <conditionalFormatting sqref="M10">
    <cfRule type="cellIs" dxfId="2934" priority="16" operator="greaterThan">
      <formula>$I$9</formula>
    </cfRule>
  </conditionalFormatting>
  <conditionalFormatting sqref="M11">
    <cfRule type="cellIs" dxfId="293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932" priority="12" operator="lessThan">
      <formula>0</formula>
    </cfRule>
    <cfRule type="cellIs" dxfId="2931" priority="13" operator="greaterThan">
      <formula>0.5</formula>
    </cfRule>
  </conditionalFormatting>
  <conditionalFormatting sqref="N14">
    <cfRule type="cellIs" dxfId="293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929" priority="8" operator="lessThan">
      <formula>0.1</formula>
    </cfRule>
  </conditionalFormatting>
  <conditionalFormatting sqref="I14">
    <cfRule type="cellIs" dxfId="292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92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926" priority="1" operator="lessThan">
      <formula>$N$5*0.9</formula>
    </cfRule>
    <cfRule type="cellIs" dxfId="2925" priority="2" operator="greaterThan">
      <formula>$N$5*1.1</formula>
    </cfRule>
  </conditionalFormatting>
  <hyperlinks>
    <hyperlink ref="L1" location="儀表板!A1" display="(回首頁)" xr:uid="{00000000-0004-0000-4000-000000000000}"/>
  </hyperlink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3.78 ~ 5.88</v>
      </c>
      <c r="L1" s="83" t="s">
        <v>176</v>
      </c>
      <c r="M1" s="84" t="str">
        <f ca="1">VLOOKUP(_xlfn.NUMBERVALUE(N1),儀表板!A:B,2,FALSE)</f>
        <v>崇越</v>
      </c>
      <c r="N1" s="85" t="str">
        <f ca="1">MID(CELL("filename",L1),FIND("]",CELL("filename",L1))+1,255)</f>
        <v>5434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0.20076998172935959</v>
      </c>
    </row>
    <row r="3" spans="1:15" s="93" customFormat="1" x14ac:dyDescent="0.25">
      <c r="A3" s="81" t="s">
        <v>179</v>
      </c>
      <c r="B3" s="94">
        <f>SUM(F19:F22,F24:F27,J19)</f>
        <v>77.509156861013366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65.312110483855321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70.351625181683673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76.331849289773302</v>
      </c>
      <c r="L3" s="100"/>
      <c r="M3" s="79" t="s">
        <v>385</v>
      </c>
      <c r="N3" s="92">
        <f>(F69-E69)/E69</f>
        <v>-6.9511416011934848E-2</v>
      </c>
    </row>
    <row r="4" spans="1:15" s="93" customFormat="1" x14ac:dyDescent="0.25">
      <c r="A4" s="81" t="s">
        <v>182</v>
      </c>
      <c r="B4" s="96">
        <f>SUM(G36:G40)*2</f>
        <v>88</v>
      </c>
      <c r="C4" s="101"/>
      <c r="D4" s="102">
        <f>F4*(1+F141/10)</f>
        <v>16.600000000000001</v>
      </c>
      <c r="E4" s="82">
        <f>(D4-F4)/F4</f>
        <v>0</v>
      </c>
      <c r="F4" s="103">
        <v>16.600000000000001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6.8111764347926371</v>
      </c>
    </row>
    <row r="5" spans="1:15" s="93" customFormat="1" x14ac:dyDescent="0.25">
      <c r="A5" s="81" t="s">
        <v>184</v>
      </c>
      <c r="B5" s="107">
        <f>SUM(F30:F34)*2</f>
        <v>78.223943820224719</v>
      </c>
      <c r="C5" s="87"/>
      <c r="D5" s="87"/>
      <c r="E5" s="87"/>
      <c r="F5" s="86"/>
      <c r="G5" s="88"/>
      <c r="M5" s="79" t="s">
        <v>375</v>
      </c>
      <c r="N5" s="152">
        <f>D62</f>
        <v>6.68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7.1310140780724218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13.98</v>
      </c>
      <c r="N9" s="129"/>
    </row>
    <row r="10" spans="1:15" s="93" customFormat="1" x14ac:dyDescent="0.25">
      <c r="A10" s="123" t="s">
        <v>194</v>
      </c>
      <c r="B10" s="126">
        <f>PERCENTILE(176:176,B9)</f>
        <v>8.69</v>
      </c>
      <c r="C10" s="126">
        <f>PERCENTILE(176:176,C9)</f>
        <v>9.7199999999999989</v>
      </c>
      <c r="D10" s="126">
        <f>PERCENTILE(176:176,D9)</f>
        <v>10.47</v>
      </c>
      <c r="E10" s="126">
        <f>PERCENTILE(176:176,E9)</f>
        <v>11.36</v>
      </c>
      <c r="F10" s="126">
        <f>PERCENTILE(176:176,F9)</f>
        <v>11.82</v>
      </c>
      <c r="G10" s="95"/>
      <c r="H10" s="135"/>
      <c r="I10" s="135"/>
      <c r="J10" s="135"/>
      <c r="K10" s="135"/>
      <c r="L10" s="136" t="s">
        <v>374</v>
      </c>
      <c r="M10" s="130">
        <f>MIN(176:176)</f>
        <v>7.01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38.31</v>
      </c>
      <c r="L11" s="272" t="s">
        <v>193</v>
      </c>
      <c r="M11" s="128">
        <f>STDEV(176:176)</f>
        <v>1.7045503428257429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56.722689075630271</v>
      </c>
      <c r="C13" s="141">
        <f>$B$34/5.88%</f>
        <v>68.877551020408177</v>
      </c>
      <c r="D13" s="141">
        <f>$B$34/5%</f>
        <v>81.000000000000014</v>
      </c>
      <c r="E13" s="141">
        <f>$B$34/4.35%</f>
        <v>93.103448275862092</v>
      </c>
      <c r="F13" s="141">
        <f>$B$34/3.85%</f>
        <v>105.19480519480521</v>
      </c>
      <c r="G13" s="138" t="str">
        <f>"$"&amp;ROUND(B34,2)&amp;"/"&amp;IF(STDEV(C140:F140)/AVERAGE(C140:F140)&lt;15%,"高",IF(STDEV(C140:F140)/AVERAGE(C140:F140)&lt;30%,"中","低"))</f>
        <v>$4.05/中</v>
      </c>
      <c r="H13" s="142" t="s">
        <v>199</v>
      </c>
      <c r="I13" s="143">
        <f>MAX(0,1-J15)</f>
        <v>0.31693989071038253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52.205174999999997</v>
      </c>
      <c r="C14" s="141">
        <f>$B$33*C10</f>
        <v>58.392899999999997</v>
      </c>
      <c r="D14" s="141">
        <f>$B$33*D10</f>
        <v>62.898525000000006</v>
      </c>
      <c r="E14" s="141">
        <f>$B$33*E10</f>
        <v>68.245199999999997</v>
      </c>
      <c r="F14" s="141">
        <f>$B$33*F10</f>
        <v>71.008650000000003</v>
      </c>
      <c r="G14" s="138" t="str">
        <f>"$"&amp;ROUND(B33,2)&amp;"/"&amp;IF(STDEV(B69:E69)/AVERAGE(B69:E69)&lt;15%,"高",IF(STDEV(B69:E69)/AVERAGE(B69:E69)&lt;30%,"中","低"))</f>
        <v>$6.01/中</v>
      </c>
      <c r="H14" s="142" t="s">
        <v>203</v>
      </c>
      <c r="I14" s="145">
        <f>G62/100*I13</f>
        <v>5.5718032786885245E-2</v>
      </c>
      <c r="J14" s="76" t="s">
        <v>204</v>
      </c>
      <c r="K14" s="146"/>
      <c r="L14" s="147">
        <f>(HLOOKUP($C$1,$105:$106,2,FALSE)-HLOOKUP($C$1,$117:$127,9,FALSE))/(HLOOKUP($C$1,$117:$128,12,FALSE)/K11)</f>
        <v>9.8275899648857727</v>
      </c>
      <c r="M14" s="148">
        <f>E135/E69</f>
        <v>0.12841530054644806</v>
      </c>
      <c r="N14" s="149">
        <f>F173/100</f>
        <v>1.4396</v>
      </c>
    </row>
    <row r="15" spans="1:15" s="93" customFormat="1" x14ac:dyDescent="0.25">
      <c r="A15" s="140" t="s">
        <v>375</v>
      </c>
      <c r="B15" s="141">
        <f>$D$62*B10</f>
        <v>58.049199999999992</v>
      </c>
      <c r="C15" s="141">
        <f>$D$62*C10</f>
        <v>64.929599999999994</v>
      </c>
      <c r="D15" s="141">
        <f>$D$62*D10</f>
        <v>69.939599999999999</v>
      </c>
      <c r="E15" s="141">
        <f>$D$62*E10</f>
        <v>75.884799999999998</v>
      </c>
      <c r="F15" s="141">
        <f>$D$62*F10</f>
        <v>78.957599999999999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0.68306010928961747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59.189123218348016</v>
      </c>
      <c r="C16" s="141">
        <f>$F$69*C10</f>
        <v>66.204634946184427</v>
      </c>
      <c r="D16" s="141">
        <f>$F$69*D10</f>
        <v>71.313017272278913</v>
      </c>
      <c r="E16" s="141">
        <f>$F$69*E10</f>
        <v>77.374964299244354</v>
      </c>
      <c r="F16" s="141">
        <f>$F$69*F10</f>
        <v>80.508105459248966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1073</v>
      </c>
      <c r="J17" s="92">
        <f ca="1">IF(I17&lt;=0,"",IF(I17&lt;=MIN($B$13:$F$16),(I17-MIN($B$13:$F$16))/MIN($B$13:$F$16),IF(I17&gt;=MAX($B$13:$F$16),I17/MAX($B$13:$F$16),PERCENTRANK($B$13:$F$16,I17))))</f>
        <v>10.200123456790122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3.0250000000000004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13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0.74691358024691357</v>
      </c>
      <c r="C20" s="157" t="s">
        <v>217</v>
      </c>
      <c r="D20" s="236">
        <f>COUNTIF(C143:F143,"&gt;=80%")/COUNT(C143:F143)</f>
        <v>0.25</v>
      </c>
      <c r="E20" s="140" t="s">
        <v>218</v>
      </c>
      <c r="F20" s="159">
        <f>IF(B20&gt;=80%,2,0)+D20*8</f>
        <v>2</v>
      </c>
      <c r="G20" s="88" t="s">
        <v>213</v>
      </c>
      <c r="H20" s="123" t="s">
        <v>219</v>
      </c>
      <c r="I20" s="237">
        <f>HLOOKUP($C$1,$117:$127,11,FALSE)*(1-N22)/HLOOKUP($C$1,$105:$115,11,FALSE)</f>
        <v>0.28381951180596499</v>
      </c>
      <c r="J20" s="171">
        <f>HLOOKUP($C$1,$117:$127,11,FALSE)/HLOOKUP($C$1,$105:$115,11,FALSE)</f>
        <v>0.57969237710617016</v>
      </c>
      <c r="K20" s="163"/>
    </row>
    <row r="21" spans="1:14" s="93" customFormat="1" x14ac:dyDescent="0.25">
      <c r="A21" s="151" t="s">
        <v>201</v>
      </c>
      <c r="B21" s="161">
        <f>AVERAGE(C173:F173)/100</f>
        <v>1.0657249999999998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1.2613959353081794</v>
      </c>
      <c r="J21" s="78"/>
      <c r="K21" s="164" t="s">
        <v>356</v>
      </c>
      <c r="L21" s="165">
        <f>HLOOKUP($C$1,$105:$115,7,FALSE)/HLOOKUP($C$1,$105:$115,11,FALSE)</f>
        <v>0.66594550215239867</v>
      </c>
      <c r="M21" s="123" t="s">
        <v>268</v>
      </c>
      <c r="N21" s="165">
        <f>HLOOKUP($C$1,$117:$127,8,FALSE)/HLOOKUP($C$1,$117:$127,11,FALSE)</f>
        <v>0.91073006414816282</v>
      </c>
    </row>
    <row r="22" spans="1:14" s="93" customFormat="1" x14ac:dyDescent="0.25">
      <c r="A22" s="140" t="s">
        <v>222</v>
      </c>
      <c r="B22" s="161">
        <f>(-1)*SUM(C133:F133)/SUM(C132:F132)</f>
        <v>0.53407778205621881</v>
      </c>
      <c r="C22" s="157"/>
      <c r="D22" s="166"/>
      <c r="E22" s="140"/>
      <c r="F22" s="159">
        <f>IF(B22&lt;=0,10,IF(B22&gt;=100%,0,(1-B22)*10))</f>
        <v>4.6592221794378119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0.89205287326702698</v>
      </c>
      <c r="J22" s="78"/>
      <c r="K22" s="142" t="s">
        <v>357</v>
      </c>
      <c r="L22" s="165">
        <f>HLOOKUP($C$1,$105:$115,4,FALSE)/HLOOKUP($C$1,$105:$115,11,FALSE)</f>
        <v>0.2487351883903608</v>
      </c>
      <c r="M22" s="123" t="s">
        <v>353</v>
      </c>
      <c r="N22" s="165">
        <f>HLOOKUP($C$1,$117:$127,4,FALSE)/HLOOKUP($C$1,$117:$127,11,FALSE)</f>
        <v>0.51039633603119872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2.3792097633513567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0.19499218606361463</v>
      </c>
      <c r="M23" s="123" t="s">
        <v>354</v>
      </c>
      <c r="N23" s="165">
        <f>IF(HLOOKUP($C$1,$117:$127,5,FALSE)="無",0,HLOOKUP($C$1,$117:$127,5,FALSE))/HLOOKUP($C$1,$117:$127,11,FALSE)</f>
        <v>5.2762741113836671E-2</v>
      </c>
    </row>
    <row r="24" spans="1:14" s="93" customFormat="1" x14ac:dyDescent="0.25">
      <c r="A24" s="164" t="s">
        <v>228</v>
      </c>
      <c r="B24" s="127">
        <f>AVERAGE(C103:F103)</f>
        <v>0.99836054175965172</v>
      </c>
      <c r="C24" s="169">
        <f>STDEV(C103:F103)</f>
        <v>7.8139830296686317E-4</v>
      </c>
      <c r="D24" s="76" t="str">
        <f>IF(C24/B24&lt;15%,"高",IF(C24/B24&lt;30%,"中","低"))</f>
        <v>高</v>
      </c>
      <c r="E24" s="149"/>
      <c r="F24" s="160">
        <f>MIN(100%,B24)*5</f>
        <v>4.991802708798259</v>
      </c>
      <c r="G24" s="88" t="s">
        <v>229</v>
      </c>
      <c r="H24" s="123" t="s">
        <v>16</v>
      </c>
      <c r="I24" s="170">
        <f>HLOOKUP(C1,167:170,2,FALSE)</f>
        <v>56.25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1.3558090990357E-2</v>
      </c>
      <c r="M24" s="123" t="s">
        <v>355</v>
      </c>
      <c r="N24" s="165">
        <f>HLOOKUP($C$1,$117:$127,9,FALSE)/HLOOKUP($C$1,$117:$127,11,FALSE)</f>
        <v>8.9269935851837207E-2</v>
      </c>
    </row>
    <row r="25" spans="1:14" s="93" customFormat="1" x14ac:dyDescent="0.25">
      <c r="A25" s="151" t="s">
        <v>366</v>
      </c>
      <c r="B25" s="255">
        <f>AVERAGE(94:94)</f>
        <v>34071.434782608696</v>
      </c>
      <c r="C25" s="254">
        <f>STDEV(94:94)/AVERAGE(94:94)</f>
        <v>0.64186802722270597</v>
      </c>
      <c r="D25" s="76" t="str">
        <f>IF(C25&lt;=1,"高",IF(C25&lt;=2,"中","低"))</f>
        <v>高</v>
      </c>
      <c r="E25" s="149"/>
      <c r="F25" s="160">
        <f>MAX(0,10-ABS(C25))</f>
        <v>9.3581319727772936</v>
      </c>
      <c r="G25" s="88" t="s">
        <v>213</v>
      </c>
      <c r="H25" s="123" t="s">
        <v>232</v>
      </c>
      <c r="I25" s="170">
        <f>IF(HLOOKUP(C1,167:170,3,FALSE)="無",0,HLOOKUP(C1,167:170,3,FALSE))</f>
        <v>47.87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53.846086956521738</v>
      </c>
      <c r="C26" s="172">
        <f>IF(COUNTIF(168:168,"&gt;0")=0,0,STDEV(168:168))</f>
        <v>3.6284240745566296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37.200434782608689</v>
      </c>
      <c r="C27" s="172">
        <f>IF(COUNTIF(169:169,"&gt;0")=0,0,STDEV(169:169))</f>
        <v>4.8866250467809031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0.12567500000000001</v>
      </c>
      <c r="C30" s="157" t="s">
        <v>217</v>
      </c>
      <c r="D30" s="174">
        <f>COUNTIF(146:146,"&gt;20")/COUNT(146:146)</f>
        <v>0</v>
      </c>
      <c r="E30" s="140" t="s">
        <v>239</v>
      </c>
      <c r="F30" s="159">
        <f>MIN(B30/25%*10,10)</f>
        <v>5.0270000000000001</v>
      </c>
      <c r="G30" s="175"/>
      <c r="H30" s="176"/>
    </row>
    <row r="31" spans="1:14" x14ac:dyDescent="0.25">
      <c r="A31" s="164" t="s">
        <v>240</v>
      </c>
      <c r="B31" s="173">
        <f>AVERAGE(C155:F155)/100</f>
        <v>5.0625000000000003E-2</v>
      </c>
      <c r="C31" s="157" t="s">
        <v>217</v>
      </c>
      <c r="D31" s="174">
        <f>COUNTIF(149:149,"&gt;8")/COUNT(149:149)</f>
        <v>0</v>
      </c>
      <c r="E31" s="140" t="s">
        <v>241</v>
      </c>
      <c r="F31" s="159">
        <f>MIN(B31/10%*10,10)</f>
        <v>5.0625</v>
      </c>
      <c r="G31" s="175"/>
    </row>
    <row r="32" spans="1:14" x14ac:dyDescent="0.25">
      <c r="A32" s="155" t="s">
        <v>47</v>
      </c>
      <c r="B32" s="177">
        <f>AVERAGE(C165:F165)</f>
        <v>16.927500000000002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6.0075000000000003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4.0500000000000007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9.02247191011236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18838834</v>
      </c>
      <c r="C36" s="178">
        <f>STDEV(C97:F97)</f>
        <v>2930804.0121403546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12.567500000000001</v>
      </c>
      <c r="C37" s="180">
        <f>STDEV(C152:F152)</f>
        <v>0.40803390382009497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5.5974999999999993</v>
      </c>
      <c r="C38" s="180">
        <f>STDEV(C153:F153)</f>
        <v>0.394662302903803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16.927500000000002</v>
      </c>
      <c r="C39" s="181">
        <f>STDEV(C165:F165)</f>
        <v>1.7657363902915981</v>
      </c>
      <c r="D39" s="76" t="str">
        <f>IF(C39/B39&lt;15%,"高",IF(C39/B39&lt;30%,"中","低"))</f>
        <v>高</v>
      </c>
      <c r="E39" s="107">
        <f>IF(F165&gt;E165,1,0)+IF(E165&gt;D165,1,0)+IF(D165&gt;C165,1,0)</f>
        <v>3</v>
      </c>
      <c r="F39" s="182"/>
      <c r="G39" s="160">
        <f>IF(D39="高",6,IF(D39="中",4,2))+E39+1</f>
        <v>10</v>
      </c>
    </row>
    <row r="40" spans="1:14" x14ac:dyDescent="0.25">
      <c r="A40" s="164" t="s">
        <v>14</v>
      </c>
      <c r="B40" s="183">
        <f>AVERAGE(B69:E69)</f>
        <v>6.0075000000000003</v>
      </c>
      <c r="C40" s="183">
        <f>STDEV(B69:E69)</f>
        <v>0.92478375850790084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5.4347826086956444E-2</v>
      </c>
      <c r="C44" s="186">
        <f>(C46-C49)/C49</f>
        <v>-0.27717391304347827</v>
      </c>
      <c r="D44" s="186">
        <f>(D46-D49)/D49</f>
        <v>-0.13068181818181818</v>
      </c>
      <c r="E44" s="186">
        <f>(E46-E49)/E49</f>
        <v>0.26174496644295298</v>
      </c>
      <c r="G44" s="86" t="s">
        <v>175</v>
      </c>
      <c r="H44" s="186">
        <f>(H47-H50)/H50</f>
        <v>-3.6900369003688535E-3</v>
      </c>
      <c r="I44" s="186">
        <f>(I47-I50)/I50</f>
        <v>-0.29384615384615392</v>
      </c>
      <c r="J44" s="186">
        <f>(J47-J50)/J50</f>
        <v>-0.13175675675675688</v>
      </c>
      <c r="K44" s="186">
        <f>(K47-K50)/K50</f>
        <v>0.14206642066420674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1.94</v>
      </c>
      <c r="C46" s="152">
        <f>HLOOKUP(C45,$81:$82,2,FALSE)</f>
        <v>1.33</v>
      </c>
      <c r="D46" s="152">
        <f>HLOOKUP(D45,$81:$82,2,FALSE)</f>
        <v>1.53</v>
      </c>
      <c r="E46" s="152">
        <f>HLOOKUP(E45,$81:$82,2,FALSE)</f>
        <v>1.88</v>
      </c>
      <c r="G46" s="86" t="s">
        <v>164</v>
      </c>
      <c r="H46" s="145">
        <f>HLOOKUP(H45,$145:$147,2,FALSE)/100</f>
        <v>0.12689999999999999</v>
      </c>
      <c r="I46" s="145">
        <f>HLOOKUP(I45,$145:$147,2,FALSE)/100</f>
        <v>0.1207</v>
      </c>
      <c r="J46" s="145">
        <f>HLOOKUP(J45,$145:$147,2,FALSE)/100</f>
        <v>0.12560000000000002</v>
      </c>
      <c r="K46" s="145">
        <f>HLOOKUP(K45,$145:$147,2,FALSE)/100</f>
        <v>0.14000000000000001</v>
      </c>
    </row>
    <row r="47" spans="1:14" x14ac:dyDescent="0.25">
      <c r="A47" s="188" t="s">
        <v>165</v>
      </c>
      <c r="B47" s="189">
        <f>HLOOKUP(B45,$157:$159,3,FALSE)</f>
        <v>5.19</v>
      </c>
      <c r="C47" s="189">
        <f>HLOOKUP(C45,$157:$159,3,FALSE)</f>
        <v>3.49</v>
      </c>
      <c r="D47" s="189">
        <f>HLOOKUP(D45,$157:$159,3,FALSE)</f>
        <v>3.91</v>
      </c>
      <c r="E47" s="189">
        <f>HLOOKUP(E45,$157:$159,3,FALSE)</f>
        <v>4.99</v>
      </c>
      <c r="G47" s="190" t="s">
        <v>166</v>
      </c>
      <c r="H47" s="145">
        <f>HLOOKUP(H45,$145:$147,3,FALSE)/100</f>
        <v>5.4000000000000006E-2</v>
      </c>
      <c r="I47" s="145">
        <f>HLOOKUP(I45,$145:$147,3,FALSE)/100</f>
        <v>4.5899999999999996E-2</v>
      </c>
      <c r="J47" s="145">
        <f>HLOOKUP(J45,$145:$147,3,FALSE)/100</f>
        <v>5.1399999999999994E-2</v>
      </c>
      <c r="K47" s="145">
        <f>HLOOKUP(K45,$145:$147,3,FALSE)/100</f>
        <v>6.1900000000000004E-2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1.84</v>
      </c>
      <c r="C49" s="152">
        <f>HLOOKUP(C48,$81:$82,2,FALSE)</f>
        <v>1.84</v>
      </c>
      <c r="D49" s="152">
        <f>HLOOKUP(D48,$81:$82,2,FALSE)</f>
        <v>1.76</v>
      </c>
      <c r="E49" s="152">
        <f>HLOOKUP(E48,$81:$82,2,FALSE)</f>
        <v>1.49</v>
      </c>
      <c r="G49" s="86" t="s">
        <v>164</v>
      </c>
      <c r="H49" s="145">
        <f>HLOOKUP(H48,$145:$147,2,FALSE)/100</f>
        <v>0.12369999999999999</v>
      </c>
      <c r="I49" s="145">
        <f>HLOOKUP(I48,$145:$147,2,FALSE)/100</f>
        <v>0.12689999999999999</v>
      </c>
      <c r="J49" s="145">
        <f>HLOOKUP(J48,$145:$147,2,FALSE)/100</f>
        <v>0.12560000000000002</v>
      </c>
      <c r="K49" s="145">
        <f>HLOOKUP(K48,$145:$147,2,FALSE)/100</f>
        <v>0.12560000000000002</v>
      </c>
    </row>
    <row r="50" spans="1:15" x14ac:dyDescent="0.25">
      <c r="A50" s="188" t="s">
        <v>165</v>
      </c>
      <c r="B50" s="189">
        <f>HLOOKUP(B48,$157:$159,3,FALSE)</f>
        <v>5.09</v>
      </c>
      <c r="C50" s="189">
        <f>HLOOKUP(C48,$157:$159,3,FALSE)</f>
        <v>4.9800000000000004</v>
      </c>
      <c r="D50" s="189">
        <f>HLOOKUP(D48,$157:$159,3,FALSE)</f>
        <v>4.72</v>
      </c>
      <c r="E50" s="189">
        <f>HLOOKUP(E48,$157:$159,3,FALSE)</f>
        <v>4.18</v>
      </c>
      <c r="G50" s="190" t="s">
        <v>166</v>
      </c>
      <c r="H50" s="145">
        <f>HLOOKUP(H48,$145:$147,3,FALSE)/100</f>
        <v>5.4199999999999998E-2</v>
      </c>
      <c r="I50" s="145">
        <f>HLOOKUP(I48,$145:$147,3,FALSE)/100</f>
        <v>6.5000000000000002E-2</v>
      </c>
      <c r="J50" s="145">
        <f>HLOOKUP(J48,$145:$147,3,FALSE)/100</f>
        <v>5.9200000000000003E-2</v>
      </c>
      <c r="K50" s="145">
        <f>HLOOKUP(K48,$145:$147,3,FALSE)/100</f>
        <v>5.4199999999999998E-2</v>
      </c>
    </row>
    <row r="51" spans="1:15" x14ac:dyDescent="0.25">
      <c r="A51" s="86" t="s">
        <v>351</v>
      </c>
      <c r="B51" s="186">
        <f>(B47-B50)/B50</f>
        <v>1.964636542239696E-2</v>
      </c>
      <c r="C51" s="186">
        <f>(C47-C50)/C50</f>
        <v>-0.29919678714859438</v>
      </c>
      <c r="D51" s="186">
        <f>(D47-D50)/D50</f>
        <v>-0.17161016949152536</v>
      </c>
      <c r="E51" s="186">
        <f>(E47-E50)/E50</f>
        <v>0.19377990430622022</v>
      </c>
      <c r="G51" s="235" t="s">
        <v>174</v>
      </c>
      <c r="H51" s="186">
        <f>(H46-H49)/H49</f>
        <v>2.5869037995149512E-2</v>
      </c>
      <c r="I51" s="186">
        <f>(I46-I49)/I49</f>
        <v>-4.8857368006304053E-2</v>
      </c>
      <c r="J51" s="186">
        <f>(J46-J49)/J49</f>
        <v>0</v>
      </c>
      <c r="K51" s="186">
        <f>(K46-K49)/K49</f>
        <v>0.11464968152866237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7.1310140780724218</v>
      </c>
      <c r="B53" s="193">
        <f>B46</f>
        <v>1.94</v>
      </c>
      <c r="C53" s="193">
        <f>E46/HLOOKUP(E45,$87:$94,5,FALSE)*HLOOKUP(E45,$87:$94,4,FALSE)*($B$25/HLOOKUP(E45,$87:$94,4,FALSE)+SUM($B$57:$D$57)/SUM($B58:$D$58)*$G$69/100/K46)</f>
        <v>2.0111764347926369</v>
      </c>
      <c r="D53" s="193">
        <f>D46/HLOOKUP(D45,$87:$94,5,FALSE)*HLOOKUP(D45,$87:$94,4,FALSE)*($B$25/HLOOKUP(D45,$87:$94,4,FALSE)+SUM($B$57:$D$57)/SUM($B58:$D$58)*$G$69/100/J46)</f>
        <v>1.6932023157810436</v>
      </c>
      <c r="E53" s="193">
        <f>C46/HLOOKUP(C45,$87:$94,5,FALSE)*HLOOKUP(C45,$87:$94,4,FALSE)*($B$25/HLOOKUP(C45,$87:$94,4,FALSE)+SUM($B$57:$D$57)/SUM($B58:$D$58)*$G$69/100/I46)</f>
        <v>1.4866353274987414</v>
      </c>
    </row>
    <row r="54" spans="1:15" x14ac:dyDescent="0.25">
      <c r="A54" s="278">
        <f>SUM(B54:E54)</f>
        <v>6.58</v>
      </c>
      <c r="B54" s="277">
        <f t="shared" ref="B54:D54" si="0">HLOOKUP(B52-10,81:82,2,FALSE)</f>
        <v>1.84</v>
      </c>
      <c r="C54" s="277">
        <f t="shared" si="0"/>
        <v>1.88</v>
      </c>
      <c r="D54" s="277">
        <f t="shared" si="0"/>
        <v>1.53</v>
      </c>
      <c r="E54" s="277">
        <f>HLOOKUP(E52-10,81:82,2,FALSE)</f>
        <v>1.33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2061320</v>
      </c>
      <c r="C57" s="196">
        <f>HLOOKUP(C56,78:79,2,FALSE)</f>
        <v>2106302</v>
      </c>
      <c r="D57" s="196">
        <f>HLOOKUP(D56,78:79,2,FALSE)</f>
        <v>2043585</v>
      </c>
      <c r="E57" s="196">
        <f>HLOOKUP(E56,78:79,2,FALSE)</f>
        <v>1892687</v>
      </c>
      <c r="F57" s="196">
        <f>HLOOKUP(F56,78:79,2,FALSE)</f>
        <v>2018276</v>
      </c>
      <c r="G57" s="196">
        <f t="shared" ref="G57:M57" si="2">HLOOKUP(G56,78:79,2,FALSE)</f>
        <v>1932756</v>
      </c>
      <c r="H57" s="196">
        <f t="shared" si="2"/>
        <v>1876602</v>
      </c>
      <c r="I57" s="196">
        <f t="shared" si="2"/>
        <v>1857463</v>
      </c>
      <c r="J57" s="196">
        <f t="shared" si="2"/>
        <v>1816920</v>
      </c>
      <c r="K57" s="196">
        <f t="shared" si="2"/>
        <v>1897111</v>
      </c>
      <c r="L57" s="196">
        <f t="shared" si="2"/>
        <v>1726665</v>
      </c>
      <c r="M57" s="196">
        <f t="shared" si="2"/>
        <v>1976719</v>
      </c>
      <c r="N57" s="197"/>
    </row>
    <row r="58" spans="1:15" x14ac:dyDescent="0.25">
      <c r="A58" s="198" t="s">
        <v>253</v>
      </c>
      <c r="B58" s="196">
        <f>HLOOKUP(B56-100,78:79,2,FALSE)</f>
        <v>1763824</v>
      </c>
      <c r="C58" s="196">
        <f>HLOOKUP(C56-100,78:79,2,FALSE)</f>
        <v>1916547</v>
      </c>
      <c r="D58" s="196">
        <f>HLOOKUP(D56-100,78:79,2,FALSE)</f>
        <v>1845579</v>
      </c>
      <c r="E58" s="196">
        <f>HLOOKUP(E56-100,78:79,2,FALSE)</f>
        <v>1753698</v>
      </c>
      <c r="F58" s="196">
        <f>HLOOKUP(F56-100,78:79,2,FALSE)</f>
        <v>1909371</v>
      </c>
      <c r="G58" s="196">
        <f t="shared" ref="G58:M58" si="3">HLOOKUP(G56-100,78:79,2,FALSE)</f>
        <v>2013563</v>
      </c>
      <c r="H58" s="196">
        <f t="shared" si="3"/>
        <v>2216599</v>
      </c>
      <c r="I58" s="196">
        <f t="shared" si="3"/>
        <v>1812180</v>
      </c>
      <c r="J58" s="196">
        <f t="shared" si="3"/>
        <v>1643250</v>
      </c>
      <c r="K58" s="196">
        <f t="shared" si="3"/>
        <v>2048914</v>
      </c>
      <c r="L58" s="196">
        <f t="shared" si="3"/>
        <v>1724545</v>
      </c>
      <c r="M58" s="196">
        <f t="shared" si="3"/>
        <v>1597998</v>
      </c>
      <c r="N58" s="197"/>
    </row>
    <row r="59" spans="1:15" x14ac:dyDescent="0.25">
      <c r="A59" s="199" t="s">
        <v>254</v>
      </c>
      <c r="B59" s="165">
        <f>IF(B57&lt;&gt;"",(B57-B58)/B58,"")</f>
        <v>0.16866535436642205</v>
      </c>
      <c r="C59" s="165">
        <f>IF(C57&lt;&gt;"",(C57-C58)/C58,"")</f>
        <v>9.9008790287950149E-2</v>
      </c>
      <c r="D59" s="165">
        <f>IF(D57&lt;&gt;"",(D57-D58)/D58,"")</f>
        <v>0.10728665638263114</v>
      </c>
      <c r="E59" s="165">
        <f>IF(E57&lt;&gt;"",(E57-E58)/E58,"")</f>
        <v>7.9254808980793734E-2</v>
      </c>
      <c r="F59" s="165">
        <f>IF(F57&lt;&gt;"",(F57-F58)/F58,"")</f>
        <v>5.703710803191208E-2</v>
      </c>
      <c r="G59" s="165">
        <f t="shared" ref="G59:M59" si="4">IF(G57&lt;&gt;"",(G57-G58)/G58,"")</f>
        <v>-4.0131349255027031E-2</v>
      </c>
      <c r="H59" s="165">
        <f t="shared" si="4"/>
        <v>-0.15338678759667401</v>
      </c>
      <c r="I59" s="165">
        <f t="shared" si="4"/>
        <v>2.4988135836395944E-2</v>
      </c>
      <c r="J59" s="165">
        <f t="shared" si="4"/>
        <v>0.10568690095846646</v>
      </c>
      <c r="K59" s="165">
        <f t="shared" si="4"/>
        <v>-7.4089493263260434E-2</v>
      </c>
      <c r="L59" s="165">
        <f t="shared" si="4"/>
        <v>1.229309759965672E-3</v>
      </c>
      <c r="M59" s="165">
        <f t="shared" si="4"/>
        <v>0.23699716770609225</v>
      </c>
    </row>
    <row r="60" spans="1:15" x14ac:dyDescent="0.25">
      <c r="A60" s="195" t="s">
        <v>255</v>
      </c>
      <c r="B60" s="196">
        <f>SUM(B57:M57)</f>
        <v>23206406</v>
      </c>
    </row>
    <row r="61" spans="1:15" x14ac:dyDescent="0.25">
      <c r="A61" s="198" t="s">
        <v>256</v>
      </c>
      <c r="B61" s="196">
        <f>SUM(B58:M58)</f>
        <v>22246068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1.0431688871939078</v>
      </c>
      <c r="D62" s="152">
        <f>SUM(B46:E46)</f>
        <v>6.68</v>
      </c>
      <c r="E62" s="152">
        <f>SUM(B49:E49)</f>
        <v>6.9300000000000006</v>
      </c>
      <c r="G62" s="126">
        <f>SUM(B47:E47)</f>
        <v>17.579999999999998</v>
      </c>
      <c r="H62" s="126">
        <f>SUM(B50:E50)</f>
        <v>18.97</v>
      </c>
      <c r="J62" s="200">
        <f>AVERAGE(H46:K46)</f>
        <v>0.1283</v>
      </c>
      <c r="K62" s="200">
        <f>AVERAGE(H49:K49)</f>
        <v>0.12545000000000001</v>
      </c>
      <c r="M62" s="200">
        <f>AVERAGE(H47:K47)</f>
        <v>5.33E-2</v>
      </c>
      <c r="N62" s="200">
        <f>AVERAGE(H50:K50)</f>
        <v>5.815E-2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1.29</v>
      </c>
      <c r="C65" s="205">
        <f t="shared" si="5"/>
        <v>1.1499999999999999</v>
      </c>
      <c r="D65" s="205">
        <f t="shared" si="5"/>
        <v>1.38</v>
      </c>
      <c r="E65" s="205">
        <f t="shared" si="5"/>
        <v>1.76</v>
      </c>
      <c r="F65" s="206">
        <f>IF(ISNA(HLOOKUP(F$64*10+$A65,$81:$82,2,FALSE)),(HLOOKUP(E$64*10+$A65,$87:$94,4,FALSE)*$G65+$B$25)/HLOOKUP(E$64*10+$A65,$87:$94,5,FALSE)*$E65,HLOOKUP(F$64*10+$A65,$81:$82,2,FALSE))</f>
        <v>1.53</v>
      </c>
      <c r="G65" s="101">
        <f>MIN(130%,SUM($B$57:$D$57)/SUM($B$58:$D$58)*$G$69/HLOOKUP(E$64*10+$A65,$145:$146,2,FALSE))</f>
        <v>1.155369645378965</v>
      </c>
      <c r="H65" s="204">
        <v>1</v>
      </c>
      <c r="I65" s="208">
        <f t="shared" ref="I65:M68" si="6">IF(ISNA(HLOOKUP(I$64*10+$H65,$145:$147,3,FALSE)),"",HLOOKUP(I$64*10+$H65,$145:$147,3,FALSE)/100)</f>
        <v>5.7599999999999998E-2</v>
      </c>
      <c r="J65" s="208">
        <f t="shared" si="6"/>
        <v>4.9500000000000002E-2</v>
      </c>
      <c r="K65" s="208">
        <f t="shared" si="6"/>
        <v>5.5199999999999999E-2</v>
      </c>
      <c r="L65" s="208">
        <f t="shared" si="6"/>
        <v>5.9200000000000003E-2</v>
      </c>
      <c r="M65" s="209">
        <f t="shared" si="6"/>
        <v>5.1399999999999994E-2</v>
      </c>
      <c r="N65" s="256">
        <f t="shared" ref="N65:O68" si="7">HLOOKUP(E$64*10+$A65,$87:$94,8,FALSE)</f>
        <v>43590</v>
      </c>
      <c r="O65" s="256">
        <f t="shared" si="7"/>
        <v>43402</v>
      </c>
      <c r="P65" s="210"/>
    </row>
    <row r="66" spans="1:71" x14ac:dyDescent="0.25">
      <c r="A66" s="204">
        <v>2</v>
      </c>
      <c r="B66" s="205">
        <f t="shared" si="5"/>
        <v>1.5</v>
      </c>
      <c r="C66" s="205">
        <f t="shared" si="5"/>
        <v>1.41</v>
      </c>
      <c r="D66" s="205">
        <f t="shared" si="5"/>
        <v>1.49</v>
      </c>
      <c r="E66" s="205">
        <f t="shared" si="5"/>
        <v>1.84</v>
      </c>
      <c r="F66" s="206">
        <f>IF(ISNA(HLOOKUP(F$64*10+$A66,$81:$82,2,FALSE)),(HLOOKUP(E$64*10+$A66,$87:$94,4,FALSE)*$G66+$B$25)/HLOOKUP(E$64*10+$A66,$87:$94,5,FALSE)*$E66,HLOOKUP(F$64*10+$A66,$81:$82,2,FALSE))</f>
        <v>1.33</v>
      </c>
      <c r="G66" s="101">
        <f>MIN(130%,SUM($B$57:$D$57)/SUM($B$58:$D$58)*$G$69/HLOOKUP(E$64*10+$A66,$145:$146,2,FALSE))</f>
        <v>1.1435337073254375</v>
      </c>
      <c r="H66" s="204">
        <v>2</v>
      </c>
      <c r="I66" s="208">
        <f t="shared" si="6"/>
        <v>5.57E-2</v>
      </c>
      <c r="J66" s="208">
        <f t="shared" si="6"/>
        <v>5.0900000000000001E-2</v>
      </c>
      <c r="K66" s="208">
        <f t="shared" si="6"/>
        <v>4.9699999999999994E-2</v>
      </c>
      <c r="L66" s="208">
        <f t="shared" si="6"/>
        <v>6.5000000000000002E-2</v>
      </c>
      <c r="M66" s="209">
        <f t="shared" si="6"/>
        <v>4.5899999999999996E-2</v>
      </c>
      <c r="N66" s="256">
        <f t="shared" si="7"/>
        <v>33923</v>
      </c>
      <c r="O66" s="256">
        <f t="shared" si="7"/>
        <v>50688</v>
      </c>
      <c r="P66" s="210"/>
    </row>
    <row r="67" spans="1:71" x14ac:dyDescent="0.25">
      <c r="A67" s="204">
        <v>3</v>
      </c>
      <c r="B67" s="205">
        <f t="shared" si="5"/>
        <v>1.3</v>
      </c>
      <c r="C67" s="205">
        <f t="shared" si="5"/>
        <v>1.55</v>
      </c>
      <c r="D67" s="205">
        <f t="shared" si="5"/>
        <v>1.61</v>
      </c>
      <c r="E67" s="205">
        <f t="shared" si="5"/>
        <v>1.84</v>
      </c>
      <c r="F67" s="206">
        <f>IF(ISNA(HLOOKUP(F$64*10+$A67,$81:$82,2,FALSE)),(HLOOKUP(E$64*10+$A67,$87:$94,4,FALSE)*$G67+$B$25)/HLOOKUP(E$64*10+$A67,$87:$94,5,FALSE)*$E67,HLOOKUP(F$64*10+$A67,$81:$82,2,FALSE))</f>
        <v>1.94</v>
      </c>
      <c r="G67" s="101">
        <f>MIN(130%,SUM($B$57:$D$57)/SUM($B$58:$D$58)*$G$69/HLOOKUP(E$64*10+$A67,$145:$146,2,FALSE))</f>
        <v>1.1731158242489734</v>
      </c>
      <c r="H67" s="204">
        <v>3</v>
      </c>
      <c r="I67" s="208">
        <f t="shared" si="6"/>
        <v>5.7800000000000004E-2</v>
      </c>
      <c r="J67" s="208">
        <f t="shared" si="6"/>
        <v>5.0300000000000004E-2</v>
      </c>
      <c r="K67" s="208">
        <f t="shared" si="6"/>
        <v>6.480000000000001E-2</v>
      </c>
      <c r="L67" s="208">
        <f t="shared" si="6"/>
        <v>5.4199999999999998E-2</v>
      </c>
      <c r="M67" s="209">
        <f t="shared" si="6"/>
        <v>5.4000000000000006E-2</v>
      </c>
      <c r="N67" s="256">
        <f t="shared" si="7"/>
        <v>45896</v>
      </c>
      <c r="O67" s="256">
        <f t="shared" si="7"/>
        <v>81056</v>
      </c>
      <c r="P67" s="210"/>
    </row>
    <row r="68" spans="1:71" x14ac:dyDescent="0.25">
      <c r="A68" s="204">
        <v>4</v>
      </c>
      <c r="B68" s="205">
        <f>HLOOKUP(B$64*10+$A68,$81:$82,2,FALSE)</f>
        <v>1.1599999999999999</v>
      </c>
      <c r="C68" s="205">
        <f>HLOOKUP(C$64*10+$A68,$81:$82,2,FALSE)</f>
        <v>1.38</v>
      </c>
      <c r="D68" s="205">
        <f>HLOOKUP(D$64*10+$A68,$81:$82,2,FALSE)</f>
        <v>1.49</v>
      </c>
      <c r="E68" s="206">
        <f>IF(ISNA(HLOOKUP(E$64*10+$A68,$81:$82,2,FALSE)),D68*(1-$N68)*#REF!*(1+$B$25)/(1+$E$4),HLOOKUP(E$64*10+$A68,$81:$82,2,FALSE))</f>
        <v>1.88</v>
      </c>
      <c r="F68" s="206">
        <f>IF(ISNA(HLOOKUP(F$64*10+$A68,$81:$82,2,FALSE)),(HLOOKUP(E$64*10+$A68,$87:$94,4,FALSE)*$G68+$B$25)/HLOOKUP(E$64*10+$A68,$87:$94,5,FALSE)*$E68,HLOOKUP(F$64*10+$A68,$81:$82,2,FALSE))</f>
        <v>2.0111764347926369</v>
      </c>
      <c r="G68" s="101">
        <f>MIN(130%,SUM($B$57:$D$57)/SUM($B$58:$D$58)*$G$69/HLOOKUP(E$64*10+$A68,$145:$146,2,FALSE))</f>
        <v>1.0365316247114145</v>
      </c>
      <c r="H68" s="204">
        <v>4</v>
      </c>
      <c r="I68" s="208">
        <f t="shared" si="6"/>
        <v>5.6799999999999996E-2</v>
      </c>
      <c r="J68" s="208">
        <f t="shared" si="6"/>
        <v>5.1799999999999999E-2</v>
      </c>
      <c r="K68" s="208">
        <f t="shared" si="6"/>
        <v>5.4199999999999998E-2</v>
      </c>
      <c r="L68" s="208">
        <f t="shared" si="6"/>
        <v>6.1900000000000004E-2</v>
      </c>
      <c r="M68" s="209" t="str">
        <f t="shared" si="6"/>
        <v/>
      </c>
      <c r="N68" s="256">
        <f t="shared" si="7"/>
        <v>21329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5.25</v>
      </c>
      <c r="C69" s="213">
        <f>SUM(C65:C68)</f>
        <v>5.4899999999999993</v>
      </c>
      <c r="D69" s="213">
        <f>SUM(D65:D68)</f>
        <v>5.9700000000000006</v>
      </c>
      <c r="E69" s="213">
        <f>SUM(E65:E68)</f>
        <v>7.32</v>
      </c>
      <c r="F69" s="213">
        <f>SUM(F65:F68)</f>
        <v>6.8111764347926371</v>
      </c>
      <c r="G69" s="257">
        <f>_xlfn.FORECAST.ETS(23,B146:W146,{1,2,3,4,5,6,7,8,9,10,11,12,13,14,15,16,17,18,19,20,21,22})</f>
        <v>12.910454770230096</v>
      </c>
      <c r="H69" s="214" t="s">
        <v>19</v>
      </c>
      <c r="I69" s="215">
        <f>HLOOKUP(I64,151:155,3,FALSE)/100</f>
        <v>5.7000000000000002E-2</v>
      </c>
      <c r="J69" s="215">
        <f>HLOOKUP(J64,151:155,3,FALSE)/100</f>
        <v>5.0700000000000002E-2</v>
      </c>
      <c r="K69" s="215">
        <f>HLOOKUP(K64,151:155,3,FALSE)/100</f>
        <v>5.5999999999999994E-2</v>
      </c>
      <c r="L69" s="215">
        <f>IF(ISNA(HLOOKUP(L64,151:155,3,FALSE)/100),AVERAGE(L65:L68),HLOOKUP(L64,151:155,3,FALSE)/100)</f>
        <v>6.0199999999999997E-2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3.91</v>
      </c>
      <c r="C72" s="205">
        <f t="shared" si="8"/>
        <v>3.31</v>
      </c>
      <c r="D72" s="205">
        <f t="shared" si="8"/>
        <v>3.82</v>
      </c>
      <c r="E72" s="205">
        <f t="shared" si="8"/>
        <v>4.72</v>
      </c>
      <c r="F72" s="205">
        <f t="shared" si="8"/>
        <v>3.91</v>
      </c>
    </row>
    <row r="73" spans="1:71" s="135" customFormat="1" x14ac:dyDescent="0.25">
      <c r="A73" s="204">
        <v>2</v>
      </c>
      <c r="B73" s="205">
        <f t="shared" si="8"/>
        <v>4.6900000000000004</v>
      </c>
      <c r="C73" s="205">
        <f t="shared" si="8"/>
        <v>4.12</v>
      </c>
      <c r="D73" s="205">
        <f t="shared" si="8"/>
        <v>4.21</v>
      </c>
      <c r="E73" s="205">
        <f t="shared" si="8"/>
        <v>4.9800000000000004</v>
      </c>
      <c r="F73" s="205">
        <f t="shared" si="8"/>
        <v>3.49</v>
      </c>
    </row>
    <row r="74" spans="1:71" s="135" customFormat="1" x14ac:dyDescent="0.25">
      <c r="A74" s="204">
        <v>3</v>
      </c>
      <c r="B74" s="205">
        <f t="shared" si="8"/>
        <v>4.12</v>
      </c>
      <c r="C74" s="205">
        <f t="shared" si="8"/>
        <v>4.66</v>
      </c>
      <c r="D74" s="205">
        <f t="shared" si="8"/>
        <v>4.7</v>
      </c>
      <c r="E74" s="205">
        <f t="shared" si="8"/>
        <v>5.09</v>
      </c>
      <c r="F74" s="205">
        <f t="shared" si="8"/>
        <v>5.19</v>
      </c>
    </row>
    <row r="75" spans="1:71" s="135" customFormat="1" x14ac:dyDescent="0.25">
      <c r="A75" s="204">
        <v>4</v>
      </c>
      <c r="B75" s="205">
        <f t="shared" si="8"/>
        <v>3.45</v>
      </c>
      <c r="C75" s="205">
        <f t="shared" si="8"/>
        <v>3.99</v>
      </c>
      <c r="D75" s="205">
        <f t="shared" si="8"/>
        <v>4.18</v>
      </c>
      <c r="E75" s="205">
        <f t="shared" si="8"/>
        <v>4.99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16.170000000000002</v>
      </c>
      <c r="C76" s="213">
        <f>SUM(C72:C75)</f>
        <v>16.079999999999998</v>
      </c>
      <c r="D76" s="213">
        <f>SUM(D72:D75)</f>
        <v>16.91</v>
      </c>
      <c r="E76" s="213">
        <f>AVERAGE(E72:E75)*4</f>
        <v>19.78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1117103</v>
      </c>
      <c r="C79" s="270">
        <v>1197125</v>
      </c>
      <c r="D79" s="270">
        <v>1313782</v>
      </c>
      <c r="E79" s="270">
        <v>1441482</v>
      </c>
      <c r="F79" s="270">
        <v>1481552</v>
      </c>
      <c r="G79" s="270">
        <v>1491040</v>
      </c>
      <c r="H79" s="270">
        <v>1433089</v>
      </c>
      <c r="I79" s="270">
        <v>1455842</v>
      </c>
      <c r="J79" s="270">
        <v>1407981</v>
      </c>
      <c r="K79" s="270">
        <v>1262542</v>
      </c>
      <c r="L79" s="270">
        <v>1380505</v>
      </c>
      <c r="M79" s="270">
        <v>1270353</v>
      </c>
      <c r="N79" s="270">
        <v>1343184</v>
      </c>
      <c r="O79" s="270">
        <v>1219311</v>
      </c>
      <c r="P79" s="270">
        <v>1396667</v>
      </c>
      <c r="Q79" s="270">
        <v>1250491</v>
      </c>
      <c r="R79" s="270">
        <v>1387794</v>
      </c>
      <c r="S79" s="270">
        <v>1369521</v>
      </c>
      <c r="T79" s="270">
        <v>1369469</v>
      </c>
      <c r="U79" s="270">
        <v>1289536</v>
      </c>
      <c r="V79" s="270">
        <v>1236172</v>
      </c>
      <c r="W79" s="270">
        <v>1228340</v>
      </c>
      <c r="X79" s="270">
        <v>1137665</v>
      </c>
      <c r="Y79" s="270">
        <v>1285590</v>
      </c>
      <c r="Z79" s="270">
        <v>1392443</v>
      </c>
      <c r="AA79" s="270">
        <v>1220988</v>
      </c>
      <c r="AB79" s="270">
        <v>1379568</v>
      </c>
      <c r="AC79" s="270">
        <v>1581871</v>
      </c>
      <c r="AD79" s="270">
        <v>1571145</v>
      </c>
      <c r="AE79" s="270">
        <v>1574754</v>
      </c>
      <c r="AF79" s="270">
        <v>1658510</v>
      </c>
      <c r="AG79" s="270">
        <v>1540241</v>
      </c>
      <c r="AH79" s="270">
        <v>1580235</v>
      </c>
      <c r="AI79" s="270">
        <v>1555624</v>
      </c>
      <c r="AJ79" s="270">
        <v>1343473</v>
      </c>
      <c r="AK79" s="270">
        <v>1693527</v>
      </c>
      <c r="AL79" s="270">
        <v>1730521</v>
      </c>
      <c r="AM79" s="270">
        <v>1509119</v>
      </c>
      <c r="AN79" s="270">
        <v>1687241</v>
      </c>
      <c r="AO79" s="270">
        <v>1587811</v>
      </c>
      <c r="AP79" s="270">
        <v>1424279</v>
      </c>
      <c r="AQ79" s="270">
        <v>1515408</v>
      </c>
      <c r="AR79" s="270">
        <v>1504906</v>
      </c>
      <c r="AS79" s="270">
        <v>1537913</v>
      </c>
      <c r="AT79" s="270">
        <v>1651337</v>
      </c>
      <c r="AU79" s="270">
        <v>1600897</v>
      </c>
      <c r="AV79" s="270">
        <v>1597998</v>
      </c>
      <c r="AW79" s="270">
        <v>1724545</v>
      </c>
      <c r="AX79" s="270">
        <v>2048914</v>
      </c>
      <c r="AY79" s="270">
        <v>1643250</v>
      </c>
      <c r="AZ79" s="270">
        <v>1812180</v>
      </c>
      <c r="BA79" s="270">
        <v>2216599</v>
      </c>
      <c r="BB79" s="270">
        <v>2013563</v>
      </c>
      <c r="BC79" s="270">
        <v>1909371</v>
      </c>
      <c r="BD79" s="270">
        <v>1753698</v>
      </c>
      <c r="BE79" s="270">
        <v>1845579</v>
      </c>
      <c r="BF79" s="270">
        <v>1916547</v>
      </c>
      <c r="BG79" s="270">
        <v>1763824</v>
      </c>
      <c r="BH79" s="270">
        <v>1976719</v>
      </c>
      <c r="BI79" s="270">
        <v>1726665</v>
      </c>
      <c r="BJ79" s="270">
        <v>1897111</v>
      </c>
      <c r="BK79" s="270">
        <v>1816920</v>
      </c>
      <c r="BL79" s="270">
        <v>1857463</v>
      </c>
      <c r="BM79" s="270">
        <v>1876602</v>
      </c>
      <c r="BN79" s="270">
        <v>1932756</v>
      </c>
      <c r="BO79" s="270">
        <v>2018276</v>
      </c>
      <c r="BP79" s="270">
        <v>1892687</v>
      </c>
      <c r="BQ79" s="270">
        <v>2043585</v>
      </c>
      <c r="BR79" s="270">
        <v>2106302</v>
      </c>
      <c r="BS79" s="270">
        <v>2061320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1.29</v>
      </c>
      <c r="C82" s="72">
        <v>1.22</v>
      </c>
      <c r="D82" s="72">
        <v>1.69</v>
      </c>
      <c r="E82" s="72">
        <v>1.2</v>
      </c>
      <c r="F82" s="72">
        <v>1.29</v>
      </c>
      <c r="G82" s="72">
        <v>1.5</v>
      </c>
      <c r="H82" s="72">
        <v>1.3</v>
      </c>
      <c r="I82" s="72">
        <v>1.1599999999999999</v>
      </c>
      <c r="J82" s="72">
        <v>1.1499999999999999</v>
      </c>
      <c r="K82" s="72">
        <v>1.41</v>
      </c>
      <c r="L82" s="72">
        <v>1.55</v>
      </c>
      <c r="M82" s="72">
        <v>1.38</v>
      </c>
      <c r="N82" s="72">
        <v>1.38</v>
      </c>
      <c r="O82" s="72">
        <v>1.49</v>
      </c>
      <c r="P82" s="72">
        <v>1.61</v>
      </c>
      <c r="Q82" s="72">
        <v>1.49</v>
      </c>
      <c r="R82" s="72">
        <v>1.76</v>
      </c>
      <c r="S82" s="72">
        <v>1.84</v>
      </c>
      <c r="T82" s="72">
        <v>1.84</v>
      </c>
      <c r="U82" s="72">
        <v>1.88</v>
      </c>
      <c r="V82" s="72">
        <v>1.53</v>
      </c>
      <c r="W82" s="72">
        <v>1.33</v>
      </c>
      <c r="X82" s="72">
        <v>1.94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32.67</v>
      </c>
      <c r="C85" s="72">
        <v>29.61</v>
      </c>
      <c r="D85" s="72">
        <v>31.18</v>
      </c>
      <c r="E85" s="72">
        <v>32.46</v>
      </c>
      <c r="F85" s="72">
        <v>33.5</v>
      </c>
      <c r="G85" s="72">
        <v>31.37</v>
      </c>
      <c r="H85" s="72">
        <v>32.049999999999997</v>
      </c>
      <c r="I85" s="72">
        <v>33.94</v>
      </c>
      <c r="J85" s="72">
        <v>35.17</v>
      </c>
      <c r="K85" s="72">
        <v>32.96</v>
      </c>
      <c r="L85" s="72">
        <v>33.85</v>
      </c>
      <c r="M85" s="72">
        <v>35.22</v>
      </c>
      <c r="N85" s="72">
        <v>36.450000000000003</v>
      </c>
      <c r="O85" s="72">
        <v>34.19</v>
      </c>
      <c r="P85" s="72">
        <v>35</v>
      </c>
      <c r="Q85" s="72">
        <v>36.47</v>
      </c>
      <c r="R85" s="72">
        <v>38.130000000000003</v>
      </c>
      <c r="S85" s="72">
        <v>35.89</v>
      </c>
      <c r="T85" s="72">
        <v>36.81</v>
      </c>
      <c r="U85" s="72">
        <v>38.549999999999997</v>
      </c>
      <c r="V85" s="72">
        <v>39.76</v>
      </c>
      <c r="W85" s="72">
        <v>36.28</v>
      </c>
      <c r="X85" s="72">
        <v>38.31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3628014</v>
      </c>
      <c r="C88" s="273">
        <v>4431094</v>
      </c>
      <c r="D88" s="273">
        <v>4286576</v>
      </c>
      <c r="E88" s="273">
        <v>3939995</v>
      </c>
      <c r="F88" s="273">
        <v>3955705</v>
      </c>
      <c r="G88" s="273">
        <v>4010486</v>
      </c>
      <c r="H88" s="273">
        <v>3891828</v>
      </c>
      <c r="I88" s="273">
        <v>3696730</v>
      </c>
      <c r="J88" s="273">
        <v>3993038</v>
      </c>
      <c r="K88" s="273">
        <v>4727715</v>
      </c>
      <c r="L88" s="273">
        <v>4779113</v>
      </c>
      <c r="M88" s="273">
        <v>4592415</v>
      </c>
      <c r="N88" s="273">
        <v>4926879</v>
      </c>
      <c r="O88" s="273">
        <v>4527498</v>
      </c>
      <c r="P88" s="273">
        <v>4694157</v>
      </c>
      <c r="Q88" s="273">
        <v>4930336</v>
      </c>
      <c r="R88" s="273">
        <v>5504344</v>
      </c>
      <c r="S88" s="273">
        <v>6139534</v>
      </c>
      <c r="T88" s="273">
        <v>5515824</v>
      </c>
      <c r="U88" s="273">
        <v>5469734</v>
      </c>
      <c r="V88" s="273">
        <v>5571496</v>
      </c>
      <c r="W88" s="273">
        <v>5827612</v>
      </c>
      <c r="X88" s="273">
        <v>6042595</v>
      </c>
    </row>
    <row r="89" spans="1:25" ht="14.25" thickBot="1" x14ac:dyDescent="0.3">
      <c r="A89" s="250" t="s">
        <v>4</v>
      </c>
      <c r="B89" s="275">
        <v>434780</v>
      </c>
      <c r="C89" s="275">
        <v>483446</v>
      </c>
      <c r="D89" s="275">
        <v>523748</v>
      </c>
      <c r="E89" s="275">
        <v>485523</v>
      </c>
      <c r="F89" s="275">
        <v>499184</v>
      </c>
      <c r="G89" s="275">
        <v>502034</v>
      </c>
      <c r="H89" s="275">
        <v>500467</v>
      </c>
      <c r="I89" s="275">
        <v>461380</v>
      </c>
      <c r="J89" s="275">
        <v>495285</v>
      </c>
      <c r="K89" s="275">
        <v>551439</v>
      </c>
      <c r="L89" s="275">
        <v>564976</v>
      </c>
      <c r="M89" s="275">
        <v>555481</v>
      </c>
      <c r="N89" s="275">
        <v>598992</v>
      </c>
      <c r="O89" s="275">
        <v>569861</v>
      </c>
      <c r="P89" s="275">
        <v>648049</v>
      </c>
      <c r="Q89" s="275">
        <v>619453</v>
      </c>
      <c r="R89" s="275">
        <v>691170</v>
      </c>
      <c r="S89" s="275">
        <v>779358</v>
      </c>
      <c r="T89" s="275">
        <v>682294</v>
      </c>
      <c r="U89" s="275">
        <v>765612</v>
      </c>
      <c r="V89" s="275">
        <v>700048</v>
      </c>
      <c r="W89" s="275">
        <v>703634</v>
      </c>
      <c r="X89" s="275">
        <v>766660</v>
      </c>
    </row>
    <row r="90" spans="1:25" ht="14.25" thickBot="1" x14ac:dyDescent="0.3">
      <c r="A90" s="251" t="s">
        <v>5</v>
      </c>
      <c r="B90" s="273">
        <v>194395</v>
      </c>
      <c r="C90" s="273">
        <v>225131</v>
      </c>
      <c r="D90" s="273">
        <v>265197</v>
      </c>
      <c r="E90" s="273">
        <v>212987</v>
      </c>
      <c r="F90" s="273">
        <v>227922</v>
      </c>
      <c r="G90" s="273">
        <v>223205</v>
      </c>
      <c r="H90" s="273">
        <v>225018</v>
      </c>
      <c r="I90" s="273">
        <v>209800</v>
      </c>
      <c r="J90" s="273">
        <v>197679</v>
      </c>
      <c r="K90" s="273">
        <v>240492</v>
      </c>
      <c r="L90" s="273">
        <v>240447</v>
      </c>
      <c r="M90" s="273">
        <v>237938</v>
      </c>
      <c r="N90" s="273">
        <v>272107</v>
      </c>
      <c r="O90" s="273">
        <v>225119</v>
      </c>
      <c r="P90" s="273">
        <v>304156</v>
      </c>
      <c r="Q90" s="273">
        <v>267011</v>
      </c>
      <c r="R90" s="273">
        <v>325763</v>
      </c>
      <c r="S90" s="273">
        <v>398984</v>
      </c>
      <c r="T90" s="273">
        <v>298761</v>
      </c>
      <c r="U90" s="273">
        <v>338543</v>
      </c>
      <c r="V90" s="273">
        <v>286648</v>
      </c>
      <c r="W90" s="273">
        <v>267283</v>
      </c>
      <c r="X90" s="273">
        <v>326035</v>
      </c>
    </row>
    <row r="91" spans="1:25" ht="14.25" thickBot="1" x14ac:dyDescent="0.3">
      <c r="A91" s="250" t="s">
        <v>6</v>
      </c>
      <c r="B91" s="275">
        <v>215948</v>
      </c>
      <c r="C91" s="275">
        <v>256050</v>
      </c>
      <c r="D91" s="275">
        <v>302978</v>
      </c>
      <c r="E91" s="275">
        <v>213682</v>
      </c>
      <c r="F91" s="275">
        <v>230089</v>
      </c>
      <c r="G91" s="275">
        <v>285732</v>
      </c>
      <c r="H91" s="275">
        <v>242247</v>
      </c>
      <c r="I91" s="275">
        <v>220531</v>
      </c>
      <c r="J91" s="275">
        <v>216221</v>
      </c>
      <c r="K91" s="275">
        <v>272566</v>
      </c>
      <c r="L91" s="275">
        <v>288096</v>
      </c>
      <c r="M91" s="275">
        <v>274455</v>
      </c>
      <c r="N91" s="275">
        <v>278285</v>
      </c>
      <c r="O91" s="275">
        <v>305190</v>
      </c>
      <c r="P91" s="275">
        <v>322815</v>
      </c>
      <c r="Q91" s="275">
        <v>307478</v>
      </c>
      <c r="R91" s="275">
        <v>369353</v>
      </c>
      <c r="S91" s="275">
        <v>432907</v>
      </c>
      <c r="T91" s="275">
        <v>344657</v>
      </c>
      <c r="U91" s="275">
        <v>359872</v>
      </c>
      <c r="V91" s="275">
        <v>330050</v>
      </c>
      <c r="W91" s="275">
        <v>317971</v>
      </c>
      <c r="X91" s="275">
        <v>407091</v>
      </c>
    </row>
    <row r="92" spans="1:25" ht="14.25" thickBot="1" x14ac:dyDescent="0.3">
      <c r="A92" s="251" t="s">
        <v>7</v>
      </c>
      <c r="B92" s="273">
        <v>178022</v>
      </c>
      <c r="C92" s="273">
        <v>196542</v>
      </c>
      <c r="D92" s="273">
        <v>252153</v>
      </c>
      <c r="E92" s="273">
        <v>179422</v>
      </c>
      <c r="F92" s="273">
        <v>193088</v>
      </c>
      <c r="G92" s="273">
        <v>229152</v>
      </c>
      <c r="H92" s="273">
        <v>199686</v>
      </c>
      <c r="I92" s="273">
        <v>177183</v>
      </c>
      <c r="J92" s="273">
        <v>178715</v>
      </c>
      <c r="K92" s="273">
        <v>218948</v>
      </c>
      <c r="L92" s="273">
        <v>245323</v>
      </c>
      <c r="M92" s="273">
        <v>218927</v>
      </c>
      <c r="N92" s="273">
        <v>217881</v>
      </c>
      <c r="O92" s="273">
        <v>236438</v>
      </c>
      <c r="P92" s="273">
        <v>261938</v>
      </c>
      <c r="Q92" s="273">
        <v>243204</v>
      </c>
      <c r="R92" s="273">
        <v>286695</v>
      </c>
      <c r="S92" s="273">
        <v>300315</v>
      </c>
      <c r="T92" s="273">
        <v>304598</v>
      </c>
      <c r="U92" s="273">
        <v>312663</v>
      </c>
      <c r="V92" s="273">
        <v>254255</v>
      </c>
      <c r="W92" s="273">
        <v>220550</v>
      </c>
      <c r="X92" s="273">
        <v>321489</v>
      </c>
    </row>
    <row r="93" spans="1:25" ht="26.25" thickBot="1" x14ac:dyDescent="0.3">
      <c r="A93" s="252" t="s">
        <v>8</v>
      </c>
      <c r="B93" s="276">
        <v>191255</v>
      </c>
      <c r="C93" s="276">
        <v>182004</v>
      </c>
      <c r="D93" s="276">
        <v>251962</v>
      </c>
      <c r="E93" s="276">
        <v>179184</v>
      </c>
      <c r="F93" s="276">
        <v>192758</v>
      </c>
      <c r="G93" s="276">
        <v>228577</v>
      </c>
      <c r="H93" s="276">
        <v>199389</v>
      </c>
      <c r="I93" s="276">
        <v>176845</v>
      </c>
      <c r="J93" s="276">
        <v>178066</v>
      </c>
      <c r="K93" s="276">
        <v>218808</v>
      </c>
      <c r="L93" s="276">
        <v>244489</v>
      </c>
      <c r="M93" s="276">
        <v>218334</v>
      </c>
      <c r="N93" s="276">
        <v>217564</v>
      </c>
      <c r="O93" s="276">
        <v>235858</v>
      </c>
      <c r="P93" s="276">
        <v>261694</v>
      </c>
      <c r="Q93" s="276">
        <v>243105</v>
      </c>
      <c r="R93" s="276">
        <v>286512</v>
      </c>
      <c r="S93" s="276">
        <v>299890</v>
      </c>
      <c r="T93" s="276">
        <v>304651</v>
      </c>
      <c r="U93" s="276">
        <v>312294</v>
      </c>
      <c r="V93" s="276">
        <v>254113</v>
      </c>
      <c r="W93" s="276">
        <v>220194</v>
      </c>
      <c r="X93" s="276">
        <v>321045</v>
      </c>
    </row>
    <row r="94" spans="1:25" x14ac:dyDescent="0.25">
      <c r="A94" s="233" t="s">
        <v>365</v>
      </c>
      <c r="B94" s="253">
        <f>IF(B91="","",B91-B90)</f>
        <v>21553</v>
      </c>
      <c r="C94" s="253">
        <f>IF(C91="","",C91-C90)</f>
        <v>30919</v>
      </c>
      <c r="D94" s="253">
        <f t="shared" ref="D94:Y94" si="9">IF(D91="","",D91-D90)</f>
        <v>37781</v>
      </c>
      <c r="E94" s="253">
        <f t="shared" si="9"/>
        <v>695</v>
      </c>
      <c r="F94" s="253">
        <f t="shared" si="9"/>
        <v>2167</v>
      </c>
      <c r="G94" s="253">
        <f t="shared" si="9"/>
        <v>62527</v>
      </c>
      <c r="H94" s="253">
        <f t="shared" si="9"/>
        <v>17229</v>
      </c>
      <c r="I94" s="253">
        <f t="shared" si="9"/>
        <v>10731</v>
      </c>
      <c r="J94" s="253">
        <f t="shared" si="9"/>
        <v>18542</v>
      </c>
      <c r="K94" s="253">
        <f t="shared" si="9"/>
        <v>32074</v>
      </c>
      <c r="L94" s="253">
        <f t="shared" si="9"/>
        <v>47649</v>
      </c>
      <c r="M94" s="253">
        <f t="shared" si="9"/>
        <v>36517</v>
      </c>
      <c r="N94" s="253">
        <f t="shared" si="9"/>
        <v>6178</v>
      </c>
      <c r="O94" s="253">
        <f t="shared" si="9"/>
        <v>80071</v>
      </c>
      <c r="P94" s="253">
        <f t="shared" si="9"/>
        <v>18659</v>
      </c>
      <c r="Q94" s="253">
        <f t="shared" si="9"/>
        <v>40467</v>
      </c>
      <c r="R94" s="253">
        <f t="shared" si="9"/>
        <v>43590</v>
      </c>
      <c r="S94" s="253">
        <f t="shared" si="9"/>
        <v>33923</v>
      </c>
      <c r="T94" s="253">
        <f t="shared" si="9"/>
        <v>45896</v>
      </c>
      <c r="U94" s="253">
        <f t="shared" si="9"/>
        <v>21329</v>
      </c>
      <c r="V94" s="253">
        <f t="shared" si="9"/>
        <v>43402</v>
      </c>
      <c r="W94" s="253">
        <f t="shared" si="9"/>
        <v>50688</v>
      </c>
      <c r="X94" s="253">
        <f t="shared" si="9"/>
        <v>81056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16285679</v>
      </c>
      <c r="C97" s="273">
        <v>15554749</v>
      </c>
      <c r="D97" s="273">
        <v>18092281</v>
      </c>
      <c r="E97" s="273">
        <v>19078870</v>
      </c>
      <c r="F97" s="273">
        <v>22629436</v>
      </c>
    </row>
    <row r="98" spans="1:24" ht="14.25" thickBot="1" x14ac:dyDescent="0.3">
      <c r="A98" s="225" t="s">
        <v>4</v>
      </c>
      <c r="B98" s="275">
        <v>1927497</v>
      </c>
      <c r="C98" s="275">
        <v>1963065</v>
      </c>
      <c r="D98" s="275">
        <v>2167181</v>
      </c>
      <c r="E98" s="275">
        <v>2436355</v>
      </c>
      <c r="F98" s="275">
        <v>2918434</v>
      </c>
    </row>
    <row r="99" spans="1:24" ht="14.25" thickBot="1" x14ac:dyDescent="0.3">
      <c r="A99" s="224" t="s">
        <v>5</v>
      </c>
      <c r="B99" s="273">
        <v>897710</v>
      </c>
      <c r="C99" s="273">
        <v>885945</v>
      </c>
      <c r="D99" s="273">
        <v>916556</v>
      </c>
      <c r="E99" s="273">
        <v>1068393</v>
      </c>
      <c r="F99" s="273">
        <v>1362051</v>
      </c>
    </row>
    <row r="100" spans="1:24" ht="14.25" thickBot="1" x14ac:dyDescent="0.3">
      <c r="A100" s="225" t="s">
        <v>6</v>
      </c>
      <c r="B100" s="275">
        <v>988658</v>
      </c>
      <c r="C100" s="275">
        <v>978599</v>
      </c>
      <c r="D100" s="275">
        <v>1051338</v>
      </c>
      <c r="E100" s="275">
        <v>1213768</v>
      </c>
      <c r="F100" s="275">
        <v>1506789</v>
      </c>
    </row>
    <row r="101" spans="1:24" ht="14.25" thickBot="1" x14ac:dyDescent="0.3">
      <c r="A101" s="224" t="s">
        <v>7</v>
      </c>
      <c r="B101" s="273">
        <v>806139</v>
      </c>
      <c r="C101" s="273">
        <v>799109</v>
      </c>
      <c r="D101" s="273">
        <v>861913</v>
      </c>
      <c r="E101" s="273">
        <v>959461</v>
      </c>
      <c r="F101" s="273">
        <v>1204271</v>
      </c>
    </row>
    <row r="102" spans="1:24" ht="14.25" thickBot="1" x14ac:dyDescent="0.3">
      <c r="A102" s="227" t="s">
        <v>8</v>
      </c>
      <c r="B102" s="276">
        <v>804405</v>
      </c>
      <c r="C102" s="276">
        <v>797569</v>
      </c>
      <c r="D102" s="276">
        <v>859697</v>
      </c>
      <c r="E102" s="276">
        <v>958221</v>
      </c>
      <c r="F102" s="276">
        <v>1203347</v>
      </c>
    </row>
    <row r="103" spans="1:24" x14ac:dyDescent="0.25">
      <c r="A103" s="233" t="s">
        <v>262</v>
      </c>
      <c r="B103" s="234">
        <f>IF(OR(B102="",B102="無"),"",B102/B101)</f>
        <v>0.99784900618875905</v>
      </c>
      <c r="C103" s="234">
        <f>IF(OR(C102="",C102="無"),"",C102/C101)</f>
        <v>0.99807285364074239</v>
      </c>
      <c r="D103" s="234">
        <f>IF(OR(D102="",D102="無"),"",D102/D101)</f>
        <v>0.99742897485012993</v>
      </c>
      <c r="E103" s="234">
        <f>IF(OR(E102="",E102="無"),"",E102/E101)</f>
        <v>0.99870760770891154</v>
      </c>
      <c r="F103" s="234">
        <f>IF(OR(F102="",F102="無"),"",F102/F101)</f>
        <v>0.9992327308388228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1188987</v>
      </c>
      <c r="C106" s="273">
        <v>1218132</v>
      </c>
      <c r="D106" s="273">
        <v>1276247</v>
      </c>
      <c r="E106" s="273">
        <v>1267647</v>
      </c>
      <c r="F106" s="273">
        <v>1531584</v>
      </c>
      <c r="G106" s="273">
        <v>1387702</v>
      </c>
      <c r="H106" s="273">
        <v>1225806</v>
      </c>
      <c r="I106" s="273">
        <v>1338451</v>
      </c>
      <c r="J106" s="273">
        <v>1349338</v>
      </c>
      <c r="K106" s="273">
        <v>1683113</v>
      </c>
      <c r="L106" s="273">
        <v>1716217</v>
      </c>
      <c r="M106" s="273">
        <v>1427977</v>
      </c>
      <c r="N106" s="273">
        <v>1413799</v>
      </c>
      <c r="O106" s="273">
        <v>1524648</v>
      </c>
      <c r="P106" s="273">
        <v>1455474</v>
      </c>
      <c r="Q106" s="273">
        <v>1374472</v>
      </c>
      <c r="R106" s="273">
        <v>1574403</v>
      </c>
      <c r="S106" s="273">
        <v>2200438</v>
      </c>
      <c r="T106" s="273">
        <v>1730467</v>
      </c>
      <c r="U106" s="273">
        <v>1888016</v>
      </c>
      <c r="V106" s="273">
        <v>1875326</v>
      </c>
      <c r="W106" s="273">
        <v>2311263</v>
      </c>
      <c r="X106" s="273">
        <v>2416234</v>
      </c>
    </row>
    <row r="107" spans="1:24" ht="14.25" thickBot="1" x14ac:dyDescent="0.3">
      <c r="A107" s="225" t="s">
        <v>22</v>
      </c>
      <c r="B107" s="275">
        <v>1062940</v>
      </c>
      <c r="C107" s="275">
        <v>995176</v>
      </c>
      <c r="D107" s="275">
        <v>430413</v>
      </c>
      <c r="E107" s="275">
        <v>735328</v>
      </c>
      <c r="F107" s="275">
        <v>752636</v>
      </c>
      <c r="G107" s="275">
        <v>1079424</v>
      </c>
      <c r="H107" s="275">
        <v>733000</v>
      </c>
      <c r="I107" s="275">
        <v>902577</v>
      </c>
      <c r="J107" s="275">
        <v>794598</v>
      </c>
      <c r="K107" s="275">
        <v>893231</v>
      </c>
      <c r="L107" s="275">
        <v>483111</v>
      </c>
      <c r="M107" s="275">
        <v>553381</v>
      </c>
      <c r="N107" s="275">
        <v>767720</v>
      </c>
      <c r="O107" s="275">
        <v>620753</v>
      </c>
      <c r="P107" s="275">
        <v>391849</v>
      </c>
      <c r="Q107" s="275">
        <v>453356</v>
      </c>
      <c r="R107" s="275">
        <v>473233</v>
      </c>
      <c r="S107" s="275">
        <v>417238</v>
      </c>
      <c r="T107" s="275">
        <v>475935</v>
      </c>
      <c r="U107" s="275">
        <v>530242</v>
      </c>
      <c r="V107" s="275">
        <v>454296</v>
      </c>
      <c r="W107" s="275">
        <v>470263</v>
      </c>
      <c r="X107" s="275">
        <v>384130</v>
      </c>
    </row>
    <row r="108" spans="1:24" ht="14.25" thickBot="1" x14ac:dyDescent="0.3">
      <c r="A108" s="224" t="s">
        <v>263</v>
      </c>
      <c r="B108" s="273">
        <v>2122981</v>
      </c>
      <c r="C108" s="273">
        <v>2615433</v>
      </c>
      <c r="D108" s="273">
        <v>2492672</v>
      </c>
      <c r="E108" s="273">
        <v>2312888</v>
      </c>
      <c r="F108" s="273">
        <v>2424158</v>
      </c>
      <c r="G108" s="273">
        <v>2625836</v>
      </c>
      <c r="H108" s="273">
        <v>2475326</v>
      </c>
      <c r="I108" s="273">
        <v>2130664</v>
      </c>
      <c r="J108" s="273">
        <v>2381197</v>
      </c>
      <c r="K108" s="273">
        <v>2668498</v>
      </c>
      <c r="L108" s="273">
        <v>2524080</v>
      </c>
      <c r="M108" s="273">
        <v>2676700</v>
      </c>
      <c r="N108" s="273">
        <v>3000150</v>
      </c>
      <c r="O108" s="273">
        <v>3003266</v>
      </c>
      <c r="P108" s="273">
        <v>3266745</v>
      </c>
      <c r="Q108" s="273">
        <v>3076648</v>
      </c>
      <c r="R108" s="273">
        <v>3335418</v>
      </c>
      <c r="S108" s="273">
        <v>3634390</v>
      </c>
      <c r="T108" s="273">
        <v>3471122</v>
      </c>
      <c r="U108" s="273">
        <v>3136687</v>
      </c>
      <c r="V108" s="273">
        <v>3273882</v>
      </c>
      <c r="W108" s="273">
        <v>3778525</v>
      </c>
      <c r="X108" s="273">
        <v>3766392</v>
      </c>
    </row>
    <row r="109" spans="1:24" ht="14.25" thickBot="1" x14ac:dyDescent="0.3">
      <c r="A109" s="225" t="s">
        <v>264</v>
      </c>
      <c r="B109" s="275">
        <v>1389154</v>
      </c>
      <c r="C109" s="275">
        <v>1466121</v>
      </c>
      <c r="D109" s="275">
        <v>1413559</v>
      </c>
      <c r="E109" s="275">
        <v>1401102</v>
      </c>
      <c r="F109" s="275">
        <v>1388993</v>
      </c>
      <c r="G109" s="275">
        <v>1464061</v>
      </c>
      <c r="H109" s="275">
        <v>1358834</v>
      </c>
      <c r="I109" s="275">
        <v>1411329</v>
      </c>
      <c r="J109" s="275">
        <v>1322271</v>
      </c>
      <c r="K109" s="275">
        <v>1512204</v>
      </c>
      <c r="L109" s="275">
        <v>1481601</v>
      </c>
      <c r="M109" s="275">
        <v>1579802</v>
      </c>
      <c r="N109" s="275">
        <v>1563101</v>
      </c>
      <c r="O109" s="275">
        <v>1523295</v>
      </c>
      <c r="P109" s="275">
        <v>1570669</v>
      </c>
      <c r="Q109" s="275">
        <v>1773150</v>
      </c>
      <c r="R109" s="275">
        <v>2020268</v>
      </c>
      <c r="S109" s="275">
        <v>2072340</v>
      </c>
      <c r="T109" s="275">
        <v>2094992</v>
      </c>
      <c r="U109" s="275">
        <v>2591377</v>
      </c>
      <c r="V109" s="275">
        <v>2533396</v>
      </c>
      <c r="W109" s="275">
        <v>2662712</v>
      </c>
      <c r="X109" s="275">
        <v>2952606</v>
      </c>
    </row>
    <row r="110" spans="1:24" ht="14.25" thickBot="1" x14ac:dyDescent="0.3">
      <c r="A110" s="224" t="s">
        <v>23</v>
      </c>
      <c r="B110" s="273">
        <v>627049</v>
      </c>
      <c r="C110" s="273">
        <v>572819</v>
      </c>
      <c r="D110" s="273">
        <v>471001</v>
      </c>
      <c r="E110" s="273">
        <v>300581</v>
      </c>
      <c r="F110" s="273">
        <v>350252</v>
      </c>
      <c r="G110" s="273">
        <v>428997</v>
      </c>
      <c r="H110" s="273">
        <v>399026</v>
      </c>
      <c r="I110" s="273">
        <v>341893</v>
      </c>
      <c r="J110" s="273">
        <v>353648</v>
      </c>
      <c r="K110" s="273">
        <v>524607</v>
      </c>
      <c r="L110" s="273">
        <v>564597</v>
      </c>
      <c r="M110" s="273">
        <v>496574</v>
      </c>
      <c r="N110" s="273">
        <v>351099</v>
      </c>
      <c r="O110" s="273">
        <v>462435</v>
      </c>
      <c r="P110" s="273">
        <v>435225</v>
      </c>
      <c r="Q110" s="273">
        <v>498785</v>
      </c>
      <c r="R110" s="273">
        <v>569823</v>
      </c>
      <c r="S110" s="273">
        <v>340337</v>
      </c>
      <c r="T110" s="273">
        <v>344535</v>
      </c>
      <c r="U110" s="273">
        <v>464145</v>
      </c>
      <c r="V110" s="273">
        <v>422166</v>
      </c>
      <c r="W110" s="273">
        <v>559056</v>
      </c>
      <c r="X110" s="273">
        <v>564502</v>
      </c>
    </row>
    <row r="111" spans="1:24" ht="14.25" thickBot="1" x14ac:dyDescent="0.3">
      <c r="A111" s="225" t="s">
        <v>24</v>
      </c>
      <c r="B111" s="275">
        <v>6391111</v>
      </c>
      <c r="C111" s="275">
        <v>6867681</v>
      </c>
      <c r="D111" s="275">
        <v>6083892</v>
      </c>
      <c r="E111" s="275">
        <v>6017546</v>
      </c>
      <c r="F111" s="275">
        <v>6447623</v>
      </c>
      <c r="G111" s="275">
        <v>6986020</v>
      </c>
      <c r="H111" s="275">
        <v>6191992</v>
      </c>
      <c r="I111" s="275">
        <v>6124914</v>
      </c>
      <c r="J111" s="275">
        <v>6201052</v>
      </c>
      <c r="K111" s="275">
        <v>7281653</v>
      </c>
      <c r="L111" s="275">
        <v>6769606</v>
      </c>
      <c r="M111" s="275">
        <v>6734434</v>
      </c>
      <c r="N111" s="275">
        <v>7095869</v>
      </c>
      <c r="O111" s="275">
        <v>7134397</v>
      </c>
      <c r="P111" s="275">
        <v>7119962</v>
      </c>
      <c r="Q111" s="275">
        <v>7176411</v>
      </c>
      <c r="R111" s="275">
        <v>7973145</v>
      </c>
      <c r="S111" s="275">
        <v>8664743</v>
      </c>
      <c r="T111" s="275">
        <v>8117051</v>
      </c>
      <c r="U111" s="275">
        <v>8610467</v>
      </c>
      <c r="V111" s="275">
        <v>8559066</v>
      </c>
      <c r="W111" s="275">
        <v>9781819</v>
      </c>
      <c r="X111" s="275">
        <v>10083864</v>
      </c>
    </row>
    <row r="112" spans="1:24" ht="14.25" thickBot="1" x14ac:dyDescent="0.3">
      <c r="A112" s="224" t="s">
        <v>25</v>
      </c>
      <c r="B112" s="273">
        <v>1052391</v>
      </c>
      <c r="C112" s="273">
        <v>1246500</v>
      </c>
      <c r="D112" s="273">
        <v>1262341</v>
      </c>
      <c r="E112" s="273">
        <v>1279726</v>
      </c>
      <c r="F112" s="273">
        <v>1299198</v>
      </c>
      <c r="G112" s="273">
        <v>1190326</v>
      </c>
      <c r="H112" s="273">
        <v>1209588</v>
      </c>
      <c r="I112" s="273">
        <v>1333339</v>
      </c>
      <c r="J112" s="273">
        <v>1358430</v>
      </c>
      <c r="K112" s="273">
        <v>1295167</v>
      </c>
      <c r="L112" s="273">
        <v>1324894</v>
      </c>
      <c r="M112" s="273">
        <v>1352520</v>
      </c>
      <c r="N112" s="273">
        <v>1335013</v>
      </c>
      <c r="O112" s="273">
        <v>1272560</v>
      </c>
      <c r="P112" s="273">
        <v>1319893</v>
      </c>
      <c r="Q112" s="273">
        <v>1330319</v>
      </c>
      <c r="R112" s="273">
        <v>1349974</v>
      </c>
      <c r="S112" s="273">
        <v>1282413</v>
      </c>
      <c r="T112" s="273">
        <v>1315156</v>
      </c>
      <c r="U112" s="273">
        <v>1338169</v>
      </c>
      <c r="V112" s="273">
        <v>1374513</v>
      </c>
      <c r="W112" s="273">
        <v>1338180</v>
      </c>
      <c r="X112" s="273">
        <v>1474632</v>
      </c>
    </row>
    <row r="113" spans="1:24" ht="14.25" thickBot="1" x14ac:dyDescent="0.3">
      <c r="A113" s="225" t="s">
        <v>26</v>
      </c>
      <c r="B113" s="275">
        <v>734941</v>
      </c>
      <c r="C113" s="275">
        <v>728972</v>
      </c>
      <c r="D113" s="275">
        <v>1051613</v>
      </c>
      <c r="E113" s="275">
        <v>1218275</v>
      </c>
      <c r="F113" s="275">
        <v>1234009</v>
      </c>
      <c r="G113" s="275">
        <v>1328484</v>
      </c>
      <c r="H113" s="275">
        <v>1429638</v>
      </c>
      <c r="I113" s="275">
        <v>1479616</v>
      </c>
      <c r="J113" s="275">
        <v>1786447</v>
      </c>
      <c r="K113" s="275">
        <v>1812863</v>
      </c>
      <c r="L113" s="275">
        <v>1928654</v>
      </c>
      <c r="M113" s="275">
        <v>2112634</v>
      </c>
      <c r="N113" s="275">
        <v>2133253</v>
      </c>
      <c r="O113" s="275">
        <v>2449166</v>
      </c>
      <c r="P113" s="275">
        <v>2509635</v>
      </c>
      <c r="Q113" s="275">
        <v>2633068</v>
      </c>
      <c r="R113" s="275">
        <v>2742463</v>
      </c>
      <c r="S113" s="275">
        <v>2855397</v>
      </c>
      <c r="T113" s="275">
        <v>2928380</v>
      </c>
      <c r="U113" s="275">
        <v>3136166</v>
      </c>
      <c r="V113" s="275">
        <v>3224620</v>
      </c>
      <c r="W113" s="275">
        <v>3357531</v>
      </c>
      <c r="X113" s="275">
        <v>3378381</v>
      </c>
    </row>
    <row r="114" spans="1:24" ht="14.25" thickBot="1" x14ac:dyDescent="0.3">
      <c r="A114" s="224" t="s">
        <v>27</v>
      </c>
      <c r="B114" s="273">
        <v>107049</v>
      </c>
      <c r="C114" s="273">
        <v>115637</v>
      </c>
      <c r="D114" s="273">
        <v>118166</v>
      </c>
      <c r="E114" s="273">
        <v>113779</v>
      </c>
      <c r="F114" s="273">
        <v>187148</v>
      </c>
      <c r="G114" s="273">
        <v>181333</v>
      </c>
      <c r="H114" s="273">
        <v>174697</v>
      </c>
      <c r="I114" s="273">
        <v>221111</v>
      </c>
      <c r="J114" s="273">
        <v>183605</v>
      </c>
      <c r="K114" s="273">
        <v>174099</v>
      </c>
      <c r="L114" s="273">
        <v>166138</v>
      </c>
      <c r="M114" s="273">
        <v>168731</v>
      </c>
      <c r="N114" s="273">
        <v>103746</v>
      </c>
      <c r="O114" s="273">
        <v>110468</v>
      </c>
      <c r="P114" s="273">
        <v>107490</v>
      </c>
      <c r="Q114" s="273">
        <v>88477</v>
      </c>
      <c r="R114" s="273">
        <v>86946</v>
      </c>
      <c r="S114" s="273">
        <v>80873</v>
      </c>
      <c r="T114" s="273">
        <v>81792</v>
      </c>
      <c r="U114" s="273">
        <v>187580</v>
      </c>
      <c r="V114" s="273">
        <v>197590</v>
      </c>
      <c r="W114" s="273">
        <v>224522</v>
      </c>
      <c r="X114" s="273">
        <v>205299</v>
      </c>
    </row>
    <row r="115" spans="1:24" ht="14.25" thickBot="1" x14ac:dyDescent="0.3">
      <c r="A115" s="225" t="s">
        <v>265</v>
      </c>
      <c r="B115" s="276">
        <v>8285492</v>
      </c>
      <c r="C115" s="276">
        <v>8958790</v>
      </c>
      <c r="D115" s="276">
        <v>8516012</v>
      </c>
      <c r="E115" s="276">
        <v>8629326</v>
      </c>
      <c r="F115" s="276">
        <v>9167978</v>
      </c>
      <c r="G115" s="276">
        <v>9686163</v>
      </c>
      <c r="H115" s="276">
        <v>9005915</v>
      </c>
      <c r="I115" s="276">
        <v>9158980</v>
      </c>
      <c r="J115" s="276">
        <v>9529534</v>
      </c>
      <c r="K115" s="276">
        <v>10563782</v>
      </c>
      <c r="L115" s="276">
        <v>10189292</v>
      </c>
      <c r="M115" s="276">
        <v>10368319</v>
      </c>
      <c r="N115" s="276">
        <v>10667881</v>
      </c>
      <c r="O115" s="276">
        <v>10966591</v>
      </c>
      <c r="P115" s="276">
        <v>11056980</v>
      </c>
      <c r="Q115" s="276">
        <v>11228275</v>
      </c>
      <c r="R115" s="276">
        <v>12152528</v>
      </c>
      <c r="S115" s="276">
        <v>12883426</v>
      </c>
      <c r="T115" s="276">
        <v>12442379</v>
      </c>
      <c r="U115" s="276">
        <v>13272382</v>
      </c>
      <c r="V115" s="276">
        <v>13355789</v>
      </c>
      <c r="W115" s="276">
        <v>14702052</v>
      </c>
      <c r="X115" s="276">
        <v>15142176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273">
        <v>59467</v>
      </c>
      <c r="D118" s="273">
        <v>79782</v>
      </c>
      <c r="E118" s="273">
        <v>116660</v>
      </c>
      <c r="F118" s="273">
        <v>150641</v>
      </c>
      <c r="G118" s="273">
        <v>201093</v>
      </c>
      <c r="H118" s="273">
        <v>315090</v>
      </c>
      <c r="I118" s="273">
        <v>188177</v>
      </c>
      <c r="J118" s="273">
        <v>249797</v>
      </c>
      <c r="K118" s="273">
        <v>142670</v>
      </c>
      <c r="L118" s="273">
        <v>154960</v>
      </c>
      <c r="M118" s="273">
        <v>281560</v>
      </c>
      <c r="N118" s="273">
        <v>269965</v>
      </c>
      <c r="O118" s="273">
        <v>270898</v>
      </c>
      <c r="P118" s="273">
        <v>562845</v>
      </c>
      <c r="Q118" s="273">
        <v>570276</v>
      </c>
      <c r="R118" s="273">
        <v>687138</v>
      </c>
      <c r="S118" s="273">
        <v>223847</v>
      </c>
      <c r="T118" s="273">
        <v>386538</v>
      </c>
      <c r="U118" s="273">
        <v>587281</v>
      </c>
      <c r="V118" s="273">
        <v>583154</v>
      </c>
      <c r="W118" s="273">
        <v>943687</v>
      </c>
      <c r="X118" s="273">
        <v>1522828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2543184</v>
      </c>
      <c r="C120" s="273">
        <v>3154244</v>
      </c>
      <c r="D120" s="273">
        <v>2826153</v>
      </c>
      <c r="E120" s="273">
        <v>2756110</v>
      </c>
      <c r="F120" s="273">
        <v>2868510</v>
      </c>
      <c r="G120" s="273">
        <v>3030736</v>
      </c>
      <c r="H120" s="273">
        <v>2584512</v>
      </c>
      <c r="I120" s="273">
        <v>2533555</v>
      </c>
      <c r="J120" s="273">
        <v>2698704</v>
      </c>
      <c r="K120" s="273">
        <v>3387745</v>
      </c>
      <c r="L120" s="273">
        <v>3406546</v>
      </c>
      <c r="M120" s="273">
        <v>3279544</v>
      </c>
      <c r="N120" s="273">
        <v>3235749</v>
      </c>
      <c r="O120" s="273">
        <v>3333420</v>
      </c>
      <c r="P120" s="273">
        <v>3409461</v>
      </c>
      <c r="Q120" s="273">
        <v>3391771</v>
      </c>
      <c r="R120" s="273">
        <v>3745515</v>
      </c>
      <c r="S120" s="273">
        <v>4248469</v>
      </c>
      <c r="T120" s="273">
        <v>3868298</v>
      </c>
      <c r="U120" s="273">
        <v>4013070</v>
      </c>
      <c r="V120" s="273">
        <v>3831460</v>
      </c>
      <c r="W120" s="273">
        <v>4215641</v>
      </c>
      <c r="X120" s="273">
        <v>4480159</v>
      </c>
    </row>
    <row r="121" spans="1:24" ht="14.25" thickBot="1" x14ac:dyDescent="0.3">
      <c r="A121" s="225" t="s">
        <v>267</v>
      </c>
      <c r="B121" s="275">
        <v>190034</v>
      </c>
      <c r="C121" s="275">
        <v>161630</v>
      </c>
      <c r="D121" s="275">
        <v>410759</v>
      </c>
      <c r="E121" s="275">
        <v>214768</v>
      </c>
      <c r="F121" s="275">
        <v>348967</v>
      </c>
      <c r="G121" s="275">
        <v>361489</v>
      </c>
      <c r="H121" s="275">
        <v>325425</v>
      </c>
      <c r="I121" s="275">
        <v>299651</v>
      </c>
      <c r="J121" s="275">
        <v>256818</v>
      </c>
      <c r="K121" s="275">
        <v>274759</v>
      </c>
      <c r="L121" s="275">
        <v>272659</v>
      </c>
      <c r="M121" s="275">
        <v>151819</v>
      </c>
      <c r="N121" s="275">
        <v>143439</v>
      </c>
      <c r="O121" s="275">
        <v>103286</v>
      </c>
      <c r="P121" s="275">
        <v>147374</v>
      </c>
      <c r="Q121" s="275">
        <v>107223</v>
      </c>
      <c r="R121" s="275">
        <v>155041</v>
      </c>
      <c r="S121" s="275">
        <v>276071</v>
      </c>
      <c r="T121" s="275">
        <v>439232</v>
      </c>
      <c r="U121" s="275">
        <v>179143</v>
      </c>
      <c r="V121" s="275">
        <v>215833</v>
      </c>
      <c r="W121" s="275">
        <v>195273</v>
      </c>
      <c r="X121" s="275">
        <v>463141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465</v>
      </c>
      <c r="E122" s="273">
        <v>8133</v>
      </c>
      <c r="F122" s="273">
        <v>8370</v>
      </c>
      <c r="G122" s="273">
        <v>8763</v>
      </c>
      <c r="H122" s="273">
        <v>20901</v>
      </c>
      <c r="I122" s="273">
        <v>20776</v>
      </c>
      <c r="J122" s="273">
        <v>17329</v>
      </c>
      <c r="K122" s="273">
        <v>26674</v>
      </c>
      <c r="L122" s="273">
        <v>26676</v>
      </c>
      <c r="M122" s="273">
        <v>25536</v>
      </c>
      <c r="N122" s="273">
        <v>40414</v>
      </c>
      <c r="O122" s="273">
        <v>40456</v>
      </c>
      <c r="P122" s="273">
        <v>45106</v>
      </c>
      <c r="Q122" s="273">
        <v>40518</v>
      </c>
      <c r="R122" s="273">
        <v>40647</v>
      </c>
      <c r="S122" s="273">
        <v>40660</v>
      </c>
      <c r="T122" s="273">
        <v>44336</v>
      </c>
      <c r="U122" s="273">
        <v>44336</v>
      </c>
      <c r="V122" s="273">
        <v>44336</v>
      </c>
      <c r="W122" s="273">
        <v>44336</v>
      </c>
      <c r="X122" s="273">
        <v>47589</v>
      </c>
    </row>
    <row r="123" spans="1:24" ht="14.25" thickBot="1" x14ac:dyDescent="0.3">
      <c r="A123" s="225" t="s">
        <v>31</v>
      </c>
      <c r="B123" s="275">
        <v>510892</v>
      </c>
      <c r="C123" s="275">
        <v>1101166</v>
      </c>
      <c r="D123" s="275">
        <v>451436</v>
      </c>
      <c r="E123" s="275">
        <v>500704</v>
      </c>
      <c r="F123" s="275">
        <v>493810</v>
      </c>
      <c r="G123" s="275">
        <v>1091185</v>
      </c>
      <c r="H123" s="275">
        <v>476028</v>
      </c>
      <c r="I123" s="275">
        <v>473370</v>
      </c>
      <c r="J123" s="275">
        <v>452928</v>
      </c>
      <c r="K123" s="275">
        <v>1084672</v>
      </c>
      <c r="L123" s="275">
        <v>454039</v>
      </c>
      <c r="M123" s="275">
        <v>503252</v>
      </c>
      <c r="N123" s="275">
        <v>535268</v>
      </c>
      <c r="O123" s="275">
        <v>1149004</v>
      </c>
      <c r="P123" s="275">
        <v>581408</v>
      </c>
      <c r="Q123" s="275">
        <v>536464</v>
      </c>
      <c r="R123" s="275">
        <v>682919</v>
      </c>
      <c r="S123" s="275">
        <v>1636913</v>
      </c>
      <c r="T123" s="275">
        <v>872645</v>
      </c>
      <c r="U123" s="275">
        <v>1260525</v>
      </c>
      <c r="V123" s="275">
        <v>1316038</v>
      </c>
      <c r="W123" s="275">
        <v>2523471</v>
      </c>
      <c r="X123" s="275">
        <v>1480493</v>
      </c>
    </row>
    <row r="124" spans="1:24" ht="14.25" thickBot="1" x14ac:dyDescent="0.3">
      <c r="A124" s="224" t="s">
        <v>268</v>
      </c>
      <c r="B124" s="273">
        <v>3244110</v>
      </c>
      <c r="C124" s="273">
        <v>4476507</v>
      </c>
      <c r="D124" s="273">
        <v>3768595</v>
      </c>
      <c r="E124" s="273">
        <v>3596375</v>
      </c>
      <c r="F124" s="273">
        <v>3870298</v>
      </c>
      <c r="G124" s="273">
        <v>4693266</v>
      </c>
      <c r="H124" s="273">
        <v>3721956</v>
      </c>
      <c r="I124" s="273">
        <v>3515529</v>
      </c>
      <c r="J124" s="273">
        <v>3675576</v>
      </c>
      <c r="K124" s="273">
        <v>4916520</v>
      </c>
      <c r="L124" s="273">
        <v>4314880</v>
      </c>
      <c r="M124" s="273">
        <v>4241711</v>
      </c>
      <c r="N124" s="273">
        <v>4224835</v>
      </c>
      <c r="O124" s="273">
        <v>4897064</v>
      </c>
      <c r="P124" s="273">
        <v>4746194</v>
      </c>
      <c r="Q124" s="273">
        <v>4646252</v>
      </c>
      <c r="R124" s="273">
        <v>5311260</v>
      </c>
      <c r="S124" s="273">
        <v>6425960</v>
      </c>
      <c r="T124" s="273">
        <v>5611049</v>
      </c>
      <c r="U124" s="273">
        <v>6084355</v>
      </c>
      <c r="V124" s="273">
        <v>5990821</v>
      </c>
      <c r="W124" s="273">
        <v>7922408</v>
      </c>
      <c r="X124" s="273">
        <v>7994210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5">
        <v>29535</v>
      </c>
      <c r="E125" s="275">
        <v>121867</v>
      </c>
      <c r="F125" s="275">
        <v>260778</v>
      </c>
      <c r="G125" s="275">
        <v>252347</v>
      </c>
      <c r="H125" s="275">
        <v>319272</v>
      </c>
      <c r="I125" s="275">
        <v>346079</v>
      </c>
      <c r="J125" s="275">
        <v>363986</v>
      </c>
      <c r="K125" s="275">
        <v>500629</v>
      </c>
      <c r="L125" s="275">
        <v>490259</v>
      </c>
      <c r="M125" s="275">
        <v>525382</v>
      </c>
      <c r="N125" s="275">
        <v>647938</v>
      </c>
      <c r="O125" s="275">
        <v>632394</v>
      </c>
      <c r="P125" s="275">
        <v>609392</v>
      </c>
      <c r="Q125" s="275">
        <v>640442</v>
      </c>
      <c r="R125" s="275">
        <v>630464</v>
      </c>
      <c r="S125" s="275">
        <v>611611</v>
      </c>
      <c r="T125" s="275">
        <v>716460</v>
      </c>
      <c r="U125" s="275">
        <v>783150</v>
      </c>
      <c r="V125" s="275">
        <v>758367</v>
      </c>
      <c r="W125" s="275">
        <v>751491</v>
      </c>
      <c r="X125" s="275">
        <v>783594</v>
      </c>
    </row>
    <row r="126" spans="1:24" ht="14.25" thickBot="1" x14ac:dyDescent="0.3">
      <c r="A126" s="224" t="s">
        <v>33</v>
      </c>
      <c r="B126" s="273">
        <v>133978</v>
      </c>
      <c r="C126" s="273">
        <v>60994</v>
      </c>
      <c r="D126" s="273">
        <v>62030</v>
      </c>
      <c r="E126" s="273">
        <v>64572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3378088</v>
      </c>
      <c r="C127" s="275">
        <v>4537501</v>
      </c>
      <c r="D127" s="275">
        <v>3860160</v>
      </c>
      <c r="E127" s="275">
        <v>3782814</v>
      </c>
      <c r="F127" s="275">
        <v>4131076</v>
      </c>
      <c r="G127" s="275">
        <v>4945613</v>
      </c>
      <c r="H127" s="275">
        <v>4041228</v>
      </c>
      <c r="I127" s="275">
        <v>3861608</v>
      </c>
      <c r="J127" s="275">
        <v>4039562</v>
      </c>
      <c r="K127" s="275">
        <v>5417149</v>
      </c>
      <c r="L127" s="275">
        <v>4805139</v>
      </c>
      <c r="M127" s="275">
        <v>4767093</v>
      </c>
      <c r="N127" s="275">
        <v>4872773</v>
      </c>
      <c r="O127" s="275">
        <v>5529458</v>
      </c>
      <c r="P127" s="275">
        <v>5355586</v>
      </c>
      <c r="Q127" s="275">
        <v>5286694</v>
      </c>
      <c r="R127" s="275">
        <v>5941724</v>
      </c>
      <c r="S127" s="275">
        <v>7037571</v>
      </c>
      <c r="T127" s="275">
        <v>6327509</v>
      </c>
      <c r="U127" s="275">
        <v>6867505</v>
      </c>
      <c r="V127" s="275">
        <v>6749188</v>
      </c>
      <c r="W127" s="275">
        <v>8673899</v>
      </c>
      <c r="X127" s="275">
        <v>8777804</v>
      </c>
    </row>
    <row r="128" spans="1:24" ht="14.25" thickBot="1" x14ac:dyDescent="0.3">
      <c r="A128" s="224" t="s">
        <v>34</v>
      </c>
      <c r="B128" s="273">
        <v>4907404</v>
      </c>
      <c r="C128" s="273">
        <v>4421289</v>
      </c>
      <c r="D128" s="273">
        <v>4655852</v>
      </c>
      <c r="E128" s="273">
        <v>4846512</v>
      </c>
      <c r="F128" s="273">
        <v>5036902</v>
      </c>
      <c r="G128" s="273">
        <v>4740550</v>
      </c>
      <c r="H128" s="273">
        <v>4964687</v>
      </c>
      <c r="I128" s="273">
        <v>5297372</v>
      </c>
      <c r="J128" s="273">
        <v>5489972</v>
      </c>
      <c r="K128" s="273">
        <v>5146633</v>
      </c>
      <c r="L128" s="273">
        <v>5384153</v>
      </c>
      <c r="M128" s="273">
        <v>5601226</v>
      </c>
      <c r="N128" s="273">
        <v>5795108</v>
      </c>
      <c r="O128" s="273">
        <v>5437133</v>
      </c>
      <c r="P128" s="273">
        <v>5701394</v>
      </c>
      <c r="Q128" s="273">
        <v>5941581</v>
      </c>
      <c r="R128" s="273">
        <v>6210804</v>
      </c>
      <c r="S128" s="273">
        <v>5845855</v>
      </c>
      <c r="T128" s="273">
        <v>6114870</v>
      </c>
      <c r="U128" s="273">
        <v>6404877</v>
      </c>
      <c r="V128" s="273">
        <v>6606601</v>
      </c>
      <c r="W128" s="273">
        <v>6028153</v>
      </c>
      <c r="X128" s="273">
        <v>6364372</v>
      </c>
    </row>
    <row r="129" spans="1:24" ht="14.25" thickBot="1" x14ac:dyDescent="0.3">
      <c r="A129" s="225" t="s">
        <v>35</v>
      </c>
      <c r="B129" s="276">
        <v>8285492</v>
      </c>
      <c r="C129" s="276">
        <v>8958790</v>
      </c>
      <c r="D129" s="276">
        <v>8516012</v>
      </c>
      <c r="E129" s="276">
        <v>8629326</v>
      </c>
      <c r="F129" s="276">
        <v>9167978</v>
      </c>
      <c r="G129" s="276">
        <v>9686163</v>
      </c>
      <c r="H129" s="276">
        <v>9005915</v>
      </c>
      <c r="I129" s="276">
        <v>9158980</v>
      </c>
      <c r="J129" s="276">
        <v>9529534</v>
      </c>
      <c r="K129" s="276">
        <v>10563782</v>
      </c>
      <c r="L129" s="276">
        <v>10189292</v>
      </c>
      <c r="M129" s="276">
        <v>10368319</v>
      </c>
      <c r="N129" s="276">
        <v>10667881</v>
      </c>
      <c r="O129" s="276">
        <v>10966591</v>
      </c>
      <c r="P129" s="276">
        <v>11056980</v>
      </c>
      <c r="Q129" s="276">
        <v>11228275</v>
      </c>
      <c r="R129" s="276">
        <v>12152528</v>
      </c>
      <c r="S129" s="276">
        <v>12883426</v>
      </c>
      <c r="T129" s="276">
        <v>12442379</v>
      </c>
      <c r="U129" s="276">
        <v>13272382</v>
      </c>
      <c r="V129" s="276">
        <v>13355789</v>
      </c>
      <c r="W129" s="276">
        <v>14702052</v>
      </c>
      <c r="X129" s="276">
        <v>15142176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8.06</v>
      </c>
      <c r="C132" s="68">
        <v>4.55</v>
      </c>
      <c r="D132" s="68">
        <v>6.62</v>
      </c>
      <c r="E132" s="68">
        <v>4.3499999999999996</v>
      </c>
      <c r="F132" s="68">
        <v>10.45</v>
      </c>
    </row>
    <row r="133" spans="1:24" ht="14.25" thickBot="1" x14ac:dyDescent="0.3">
      <c r="A133" s="225" t="s">
        <v>37</v>
      </c>
      <c r="B133" s="274">
        <v>-4.83</v>
      </c>
      <c r="C133" s="274">
        <v>-2.72</v>
      </c>
      <c r="D133" s="274">
        <v>-3.99</v>
      </c>
      <c r="E133" s="274">
        <v>-3.41</v>
      </c>
      <c r="F133" s="274">
        <v>-3.75</v>
      </c>
    </row>
    <row r="134" spans="1:24" ht="14.25" thickBot="1" x14ac:dyDescent="0.3">
      <c r="A134" s="224" t="s">
        <v>38</v>
      </c>
      <c r="B134" s="68">
        <v>-2.93</v>
      </c>
      <c r="C134" s="68">
        <v>-1.57</v>
      </c>
      <c r="D134" s="68">
        <v>-2.12</v>
      </c>
      <c r="E134" s="68">
        <v>-1.27</v>
      </c>
      <c r="F134" s="68">
        <v>-3.29</v>
      </c>
    </row>
    <row r="135" spans="1:24" ht="14.25" thickBot="1" x14ac:dyDescent="0.3">
      <c r="A135" s="225" t="s">
        <v>270</v>
      </c>
      <c r="B135" s="274">
        <v>3.22</v>
      </c>
      <c r="C135" s="274">
        <v>1.83</v>
      </c>
      <c r="D135" s="274">
        <v>2.63</v>
      </c>
      <c r="E135" s="274">
        <v>0.94</v>
      </c>
      <c r="F135" s="274">
        <v>6.7</v>
      </c>
    </row>
    <row r="136" spans="1:24" ht="14.25" thickBot="1" x14ac:dyDescent="0.3">
      <c r="A136" s="229" t="s">
        <v>39</v>
      </c>
      <c r="B136" s="72">
        <v>0.28999999999999998</v>
      </c>
      <c r="C136" s="72">
        <v>0.26</v>
      </c>
      <c r="D136" s="72">
        <v>0.5</v>
      </c>
      <c r="E136" s="72">
        <v>-0.33</v>
      </c>
      <c r="F136" s="72">
        <v>3.41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3.6</v>
      </c>
      <c r="C140" s="68">
        <v>3.6</v>
      </c>
      <c r="D140" s="68">
        <v>3.7</v>
      </c>
      <c r="E140" s="68">
        <v>3.9</v>
      </c>
      <c r="F140" s="68">
        <v>5</v>
      </c>
    </row>
    <row r="141" spans="1:24" ht="14.25" thickBot="1" x14ac:dyDescent="0.3">
      <c r="A141" s="227" t="s">
        <v>1</v>
      </c>
      <c r="B141" s="73">
        <v>0.2</v>
      </c>
      <c r="C141" s="73">
        <v>0.2</v>
      </c>
      <c r="D141" s="73">
        <v>0.3</v>
      </c>
      <c r="E141" s="73">
        <v>0.2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0.66666666666666674</v>
      </c>
      <c r="C142" s="234">
        <f>IF(C140&lt;&gt;"無",IF(ISNA(HLOOKUP(C139,$B$64:$F$69,6,FALSE)),"",C140/HLOOKUP(C139,$B$64:$F$69,6,FALSE)),"")</f>
        <v>0.68571428571428572</v>
      </c>
      <c r="D142" s="234">
        <f>IF(D140&lt;&gt;"無",IF(ISNA(HLOOKUP(D139,$B$64:$F$69,6,FALSE)),"",D140/HLOOKUP(D139,$B$64:$F$69,6,FALSE)),"")</f>
        <v>0.67395264116575604</v>
      </c>
      <c r="E142" s="234">
        <f>IF(E140&lt;&gt;"無",IF(ISNA(HLOOKUP(E139,$B$64:$F$69,6,FALSE)),"",E140/HLOOKUP(E139,$B$64:$F$69,6,FALSE)),"")</f>
        <v>0.6532663316582914</v>
      </c>
      <c r="F142" s="234">
        <f>IF(F140&lt;&gt;"無",IF(ISNA(HLOOKUP(F139,$B$64:$F$69,6,FALSE)),"",F140/HLOOKUP(F139,$B$64:$F$69,6,FALSE)),"")</f>
        <v>0.68306010928961747</v>
      </c>
    </row>
    <row r="143" spans="1:24" x14ac:dyDescent="0.25">
      <c r="A143" s="233" t="s">
        <v>216</v>
      </c>
      <c r="B143" s="234">
        <f>IF(OR(B140=0,B140="無"),"",B135/B140)</f>
        <v>0.89444444444444449</v>
      </c>
      <c r="C143" s="234">
        <f>IF(OR(C140=0,C140="無"),"",C135/C140)</f>
        <v>0.5083333333333333</v>
      </c>
      <c r="D143" s="234">
        <f>IF(OR(D140=0,D140="無"),"",D135/D140)</f>
        <v>0.71081081081081077</v>
      </c>
      <c r="E143" s="234">
        <f>IF(OR(E140=0,E140="無"),"",E135/E140)</f>
        <v>0.24102564102564103</v>
      </c>
      <c r="F143" s="234">
        <f>IF(OR(F140=0,F140="無"),"",F135/F140)</f>
        <v>1.34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11.98</v>
      </c>
      <c r="C146" s="68">
        <v>10.91</v>
      </c>
      <c r="D146" s="68">
        <v>12.22</v>
      </c>
      <c r="E146" s="68">
        <v>12.32</v>
      </c>
      <c r="F146" s="68">
        <v>12.62</v>
      </c>
      <c r="G146" s="68">
        <v>12.52</v>
      </c>
      <c r="H146" s="68">
        <v>12.86</v>
      </c>
      <c r="I146" s="68">
        <v>12.48</v>
      </c>
      <c r="J146" s="68">
        <v>12.4</v>
      </c>
      <c r="K146" s="68">
        <v>11.66</v>
      </c>
      <c r="L146" s="68">
        <v>11.82</v>
      </c>
      <c r="M146" s="68">
        <v>12.1</v>
      </c>
      <c r="N146" s="68">
        <v>12.16</v>
      </c>
      <c r="O146" s="68">
        <v>12.59</v>
      </c>
      <c r="P146" s="68">
        <v>13.81</v>
      </c>
      <c r="Q146" s="68">
        <v>12.56</v>
      </c>
      <c r="R146" s="68">
        <v>12.56</v>
      </c>
      <c r="S146" s="68">
        <v>12.69</v>
      </c>
      <c r="T146" s="68">
        <v>12.37</v>
      </c>
      <c r="U146" s="68">
        <v>14</v>
      </c>
      <c r="V146" s="68">
        <v>12.56</v>
      </c>
      <c r="W146" s="68">
        <v>12.07</v>
      </c>
      <c r="X146" s="68">
        <v>12.69</v>
      </c>
    </row>
    <row r="147" spans="1:24" s="93" customFormat="1" ht="14.25" thickBot="1" x14ac:dyDescent="0.3">
      <c r="A147" s="225" t="s">
        <v>19</v>
      </c>
      <c r="B147" s="274">
        <v>5.36</v>
      </c>
      <c r="C147" s="274">
        <v>5.08</v>
      </c>
      <c r="D147" s="274">
        <v>6.19</v>
      </c>
      <c r="E147" s="274">
        <v>5.41</v>
      </c>
      <c r="F147" s="274">
        <v>5.76</v>
      </c>
      <c r="G147" s="274">
        <v>5.57</v>
      </c>
      <c r="H147" s="274">
        <v>5.78</v>
      </c>
      <c r="I147" s="274">
        <v>5.68</v>
      </c>
      <c r="J147" s="274">
        <v>4.95</v>
      </c>
      <c r="K147" s="274">
        <v>5.09</v>
      </c>
      <c r="L147" s="274">
        <v>5.03</v>
      </c>
      <c r="M147" s="274">
        <v>5.18</v>
      </c>
      <c r="N147" s="274">
        <v>5.52</v>
      </c>
      <c r="O147" s="274">
        <v>4.97</v>
      </c>
      <c r="P147" s="274">
        <v>6.48</v>
      </c>
      <c r="Q147" s="274">
        <v>5.42</v>
      </c>
      <c r="R147" s="274">
        <v>5.92</v>
      </c>
      <c r="S147" s="274">
        <v>6.5</v>
      </c>
      <c r="T147" s="274">
        <v>5.42</v>
      </c>
      <c r="U147" s="274">
        <v>6.19</v>
      </c>
      <c r="V147" s="274">
        <v>5.14</v>
      </c>
      <c r="W147" s="274">
        <v>4.59</v>
      </c>
      <c r="X147" s="274">
        <v>5.4</v>
      </c>
    </row>
    <row r="148" spans="1:24" s="93" customFormat="1" ht="14.25" thickBot="1" x14ac:dyDescent="0.3">
      <c r="A148" s="224" t="s">
        <v>41</v>
      </c>
      <c r="B148" s="68">
        <v>5.95</v>
      </c>
      <c r="C148" s="68">
        <v>5.78</v>
      </c>
      <c r="D148" s="68">
        <v>7.07</v>
      </c>
      <c r="E148" s="68">
        <v>5.42</v>
      </c>
      <c r="F148" s="68">
        <v>5.82</v>
      </c>
      <c r="G148" s="68">
        <v>7.12</v>
      </c>
      <c r="H148" s="68">
        <v>6.22</v>
      </c>
      <c r="I148" s="68">
        <v>5.97</v>
      </c>
      <c r="J148" s="68">
        <v>5.41</v>
      </c>
      <c r="K148" s="68">
        <v>5.77</v>
      </c>
      <c r="L148" s="68">
        <v>6.03</v>
      </c>
      <c r="M148" s="68">
        <v>5.98</v>
      </c>
      <c r="N148" s="68">
        <v>5.65</v>
      </c>
      <c r="O148" s="68">
        <v>6.74</v>
      </c>
      <c r="P148" s="68">
        <v>6.88</v>
      </c>
      <c r="Q148" s="68">
        <v>6.24</v>
      </c>
      <c r="R148" s="68">
        <v>6.71</v>
      </c>
      <c r="S148" s="68">
        <v>7.05</v>
      </c>
      <c r="T148" s="68">
        <v>6.25</v>
      </c>
      <c r="U148" s="68">
        <v>6.58</v>
      </c>
      <c r="V148" s="68">
        <v>5.92</v>
      </c>
      <c r="W148" s="68">
        <v>5.46</v>
      </c>
      <c r="X148" s="68">
        <v>6.74</v>
      </c>
    </row>
    <row r="149" spans="1:24" s="93" customFormat="1" ht="14.25" thickBot="1" x14ac:dyDescent="0.3">
      <c r="A149" s="225" t="s">
        <v>13</v>
      </c>
      <c r="B149" s="73">
        <v>4.91</v>
      </c>
      <c r="C149" s="73">
        <v>4.4400000000000004</v>
      </c>
      <c r="D149" s="73">
        <v>5.88</v>
      </c>
      <c r="E149" s="73">
        <v>4.55</v>
      </c>
      <c r="F149" s="73">
        <v>4.88</v>
      </c>
      <c r="G149" s="73">
        <v>5.71</v>
      </c>
      <c r="H149" s="73">
        <v>5.13</v>
      </c>
      <c r="I149" s="73">
        <v>4.79</v>
      </c>
      <c r="J149" s="73">
        <v>4.4800000000000004</v>
      </c>
      <c r="K149" s="73">
        <v>4.63</v>
      </c>
      <c r="L149" s="73">
        <v>5.13</v>
      </c>
      <c r="M149" s="73">
        <v>4.7699999999999996</v>
      </c>
      <c r="N149" s="73">
        <v>4.42</v>
      </c>
      <c r="O149" s="73">
        <v>5.22</v>
      </c>
      <c r="P149" s="73">
        <v>5.58</v>
      </c>
      <c r="Q149" s="73">
        <v>4.93</v>
      </c>
      <c r="R149" s="73">
        <v>5.21</v>
      </c>
      <c r="S149" s="73">
        <v>4.8899999999999997</v>
      </c>
      <c r="T149" s="73">
        <v>5.52</v>
      </c>
      <c r="U149" s="73">
        <v>5.72</v>
      </c>
      <c r="V149" s="73">
        <v>4.5599999999999996</v>
      </c>
      <c r="W149" s="73">
        <v>3.78</v>
      </c>
      <c r="X149" s="73">
        <v>5.32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11.84</v>
      </c>
      <c r="C152" s="68">
        <v>12.62</v>
      </c>
      <c r="D152" s="68">
        <v>11.98</v>
      </c>
      <c r="E152" s="68">
        <v>12.77</v>
      </c>
      <c r="F152" s="68">
        <v>12.9</v>
      </c>
    </row>
    <row r="153" spans="1:24" s="93" customFormat="1" ht="14.25" thickBot="1" x14ac:dyDescent="0.3">
      <c r="A153" s="225" t="s">
        <v>19</v>
      </c>
      <c r="B153" s="274">
        <v>5.51</v>
      </c>
      <c r="C153" s="274">
        <v>5.7</v>
      </c>
      <c r="D153" s="274">
        <v>5.07</v>
      </c>
      <c r="E153" s="274">
        <v>5.6</v>
      </c>
      <c r="F153" s="274">
        <v>6.02</v>
      </c>
    </row>
    <row r="154" spans="1:24" s="93" customFormat="1" ht="14.25" thickBot="1" x14ac:dyDescent="0.3">
      <c r="A154" s="224" t="s">
        <v>41</v>
      </c>
      <c r="B154" s="68">
        <v>6.07</v>
      </c>
      <c r="C154" s="68">
        <v>6.29</v>
      </c>
      <c r="D154" s="68">
        <v>5.81</v>
      </c>
      <c r="E154" s="68">
        <v>6.36</v>
      </c>
      <c r="F154" s="68">
        <v>6.66</v>
      </c>
    </row>
    <row r="155" spans="1:24" s="93" customFormat="1" ht="14.25" thickBot="1" x14ac:dyDescent="0.3">
      <c r="A155" s="225" t="s">
        <v>13</v>
      </c>
      <c r="B155" s="73">
        <v>4.95</v>
      </c>
      <c r="C155" s="73">
        <v>5.14</v>
      </c>
      <c r="D155" s="73">
        <v>4.76</v>
      </c>
      <c r="E155" s="73">
        <v>5.03</v>
      </c>
      <c r="F155" s="73">
        <v>5.32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2.16</v>
      </c>
      <c r="C158" s="68">
        <v>2.2799999999999998</v>
      </c>
      <c r="D158" s="68">
        <v>2.89</v>
      </c>
      <c r="E158" s="68">
        <v>2.1</v>
      </c>
      <c r="F158" s="68">
        <v>2.1800000000000002</v>
      </c>
      <c r="G158" s="68">
        <v>2.4500000000000002</v>
      </c>
      <c r="H158" s="68">
        <v>2.15</v>
      </c>
      <c r="I158" s="68">
        <v>1.98</v>
      </c>
      <c r="J158" s="68">
        <v>1.93</v>
      </c>
      <c r="K158" s="68">
        <v>2.2000000000000002</v>
      </c>
      <c r="L158" s="68">
        <v>2.38</v>
      </c>
      <c r="M158" s="68">
        <v>2.15</v>
      </c>
      <c r="N158" s="68">
        <v>2.1</v>
      </c>
      <c r="O158" s="68">
        <v>2.21</v>
      </c>
      <c r="P158" s="68">
        <v>2.41</v>
      </c>
      <c r="Q158" s="68">
        <v>2.2200000000000002</v>
      </c>
      <c r="R158" s="68">
        <v>2.5</v>
      </c>
      <c r="S158" s="68">
        <v>2.44</v>
      </c>
      <c r="T158" s="68">
        <v>2.4300000000000002</v>
      </c>
      <c r="U158" s="68">
        <v>2.46</v>
      </c>
      <c r="V158" s="68">
        <v>1.94</v>
      </c>
      <c r="W158" s="68">
        <v>1.6</v>
      </c>
      <c r="X158" s="68">
        <v>2.19</v>
      </c>
    </row>
    <row r="159" spans="1:24" s="93" customFormat="1" ht="14.25" thickBot="1" x14ac:dyDescent="0.3">
      <c r="A159" s="225" t="s">
        <v>45</v>
      </c>
      <c r="B159" s="73">
        <v>3.7</v>
      </c>
      <c r="C159" s="73">
        <v>4.21</v>
      </c>
      <c r="D159" s="73">
        <v>5.56</v>
      </c>
      <c r="E159" s="73">
        <v>3.78</v>
      </c>
      <c r="F159" s="73">
        <v>3.91</v>
      </c>
      <c r="G159" s="73">
        <v>4.6900000000000004</v>
      </c>
      <c r="H159" s="73">
        <v>4.12</v>
      </c>
      <c r="I159" s="73">
        <v>3.45</v>
      </c>
      <c r="J159" s="73">
        <v>3.31</v>
      </c>
      <c r="K159" s="73">
        <v>4.12</v>
      </c>
      <c r="L159" s="73">
        <v>4.66</v>
      </c>
      <c r="M159" s="73">
        <v>3.99</v>
      </c>
      <c r="N159" s="73">
        <v>3.82</v>
      </c>
      <c r="O159" s="73">
        <v>4.21</v>
      </c>
      <c r="P159" s="73">
        <v>4.7</v>
      </c>
      <c r="Q159" s="73">
        <v>4.18</v>
      </c>
      <c r="R159" s="73">
        <v>4.72</v>
      </c>
      <c r="S159" s="73">
        <v>4.9800000000000004</v>
      </c>
      <c r="T159" s="73">
        <v>5.09</v>
      </c>
      <c r="U159" s="73">
        <v>4.99</v>
      </c>
      <c r="V159" s="73">
        <v>3.91</v>
      </c>
      <c r="W159" s="73">
        <v>3.49</v>
      </c>
      <c r="X159" s="73">
        <v>5.19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4.95</v>
      </c>
      <c r="C162" s="68">
        <v>5.14</v>
      </c>
      <c r="D162" s="68">
        <v>4.76</v>
      </c>
      <c r="E162" s="68">
        <v>5.03</v>
      </c>
      <c r="F162" s="68">
        <v>5.32</v>
      </c>
    </row>
    <row r="163" spans="1:72" s="93" customFormat="1" ht="14.25" thickBot="1" x14ac:dyDescent="0.3">
      <c r="A163" s="225" t="s">
        <v>18</v>
      </c>
      <c r="B163" s="274">
        <v>1.89</v>
      </c>
      <c r="C163" s="274">
        <v>1.7</v>
      </c>
      <c r="D163" s="274">
        <v>1.74</v>
      </c>
      <c r="E163" s="274">
        <v>1.7</v>
      </c>
      <c r="F163" s="274">
        <v>1.71</v>
      </c>
    </row>
    <row r="164" spans="1:72" s="93" customFormat="1" ht="14.25" thickBot="1" x14ac:dyDescent="0.3">
      <c r="A164" s="224" t="s">
        <v>15</v>
      </c>
      <c r="B164" s="68">
        <v>1.78</v>
      </c>
      <c r="C164" s="68">
        <v>1.73</v>
      </c>
      <c r="D164" s="68">
        <v>1.85</v>
      </c>
      <c r="E164" s="68">
        <v>1.89</v>
      </c>
      <c r="F164" s="68">
        <v>2.0699999999999998</v>
      </c>
    </row>
    <row r="165" spans="1:72" s="93" customFormat="1" ht="14.25" thickBot="1" x14ac:dyDescent="0.3">
      <c r="A165" s="225" t="s">
        <v>45</v>
      </c>
      <c r="B165" s="73">
        <v>16.86</v>
      </c>
      <c r="C165" s="73">
        <v>15.76</v>
      </c>
      <c r="D165" s="73">
        <v>15.82</v>
      </c>
      <c r="E165" s="73">
        <v>16.62</v>
      </c>
      <c r="F165" s="73">
        <v>19.510000000000002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50.28</v>
      </c>
      <c r="C168" s="68">
        <v>48.13</v>
      </c>
      <c r="D168" s="68">
        <v>53.57</v>
      </c>
      <c r="E168" s="68">
        <v>54.88</v>
      </c>
      <c r="F168" s="68">
        <v>53.89</v>
      </c>
      <c r="G168" s="68">
        <v>56.6</v>
      </c>
      <c r="H168" s="68">
        <v>58.82</v>
      </c>
      <c r="I168" s="68">
        <v>55.9</v>
      </c>
      <c r="J168" s="68">
        <v>50.85</v>
      </c>
      <c r="K168" s="68">
        <v>48.13</v>
      </c>
      <c r="L168" s="68">
        <v>48.91</v>
      </c>
      <c r="M168" s="68">
        <v>50.85</v>
      </c>
      <c r="N168" s="68">
        <v>51.72</v>
      </c>
      <c r="O168" s="68">
        <v>59.6</v>
      </c>
      <c r="P168" s="68">
        <v>60</v>
      </c>
      <c r="Q168" s="68">
        <v>58.06</v>
      </c>
      <c r="R168" s="68">
        <v>52.33</v>
      </c>
      <c r="S168" s="68">
        <v>51.14</v>
      </c>
      <c r="T168" s="68">
        <v>58.06</v>
      </c>
      <c r="U168" s="68">
        <v>54.22</v>
      </c>
      <c r="V168" s="68">
        <v>51.72</v>
      </c>
      <c r="W168" s="68">
        <v>54.55</v>
      </c>
      <c r="X168" s="68">
        <v>56.25</v>
      </c>
    </row>
    <row r="169" spans="1:72" s="93" customFormat="1" ht="14.25" thickBot="1" x14ac:dyDescent="0.3">
      <c r="A169" s="225" t="s">
        <v>17</v>
      </c>
      <c r="B169" s="274">
        <v>40</v>
      </c>
      <c r="C169" s="274">
        <v>32.49</v>
      </c>
      <c r="D169" s="274">
        <v>34.479999999999997</v>
      </c>
      <c r="E169" s="274">
        <v>36.729999999999997</v>
      </c>
      <c r="F169" s="274">
        <v>36.29</v>
      </c>
      <c r="G169" s="274">
        <v>36.590000000000003</v>
      </c>
      <c r="H169" s="274">
        <v>37.5</v>
      </c>
      <c r="I169" s="274">
        <v>38.46</v>
      </c>
      <c r="J169" s="274">
        <v>35.159999999999997</v>
      </c>
      <c r="K169" s="274">
        <v>30.51</v>
      </c>
      <c r="L169" s="274">
        <v>31.91</v>
      </c>
      <c r="M169" s="274">
        <v>34.090000000000003</v>
      </c>
      <c r="N169" s="274">
        <v>32.729999999999997</v>
      </c>
      <c r="O169" s="274">
        <v>35.159999999999997</v>
      </c>
      <c r="P169" s="274">
        <v>34.35</v>
      </c>
      <c r="Q169" s="274">
        <v>34.880000000000003</v>
      </c>
      <c r="R169" s="274">
        <v>35.43</v>
      </c>
      <c r="S169" s="274">
        <v>34.35</v>
      </c>
      <c r="T169" s="274">
        <v>38.79</v>
      </c>
      <c r="U169" s="274">
        <v>44.78</v>
      </c>
      <c r="V169" s="274">
        <v>47.37</v>
      </c>
      <c r="W169" s="274">
        <v>45.69</v>
      </c>
      <c r="X169" s="274">
        <v>47.87</v>
      </c>
    </row>
    <row r="170" spans="1:72" s="93" customFormat="1" ht="14.25" thickBot="1" x14ac:dyDescent="0.3">
      <c r="A170" s="224" t="s">
        <v>42</v>
      </c>
      <c r="B170" s="72">
        <v>90.28</v>
      </c>
      <c r="C170" s="72">
        <v>80.62</v>
      </c>
      <c r="D170" s="72">
        <v>88.05</v>
      </c>
      <c r="E170" s="72">
        <v>91.61</v>
      </c>
      <c r="F170" s="72">
        <v>90.18</v>
      </c>
      <c r="G170" s="72">
        <v>93.19</v>
      </c>
      <c r="H170" s="72">
        <v>96.32</v>
      </c>
      <c r="I170" s="72">
        <v>94.36</v>
      </c>
      <c r="J170" s="72">
        <v>86</v>
      </c>
      <c r="K170" s="72">
        <v>78.64</v>
      </c>
      <c r="L170" s="72">
        <v>80.83</v>
      </c>
      <c r="M170" s="72">
        <v>84.94</v>
      </c>
      <c r="N170" s="72">
        <v>84.45</v>
      </c>
      <c r="O170" s="72">
        <v>94.76</v>
      </c>
      <c r="P170" s="72">
        <v>94.35</v>
      </c>
      <c r="Q170" s="72">
        <v>92.95</v>
      </c>
      <c r="R170" s="72">
        <v>87.76</v>
      </c>
      <c r="S170" s="72">
        <v>85.49</v>
      </c>
      <c r="T170" s="72">
        <v>96.86</v>
      </c>
      <c r="U170" s="72">
        <v>98.99</v>
      </c>
      <c r="V170" s="72">
        <v>99.09</v>
      </c>
      <c r="W170" s="72">
        <v>100.23</v>
      </c>
      <c r="X170" s="72">
        <v>104.12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149.22999999999999</v>
      </c>
      <c r="C173" s="72">
        <v>86.84</v>
      </c>
      <c r="D173" s="72">
        <v>121.48</v>
      </c>
      <c r="E173" s="72">
        <v>74.010000000000005</v>
      </c>
      <c r="F173" s="72">
        <v>143.96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7.01</v>
      </c>
      <c r="C176" s="72">
        <v>8.36</v>
      </c>
      <c r="D176" s="72">
        <v>8.86</v>
      </c>
      <c r="E176" s="72">
        <v>8.15</v>
      </c>
      <c r="F176" s="72">
        <v>8.3000000000000007</v>
      </c>
      <c r="G176" s="72">
        <v>8.01</v>
      </c>
      <c r="H176" s="72">
        <v>8.09</v>
      </c>
      <c r="I176" s="72">
        <v>8.4499999999999993</v>
      </c>
      <c r="J176" s="72">
        <v>8.3699999999999992</v>
      </c>
      <c r="K176" s="72">
        <v>7.85</v>
      </c>
      <c r="L176" s="72">
        <v>7.79</v>
      </c>
      <c r="M176" s="72">
        <v>8.2899999999999991</v>
      </c>
      <c r="N176" s="72">
        <v>8.5500000000000007</v>
      </c>
      <c r="O176" s="72">
        <v>9.06</v>
      </c>
      <c r="P176" s="72">
        <v>9.59</v>
      </c>
      <c r="Q176" s="72">
        <v>10.15</v>
      </c>
      <c r="R176" s="72">
        <v>10.19</v>
      </c>
      <c r="S176" s="72">
        <v>9.86</v>
      </c>
      <c r="T176" s="72">
        <v>9.8699999999999992</v>
      </c>
      <c r="U176" s="72">
        <v>8.76</v>
      </c>
      <c r="V176" s="72">
        <v>8.93</v>
      </c>
      <c r="W176" s="72">
        <v>9.0399999999999991</v>
      </c>
      <c r="X176" s="72">
        <v>9.7799999999999994</v>
      </c>
      <c r="Y176" s="72">
        <v>10.47</v>
      </c>
      <c r="Z176" s="72">
        <v>11.31</v>
      </c>
      <c r="AA176" s="72">
        <v>11.04</v>
      </c>
      <c r="AB176" s="72">
        <v>11.56</v>
      </c>
      <c r="AC176" s="72">
        <v>11.21</v>
      </c>
      <c r="AD176" s="72">
        <v>11.43</v>
      </c>
      <c r="AE176" s="72">
        <v>11.82</v>
      </c>
      <c r="AF176" s="72">
        <v>12.11</v>
      </c>
      <c r="AG176" s="72">
        <v>12.17</v>
      </c>
      <c r="AH176" s="72">
        <v>11.53</v>
      </c>
      <c r="AI176" s="72">
        <v>11.02</v>
      </c>
      <c r="AJ176" s="72">
        <v>10.6</v>
      </c>
      <c r="AK176" s="72">
        <v>10.69</v>
      </c>
      <c r="AL176" s="72">
        <v>10.9</v>
      </c>
      <c r="AM176" s="72">
        <v>11.47</v>
      </c>
      <c r="AN176" s="72">
        <v>11.39</v>
      </c>
      <c r="AO176" s="72">
        <v>11.47</v>
      </c>
      <c r="AP176" s="72">
        <v>10.7</v>
      </c>
      <c r="AQ176" s="72">
        <v>10.210000000000001</v>
      </c>
      <c r="AR176" s="72">
        <v>9.83</v>
      </c>
      <c r="AS176" s="72">
        <v>8.6199999999999992</v>
      </c>
      <c r="AT176" s="72">
        <v>8.26</v>
      </c>
      <c r="AU176" s="72">
        <v>8.69</v>
      </c>
      <c r="AV176" s="72">
        <v>9.18</v>
      </c>
      <c r="AW176" s="72">
        <v>9.43</v>
      </c>
      <c r="AX176" s="72">
        <v>9.1300000000000008</v>
      </c>
      <c r="AY176" s="72">
        <v>9.8800000000000008</v>
      </c>
      <c r="AZ176" s="72">
        <v>10.199999999999999</v>
      </c>
      <c r="BA176" s="72">
        <v>10.01</v>
      </c>
      <c r="BB176" s="72">
        <v>9.66</v>
      </c>
      <c r="BC176" s="72">
        <v>10.63</v>
      </c>
      <c r="BD176" s="72">
        <v>11.33</v>
      </c>
      <c r="BE176" s="72">
        <v>11.79</v>
      </c>
      <c r="BF176" s="72">
        <v>12.85</v>
      </c>
      <c r="BG176" s="72">
        <v>12.51</v>
      </c>
      <c r="BH176" s="72">
        <v>11.66</v>
      </c>
      <c r="BI176" s="72">
        <v>11.69</v>
      </c>
      <c r="BJ176" s="72">
        <v>12.8</v>
      </c>
      <c r="BK176" s="72">
        <v>13.98</v>
      </c>
      <c r="BL176" s="72">
        <v>13.26</v>
      </c>
      <c r="BM176" s="72">
        <v>13.44</v>
      </c>
      <c r="BN176" s="72">
        <v>13.59</v>
      </c>
      <c r="BO176" s="72">
        <v>13.24</v>
      </c>
      <c r="BP176" s="72">
        <v>13.09</v>
      </c>
      <c r="BQ176" s="72">
        <v>12.85</v>
      </c>
      <c r="BR176" s="72">
        <v>11.82</v>
      </c>
      <c r="BS176" s="72">
        <v>11.53</v>
      </c>
      <c r="BT176" s="72">
        <v>12.52</v>
      </c>
    </row>
  </sheetData>
  <phoneticPr fontId="3" type="noConversion"/>
  <conditionalFormatting sqref="E4">
    <cfRule type="cellIs" dxfId="2924" priority="101" operator="greaterThan">
      <formula>0.2</formula>
    </cfRule>
    <cfRule type="cellIs" dxfId="292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292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921" priority="95" operator="greaterThan">
      <formula>$B$19</formula>
    </cfRule>
  </conditionalFormatting>
  <conditionalFormatting sqref="D33:D34">
    <cfRule type="cellIs" dxfId="292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2919" priority="89" operator="lessThan">
      <formula>$H$62</formula>
    </cfRule>
    <cfRule type="cellIs" dxfId="2918" priority="90" operator="greaterThan">
      <formula>$H$62</formula>
    </cfRule>
  </conditionalFormatting>
  <conditionalFormatting sqref="J62">
    <cfRule type="cellIs" dxfId="2917" priority="87" operator="lessThan">
      <formula>$K$62</formula>
    </cfRule>
    <cfRule type="cellIs" dxfId="2916" priority="88" operator="greaterThan">
      <formula>$K$62</formula>
    </cfRule>
  </conditionalFormatting>
  <conditionalFormatting sqref="M62">
    <cfRule type="cellIs" dxfId="2915" priority="85" operator="lessThan">
      <formula>$N$62</formula>
    </cfRule>
    <cfRule type="cellIs" dxfId="2914" priority="86" operator="greaterThan">
      <formula>$N$62</formula>
    </cfRule>
  </conditionalFormatting>
  <conditionalFormatting sqref="B44:E44">
    <cfRule type="cellIs" dxfId="2913" priority="83" operator="greaterThan">
      <formula>0</formula>
    </cfRule>
    <cfRule type="cellIs" dxfId="2912" priority="84" operator="lessThan">
      <formula>0</formula>
    </cfRule>
  </conditionalFormatting>
  <conditionalFormatting sqref="F72">
    <cfRule type="cellIs" dxfId="2911" priority="82" operator="lessThan">
      <formula>$E$72*90%</formula>
    </cfRule>
  </conditionalFormatting>
  <conditionalFormatting sqref="F73">
    <cfRule type="cellIs" dxfId="2910" priority="81" operator="lessThan">
      <formula>$E$73*90%</formula>
    </cfRule>
  </conditionalFormatting>
  <conditionalFormatting sqref="F74">
    <cfRule type="cellIs" dxfId="2909" priority="80" operator="lessThan">
      <formula>$E$74*90%</formula>
    </cfRule>
  </conditionalFormatting>
  <conditionalFormatting sqref="F75">
    <cfRule type="cellIs" dxfId="2908" priority="79" operator="lessThan">
      <formula>$E$75*90%</formula>
    </cfRule>
  </conditionalFormatting>
  <conditionalFormatting sqref="H44:K44">
    <cfRule type="cellIs" dxfId="2907" priority="77" operator="greaterThan">
      <formula>0</formula>
    </cfRule>
    <cfRule type="cellIs" dxfId="2906" priority="78" operator="lessThan">
      <formula>0</formula>
    </cfRule>
  </conditionalFormatting>
  <conditionalFormatting sqref="H51:K51">
    <cfRule type="cellIs" dxfId="2905" priority="75" operator="greaterThan">
      <formula>0</formula>
    </cfRule>
    <cfRule type="cellIs" dxfId="2904" priority="76" operator="lessThan">
      <formula>0</formula>
    </cfRule>
  </conditionalFormatting>
  <conditionalFormatting sqref="B51:E51">
    <cfRule type="cellIs" dxfId="2903" priority="73" operator="greaterThan">
      <formula>0</formula>
    </cfRule>
    <cfRule type="cellIs" dxfId="290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90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90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899" priority="56" operator="lessThan">
      <formula>0</formula>
    </cfRule>
  </conditionalFormatting>
  <conditionalFormatting sqref="A25 E25 C25">
    <cfRule type="cellIs" dxfId="2898" priority="57" operator="lessThan">
      <formula>0</formula>
    </cfRule>
  </conditionalFormatting>
  <conditionalFormatting sqref="F25">
    <cfRule type="cellIs" dxfId="2897" priority="55" operator="lessThan">
      <formula>0</formula>
    </cfRule>
  </conditionalFormatting>
  <conditionalFormatting sqref="E1">
    <cfRule type="containsText" dxfId="2896" priority="54" operator="containsText" text="本季業外損益/平均=-">
      <formula>NOT(ISERROR(SEARCH("本季業外損益/平均=-",E1)))</formula>
    </cfRule>
  </conditionalFormatting>
  <conditionalFormatting sqref="M65">
    <cfRule type="cellIs" dxfId="2895" priority="53" operator="lessThan">
      <formula>$L$65*90%</formula>
    </cfRule>
  </conditionalFormatting>
  <conditionalFormatting sqref="M66">
    <cfRule type="cellIs" dxfId="2894" priority="52" operator="lessThan">
      <formula>$L$66*90%</formula>
    </cfRule>
  </conditionalFormatting>
  <conditionalFormatting sqref="M67">
    <cfRule type="cellIs" dxfId="2893" priority="51" operator="lessThan">
      <formula>$L$67*90%</formula>
    </cfRule>
  </conditionalFormatting>
  <conditionalFormatting sqref="M68">
    <cfRule type="cellIs" dxfId="2892" priority="50" operator="lessThan">
      <formula>$L$68*90%</formula>
    </cfRule>
  </conditionalFormatting>
  <conditionalFormatting sqref="B60">
    <cfRule type="cellIs" dxfId="2891" priority="49" operator="lessThan">
      <formula>0</formula>
    </cfRule>
  </conditionalFormatting>
  <conditionalFormatting sqref="B59:F59">
    <cfRule type="cellIs" dxfId="2890" priority="48" operator="lessThanOrEqual">
      <formula>0</formula>
    </cfRule>
  </conditionalFormatting>
  <conditionalFormatting sqref="D62">
    <cfRule type="cellIs" dxfId="2889" priority="46" operator="lessThan">
      <formula>$E$62</formula>
    </cfRule>
    <cfRule type="cellIs" dxfId="2888" priority="47" operator="greaterThan">
      <formula>$E$62</formula>
    </cfRule>
  </conditionalFormatting>
  <conditionalFormatting sqref="F69">
    <cfRule type="cellIs" dxfId="2887" priority="44" operator="lessThan">
      <formula>0</formula>
    </cfRule>
  </conditionalFormatting>
  <conditionalFormatting sqref="B65:E67 B69:E69 B68:D68">
    <cfRule type="cellIs" dxfId="2886" priority="45" operator="lessThan">
      <formula>0</formula>
    </cfRule>
  </conditionalFormatting>
  <conditionalFormatting sqref="E68">
    <cfRule type="cellIs" dxfId="2885" priority="43" operator="lessThan">
      <formula>0</formula>
    </cfRule>
  </conditionalFormatting>
  <conditionalFormatting sqref="F65:F68">
    <cfRule type="cellIs" dxfId="2884" priority="42" operator="lessThan">
      <formula>0</formula>
    </cfRule>
  </conditionalFormatting>
  <conditionalFormatting sqref="F65:F68">
    <cfRule type="cellIs" dxfId="2883" priority="41" operator="lessThan">
      <formula>$E$65*0.9</formula>
    </cfRule>
  </conditionalFormatting>
  <conditionalFormatting sqref="F66">
    <cfRule type="cellIs" dxfId="2882" priority="40" operator="lessThan">
      <formula>$E$66*0.9</formula>
    </cfRule>
  </conditionalFormatting>
  <conditionalFormatting sqref="F67:F68">
    <cfRule type="cellIs" dxfId="2881" priority="39" operator="lessThan">
      <formula>$E$67*0.9</formula>
    </cfRule>
  </conditionalFormatting>
  <conditionalFormatting sqref="F68">
    <cfRule type="cellIs" dxfId="2880" priority="38" operator="lessThan">
      <formula>$E$68*0.9</formula>
    </cfRule>
  </conditionalFormatting>
  <conditionalFormatting sqref="B13:F13">
    <cfRule type="cellIs" dxfId="2879" priority="27" operator="greaterThan">
      <formula>$I$16</formula>
    </cfRule>
    <cfRule type="cellIs" dxfId="2878" priority="28" operator="lessThanOrEqual">
      <formula>$I$16</formula>
    </cfRule>
  </conditionalFormatting>
  <conditionalFormatting sqref="B10:F10">
    <cfRule type="cellIs" dxfId="2877" priority="29" operator="greaterThan">
      <formula>15</formula>
    </cfRule>
    <cfRule type="cellIs" dxfId="2876" priority="36" operator="lessThan">
      <formula>$I$9</formula>
    </cfRule>
    <cfRule type="cellIs" dxfId="2875" priority="37" operator="greaterThan">
      <formula>$I$9</formula>
    </cfRule>
  </conditionalFormatting>
  <conditionalFormatting sqref="B16:F16">
    <cfRule type="cellIs" dxfId="2874" priority="34" operator="greaterThan">
      <formula>$I$16</formula>
    </cfRule>
    <cfRule type="cellIs" dxfId="2873" priority="35" operator="lessThanOrEqual">
      <formula>$I$16</formula>
    </cfRule>
  </conditionalFormatting>
  <conditionalFormatting sqref="B15:F15">
    <cfRule type="cellIs" dxfId="2872" priority="32" operator="lessThanOrEqual">
      <formula>$I$16</formula>
    </cfRule>
    <cfRule type="cellIs" dxfId="2871" priority="33" operator="greaterThan">
      <formula>$I$16</formula>
    </cfRule>
  </conditionalFormatting>
  <conditionalFormatting sqref="B14:F14">
    <cfRule type="cellIs" dxfId="2870" priority="30" operator="greaterThan">
      <formula>$I$16</formula>
    </cfRule>
    <cfRule type="cellIs" dxfId="2869" priority="31" operator="lessThanOrEqual">
      <formula>$I$16</formula>
    </cfRule>
  </conditionalFormatting>
  <conditionalFormatting sqref="K6">
    <cfRule type="containsText" dxfId="2868" priority="25" operator="containsText" text="衰退">
      <formula>NOT(ISERROR(SEARCH("衰退",K6)))</formula>
    </cfRule>
    <cfRule type="containsText" dxfId="2867" priority="26" operator="containsText" text="成長">
      <formula>NOT(ISERROR(SEARCH("成長",K6)))</formula>
    </cfRule>
  </conditionalFormatting>
  <conditionalFormatting sqref="I4:K4">
    <cfRule type="cellIs" dxfId="2866" priority="23" operator="lessThan">
      <formula>0</formula>
    </cfRule>
    <cfRule type="cellIs" dxfId="286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864" priority="20" operator="lessThanOrEqual">
      <formula>$I$16</formula>
    </cfRule>
    <cfRule type="cellIs" dxfId="2863" priority="21" operator="greaterThan">
      <formula>$I$16</formula>
    </cfRule>
  </conditionalFormatting>
  <conditionalFormatting sqref="I6">
    <cfRule type="containsText" dxfId="2862" priority="18" operator="containsText" text="衰退">
      <formula>NOT(ISERROR(SEARCH("衰退",I6)))</formula>
    </cfRule>
    <cfRule type="containsText" dxfId="2861" priority="19" operator="containsText" text="成長">
      <formula>NOT(ISERROR(SEARCH("成長",I6)))</formula>
    </cfRule>
  </conditionalFormatting>
  <conditionalFormatting sqref="M9">
    <cfRule type="cellIs" dxfId="2860" priority="17" operator="lessThan">
      <formula>$I$9</formula>
    </cfRule>
  </conditionalFormatting>
  <conditionalFormatting sqref="M10">
    <cfRule type="cellIs" dxfId="2859" priority="16" operator="greaterThan">
      <formula>$I$9</formula>
    </cfRule>
  </conditionalFormatting>
  <conditionalFormatting sqref="M11">
    <cfRule type="cellIs" dxfId="285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857" priority="12" operator="lessThan">
      <formula>0</formula>
    </cfRule>
    <cfRule type="cellIs" dxfId="2856" priority="13" operator="greaterThan">
      <formula>0.5</formula>
    </cfRule>
  </conditionalFormatting>
  <conditionalFormatting sqref="N14">
    <cfRule type="cellIs" dxfId="285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854" priority="8" operator="lessThan">
      <formula>0.1</formula>
    </cfRule>
  </conditionalFormatting>
  <conditionalFormatting sqref="I14">
    <cfRule type="cellIs" dxfId="285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85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851" priority="1" operator="lessThan">
      <formula>$N$5*0.9</formula>
    </cfRule>
    <cfRule type="cellIs" dxfId="2850" priority="2" operator="greaterThan">
      <formula>$N$5*1.1</formula>
    </cfRule>
  </conditionalFormatting>
  <hyperlinks>
    <hyperlink ref="L1" location="儀表板!A1" display="(回首頁)" xr:uid="{00000000-0004-0000-4100-000000000000}"/>
  </hyperlink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-5.54 ~ 22.8</v>
      </c>
      <c r="L1" s="83" t="s">
        <v>176</v>
      </c>
      <c r="M1" s="84" t="str">
        <f ca="1">VLOOKUP(_xlfn.NUMBERVALUE(N1),儀表板!A:B,2,FALSE)</f>
        <v>同亨</v>
      </c>
      <c r="N1" s="85" t="str">
        <f ca="1">MID(CELL("filename",L1),FIND("]",CELL("filename",L1))+1,255)</f>
        <v>5490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0.21888556175720197</v>
      </c>
    </row>
    <row r="3" spans="1:15" s="93" customFormat="1" x14ac:dyDescent="0.25">
      <c r="A3" s="81" t="s">
        <v>179</v>
      </c>
      <c r="B3" s="94">
        <f>SUM(F19:F22,F24:F27,J19)</f>
        <v>82.555661911575953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30.633483201751595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32.77817109345041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35.461898187875676</v>
      </c>
      <c r="L3" s="100"/>
      <c r="M3" s="79" t="s">
        <v>385</v>
      </c>
      <c r="N3" s="92">
        <f>(F69-E69)/E69</f>
        <v>-0.53285827552942722</v>
      </c>
    </row>
    <row r="4" spans="1:15" s="93" customFormat="1" x14ac:dyDescent="0.25">
      <c r="A4" s="81" t="s">
        <v>182</v>
      </c>
      <c r="B4" s="96">
        <f>SUM(G36:G40)*2</f>
        <v>60</v>
      </c>
      <c r="C4" s="101"/>
      <c r="D4" s="102">
        <f>F4*(1+F141/10)</f>
        <v>9.44</v>
      </c>
      <c r="E4" s="82">
        <f>(D4-F4)/F4</f>
        <v>0</v>
      </c>
      <c r="F4" s="103">
        <v>9.44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2.167537601543458</v>
      </c>
    </row>
    <row r="5" spans="1:15" s="93" customFormat="1" x14ac:dyDescent="0.25">
      <c r="A5" s="81" t="s">
        <v>184</v>
      </c>
      <c r="B5" s="107">
        <f>SUM(F30:F34)*2</f>
        <v>98.247062470061138</v>
      </c>
      <c r="C5" s="87"/>
      <c r="D5" s="87"/>
      <c r="E5" s="87"/>
      <c r="F5" s="86"/>
      <c r="G5" s="88"/>
      <c r="M5" s="79" t="s">
        <v>386</v>
      </c>
      <c r="N5" s="152">
        <f>D62</f>
        <v>3.43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1.6778227028175581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77.81</v>
      </c>
      <c r="N9" s="129"/>
    </row>
    <row r="10" spans="1:15" s="93" customFormat="1" x14ac:dyDescent="0.25">
      <c r="A10" s="123" t="s">
        <v>194</v>
      </c>
      <c r="B10" s="126">
        <f>PERCENTILE(176:176,B9)</f>
        <v>12.07</v>
      </c>
      <c r="C10" s="126">
        <f>PERCENTILE(176:176,C9)</f>
        <v>13.355</v>
      </c>
      <c r="D10" s="126">
        <f>PERCENTILE(176:176,D9)</f>
        <v>14.29</v>
      </c>
      <c r="E10" s="126">
        <f>PERCENTILE(176:176,E9)</f>
        <v>15.46</v>
      </c>
      <c r="F10" s="126">
        <f>PERCENTILE(176:176,F9)</f>
        <v>17.02</v>
      </c>
      <c r="G10" s="95"/>
      <c r="H10" s="135"/>
      <c r="I10" s="135"/>
      <c r="J10" s="135"/>
      <c r="K10" s="135"/>
      <c r="L10" s="136" t="s">
        <v>374</v>
      </c>
      <c r="M10" s="130">
        <f>MIN(176:176)</f>
        <v>8.82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15.79</v>
      </c>
      <c r="L11" s="272" t="s">
        <v>193</v>
      </c>
      <c r="M11" s="128">
        <f>STDEV(176:176)</f>
        <v>14.888984406599386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50.770308123249308</v>
      </c>
      <c r="C13" s="141">
        <f>$B$34/5.88%</f>
        <v>61.64965986394558</v>
      </c>
      <c r="D13" s="141">
        <f>$B$34/5%</f>
        <v>72.5</v>
      </c>
      <c r="E13" s="141">
        <f>$B$34/4.35%</f>
        <v>83.333333333333343</v>
      </c>
      <c r="F13" s="141">
        <f>$B$34/3.85%</f>
        <v>94.15584415584415</v>
      </c>
      <c r="G13" s="138" t="str">
        <f>"$"&amp;ROUND(B34,2)&amp;"/"&amp;IF(STDEV(C140:F140)/AVERAGE(C140:F140)&lt;15%,"高",IF(STDEV(C140:F140)/AVERAGE(C140:F140)&lt;30%,"中","低"))</f>
        <v>$3.63/中</v>
      </c>
      <c r="H13" s="142" t="s">
        <v>199</v>
      </c>
      <c r="I13" s="143">
        <f>MAX(0,1-J15)</f>
        <v>0.13793103448275867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46.560025000000003</v>
      </c>
      <c r="C14" s="141">
        <f>$B$33*C10</f>
        <v>51.516912500000004</v>
      </c>
      <c r="D14" s="141">
        <f>$B$33*D10</f>
        <v>55.123674999999999</v>
      </c>
      <c r="E14" s="141">
        <f>$B$33*E10</f>
        <v>59.636949999999999</v>
      </c>
      <c r="F14" s="141">
        <f>$B$33*F10</f>
        <v>65.654650000000004</v>
      </c>
      <c r="G14" s="138" t="str">
        <f>"$"&amp;ROUND(B33,2)&amp;"/"&amp;IF(STDEV(B69:E69)/AVERAGE(B69:E69)&lt;15%,"高",IF(STDEV(B69:E69)/AVERAGE(B69:E69)&lt;30%,"中","低"))</f>
        <v>$3.86/低</v>
      </c>
      <c r="H14" s="142" t="s">
        <v>203</v>
      </c>
      <c r="I14" s="145">
        <f>G62/100*I13</f>
        <v>2.6220689655172422E-2</v>
      </c>
      <c r="J14" s="76" t="s">
        <v>204</v>
      </c>
      <c r="K14" s="146"/>
      <c r="L14" s="147">
        <f>(HLOOKUP($C$1,$105:$106,2,FALSE)-HLOOKUP($C$1,$117:$127,9,FALSE))/(HLOOKUP($C$1,$117:$128,12,FALSE)/K11)</f>
        <v>7.5622233274086987</v>
      </c>
      <c r="M14" s="148">
        <f>E135/E69</f>
        <v>1.523706896551724</v>
      </c>
      <c r="N14" s="149">
        <f>F173/100</f>
        <v>0.62619999999999998</v>
      </c>
    </row>
    <row r="15" spans="1:15" s="93" customFormat="1" x14ac:dyDescent="0.25">
      <c r="A15" s="140" t="s">
        <v>375</v>
      </c>
      <c r="B15" s="141">
        <f>$D$62*B10</f>
        <v>41.400100000000002</v>
      </c>
      <c r="C15" s="141">
        <f>$D$62*C10</f>
        <v>45.807650000000002</v>
      </c>
      <c r="D15" s="141">
        <f>$D$62*D10</f>
        <v>49.014699999999998</v>
      </c>
      <c r="E15" s="141">
        <f>$D$62*E10</f>
        <v>53.027800000000006</v>
      </c>
      <c r="F15" s="141">
        <f>$D$62*F10</f>
        <v>58.378599999999999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0.86206896551724133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26.162178850629537</v>
      </c>
      <c r="C16" s="141">
        <f>$F$69*C10</f>
        <v>28.947464668612881</v>
      </c>
      <c r="D16" s="141">
        <f>$F$69*D10</f>
        <v>30.974112326056012</v>
      </c>
      <c r="E16" s="141">
        <f>$F$69*E10</f>
        <v>33.510131319861863</v>
      </c>
      <c r="F16" s="141">
        <f>$F$69*F10</f>
        <v>36.891489978269654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477</v>
      </c>
      <c r="J17" s="92">
        <f ca="1">IF(I17&lt;=0,"",IF(I17&lt;=MIN($B$13:$F$16),(I17-MIN($B$13:$F$16))/MIN($B$13:$F$16),IF(I17&gt;=MAX($B$13:$F$16),I17/MAX($B$13:$F$16),PERCENTRANK($B$13:$F$16,I17))))</f>
        <v>5.0660689655172417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3.5375000000000001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0.9758620689655173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0.15685665939483651</v>
      </c>
      <c r="J20" s="171">
        <f>HLOOKUP($C$1,$117:$127,11,FALSE)/HLOOKUP($C$1,$105:$115,11,FALSE)</f>
        <v>0.25841756619504225</v>
      </c>
      <c r="K20" s="163"/>
    </row>
    <row r="21" spans="1:14" s="93" customFormat="1" x14ac:dyDescent="0.25">
      <c r="A21" s="151" t="s">
        <v>201</v>
      </c>
      <c r="B21" s="161">
        <f>AVERAGE(C173:F173)/100</f>
        <v>0.87335000000000007</v>
      </c>
      <c r="C21" s="157" t="s">
        <v>217</v>
      </c>
      <c r="D21" s="158">
        <f>COUNTIF(C173:F173,"&gt;=80")/COUNT(C173:F173)</f>
        <v>0.5</v>
      </c>
      <c r="E21" s="140" t="s">
        <v>218</v>
      </c>
      <c r="F21" s="159">
        <f>MIN(100%,B21)*9+D21*6-COUNTIF(B132:E132,"&lt;=0")*4</f>
        <v>10.860150000000001</v>
      </c>
      <c r="G21" s="88" t="s">
        <v>220</v>
      </c>
      <c r="H21" s="123" t="s">
        <v>221</v>
      </c>
      <c r="I21" s="162">
        <f>HLOOKUP($C$1,$105:$115,7,FALSE)/HLOOKUP($C$1,$117:$127,8,FALSE)</f>
        <v>4.8047199203156801</v>
      </c>
      <c r="J21" s="78"/>
      <c r="K21" s="164" t="s">
        <v>356</v>
      </c>
      <c r="L21" s="165">
        <f>HLOOKUP($C$1,$105:$115,7,FALSE)/HLOOKUP($C$1,$105:$115,11,FALSE)</f>
        <v>0.93811980912191906</v>
      </c>
      <c r="M21" s="123" t="s">
        <v>268</v>
      </c>
      <c r="N21" s="165">
        <f>HLOOKUP($C$1,$117:$127,8,FALSE)/HLOOKUP($C$1,$117:$127,11,FALSE)</f>
        <v>0.75555867792773723</v>
      </c>
    </row>
    <row r="22" spans="1:14" s="93" customFormat="1" x14ac:dyDescent="0.25">
      <c r="A22" s="140" t="s">
        <v>222</v>
      </c>
      <c r="B22" s="161">
        <f>(-1)*SUM(C133:F133)/SUM(C132:F132)</f>
        <v>5.2243804420629605E-2</v>
      </c>
      <c r="C22" s="157"/>
      <c r="D22" s="166"/>
      <c r="E22" s="140"/>
      <c r="F22" s="159">
        <f>IF(B22&lt;=0,10,IF(B22&gt;=100%,0,(1-B22)*10))</f>
        <v>9.4775619557937034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3.8512007418182188</v>
      </c>
      <c r="J22" s="78"/>
      <c r="K22" s="142" t="s">
        <v>357</v>
      </c>
      <c r="L22" s="165">
        <f>HLOOKUP($C$1,$105:$115,4,FALSE)/HLOOKUP($C$1,$105:$115,11,FALSE)</f>
        <v>0.14933165812649404</v>
      </c>
      <c r="M22" s="123" t="s">
        <v>353</v>
      </c>
      <c r="N22" s="165">
        <f>HLOOKUP($C$1,$117:$127,4,FALSE)/HLOOKUP($C$1,$117:$127,11,FALSE)</f>
        <v>0.39301084789085899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1.3484677554579294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0.18617427125020766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70.31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1.3636422418724117E-2</v>
      </c>
      <c r="M24" s="123" t="s">
        <v>355</v>
      </c>
      <c r="N24" s="165">
        <f>HLOOKUP($C$1,$117:$127,9,FALSE)/HLOOKUP($C$1,$117:$127,11,FALSE)</f>
        <v>0.24444132207226282</v>
      </c>
    </row>
    <row r="25" spans="1:14" s="93" customFormat="1" x14ac:dyDescent="0.25">
      <c r="A25" s="151" t="s">
        <v>366</v>
      </c>
      <c r="B25" s="255">
        <f>AVERAGE(94:94)</f>
        <v>3947.608695652174</v>
      </c>
      <c r="C25" s="254">
        <f>STDEV(94:94)/AVERAGE(94:94)</f>
        <v>0.78205004421776059</v>
      </c>
      <c r="D25" s="76" t="str">
        <f>IF(C25&lt;=1,"高",IF(C25&lt;=2,"中","低"))</f>
        <v>高</v>
      </c>
      <c r="E25" s="149"/>
      <c r="F25" s="160">
        <f>MAX(0,10-ABS(C25))</f>
        <v>9.21794995578224</v>
      </c>
      <c r="G25" s="88" t="s">
        <v>213</v>
      </c>
      <c r="H25" s="123" t="s">
        <v>232</v>
      </c>
      <c r="I25" s="170">
        <f>IF(HLOOKUP(C1,167:170,3,FALSE)="無",0,HLOOKUP(C1,167:170,3,FALSE))</f>
        <v>111.11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74.273478260869567</v>
      </c>
      <c r="C26" s="172">
        <f>IF(COUNTIF(168:168,"&gt;0")=0,0,STDEV(168:168))</f>
        <v>19.558047078724314</v>
      </c>
      <c r="D26" s="76" t="str">
        <f>IF(C26&lt;=15,"高",IF(C26&lt;=30,"中","低"))</f>
        <v>中</v>
      </c>
      <c r="E26" s="149"/>
      <c r="F26" s="160">
        <f>IF(I24&lt;=60,4,IF(I24&lt;=90,3,IF(I24&lt;=120,2,IF(I24&lt;=150,1,0))))+IF(D26="高",6,IF(D26="中",4,2))</f>
        <v>7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108.27652173913046</v>
      </c>
      <c r="C27" s="172">
        <f>IF(COUNTIF(169:169,"&gt;0")=0,0,STDEV(169:169))</f>
        <v>24.63299313904291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6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0.35730000000000006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0.13875000000000001</v>
      </c>
      <c r="C31" s="157" t="s">
        <v>217</v>
      </c>
      <c r="D31" s="174">
        <f>COUNTIF(149:149,"&gt;8")/COUNT(149:149)</f>
        <v>0.69565217391304346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21.287500000000001</v>
      </c>
      <c r="C32" s="157" t="s">
        <v>217</v>
      </c>
      <c r="D32" s="174">
        <f>COUNTIF(159:159,"&gt;3")/COUNT(159:159)</f>
        <v>0.52173913043478259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3.8574999999999999</v>
      </c>
      <c r="C33" s="157" t="s">
        <v>217</v>
      </c>
      <c r="D33" s="174">
        <f>COUNTIF(82:82,"&gt;0")/COUNT(82:82)</f>
        <v>0.91304347826086951</v>
      </c>
      <c r="E33" s="140" t="s">
        <v>243</v>
      </c>
      <c r="F33" s="159">
        <f>MIN(B33,2)+D33*8</f>
        <v>9.304347826086957</v>
      </c>
      <c r="G33" s="135"/>
    </row>
    <row r="34" spans="1:14" x14ac:dyDescent="0.25">
      <c r="A34" s="155" t="s">
        <v>244</v>
      </c>
      <c r="B34" s="156">
        <f>AVERAGE(C140:F140)</f>
        <v>3.625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9.8191834089436156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2546316</v>
      </c>
      <c r="C36" s="178">
        <f>STDEV(C97:F97)</f>
        <v>554812.61390551191</v>
      </c>
      <c r="D36" s="76" t="str">
        <f>IF(C36/B36&lt;15%,"高",IF(C36/B36&lt;30%,"中","低"))</f>
        <v>中</v>
      </c>
      <c r="E36" s="107">
        <f>IF(F97&gt;E97,1,0)+IF(E97&gt;D97,1,0)+IF(D97&gt;C97,1,0)</f>
        <v>1</v>
      </c>
      <c r="F36" s="179"/>
      <c r="G36" s="160">
        <f>IF(D36="高",6,IF(D36="中",4,2))+E36+1</f>
        <v>6</v>
      </c>
    </row>
    <row r="37" spans="1:14" x14ac:dyDescent="0.25">
      <c r="A37" s="164" t="s">
        <v>248</v>
      </c>
      <c r="B37" s="180">
        <f>AVERAGE(C152:F152)</f>
        <v>35.730000000000004</v>
      </c>
      <c r="C37" s="180">
        <f>STDEV(C152:F152)</f>
        <v>2.6387244393203826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16.932500000000001</v>
      </c>
      <c r="C38" s="180">
        <f>STDEV(C153:F153)</f>
        <v>3.7381312176005719</v>
      </c>
      <c r="D38" s="76" t="str">
        <f>IF(C38/B38&lt;15%,"高",IF(C38/B38&lt;30%,"中","低"))</f>
        <v>中</v>
      </c>
      <c r="E38" s="107">
        <f>IF(F153&gt;E153,1,0)+IF(E153&gt;D153,1,0)+IF(D153&gt;C153,1,0)</f>
        <v>2</v>
      </c>
      <c r="F38" s="179"/>
      <c r="G38" s="160">
        <f>IF(D38="高",6,IF(D38="中",4,2))+E38+1</f>
        <v>7</v>
      </c>
    </row>
    <row r="39" spans="1:14" x14ac:dyDescent="0.25">
      <c r="A39" s="142" t="s">
        <v>46</v>
      </c>
      <c r="B39" s="181">
        <f>AVERAGE(C165:F165)</f>
        <v>21.287500000000001</v>
      </c>
      <c r="C39" s="181">
        <f>STDEV(C165:F165)</f>
        <v>7.7396097016150085</v>
      </c>
      <c r="D39" s="76" t="str">
        <f>IF(C39/B39&lt;15%,"高",IF(C39/B39&lt;30%,"中","低"))</f>
        <v>低</v>
      </c>
      <c r="E39" s="107">
        <f>IF(F165&gt;E165,1,0)+IF(E165&gt;D165,1,0)+IF(D165&gt;C165,1,0)</f>
        <v>1</v>
      </c>
      <c r="F39" s="182"/>
      <c r="G39" s="160">
        <f>IF(D39="高",6,IF(D39="中",4,2))+E39+1</f>
        <v>4</v>
      </c>
    </row>
    <row r="40" spans="1:14" x14ac:dyDescent="0.25">
      <c r="A40" s="164" t="s">
        <v>14</v>
      </c>
      <c r="B40" s="183">
        <f>AVERAGE(B69:E69)</f>
        <v>3.8574999999999999</v>
      </c>
      <c r="C40" s="183">
        <f>STDEV(B69:E69)</f>
        <v>1.4914729855638236</v>
      </c>
      <c r="D40" s="76" t="str">
        <f>IF(C40/B40&lt;15%,"高",IF(C40/B40&lt;30%,"中","低"))</f>
        <v>低</v>
      </c>
      <c r="E40" s="107">
        <f>IF(E69&gt;D69,1,0)+IF(D69&gt;C69,1,0)+IF(C69&gt;B69,1,0)</f>
        <v>1</v>
      </c>
      <c r="G40" s="160">
        <f>IF(D40="高",6,IF(D40="中",4,2))+E40+1</f>
        <v>4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-1.2555555555555558</v>
      </c>
      <c r="C44" s="186">
        <f>(C46-C49)/C49</f>
        <v>0.29411764705882359</v>
      </c>
      <c r="D44" s="186">
        <f>(D46-D49)/D49</f>
        <v>-0.29870129870129869</v>
      </c>
      <c r="E44" s="186">
        <f>(E46-E49)/E49</f>
        <v>0.74468085106382986</v>
      </c>
      <c r="G44" s="86" t="s">
        <v>175</v>
      </c>
      <c r="H44" s="186">
        <f>(H47-H50)/H50</f>
        <v>-1.3133867982726712</v>
      </c>
      <c r="I44" s="186">
        <f>(I47-I50)/I50</f>
        <v>0.37234042553191488</v>
      </c>
      <c r="J44" s="186">
        <f>(J47-J50)/J50</f>
        <v>-8.7557603686635982E-2</v>
      </c>
      <c r="K44" s="186">
        <f>(K47-K50)/K50</f>
        <v>0.52355743779777653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-0.23</v>
      </c>
      <c r="C46" s="152">
        <f>HLOOKUP(C45,$81:$82,2,FALSE)</f>
        <v>0.66</v>
      </c>
      <c r="D46" s="152">
        <f>HLOOKUP(D45,$81:$82,2,FALSE)</f>
        <v>0.54</v>
      </c>
      <c r="E46" s="152">
        <f>HLOOKUP(E45,$81:$82,2,FALSE)</f>
        <v>2.46</v>
      </c>
      <c r="G46" s="86" t="s">
        <v>164</v>
      </c>
      <c r="H46" s="145">
        <f>HLOOKUP(H45,$145:$147,2,FALSE)/100</f>
        <v>0.25120000000000003</v>
      </c>
      <c r="I46" s="145">
        <f>HLOOKUP(I45,$145:$147,2,FALSE)/100</f>
        <v>0.39039999999999997</v>
      </c>
      <c r="J46" s="145">
        <f>HLOOKUP(J45,$145:$147,2,FALSE)/100</f>
        <v>0.3856</v>
      </c>
      <c r="K46" s="145">
        <f>HLOOKUP(K45,$145:$147,2,FALSE)/100</f>
        <v>0.44240000000000002</v>
      </c>
    </row>
    <row r="47" spans="1:14" x14ac:dyDescent="0.25">
      <c r="A47" s="188" t="s">
        <v>165</v>
      </c>
      <c r="B47" s="189">
        <f>HLOOKUP(B45,$157:$159,3,FALSE)</f>
        <v>-1.45</v>
      </c>
      <c r="C47" s="189">
        <f>HLOOKUP(C45,$157:$159,3,FALSE)</f>
        <v>3.78</v>
      </c>
      <c r="D47" s="189">
        <f>HLOOKUP(D45,$157:$159,3,FALSE)</f>
        <v>2.83</v>
      </c>
      <c r="E47" s="189">
        <f>HLOOKUP(E45,$157:$159,3,FALSE)</f>
        <v>13.85</v>
      </c>
      <c r="G47" s="190" t="s">
        <v>166</v>
      </c>
      <c r="H47" s="145">
        <f>HLOOKUP(H45,$145:$147,3,FALSE)/100</f>
        <v>-5.0799999999999998E-2</v>
      </c>
      <c r="I47" s="145">
        <f>HLOOKUP(I45,$145:$147,3,FALSE)/100</f>
        <v>0.15479999999999999</v>
      </c>
      <c r="J47" s="145">
        <f>HLOOKUP(J45,$145:$147,3,FALSE)/100</f>
        <v>0.1386</v>
      </c>
      <c r="K47" s="145">
        <f>HLOOKUP(K45,$145:$147,3,FALSE)/100</f>
        <v>0.2878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0.9</v>
      </c>
      <c r="C49" s="152">
        <f>HLOOKUP(C48,$81:$82,2,FALSE)</f>
        <v>0.51</v>
      </c>
      <c r="D49" s="152">
        <f>HLOOKUP(D48,$81:$82,2,FALSE)</f>
        <v>0.77</v>
      </c>
      <c r="E49" s="152">
        <f>HLOOKUP(E48,$81:$82,2,FALSE)</f>
        <v>1.41</v>
      </c>
      <c r="G49" s="86" t="s">
        <v>164</v>
      </c>
      <c r="H49" s="145">
        <f>HLOOKUP(H48,$145:$147,2,FALSE)/100</f>
        <v>0.36420000000000002</v>
      </c>
      <c r="I49" s="145">
        <f>HLOOKUP(I48,$145:$147,2,FALSE)/100</f>
        <v>0.36369999999999997</v>
      </c>
      <c r="J49" s="145">
        <f>HLOOKUP(J48,$145:$147,2,FALSE)/100</f>
        <v>0.3715</v>
      </c>
      <c r="K49" s="145">
        <f>HLOOKUP(K48,$145:$147,2,FALSE)/100</f>
        <v>0.35149999999999998</v>
      </c>
    </row>
    <row r="50" spans="1:15" x14ac:dyDescent="0.25">
      <c r="A50" s="188" t="s">
        <v>165</v>
      </c>
      <c r="B50" s="189">
        <f>HLOOKUP(B48,$157:$159,3,FALSE)</f>
        <v>5.51</v>
      </c>
      <c r="C50" s="189">
        <f>HLOOKUP(C48,$157:$159,3,FALSE)</f>
        <v>2.82</v>
      </c>
      <c r="D50" s="189">
        <f>HLOOKUP(D48,$157:$159,3,FALSE)</f>
        <v>3.88</v>
      </c>
      <c r="E50" s="189">
        <f>HLOOKUP(E48,$157:$159,3,FALSE)</f>
        <v>7.48</v>
      </c>
      <c r="G50" s="190" t="s">
        <v>166</v>
      </c>
      <c r="H50" s="145">
        <f>HLOOKUP(H48,$145:$147,3,FALSE)/100</f>
        <v>0.16210000000000002</v>
      </c>
      <c r="I50" s="145">
        <f>HLOOKUP(I48,$145:$147,3,FALSE)/100</f>
        <v>0.1128</v>
      </c>
      <c r="J50" s="145">
        <f>HLOOKUP(J48,$145:$147,3,FALSE)/100</f>
        <v>0.15190000000000001</v>
      </c>
      <c r="K50" s="145">
        <f>HLOOKUP(K48,$145:$147,3,FALSE)/100</f>
        <v>0.18890000000000001</v>
      </c>
    </row>
    <row r="51" spans="1:15" x14ac:dyDescent="0.25">
      <c r="A51" s="86" t="s">
        <v>351</v>
      </c>
      <c r="B51" s="186">
        <f>(B47-B50)/B50</f>
        <v>-1.2631578947368423</v>
      </c>
      <c r="C51" s="186">
        <f>(C47-C50)/C50</f>
        <v>0.34042553191489361</v>
      </c>
      <c r="D51" s="186">
        <f>(D47-D50)/D50</f>
        <v>-0.27061855670103091</v>
      </c>
      <c r="E51" s="186">
        <f>(E47-E50)/E50</f>
        <v>0.85160427807486616</v>
      </c>
      <c r="G51" s="235" t="s">
        <v>174</v>
      </c>
      <c r="H51" s="186">
        <f>(H46-H49)/H49</f>
        <v>-0.31026908292147165</v>
      </c>
      <c r="I51" s="186">
        <f>(I46-I49)/I49</f>
        <v>7.3412152873247191E-2</v>
      </c>
      <c r="J51" s="186">
        <f>(J46-J49)/J49</f>
        <v>3.7954239569313597E-2</v>
      </c>
      <c r="K51" s="186">
        <f>(K46-K49)/K49</f>
        <v>0.25860597439544819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1.6778227028175581</v>
      </c>
      <c r="B53" s="193">
        <f>B46</f>
        <v>-0.23</v>
      </c>
      <c r="C53" s="193">
        <f>E46/HLOOKUP(E45,$87:$94,5,FALSE)*HLOOKUP(E45,$87:$94,4,FALSE)*($B$25/HLOOKUP(E45,$87:$94,4,FALSE)+SUM($B$57:$D$57)/SUM($B58:$D$58)*$G$69/100/K46)</f>
        <v>1.1975376015434582</v>
      </c>
      <c r="D53" s="193">
        <f>D46/HLOOKUP(D45,$87:$94,5,FALSE)*HLOOKUP(D45,$87:$94,4,FALSE)*($B$25/HLOOKUP(D45,$87:$94,4,FALSE)+SUM($B$57:$D$57)/SUM($B58:$D$58)*$G$69/100/J46)</f>
        <v>0.33110127769910996</v>
      </c>
      <c r="E53" s="193">
        <f>C46/HLOOKUP(C45,$87:$94,5,FALSE)*HLOOKUP(C45,$87:$94,4,FALSE)*($B$25/HLOOKUP(C45,$87:$94,4,FALSE)+SUM($B$57:$D$57)/SUM($B58:$D$58)*$G$69/100/I46)</f>
        <v>0.37918382357498986</v>
      </c>
    </row>
    <row r="54" spans="1:15" x14ac:dyDescent="0.25">
      <c r="A54" s="278">
        <f>SUM(B54:E54)</f>
        <v>4.5599999999999996</v>
      </c>
      <c r="B54" s="277">
        <f t="shared" ref="B54:D54" si="0">HLOOKUP(B52-10,81:82,2,FALSE)</f>
        <v>0.9</v>
      </c>
      <c r="C54" s="277">
        <f t="shared" si="0"/>
        <v>2.46</v>
      </c>
      <c r="D54" s="277">
        <f t="shared" si="0"/>
        <v>0.54</v>
      </c>
      <c r="E54" s="277">
        <f>HLOOKUP(E52-10,81:82,2,FALSE)</f>
        <v>0.66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93940</v>
      </c>
      <c r="C57" s="196">
        <f>HLOOKUP(C56,78:79,2,FALSE)</f>
        <v>127654</v>
      </c>
      <c r="D57" s="196">
        <f>HLOOKUP(D56,78:79,2,FALSE)</f>
        <v>110255</v>
      </c>
      <c r="E57" s="196">
        <f>HLOOKUP(E56,78:79,2,FALSE)</f>
        <v>152643</v>
      </c>
      <c r="F57" s="196">
        <f>HLOOKUP(F56,78:79,2,FALSE)</f>
        <v>151356</v>
      </c>
      <c r="G57" s="196">
        <f t="shared" ref="G57:M57" si="2">HLOOKUP(G56,78:79,2,FALSE)</f>
        <v>121235</v>
      </c>
      <c r="H57" s="196">
        <f t="shared" si="2"/>
        <v>250259</v>
      </c>
      <c r="I57" s="196">
        <f t="shared" si="2"/>
        <v>229389</v>
      </c>
      <c r="J57" s="196">
        <f t="shared" si="2"/>
        <v>74562</v>
      </c>
      <c r="K57" s="196">
        <f t="shared" si="2"/>
        <v>138118</v>
      </c>
      <c r="L57" s="196">
        <f t="shared" si="2"/>
        <v>535596</v>
      </c>
      <c r="M57" s="196">
        <f t="shared" si="2"/>
        <v>255532</v>
      </c>
      <c r="N57" s="197"/>
    </row>
    <row r="58" spans="1:15" x14ac:dyDescent="0.25">
      <c r="A58" s="198" t="s">
        <v>253</v>
      </c>
      <c r="B58" s="196">
        <f>HLOOKUP(B56-100,78:79,2,FALSE)</f>
        <v>228145</v>
      </c>
      <c r="C58" s="196">
        <f>HLOOKUP(C56-100,78:79,2,FALSE)</f>
        <v>190022</v>
      </c>
      <c r="D58" s="196">
        <f>HLOOKUP(D56-100,78:79,2,FALSE)</f>
        <v>193446</v>
      </c>
      <c r="E58" s="196">
        <f>HLOOKUP(E56-100,78:79,2,FALSE)</f>
        <v>249844</v>
      </c>
      <c r="F58" s="196">
        <f>HLOOKUP(F56-100,78:79,2,FALSE)</f>
        <v>270959</v>
      </c>
      <c r="G58" s="196">
        <f t="shared" ref="G58:M58" si="3">HLOOKUP(G56-100,78:79,2,FALSE)</f>
        <v>175643</v>
      </c>
      <c r="H58" s="196">
        <f t="shared" si="3"/>
        <v>94316</v>
      </c>
      <c r="I58" s="196">
        <f t="shared" si="3"/>
        <v>120496</v>
      </c>
      <c r="J58" s="196">
        <f t="shared" si="3"/>
        <v>79942</v>
      </c>
      <c r="K58" s="196">
        <f t="shared" si="3"/>
        <v>359681</v>
      </c>
      <c r="L58" s="196">
        <f t="shared" si="3"/>
        <v>213866</v>
      </c>
      <c r="M58" s="196">
        <f t="shared" si="3"/>
        <v>431379</v>
      </c>
      <c r="N58" s="197"/>
    </row>
    <row r="59" spans="1:15" x14ac:dyDescent="0.25">
      <c r="A59" s="199" t="s">
        <v>254</v>
      </c>
      <c r="B59" s="165">
        <f>IF(B57&lt;&gt;"",(B57-B58)/B58,"")</f>
        <v>-0.58824431830634027</v>
      </c>
      <c r="C59" s="165">
        <f>IF(C57&lt;&gt;"",(C57-C58)/C58,"")</f>
        <v>-0.32821462777994126</v>
      </c>
      <c r="D59" s="165">
        <f>IF(D57&lt;&gt;"",(D57-D58)/D58,"")</f>
        <v>-0.43004766187980109</v>
      </c>
      <c r="E59" s="165">
        <f>IF(E57&lt;&gt;"",(E57-E58)/E58,"")</f>
        <v>-0.38904676518147324</v>
      </c>
      <c r="F59" s="165">
        <f>IF(F57&lt;&gt;"",(F57-F58)/F58,"")</f>
        <v>-0.44140626441638769</v>
      </c>
      <c r="G59" s="165">
        <f t="shared" ref="G59:M59" si="4">IF(G57&lt;&gt;"",(G57-G58)/G58,"")</f>
        <v>-0.30976469315600397</v>
      </c>
      <c r="H59" s="165">
        <f t="shared" si="4"/>
        <v>1.6534098138173798</v>
      </c>
      <c r="I59" s="165">
        <f t="shared" si="4"/>
        <v>0.90370634709865882</v>
      </c>
      <c r="J59" s="165">
        <f t="shared" si="4"/>
        <v>-6.7298791623927351E-2</v>
      </c>
      <c r="K59" s="165">
        <f t="shared" si="4"/>
        <v>-0.61599862100027525</v>
      </c>
      <c r="L59" s="165">
        <f t="shared" si="4"/>
        <v>1.5043531931209262</v>
      </c>
      <c r="M59" s="165">
        <f t="shared" si="4"/>
        <v>-0.40763922212254189</v>
      </c>
    </row>
    <row r="60" spans="1:15" x14ac:dyDescent="0.25">
      <c r="A60" s="195" t="s">
        <v>255</v>
      </c>
      <c r="B60" s="196">
        <f>SUM(B57:M57)</f>
        <v>2240539</v>
      </c>
    </row>
    <row r="61" spans="1:15" x14ac:dyDescent="0.25">
      <c r="A61" s="198" t="s">
        <v>256</v>
      </c>
      <c r="B61" s="196">
        <f>SUM(B58:M58)</f>
        <v>2607739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0.85918836202549409</v>
      </c>
      <c r="D62" s="152">
        <f>SUM(B46:E46)</f>
        <v>3.43</v>
      </c>
      <c r="E62" s="152">
        <f>SUM(B49:E49)</f>
        <v>3.59</v>
      </c>
      <c r="G62" s="126">
        <f>SUM(B47:E47)</f>
        <v>19.009999999999998</v>
      </c>
      <c r="H62" s="126">
        <f>SUM(B50:E50)</f>
        <v>19.690000000000001</v>
      </c>
      <c r="J62" s="200">
        <f>AVERAGE(H46:K46)</f>
        <v>0.36739999999999995</v>
      </c>
      <c r="K62" s="200">
        <f>AVERAGE(H49:K49)</f>
        <v>0.36272499999999996</v>
      </c>
      <c r="M62" s="200">
        <f>AVERAGE(H47:K47)</f>
        <v>0.1326</v>
      </c>
      <c r="N62" s="200">
        <f>AVERAGE(H50:K50)</f>
        <v>0.15392500000000003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0.42</v>
      </c>
      <c r="C65" s="205">
        <f t="shared" si="5"/>
        <v>0.13</v>
      </c>
      <c r="D65" s="205">
        <f t="shared" si="5"/>
        <v>1.1000000000000001</v>
      </c>
      <c r="E65" s="205">
        <f t="shared" si="5"/>
        <v>0.77</v>
      </c>
      <c r="F65" s="206">
        <f>IF(ISNA(HLOOKUP(F$64*10+$A65,$81:$82,2,FALSE)),(HLOOKUP(E$64*10+$A65,$87:$94,4,FALSE)*$G65+$B$25)/HLOOKUP(E$64*10+$A65,$87:$94,5,FALSE)*$E65,HLOOKUP(F$64*10+$A65,$81:$82,2,FALSE))</f>
        <v>0.54</v>
      </c>
      <c r="G65" s="101">
        <f>MIN(130%,SUM($B$57:$D$57)/SUM($B$58:$D$58)*$G$69/HLOOKUP(E$64*10+$A65,$145:$146,2,FALSE))</f>
        <v>0.57422919141697115</v>
      </c>
      <c r="H65" s="204">
        <v>1</v>
      </c>
      <c r="I65" s="208">
        <f t="shared" ref="I65:M68" si="6">IF(ISNA(HLOOKUP(I$64*10+$H65,$145:$147,3,FALSE)),"",HLOOKUP(I$64*10+$H65,$145:$147,3,FALSE)/100)</f>
        <v>0.1105</v>
      </c>
      <c r="J65" s="208">
        <f t="shared" si="6"/>
        <v>5.1200000000000002E-2</v>
      </c>
      <c r="K65" s="208">
        <f t="shared" si="6"/>
        <v>0.18190000000000001</v>
      </c>
      <c r="L65" s="208">
        <f t="shared" si="6"/>
        <v>0.15190000000000001</v>
      </c>
      <c r="M65" s="209">
        <f t="shared" si="6"/>
        <v>0.1386</v>
      </c>
      <c r="N65" s="256">
        <f t="shared" ref="N65:O68" si="7">HLOOKUP(E$64*10+$A65,$87:$94,8,FALSE)</f>
        <v>6118</v>
      </c>
      <c r="O65" s="256">
        <f t="shared" si="7"/>
        <v>449</v>
      </c>
      <c r="P65" s="210"/>
    </row>
    <row r="66" spans="1:71" x14ac:dyDescent="0.25">
      <c r="A66" s="204">
        <v>2</v>
      </c>
      <c r="B66" s="205">
        <f t="shared" si="5"/>
        <v>1.08</v>
      </c>
      <c r="C66" s="205">
        <f t="shared" si="5"/>
        <v>-0.03</v>
      </c>
      <c r="D66" s="205">
        <f t="shared" si="5"/>
        <v>2.08</v>
      </c>
      <c r="E66" s="205">
        <f t="shared" si="5"/>
        <v>0.51</v>
      </c>
      <c r="F66" s="206">
        <f>IF(ISNA(HLOOKUP(F$64*10+$A66,$81:$82,2,FALSE)),(HLOOKUP(E$64*10+$A66,$87:$94,4,FALSE)*$G66+$B$25)/HLOOKUP(E$64*10+$A66,$87:$94,5,FALSE)*$E66,HLOOKUP(F$64*10+$A66,$81:$82,2,FALSE))</f>
        <v>0.66</v>
      </c>
      <c r="G66" s="101">
        <f>MIN(130%,SUM($B$57:$D$57)/SUM($B$58:$D$58)*$G$69/HLOOKUP(E$64*10+$A66,$145:$146,2,FALSE))</f>
        <v>0.58654425243718666</v>
      </c>
      <c r="H66" s="204">
        <v>2</v>
      </c>
      <c r="I66" s="208">
        <f t="shared" si="6"/>
        <v>0.19059999999999999</v>
      </c>
      <c r="J66" s="208">
        <f t="shared" si="6"/>
        <v>-1.5800000000000002E-2</v>
      </c>
      <c r="K66" s="208">
        <f t="shared" si="6"/>
        <v>0.2296</v>
      </c>
      <c r="L66" s="208">
        <f t="shared" si="6"/>
        <v>0.1128</v>
      </c>
      <c r="M66" s="209">
        <f t="shared" si="6"/>
        <v>0.15479999999999999</v>
      </c>
      <c r="N66" s="256">
        <f t="shared" si="7"/>
        <v>3332</v>
      </c>
      <c r="O66" s="256">
        <f t="shared" si="7"/>
        <v>2914</v>
      </c>
      <c r="P66" s="210"/>
    </row>
    <row r="67" spans="1:71" x14ac:dyDescent="0.25">
      <c r="A67" s="204">
        <v>3</v>
      </c>
      <c r="B67" s="205">
        <f t="shared" si="5"/>
        <v>1.47</v>
      </c>
      <c r="C67" s="205">
        <f t="shared" si="5"/>
        <v>0.25</v>
      </c>
      <c r="D67" s="205">
        <f t="shared" si="5"/>
        <v>0.82</v>
      </c>
      <c r="E67" s="205">
        <f t="shared" si="5"/>
        <v>0.9</v>
      </c>
      <c r="F67" s="206">
        <f>IF(ISNA(HLOOKUP(F$64*10+$A67,$81:$82,2,FALSE)),(HLOOKUP(E$64*10+$A67,$87:$94,4,FALSE)*$G67+$B$25)/HLOOKUP(E$64*10+$A67,$87:$94,5,FALSE)*$E67,HLOOKUP(F$64*10+$A67,$81:$82,2,FALSE))</f>
        <v>-0.23</v>
      </c>
      <c r="G67" s="101">
        <f>MIN(130%,SUM($B$57:$D$57)/SUM($B$58:$D$58)*$G$69/HLOOKUP(E$64*10+$A67,$145:$146,2,FALSE))</f>
        <v>0.58573900222790987</v>
      </c>
      <c r="H67" s="204">
        <v>3</v>
      </c>
      <c r="I67" s="208">
        <f t="shared" si="6"/>
        <v>0.23449999999999999</v>
      </c>
      <c r="J67" s="208">
        <f t="shared" si="6"/>
        <v>7.3800000000000004E-2</v>
      </c>
      <c r="K67" s="208">
        <f t="shared" si="6"/>
        <v>0.1598</v>
      </c>
      <c r="L67" s="208">
        <f t="shared" si="6"/>
        <v>0.16210000000000002</v>
      </c>
      <c r="M67" s="209">
        <f t="shared" si="6"/>
        <v>-5.0799999999999998E-2</v>
      </c>
      <c r="N67" s="256">
        <f t="shared" si="7"/>
        <v>2829</v>
      </c>
      <c r="O67" s="256">
        <f t="shared" si="7"/>
        <v>1559</v>
      </c>
      <c r="P67" s="210"/>
    </row>
    <row r="68" spans="1:71" x14ac:dyDescent="0.25">
      <c r="A68" s="204">
        <v>4</v>
      </c>
      <c r="B68" s="205">
        <f>HLOOKUP(B$64*10+$A68,$81:$82,2,FALSE)</f>
        <v>0.4</v>
      </c>
      <c r="C68" s="205">
        <f>HLOOKUP(C$64*10+$A68,$81:$82,2,FALSE)</f>
        <v>1.66</v>
      </c>
      <c r="D68" s="205">
        <f>HLOOKUP(D$64*10+$A68,$81:$82,2,FALSE)</f>
        <v>1.41</v>
      </c>
      <c r="E68" s="206">
        <f>IF(ISNA(HLOOKUP(E$64*10+$A68,$81:$82,2,FALSE)),D68*(1-$N68)*#REF!*(1+$B$25)/(1+$E$4),HLOOKUP(E$64*10+$A68,$81:$82,2,FALSE))</f>
        <v>2.46</v>
      </c>
      <c r="F68" s="206">
        <f>IF(ISNA(HLOOKUP(F$64*10+$A68,$81:$82,2,FALSE)),(HLOOKUP(E$64*10+$A68,$87:$94,4,FALSE)*$G68+$B$25)/HLOOKUP(E$64*10+$A68,$87:$94,5,FALSE)*$E68,HLOOKUP(F$64*10+$A68,$81:$82,2,FALSE))</f>
        <v>1.197537601543458</v>
      </c>
      <c r="G68" s="101">
        <f>MIN(130%,SUM($B$57:$D$57)/SUM($B$58:$D$58)*$G$69/HLOOKUP(E$64*10+$A68,$145:$146,2,FALSE))</f>
        <v>0.48220195436574309</v>
      </c>
      <c r="H68" s="204">
        <v>4</v>
      </c>
      <c r="I68" s="208">
        <f t="shared" si="6"/>
        <v>8.9800000000000005E-2</v>
      </c>
      <c r="J68" s="208">
        <f t="shared" si="6"/>
        <v>0.24249999999999999</v>
      </c>
      <c r="K68" s="208">
        <f t="shared" si="6"/>
        <v>0.18890000000000001</v>
      </c>
      <c r="L68" s="208">
        <f t="shared" si="6"/>
        <v>0.2878</v>
      </c>
      <c r="M68" s="209" t="str">
        <f t="shared" si="6"/>
        <v/>
      </c>
      <c r="N68" s="256">
        <f t="shared" si="7"/>
        <v>5336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3.3699999999999997</v>
      </c>
      <c r="C69" s="213">
        <f>SUM(C65:C68)</f>
        <v>2.0099999999999998</v>
      </c>
      <c r="D69" s="213">
        <f>SUM(D65:D68)</f>
        <v>5.41</v>
      </c>
      <c r="E69" s="213">
        <f>SUM(E65:E68)</f>
        <v>4.6400000000000006</v>
      </c>
      <c r="F69" s="213">
        <f>SUM(F65:F68)</f>
        <v>2.167537601543458</v>
      </c>
      <c r="G69" s="257">
        <f>_xlfn.FORECAST.ETS(23,B146:W146,{1,2,3,4,5,6,7,8,9,10,11,12,13,14,15,16,17,18,19,20,21,22})</f>
        <v>39.316991548630583</v>
      </c>
      <c r="H69" s="214" t="s">
        <v>19</v>
      </c>
      <c r="I69" s="215">
        <f>HLOOKUP(I64,151:155,3,FALSE)/100</f>
        <v>0.16750000000000001</v>
      </c>
      <c r="J69" s="215">
        <f>HLOOKUP(J64,151:155,3,FALSE)/100</f>
        <v>0.11710000000000001</v>
      </c>
      <c r="K69" s="215">
        <f>HLOOKUP(K64,151:155,3,FALSE)/100</f>
        <v>0.19579999999999997</v>
      </c>
      <c r="L69" s="215">
        <f>IF(ISNA(HLOOKUP(L64,151:155,3,FALSE)/100),AVERAGE(L65:L68),HLOOKUP(L64,151:155,3,FALSE)/100)</f>
        <v>0.19690000000000002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2.57</v>
      </c>
      <c r="C72" s="205">
        <f t="shared" si="8"/>
        <v>0.72</v>
      </c>
      <c r="D72" s="205">
        <f t="shared" si="8"/>
        <v>6.35</v>
      </c>
      <c r="E72" s="205">
        <f t="shared" si="8"/>
        <v>3.88</v>
      </c>
      <c r="F72" s="205">
        <f t="shared" si="8"/>
        <v>2.83</v>
      </c>
    </row>
    <row r="73" spans="1:71" s="135" customFormat="1" x14ac:dyDescent="0.25">
      <c r="A73" s="204">
        <v>2</v>
      </c>
      <c r="B73" s="205">
        <f t="shared" si="8"/>
        <v>6.62</v>
      </c>
      <c r="C73" s="205">
        <f t="shared" si="8"/>
        <v>-0.2</v>
      </c>
      <c r="D73" s="205">
        <f t="shared" si="8"/>
        <v>11.89</v>
      </c>
      <c r="E73" s="205">
        <f t="shared" si="8"/>
        <v>2.82</v>
      </c>
      <c r="F73" s="205">
        <f t="shared" si="8"/>
        <v>3.78</v>
      </c>
    </row>
    <row r="74" spans="1:71" s="135" customFormat="1" x14ac:dyDescent="0.25">
      <c r="A74" s="204">
        <v>3</v>
      </c>
      <c r="B74" s="205">
        <f t="shared" si="8"/>
        <v>8.75</v>
      </c>
      <c r="C74" s="205">
        <f t="shared" si="8"/>
        <v>1.66</v>
      </c>
      <c r="D74" s="205">
        <f t="shared" si="8"/>
        <v>4.6500000000000004</v>
      </c>
      <c r="E74" s="205">
        <f t="shared" si="8"/>
        <v>5.51</v>
      </c>
      <c r="F74" s="205">
        <f t="shared" si="8"/>
        <v>-1.45</v>
      </c>
    </row>
    <row r="75" spans="1:71" s="135" customFormat="1" x14ac:dyDescent="0.25">
      <c r="A75" s="204">
        <v>4</v>
      </c>
      <c r="B75" s="205">
        <f t="shared" si="8"/>
        <v>2.2400000000000002</v>
      </c>
      <c r="C75" s="205">
        <f t="shared" si="8"/>
        <v>10.44</v>
      </c>
      <c r="D75" s="205">
        <f t="shared" si="8"/>
        <v>7.48</v>
      </c>
      <c r="E75" s="205">
        <f t="shared" si="8"/>
        <v>13.85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20.18</v>
      </c>
      <c r="C76" s="213">
        <f>SUM(C72:C75)</f>
        <v>12.62</v>
      </c>
      <c r="D76" s="213">
        <f>SUM(D72:D75)</f>
        <v>30.37</v>
      </c>
      <c r="E76" s="213">
        <f>AVERAGE(E72:E75)*4</f>
        <v>26.06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158248</v>
      </c>
      <c r="C79" s="270">
        <v>128764</v>
      </c>
      <c r="D79" s="270">
        <v>177229</v>
      </c>
      <c r="E79" s="270">
        <v>131511</v>
      </c>
      <c r="F79" s="270">
        <v>131824</v>
      </c>
      <c r="G79" s="270">
        <v>170081</v>
      </c>
      <c r="H79" s="270">
        <v>199586</v>
      </c>
      <c r="I79" s="270">
        <v>171255</v>
      </c>
      <c r="J79" s="270">
        <v>155407</v>
      </c>
      <c r="K79" s="270">
        <v>130027</v>
      </c>
      <c r="L79" s="270">
        <v>114811</v>
      </c>
      <c r="M79" s="270">
        <v>86060</v>
      </c>
      <c r="N79" s="270">
        <v>199661</v>
      </c>
      <c r="O79" s="270">
        <v>102360</v>
      </c>
      <c r="P79" s="270">
        <v>158877</v>
      </c>
      <c r="Q79" s="270">
        <v>204184</v>
      </c>
      <c r="R79" s="270">
        <v>188160</v>
      </c>
      <c r="S79" s="270">
        <v>233138</v>
      </c>
      <c r="T79" s="270">
        <v>281669</v>
      </c>
      <c r="U79" s="270">
        <v>228853</v>
      </c>
      <c r="V79" s="270">
        <v>224112</v>
      </c>
      <c r="W79" s="270">
        <v>161956</v>
      </c>
      <c r="X79" s="270">
        <v>94517</v>
      </c>
      <c r="Y79" s="270">
        <v>224504</v>
      </c>
      <c r="Z79" s="270">
        <v>100816</v>
      </c>
      <c r="AA79" s="270">
        <v>95773</v>
      </c>
      <c r="AB79" s="270">
        <v>132527</v>
      </c>
      <c r="AC79" s="270">
        <v>120437</v>
      </c>
      <c r="AD79" s="270">
        <v>87449</v>
      </c>
      <c r="AE79" s="270">
        <v>195772</v>
      </c>
      <c r="AF79" s="270">
        <v>77433</v>
      </c>
      <c r="AG79" s="270">
        <v>148663</v>
      </c>
      <c r="AH79" s="270">
        <v>212368</v>
      </c>
      <c r="AI79" s="270">
        <v>271268</v>
      </c>
      <c r="AJ79" s="270">
        <v>173884</v>
      </c>
      <c r="AK79" s="270">
        <v>308081</v>
      </c>
      <c r="AL79" s="270">
        <v>372717</v>
      </c>
      <c r="AM79" s="270">
        <v>99526</v>
      </c>
      <c r="AN79" s="270">
        <v>219917</v>
      </c>
      <c r="AO79" s="270">
        <v>234336</v>
      </c>
      <c r="AP79" s="270">
        <v>420768</v>
      </c>
      <c r="AQ79" s="270">
        <v>406128</v>
      </c>
      <c r="AR79" s="270">
        <v>131211</v>
      </c>
      <c r="AS79" s="270">
        <v>229571</v>
      </c>
      <c r="AT79" s="270">
        <v>196477</v>
      </c>
      <c r="AU79" s="270">
        <v>249276</v>
      </c>
      <c r="AV79" s="270">
        <v>431379</v>
      </c>
      <c r="AW79" s="270">
        <v>213866</v>
      </c>
      <c r="AX79" s="270">
        <v>359681</v>
      </c>
      <c r="AY79" s="270">
        <v>79942</v>
      </c>
      <c r="AZ79" s="270">
        <v>120496</v>
      </c>
      <c r="BA79" s="270">
        <v>94316</v>
      </c>
      <c r="BB79" s="270">
        <v>175643</v>
      </c>
      <c r="BC79" s="270">
        <v>270959</v>
      </c>
      <c r="BD79" s="270">
        <v>249844</v>
      </c>
      <c r="BE79" s="270">
        <v>193446</v>
      </c>
      <c r="BF79" s="270">
        <v>190022</v>
      </c>
      <c r="BG79" s="270">
        <v>228145</v>
      </c>
      <c r="BH79" s="270">
        <v>255532</v>
      </c>
      <c r="BI79" s="270">
        <v>535596</v>
      </c>
      <c r="BJ79" s="270">
        <v>138118</v>
      </c>
      <c r="BK79" s="270">
        <v>74562</v>
      </c>
      <c r="BL79" s="270">
        <v>229389</v>
      </c>
      <c r="BM79" s="270">
        <v>250259</v>
      </c>
      <c r="BN79" s="270">
        <v>121235</v>
      </c>
      <c r="BO79" s="270">
        <v>151356</v>
      </c>
      <c r="BP79" s="270">
        <v>152643</v>
      </c>
      <c r="BQ79" s="270">
        <v>110255</v>
      </c>
      <c r="BR79" s="270">
        <v>127654</v>
      </c>
      <c r="BS79" s="270">
        <v>93940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0.5</v>
      </c>
      <c r="C82" s="72">
        <v>0.36</v>
      </c>
      <c r="D82" s="72">
        <v>0.71</v>
      </c>
      <c r="E82" s="72">
        <v>0.25</v>
      </c>
      <c r="F82" s="72">
        <v>0.42</v>
      </c>
      <c r="G82" s="72">
        <v>1.08</v>
      </c>
      <c r="H82" s="72">
        <v>1.47</v>
      </c>
      <c r="I82" s="72">
        <v>0.4</v>
      </c>
      <c r="J82" s="72">
        <v>0.13</v>
      </c>
      <c r="K82" s="72">
        <v>-0.03</v>
      </c>
      <c r="L82" s="72">
        <v>0.25</v>
      </c>
      <c r="M82" s="72">
        <v>1.66</v>
      </c>
      <c r="N82" s="72">
        <v>1.1000000000000001</v>
      </c>
      <c r="O82" s="72">
        <v>2.08</v>
      </c>
      <c r="P82" s="72">
        <v>0.82</v>
      </c>
      <c r="Q82" s="72">
        <v>1.41</v>
      </c>
      <c r="R82" s="72">
        <v>0.77</v>
      </c>
      <c r="S82" s="72">
        <v>0.51</v>
      </c>
      <c r="T82" s="72">
        <v>0.9</v>
      </c>
      <c r="U82" s="72">
        <v>2.46</v>
      </c>
      <c r="V82" s="72">
        <v>0.54</v>
      </c>
      <c r="W82" s="72">
        <v>0.66</v>
      </c>
      <c r="X82" s="72">
        <v>-0.23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17.510000000000002</v>
      </c>
      <c r="C85" s="72">
        <v>15.4</v>
      </c>
      <c r="D85" s="72">
        <v>16.02</v>
      </c>
      <c r="E85" s="72">
        <v>16.25</v>
      </c>
      <c r="F85" s="72">
        <v>16.59</v>
      </c>
      <c r="G85" s="72">
        <v>16.13</v>
      </c>
      <c r="H85" s="72">
        <v>17.55</v>
      </c>
      <c r="I85" s="72">
        <v>18.04</v>
      </c>
      <c r="J85" s="72">
        <v>18.25</v>
      </c>
      <c r="K85" s="72">
        <v>14.6</v>
      </c>
      <c r="L85" s="72">
        <v>14.96</v>
      </c>
      <c r="M85" s="72">
        <v>16.86</v>
      </c>
      <c r="N85" s="72">
        <v>17.72</v>
      </c>
      <c r="O85" s="72">
        <v>17.25</v>
      </c>
      <c r="P85" s="72">
        <v>18.239999999999998</v>
      </c>
      <c r="Q85" s="72">
        <v>19.420000000000002</v>
      </c>
      <c r="R85" s="72">
        <v>20.059999999999999</v>
      </c>
      <c r="S85" s="72">
        <v>15.93</v>
      </c>
      <c r="T85" s="72">
        <v>16.600000000000001</v>
      </c>
      <c r="U85" s="72">
        <v>18.93</v>
      </c>
      <c r="V85" s="72">
        <v>19.13</v>
      </c>
      <c r="W85" s="72">
        <v>15.9</v>
      </c>
      <c r="X85" s="72">
        <v>15.79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464241</v>
      </c>
      <c r="C88" s="273">
        <v>433415</v>
      </c>
      <c r="D88" s="273">
        <v>526249</v>
      </c>
      <c r="E88" s="273">
        <v>330898</v>
      </c>
      <c r="F88" s="273">
        <v>460920</v>
      </c>
      <c r="G88" s="273">
        <v>625483</v>
      </c>
      <c r="H88" s="273">
        <v>734613</v>
      </c>
      <c r="I88" s="273">
        <v>480978</v>
      </c>
      <c r="J88" s="273">
        <v>329117</v>
      </c>
      <c r="K88" s="273">
        <v>403659</v>
      </c>
      <c r="L88" s="273">
        <v>438464</v>
      </c>
      <c r="M88" s="273">
        <v>753233</v>
      </c>
      <c r="N88" s="273">
        <v>692160</v>
      </c>
      <c r="O88" s="273">
        <v>1061232</v>
      </c>
      <c r="P88" s="273">
        <v>557260</v>
      </c>
      <c r="Q88" s="273">
        <v>894521</v>
      </c>
      <c r="R88" s="273">
        <v>560119</v>
      </c>
      <c r="S88" s="273">
        <v>540918</v>
      </c>
      <c r="T88" s="273">
        <v>633313</v>
      </c>
      <c r="U88" s="273">
        <v>1019274</v>
      </c>
      <c r="V88" s="273">
        <v>442070</v>
      </c>
      <c r="W88" s="273">
        <v>522850</v>
      </c>
      <c r="X88" s="273">
        <v>390552</v>
      </c>
    </row>
    <row r="89" spans="1:25" ht="14.25" thickBot="1" x14ac:dyDescent="0.3">
      <c r="A89" s="250" t="s">
        <v>4</v>
      </c>
      <c r="B89" s="275">
        <v>150240</v>
      </c>
      <c r="C89" s="275">
        <v>133409</v>
      </c>
      <c r="D89" s="275">
        <v>181411</v>
      </c>
      <c r="E89" s="275">
        <v>109639</v>
      </c>
      <c r="F89" s="275">
        <v>142616</v>
      </c>
      <c r="G89" s="275">
        <v>225482</v>
      </c>
      <c r="H89" s="275">
        <v>270805</v>
      </c>
      <c r="I89" s="275">
        <v>148297</v>
      </c>
      <c r="J89" s="275">
        <v>112362</v>
      </c>
      <c r="K89" s="275">
        <v>99248</v>
      </c>
      <c r="L89" s="275">
        <v>134693</v>
      </c>
      <c r="M89" s="275">
        <v>299509</v>
      </c>
      <c r="N89" s="275">
        <v>238105</v>
      </c>
      <c r="O89" s="275">
        <v>401103</v>
      </c>
      <c r="P89" s="275">
        <v>190963</v>
      </c>
      <c r="Q89" s="275">
        <v>314407</v>
      </c>
      <c r="R89" s="275">
        <v>208092</v>
      </c>
      <c r="S89" s="275">
        <v>196729</v>
      </c>
      <c r="T89" s="275">
        <v>230645</v>
      </c>
      <c r="U89" s="275">
        <v>450902</v>
      </c>
      <c r="V89" s="275">
        <v>170471</v>
      </c>
      <c r="W89" s="275">
        <v>204139</v>
      </c>
      <c r="X89" s="275">
        <v>98101</v>
      </c>
    </row>
    <row r="90" spans="1:25" ht="14.25" thickBot="1" x14ac:dyDescent="0.3">
      <c r="A90" s="251" t="s">
        <v>5</v>
      </c>
      <c r="B90" s="273">
        <v>55329</v>
      </c>
      <c r="C90" s="273">
        <v>39278</v>
      </c>
      <c r="D90" s="273">
        <v>74202</v>
      </c>
      <c r="E90" s="273">
        <v>29071</v>
      </c>
      <c r="F90" s="273">
        <v>50928</v>
      </c>
      <c r="G90" s="273">
        <v>119207</v>
      </c>
      <c r="H90" s="273">
        <v>172293</v>
      </c>
      <c r="I90" s="273">
        <v>43195</v>
      </c>
      <c r="J90" s="273">
        <v>16835</v>
      </c>
      <c r="K90" s="273">
        <v>-6388</v>
      </c>
      <c r="L90" s="273">
        <v>32356</v>
      </c>
      <c r="M90" s="273">
        <v>182687</v>
      </c>
      <c r="N90" s="273">
        <v>125878</v>
      </c>
      <c r="O90" s="273">
        <v>243671</v>
      </c>
      <c r="P90" s="273">
        <v>89039</v>
      </c>
      <c r="Q90" s="273">
        <v>168985</v>
      </c>
      <c r="R90" s="273">
        <v>85068</v>
      </c>
      <c r="S90" s="273">
        <v>61036</v>
      </c>
      <c r="T90" s="273">
        <v>102630</v>
      </c>
      <c r="U90" s="273">
        <v>293359</v>
      </c>
      <c r="V90" s="273">
        <v>61288</v>
      </c>
      <c r="W90" s="273">
        <v>80931</v>
      </c>
      <c r="X90" s="273">
        <v>-19854</v>
      </c>
    </row>
    <row r="91" spans="1:25" ht="14.25" thickBot="1" x14ac:dyDescent="0.3">
      <c r="A91" s="250" t="s">
        <v>6</v>
      </c>
      <c r="B91" s="275">
        <v>56553</v>
      </c>
      <c r="C91" s="275">
        <v>42597</v>
      </c>
      <c r="D91" s="275">
        <v>79313</v>
      </c>
      <c r="E91" s="275">
        <v>26608</v>
      </c>
      <c r="F91" s="275">
        <v>54034</v>
      </c>
      <c r="G91" s="275">
        <v>124235</v>
      </c>
      <c r="H91" s="275">
        <v>174026</v>
      </c>
      <c r="I91" s="275">
        <v>48426</v>
      </c>
      <c r="J91" s="275">
        <v>17625</v>
      </c>
      <c r="K91" s="275">
        <v>-1196</v>
      </c>
      <c r="L91" s="275">
        <v>38761</v>
      </c>
      <c r="M91" s="275">
        <v>187269</v>
      </c>
      <c r="N91" s="275">
        <v>132101</v>
      </c>
      <c r="O91" s="275">
        <v>249887</v>
      </c>
      <c r="P91" s="275">
        <v>102699</v>
      </c>
      <c r="Q91" s="275">
        <v>171886</v>
      </c>
      <c r="R91" s="275">
        <v>91186</v>
      </c>
      <c r="S91" s="275">
        <v>64368</v>
      </c>
      <c r="T91" s="275">
        <v>105459</v>
      </c>
      <c r="U91" s="275">
        <v>298695</v>
      </c>
      <c r="V91" s="275">
        <v>61737</v>
      </c>
      <c r="W91" s="275">
        <v>83845</v>
      </c>
      <c r="X91" s="275">
        <v>-18295</v>
      </c>
    </row>
    <row r="92" spans="1:25" ht="14.25" thickBot="1" x14ac:dyDescent="0.3">
      <c r="A92" s="251" t="s">
        <v>7</v>
      </c>
      <c r="B92" s="273">
        <v>46934</v>
      </c>
      <c r="C92" s="273">
        <v>33898</v>
      </c>
      <c r="D92" s="273">
        <v>67255</v>
      </c>
      <c r="E92" s="273">
        <v>23158</v>
      </c>
      <c r="F92" s="273">
        <v>39863</v>
      </c>
      <c r="G92" s="273">
        <v>102257</v>
      </c>
      <c r="H92" s="273">
        <v>139021</v>
      </c>
      <c r="I92" s="273">
        <v>37608</v>
      </c>
      <c r="J92" s="273">
        <v>12399</v>
      </c>
      <c r="K92" s="273">
        <v>-3033</v>
      </c>
      <c r="L92" s="273">
        <v>23136</v>
      </c>
      <c r="M92" s="273">
        <v>156870</v>
      </c>
      <c r="N92" s="273">
        <v>103571</v>
      </c>
      <c r="O92" s="273">
        <v>196295</v>
      </c>
      <c r="P92" s="273">
        <v>77831</v>
      </c>
      <c r="Q92" s="273">
        <v>133056</v>
      </c>
      <c r="R92" s="273">
        <v>72355</v>
      </c>
      <c r="S92" s="273">
        <v>47882</v>
      </c>
      <c r="T92" s="273">
        <v>84605</v>
      </c>
      <c r="U92" s="273">
        <v>232354</v>
      </c>
      <c r="V92" s="273">
        <v>50863</v>
      </c>
      <c r="W92" s="273">
        <v>62507</v>
      </c>
      <c r="X92" s="273">
        <v>-21640</v>
      </c>
    </row>
    <row r="93" spans="1:25" ht="26.25" thickBot="1" x14ac:dyDescent="0.3">
      <c r="A93" s="252" t="s">
        <v>8</v>
      </c>
      <c r="B93" s="276">
        <v>46934</v>
      </c>
      <c r="C93" s="276">
        <v>33898</v>
      </c>
      <c r="D93" s="276">
        <v>67255</v>
      </c>
      <c r="E93" s="276">
        <v>23158</v>
      </c>
      <c r="F93" s="276">
        <v>39863</v>
      </c>
      <c r="G93" s="276">
        <v>102257</v>
      </c>
      <c r="H93" s="276">
        <v>139021</v>
      </c>
      <c r="I93" s="276">
        <v>37608</v>
      </c>
      <c r="J93" s="276">
        <v>12399</v>
      </c>
      <c r="K93" s="276">
        <v>-3033</v>
      </c>
      <c r="L93" s="276">
        <v>23136</v>
      </c>
      <c r="M93" s="276">
        <v>156870</v>
      </c>
      <c r="N93" s="276">
        <v>103571</v>
      </c>
      <c r="O93" s="276">
        <v>196295</v>
      </c>
      <c r="P93" s="276">
        <v>77831</v>
      </c>
      <c r="Q93" s="276">
        <v>133056</v>
      </c>
      <c r="R93" s="276">
        <v>72355</v>
      </c>
      <c r="S93" s="276">
        <v>47882</v>
      </c>
      <c r="T93" s="276">
        <v>84605</v>
      </c>
      <c r="U93" s="276">
        <v>232354</v>
      </c>
      <c r="V93" s="276">
        <v>50863</v>
      </c>
      <c r="W93" s="276">
        <v>62507</v>
      </c>
      <c r="X93" s="276">
        <v>-21640</v>
      </c>
    </row>
    <row r="94" spans="1:25" x14ac:dyDescent="0.25">
      <c r="A94" s="233" t="s">
        <v>365</v>
      </c>
      <c r="B94" s="253">
        <f>IF(B91="","",B91-B90)</f>
        <v>1224</v>
      </c>
      <c r="C94" s="253">
        <f>IF(C91="","",C91-C90)</f>
        <v>3319</v>
      </c>
      <c r="D94" s="253">
        <f t="shared" ref="D94:Y94" si="9">IF(D91="","",D91-D90)</f>
        <v>5111</v>
      </c>
      <c r="E94" s="253">
        <f t="shared" si="9"/>
        <v>-2463</v>
      </c>
      <c r="F94" s="253">
        <f t="shared" si="9"/>
        <v>3106</v>
      </c>
      <c r="G94" s="253">
        <f t="shared" si="9"/>
        <v>5028</v>
      </c>
      <c r="H94" s="253">
        <f t="shared" si="9"/>
        <v>1733</v>
      </c>
      <c r="I94" s="253">
        <f t="shared" si="9"/>
        <v>5231</v>
      </c>
      <c r="J94" s="253">
        <f t="shared" si="9"/>
        <v>790</v>
      </c>
      <c r="K94" s="253">
        <f t="shared" si="9"/>
        <v>5192</v>
      </c>
      <c r="L94" s="253">
        <f t="shared" si="9"/>
        <v>6405</v>
      </c>
      <c r="M94" s="253">
        <f t="shared" si="9"/>
        <v>4582</v>
      </c>
      <c r="N94" s="253">
        <f t="shared" si="9"/>
        <v>6223</v>
      </c>
      <c r="O94" s="253">
        <f t="shared" si="9"/>
        <v>6216</v>
      </c>
      <c r="P94" s="253">
        <f t="shared" si="9"/>
        <v>13660</v>
      </c>
      <c r="Q94" s="253">
        <f t="shared" si="9"/>
        <v>2901</v>
      </c>
      <c r="R94" s="253">
        <f t="shared" si="9"/>
        <v>6118</v>
      </c>
      <c r="S94" s="253">
        <f t="shared" si="9"/>
        <v>3332</v>
      </c>
      <c r="T94" s="253">
        <f t="shared" si="9"/>
        <v>2829</v>
      </c>
      <c r="U94" s="253">
        <f t="shared" si="9"/>
        <v>5336</v>
      </c>
      <c r="V94" s="253">
        <f t="shared" si="9"/>
        <v>449</v>
      </c>
      <c r="W94" s="253">
        <f t="shared" si="9"/>
        <v>2914</v>
      </c>
      <c r="X94" s="253">
        <f t="shared" si="9"/>
        <v>1559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1754803</v>
      </c>
      <c r="C97" s="273">
        <v>2301994</v>
      </c>
      <c r="D97" s="273">
        <v>1924473</v>
      </c>
      <c r="E97" s="273">
        <v>3205173</v>
      </c>
      <c r="F97" s="273">
        <v>2753624</v>
      </c>
    </row>
    <row r="98" spans="1:24" ht="14.25" thickBot="1" x14ac:dyDescent="0.3">
      <c r="A98" s="225" t="s">
        <v>4</v>
      </c>
      <c r="B98" s="275">
        <v>574699</v>
      </c>
      <c r="C98" s="275">
        <v>787200</v>
      </c>
      <c r="D98" s="275">
        <v>645812</v>
      </c>
      <c r="E98" s="275">
        <v>1144578</v>
      </c>
      <c r="F98" s="275">
        <v>1086368</v>
      </c>
    </row>
    <row r="99" spans="1:24" ht="14.25" thickBot="1" x14ac:dyDescent="0.3">
      <c r="A99" s="224" t="s">
        <v>5</v>
      </c>
      <c r="B99" s="273">
        <v>197880</v>
      </c>
      <c r="C99" s="273">
        <v>385623</v>
      </c>
      <c r="D99" s="273">
        <v>225284</v>
      </c>
      <c r="E99" s="273">
        <v>627573</v>
      </c>
      <c r="F99" s="273">
        <v>542093</v>
      </c>
    </row>
    <row r="100" spans="1:24" ht="14.25" thickBot="1" x14ac:dyDescent="0.3">
      <c r="A100" s="225" t="s">
        <v>6</v>
      </c>
      <c r="B100" s="275">
        <v>205071</v>
      </c>
      <c r="C100" s="275">
        <v>400721</v>
      </c>
      <c r="D100" s="275">
        <v>242253</v>
      </c>
      <c r="E100" s="275">
        <v>656573</v>
      </c>
      <c r="F100" s="275">
        <v>559708</v>
      </c>
    </row>
    <row r="101" spans="1:24" ht="14.25" thickBot="1" x14ac:dyDescent="0.3">
      <c r="A101" s="224" t="s">
        <v>7</v>
      </c>
      <c r="B101" s="273">
        <v>171245</v>
      </c>
      <c r="C101" s="273">
        <v>318749</v>
      </c>
      <c r="D101" s="273">
        <v>189166</v>
      </c>
      <c r="E101" s="273">
        <v>510753</v>
      </c>
      <c r="F101" s="273">
        <v>437196</v>
      </c>
    </row>
    <row r="102" spans="1:24" ht="14.25" thickBot="1" x14ac:dyDescent="0.3">
      <c r="A102" s="227" t="s">
        <v>8</v>
      </c>
      <c r="B102" s="276">
        <v>171245</v>
      </c>
      <c r="C102" s="276">
        <v>318749</v>
      </c>
      <c r="D102" s="276">
        <v>189166</v>
      </c>
      <c r="E102" s="276">
        <v>510753</v>
      </c>
      <c r="F102" s="276">
        <v>437196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1133642</v>
      </c>
      <c r="C106" s="273">
        <v>930305</v>
      </c>
      <c r="D106" s="273">
        <v>864361</v>
      </c>
      <c r="E106" s="273">
        <v>1027754</v>
      </c>
      <c r="F106" s="273">
        <v>1067822</v>
      </c>
      <c r="G106" s="273">
        <v>714282</v>
      </c>
      <c r="H106" s="273">
        <v>851816</v>
      </c>
      <c r="I106" s="273">
        <v>1016243</v>
      </c>
      <c r="J106" s="273">
        <v>980375</v>
      </c>
      <c r="K106" s="273">
        <v>640907</v>
      </c>
      <c r="L106" s="273">
        <v>604633</v>
      </c>
      <c r="M106" s="273">
        <v>802156</v>
      </c>
      <c r="N106" s="273">
        <v>960543</v>
      </c>
      <c r="O106" s="273">
        <v>1053966</v>
      </c>
      <c r="P106" s="273">
        <v>963917</v>
      </c>
      <c r="Q106" s="273">
        <v>1219593</v>
      </c>
      <c r="R106" s="273">
        <v>1294532</v>
      </c>
      <c r="S106" s="273">
        <v>1098783</v>
      </c>
      <c r="T106" s="273">
        <v>598203</v>
      </c>
      <c r="U106" s="273">
        <v>946626</v>
      </c>
      <c r="V106" s="273">
        <v>1248992</v>
      </c>
      <c r="W106" s="273">
        <v>1296249</v>
      </c>
      <c r="X106" s="273">
        <v>841052</v>
      </c>
    </row>
    <row r="107" spans="1:24" ht="14.25" thickBot="1" x14ac:dyDescent="0.3">
      <c r="A107" s="225" t="s">
        <v>22</v>
      </c>
      <c r="B107" s="274">
        <v>650</v>
      </c>
      <c r="C107" s="274">
        <v>347</v>
      </c>
      <c r="D107" s="275">
        <v>5873</v>
      </c>
      <c r="E107" s="275">
        <v>1047</v>
      </c>
      <c r="F107" s="274">
        <v>774</v>
      </c>
      <c r="G107" s="275">
        <v>1027</v>
      </c>
      <c r="H107" s="275">
        <v>2985</v>
      </c>
      <c r="I107" s="275">
        <v>1840</v>
      </c>
      <c r="J107" s="274">
        <v>59</v>
      </c>
      <c r="K107" s="275">
        <v>1679</v>
      </c>
      <c r="L107" s="275">
        <v>1657</v>
      </c>
      <c r="M107" s="275">
        <v>1331</v>
      </c>
      <c r="N107" s="275">
        <v>4231</v>
      </c>
      <c r="O107" s="275">
        <v>1995</v>
      </c>
      <c r="P107" s="275">
        <v>1608</v>
      </c>
      <c r="Q107" s="274">
        <v>232</v>
      </c>
      <c r="R107" s="275">
        <v>3996</v>
      </c>
      <c r="S107" s="274">
        <v>348</v>
      </c>
      <c r="T107" s="274">
        <v>989</v>
      </c>
      <c r="U107" s="275">
        <v>1057</v>
      </c>
      <c r="V107" s="275">
        <v>3578</v>
      </c>
      <c r="W107" s="275">
        <v>3912</v>
      </c>
      <c r="X107" s="275">
        <v>1585</v>
      </c>
    </row>
    <row r="108" spans="1:24" ht="14.25" thickBot="1" x14ac:dyDescent="0.3">
      <c r="A108" s="224" t="s">
        <v>263</v>
      </c>
      <c r="B108" s="273">
        <v>306989</v>
      </c>
      <c r="C108" s="273">
        <v>377216</v>
      </c>
      <c r="D108" s="273">
        <v>463284</v>
      </c>
      <c r="E108" s="273">
        <v>308485</v>
      </c>
      <c r="F108" s="273">
        <v>382271</v>
      </c>
      <c r="G108" s="273">
        <v>493974</v>
      </c>
      <c r="H108" s="273">
        <v>502620</v>
      </c>
      <c r="I108" s="273">
        <v>446121</v>
      </c>
      <c r="J108" s="273">
        <v>395498</v>
      </c>
      <c r="K108" s="273">
        <v>378817</v>
      </c>
      <c r="L108" s="273">
        <v>416643</v>
      </c>
      <c r="M108" s="273">
        <v>476611</v>
      </c>
      <c r="N108" s="273">
        <v>420214</v>
      </c>
      <c r="O108" s="273">
        <v>775867</v>
      </c>
      <c r="P108" s="273">
        <v>453818</v>
      </c>
      <c r="Q108" s="273">
        <v>587742</v>
      </c>
      <c r="R108" s="273">
        <v>249788</v>
      </c>
      <c r="S108" s="273">
        <v>529892</v>
      </c>
      <c r="T108" s="273">
        <v>645842</v>
      </c>
      <c r="U108" s="273">
        <v>794341</v>
      </c>
      <c r="V108" s="273">
        <v>358905</v>
      </c>
      <c r="W108" s="273">
        <v>310818</v>
      </c>
      <c r="X108" s="273">
        <v>300231</v>
      </c>
    </row>
    <row r="109" spans="1:24" ht="14.25" thickBot="1" x14ac:dyDescent="0.3">
      <c r="A109" s="225" t="s">
        <v>264</v>
      </c>
      <c r="B109" s="275">
        <v>417274</v>
      </c>
      <c r="C109" s="275">
        <v>381425</v>
      </c>
      <c r="D109" s="275">
        <v>340137</v>
      </c>
      <c r="E109" s="275">
        <v>355447</v>
      </c>
      <c r="F109" s="275">
        <v>345840</v>
      </c>
      <c r="G109" s="275">
        <v>414606</v>
      </c>
      <c r="H109" s="275">
        <v>355813</v>
      </c>
      <c r="I109" s="275">
        <v>339240</v>
      </c>
      <c r="J109" s="275">
        <v>430114</v>
      </c>
      <c r="K109" s="275">
        <v>383996</v>
      </c>
      <c r="L109" s="275">
        <v>504085</v>
      </c>
      <c r="M109" s="275">
        <v>564595</v>
      </c>
      <c r="N109" s="275">
        <v>506461</v>
      </c>
      <c r="O109" s="275">
        <v>544384</v>
      </c>
      <c r="P109" s="275">
        <v>499787</v>
      </c>
      <c r="Q109" s="275">
        <v>522777</v>
      </c>
      <c r="R109" s="275">
        <v>521373</v>
      </c>
      <c r="S109" s="275">
        <v>446861</v>
      </c>
      <c r="T109" s="275">
        <v>427965</v>
      </c>
      <c r="U109" s="275">
        <v>313627</v>
      </c>
      <c r="V109" s="275">
        <v>400393</v>
      </c>
      <c r="W109" s="275">
        <v>345971</v>
      </c>
      <c r="X109" s="275">
        <v>374303</v>
      </c>
    </row>
    <row r="110" spans="1:24" ht="14.25" thickBot="1" x14ac:dyDescent="0.3">
      <c r="A110" s="224" t="s">
        <v>23</v>
      </c>
      <c r="B110" s="273">
        <v>36016</v>
      </c>
      <c r="C110" s="273">
        <v>40818</v>
      </c>
      <c r="D110" s="273">
        <v>38832</v>
      </c>
      <c r="E110" s="273">
        <v>47152</v>
      </c>
      <c r="F110" s="273">
        <v>34599</v>
      </c>
      <c r="G110" s="273">
        <v>314597</v>
      </c>
      <c r="H110" s="273">
        <v>299157</v>
      </c>
      <c r="I110" s="273">
        <v>244424</v>
      </c>
      <c r="J110" s="273">
        <v>250904</v>
      </c>
      <c r="K110" s="273">
        <v>257927</v>
      </c>
      <c r="L110" s="273">
        <v>263144</v>
      </c>
      <c r="M110" s="273">
        <v>280483</v>
      </c>
      <c r="N110" s="273">
        <v>245831</v>
      </c>
      <c r="O110" s="273">
        <v>246729</v>
      </c>
      <c r="P110" s="273">
        <v>247516</v>
      </c>
      <c r="Q110" s="273">
        <v>290622</v>
      </c>
      <c r="R110" s="273">
        <v>326556</v>
      </c>
      <c r="S110" s="273">
        <v>340079</v>
      </c>
      <c r="T110" s="273">
        <v>342345</v>
      </c>
      <c r="U110" s="273">
        <v>329341</v>
      </c>
      <c r="V110" s="273">
        <v>333864</v>
      </c>
      <c r="W110" s="273">
        <v>352110</v>
      </c>
      <c r="X110" s="273">
        <v>368917</v>
      </c>
    </row>
    <row r="111" spans="1:24" ht="14.25" thickBot="1" x14ac:dyDescent="0.3">
      <c r="A111" s="225" t="s">
        <v>24</v>
      </c>
      <c r="B111" s="275">
        <v>1894571</v>
      </c>
      <c r="C111" s="275">
        <v>1730111</v>
      </c>
      <c r="D111" s="275">
        <v>1712487</v>
      </c>
      <c r="E111" s="275">
        <v>1739885</v>
      </c>
      <c r="F111" s="275">
        <v>1831306</v>
      </c>
      <c r="G111" s="275">
        <v>1938486</v>
      </c>
      <c r="H111" s="275">
        <v>2012391</v>
      </c>
      <c r="I111" s="275">
        <v>2047868</v>
      </c>
      <c r="J111" s="275">
        <v>2056950</v>
      </c>
      <c r="K111" s="275">
        <v>1663326</v>
      </c>
      <c r="L111" s="275">
        <v>1790162</v>
      </c>
      <c r="M111" s="275">
        <v>2125176</v>
      </c>
      <c r="N111" s="275">
        <v>2137280</v>
      </c>
      <c r="O111" s="275">
        <v>2622941</v>
      </c>
      <c r="P111" s="275">
        <v>2166646</v>
      </c>
      <c r="Q111" s="275">
        <v>2620966</v>
      </c>
      <c r="R111" s="275">
        <v>2396245</v>
      </c>
      <c r="S111" s="275">
        <v>2415963</v>
      </c>
      <c r="T111" s="275">
        <v>2015344</v>
      </c>
      <c r="U111" s="275">
        <v>2384992</v>
      </c>
      <c r="V111" s="275">
        <v>2345732</v>
      </c>
      <c r="W111" s="275">
        <v>2309060</v>
      </c>
      <c r="X111" s="275">
        <v>1886088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132897</v>
      </c>
      <c r="C113" s="275">
        <v>132756</v>
      </c>
      <c r="D113" s="275">
        <v>130705</v>
      </c>
      <c r="E113" s="275">
        <v>127131</v>
      </c>
      <c r="F113" s="275">
        <v>124409</v>
      </c>
      <c r="G113" s="275">
        <v>121359</v>
      </c>
      <c r="H113" s="275">
        <v>118555</v>
      </c>
      <c r="I113" s="275">
        <v>115990</v>
      </c>
      <c r="J113" s="275">
        <v>113710</v>
      </c>
      <c r="K113" s="275">
        <v>111710</v>
      </c>
      <c r="L113" s="275">
        <v>109494</v>
      </c>
      <c r="M113" s="275">
        <v>107153</v>
      </c>
      <c r="N113" s="275">
        <v>104472</v>
      </c>
      <c r="O113" s="275">
        <v>103331</v>
      </c>
      <c r="P113" s="275">
        <v>104947</v>
      </c>
      <c r="Q113" s="275">
        <v>104531</v>
      </c>
      <c r="R113" s="275">
        <v>102736</v>
      </c>
      <c r="S113" s="275">
        <v>101143</v>
      </c>
      <c r="T113" s="275">
        <v>99290</v>
      </c>
      <c r="U113" s="275">
        <v>100653</v>
      </c>
      <c r="V113" s="275">
        <v>98353</v>
      </c>
      <c r="W113" s="275">
        <v>97756</v>
      </c>
      <c r="X113" s="275">
        <v>96994</v>
      </c>
    </row>
    <row r="114" spans="1:24" ht="14.25" thickBot="1" x14ac:dyDescent="0.3">
      <c r="A114" s="224" t="s">
        <v>27</v>
      </c>
      <c r="B114" s="273">
        <v>8778</v>
      </c>
      <c r="C114" s="273">
        <v>7782</v>
      </c>
      <c r="D114" s="273">
        <v>7148</v>
      </c>
      <c r="E114" s="273">
        <v>6032</v>
      </c>
      <c r="F114" s="273">
        <v>23928</v>
      </c>
      <c r="G114" s="273">
        <v>24128</v>
      </c>
      <c r="H114" s="273">
        <v>23501</v>
      </c>
      <c r="I114" s="273">
        <v>17611</v>
      </c>
      <c r="J114" s="273">
        <v>18803</v>
      </c>
      <c r="K114" s="273">
        <v>19171</v>
      </c>
      <c r="L114" s="273">
        <v>19073</v>
      </c>
      <c r="M114" s="273">
        <v>20672</v>
      </c>
      <c r="N114" s="273">
        <v>20696</v>
      </c>
      <c r="O114" s="273">
        <v>26001</v>
      </c>
      <c r="P114" s="273">
        <v>26357</v>
      </c>
      <c r="Q114" s="273">
        <v>34370</v>
      </c>
      <c r="R114" s="273">
        <v>35322</v>
      </c>
      <c r="S114" s="273">
        <v>34608</v>
      </c>
      <c r="T114" s="273">
        <v>33530</v>
      </c>
      <c r="U114" s="273">
        <v>30546</v>
      </c>
      <c r="V114" s="273">
        <v>28170</v>
      </c>
      <c r="W114" s="273">
        <v>27608</v>
      </c>
      <c r="X114" s="273">
        <v>27416</v>
      </c>
    </row>
    <row r="115" spans="1:24" ht="14.25" thickBot="1" x14ac:dyDescent="0.3">
      <c r="A115" s="225" t="s">
        <v>265</v>
      </c>
      <c r="B115" s="276">
        <v>2036246</v>
      </c>
      <c r="C115" s="276">
        <v>1870649</v>
      </c>
      <c r="D115" s="276">
        <v>1850340</v>
      </c>
      <c r="E115" s="276">
        <v>1873048</v>
      </c>
      <c r="F115" s="276">
        <v>1979643</v>
      </c>
      <c r="G115" s="276">
        <v>2083973</v>
      </c>
      <c r="H115" s="276">
        <v>2154447</v>
      </c>
      <c r="I115" s="276">
        <v>2181469</v>
      </c>
      <c r="J115" s="276">
        <v>2189463</v>
      </c>
      <c r="K115" s="276">
        <v>1794207</v>
      </c>
      <c r="L115" s="276">
        <v>1918729</v>
      </c>
      <c r="M115" s="276">
        <v>2253001</v>
      </c>
      <c r="N115" s="276">
        <v>2262448</v>
      </c>
      <c r="O115" s="276">
        <v>2752273</v>
      </c>
      <c r="P115" s="276">
        <v>2297950</v>
      </c>
      <c r="Q115" s="276">
        <v>2759867</v>
      </c>
      <c r="R115" s="276">
        <v>2534303</v>
      </c>
      <c r="S115" s="276">
        <v>2551714</v>
      </c>
      <c r="T115" s="276">
        <v>2148164</v>
      </c>
      <c r="U115" s="276">
        <v>2516191</v>
      </c>
      <c r="V115" s="276">
        <v>2472255</v>
      </c>
      <c r="W115" s="276">
        <v>2434424</v>
      </c>
      <c r="X115" s="276">
        <v>2010498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185738</v>
      </c>
      <c r="C120" s="273">
        <v>200974</v>
      </c>
      <c r="D120" s="273">
        <v>169472</v>
      </c>
      <c r="E120" s="273">
        <v>157647</v>
      </c>
      <c r="F120" s="273">
        <v>179480</v>
      </c>
      <c r="G120" s="273">
        <v>313146</v>
      </c>
      <c r="H120" s="273">
        <v>240146</v>
      </c>
      <c r="I120" s="273">
        <v>200901</v>
      </c>
      <c r="J120" s="273">
        <v>184910</v>
      </c>
      <c r="K120" s="273">
        <v>166297</v>
      </c>
      <c r="L120" s="273">
        <v>276973</v>
      </c>
      <c r="M120" s="273">
        <v>373622</v>
      </c>
      <c r="N120" s="273">
        <v>237128</v>
      </c>
      <c r="O120" s="273">
        <v>473670</v>
      </c>
      <c r="P120" s="273">
        <v>188224</v>
      </c>
      <c r="Q120" s="273">
        <v>452551</v>
      </c>
      <c r="R120" s="273">
        <v>204272</v>
      </c>
      <c r="S120" s="273">
        <v>232312</v>
      </c>
      <c r="T120" s="273">
        <v>253076</v>
      </c>
      <c r="U120" s="273">
        <v>328763</v>
      </c>
      <c r="V120" s="273">
        <v>276660</v>
      </c>
      <c r="W120" s="273">
        <v>147043</v>
      </c>
      <c r="X120" s="273">
        <v>204188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164716</v>
      </c>
      <c r="C123" s="275">
        <v>177095</v>
      </c>
      <c r="D123" s="275">
        <v>128453</v>
      </c>
      <c r="E123" s="275">
        <v>140588</v>
      </c>
      <c r="F123" s="275">
        <v>159800</v>
      </c>
      <c r="G123" s="275">
        <v>171088</v>
      </c>
      <c r="H123" s="275">
        <v>179978</v>
      </c>
      <c r="I123" s="275">
        <v>193876</v>
      </c>
      <c r="J123" s="275">
        <v>195109</v>
      </c>
      <c r="K123" s="275">
        <v>162269</v>
      </c>
      <c r="L123" s="275">
        <v>138492</v>
      </c>
      <c r="M123" s="275">
        <v>188302</v>
      </c>
      <c r="N123" s="275">
        <v>240444</v>
      </c>
      <c r="O123" s="275">
        <v>540450</v>
      </c>
      <c r="P123" s="275">
        <v>274875</v>
      </c>
      <c r="Q123" s="275">
        <v>337277</v>
      </c>
      <c r="R123" s="275">
        <v>310737</v>
      </c>
      <c r="S123" s="275">
        <v>690107</v>
      </c>
      <c r="T123" s="275">
        <v>211479</v>
      </c>
      <c r="U123" s="275">
        <v>271418</v>
      </c>
      <c r="V123" s="275">
        <v>268835</v>
      </c>
      <c r="W123" s="275">
        <v>662386</v>
      </c>
      <c r="X123" s="275">
        <v>188361</v>
      </c>
    </row>
    <row r="124" spans="1:24" ht="14.25" thickBot="1" x14ac:dyDescent="0.3">
      <c r="A124" s="224" t="s">
        <v>268</v>
      </c>
      <c r="B124" s="273">
        <v>350454</v>
      </c>
      <c r="C124" s="273">
        <v>378069</v>
      </c>
      <c r="D124" s="273">
        <v>297925</v>
      </c>
      <c r="E124" s="273">
        <v>298235</v>
      </c>
      <c r="F124" s="273">
        <v>339280</v>
      </c>
      <c r="G124" s="273">
        <v>484234</v>
      </c>
      <c r="H124" s="273">
        <v>420124</v>
      </c>
      <c r="I124" s="273">
        <v>394777</v>
      </c>
      <c r="J124" s="273">
        <v>380019</v>
      </c>
      <c r="K124" s="273">
        <v>328566</v>
      </c>
      <c r="L124" s="273">
        <v>415465</v>
      </c>
      <c r="M124" s="273">
        <v>561924</v>
      </c>
      <c r="N124" s="273">
        <v>477572</v>
      </c>
      <c r="O124" s="273">
        <v>1014120</v>
      </c>
      <c r="P124" s="273">
        <v>463099</v>
      </c>
      <c r="Q124" s="273">
        <v>789828</v>
      </c>
      <c r="R124" s="273">
        <v>515009</v>
      </c>
      <c r="S124" s="273">
        <v>922419</v>
      </c>
      <c r="T124" s="273">
        <v>464555</v>
      </c>
      <c r="U124" s="273">
        <v>600181</v>
      </c>
      <c r="V124" s="273">
        <v>545495</v>
      </c>
      <c r="W124" s="273">
        <v>809429</v>
      </c>
      <c r="X124" s="273">
        <v>392549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74728</v>
      </c>
      <c r="G125" s="275">
        <v>77453</v>
      </c>
      <c r="H125" s="275">
        <v>77663</v>
      </c>
      <c r="I125" s="275">
        <v>83858</v>
      </c>
      <c r="J125" s="275">
        <v>87055</v>
      </c>
      <c r="K125" s="275">
        <v>87478</v>
      </c>
      <c r="L125" s="275">
        <v>91025</v>
      </c>
      <c r="M125" s="275">
        <v>99170</v>
      </c>
      <c r="N125" s="275">
        <v>112513</v>
      </c>
      <c r="O125" s="275">
        <v>109916</v>
      </c>
      <c r="P125" s="275">
        <v>112651</v>
      </c>
      <c r="Q125" s="275">
        <v>136751</v>
      </c>
      <c r="R125" s="275">
        <v>125239</v>
      </c>
      <c r="S125" s="275">
        <v>125698</v>
      </c>
      <c r="T125" s="275">
        <v>116448</v>
      </c>
      <c r="U125" s="275">
        <v>129045</v>
      </c>
      <c r="V125" s="275">
        <v>121366</v>
      </c>
      <c r="W125" s="275">
        <v>123758</v>
      </c>
      <c r="X125" s="275">
        <v>126999</v>
      </c>
    </row>
    <row r="126" spans="1:24" ht="14.25" thickBot="1" x14ac:dyDescent="0.3">
      <c r="A126" s="224" t="s">
        <v>33</v>
      </c>
      <c r="B126" s="273">
        <v>32810</v>
      </c>
      <c r="C126" s="273">
        <v>38576</v>
      </c>
      <c r="D126" s="273">
        <v>40235</v>
      </c>
      <c r="E126" s="273">
        <v>40850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383264</v>
      </c>
      <c r="C127" s="275">
        <v>416645</v>
      </c>
      <c r="D127" s="275">
        <v>338160</v>
      </c>
      <c r="E127" s="275">
        <v>339085</v>
      </c>
      <c r="F127" s="275">
        <v>414008</v>
      </c>
      <c r="G127" s="275">
        <v>561687</v>
      </c>
      <c r="H127" s="275">
        <v>497787</v>
      </c>
      <c r="I127" s="275">
        <v>478635</v>
      </c>
      <c r="J127" s="275">
        <v>467074</v>
      </c>
      <c r="K127" s="275">
        <v>416044</v>
      </c>
      <c r="L127" s="275">
        <v>506490</v>
      </c>
      <c r="M127" s="275">
        <v>661094</v>
      </c>
      <c r="N127" s="275">
        <v>590085</v>
      </c>
      <c r="O127" s="275">
        <v>1124036</v>
      </c>
      <c r="P127" s="275">
        <v>575750</v>
      </c>
      <c r="Q127" s="275">
        <v>926579</v>
      </c>
      <c r="R127" s="275">
        <v>640248</v>
      </c>
      <c r="S127" s="275">
        <v>1048117</v>
      </c>
      <c r="T127" s="275">
        <v>581003</v>
      </c>
      <c r="U127" s="275">
        <v>729226</v>
      </c>
      <c r="V127" s="275">
        <v>666861</v>
      </c>
      <c r="W127" s="275">
        <v>933187</v>
      </c>
      <c r="X127" s="275">
        <v>519548</v>
      </c>
    </row>
    <row r="128" spans="1:24" ht="14.25" thickBot="1" x14ac:dyDescent="0.3">
      <c r="A128" s="224" t="s">
        <v>34</v>
      </c>
      <c r="B128" s="273">
        <v>1652982</v>
      </c>
      <c r="C128" s="273">
        <v>1454004</v>
      </c>
      <c r="D128" s="273">
        <v>1512180</v>
      </c>
      <c r="E128" s="273">
        <v>1533963</v>
      </c>
      <c r="F128" s="273">
        <v>1565635</v>
      </c>
      <c r="G128" s="273">
        <v>1522286</v>
      </c>
      <c r="H128" s="273">
        <v>1656660</v>
      </c>
      <c r="I128" s="273">
        <v>1702834</v>
      </c>
      <c r="J128" s="273">
        <v>1722389</v>
      </c>
      <c r="K128" s="273">
        <v>1378163</v>
      </c>
      <c r="L128" s="273">
        <v>1412239</v>
      </c>
      <c r="M128" s="273">
        <v>1591907</v>
      </c>
      <c r="N128" s="273">
        <v>1672363</v>
      </c>
      <c r="O128" s="273">
        <v>1628237</v>
      </c>
      <c r="P128" s="273">
        <v>1722200</v>
      </c>
      <c r="Q128" s="273">
        <v>1833288</v>
      </c>
      <c r="R128" s="273">
        <v>1894055</v>
      </c>
      <c r="S128" s="273">
        <v>1503597</v>
      </c>
      <c r="T128" s="273">
        <v>1567161</v>
      </c>
      <c r="U128" s="273">
        <v>1786965</v>
      </c>
      <c r="V128" s="273">
        <v>1805394</v>
      </c>
      <c r="W128" s="273">
        <v>1501237</v>
      </c>
      <c r="X128" s="273">
        <v>1490950</v>
      </c>
    </row>
    <row r="129" spans="1:24" ht="14.25" thickBot="1" x14ac:dyDescent="0.3">
      <c r="A129" s="225" t="s">
        <v>35</v>
      </c>
      <c r="B129" s="276">
        <v>2036246</v>
      </c>
      <c r="C129" s="276">
        <v>1870649</v>
      </c>
      <c r="D129" s="276">
        <v>1850340</v>
      </c>
      <c r="E129" s="276">
        <v>1873048</v>
      </c>
      <c r="F129" s="276">
        <v>1979643</v>
      </c>
      <c r="G129" s="276">
        <v>2083973</v>
      </c>
      <c r="H129" s="276">
        <v>2154447</v>
      </c>
      <c r="I129" s="276">
        <v>2181469</v>
      </c>
      <c r="J129" s="276">
        <v>2189463</v>
      </c>
      <c r="K129" s="276">
        <v>1794207</v>
      </c>
      <c r="L129" s="276">
        <v>1918729</v>
      </c>
      <c r="M129" s="276">
        <v>2253001</v>
      </c>
      <c r="N129" s="276">
        <v>2262448</v>
      </c>
      <c r="O129" s="276">
        <v>2752273</v>
      </c>
      <c r="P129" s="276">
        <v>2297950</v>
      </c>
      <c r="Q129" s="276">
        <v>2759867</v>
      </c>
      <c r="R129" s="276">
        <v>2534303</v>
      </c>
      <c r="S129" s="276">
        <v>2551714</v>
      </c>
      <c r="T129" s="276">
        <v>2148164</v>
      </c>
      <c r="U129" s="276">
        <v>2516191</v>
      </c>
      <c r="V129" s="276">
        <v>2472255</v>
      </c>
      <c r="W129" s="276">
        <v>2434424</v>
      </c>
      <c r="X129" s="276">
        <v>2010498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1.97</v>
      </c>
      <c r="C132" s="68">
        <v>3.41</v>
      </c>
      <c r="D132" s="68">
        <v>0.85</v>
      </c>
      <c r="E132" s="68">
        <v>7.77</v>
      </c>
      <c r="F132" s="68">
        <v>2.9</v>
      </c>
    </row>
    <row r="133" spans="1:24" ht="14.25" thickBot="1" x14ac:dyDescent="0.3">
      <c r="A133" s="225" t="s">
        <v>37</v>
      </c>
      <c r="B133" s="274">
        <v>-7.0000000000000007E-2</v>
      </c>
      <c r="C133" s="274">
        <v>0.5</v>
      </c>
      <c r="D133" s="274">
        <v>-0.02</v>
      </c>
      <c r="E133" s="274">
        <v>-0.7</v>
      </c>
      <c r="F133" s="274">
        <v>-0.56000000000000005</v>
      </c>
    </row>
    <row r="134" spans="1:24" ht="14.25" thickBot="1" x14ac:dyDescent="0.3">
      <c r="A134" s="224" t="s">
        <v>38</v>
      </c>
      <c r="B134" s="68">
        <v>-2.5499999999999998</v>
      </c>
      <c r="C134" s="68">
        <v>-1.64</v>
      </c>
      <c r="D134" s="68">
        <v>-3.5</v>
      </c>
      <c r="E134" s="68">
        <v>-2.5</v>
      </c>
      <c r="F134" s="68">
        <v>-4.5</v>
      </c>
    </row>
    <row r="135" spans="1:24" ht="14.25" thickBot="1" x14ac:dyDescent="0.3">
      <c r="A135" s="225" t="s">
        <v>270</v>
      </c>
      <c r="B135" s="274">
        <v>1.89</v>
      </c>
      <c r="C135" s="274">
        <v>3.91</v>
      </c>
      <c r="D135" s="274">
        <v>0.83</v>
      </c>
      <c r="E135" s="274">
        <v>7.07</v>
      </c>
      <c r="F135" s="274">
        <v>2.34</v>
      </c>
    </row>
    <row r="136" spans="1:24" ht="14.25" thickBot="1" x14ac:dyDescent="0.3">
      <c r="A136" s="229" t="s">
        <v>39</v>
      </c>
      <c r="B136" s="72">
        <v>-0.65</v>
      </c>
      <c r="C136" s="72">
        <v>2.27</v>
      </c>
      <c r="D136" s="72">
        <v>-2.66</v>
      </c>
      <c r="E136" s="72">
        <v>4.57</v>
      </c>
      <c r="F136" s="72">
        <v>-2.16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1.63</v>
      </c>
      <c r="C140" s="68">
        <v>3.5</v>
      </c>
      <c r="D140" s="68">
        <v>2.5</v>
      </c>
      <c r="E140" s="68">
        <v>4.5</v>
      </c>
      <c r="F140" s="68">
        <v>4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0.89560439560439564</v>
      </c>
      <c r="C142" s="234">
        <f>IF(C140&lt;&gt;"無",IF(ISNA(HLOOKUP(C139,$B$64:$F$69,6,FALSE)),"",C140/HLOOKUP(C139,$B$64:$F$69,6,FALSE)),"")</f>
        <v>1.0385756676557865</v>
      </c>
      <c r="D142" s="234">
        <f>IF(D140&lt;&gt;"無",IF(ISNA(HLOOKUP(D139,$B$64:$F$69,6,FALSE)),"",D140/HLOOKUP(D139,$B$64:$F$69,6,FALSE)),"")</f>
        <v>1.2437810945273633</v>
      </c>
      <c r="E142" s="234">
        <f>IF(E140&lt;&gt;"無",IF(ISNA(HLOOKUP(E139,$B$64:$F$69,6,FALSE)),"",E140/HLOOKUP(E139,$B$64:$F$69,6,FALSE)),"")</f>
        <v>0.83179297597042512</v>
      </c>
      <c r="F142" s="234">
        <f>IF(F140&lt;&gt;"無",IF(ISNA(HLOOKUP(F139,$B$64:$F$69,6,FALSE)),"",F140/HLOOKUP(F139,$B$64:$F$69,6,FALSE)),"")</f>
        <v>0.86206896551724133</v>
      </c>
    </row>
    <row r="143" spans="1:24" x14ac:dyDescent="0.25">
      <c r="A143" s="233" t="s">
        <v>216</v>
      </c>
      <c r="B143" s="234">
        <f>IF(OR(B140=0,B140="無"),"",B135/B140)</f>
        <v>1.1595092024539877</v>
      </c>
      <c r="C143" s="234">
        <f>IF(OR(C140=0,C140="無"),"",C135/C140)</f>
        <v>1.1171428571428572</v>
      </c>
      <c r="D143" s="234">
        <f>IF(OR(D140=0,D140="無"),"",D135/D140)</f>
        <v>0.33199999999999996</v>
      </c>
      <c r="E143" s="234">
        <f>IF(OR(E140=0,E140="無"),"",E135/E140)</f>
        <v>1.5711111111111111</v>
      </c>
      <c r="F143" s="234">
        <f>IF(OR(F140=0,F140="無"),"",F135/F140)</f>
        <v>0.58499999999999996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32.36</v>
      </c>
      <c r="C146" s="68">
        <v>30.78</v>
      </c>
      <c r="D146" s="68">
        <v>34.47</v>
      </c>
      <c r="E146" s="68">
        <v>33.130000000000003</v>
      </c>
      <c r="F146" s="68">
        <v>30.94</v>
      </c>
      <c r="G146" s="68">
        <v>36.049999999999997</v>
      </c>
      <c r="H146" s="68">
        <v>36.86</v>
      </c>
      <c r="I146" s="68">
        <v>30.83</v>
      </c>
      <c r="J146" s="68">
        <v>34.14</v>
      </c>
      <c r="K146" s="68">
        <v>24.59</v>
      </c>
      <c r="L146" s="68">
        <v>30.72</v>
      </c>
      <c r="M146" s="68">
        <v>39.76</v>
      </c>
      <c r="N146" s="68">
        <v>34.4</v>
      </c>
      <c r="O146" s="68">
        <v>37.799999999999997</v>
      </c>
      <c r="P146" s="68">
        <v>34.270000000000003</v>
      </c>
      <c r="Q146" s="68">
        <v>35.15</v>
      </c>
      <c r="R146" s="68">
        <v>37.15</v>
      </c>
      <c r="S146" s="68">
        <v>36.369999999999997</v>
      </c>
      <c r="T146" s="68">
        <v>36.42</v>
      </c>
      <c r="U146" s="68">
        <v>44.24</v>
      </c>
      <c r="V146" s="68">
        <v>38.56</v>
      </c>
      <c r="W146" s="68">
        <v>39.04</v>
      </c>
      <c r="X146" s="68">
        <v>25.12</v>
      </c>
    </row>
    <row r="147" spans="1:24" s="93" customFormat="1" ht="14.25" thickBot="1" x14ac:dyDescent="0.3">
      <c r="A147" s="225" t="s">
        <v>19</v>
      </c>
      <c r="B147" s="274">
        <v>11.92</v>
      </c>
      <c r="C147" s="274">
        <v>9.06</v>
      </c>
      <c r="D147" s="274">
        <v>14.1</v>
      </c>
      <c r="E147" s="274">
        <v>8.7899999999999991</v>
      </c>
      <c r="F147" s="274">
        <v>11.05</v>
      </c>
      <c r="G147" s="274">
        <v>19.059999999999999</v>
      </c>
      <c r="H147" s="274">
        <v>23.45</v>
      </c>
      <c r="I147" s="274">
        <v>8.98</v>
      </c>
      <c r="J147" s="274">
        <v>5.12</v>
      </c>
      <c r="K147" s="274">
        <v>-1.58</v>
      </c>
      <c r="L147" s="274">
        <v>7.38</v>
      </c>
      <c r="M147" s="274">
        <v>24.25</v>
      </c>
      <c r="N147" s="274">
        <v>18.190000000000001</v>
      </c>
      <c r="O147" s="274">
        <v>22.96</v>
      </c>
      <c r="P147" s="274">
        <v>15.98</v>
      </c>
      <c r="Q147" s="274">
        <v>18.89</v>
      </c>
      <c r="R147" s="274">
        <v>15.19</v>
      </c>
      <c r="S147" s="274">
        <v>11.28</v>
      </c>
      <c r="T147" s="274">
        <v>16.21</v>
      </c>
      <c r="U147" s="274">
        <v>28.78</v>
      </c>
      <c r="V147" s="274">
        <v>13.86</v>
      </c>
      <c r="W147" s="274">
        <v>15.48</v>
      </c>
      <c r="X147" s="274">
        <v>-5.08</v>
      </c>
    </row>
    <row r="148" spans="1:24" s="93" customFormat="1" ht="14.25" thickBot="1" x14ac:dyDescent="0.3">
      <c r="A148" s="224" t="s">
        <v>41</v>
      </c>
      <c r="B148" s="68">
        <v>12.18</v>
      </c>
      <c r="C148" s="68">
        <v>9.83</v>
      </c>
      <c r="D148" s="68">
        <v>15.07</v>
      </c>
      <c r="E148" s="68">
        <v>8.0399999999999991</v>
      </c>
      <c r="F148" s="68">
        <v>11.72</v>
      </c>
      <c r="G148" s="68">
        <v>19.86</v>
      </c>
      <c r="H148" s="68">
        <v>23.69</v>
      </c>
      <c r="I148" s="68">
        <v>10.07</v>
      </c>
      <c r="J148" s="68">
        <v>5.36</v>
      </c>
      <c r="K148" s="68">
        <v>-0.3</v>
      </c>
      <c r="L148" s="68">
        <v>8.84</v>
      </c>
      <c r="M148" s="68">
        <v>24.86</v>
      </c>
      <c r="N148" s="68">
        <v>19.09</v>
      </c>
      <c r="O148" s="68">
        <v>23.55</v>
      </c>
      <c r="P148" s="68">
        <v>18.43</v>
      </c>
      <c r="Q148" s="68">
        <v>19.22</v>
      </c>
      <c r="R148" s="68">
        <v>16.28</v>
      </c>
      <c r="S148" s="68">
        <v>11.9</v>
      </c>
      <c r="T148" s="68">
        <v>16.649999999999999</v>
      </c>
      <c r="U148" s="68">
        <v>29.3</v>
      </c>
      <c r="V148" s="68">
        <v>13.97</v>
      </c>
      <c r="W148" s="68">
        <v>16.04</v>
      </c>
      <c r="X148" s="68">
        <v>-4.68</v>
      </c>
    </row>
    <row r="149" spans="1:24" s="93" customFormat="1" ht="14.25" thickBot="1" x14ac:dyDescent="0.3">
      <c r="A149" s="225" t="s">
        <v>13</v>
      </c>
      <c r="B149" s="73">
        <v>10.11</v>
      </c>
      <c r="C149" s="73">
        <v>7.82</v>
      </c>
      <c r="D149" s="73">
        <v>12.78</v>
      </c>
      <c r="E149" s="73">
        <v>7</v>
      </c>
      <c r="F149" s="73">
        <v>8.65</v>
      </c>
      <c r="G149" s="73">
        <v>16.350000000000001</v>
      </c>
      <c r="H149" s="73">
        <v>18.920000000000002</v>
      </c>
      <c r="I149" s="73">
        <v>7.82</v>
      </c>
      <c r="J149" s="73">
        <v>3.77</v>
      </c>
      <c r="K149" s="73">
        <v>-0.75</v>
      </c>
      <c r="L149" s="73">
        <v>5.28</v>
      </c>
      <c r="M149" s="73">
        <v>20.83</v>
      </c>
      <c r="N149" s="73">
        <v>14.96</v>
      </c>
      <c r="O149" s="73">
        <v>18.5</v>
      </c>
      <c r="P149" s="73">
        <v>13.97</v>
      </c>
      <c r="Q149" s="73">
        <v>14.87</v>
      </c>
      <c r="R149" s="73">
        <v>12.92</v>
      </c>
      <c r="S149" s="73">
        <v>8.85</v>
      </c>
      <c r="T149" s="73">
        <v>13.36</v>
      </c>
      <c r="U149" s="73">
        <v>22.8</v>
      </c>
      <c r="V149" s="73">
        <v>11.51</v>
      </c>
      <c r="W149" s="73">
        <v>11.96</v>
      </c>
      <c r="X149" s="73">
        <v>-5.54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32.75</v>
      </c>
      <c r="C152" s="68">
        <v>34.200000000000003</v>
      </c>
      <c r="D152" s="68">
        <v>33.56</v>
      </c>
      <c r="E152" s="68">
        <v>35.71</v>
      </c>
      <c r="F152" s="68">
        <v>39.450000000000003</v>
      </c>
    </row>
    <row r="153" spans="1:24" s="93" customFormat="1" ht="14.25" thickBot="1" x14ac:dyDescent="0.3">
      <c r="A153" s="225" t="s">
        <v>19</v>
      </c>
      <c r="B153" s="274">
        <v>11.28</v>
      </c>
      <c r="C153" s="274">
        <v>16.75</v>
      </c>
      <c r="D153" s="274">
        <v>11.71</v>
      </c>
      <c r="E153" s="274">
        <v>19.579999999999998</v>
      </c>
      <c r="F153" s="274">
        <v>19.690000000000001</v>
      </c>
    </row>
    <row r="154" spans="1:24" s="93" customFormat="1" ht="14.25" thickBot="1" x14ac:dyDescent="0.3">
      <c r="A154" s="224" t="s">
        <v>41</v>
      </c>
      <c r="B154" s="68">
        <v>11.69</v>
      </c>
      <c r="C154" s="68">
        <v>17.41</v>
      </c>
      <c r="D154" s="68">
        <v>12.59</v>
      </c>
      <c r="E154" s="68">
        <v>20.48</v>
      </c>
      <c r="F154" s="68">
        <v>20.329999999999998</v>
      </c>
    </row>
    <row r="155" spans="1:24" s="93" customFormat="1" ht="14.25" thickBot="1" x14ac:dyDescent="0.3">
      <c r="A155" s="225" t="s">
        <v>13</v>
      </c>
      <c r="B155" s="73">
        <v>9.76</v>
      </c>
      <c r="C155" s="73">
        <v>13.85</v>
      </c>
      <c r="D155" s="73">
        <v>9.83</v>
      </c>
      <c r="E155" s="73">
        <v>15.94</v>
      </c>
      <c r="F155" s="73">
        <v>15.88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2.2999999999999998</v>
      </c>
      <c r="C158" s="68">
        <v>1.74</v>
      </c>
      <c r="D158" s="68">
        <v>3.63</v>
      </c>
      <c r="E158" s="68">
        <v>1.24</v>
      </c>
      <c r="F158" s="68">
        <v>2.08</v>
      </c>
      <c r="G158" s="68">
        <v>5.04</v>
      </c>
      <c r="H158" s="68">
        <v>6.56</v>
      </c>
      <c r="I158" s="68">
        <v>1.73</v>
      </c>
      <c r="J158" s="68">
        <v>0.56999999999999995</v>
      </c>
      <c r="K158" s="68">
        <v>-0.14000000000000001</v>
      </c>
      <c r="L158" s="68">
        <v>1.25</v>
      </c>
      <c r="M158" s="68">
        <v>7.52</v>
      </c>
      <c r="N158" s="68">
        <v>4.59</v>
      </c>
      <c r="O158" s="68">
        <v>7.83</v>
      </c>
      <c r="P158" s="68">
        <v>3.08</v>
      </c>
      <c r="Q158" s="68">
        <v>5.26</v>
      </c>
      <c r="R158" s="68">
        <v>2.73</v>
      </c>
      <c r="S158" s="68">
        <v>1.88</v>
      </c>
      <c r="T158" s="68">
        <v>3.6</v>
      </c>
      <c r="U158" s="68">
        <v>9.9600000000000009</v>
      </c>
      <c r="V158" s="68">
        <v>2.04</v>
      </c>
      <c r="W158" s="68">
        <v>2.5499999999999998</v>
      </c>
      <c r="X158" s="68">
        <v>-0.97</v>
      </c>
    </row>
    <row r="159" spans="1:24" s="93" customFormat="1" ht="14.25" thickBot="1" x14ac:dyDescent="0.3">
      <c r="A159" s="225" t="s">
        <v>45</v>
      </c>
      <c r="B159" s="73">
        <v>2.87</v>
      </c>
      <c r="C159" s="73">
        <v>2.1800000000000002</v>
      </c>
      <c r="D159" s="73">
        <v>4.53</v>
      </c>
      <c r="E159" s="73">
        <v>1.52</v>
      </c>
      <c r="F159" s="73">
        <v>2.57</v>
      </c>
      <c r="G159" s="73">
        <v>6.62</v>
      </c>
      <c r="H159" s="73">
        <v>8.75</v>
      </c>
      <c r="I159" s="73">
        <v>2.2400000000000002</v>
      </c>
      <c r="J159" s="73">
        <v>0.72</v>
      </c>
      <c r="K159" s="73">
        <v>-0.2</v>
      </c>
      <c r="L159" s="73">
        <v>1.66</v>
      </c>
      <c r="M159" s="73">
        <v>10.44</v>
      </c>
      <c r="N159" s="73">
        <v>6.35</v>
      </c>
      <c r="O159" s="73">
        <v>11.89</v>
      </c>
      <c r="P159" s="73">
        <v>4.6500000000000004</v>
      </c>
      <c r="Q159" s="73">
        <v>7.48</v>
      </c>
      <c r="R159" s="73">
        <v>3.88</v>
      </c>
      <c r="S159" s="73">
        <v>2.82</v>
      </c>
      <c r="T159" s="73">
        <v>5.51</v>
      </c>
      <c r="U159" s="73">
        <v>13.85</v>
      </c>
      <c r="V159" s="73">
        <v>2.83</v>
      </c>
      <c r="W159" s="73">
        <v>3.78</v>
      </c>
      <c r="X159" s="73">
        <v>-1.45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9.76</v>
      </c>
      <c r="C162" s="68">
        <v>13.85</v>
      </c>
      <c r="D162" s="68">
        <v>9.83</v>
      </c>
      <c r="E162" s="68">
        <v>15.94</v>
      </c>
      <c r="F162" s="68">
        <v>15.88</v>
      </c>
    </row>
    <row r="163" spans="1:72" s="93" customFormat="1" ht="14.25" thickBot="1" x14ac:dyDescent="0.3">
      <c r="A163" s="225" t="s">
        <v>18</v>
      </c>
      <c r="B163" s="274">
        <v>0.94</v>
      </c>
      <c r="C163" s="274">
        <v>1.06</v>
      </c>
      <c r="D163" s="274">
        <v>0.85</v>
      </c>
      <c r="E163" s="274">
        <v>1.1599999999999999</v>
      </c>
      <c r="F163" s="274">
        <v>1.0900000000000001</v>
      </c>
    </row>
    <row r="164" spans="1:72" s="93" customFormat="1" ht="14.25" thickBot="1" x14ac:dyDescent="0.3">
      <c r="A164" s="224" t="s">
        <v>15</v>
      </c>
      <c r="B164" s="68">
        <v>1.22</v>
      </c>
      <c r="C164" s="68">
        <v>1.28</v>
      </c>
      <c r="D164" s="68">
        <v>1.42</v>
      </c>
      <c r="E164" s="68">
        <v>1.51</v>
      </c>
      <c r="F164" s="68">
        <v>1.41</v>
      </c>
    </row>
    <row r="165" spans="1:72" s="93" customFormat="1" ht="14.25" thickBot="1" x14ac:dyDescent="0.3">
      <c r="A165" s="225" t="s">
        <v>45</v>
      </c>
      <c r="B165" s="73">
        <v>10.88</v>
      </c>
      <c r="C165" s="73">
        <v>19.7</v>
      </c>
      <c r="D165" s="73">
        <v>11.48</v>
      </c>
      <c r="E165" s="73">
        <v>29.82</v>
      </c>
      <c r="F165" s="73">
        <v>24.15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58.82</v>
      </c>
      <c r="C168" s="68">
        <v>70.87</v>
      </c>
      <c r="D168" s="68">
        <v>72</v>
      </c>
      <c r="E168" s="68">
        <v>104.65</v>
      </c>
      <c r="F168" s="68">
        <v>67.67</v>
      </c>
      <c r="G168" s="68">
        <v>62.94</v>
      </c>
      <c r="H168" s="68">
        <v>61.22</v>
      </c>
      <c r="I168" s="68">
        <v>89.11</v>
      </c>
      <c r="J168" s="68">
        <v>115.38</v>
      </c>
      <c r="K168" s="68">
        <v>86.54</v>
      </c>
      <c r="L168" s="68">
        <v>81.819999999999993</v>
      </c>
      <c r="M168" s="68">
        <v>53.25</v>
      </c>
      <c r="N168" s="68">
        <v>58.44</v>
      </c>
      <c r="O168" s="68">
        <v>50.85</v>
      </c>
      <c r="P168" s="68">
        <v>98.9</v>
      </c>
      <c r="Q168" s="68">
        <v>52.33</v>
      </c>
      <c r="R168" s="68">
        <v>67.16</v>
      </c>
      <c r="S168" s="68">
        <v>64.75</v>
      </c>
      <c r="T168" s="68">
        <v>83.33</v>
      </c>
      <c r="U168" s="68">
        <v>63.38</v>
      </c>
      <c r="V168" s="68">
        <v>116.88</v>
      </c>
      <c r="W168" s="68">
        <v>57.69</v>
      </c>
      <c r="X168" s="68">
        <v>70.31</v>
      </c>
    </row>
    <row r="169" spans="1:72" s="93" customFormat="1" ht="14.25" thickBot="1" x14ac:dyDescent="0.3">
      <c r="A169" s="225" t="s">
        <v>17</v>
      </c>
      <c r="B169" s="274">
        <v>125</v>
      </c>
      <c r="C169" s="274">
        <v>120</v>
      </c>
      <c r="D169" s="274">
        <v>93.75</v>
      </c>
      <c r="E169" s="274">
        <v>140.63</v>
      </c>
      <c r="F169" s="274">
        <v>98.9</v>
      </c>
      <c r="G169" s="274">
        <v>85.71</v>
      </c>
      <c r="H169" s="274">
        <v>75</v>
      </c>
      <c r="I169" s="274">
        <v>93.75</v>
      </c>
      <c r="J169" s="274">
        <v>160.71</v>
      </c>
      <c r="K169" s="274">
        <v>120</v>
      </c>
      <c r="L169" s="274">
        <v>132.35</v>
      </c>
      <c r="M169" s="274">
        <v>105.88</v>
      </c>
      <c r="N169" s="274">
        <v>105.88</v>
      </c>
      <c r="O169" s="274">
        <v>71.430000000000007</v>
      </c>
      <c r="P169" s="274">
        <v>128.57</v>
      </c>
      <c r="Q169" s="274">
        <v>79.650000000000006</v>
      </c>
      <c r="R169" s="274">
        <v>134.33000000000001</v>
      </c>
      <c r="S169" s="274">
        <v>126.76</v>
      </c>
      <c r="T169" s="274">
        <v>97.83</v>
      </c>
      <c r="U169" s="274">
        <v>58.82</v>
      </c>
      <c r="V169" s="274">
        <v>118.42</v>
      </c>
      <c r="W169" s="274">
        <v>105.88</v>
      </c>
      <c r="X169" s="274">
        <v>111.11</v>
      </c>
    </row>
    <row r="170" spans="1:72" s="93" customFormat="1" ht="14.25" thickBot="1" x14ac:dyDescent="0.3">
      <c r="A170" s="224" t="s">
        <v>42</v>
      </c>
      <c r="B170" s="72">
        <v>183.82</v>
      </c>
      <c r="C170" s="72">
        <v>190.87</v>
      </c>
      <c r="D170" s="72">
        <v>165.75</v>
      </c>
      <c r="E170" s="72">
        <v>245.28</v>
      </c>
      <c r="F170" s="72">
        <v>166.57</v>
      </c>
      <c r="G170" s="72">
        <v>148.65</v>
      </c>
      <c r="H170" s="72">
        <v>136.22</v>
      </c>
      <c r="I170" s="72">
        <v>182.86</v>
      </c>
      <c r="J170" s="72">
        <v>276.10000000000002</v>
      </c>
      <c r="K170" s="72">
        <v>206.54</v>
      </c>
      <c r="L170" s="72">
        <v>214.17</v>
      </c>
      <c r="M170" s="72">
        <v>159.13999999999999</v>
      </c>
      <c r="N170" s="72">
        <v>164.32</v>
      </c>
      <c r="O170" s="72">
        <v>122.28</v>
      </c>
      <c r="P170" s="72">
        <v>227.47</v>
      </c>
      <c r="Q170" s="72">
        <v>131.97</v>
      </c>
      <c r="R170" s="72">
        <v>201.49</v>
      </c>
      <c r="S170" s="72">
        <v>191.51</v>
      </c>
      <c r="T170" s="72">
        <v>181.16</v>
      </c>
      <c r="U170" s="72">
        <v>122.2</v>
      </c>
      <c r="V170" s="72">
        <v>235.3</v>
      </c>
      <c r="W170" s="72">
        <v>163.57</v>
      </c>
      <c r="X170" s="72">
        <v>181.42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106.37</v>
      </c>
      <c r="C173" s="72">
        <v>100.69</v>
      </c>
      <c r="D173" s="72">
        <v>42.49</v>
      </c>
      <c r="E173" s="72">
        <v>143.54</v>
      </c>
      <c r="F173" s="72">
        <v>62.62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8.82</v>
      </c>
      <c r="C176" s="72">
        <v>10.39</v>
      </c>
      <c r="D176" s="72">
        <v>10.41</v>
      </c>
      <c r="E176" s="72">
        <v>11.71</v>
      </c>
      <c r="F176" s="72">
        <v>11.3</v>
      </c>
      <c r="G176" s="72">
        <v>10.66</v>
      </c>
      <c r="H176" s="72">
        <v>10.47</v>
      </c>
      <c r="I176" s="72">
        <v>12.22</v>
      </c>
      <c r="J176" s="72">
        <v>11.67</v>
      </c>
      <c r="K176" s="72">
        <v>10.6</v>
      </c>
      <c r="L176" s="72">
        <v>13.45</v>
      </c>
      <c r="M176" s="72">
        <v>13.29</v>
      </c>
      <c r="N176" s="72">
        <v>14.29</v>
      </c>
      <c r="O176" s="72">
        <v>14.76</v>
      </c>
      <c r="P176" s="72">
        <v>14.37</v>
      </c>
      <c r="Q176" s="72">
        <v>13.82</v>
      </c>
      <c r="R176" s="72">
        <v>15.72</v>
      </c>
      <c r="S176" s="72">
        <v>17.010000000000002</v>
      </c>
      <c r="T176" s="72">
        <v>18.37</v>
      </c>
      <c r="U176" s="72">
        <v>17.02</v>
      </c>
      <c r="V176" s="72">
        <v>15.67</v>
      </c>
      <c r="W176" s="72">
        <v>16.52</v>
      </c>
      <c r="X176" s="72">
        <v>12.17</v>
      </c>
      <c r="Y176" s="72">
        <v>14.59</v>
      </c>
      <c r="Z176" s="72">
        <v>17.690000000000001</v>
      </c>
      <c r="AA176" s="72">
        <v>16.96</v>
      </c>
      <c r="AB176" s="72">
        <v>15.95</v>
      </c>
      <c r="AC176" s="72">
        <v>13.91</v>
      </c>
      <c r="AD176" s="72">
        <v>15.16</v>
      </c>
      <c r="AE176" s="72">
        <v>15.3</v>
      </c>
      <c r="AF176" s="72">
        <v>13.06</v>
      </c>
      <c r="AG176" s="72">
        <v>19.16</v>
      </c>
      <c r="AH176" s="72">
        <v>23.82</v>
      </c>
      <c r="AI176" s="72">
        <v>25.3</v>
      </c>
      <c r="AJ176" s="72">
        <v>72.739999999999995</v>
      </c>
      <c r="AK176" s="72">
        <v>73.510000000000005</v>
      </c>
      <c r="AL176" s="72">
        <v>76.28</v>
      </c>
      <c r="AM176" s="72">
        <v>77.81</v>
      </c>
      <c r="AN176" s="72">
        <v>34.409999999999997</v>
      </c>
      <c r="AO176" s="72">
        <v>34.64</v>
      </c>
      <c r="AP176" s="72">
        <v>27.99</v>
      </c>
      <c r="AQ176" s="72">
        <v>34.06</v>
      </c>
      <c r="AR176" s="72">
        <v>31.76</v>
      </c>
      <c r="AS176" s="72">
        <v>12.07</v>
      </c>
      <c r="AT176" s="72">
        <v>13.43</v>
      </c>
      <c r="AU176" s="72">
        <v>14.06</v>
      </c>
      <c r="AV176" s="72">
        <v>13.77</v>
      </c>
      <c r="AW176" s="72">
        <v>14.44</v>
      </c>
      <c r="AX176" s="72">
        <v>11.53</v>
      </c>
      <c r="AY176" s="72">
        <v>12.89</v>
      </c>
      <c r="AZ176" s="72">
        <v>13.42</v>
      </c>
      <c r="BA176" s="72">
        <v>12.09</v>
      </c>
      <c r="BB176" s="72">
        <v>11.3</v>
      </c>
      <c r="BC176" s="72">
        <v>11.97</v>
      </c>
      <c r="BD176" s="72">
        <v>11.59</v>
      </c>
      <c r="BE176" s="72">
        <v>16.14</v>
      </c>
      <c r="BF176" s="72">
        <v>13.73</v>
      </c>
      <c r="BG176" s="72">
        <v>12.8</v>
      </c>
      <c r="BH176" s="72">
        <v>13.71</v>
      </c>
      <c r="BI176" s="72">
        <v>15.48</v>
      </c>
      <c r="BJ176" s="72">
        <v>16.100000000000001</v>
      </c>
      <c r="BK176" s="72">
        <v>16.420000000000002</v>
      </c>
      <c r="BL176" s="72">
        <v>12.52</v>
      </c>
      <c r="BM176" s="72">
        <v>15.01</v>
      </c>
      <c r="BN176" s="72">
        <v>15.44</v>
      </c>
      <c r="BO176" s="72">
        <v>15.4</v>
      </c>
      <c r="BP176" s="72">
        <v>13.93</v>
      </c>
      <c r="BQ176" s="72">
        <v>13.23</v>
      </c>
      <c r="BR176" s="72">
        <v>12.78</v>
      </c>
      <c r="BS176" s="72">
        <v>11.49</v>
      </c>
      <c r="BT176" s="72">
        <v>15.26</v>
      </c>
    </row>
  </sheetData>
  <phoneticPr fontId="3" type="noConversion"/>
  <conditionalFormatting sqref="E4">
    <cfRule type="cellIs" dxfId="2849" priority="103" operator="greaterThan">
      <formula>0.2</formula>
    </cfRule>
    <cfRule type="cellIs" dxfId="284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284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846" priority="97" operator="greaterThan">
      <formula>$B$19</formula>
    </cfRule>
  </conditionalFormatting>
  <conditionalFormatting sqref="D33:D34">
    <cfRule type="cellIs" dxfId="284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2844" priority="91" operator="lessThan">
      <formula>$H$62</formula>
    </cfRule>
    <cfRule type="cellIs" dxfId="2843" priority="92" operator="greaterThan">
      <formula>$H$62</formula>
    </cfRule>
  </conditionalFormatting>
  <conditionalFormatting sqref="J62">
    <cfRule type="cellIs" dxfId="2842" priority="89" operator="lessThan">
      <formula>$K$62</formula>
    </cfRule>
    <cfRule type="cellIs" dxfId="2841" priority="90" operator="greaterThan">
      <formula>$K$62</formula>
    </cfRule>
  </conditionalFormatting>
  <conditionalFormatting sqref="M62">
    <cfRule type="cellIs" dxfId="2840" priority="87" operator="lessThan">
      <formula>$N$62</formula>
    </cfRule>
    <cfRule type="cellIs" dxfId="2839" priority="88" operator="greaterThan">
      <formula>$N$62</formula>
    </cfRule>
  </conditionalFormatting>
  <conditionalFormatting sqref="B44:E44">
    <cfRule type="cellIs" dxfId="2838" priority="85" operator="greaterThan">
      <formula>0</formula>
    </cfRule>
    <cfRule type="cellIs" dxfId="2837" priority="86" operator="lessThan">
      <formula>0</formula>
    </cfRule>
  </conditionalFormatting>
  <conditionalFormatting sqref="F72">
    <cfRule type="cellIs" dxfId="2836" priority="84" operator="lessThan">
      <formula>$E$72*90%</formula>
    </cfRule>
  </conditionalFormatting>
  <conditionalFormatting sqref="F73">
    <cfRule type="cellIs" dxfId="2835" priority="83" operator="lessThan">
      <formula>$E$73*90%</formula>
    </cfRule>
  </conditionalFormatting>
  <conditionalFormatting sqref="F74">
    <cfRule type="cellIs" dxfId="2834" priority="82" operator="lessThan">
      <formula>$E$74*90%</formula>
    </cfRule>
  </conditionalFormatting>
  <conditionalFormatting sqref="F75">
    <cfRule type="cellIs" dxfId="2833" priority="81" operator="lessThan">
      <formula>$E$75*90%</formula>
    </cfRule>
  </conditionalFormatting>
  <conditionalFormatting sqref="H44:K44">
    <cfRule type="cellIs" dxfId="2832" priority="79" operator="greaterThan">
      <formula>0</formula>
    </cfRule>
    <cfRule type="cellIs" dxfId="2831" priority="80" operator="lessThan">
      <formula>0</formula>
    </cfRule>
  </conditionalFormatting>
  <conditionalFormatting sqref="H51:K51">
    <cfRule type="cellIs" dxfId="2830" priority="77" operator="greaterThan">
      <formula>0</formula>
    </cfRule>
    <cfRule type="cellIs" dxfId="2829" priority="78" operator="lessThan">
      <formula>0</formula>
    </cfRule>
  </conditionalFormatting>
  <conditionalFormatting sqref="B51:E51">
    <cfRule type="cellIs" dxfId="2828" priority="75" operator="greaterThan">
      <formula>0</formula>
    </cfRule>
    <cfRule type="cellIs" dxfId="282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82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82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824" priority="58" operator="lessThan">
      <formula>0</formula>
    </cfRule>
  </conditionalFormatting>
  <conditionalFormatting sqref="A25 E25 C25">
    <cfRule type="cellIs" dxfId="2823" priority="59" operator="lessThan">
      <formula>0</formula>
    </cfRule>
  </conditionalFormatting>
  <conditionalFormatting sqref="F25">
    <cfRule type="cellIs" dxfId="2822" priority="57" operator="lessThan">
      <formula>0</formula>
    </cfRule>
  </conditionalFormatting>
  <conditionalFormatting sqref="E1">
    <cfRule type="containsText" dxfId="2821" priority="56" operator="containsText" text="本季業外損益/平均=-">
      <formula>NOT(ISERROR(SEARCH("本季業外損益/平均=-",E1)))</formula>
    </cfRule>
  </conditionalFormatting>
  <conditionalFormatting sqref="M65">
    <cfRule type="cellIs" dxfId="2820" priority="55" operator="lessThan">
      <formula>$L$65*90%</formula>
    </cfRule>
  </conditionalFormatting>
  <conditionalFormatting sqref="M66">
    <cfRule type="cellIs" dxfId="2819" priority="54" operator="lessThan">
      <formula>$L$66*90%</formula>
    </cfRule>
  </conditionalFormatting>
  <conditionalFormatting sqref="M67">
    <cfRule type="cellIs" dxfId="2818" priority="53" operator="lessThan">
      <formula>$L$67*90%</formula>
    </cfRule>
  </conditionalFormatting>
  <conditionalFormatting sqref="M68">
    <cfRule type="cellIs" dxfId="2817" priority="52" operator="lessThan">
      <formula>$L$68*90%</formula>
    </cfRule>
  </conditionalFormatting>
  <conditionalFormatting sqref="B60">
    <cfRule type="cellIs" dxfId="2816" priority="51" operator="lessThan">
      <formula>0</formula>
    </cfRule>
  </conditionalFormatting>
  <conditionalFormatting sqref="B59:F59">
    <cfRule type="cellIs" dxfId="2815" priority="50" operator="lessThanOrEqual">
      <formula>0</formula>
    </cfRule>
  </conditionalFormatting>
  <conditionalFormatting sqref="D62">
    <cfRule type="cellIs" dxfId="2814" priority="48" operator="lessThan">
      <formula>$E$62</formula>
    </cfRule>
    <cfRule type="cellIs" dxfId="2813" priority="49" operator="greaterThan">
      <formula>$E$62</formula>
    </cfRule>
  </conditionalFormatting>
  <conditionalFormatting sqref="F69">
    <cfRule type="cellIs" dxfId="2812" priority="46" operator="lessThan">
      <formula>0</formula>
    </cfRule>
  </conditionalFormatting>
  <conditionalFormatting sqref="B65:E67 B69:E69 B68:D68">
    <cfRule type="cellIs" dxfId="2811" priority="47" operator="lessThan">
      <formula>0</formula>
    </cfRule>
  </conditionalFormatting>
  <conditionalFormatting sqref="E68">
    <cfRule type="cellIs" dxfId="2810" priority="45" operator="lessThan">
      <formula>0</formula>
    </cfRule>
  </conditionalFormatting>
  <conditionalFormatting sqref="F65:F68">
    <cfRule type="cellIs" dxfId="2809" priority="44" operator="lessThan">
      <formula>0</formula>
    </cfRule>
  </conditionalFormatting>
  <conditionalFormatting sqref="F65:F68">
    <cfRule type="cellIs" dxfId="2808" priority="43" operator="lessThan">
      <formula>$E$65*0.9</formula>
    </cfRule>
  </conditionalFormatting>
  <conditionalFormatting sqref="F66">
    <cfRule type="cellIs" dxfId="2807" priority="42" operator="lessThan">
      <formula>$E$66*0.9</formula>
    </cfRule>
  </conditionalFormatting>
  <conditionalFormatting sqref="F67:F68">
    <cfRule type="cellIs" dxfId="2806" priority="41" operator="lessThan">
      <formula>$E$67*0.9</formula>
    </cfRule>
  </conditionalFormatting>
  <conditionalFormatting sqref="F68">
    <cfRule type="cellIs" dxfId="2805" priority="40" operator="lessThan">
      <formula>$E$68*0.9</formula>
    </cfRule>
  </conditionalFormatting>
  <conditionalFormatting sqref="B13:F13">
    <cfRule type="cellIs" dxfId="2804" priority="29" operator="greaterThan">
      <formula>$I$16</formula>
    </cfRule>
    <cfRule type="cellIs" dxfId="2803" priority="30" operator="lessThanOrEqual">
      <formula>$I$16</formula>
    </cfRule>
  </conditionalFormatting>
  <conditionalFormatting sqref="B10:F10">
    <cfRule type="cellIs" dxfId="2802" priority="31" operator="greaterThan">
      <formula>15</formula>
    </cfRule>
    <cfRule type="cellIs" dxfId="2801" priority="38" operator="lessThan">
      <formula>$I$9</formula>
    </cfRule>
    <cfRule type="cellIs" dxfId="2800" priority="39" operator="greaterThan">
      <formula>$I$9</formula>
    </cfRule>
  </conditionalFormatting>
  <conditionalFormatting sqref="B16:F16">
    <cfRule type="cellIs" dxfId="2799" priority="36" operator="greaterThan">
      <formula>$I$16</formula>
    </cfRule>
    <cfRule type="cellIs" dxfId="2798" priority="37" operator="lessThanOrEqual">
      <formula>$I$16</formula>
    </cfRule>
  </conditionalFormatting>
  <conditionalFormatting sqref="B15:F15">
    <cfRule type="cellIs" dxfId="2797" priority="34" operator="lessThanOrEqual">
      <formula>$I$16</formula>
    </cfRule>
    <cfRule type="cellIs" dxfId="2796" priority="35" operator="greaterThan">
      <formula>$I$16</formula>
    </cfRule>
  </conditionalFormatting>
  <conditionalFormatting sqref="B14:F14">
    <cfRule type="cellIs" dxfId="2795" priority="32" operator="greaterThan">
      <formula>$I$16</formula>
    </cfRule>
    <cfRule type="cellIs" dxfId="2794" priority="33" operator="lessThanOrEqual">
      <formula>$I$16</formula>
    </cfRule>
  </conditionalFormatting>
  <conditionalFormatting sqref="K6">
    <cfRule type="containsText" dxfId="2793" priority="27" operator="containsText" text="衰退">
      <formula>NOT(ISERROR(SEARCH("衰退",K6)))</formula>
    </cfRule>
    <cfRule type="containsText" dxfId="2792" priority="28" operator="containsText" text="成長">
      <formula>NOT(ISERROR(SEARCH("成長",K6)))</formula>
    </cfRule>
  </conditionalFormatting>
  <conditionalFormatting sqref="I4:K4">
    <cfRule type="cellIs" dxfId="2791" priority="25" operator="lessThan">
      <formula>0</formula>
    </cfRule>
    <cfRule type="cellIs" dxfId="279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789" priority="22" operator="lessThanOrEqual">
      <formula>$I$16</formula>
    </cfRule>
    <cfRule type="cellIs" dxfId="2788" priority="23" operator="greaterThan">
      <formula>$I$16</formula>
    </cfRule>
  </conditionalFormatting>
  <conditionalFormatting sqref="I6">
    <cfRule type="containsText" dxfId="2787" priority="20" operator="containsText" text="衰退">
      <formula>NOT(ISERROR(SEARCH("衰退",I6)))</formula>
    </cfRule>
    <cfRule type="containsText" dxfId="2786" priority="21" operator="containsText" text="成長">
      <formula>NOT(ISERROR(SEARCH("成長",I6)))</formula>
    </cfRule>
  </conditionalFormatting>
  <conditionalFormatting sqref="M9">
    <cfRule type="cellIs" dxfId="2785" priority="19" operator="lessThan">
      <formula>$I$9</formula>
    </cfRule>
  </conditionalFormatting>
  <conditionalFormatting sqref="M10">
    <cfRule type="cellIs" dxfId="2784" priority="18" operator="greaterThan">
      <formula>$I$9</formula>
    </cfRule>
  </conditionalFormatting>
  <conditionalFormatting sqref="M11">
    <cfRule type="cellIs" dxfId="278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782" priority="14" operator="lessThan">
      <formula>0</formula>
    </cfRule>
    <cfRule type="cellIs" dxfId="2781" priority="15" operator="greaterThan">
      <formula>0.5</formula>
    </cfRule>
  </conditionalFormatting>
  <conditionalFormatting sqref="N14">
    <cfRule type="cellIs" dxfId="278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779" priority="10" operator="lessThan">
      <formula>0.1</formula>
    </cfRule>
  </conditionalFormatting>
  <conditionalFormatting sqref="I14">
    <cfRule type="cellIs" dxfId="277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77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776" priority="1" operator="lessThan">
      <formula>$N$5*0.9</formula>
    </cfRule>
    <cfRule type="cellIs" dxfId="2775" priority="2" operator="greaterThan">
      <formula>$N$5*1.1</formula>
    </cfRule>
  </conditionalFormatting>
  <hyperlinks>
    <hyperlink ref="L1" location="儀表板!A1" display="(回首頁)" xr:uid="{00000000-0004-0000-4200-000000000000}"/>
  </hyperlink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1.64 ~ 14.36</v>
      </c>
      <c r="L1" s="83" t="s">
        <v>176</v>
      </c>
      <c r="M1" s="84" t="str">
        <f ca="1">VLOOKUP(_xlfn.NUMBERVALUE(N1),儀表板!A:B,2,FALSE)</f>
        <v>鎰勝</v>
      </c>
      <c r="N1" s="85" t="str">
        <f ca="1">MID(CELL("filename",L1),FIND("]",CELL("filename",L1))+1,255)</f>
        <v>6115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0.35927199707986518</v>
      </c>
    </row>
    <row r="3" spans="1:15" s="93" customFormat="1" x14ac:dyDescent="0.25">
      <c r="A3" s="81" t="s">
        <v>179</v>
      </c>
      <c r="B3" s="94">
        <f>SUM(F19:F22,F24:F27,J19)</f>
        <v>89.327193355469376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32.789478248034328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33.809866098762754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35.530818742528602</v>
      </c>
      <c r="L3" s="100"/>
      <c r="M3" s="79" t="s">
        <v>385</v>
      </c>
      <c r="N3" s="92">
        <f>(F69-E69)/E69</f>
        <v>-0.26289054667441214</v>
      </c>
    </row>
    <row r="4" spans="1:15" s="93" customFormat="1" x14ac:dyDescent="0.25">
      <c r="A4" s="81" t="s">
        <v>182</v>
      </c>
      <c r="B4" s="96">
        <f>SUM(G36:G40)*2</f>
        <v>68</v>
      </c>
      <c r="C4" s="101"/>
      <c r="D4" s="102">
        <f>F4*(1+F141/10)</f>
        <v>18</v>
      </c>
      <c r="E4" s="82">
        <f>(D4-F4)/F4</f>
        <v>0</v>
      </c>
      <c r="F4" s="103">
        <v>18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3.0221487586349101</v>
      </c>
    </row>
    <row r="5" spans="1:15" s="93" customFormat="1" x14ac:dyDescent="0.25">
      <c r="A5" s="81" t="s">
        <v>184</v>
      </c>
      <c r="B5" s="107">
        <f>SUM(F30:F34)*2</f>
        <v>88.924259507829987</v>
      </c>
      <c r="C5" s="87"/>
      <c r="D5" s="87"/>
      <c r="E5" s="87"/>
      <c r="F5" s="86"/>
      <c r="G5" s="88"/>
      <c r="M5" s="79" t="s">
        <v>386</v>
      </c>
      <c r="N5" s="152">
        <f>D62</f>
        <v>3.26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有0.6年成長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3.6977360380019237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14.6</v>
      </c>
      <c r="N9" s="129"/>
    </row>
    <row r="10" spans="1:15" s="93" customFormat="1" x14ac:dyDescent="0.25">
      <c r="A10" s="123" t="s">
        <v>194</v>
      </c>
      <c r="B10" s="126">
        <f>PERCENTILE(176:176,B9)</f>
        <v>10.09</v>
      </c>
      <c r="C10" s="126">
        <f>PERCENTILE(176:176,C9)</f>
        <v>10.765000000000001</v>
      </c>
      <c r="D10" s="126">
        <f>PERCENTILE(176:176,D9)</f>
        <v>11.1</v>
      </c>
      <c r="E10" s="126">
        <f>PERCENTILE(176:176,E9)</f>
        <v>11.664999999999999</v>
      </c>
      <c r="F10" s="126">
        <f>PERCENTILE(176:176,F9)</f>
        <v>12.49</v>
      </c>
      <c r="G10" s="95"/>
      <c r="H10" s="135"/>
      <c r="I10" s="135"/>
      <c r="J10" s="135"/>
      <c r="K10" s="135"/>
      <c r="L10" s="136" t="s">
        <v>374</v>
      </c>
      <c r="M10" s="130">
        <f>MIN(176:176)</f>
        <v>8.65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26.41</v>
      </c>
      <c r="L11" s="272" t="s">
        <v>193</v>
      </c>
      <c r="M11" s="128">
        <f>STDEV(176:176)</f>
        <v>1.3726854380633469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50.770308123249308</v>
      </c>
      <c r="C13" s="141">
        <f>$B$34/5.88%</f>
        <v>61.64965986394558</v>
      </c>
      <c r="D13" s="141">
        <f>$B$34/5%</f>
        <v>72.5</v>
      </c>
      <c r="E13" s="141">
        <f>$B$34/4.35%</f>
        <v>83.333333333333343</v>
      </c>
      <c r="F13" s="141">
        <f>$B$34/3.85%</f>
        <v>94.15584415584415</v>
      </c>
      <c r="G13" s="138" t="str">
        <f>"$"&amp;ROUND(B34,2)&amp;"/"&amp;IF(STDEV(C140:F140)/AVERAGE(C140:F140)&lt;15%,"高",IF(STDEV(C140:F140)/AVERAGE(C140:F140)&lt;30%,"中","低"))</f>
        <v>$3.63/高</v>
      </c>
      <c r="H13" s="142" t="s">
        <v>199</v>
      </c>
      <c r="I13" s="143">
        <f>MAX(0,1-J15)</f>
        <v>2.4390243902438935E-2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37.585249999999995</v>
      </c>
      <c r="C14" s="141">
        <f>$B$33*C10</f>
        <v>40.099624999999996</v>
      </c>
      <c r="D14" s="141">
        <f>$B$33*D10</f>
        <v>41.347499999999997</v>
      </c>
      <c r="E14" s="141">
        <f>$B$33*E10</f>
        <v>43.452124999999995</v>
      </c>
      <c r="F14" s="141">
        <f>$B$33*F10</f>
        <v>46.52525</v>
      </c>
      <c r="G14" s="138" t="str">
        <f>"$"&amp;ROUND(B33,2)&amp;"/"&amp;IF(STDEV(B69:E69)/AVERAGE(B69:E69)&lt;15%,"高",IF(STDEV(B69:E69)/AVERAGE(B69:E69)&lt;30%,"中","低"))</f>
        <v>$3.73/高</v>
      </c>
      <c r="H14" s="142" t="s">
        <v>203</v>
      </c>
      <c r="I14" s="145">
        <f>G62/100*I13</f>
        <v>2.9292682926829166E-3</v>
      </c>
      <c r="J14" s="76" t="s">
        <v>204</v>
      </c>
      <c r="K14" s="146"/>
      <c r="L14" s="147">
        <f>(HLOOKUP($C$1,$105:$106,2,FALSE)-HLOOKUP($C$1,$117:$127,9,FALSE))/(HLOOKUP($C$1,$117:$128,12,FALSE)/K11)</f>
        <v>9.0657098011922415</v>
      </c>
      <c r="M14" s="148">
        <f>E135/E69</f>
        <v>2.0268292682926834</v>
      </c>
      <c r="N14" s="149">
        <f>F173/100</f>
        <v>0.92959999999999998</v>
      </c>
    </row>
    <row r="15" spans="1:15" s="93" customFormat="1" x14ac:dyDescent="0.25">
      <c r="A15" s="140" t="s">
        <v>375</v>
      </c>
      <c r="B15" s="141">
        <f>$D$62*B10</f>
        <v>32.8934</v>
      </c>
      <c r="C15" s="141">
        <f>$D$62*C10</f>
        <v>35.093899999999998</v>
      </c>
      <c r="D15" s="141">
        <f>$D$62*D10</f>
        <v>36.186</v>
      </c>
      <c r="E15" s="141">
        <f>$D$62*E10</f>
        <v>38.027899999999995</v>
      </c>
      <c r="F15" s="141">
        <f>$D$62*F10</f>
        <v>40.717399999999998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0.97560975609756106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30.493480974626241</v>
      </c>
      <c r="C16" s="141">
        <f>$F$69*C10</f>
        <v>32.533431386704805</v>
      </c>
      <c r="D16" s="141">
        <f>$F$69*D10</f>
        <v>33.545851220847503</v>
      </c>
      <c r="E16" s="141">
        <f>$F$69*E10</f>
        <v>35.253365269476227</v>
      </c>
      <c r="F16" s="141">
        <f>$F$69*F10</f>
        <v>37.746637995350028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173</v>
      </c>
      <c r="J17" s="92">
        <f ca="1">IF(I17&lt;=0,"",IF(I17&lt;=MIN($B$13:$F$16),(I17-MIN($B$13:$F$16))/MIN($B$13:$F$16),IF(I17&gt;=MAX($B$13:$F$16),I17/MAX($B$13:$F$16),PERCENTRANK($B$13:$F$16,I17))))</f>
        <v>1.8373793103448277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4.1375000000000002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18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1.1413793103448275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0.29979699124195153</v>
      </c>
      <c r="J20" s="171">
        <f>HLOOKUP($C$1,$117:$127,11,FALSE)/HLOOKUP($C$1,$105:$115,11,FALSE)</f>
        <v>0.39209582935589543</v>
      </c>
      <c r="K20" s="163"/>
    </row>
    <row r="21" spans="1:14" s="93" customFormat="1" x14ac:dyDescent="0.25">
      <c r="A21" s="151" t="s">
        <v>201</v>
      </c>
      <c r="B21" s="161">
        <f>AVERAGE(C173:F173)/100</f>
        <v>1.2154750000000001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2.3320731724819965</v>
      </c>
      <c r="J21" s="78"/>
      <c r="K21" s="164" t="s">
        <v>356</v>
      </c>
      <c r="L21" s="165">
        <f>HLOOKUP($C$1,$105:$115,7,FALSE)/HLOOKUP($C$1,$105:$115,11,FALSE)</f>
        <v>0.83691176023333869</v>
      </c>
      <c r="M21" s="123" t="s">
        <v>268</v>
      </c>
      <c r="N21" s="165">
        <f>HLOOKUP($C$1,$117:$127,8,FALSE)/HLOOKUP($C$1,$117:$127,11,FALSE)</f>
        <v>0.91526166945758236</v>
      </c>
    </row>
    <row r="22" spans="1:14" s="93" customFormat="1" x14ac:dyDescent="0.25">
      <c r="A22" s="140" t="s">
        <v>222</v>
      </c>
      <c r="B22" s="161">
        <f>(-1)*SUM(C133:F133)/SUM(C132:F132)</f>
        <v>6.5952649379932379E-2</v>
      </c>
      <c r="C22" s="157"/>
      <c r="D22" s="166"/>
      <c r="E22" s="140"/>
      <c r="F22" s="159">
        <f>IF(B22&lt;=0,10,IF(B22&gt;=100%,0,(1-B22)*10))</f>
        <v>9.3404735062006754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2.1553271554354816</v>
      </c>
      <c r="J22" s="78"/>
      <c r="K22" s="142" t="s">
        <v>357</v>
      </c>
      <c r="L22" s="165">
        <f>HLOOKUP($C$1,$105:$115,4,FALSE)/HLOOKUP($C$1,$105:$115,11,FALSE)</f>
        <v>0.27198599320508077</v>
      </c>
      <c r="M22" s="123" t="s">
        <v>353</v>
      </c>
      <c r="N22" s="165">
        <f>HLOOKUP($C$1,$117:$127,4,FALSE)/HLOOKUP($C$1,$117:$127,11,FALSE)</f>
        <v>0.23539867349664309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1.6449961166419544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6.3428893220876081E-2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0.99954018745189688</v>
      </c>
      <c r="C24" s="169">
        <f>STDEV(C103:F103)</f>
        <v>9.1962509620630017E-4</v>
      </c>
      <c r="D24" s="76" t="str">
        <f>IF(C24/B24&lt;15%,"高",IF(C24/B24&lt;30%,"中","低"))</f>
        <v>高</v>
      </c>
      <c r="E24" s="149"/>
      <c r="F24" s="160">
        <f>MIN(100%,B24)*5</f>
        <v>4.9977009372594843</v>
      </c>
      <c r="G24" s="88" t="s">
        <v>229</v>
      </c>
      <c r="H24" s="123" t="s">
        <v>16</v>
      </c>
      <c r="I24" s="170">
        <f>HLOOKUP(C1,167:170,2,FALSE)</f>
        <v>97.83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3.6601176700274997E-2</v>
      </c>
      <c r="M24" s="123" t="s">
        <v>355</v>
      </c>
      <c r="N24" s="165">
        <f>HLOOKUP($C$1,$117:$127,9,FALSE)/HLOOKUP($C$1,$117:$127,11,FALSE)</f>
        <v>8.4738330542417639E-2</v>
      </c>
    </row>
    <row r="25" spans="1:14" s="93" customFormat="1" x14ac:dyDescent="0.25">
      <c r="A25" s="151" t="s">
        <v>366</v>
      </c>
      <c r="B25" s="255">
        <f>AVERAGE(94:94)</f>
        <v>36881.956521739128</v>
      </c>
      <c r="C25" s="254">
        <f>STDEV(94:94)/AVERAGE(94:94)</f>
        <v>2.010981087990789</v>
      </c>
      <c r="D25" s="76" t="str">
        <f>IF(C25&lt;=1,"高",IF(C25&lt;=2,"中","低"))</f>
        <v>低</v>
      </c>
      <c r="E25" s="149"/>
      <c r="F25" s="160">
        <f>MAX(0,10-ABS(C25))</f>
        <v>7.989018912009211</v>
      </c>
      <c r="G25" s="88" t="s">
        <v>213</v>
      </c>
      <c r="H25" s="123" t="s">
        <v>232</v>
      </c>
      <c r="I25" s="170">
        <f>IF(HLOOKUP(C1,167:170,3,FALSE)="無",0,HLOOKUP(C1,167:170,3,FALSE))</f>
        <v>29.22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110.82913043478264</v>
      </c>
      <c r="C26" s="172">
        <f>IF(COUNTIF(168:168,"&gt;0")=0,0,STDEV(168:168))</f>
        <v>7.042733788060298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8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31.810869565217395</v>
      </c>
      <c r="C27" s="172">
        <f>IF(COUNTIF(169:169,"&gt;0")=0,0,STDEV(169:169))</f>
        <v>2.4025231302329524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0.17965</v>
      </c>
      <c r="C30" s="157" t="s">
        <v>217</v>
      </c>
      <c r="D30" s="174">
        <f>COUNTIF(146:146,"&gt;20")/COUNT(146:146)</f>
        <v>0.30434782608695654</v>
      </c>
      <c r="E30" s="140" t="s">
        <v>239</v>
      </c>
      <c r="F30" s="159">
        <f>MIN(B30/25%*10,10)</f>
        <v>7.1859999999999999</v>
      </c>
      <c r="G30" s="175"/>
      <c r="H30" s="176"/>
    </row>
    <row r="31" spans="1:14" x14ac:dyDescent="0.25">
      <c r="A31" s="164" t="s">
        <v>240</v>
      </c>
      <c r="B31" s="173">
        <f>AVERAGE(C155:F155)/100</f>
        <v>8.8350000000000012E-2</v>
      </c>
      <c r="C31" s="157" t="s">
        <v>217</v>
      </c>
      <c r="D31" s="174">
        <f>COUNTIF(149:149,"&gt;8")/COUNT(149:149)</f>
        <v>0.56521739130434778</v>
      </c>
      <c r="E31" s="140" t="s">
        <v>241</v>
      </c>
      <c r="F31" s="159">
        <f>MIN(B31/10%*10,10)</f>
        <v>8.8350000000000009</v>
      </c>
      <c r="G31" s="175"/>
    </row>
    <row r="32" spans="1:14" x14ac:dyDescent="0.25">
      <c r="A32" s="155" t="s">
        <v>47</v>
      </c>
      <c r="B32" s="177">
        <f>AVERAGE(C165:F165)</f>
        <v>12.782500000000001</v>
      </c>
      <c r="C32" s="157" t="s">
        <v>217</v>
      </c>
      <c r="D32" s="174">
        <f>COUNTIF(159:159,"&gt;3")/COUNT(159:159)</f>
        <v>0.65217391304347827</v>
      </c>
      <c r="E32" s="140" t="s">
        <v>242</v>
      </c>
      <c r="F32" s="159">
        <f>MIN(B32/15*10,10)</f>
        <v>8.5216666666666683</v>
      </c>
      <c r="G32" s="135"/>
    </row>
    <row r="33" spans="1:14" x14ac:dyDescent="0.25">
      <c r="A33" s="155" t="s">
        <v>14</v>
      </c>
      <c r="B33" s="156">
        <f>AVERAGE(B69:E69)</f>
        <v>3.7249999999999996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3.625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9.9194630872483227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7374682.75</v>
      </c>
      <c r="C36" s="178">
        <f>STDEV(C97:F97)</f>
        <v>424652.25135505485</v>
      </c>
      <c r="D36" s="76" t="str">
        <f>IF(C36/B36&lt;15%,"高",IF(C36/B36&lt;30%,"中","低"))</f>
        <v>高</v>
      </c>
      <c r="E36" s="107">
        <f>IF(F97&gt;E97,1,0)+IF(E97&gt;D97,1,0)+IF(D97&gt;C97,1,0)</f>
        <v>0</v>
      </c>
      <c r="F36" s="179"/>
      <c r="G36" s="160">
        <f>IF(D36="高",6,IF(D36="中",4,2))+E36+1</f>
        <v>7</v>
      </c>
    </row>
    <row r="37" spans="1:14" x14ac:dyDescent="0.25">
      <c r="A37" s="164" t="s">
        <v>248</v>
      </c>
      <c r="B37" s="180">
        <f>AVERAGE(C152:F152)</f>
        <v>17.965</v>
      </c>
      <c r="C37" s="180">
        <f>STDEV(C152:F152)</f>
        <v>4.13199306227233</v>
      </c>
      <c r="D37" s="76" t="str">
        <f>IF(C37/B37&lt;15%,"高",IF(C37/B37&lt;30%,"中","低"))</f>
        <v>中</v>
      </c>
      <c r="E37" s="107">
        <f>IF(F152&gt;E152,1,0)+IF(E152&gt;D152,1,0)+IF(D152&gt;C152,1,0)</f>
        <v>2</v>
      </c>
      <c r="F37" s="179"/>
      <c r="G37" s="160">
        <f>IF(D37="高",6,IF(D37="中",4,2))+E37+1</f>
        <v>7</v>
      </c>
    </row>
    <row r="38" spans="1:14" x14ac:dyDescent="0.25">
      <c r="A38" s="164" t="s">
        <v>249</v>
      </c>
      <c r="B38" s="180">
        <f>AVERAGE(C153:F153)</f>
        <v>9.3150000000000013</v>
      </c>
      <c r="C38" s="180">
        <f>STDEV(C153:F153)</f>
        <v>3.5235729972098859</v>
      </c>
      <c r="D38" s="76" t="str">
        <f>IF(C38/B38&lt;15%,"高",IF(C38/B38&lt;30%,"中","低"))</f>
        <v>低</v>
      </c>
      <c r="E38" s="107">
        <f>IF(F153&gt;E153,1,0)+IF(E153&gt;D153,1,0)+IF(D153&gt;C153,1,0)</f>
        <v>1</v>
      </c>
      <c r="F38" s="179"/>
      <c r="G38" s="160">
        <f>IF(D38="高",6,IF(D38="中",4,2))+E38+1</f>
        <v>4</v>
      </c>
    </row>
    <row r="39" spans="1:14" x14ac:dyDescent="0.25">
      <c r="A39" s="142" t="s">
        <v>46</v>
      </c>
      <c r="B39" s="181">
        <f>AVERAGE(C165:F165)</f>
        <v>12.782500000000001</v>
      </c>
      <c r="C39" s="181">
        <f>STDEV(C165:F165)</f>
        <v>1.2904101415183216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3.7249999999999996</v>
      </c>
      <c r="C40" s="183">
        <f>STDEV(B69:E69)</f>
        <v>0.31890437438203939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-0.11711711711711721</v>
      </c>
      <c r="C44" s="186">
        <f>(C46-C49)/C49</f>
        <v>-0.29599999999999999</v>
      </c>
      <c r="D44" s="186">
        <f>(D46-D49)/D49</f>
        <v>-0.70833333333333326</v>
      </c>
      <c r="E44" s="186">
        <f>(E46-E49)/E49</f>
        <v>0.51807228915662662</v>
      </c>
      <c r="G44" s="86" t="s">
        <v>175</v>
      </c>
      <c r="H44" s="186">
        <f>(H47-H50)/H50</f>
        <v>-0.40197607904316168</v>
      </c>
      <c r="I44" s="186">
        <f>(I47-I50)/I50</f>
        <v>-0.2592592592592593</v>
      </c>
      <c r="J44" s="186">
        <f>(J47-J50)/J50</f>
        <v>6.1578490893321847E-2</v>
      </c>
      <c r="K44" s="186">
        <f>(K47-K50)/K50</f>
        <v>0.32130777903044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0.98</v>
      </c>
      <c r="C46" s="152">
        <f>HLOOKUP(C45,$81:$82,2,FALSE)</f>
        <v>0.88</v>
      </c>
      <c r="D46" s="152">
        <f>HLOOKUP(D45,$81:$82,2,FALSE)</f>
        <v>0.14000000000000001</v>
      </c>
      <c r="E46" s="152">
        <f>HLOOKUP(E45,$81:$82,2,FALSE)</f>
        <v>1.26</v>
      </c>
      <c r="G46" s="86" t="s">
        <v>164</v>
      </c>
      <c r="H46" s="145">
        <f>HLOOKUP(H45,$145:$147,2,FALSE)/100</f>
        <v>0.20499999999999999</v>
      </c>
      <c r="I46" s="145">
        <f>HLOOKUP(I45,$145:$147,2,FALSE)/100</f>
        <v>0.21899999999999997</v>
      </c>
      <c r="J46" s="145">
        <f>HLOOKUP(J45,$145:$147,2,FALSE)/100</f>
        <v>0.19750000000000001</v>
      </c>
      <c r="K46" s="145">
        <f>HLOOKUP(K45,$145:$147,2,FALSE)/100</f>
        <v>0.21239999999999998</v>
      </c>
    </row>
    <row r="47" spans="1:14" x14ac:dyDescent="0.25">
      <c r="A47" s="188" t="s">
        <v>165</v>
      </c>
      <c r="B47" s="189">
        <f>HLOOKUP(B45,$157:$159,3,FALSE)</f>
        <v>3.78</v>
      </c>
      <c r="C47" s="189">
        <f>HLOOKUP(C45,$157:$159,3,FALSE)</f>
        <v>3.29</v>
      </c>
      <c r="D47" s="189">
        <f>HLOOKUP(D45,$157:$159,3,FALSE)</f>
        <v>0.49</v>
      </c>
      <c r="E47" s="189">
        <f>HLOOKUP(E45,$157:$159,3,FALSE)</f>
        <v>4.45</v>
      </c>
      <c r="G47" s="190" t="s">
        <v>166</v>
      </c>
      <c r="H47" s="145">
        <f>HLOOKUP(H45,$145:$147,3,FALSE)/100</f>
        <v>0.115</v>
      </c>
      <c r="I47" s="145">
        <f>HLOOKUP(I45,$145:$147,3,FALSE)/100</f>
        <v>0.114</v>
      </c>
      <c r="J47" s="145">
        <f>HLOOKUP(J45,$145:$147,3,FALSE)/100</f>
        <v>0.12240000000000001</v>
      </c>
      <c r="K47" s="145">
        <f>HLOOKUP(K45,$145:$147,3,FALSE)/100</f>
        <v>0.11720000000000001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1.1100000000000001</v>
      </c>
      <c r="C49" s="152">
        <f>HLOOKUP(C48,$81:$82,2,FALSE)</f>
        <v>1.25</v>
      </c>
      <c r="D49" s="152">
        <f>HLOOKUP(D48,$81:$82,2,FALSE)</f>
        <v>0.48</v>
      </c>
      <c r="E49" s="152">
        <f>HLOOKUP(E48,$81:$82,2,FALSE)</f>
        <v>0.83</v>
      </c>
      <c r="G49" s="86" t="s">
        <v>164</v>
      </c>
      <c r="H49" s="145">
        <f>HLOOKUP(H48,$145:$147,2,FALSE)/100</f>
        <v>0.2888</v>
      </c>
      <c r="I49" s="145">
        <f>HLOOKUP(I48,$145:$147,2,FALSE)/100</f>
        <v>0.23769999999999999</v>
      </c>
      <c r="J49" s="145">
        <f>HLOOKUP(J48,$145:$147,2,FALSE)/100</f>
        <v>0.22059999999999999</v>
      </c>
      <c r="K49" s="145">
        <f>HLOOKUP(K48,$145:$147,2,FALSE)/100</f>
        <v>0.21640000000000001</v>
      </c>
    </row>
    <row r="50" spans="1:15" x14ac:dyDescent="0.25">
      <c r="A50" s="188" t="s">
        <v>165</v>
      </c>
      <c r="B50" s="189">
        <f>HLOOKUP(B48,$157:$159,3,FALSE)</f>
        <v>4.04</v>
      </c>
      <c r="C50" s="189">
        <f>HLOOKUP(C48,$157:$159,3,FALSE)</f>
        <v>4.3899999999999997</v>
      </c>
      <c r="D50" s="189">
        <f>HLOOKUP(D48,$157:$159,3,FALSE)</f>
        <v>1.61</v>
      </c>
      <c r="E50" s="189">
        <f>HLOOKUP(E48,$157:$159,3,FALSE)</f>
        <v>2.87</v>
      </c>
      <c r="G50" s="190" t="s">
        <v>166</v>
      </c>
      <c r="H50" s="145">
        <f>HLOOKUP(H48,$145:$147,3,FALSE)/100</f>
        <v>0.1923</v>
      </c>
      <c r="I50" s="145">
        <f>HLOOKUP(I48,$145:$147,3,FALSE)/100</f>
        <v>0.15390000000000001</v>
      </c>
      <c r="J50" s="145">
        <f>HLOOKUP(J48,$145:$147,3,FALSE)/100</f>
        <v>0.1153</v>
      </c>
      <c r="K50" s="145">
        <f>HLOOKUP(K48,$145:$147,3,FALSE)/100</f>
        <v>8.8699999999999987E-2</v>
      </c>
    </row>
    <row r="51" spans="1:15" x14ac:dyDescent="0.25">
      <c r="A51" s="86" t="s">
        <v>351</v>
      </c>
      <c r="B51" s="186">
        <f>(B47-B50)/B50</f>
        <v>-6.4356435643564414E-2</v>
      </c>
      <c r="C51" s="186">
        <f>(C47-C50)/C50</f>
        <v>-0.25056947608200447</v>
      </c>
      <c r="D51" s="186">
        <f>(D47-D50)/D50</f>
        <v>-0.69565217391304346</v>
      </c>
      <c r="E51" s="186">
        <f>(E47-E50)/E50</f>
        <v>0.55052264808362372</v>
      </c>
      <c r="G51" s="235" t="s">
        <v>174</v>
      </c>
      <c r="H51" s="186">
        <f>(H46-H49)/H49</f>
        <v>-0.29016620498614965</v>
      </c>
      <c r="I51" s="186">
        <f>(I46-I49)/I49</f>
        <v>-7.867059318468668E-2</v>
      </c>
      <c r="J51" s="186">
        <f>(J46-J49)/J49</f>
        <v>-0.10471441523118759</v>
      </c>
      <c r="K51" s="186">
        <f>(K46-K49)/K49</f>
        <v>-1.848428835489848E-2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3.6977360380019237</v>
      </c>
      <c r="B53" s="193">
        <f>B46</f>
        <v>0.98</v>
      </c>
      <c r="C53" s="193">
        <f>E46/HLOOKUP(E45,$87:$94,5,FALSE)*HLOOKUP(E45,$87:$94,4,FALSE)*($B$25/HLOOKUP(E45,$87:$94,4,FALSE)+SUM($B$57:$D$57)/SUM($B58:$D$58)*$G$69/100/K46)</f>
        <v>1.0221487586349101</v>
      </c>
      <c r="D53" s="193">
        <f>D46/HLOOKUP(D45,$87:$94,5,FALSE)*HLOOKUP(D45,$87:$94,4,FALSE)*($B$25/HLOOKUP(D45,$87:$94,4,FALSE)+SUM($B$57:$D$57)/SUM($B58:$D$58)*$G$69/100/J46)</f>
        <v>0.75690120046972476</v>
      </c>
      <c r="E53" s="193">
        <f>C46/HLOOKUP(C45,$87:$94,5,FALSE)*HLOOKUP(C45,$87:$94,4,FALSE)*($B$25/HLOOKUP(C45,$87:$94,4,FALSE)+SUM($B$57:$D$57)/SUM($B58:$D$58)*$G$69/100/I46)</f>
        <v>0.93868607889728894</v>
      </c>
    </row>
    <row r="54" spans="1:15" x14ac:dyDescent="0.25">
      <c r="A54" s="278">
        <f>SUM(B54:E54)</f>
        <v>3.39</v>
      </c>
      <c r="B54" s="277">
        <f t="shared" ref="B54:D54" si="0">HLOOKUP(B52-10,81:82,2,FALSE)</f>
        <v>1.1100000000000001</v>
      </c>
      <c r="C54" s="277">
        <f t="shared" si="0"/>
        <v>1.26</v>
      </c>
      <c r="D54" s="277">
        <f t="shared" si="0"/>
        <v>0.14000000000000001</v>
      </c>
      <c r="E54" s="277">
        <f>HLOOKUP(E52-10,81:82,2,FALSE)</f>
        <v>0.88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666492</v>
      </c>
      <c r="C57" s="196">
        <f>HLOOKUP(C56,78:79,2,FALSE)</f>
        <v>603391</v>
      </c>
      <c r="D57" s="196">
        <f>HLOOKUP(D56,78:79,2,FALSE)</f>
        <v>645648</v>
      </c>
      <c r="E57" s="196">
        <f>HLOOKUP(E56,78:79,2,FALSE)</f>
        <v>591576</v>
      </c>
      <c r="F57" s="196">
        <f>HLOOKUP(F56,78:79,2,FALSE)</f>
        <v>577090</v>
      </c>
      <c r="G57" s="196">
        <f t="shared" ref="G57:M57" si="2">HLOOKUP(G56,78:79,2,FALSE)</f>
        <v>552395</v>
      </c>
      <c r="H57" s="196">
        <f t="shared" si="2"/>
        <v>559402</v>
      </c>
      <c r="I57" s="196">
        <f t="shared" si="2"/>
        <v>620940</v>
      </c>
      <c r="J57" s="196">
        <f t="shared" si="2"/>
        <v>407519</v>
      </c>
      <c r="K57" s="196">
        <f t="shared" si="2"/>
        <v>570728</v>
      </c>
      <c r="L57" s="196">
        <f t="shared" si="2"/>
        <v>587322</v>
      </c>
      <c r="M57" s="196">
        <f t="shared" si="2"/>
        <v>588552</v>
      </c>
      <c r="N57" s="197"/>
    </row>
    <row r="58" spans="1:15" x14ac:dyDescent="0.25">
      <c r="A58" s="198" t="s">
        <v>253</v>
      </c>
      <c r="B58" s="196">
        <f>HLOOKUP(B56-100,78:79,2,FALSE)</f>
        <v>622502</v>
      </c>
      <c r="C58" s="196">
        <f>HLOOKUP(C56-100,78:79,2,FALSE)</f>
        <v>621133</v>
      </c>
      <c r="D58" s="196">
        <f>HLOOKUP(D56-100,78:79,2,FALSE)</f>
        <v>639828</v>
      </c>
      <c r="E58" s="196">
        <f>HLOOKUP(E56-100,78:79,2,FALSE)</f>
        <v>614316</v>
      </c>
      <c r="F58" s="196">
        <f>HLOOKUP(F56-100,78:79,2,FALSE)</f>
        <v>595817</v>
      </c>
      <c r="G58" s="196">
        <f t="shared" ref="G58:M58" si="3">HLOOKUP(G56-100,78:79,2,FALSE)</f>
        <v>556845</v>
      </c>
      <c r="H58" s="196">
        <f t="shared" si="3"/>
        <v>582765</v>
      </c>
      <c r="I58" s="196">
        <f t="shared" si="3"/>
        <v>570021</v>
      </c>
      <c r="J58" s="196">
        <f t="shared" si="3"/>
        <v>418230</v>
      </c>
      <c r="K58" s="196">
        <f t="shared" si="3"/>
        <v>608187</v>
      </c>
      <c r="L58" s="196">
        <f t="shared" si="3"/>
        <v>599153</v>
      </c>
      <c r="M58" s="196">
        <f t="shared" si="3"/>
        <v>582064</v>
      </c>
      <c r="N58" s="197"/>
    </row>
    <row r="59" spans="1:15" x14ac:dyDescent="0.25">
      <c r="A59" s="199" t="s">
        <v>254</v>
      </c>
      <c r="B59" s="165">
        <f>IF(B57&lt;&gt;"",(B57-B58)/B58,"")</f>
        <v>7.066643962589679E-2</v>
      </c>
      <c r="C59" s="165">
        <f>IF(C57&lt;&gt;"",(C57-C58)/C58,"")</f>
        <v>-2.8563930752350947E-2</v>
      </c>
      <c r="D59" s="165">
        <f>IF(D57&lt;&gt;"",(D57-D58)/D58,"")</f>
        <v>9.0961946022993685E-3</v>
      </c>
      <c r="E59" s="165">
        <f>IF(E57&lt;&gt;"",(E57-E58)/E58,"")</f>
        <v>-3.7016779637841113E-2</v>
      </c>
      <c r="F59" s="165">
        <f>IF(F57&lt;&gt;"",(F57-F58)/F58,"")</f>
        <v>-3.1430791669254152E-2</v>
      </c>
      <c r="G59" s="165">
        <f t="shared" ref="G59:M59" si="4">IF(G57&lt;&gt;"",(G57-G58)/G58,"")</f>
        <v>-7.991451840278713E-3</v>
      </c>
      <c r="H59" s="165">
        <f t="shared" si="4"/>
        <v>-4.0089916175473819E-2</v>
      </c>
      <c r="I59" s="165">
        <f t="shared" si="4"/>
        <v>8.9328287905182435E-2</v>
      </c>
      <c r="J59" s="165">
        <f t="shared" si="4"/>
        <v>-2.5610310116443106E-2</v>
      </c>
      <c r="K59" s="165">
        <f t="shared" si="4"/>
        <v>-6.15912540057581E-2</v>
      </c>
      <c r="L59" s="165">
        <f t="shared" si="4"/>
        <v>-1.9746208397521166E-2</v>
      </c>
      <c r="M59" s="165">
        <f t="shared" si="4"/>
        <v>1.1146540586602161E-2</v>
      </c>
    </row>
    <row r="60" spans="1:15" x14ac:dyDescent="0.25">
      <c r="A60" s="195" t="s">
        <v>255</v>
      </c>
      <c r="B60" s="196">
        <f>SUM(B57:M57)</f>
        <v>6971055</v>
      </c>
    </row>
    <row r="61" spans="1:15" x14ac:dyDescent="0.25">
      <c r="A61" s="198" t="s">
        <v>256</v>
      </c>
      <c r="B61" s="196">
        <f>SUM(B58:M58)</f>
        <v>7010861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0.99432223802468767</v>
      </c>
      <c r="D62" s="152">
        <f>SUM(B46:E46)</f>
        <v>3.26</v>
      </c>
      <c r="E62" s="152">
        <f>SUM(B49:E49)</f>
        <v>3.6700000000000004</v>
      </c>
      <c r="G62" s="126">
        <f>SUM(B47:E47)</f>
        <v>12.010000000000002</v>
      </c>
      <c r="H62" s="126">
        <f>SUM(B50:E50)</f>
        <v>12.91</v>
      </c>
      <c r="J62" s="200">
        <f>AVERAGE(H46:K46)</f>
        <v>0.20847499999999997</v>
      </c>
      <c r="K62" s="200">
        <f>AVERAGE(H49:K49)</f>
        <v>0.24087500000000001</v>
      </c>
      <c r="M62" s="200">
        <f>AVERAGE(H47:K47)</f>
        <v>0.11715000000000002</v>
      </c>
      <c r="N62" s="200">
        <f>AVERAGE(H50:K50)</f>
        <v>0.13755000000000001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1.19</v>
      </c>
      <c r="C65" s="205">
        <f t="shared" si="5"/>
        <v>1</v>
      </c>
      <c r="D65" s="205">
        <f t="shared" si="5"/>
        <v>0.45</v>
      </c>
      <c r="E65" s="205">
        <f t="shared" si="5"/>
        <v>0.48</v>
      </c>
      <c r="F65" s="206">
        <f>IF(ISNA(HLOOKUP(F$64*10+$A65,$81:$82,2,FALSE)),(HLOOKUP(E$64*10+$A65,$87:$94,4,FALSE)*$G65+$B$25)/HLOOKUP(E$64*10+$A65,$87:$94,5,FALSE)*$E65,HLOOKUP(F$64*10+$A65,$81:$82,2,FALSE))</f>
        <v>0.14000000000000001</v>
      </c>
      <c r="G65" s="101">
        <f>MIN(130%,SUM($B$57:$D$57)/SUM($B$58:$D$58)*$G$69/HLOOKUP(E$64*10+$A65,$145:$146,2,FALSE))</f>
        <v>1.0569304972224438</v>
      </c>
      <c r="H65" s="204">
        <v>1</v>
      </c>
      <c r="I65" s="208">
        <f t="shared" ref="I65:M68" si="6">IF(ISNA(HLOOKUP(I$64*10+$H65,$145:$147,3,FALSE)),"",HLOOKUP(I$64*10+$H65,$145:$147,3,FALSE)/100)</f>
        <v>8.14E-2</v>
      </c>
      <c r="J65" s="208">
        <f t="shared" si="6"/>
        <v>7.0000000000000007E-2</v>
      </c>
      <c r="K65" s="208">
        <f t="shared" si="6"/>
        <v>6.2800000000000009E-2</v>
      </c>
      <c r="L65" s="208">
        <f t="shared" si="6"/>
        <v>0.1153</v>
      </c>
      <c r="M65" s="209">
        <f t="shared" si="6"/>
        <v>0.12240000000000001</v>
      </c>
      <c r="N65" s="256">
        <f t="shared" ref="N65:O68" si="7">HLOOKUP(E$64*10+$A65,$87:$94,8,FALSE)</f>
        <v>-22211</v>
      </c>
      <c r="O65" s="256">
        <f t="shared" si="7"/>
        <v>-144205</v>
      </c>
      <c r="P65" s="210"/>
    </row>
    <row r="66" spans="1:71" x14ac:dyDescent="0.25">
      <c r="A66" s="204">
        <v>2</v>
      </c>
      <c r="B66" s="205">
        <f t="shared" si="5"/>
        <v>0.94</v>
      </c>
      <c r="C66" s="205">
        <f t="shared" si="5"/>
        <v>0.75</v>
      </c>
      <c r="D66" s="205">
        <f t="shared" si="5"/>
        <v>0.55000000000000004</v>
      </c>
      <c r="E66" s="205">
        <f t="shared" si="5"/>
        <v>1.25</v>
      </c>
      <c r="F66" s="206">
        <f>IF(ISNA(HLOOKUP(F$64*10+$A66,$81:$82,2,FALSE)),(HLOOKUP(E$64*10+$A66,$87:$94,4,FALSE)*$G66+$B$25)/HLOOKUP(E$64*10+$A66,$87:$94,5,FALSE)*$E66,HLOOKUP(F$64*10+$A66,$81:$82,2,FALSE))</f>
        <v>0.88</v>
      </c>
      <c r="G66" s="101">
        <f>MIN(130%,SUM($B$57:$D$57)/SUM($B$58:$D$58)*$G$69/HLOOKUP(E$64*10+$A66,$145:$146,2,FALSE))</f>
        <v>0.98089553086777925</v>
      </c>
      <c r="H66" s="204">
        <v>2</v>
      </c>
      <c r="I66" s="208">
        <f t="shared" si="6"/>
        <v>7.1500000000000008E-2</v>
      </c>
      <c r="J66" s="208">
        <f t="shared" si="6"/>
        <v>8.5099999999999995E-2</v>
      </c>
      <c r="K66" s="208">
        <f t="shared" si="6"/>
        <v>7.1500000000000008E-2</v>
      </c>
      <c r="L66" s="208">
        <f t="shared" si="6"/>
        <v>0.15390000000000001</v>
      </c>
      <c r="M66" s="209">
        <f t="shared" si="6"/>
        <v>0.114</v>
      </c>
      <c r="N66" s="256">
        <f t="shared" si="7"/>
        <v>82638</v>
      </c>
      <c r="O66" s="256">
        <f t="shared" si="7"/>
        <v>34211</v>
      </c>
      <c r="P66" s="210"/>
    </row>
    <row r="67" spans="1:71" x14ac:dyDescent="0.25">
      <c r="A67" s="204">
        <v>3</v>
      </c>
      <c r="B67" s="205">
        <f t="shared" si="5"/>
        <v>0.76</v>
      </c>
      <c r="C67" s="205">
        <f t="shared" si="5"/>
        <v>1.3</v>
      </c>
      <c r="D67" s="205">
        <f t="shared" si="5"/>
        <v>1.55</v>
      </c>
      <c r="E67" s="205">
        <f t="shared" si="5"/>
        <v>1.1100000000000001</v>
      </c>
      <c r="F67" s="206">
        <f>IF(ISNA(HLOOKUP(F$64*10+$A67,$81:$82,2,FALSE)),(HLOOKUP(E$64*10+$A67,$87:$94,4,FALSE)*$G67+$B$25)/HLOOKUP(E$64*10+$A67,$87:$94,5,FALSE)*$E67,HLOOKUP(F$64*10+$A67,$81:$82,2,FALSE))</f>
        <v>0.98</v>
      </c>
      <c r="G67" s="101">
        <f>MIN(130%,SUM($B$57:$D$57)/SUM($B$58:$D$58)*$G$69/HLOOKUP(E$64*10+$A67,$145:$146,2,FALSE))</f>
        <v>0.80733679947116044</v>
      </c>
      <c r="H67" s="204">
        <v>3</v>
      </c>
      <c r="I67" s="208">
        <f t="shared" si="6"/>
        <v>0.10279999999999999</v>
      </c>
      <c r="J67" s="208">
        <f t="shared" si="6"/>
        <v>7.6499999999999999E-2</v>
      </c>
      <c r="K67" s="208">
        <f t="shared" si="6"/>
        <v>6.3500000000000001E-2</v>
      </c>
      <c r="L67" s="208">
        <f t="shared" si="6"/>
        <v>0.1923</v>
      </c>
      <c r="M67" s="209">
        <f t="shared" si="6"/>
        <v>0.115</v>
      </c>
      <c r="N67" s="256">
        <f t="shared" si="7"/>
        <v>-54942</v>
      </c>
      <c r="O67" s="256">
        <f t="shared" si="7"/>
        <v>19753</v>
      </c>
      <c r="P67" s="210"/>
    </row>
    <row r="68" spans="1:71" x14ac:dyDescent="0.25">
      <c r="A68" s="204">
        <v>4</v>
      </c>
      <c r="B68" s="205">
        <f>HLOOKUP(B$64*10+$A68,$81:$82,2,FALSE)</f>
        <v>0.97</v>
      </c>
      <c r="C68" s="205">
        <f>HLOOKUP(C$64*10+$A68,$81:$82,2,FALSE)</f>
        <v>0.51</v>
      </c>
      <c r="D68" s="205">
        <f>HLOOKUP(D$64*10+$A68,$81:$82,2,FALSE)</f>
        <v>0.83</v>
      </c>
      <c r="E68" s="206">
        <f>IF(ISNA(HLOOKUP(E$64*10+$A68,$81:$82,2,FALSE)),D68*(1-$N68)*#REF!*(1+$B$25)/(1+$E$4),HLOOKUP(E$64*10+$A68,$81:$82,2,FALSE))</f>
        <v>1.26</v>
      </c>
      <c r="F68" s="206">
        <f>IF(ISNA(HLOOKUP(F$64*10+$A68,$81:$82,2,FALSE)),(HLOOKUP(E$64*10+$A68,$87:$94,4,FALSE)*$G68+$B$25)/HLOOKUP(E$64*10+$A68,$87:$94,5,FALSE)*$E68,HLOOKUP(F$64*10+$A68,$81:$82,2,FALSE))</f>
        <v>1.0221487586349098</v>
      </c>
      <c r="G68" s="101">
        <f>MIN(130%,SUM($B$57:$D$57)/SUM($B$58:$D$58)*$G$69/HLOOKUP(E$64*10+$A68,$145:$146,2,FALSE))</f>
        <v>1.0977347819551371</v>
      </c>
      <c r="H68" s="204">
        <v>4</v>
      </c>
      <c r="I68" s="208">
        <f t="shared" si="6"/>
        <v>7.4700000000000003E-2</v>
      </c>
      <c r="J68" s="208">
        <f t="shared" si="6"/>
        <v>5.9000000000000004E-2</v>
      </c>
      <c r="K68" s="208">
        <f t="shared" si="6"/>
        <v>8.8699999999999987E-2</v>
      </c>
      <c r="L68" s="208">
        <f t="shared" si="6"/>
        <v>0.11720000000000001</v>
      </c>
      <c r="M68" s="209" t="str">
        <f t="shared" si="6"/>
        <v/>
      </c>
      <c r="N68" s="256">
        <f t="shared" si="7"/>
        <v>121898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3.8599999999999994</v>
      </c>
      <c r="C69" s="213">
        <f>SUM(C65:C68)</f>
        <v>3.5599999999999996</v>
      </c>
      <c r="D69" s="213">
        <f>SUM(D65:D68)</f>
        <v>3.38</v>
      </c>
      <c r="E69" s="213">
        <f>SUM(E65:E68)</f>
        <v>4.0999999999999996</v>
      </c>
      <c r="F69" s="213">
        <f>SUM(F65:F68)</f>
        <v>3.0221487586349101</v>
      </c>
      <c r="G69" s="257">
        <f>_xlfn.FORECAST.ETS(23,B146:W146,{1,2,3,4,5,6,7,8,9,10,11,12,13,14,15,16,17,18,19,20,21,22})</f>
        <v>22.925554345550694</v>
      </c>
      <c r="H69" s="214" t="s">
        <v>19</v>
      </c>
      <c r="I69" s="215">
        <f>HLOOKUP(I64,151:155,3,FALSE)/100</f>
        <v>8.2500000000000004E-2</v>
      </c>
      <c r="J69" s="215">
        <f>HLOOKUP(J64,151:155,3,FALSE)/100</f>
        <v>7.3099999999999998E-2</v>
      </c>
      <c r="K69" s="215">
        <f>HLOOKUP(K64,151:155,3,FALSE)/100</f>
        <v>7.1500000000000008E-2</v>
      </c>
      <c r="L69" s="215">
        <f>IF(ISNA(HLOOKUP(L64,151:155,3,FALSE)/100),AVERAGE(L65:L68),HLOOKUP(L64,151:155,3,FALSE)/100)</f>
        <v>0.14550000000000002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4.21</v>
      </c>
      <c r="C72" s="205">
        <f t="shared" si="8"/>
        <v>3.36</v>
      </c>
      <c r="D72" s="205">
        <f t="shared" si="8"/>
        <v>1.52</v>
      </c>
      <c r="E72" s="205">
        <f t="shared" si="8"/>
        <v>1.61</v>
      </c>
      <c r="F72" s="205">
        <f t="shared" si="8"/>
        <v>0.49</v>
      </c>
    </row>
    <row r="73" spans="1:71" s="135" customFormat="1" x14ac:dyDescent="0.25">
      <c r="A73" s="204">
        <v>2</v>
      </c>
      <c r="B73" s="205">
        <f t="shared" si="8"/>
        <v>3.33</v>
      </c>
      <c r="C73" s="205">
        <f t="shared" si="8"/>
        <v>2.61</v>
      </c>
      <c r="D73" s="205">
        <f t="shared" si="8"/>
        <v>1.92</v>
      </c>
      <c r="E73" s="205">
        <f t="shared" si="8"/>
        <v>4.3899999999999997</v>
      </c>
      <c r="F73" s="205">
        <f t="shared" si="8"/>
        <v>3.29</v>
      </c>
    </row>
    <row r="74" spans="1:71" s="135" customFormat="1" x14ac:dyDescent="0.25">
      <c r="A74" s="204">
        <v>3</v>
      </c>
      <c r="B74" s="205">
        <f t="shared" si="8"/>
        <v>2.73</v>
      </c>
      <c r="C74" s="205">
        <f t="shared" si="8"/>
        <v>4.63</v>
      </c>
      <c r="D74" s="205">
        <f t="shared" si="8"/>
        <v>5.54</v>
      </c>
      <c r="E74" s="205">
        <f t="shared" si="8"/>
        <v>4.04</v>
      </c>
      <c r="F74" s="205">
        <f t="shared" si="8"/>
        <v>3.78</v>
      </c>
    </row>
    <row r="75" spans="1:71" s="135" customFormat="1" x14ac:dyDescent="0.25">
      <c r="A75" s="204">
        <v>4</v>
      </c>
      <c r="B75" s="205">
        <f t="shared" si="8"/>
        <v>3.35</v>
      </c>
      <c r="C75" s="205">
        <f t="shared" si="8"/>
        <v>1.71</v>
      </c>
      <c r="D75" s="205">
        <f t="shared" si="8"/>
        <v>2.87</v>
      </c>
      <c r="E75" s="205">
        <f t="shared" si="8"/>
        <v>4.45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13.62</v>
      </c>
      <c r="C76" s="213">
        <f>SUM(C72:C75)</f>
        <v>12.309999999999999</v>
      </c>
      <c r="D76" s="213">
        <f>SUM(D72:D75)</f>
        <v>11.850000000000001</v>
      </c>
      <c r="E76" s="213">
        <f>AVERAGE(E72:E75)*4</f>
        <v>14.489999999999998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702933</v>
      </c>
      <c r="C79" s="270">
        <v>700522</v>
      </c>
      <c r="D79" s="270">
        <v>755156</v>
      </c>
      <c r="E79" s="270">
        <v>762763</v>
      </c>
      <c r="F79" s="270">
        <v>751766</v>
      </c>
      <c r="G79" s="270">
        <v>706595</v>
      </c>
      <c r="H79" s="270">
        <v>714760</v>
      </c>
      <c r="I79" s="270">
        <v>755620</v>
      </c>
      <c r="J79" s="270">
        <v>832954</v>
      </c>
      <c r="K79" s="270">
        <v>729640</v>
      </c>
      <c r="L79" s="270">
        <v>643401</v>
      </c>
      <c r="M79" s="270">
        <v>625990</v>
      </c>
      <c r="N79" s="270">
        <v>757218</v>
      </c>
      <c r="O79" s="270">
        <v>506056</v>
      </c>
      <c r="P79" s="270">
        <v>733401</v>
      </c>
      <c r="Q79" s="270">
        <v>733320</v>
      </c>
      <c r="R79" s="270">
        <v>661095</v>
      </c>
      <c r="S79" s="270">
        <v>599876</v>
      </c>
      <c r="T79" s="270">
        <v>637998</v>
      </c>
      <c r="U79" s="270">
        <v>669128</v>
      </c>
      <c r="V79" s="270">
        <v>690792</v>
      </c>
      <c r="W79" s="270">
        <v>689125</v>
      </c>
      <c r="X79" s="270">
        <v>643335</v>
      </c>
      <c r="Y79" s="270">
        <v>638775</v>
      </c>
      <c r="Z79" s="270">
        <v>640750</v>
      </c>
      <c r="AA79" s="270">
        <v>509958</v>
      </c>
      <c r="AB79" s="270">
        <v>641500</v>
      </c>
      <c r="AC79" s="270">
        <v>658498</v>
      </c>
      <c r="AD79" s="270">
        <v>661570</v>
      </c>
      <c r="AE79" s="270">
        <v>629237</v>
      </c>
      <c r="AF79" s="270">
        <v>660313</v>
      </c>
      <c r="AG79" s="270">
        <v>659344</v>
      </c>
      <c r="AH79" s="270">
        <v>627925</v>
      </c>
      <c r="AI79" s="270">
        <v>635007</v>
      </c>
      <c r="AJ79" s="270">
        <v>668790</v>
      </c>
      <c r="AK79" s="270">
        <v>618093</v>
      </c>
      <c r="AL79" s="270">
        <v>648856</v>
      </c>
      <c r="AM79" s="270">
        <v>415099</v>
      </c>
      <c r="AN79" s="270">
        <v>568440</v>
      </c>
      <c r="AO79" s="270">
        <v>614682</v>
      </c>
      <c r="AP79" s="270">
        <v>552336</v>
      </c>
      <c r="AQ79" s="270">
        <v>579891</v>
      </c>
      <c r="AR79" s="270">
        <v>644586</v>
      </c>
      <c r="AS79" s="270">
        <v>645773</v>
      </c>
      <c r="AT79" s="270">
        <v>619666</v>
      </c>
      <c r="AU79" s="270">
        <v>637208</v>
      </c>
      <c r="AV79" s="270">
        <v>582064</v>
      </c>
      <c r="AW79" s="270">
        <v>599153</v>
      </c>
      <c r="AX79" s="270">
        <v>608187</v>
      </c>
      <c r="AY79" s="270">
        <v>418230</v>
      </c>
      <c r="AZ79" s="270">
        <v>570021</v>
      </c>
      <c r="BA79" s="270">
        <v>582765</v>
      </c>
      <c r="BB79" s="270">
        <v>556845</v>
      </c>
      <c r="BC79" s="270">
        <v>595817</v>
      </c>
      <c r="BD79" s="270">
        <v>614316</v>
      </c>
      <c r="BE79" s="270">
        <v>639828</v>
      </c>
      <c r="BF79" s="270">
        <v>621133</v>
      </c>
      <c r="BG79" s="270">
        <v>622502</v>
      </c>
      <c r="BH79" s="270">
        <v>588552</v>
      </c>
      <c r="BI79" s="270">
        <v>587322</v>
      </c>
      <c r="BJ79" s="270">
        <v>570728</v>
      </c>
      <c r="BK79" s="270">
        <v>407519</v>
      </c>
      <c r="BL79" s="270">
        <v>620940</v>
      </c>
      <c r="BM79" s="270">
        <v>559402</v>
      </c>
      <c r="BN79" s="270">
        <v>552395</v>
      </c>
      <c r="BO79" s="270">
        <v>577090</v>
      </c>
      <c r="BP79" s="270">
        <v>591576</v>
      </c>
      <c r="BQ79" s="270">
        <v>645648</v>
      </c>
      <c r="BR79" s="270">
        <v>603391</v>
      </c>
      <c r="BS79" s="270">
        <v>666492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0.89</v>
      </c>
      <c r="C82" s="72">
        <v>1.1499999999999999</v>
      </c>
      <c r="D82" s="72">
        <v>1.1599999999999999</v>
      </c>
      <c r="E82" s="72">
        <v>0.92</v>
      </c>
      <c r="F82" s="72">
        <v>1.19</v>
      </c>
      <c r="G82" s="72">
        <v>0.94</v>
      </c>
      <c r="H82" s="72">
        <v>0.76</v>
      </c>
      <c r="I82" s="72">
        <v>0.97</v>
      </c>
      <c r="J82" s="72">
        <v>1</v>
      </c>
      <c r="K82" s="72">
        <v>0.75</v>
      </c>
      <c r="L82" s="72">
        <v>1.3</v>
      </c>
      <c r="M82" s="72">
        <v>0.51</v>
      </c>
      <c r="N82" s="72">
        <v>0.45</v>
      </c>
      <c r="O82" s="72">
        <v>0.55000000000000004</v>
      </c>
      <c r="P82" s="72">
        <v>1.55</v>
      </c>
      <c r="Q82" s="72">
        <v>0.83</v>
      </c>
      <c r="R82" s="72">
        <v>0.48</v>
      </c>
      <c r="S82" s="72">
        <v>1.25</v>
      </c>
      <c r="T82" s="72">
        <v>1.1100000000000001</v>
      </c>
      <c r="U82" s="72">
        <v>1.26</v>
      </c>
      <c r="V82" s="72">
        <v>0.14000000000000001</v>
      </c>
      <c r="W82" s="72">
        <v>0.88</v>
      </c>
      <c r="X82" s="72">
        <v>0.98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27.32</v>
      </c>
      <c r="C85" s="72">
        <v>25.62</v>
      </c>
      <c r="D85" s="72">
        <v>26.22</v>
      </c>
      <c r="E85" s="72">
        <v>26.98</v>
      </c>
      <c r="F85" s="72">
        <v>29.2</v>
      </c>
      <c r="G85" s="72">
        <v>27.46</v>
      </c>
      <c r="H85" s="72">
        <v>28.01</v>
      </c>
      <c r="I85" s="72">
        <v>29.06</v>
      </c>
      <c r="J85" s="72">
        <v>30.05</v>
      </c>
      <c r="K85" s="72">
        <v>27.31</v>
      </c>
      <c r="L85" s="72">
        <v>28.78</v>
      </c>
      <c r="M85" s="72">
        <v>29.83</v>
      </c>
      <c r="N85" s="72">
        <v>30.1</v>
      </c>
      <c r="O85" s="72">
        <v>27.02</v>
      </c>
      <c r="P85" s="72">
        <v>28.91</v>
      </c>
      <c r="Q85" s="72">
        <v>29.22</v>
      </c>
      <c r="R85" s="72">
        <v>29.54</v>
      </c>
      <c r="S85" s="72">
        <v>27.03</v>
      </c>
      <c r="T85" s="72">
        <v>27.7</v>
      </c>
      <c r="U85" s="72">
        <v>28.6</v>
      </c>
      <c r="V85" s="72">
        <v>28.25</v>
      </c>
      <c r="W85" s="72">
        <v>25.26</v>
      </c>
      <c r="X85" s="72">
        <v>26.41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2213088</v>
      </c>
      <c r="C88" s="273">
        <v>2171760</v>
      </c>
      <c r="D88" s="273">
        <v>2330203</v>
      </c>
      <c r="E88" s="273">
        <v>1978390</v>
      </c>
      <c r="F88" s="273">
        <v>1996646</v>
      </c>
      <c r="G88" s="273">
        <v>1998288</v>
      </c>
      <c r="H88" s="273">
        <v>1936568</v>
      </c>
      <c r="I88" s="273">
        <v>1945096</v>
      </c>
      <c r="J88" s="273">
        <v>1777259</v>
      </c>
      <c r="K88" s="273">
        <v>1964141</v>
      </c>
      <c r="L88" s="273">
        <v>2069242</v>
      </c>
      <c r="M88" s="273">
        <v>1761935</v>
      </c>
      <c r="N88" s="273">
        <v>1632741</v>
      </c>
      <c r="O88" s="273">
        <v>1768538</v>
      </c>
      <c r="P88" s="273">
        <v>1934255</v>
      </c>
      <c r="Q88" s="273">
        <v>1739448</v>
      </c>
      <c r="R88" s="273">
        <v>1592473</v>
      </c>
      <c r="S88" s="273">
        <v>1688215</v>
      </c>
      <c r="T88" s="273">
        <v>1847653</v>
      </c>
      <c r="U88" s="273">
        <v>1846233</v>
      </c>
      <c r="V88" s="273">
        <v>1578028</v>
      </c>
      <c r="W88" s="273">
        <v>1677360</v>
      </c>
      <c r="X88" s="273">
        <v>1950904</v>
      </c>
    </row>
    <row r="89" spans="1:25" ht="14.25" thickBot="1" x14ac:dyDescent="0.3">
      <c r="A89" s="250" t="s">
        <v>4</v>
      </c>
      <c r="B89" s="275">
        <v>320661</v>
      </c>
      <c r="C89" s="275">
        <v>324342</v>
      </c>
      <c r="D89" s="275">
        <v>360742</v>
      </c>
      <c r="E89" s="275">
        <v>288233</v>
      </c>
      <c r="F89" s="275">
        <v>313199</v>
      </c>
      <c r="G89" s="275">
        <v>299263</v>
      </c>
      <c r="H89" s="275">
        <v>347286</v>
      </c>
      <c r="I89" s="275">
        <v>270068</v>
      </c>
      <c r="J89" s="275">
        <v>279512</v>
      </c>
      <c r="K89" s="275">
        <v>312682</v>
      </c>
      <c r="L89" s="275">
        <v>316522</v>
      </c>
      <c r="M89" s="275">
        <v>244072</v>
      </c>
      <c r="N89" s="275">
        <v>245116</v>
      </c>
      <c r="O89" s="275">
        <v>271064</v>
      </c>
      <c r="P89" s="275">
        <v>308111</v>
      </c>
      <c r="Q89" s="275">
        <v>376434</v>
      </c>
      <c r="R89" s="275">
        <v>351359</v>
      </c>
      <c r="S89" s="275">
        <v>401249</v>
      </c>
      <c r="T89" s="275">
        <v>533563</v>
      </c>
      <c r="U89" s="275">
        <v>392167</v>
      </c>
      <c r="V89" s="275">
        <v>311642</v>
      </c>
      <c r="W89" s="275">
        <v>367277</v>
      </c>
      <c r="X89" s="275">
        <v>400026</v>
      </c>
    </row>
    <row r="90" spans="1:25" ht="14.25" thickBot="1" x14ac:dyDescent="0.3">
      <c r="A90" s="251" t="s">
        <v>5</v>
      </c>
      <c r="B90" s="273">
        <v>168832</v>
      </c>
      <c r="C90" s="273">
        <v>216962</v>
      </c>
      <c r="D90" s="273">
        <v>234690</v>
      </c>
      <c r="E90" s="273">
        <v>154761</v>
      </c>
      <c r="F90" s="273">
        <v>162582</v>
      </c>
      <c r="G90" s="273">
        <v>142905</v>
      </c>
      <c r="H90" s="273">
        <v>199109</v>
      </c>
      <c r="I90" s="273">
        <v>145236</v>
      </c>
      <c r="J90" s="273">
        <v>124421</v>
      </c>
      <c r="K90" s="273">
        <v>167116</v>
      </c>
      <c r="L90" s="273">
        <v>158367</v>
      </c>
      <c r="M90" s="273">
        <v>104000</v>
      </c>
      <c r="N90" s="273">
        <v>102549</v>
      </c>
      <c r="O90" s="273">
        <v>126501</v>
      </c>
      <c r="P90" s="273">
        <v>122800</v>
      </c>
      <c r="Q90" s="273">
        <v>154304</v>
      </c>
      <c r="R90" s="273">
        <v>183557</v>
      </c>
      <c r="S90" s="273">
        <v>259795</v>
      </c>
      <c r="T90" s="273">
        <v>355259</v>
      </c>
      <c r="U90" s="273">
        <v>216419</v>
      </c>
      <c r="V90" s="273">
        <v>193218</v>
      </c>
      <c r="W90" s="273">
        <v>191257</v>
      </c>
      <c r="X90" s="273">
        <v>224302</v>
      </c>
    </row>
    <row r="91" spans="1:25" ht="14.25" thickBot="1" x14ac:dyDescent="0.3">
      <c r="A91" s="250" t="s">
        <v>6</v>
      </c>
      <c r="B91" s="275">
        <v>173907</v>
      </c>
      <c r="C91" s="275">
        <v>252054</v>
      </c>
      <c r="D91" s="275">
        <v>229594</v>
      </c>
      <c r="E91" s="275">
        <v>174235</v>
      </c>
      <c r="F91" s="275">
        <v>234299</v>
      </c>
      <c r="G91" s="275">
        <v>189011</v>
      </c>
      <c r="H91" s="275">
        <v>187875</v>
      </c>
      <c r="I91" s="275">
        <v>214845</v>
      </c>
      <c r="J91" s="275">
        <v>202499</v>
      </c>
      <c r="K91" s="275">
        <v>147810</v>
      </c>
      <c r="L91" s="275">
        <v>273782</v>
      </c>
      <c r="M91" s="275">
        <v>217589</v>
      </c>
      <c r="N91" s="275">
        <v>110657</v>
      </c>
      <c r="O91" s="275">
        <v>139897</v>
      </c>
      <c r="P91" s="275">
        <v>361219</v>
      </c>
      <c r="Q91" s="275">
        <v>187005</v>
      </c>
      <c r="R91" s="275">
        <v>161346</v>
      </c>
      <c r="S91" s="275">
        <v>342433</v>
      </c>
      <c r="T91" s="275">
        <v>300317</v>
      </c>
      <c r="U91" s="275">
        <v>338317</v>
      </c>
      <c r="V91" s="275">
        <v>49013</v>
      </c>
      <c r="W91" s="275">
        <v>225468</v>
      </c>
      <c r="X91" s="275">
        <v>244055</v>
      </c>
    </row>
    <row r="92" spans="1:25" ht="14.25" thickBot="1" x14ac:dyDescent="0.3">
      <c r="A92" s="251" t="s">
        <v>7</v>
      </c>
      <c r="B92" s="273">
        <v>146400</v>
      </c>
      <c r="C92" s="273">
        <v>187975</v>
      </c>
      <c r="D92" s="273">
        <v>190870</v>
      </c>
      <c r="E92" s="273">
        <v>150782</v>
      </c>
      <c r="F92" s="273">
        <v>196016</v>
      </c>
      <c r="G92" s="273">
        <v>157903</v>
      </c>
      <c r="H92" s="273">
        <v>128205</v>
      </c>
      <c r="I92" s="273">
        <v>163402</v>
      </c>
      <c r="J92" s="273">
        <v>171069</v>
      </c>
      <c r="K92" s="273">
        <v>130396</v>
      </c>
      <c r="L92" s="273">
        <v>228247</v>
      </c>
      <c r="M92" s="273">
        <v>88857</v>
      </c>
      <c r="N92" s="273">
        <v>80840</v>
      </c>
      <c r="O92" s="273">
        <v>98143</v>
      </c>
      <c r="P92" s="273">
        <v>277778</v>
      </c>
      <c r="Q92" s="273">
        <v>150008</v>
      </c>
      <c r="R92" s="273">
        <v>84840</v>
      </c>
      <c r="S92" s="273">
        <v>223056</v>
      </c>
      <c r="T92" s="273">
        <v>198701</v>
      </c>
      <c r="U92" s="273">
        <v>225379</v>
      </c>
      <c r="V92" s="273">
        <v>25843</v>
      </c>
      <c r="W92" s="273">
        <v>165387</v>
      </c>
      <c r="X92" s="273">
        <v>183106</v>
      </c>
    </row>
    <row r="93" spans="1:25" ht="26.25" thickBot="1" x14ac:dyDescent="0.3">
      <c r="A93" s="252" t="s">
        <v>8</v>
      </c>
      <c r="B93" s="276">
        <v>146400</v>
      </c>
      <c r="C93" s="276">
        <v>187975</v>
      </c>
      <c r="D93" s="276">
        <v>190870</v>
      </c>
      <c r="E93" s="276">
        <v>150782</v>
      </c>
      <c r="F93" s="276">
        <v>196016</v>
      </c>
      <c r="G93" s="276">
        <v>157903</v>
      </c>
      <c r="H93" s="276">
        <v>128205</v>
      </c>
      <c r="I93" s="276">
        <v>163402</v>
      </c>
      <c r="J93" s="276">
        <v>171069</v>
      </c>
      <c r="K93" s="276">
        <v>130396</v>
      </c>
      <c r="L93" s="276">
        <v>228247</v>
      </c>
      <c r="M93" s="276">
        <v>88857</v>
      </c>
      <c r="N93" s="276">
        <v>80840</v>
      </c>
      <c r="O93" s="276">
        <v>98143</v>
      </c>
      <c r="P93" s="276">
        <v>277914</v>
      </c>
      <c r="Q93" s="276">
        <v>148756</v>
      </c>
      <c r="R93" s="276">
        <v>85008</v>
      </c>
      <c r="S93" s="276">
        <v>222888</v>
      </c>
      <c r="T93" s="276">
        <v>198701</v>
      </c>
      <c r="U93" s="276">
        <v>225379</v>
      </c>
      <c r="V93" s="276">
        <v>25843</v>
      </c>
      <c r="W93" s="276">
        <v>165387</v>
      </c>
      <c r="X93" s="276">
        <v>183106</v>
      </c>
    </row>
    <row r="94" spans="1:25" x14ac:dyDescent="0.25">
      <c r="A94" s="233" t="s">
        <v>365</v>
      </c>
      <c r="B94" s="253">
        <f>IF(B91="","",B91-B90)</f>
        <v>5075</v>
      </c>
      <c r="C94" s="253">
        <f>IF(C91="","",C91-C90)</f>
        <v>35092</v>
      </c>
      <c r="D94" s="253">
        <f t="shared" ref="D94:Y94" si="9">IF(D91="","",D91-D90)</f>
        <v>-5096</v>
      </c>
      <c r="E94" s="253">
        <f t="shared" si="9"/>
        <v>19474</v>
      </c>
      <c r="F94" s="253">
        <f t="shared" si="9"/>
        <v>71717</v>
      </c>
      <c r="G94" s="253">
        <f t="shared" si="9"/>
        <v>46106</v>
      </c>
      <c r="H94" s="253">
        <f t="shared" si="9"/>
        <v>-11234</v>
      </c>
      <c r="I94" s="253">
        <f t="shared" si="9"/>
        <v>69609</v>
      </c>
      <c r="J94" s="253">
        <f t="shared" si="9"/>
        <v>78078</v>
      </c>
      <c r="K94" s="253">
        <f t="shared" si="9"/>
        <v>-19306</v>
      </c>
      <c r="L94" s="253">
        <f t="shared" si="9"/>
        <v>115415</v>
      </c>
      <c r="M94" s="253">
        <f t="shared" si="9"/>
        <v>113589</v>
      </c>
      <c r="N94" s="253">
        <f t="shared" si="9"/>
        <v>8108</v>
      </c>
      <c r="O94" s="253">
        <f t="shared" si="9"/>
        <v>13396</v>
      </c>
      <c r="P94" s="253">
        <f t="shared" si="9"/>
        <v>238419</v>
      </c>
      <c r="Q94" s="253">
        <f t="shared" si="9"/>
        <v>32701</v>
      </c>
      <c r="R94" s="253">
        <f t="shared" si="9"/>
        <v>-22211</v>
      </c>
      <c r="S94" s="253">
        <f t="shared" si="9"/>
        <v>82638</v>
      </c>
      <c r="T94" s="253">
        <f t="shared" si="9"/>
        <v>-54942</v>
      </c>
      <c r="U94" s="253">
        <f t="shared" si="9"/>
        <v>121898</v>
      </c>
      <c r="V94" s="253">
        <f t="shared" si="9"/>
        <v>-144205</v>
      </c>
      <c r="W94" s="253">
        <f t="shared" si="9"/>
        <v>34211</v>
      </c>
      <c r="X94" s="253">
        <f t="shared" si="9"/>
        <v>19753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8693441</v>
      </c>
      <c r="C97" s="273">
        <v>7876598</v>
      </c>
      <c r="D97" s="273">
        <v>7572577</v>
      </c>
      <c r="E97" s="273">
        <v>7074982</v>
      </c>
      <c r="F97" s="273">
        <v>6974574</v>
      </c>
    </row>
    <row r="98" spans="1:24" ht="14.25" thickBot="1" x14ac:dyDescent="0.3">
      <c r="A98" s="225" t="s">
        <v>4</v>
      </c>
      <c r="B98" s="275">
        <v>1293978</v>
      </c>
      <c r="C98" s="275">
        <v>1229816</v>
      </c>
      <c r="D98" s="275">
        <v>1152788</v>
      </c>
      <c r="E98" s="275">
        <v>1200725</v>
      </c>
      <c r="F98" s="275">
        <v>1678338</v>
      </c>
    </row>
    <row r="99" spans="1:24" ht="14.25" thickBot="1" x14ac:dyDescent="0.3">
      <c r="A99" s="224" t="s">
        <v>5</v>
      </c>
      <c r="B99" s="273">
        <v>775245</v>
      </c>
      <c r="C99" s="273">
        <v>649832</v>
      </c>
      <c r="D99" s="273">
        <v>553904</v>
      </c>
      <c r="E99" s="273">
        <v>506154</v>
      </c>
      <c r="F99" s="273">
        <v>1015030</v>
      </c>
    </row>
    <row r="100" spans="1:24" ht="14.25" thickBot="1" x14ac:dyDescent="0.3">
      <c r="A100" s="225" t="s">
        <v>6</v>
      </c>
      <c r="B100" s="275">
        <v>829790</v>
      </c>
      <c r="C100" s="275">
        <v>826030</v>
      </c>
      <c r="D100" s="275">
        <v>833898</v>
      </c>
      <c r="E100" s="275">
        <v>798778</v>
      </c>
      <c r="F100" s="275">
        <v>1142413</v>
      </c>
    </row>
    <row r="101" spans="1:24" ht="14.25" thickBot="1" x14ac:dyDescent="0.3">
      <c r="A101" s="224" t="s">
        <v>7</v>
      </c>
      <c r="B101" s="273">
        <v>676027</v>
      </c>
      <c r="C101" s="273">
        <v>645526</v>
      </c>
      <c r="D101" s="273">
        <v>610787</v>
      </c>
      <c r="E101" s="273">
        <v>606769</v>
      </c>
      <c r="F101" s="273">
        <v>731976</v>
      </c>
    </row>
    <row r="102" spans="1:24" ht="14.25" thickBot="1" x14ac:dyDescent="0.3">
      <c r="A102" s="227" t="s">
        <v>8</v>
      </c>
      <c r="B102" s="276">
        <v>676027</v>
      </c>
      <c r="C102" s="276">
        <v>645526</v>
      </c>
      <c r="D102" s="276">
        <v>610787</v>
      </c>
      <c r="E102" s="276">
        <v>605653</v>
      </c>
      <c r="F102" s="276">
        <v>731976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0.9981607498075874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1738147</v>
      </c>
      <c r="C106" s="273">
        <v>1654115</v>
      </c>
      <c r="D106" s="273">
        <v>1799010</v>
      </c>
      <c r="E106" s="273">
        <v>2019631</v>
      </c>
      <c r="F106" s="273">
        <v>1883355</v>
      </c>
      <c r="G106" s="273">
        <v>2058165</v>
      </c>
      <c r="H106" s="273">
        <v>2170766</v>
      </c>
      <c r="I106" s="273">
        <v>2153597</v>
      </c>
      <c r="J106" s="273">
        <v>2221807</v>
      </c>
      <c r="K106" s="273">
        <v>2054132</v>
      </c>
      <c r="L106" s="273">
        <v>1927596</v>
      </c>
      <c r="M106" s="273">
        <v>1464664</v>
      </c>
      <c r="N106" s="273">
        <v>1678071</v>
      </c>
      <c r="O106" s="273">
        <v>2268938</v>
      </c>
      <c r="P106" s="273">
        <v>2277998</v>
      </c>
      <c r="Q106" s="273">
        <v>2459304</v>
      </c>
      <c r="R106" s="273">
        <v>2550145</v>
      </c>
      <c r="S106" s="273">
        <v>2659521</v>
      </c>
      <c r="T106" s="273">
        <v>2328550</v>
      </c>
      <c r="U106" s="273">
        <v>2810409</v>
      </c>
      <c r="V106" s="273">
        <v>2864684</v>
      </c>
      <c r="W106" s="273">
        <v>2710955</v>
      </c>
      <c r="X106" s="273">
        <v>1972529</v>
      </c>
    </row>
    <row r="107" spans="1:24" ht="14.25" thickBot="1" x14ac:dyDescent="0.3">
      <c r="A107" s="225" t="s">
        <v>22</v>
      </c>
      <c r="B107" s="275">
        <v>2477</v>
      </c>
      <c r="C107" s="274">
        <v>0</v>
      </c>
      <c r="D107" s="274">
        <v>0</v>
      </c>
      <c r="E107" s="274">
        <v>0</v>
      </c>
      <c r="F107" s="274">
        <v>0</v>
      </c>
      <c r="G107" s="275">
        <v>2047120</v>
      </c>
      <c r="H107" s="275">
        <v>1124889</v>
      </c>
      <c r="I107" s="275">
        <v>1458763</v>
      </c>
      <c r="J107" s="275">
        <v>1435012</v>
      </c>
      <c r="K107" s="275">
        <v>1668396</v>
      </c>
      <c r="L107" s="275">
        <v>1843880</v>
      </c>
      <c r="M107" s="275">
        <v>2387324</v>
      </c>
      <c r="N107" s="275">
        <v>2189522</v>
      </c>
      <c r="O107" s="275">
        <v>1703365</v>
      </c>
      <c r="P107" s="275">
        <v>1575117</v>
      </c>
      <c r="Q107" s="275">
        <v>1657678</v>
      </c>
      <c r="R107" s="275">
        <v>1775843</v>
      </c>
      <c r="S107" s="275">
        <v>1614108</v>
      </c>
      <c r="T107" s="275">
        <v>1615796</v>
      </c>
      <c r="U107" s="275">
        <v>1396836</v>
      </c>
      <c r="V107" s="275">
        <v>1309909</v>
      </c>
      <c r="W107" s="275">
        <v>1538427</v>
      </c>
      <c r="X107" s="275">
        <v>1935191</v>
      </c>
    </row>
    <row r="108" spans="1:24" ht="14.25" thickBot="1" x14ac:dyDescent="0.3">
      <c r="A108" s="224" t="s">
        <v>263</v>
      </c>
      <c r="B108" s="273">
        <v>2814554</v>
      </c>
      <c r="C108" s="273">
        <v>2740124</v>
      </c>
      <c r="D108" s="273">
        <v>2823149</v>
      </c>
      <c r="E108" s="273">
        <v>2415723</v>
      </c>
      <c r="F108" s="273">
        <v>2411808</v>
      </c>
      <c r="G108" s="273">
        <v>2390780</v>
      </c>
      <c r="H108" s="273">
        <v>2355766</v>
      </c>
      <c r="I108" s="273">
        <v>2331054</v>
      </c>
      <c r="J108" s="273">
        <v>2206626</v>
      </c>
      <c r="K108" s="273">
        <v>2237679</v>
      </c>
      <c r="L108" s="273">
        <v>2410398</v>
      </c>
      <c r="M108" s="273">
        <v>2287311</v>
      </c>
      <c r="N108" s="273">
        <v>2069800</v>
      </c>
      <c r="O108" s="273">
        <v>2013703</v>
      </c>
      <c r="P108" s="273">
        <v>2345330</v>
      </c>
      <c r="Q108" s="273">
        <v>2184575</v>
      </c>
      <c r="R108" s="273">
        <v>1993419</v>
      </c>
      <c r="S108" s="273">
        <v>2110572</v>
      </c>
      <c r="T108" s="273">
        <v>2263043</v>
      </c>
      <c r="U108" s="273">
        <v>2297414</v>
      </c>
      <c r="V108" s="273">
        <v>2004229</v>
      </c>
      <c r="W108" s="273">
        <v>2016193</v>
      </c>
      <c r="X108" s="273">
        <v>2217863</v>
      </c>
    </row>
    <row r="109" spans="1:24" ht="14.25" thickBot="1" x14ac:dyDescent="0.3">
      <c r="A109" s="225" t="s">
        <v>264</v>
      </c>
      <c r="B109" s="275">
        <v>650484</v>
      </c>
      <c r="C109" s="275">
        <v>678950</v>
      </c>
      <c r="D109" s="275">
        <v>559759</v>
      </c>
      <c r="E109" s="275">
        <v>561929</v>
      </c>
      <c r="F109" s="275">
        <v>702964</v>
      </c>
      <c r="G109" s="275">
        <v>525212</v>
      </c>
      <c r="H109" s="275">
        <v>582670</v>
      </c>
      <c r="I109" s="275">
        <v>605902</v>
      </c>
      <c r="J109" s="275">
        <v>617593</v>
      </c>
      <c r="K109" s="275">
        <v>576486</v>
      </c>
      <c r="L109" s="275">
        <v>602171</v>
      </c>
      <c r="M109" s="275">
        <v>567316</v>
      </c>
      <c r="N109" s="275">
        <v>551094</v>
      </c>
      <c r="O109" s="275">
        <v>558195</v>
      </c>
      <c r="P109" s="275">
        <v>510397</v>
      </c>
      <c r="Q109" s="275">
        <v>443766</v>
      </c>
      <c r="R109" s="275">
        <v>447231</v>
      </c>
      <c r="S109" s="275">
        <v>393311</v>
      </c>
      <c r="T109" s="275">
        <v>443072</v>
      </c>
      <c r="U109" s="275">
        <v>486409</v>
      </c>
      <c r="V109" s="275">
        <v>483017</v>
      </c>
      <c r="W109" s="275">
        <v>490937</v>
      </c>
      <c r="X109" s="275">
        <v>517220</v>
      </c>
    </row>
    <row r="110" spans="1:24" ht="14.25" thickBot="1" x14ac:dyDescent="0.3">
      <c r="A110" s="224" t="s">
        <v>23</v>
      </c>
      <c r="B110" s="273">
        <v>1406561</v>
      </c>
      <c r="C110" s="273">
        <v>1228238</v>
      </c>
      <c r="D110" s="273">
        <v>1120647</v>
      </c>
      <c r="E110" s="273">
        <v>1096334</v>
      </c>
      <c r="F110" s="273">
        <v>1619070</v>
      </c>
      <c r="G110" s="273">
        <v>134361</v>
      </c>
      <c r="H110" s="273">
        <v>146657</v>
      </c>
      <c r="I110" s="273">
        <v>126629</v>
      </c>
      <c r="J110" s="273">
        <v>150309</v>
      </c>
      <c r="K110" s="273">
        <v>132224</v>
      </c>
      <c r="L110" s="273">
        <v>98348</v>
      </c>
      <c r="M110" s="273">
        <v>65599</v>
      </c>
      <c r="N110" s="273">
        <v>75547</v>
      </c>
      <c r="O110" s="273">
        <v>76398</v>
      </c>
      <c r="P110" s="273">
        <v>126513</v>
      </c>
      <c r="Q110" s="273">
        <v>41336</v>
      </c>
      <c r="R110" s="273">
        <v>91013</v>
      </c>
      <c r="S110" s="273">
        <v>162631</v>
      </c>
      <c r="T110" s="273">
        <v>167557</v>
      </c>
      <c r="U110" s="273">
        <v>133859</v>
      </c>
      <c r="V110" s="273">
        <v>117613</v>
      </c>
      <c r="W110" s="273">
        <v>164139</v>
      </c>
      <c r="X110" s="273">
        <v>181650</v>
      </c>
    </row>
    <row r="111" spans="1:24" ht="14.25" thickBot="1" x14ac:dyDescent="0.3">
      <c r="A111" s="225" t="s">
        <v>24</v>
      </c>
      <c r="B111" s="275">
        <v>6612223</v>
      </c>
      <c r="C111" s="275">
        <v>6301427</v>
      </c>
      <c r="D111" s="275">
        <v>6302565</v>
      </c>
      <c r="E111" s="275">
        <v>6093617</v>
      </c>
      <c r="F111" s="275">
        <v>6617197</v>
      </c>
      <c r="G111" s="275">
        <v>7155638</v>
      </c>
      <c r="H111" s="275">
        <v>6380748</v>
      </c>
      <c r="I111" s="275">
        <v>6675945</v>
      </c>
      <c r="J111" s="275">
        <v>6631347</v>
      </c>
      <c r="K111" s="275">
        <v>6668917</v>
      </c>
      <c r="L111" s="275">
        <v>6882393</v>
      </c>
      <c r="M111" s="275">
        <v>6772214</v>
      </c>
      <c r="N111" s="275">
        <v>6564034</v>
      </c>
      <c r="O111" s="275">
        <v>6620599</v>
      </c>
      <c r="P111" s="275">
        <v>6835355</v>
      </c>
      <c r="Q111" s="275">
        <v>6786659</v>
      </c>
      <c r="R111" s="275">
        <v>6857651</v>
      </c>
      <c r="S111" s="275">
        <v>6940143</v>
      </c>
      <c r="T111" s="275">
        <v>6818018</v>
      </c>
      <c r="U111" s="275">
        <v>7124927</v>
      </c>
      <c r="V111" s="275">
        <v>6779452</v>
      </c>
      <c r="W111" s="275">
        <v>6920651</v>
      </c>
      <c r="X111" s="275">
        <v>6824453</v>
      </c>
    </row>
    <row r="112" spans="1:24" ht="14.25" thickBot="1" x14ac:dyDescent="0.3">
      <c r="A112" s="224" t="s">
        <v>25</v>
      </c>
      <c r="B112" s="273">
        <v>189188</v>
      </c>
      <c r="C112" s="273">
        <v>189188</v>
      </c>
      <c r="D112" s="273">
        <v>189188</v>
      </c>
      <c r="E112" s="273">
        <v>189188</v>
      </c>
      <c r="F112" s="273">
        <v>204678</v>
      </c>
      <c r="G112" s="273">
        <v>241877</v>
      </c>
      <c r="H112" s="273">
        <v>247533</v>
      </c>
      <c r="I112" s="273">
        <v>209797</v>
      </c>
      <c r="J112" s="273">
        <v>205931</v>
      </c>
      <c r="K112" s="273">
        <v>255114</v>
      </c>
      <c r="L112" s="273">
        <v>215879</v>
      </c>
      <c r="M112" s="273">
        <v>205018</v>
      </c>
      <c r="N112" s="273">
        <v>267064</v>
      </c>
      <c r="O112" s="273">
        <v>299986</v>
      </c>
      <c r="P112" s="273">
        <v>238761</v>
      </c>
      <c r="Q112" s="273">
        <v>250310</v>
      </c>
      <c r="R112" s="273">
        <v>265136</v>
      </c>
      <c r="S112" s="273">
        <v>322153</v>
      </c>
      <c r="T112" s="273">
        <v>329885</v>
      </c>
      <c r="U112" s="273">
        <v>294028</v>
      </c>
      <c r="V112" s="273">
        <v>351659</v>
      </c>
      <c r="W112" s="273">
        <v>342236</v>
      </c>
      <c r="X112" s="273">
        <v>329005</v>
      </c>
    </row>
    <row r="113" spans="1:24" ht="14.25" thickBot="1" x14ac:dyDescent="0.3">
      <c r="A113" s="225" t="s">
        <v>26</v>
      </c>
      <c r="B113" s="275">
        <v>1071213</v>
      </c>
      <c r="C113" s="275">
        <v>1050719</v>
      </c>
      <c r="D113" s="275">
        <v>1011558</v>
      </c>
      <c r="E113" s="275">
        <v>978183</v>
      </c>
      <c r="F113" s="275">
        <v>976838</v>
      </c>
      <c r="G113" s="275">
        <v>961518</v>
      </c>
      <c r="H113" s="275">
        <v>933028</v>
      </c>
      <c r="I113" s="275">
        <v>939058</v>
      </c>
      <c r="J113" s="275">
        <v>922691</v>
      </c>
      <c r="K113" s="275">
        <v>879111</v>
      </c>
      <c r="L113" s="275">
        <v>889415</v>
      </c>
      <c r="M113" s="275">
        <v>955967</v>
      </c>
      <c r="N113" s="275">
        <v>912943</v>
      </c>
      <c r="O113" s="275">
        <v>876369</v>
      </c>
      <c r="P113" s="275">
        <v>866843</v>
      </c>
      <c r="Q113" s="275">
        <v>837005</v>
      </c>
      <c r="R113" s="275">
        <v>797701</v>
      </c>
      <c r="S113" s="275">
        <v>760017</v>
      </c>
      <c r="T113" s="275">
        <v>736764</v>
      </c>
      <c r="U113" s="275">
        <v>712530</v>
      </c>
      <c r="V113" s="275">
        <v>690496</v>
      </c>
      <c r="W113" s="275">
        <v>688959</v>
      </c>
      <c r="X113" s="275">
        <v>702412</v>
      </c>
    </row>
    <row r="114" spans="1:24" ht="14.25" thickBot="1" x14ac:dyDescent="0.3">
      <c r="A114" s="224" t="s">
        <v>27</v>
      </c>
      <c r="B114" s="273">
        <v>144489</v>
      </c>
      <c r="C114" s="273">
        <v>146284</v>
      </c>
      <c r="D114" s="273">
        <v>143142</v>
      </c>
      <c r="E114" s="273">
        <v>142682</v>
      </c>
      <c r="F114" s="273">
        <v>174245</v>
      </c>
      <c r="G114" s="273">
        <v>175992</v>
      </c>
      <c r="H114" s="273">
        <v>174208</v>
      </c>
      <c r="I114" s="273">
        <v>202670</v>
      </c>
      <c r="J114" s="273">
        <v>208138</v>
      </c>
      <c r="K114" s="273">
        <v>256651</v>
      </c>
      <c r="L114" s="273">
        <v>264138</v>
      </c>
      <c r="M114" s="273">
        <v>223086</v>
      </c>
      <c r="N114" s="273">
        <v>296649</v>
      </c>
      <c r="O114" s="273">
        <v>297193</v>
      </c>
      <c r="P114" s="273">
        <v>293580</v>
      </c>
      <c r="Q114" s="273">
        <v>298242</v>
      </c>
      <c r="R114" s="273">
        <v>286687</v>
      </c>
      <c r="S114" s="273">
        <v>289081</v>
      </c>
      <c r="T114" s="273">
        <v>296578</v>
      </c>
      <c r="U114" s="273">
        <v>297501</v>
      </c>
      <c r="V114" s="273">
        <v>317184</v>
      </c>
      <c r="W114" s="273">
        <v>306921</v>
      </c>
      <c r="X114" s="273">
        <v>298458</v>
      </c>
    </row>
    <row r="115" spans="1:24" ht="14.25" thickBot="1" x14ac:dyDescent="0.3">
      <c r="A115" s="225" t="s">
        <v>265</v>
      </c>
      <c r="B115" s="276">
        <v>8017113</v>
      </c>
      <c r="C115" s="276">
        <v>7687618</v>
      </c>
      <c r="D115" s="276">
        <v>7646453</v>
      </c>
      <c r="E115" s="276">
        <v>7403670</v>
      </c>
      <c r="F115" s="276">
        <v>7972958</v>
      </c>
      <c r="G115" s="276">
        <v>8535025</v>
      </c>
      <c r="H115" s="276">
        <v>7735517</v>
      </c>
      <c r="I115" s="276">
        <v>8027470</v>
      </c>
      <c r="J115" s="276">
        <v>7968107</v>
      </c>
      <c r="K115" s="276">
        <v>8059793</v>
      </c>
      <c r="L115" s="276">
        <v>8251825</v>
      </c>
      <c r="M115" s="276">
        <v>8156285</v>
      </c>
      <c r="N115" s="276">
        <v>8040690</v>
      </c>
      <c r="O115" s="276">
        <v>8094147</v>
      </c>
      <c r="P115" s="276">
        <v>8234539</v>
      </c>
      <c r="Q115" s="276">
        <v>8172216</v>
      </c>
      <c r="R115" s="276">
        <v>8207175</v>
      </c>
      <c r="S115" s="276">
        <v>8311394</v>
      </c>
      <c r="T115" s="276">
        <v>8181245</v>
      </c>
      <c r="U115" s="276">
        <v>8428986</v>
      </c>
      <c r="V115" s="276">
        <v>8138791</v>
      </c>
      <c r="W115" s="276">
        <v>8258767</v>
      </c>
      <c r="X115" s="276">
        <v>8154328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1757784</v>
      </c>
      <c r="C118" s="273">
        <v>603565</v>
      </c>
      <c r="D118" s="273">
        <v>1063544</v>
      </c>
      <c r="E118" s="273">
        <v>832280</v>
      </c>
      <c r="F118" s="273">
        <v>953354</v>
      </c>
      <c r="G118" s="273">
        <v>1425586</v>
      </c>
      <c r="H118" s="273">
        <v>1041157</v>
      </c>
      <c r="I118" s="273">
        <v>1086767</v>
      </c>
      <c r="J118" s="273">
        <v>824925</v>
      </c>
      <c r="K118" s="273">
        <v>838914</v>
      </c>
      <c r="L118" s="273">
        <v>1174509</v>
      </c>
      <c r="M118" s="273">
        <v>1051507</v>
      </c>
      <c r="N118" s="273">
        <v>1050194</v>
      </c>
      <c r="O118" s="273">
        <v>855647</v>
      </c>
      <c r="P118" s="273">
        <v>1352736</v>
      </c>
      <c r="Q118" s="273">
        <v>1318050</v>
      </c>
      <c r="R118" s="273">
        <v>1300000</v>
      </c>
      <c r="S118" s="273">
        <v>1300000</v>
      </c>
      <c r="T118" s="273">
        <v>1497663</v>
      </c>
      <c r="U118" s="273">
        <v>1588769</v>
      </c>
      <c r="V118" s="273">
        <v>1560353</v>
      </c>
      <c r="W118" s="273">
        <v>1547825</v>
      </c>
      <c r="X118" s="273">
        <v>1875000</v>
      </c>
    </row>
    <row r="119" spans="1:24" ht="14.25" thickBot="1" x14ac:dyDescent="0.3">
      <c r="A119" s="225" t="s">
        <v>29</v>
      </c>
      <c r="B119" s="275">
        <v>200000</v>
      </c>
      <c r="C119" s="275">
        <v>200000</v>
      </c>
      <c r="D119" s="275">
        <v>100000</v>
      </c>
      <c r="E119" s="275">
        <v>100000</v>
      </c>
      <c r="F119" s="275">
        <v>100000</v>
      </c>
      <c r="G119" s="275">
        <v>100000</v>
      </c>
      <c r="H119" s="275">
        <v>200000</v>
      </c>
      <c r="I119" s="275">
        <v>100000</v>
      </c>
      <c r="J119" s="275">
        <v>100000</v>
      </c>
      <c r="K119" s="274">
        <v>0</v>
      </c>
      <c r="L119" s="275">
        <v>200000</v>
      </c>
      <c r="M119" s="275">
        <v>10000</v>
      </c>
      <c r="N119" s="274">
        <v>0</v>
      </c>
      <c r="O119" s="275">
        <v>200000</v>
      </c>
      <c r="P119" s="274">
        <v>0</v>
      </c>
      <c r="Q119" s="274">
        <v>0</v>
      </c>
      <c r="R119" s="274">
        <v>0</v>
      </c>
      <c r="S119" s="274">
        <v>0</v>
      </c>
      <c r="T119" s="275">
        <v>100000</v>
      </c>
      <c r="U119" s="275">
        <v>100000</v>
      </c>
      <c r="V119" s="275">
        <v>100000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1082896</v>
      </c>
      <c r="C120" s="273">
        <v>888542</v>
      </c>
      <c r="D120" s="273">
        <v>1039337</v>
      </c>
      <c r="E120" s="273">
        <v>901125</v>
      </c>
      <c r="F120" s="273">
        <v>846189</v>
      </c>
      <c r="G120" s="273">
        <v>779710</v>
      </c>
      <c r="H120" s="273">
        <v>820776</v>
      </c>
      <c r="I120" s="273">
        <v>961775</v>
      </c>
      <c r="J120" s="273">
        <v>822374</v>
      </c>
      <c r="K120" s="273">
        <v>821261</v>
      </c>
      <c r="L120" s="273">
        <v>834270</v>
      </c>
      <c r="M120" s="273">
        <v>906478</v>
      </c>
      <c r="N120" s="273">
        <v>770406</v>
      </c>
      <c r="O120" s="273">
        <v>773148</v>
      </c>
      <c r="P120" s="273">
        <v>833178</v>
      </c>
      <c r="Q120" s="273">
        <v>835288</v>
      </c>
      <c r="R120" s="273">
        <v>682993</v>
      </c>
      <c r="S120" s="273">
        <v>625232</v>
      </c>
      <c r="T120" s="273">
        <v>734355</v>
      </c>
      <c r="U120" s="273">
        <v>736360</v>
      </c>
      <c r="V120" s="273">
        <v>599019</v>
      </c>
      <c r="W120" s="273">
        <v>619387</v>
      </c>
      <c r="X120" s="273">
        <v>752635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53400</v>
      </c>
      <c r="C122" s="273">
        <v>53200</v>
      </c>
      <c r="D122" s="273">
        <v>53200</v>
      </c>
      <c r="E122" s="273">
        <v>36500</v>
      </c>
      <c r="F122" s="273">
        <v>33167</v>
      </c>
      <c r="G122" s="273">
        <v>11667</v>
      </c>
      <c r="H122" s="273">
        <v>23333</v>
      </c>
      <c r="I122" s="273">
        <v>35000</v>
      </c>
      <c r="J122" s="273">
        <v>66734</v>
      </c>
      <c r="K122" s="273">
        <v>99967</v>
      </c>
      <c r="L122" s="273">
        <v>99967</v>
      </c>
      <c r="M122" s="273">
        <v>378928</v>
      </c>
      <c r="N122" s="273">
        <v>358574</v>
      </c>
      <c r="O122" s="273">
        <v>344786</v>
      </c>
      <c r="P122" s="273">
        <v>344535</v>
      </c>
      <c r="Q122" s="273">
        <v>345642</v>
      </c>
      <c r="R122" s="273">
        <v>329205</v>
      </c>
      <c r="S122" s="273">
        <v>303269</v>
      </c>
      <c r="T122" s="273">
        <v>260144</v>
      </c>
      <c r="U122" s="273">
        <v>229925</v>
      </c>
      <c r="V122" s="273">
        <v>3973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382781</v>
      </c>
      <c r="C123" s="275">
        <v>960856</v>
      </c>
      <c r="D123" s="275">
        <v>317135</v>
      </c>
      <c r="E123" s="275">
        <v>334597</v>
      </c>
      <c r="F123" s="275">
        <v>494431</v>
      </c>
      <c r="G123" s="275">
        <v>969286</v>
      </c>
      <c r="H123" s="275">
        <v>287028</v>
      </c>
      <c r="I123" s="275">
        <v>274011</v>
      </c>
      <c r="J123" s="275">
        <v>370198</v>
      </c>
      <c r="K123" s="275">
        <v>951348</v>
      </c>
      <c r="L123" s="275">
        <v>364726</v>
      </c>
      <c r="M123" s="275">
        <v>294269</v>
      </c>
      <c r="N123" s="275">
        <v>304581</v>
      </c>
      <c r="O123" s="275">
        <v>903545</v>
      </c>
      <c r="P123" s="275">
        <v>285117</v>
      </c>
      <c r="Q123" s="275">
        <v>223279</v>
      </c>
      <c r="R123" s="275">
        <v>409376</v>
      </c>
      <c r="S123" s="275">
        <v>1017615</v>
      </c>
      <c r="T123" s="275">
        <v>378575</v>
      </c>
      <c r="U123" s="275">
        <v>355285</v>
      </c>
      <c r="V123" s="275">
        <v>315736</v>
      </c>
      <c r="W123" s="275">
        <v>1074175</v>
      </c>
      <c r="X123" s="275">
        <v>298711</v>
      </c>
    </row>
    <row r="124" spans="1:24" ht="14.25" thickBot="1" x14ac:dyDescent="0.3">
      <c r="A124" s="224" t="s">
        <v>268</v>
      </c>
      <c r="B124" s="273">
        <v>3476861</v>
      </c>
      <c r="C124" s="273">
        <v>2706163</v>
      </c>
      <c r="D124" s="273">
        <v>2573216</v>
      </c>
      <c r="E124" s="273">
        <v>2204502</v>
      </c>
      <c r="F124" s="273">
        <v>2427141</v>
      </c>
      <c r="G124" s="273">
        <v>3286249</v>
      </c>
      <c r="H124" s="273">
        <v>2372294</v>
      </c>
      <c r="I124" s="273">
        <v>2457553</v>
      </c>
      <c r="J124" s="273">
        <v>2184231</v>
      </c>
      <c r="K124" s="273">
        <v>2711490</v>
      </c>
      <c r="L124" s="273">
        <v>2673472</v>
      </c>
      <c r="M124" s="273">
        <v>2641182</v>
      </c>
      <c r="N124" s="273">
        <v>2483755</v>
      </c>
      <c r="O124" s="273">
        <v>3077126</v>
      </c>
      <c r="P124" s="273">
        <v>2815566</v>
      </c>
      <c r="Q124" s="273">
        <v>2722259</v>
      </c>
      <c r="R124" s="273">
        <v>2721574</v>
      </c>
      <c r="S124" s="273">
        <v>3246116</v>
      </c>
      <c r="T124" s="273">
        <v>2970737</v>
      </c>
      <c r="U124" s="273">
        <v>3010339</v>
      </c>
      <c r="V124" s="273">
        <v>2579081</v>
      </c>
      <c r="W124" s="273">
        <v>3241387</v>
      </c>
      <c r="X124" s="273">
        <v>2926346</v>
      </c>
    </row>
    <row r="125" spans="1:24" ht="14.25" thickBot="1" x14ac:dyDescent="0.3">
      <c r="A125" s="225" t="s">
        <v>32</v>
      </c>
      <c r="B125" s="275">
        <v>33167</v>
      </c>
      <c r="C125" s="275">
        <v>749651</v>
      </c>
      <c r="D125" s="275">
        <v>746619</v>
      </c>
      <c r="E125" s="275">
        <v>744542</v>
      </c>
      <c r="F125" s="275">
        <v>666789</v>
      </c>
      <c r="G125" s="275">
        <v>630345</v>
      </c>
      <c r="H125" s="275">
        <v>597241</v>
      </c>
      <c r="I125" s="275">
        <v>581897</v>
      </c>
      <c r="J125" s="275">
        <v>582870</v>
      </c>
      <c r="K125" s="275">
        <v>569950</v>
      </c>
      <c r="L125" s="275">
        <v>494775</v>
      </c>
      <c r="M125" s="275">
        <v>213727</v>
      </c>
      <c r="N125" s="275">
        <v>187014</v>
      </c>
      <c r="O125" s="275">
        <v>184117</v>
      </c>
      <c r="P125" s="275">
        <v>220661</v>
      </c>
      <c r="Q125" s="275">
        <v>193869</v>
      </c>
      <c r="R125" s="275">
        <v>174585</v>
      </c>
      <c r="S125" s="275">
        <v>216822</v>
      </c>
      <c r="T125" s="275">
        <v>232443</v>
      </c>
      <c r="U125" s="275">
        <v>263642</v>
      </c>
      <c r="V125" s="275">
        <v>259345</v>
      </c>
      <c r="W125" s="275">
        <v>276370</v>
      </c>
      <c r="X125" s="275">
        <v>270932</v>
      </c>
    </row>
    <row r="126" spans="1:24" ht="14.25" thickBot="1" x14ac:dyDescent="0.3">
      <c r="A126" s="224" t="s">
        <v>33</v>
      </c>
      <c r="B126" s="273">
        <v>26168</v>
      </c>
      <c r="C126" s="273">
        <v>29539</v>
      </c>
      <c r="D126" s="273">
        <v>25810</v>
      </c>
      <c r="E126" s="273">
        <v>28309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3536196</v>
      </c>
      <c r="C127" s="275">
        <v>3485353</v>
      </c>
      <c r="D127" s="275">
        <v>3345645</v>
      </c>
      <c r="E127" s="275">
        <v>2977353</v>
      </c>
      <c r="F127" s="275">
        <v>3093930</v>
      </c>
      <c r="G127" s="275">
        <v>3916594</v>
      </c>
      <c r="H127" s="275">
        <v>2969535</v>
      </c>
      <c r="I127" s="275">
        <v>3039450</v>
      </c>
      <c r="J127" s="275">
        <v>2767101</v>
      </c>
      <c r="K127" s="275">
        <v>3281440</v>
      </c>
      <c r="L127" s="275">
        <v>3168247</v>
      </c>
      <c r="M127" s="275">
        <v>2854909</v>
      </c>
      <c r="N127" s="275">
        <v>2670769</v>
      </c>
      <c r="O127" s="275">
        <v>3261243</v>
      </c>
      <c r="P127" s="275">
        <v>3036227</v>
      </c>
      <c r="Q127" s="275">
        <v>2916128</v>
      </c>
      <c r="R127" s="275">
        <v>2896159</v>
      </c>
      <c r="S127" s="275">
        <v>3462938</v>
      </c>
      <c r="T127" s="275">
        <v>3203180</v>
      </c>
      <c r="U127" s="275">
        <v>3273981</v>
      </c>
      <c r="V127" s="275">
        <v>2838426</v>
      </c>
      <c r="W127" s="275">
        <v>3517757</v>
      </c>
      <c r="X127" s="275">
        <v>3197278</v>
      </c>
    </row>
    <row r="128" spans="1:24" ht="14.25" thickBot="1" x14ac:dyDescent="0.3">
      <c r="A128" s="224" t="s">
        <v>34</v>
      </c>
      <c r="B128" s="273">
        <v>4480917</v>
      </c>
      <c r="C128" s="273">
        <v>4202265</v>
      </c>
      <c r="D128" s="273">
        <v>4300808</v>
      </c>
      <c r="E128" s="273">
        <v>4426317</v>
      </c>
      <c r="F128" s="273">
        <v>4879028</v>
      </c>
      <c r="G128" s="273">
        <v>4618431</v>
      </c>
      <c r="H128" s="273">
        <v>4765982</v>
      </c>
      <c r="I128" s="273">
        <v>4988020</v>
      </c>
      <c r="J128" s="273">
        <v>5201006</v>
      </c>
      <c r="K128" s="273">
        <v>4778353</v>
      </c>
      <c r="L128" s="273">
        <v>5083578</v>
      </c>
      <c r="M128" s="273">
        <v>5301376</v>
      </c>
      <c r="N128" s="273">
        <v>5369921</v>
      </c>
      <c r="O128" s="273">
        <v>4832904</v>
      </c>
      <c r="P128" s="273">
        <v>5198312</v>
      </c>
      <c r="Q128" s="273">
        <v>5256088</v>
      </c>
      <c r="R128" s="273">
        <v>5311016</v>
      </c>
      <c r="S128" s="273">
        <v>4848456</v>
      </c>
      <c r="T128" s="273">
        <v>4978065</v>
      </c>
      <c r="U128" s="273">
        <v>5155005</v>
      </c>
      <c r="V128" s="273">
        <v>5300365</v>
      </c>
      <c r="W128" s="273">
        <v>4741010</v>
      </c>
      <c r="X128" s="273">
        <v>4957050</v>
      </c>
    </row>
    <row r="129" spans="1:24" ht="14.25" thickBot="1" x14ac:dyDescent="0.3">
      <c r="A129" s="225" t="s">
        <v>35</v>
      </c>
      <c r="B129" s="276">
        <v>8017113</v>
      </c>
      <c r="C129" s="276">
        <v>7687618</v>
      </c>
      <c r="D129" s="276">
        <v>7646453</v>
      </c>
      <c r="E129" s="276">
        <v>7403670</v>
      </c>
      <c r="F129" s="276">
        <v>7972958</v>
      </c>
      <c r="G129" s="276">
        <v>8535025</v>
      </c>
      <c r="H129" s="276">
        <v>7735517</v>
      </c>
      <c r="I129" s="276">
        <v>8027470</v>
      </c>
      <c r="J129" s="276">
        <v>7968107</v>
      </c>
      <c r="K129" s="276">
        <v>8059793</v>
      </c>
      <c r="L129" s="276">
        <v>8251825</v>
      </c>
      <c r="M129" s="276">
        <v>8156285</v>
      </c>
      <c r="N129" s="276">
        <v>8040690</v>
      </c>
      <c r="O129" s="276">
        <v>8094147</v>
      </c>
      <c r="P129" s="276">
        <v>8234539</v>
      </c>
      <c r="Q129" s="276">
        <v>8172216</v>
      </c>
      <c r="R129" s="276">
        <v>8207175</v>
      </c>
      <c r="S129" s="276">
        <v>8311394</v>
      </c>
      <c r="T129" s="276">
        <v>8181245</v>
      </c>
      <c r="U129" s="276">
        <v>8428986</v>
      </c>
      <c r="V129" s="276">
        <v>8138791</v>
      </c>
      <c r="W129" s="276">
        <v>8258767</v>
      </c>
      <c r="X129" s="276">
        <v>8154328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8.2200000000000006</v>
      </c>
      <c r="C132" s="68">
        <v>3.92</v>
      </c>
      <c r="D132" s="68">
        <v>5.09</v>
      </c>
      <c r="E132" s="68">
        <v>4.9400000000000004</v>
      </c>
      <c r="F132" s="68">
        <v>3.79</v>
      </c>
    </row>
    <row r="133" spans="1:24" ht="14.25" thickBot="1" x14ac:dyDescent="0.3">
      <c r="A133" s="225" t="s">
        <v>37</v>
      </c>
      <c r="B133" s="274">
        <v>-0.31</v>
      </c>
      <c r="C133" s="274">
        <v>0.1</v>
      </c>
      <c r="D133" s="274">
        <v>-6</v>
      </c>
      <c r="E133" s="274">
        <v>3.38</v>
      </c>
      <c r="F133" s="274">
        <v>1.35</v>
      </c>
    </row>
    <row r="134" spans="1:24" ht="14.25" thickBot="1" x14ac:dyDescent="0.3">
      <c r="A134" s="224" t="s">
        <v>38</v>
      </c>
      <c r="B134" s="68">
        <v>-5.18</v>
      </c>
      <c r="C134" s="68">
        <v>-1.33</v>
      </c>
      <c r="D134" s="68">
        <v>-3.6</v>
      </c>
      <c r="E134" s="68">
        <v>-2.54</v>
      </c>
      <c r="F134" s="68">
        <v>-2.2200000000000002</v>
      </c>
    </row>
    <row r="135" spans="1:24" ht="14.25" thickBot="1" x14ac:dyDescent="0.3">
      <c r="A135" s="225" t="s">
        <v>270</v>
      </c>
      <c r="B135" s="274">
        <v>7.91</v>
      </c>
      <c r="C135" s="274">
        <v>4.0199999999999996</v>
      </c>
      <c r="D135" s="274">
        <v>-0.92</v>
      </c>
      <c r="E135" s="274">
        <v>8.31</v>
      </c>
      <c r="F135" s="274">
        <v>5.14</v>
      </c>
    </row>
    <row r="136" spans="1:24" ht="14.25" thickBot="1" x14ac:dyDescent="0.3">
      <c r="A136" s="229" t="s">
        <v>39</v>
      </c>
      <c r="B136" s="72">
        <v>2.73</v>
      </c>
      <c r="C136" s="72">
        <v>2.69</v>
      </c>
      <c r="D136" s="72">
        <v>-4.51</v>
      </c>
      <c r="E136" s="72">
        <v>5.77</v>
      </c>
      <c r="F136" s="72">
        <v>2.92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3.2</v>
      </c>
      <c r="C140" s="68">
        <v>3.5</v>
      </c>
      <c r="D140" s="68">
        <v>3.5</v>
      </c>
      <c r="E140" s="68">
        <v>3.5</v>
      </c>
      <c r="F140" s="68">
        <v>4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0.77669902912621358</v>
      </c>
      <c r="C142" s="234">
        <f>IF(C140&lt;&gt;"無",IF(ISNA(HLOOKUP(C139,$B$64:$F$69,6,FALSE)),"",C140/HLOOKUP(C139,$B$64:$F$69,6,FALSE)),"")</f>
        <v>0.9067357512953369</v>
      </c>
      <c r="D142" s="234">
        <f>IF(D140&lt;&gt;"無",IF(ISNA(HLOOKUP(D139,$B$64:$F$69,6,FALSE)),"",D140/HLOOKUP(D139,$B$64:$F$69,6,FALSE)),"")</f>
        <v>0.98314606741573041</v>
      </c>
      <c r="E142" s="234">
        <f>IF(E140&lt;&gt;"無",IF(ISNA(HLOOKUP(E139,$B$64:$F$69,6,FALSE)),"",E140/HLOOKUP(E139,$B$64:$F$69,6,FALSE)),"")</f>
        <v>1.0355029585798816</v>
      </c>
      <c r="F142" s="234">
        <f>IF(F140&lt;&gt;"無",IF(ISNA(HLOOKUP(F139,$B$64:$F$69,6,FALSE)),"",F140/HLOOKUP(F139,$B$64:$F$69,6,FALSE)),"")</f>
        <v>0.97560975609756106</v>
      </c>
    </row>
    <row r="143" spans="1:24" x14ac:dyDescent="0.25">
      <c r="A143" s="233" t="s">
        <v>216</v>
      </c>
      <c r="B143" s="234">
        <f>IF(OR(B140=0,B140="無"),"",B135/B140)</f>
        <v>2.4718749999999998</v>
      </c>
      <c r="C143" s="234">
        <f>IF(OR(C140=0,C140="無"),"",C135/C140)</f>
        <v>1.1485714285714284</v>
      </c>
      <c r="D143" s="234">
        <f>IF(OR(D140=0,D140="無"),"",D135/D140)</f>
        <v>-0.26285714285714284</v>
      </c>
      <c r="E143" s="234">
        <f>IF(OR(E140=0,E140="無"),"",E135/E140)</f>
        <v>2.3742857142857146</v>
      </c>
      <c r="F143" s="234">
        <f>IF(OR(F140=0,F140="無"),"",F135/F140)</f>
        <v>1.2849999999999999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14.49</v>
      </c>
      <c r="C146" s="68">
        <v>14.93</v>
      </c>
      <c r="D146" s="68">
        <v>15.48</v>
      </c>
      <c r="E146" s="68">
        <v>14.57</v>
      </c>
      <c r="F146" s="68">
        <v>15.69</v>
      </c>
      <c r="G146" s="68">
        <v>14.98</v>
      </c>
      <c r="H146" s="68">
        <v>17.93</v>
      </c>
      <c r="I146" s="68">
        <v>13.88</v>
      </c>
      <c r="J146" s="68">
        <v>15.73</v>
      </c>
      <c r="K146" s="68">
        <v>15.92</v>
      </c>
      <c r="L146" s="68">
        <v>15.3</v>
      </c>
      <c r="M146" s="68">
        <v>13.85</v>
      </c>
      <c r="N146" s="68">
        <v>15.01</v>
      </c>
      <c r="O146" s="68">
        <v>15.33</v>
      </c>
      <c r="P146" s="68">
        <v>15.93</v>
      </c>
      <c r="Q146" s="68">
        <v>21.64</v>
      </c>
      <c r="R146" s="68">
        <v>22.06</v>
      </c>
      <c r="S146" s="68">
        <v>23.77</v>
      </c>
      <c r="T146" s="68">
        <v>28.88</v>
      </c>
      <c r="U146" s="68">
        <v>21.24</v>
      </c>
      <c r="V146" s="68">
        <v>19.75</v>
      </c>
      <c r="W146" s="68">
        <v>21.9</v>
      </c>
      <c r="X146" s="68">
        <v>20.5</v>
      </c>
    </row>
    <row r="147" spans="1:24" s="93" customFormat="1" ht="14.25" thickBot="1" x14ac:dyDescent="0.3">
      <c r="A147" s="225" t="s">
        <v>19</v>
      </c>
      <c r="B147" s="274">
        <v>7.63</v>
      </c>
      <c r="C147" s="274">
        <v>9.99</v>
      </c>
      <c r="D147" s="274">
        <v>10.07</v>
      </c>
      <c r="E147" s="274">
        <v>7.82</v>
      </c>
      <c r="F147" s="274">
        <v>8.14</v>
      </c>
      <c r="G147" s="274">
        <v>7.15</v>
      </c>
      <c r="H147" s="274">
        <v>10.28</v>
      </c>
      <c r="I147" s="274">
        <v>7.47</v>
      </c>
      <c r="J147" s="274">
        <v>7</v>
      </c>
      <c r="K147" s="274">
        <v>8.51</v>
      </c>
      <c r="L147" s="274">
        <v>7.65</v>
      </c>
      <c r="M147" s="274">
        <v>5.9</v>
      </c>
      <c r="N147" s="274">
        <v>6.28</v>
      </c>
      <c r="O147" s="274">
        <v>7.15</v>
      </c>
      <c r="P147" s="274">
        <v>6.35</v>
      </c>
      <c r="Q147" s="274">
        <v>8.8699999999999992</v>
      </c>
      <c r="R147" s="274">
        <v>11.53</v>
      </c>
      <c r="S147" s="274">
        <v>15.39</v>
      </c>
      <c r="T147" s="274">
        <v>19.23</v>
      </c>
      <c r="U147" s="274">
        <v>11.72</v>
      </c>
      <c r="V147" s="274">
        <v>12.24</v>
      </c>
      <c r="W147" s="274">
        <v>11.4</v>
      </c>
      <c r="X147" s="274">
        <v>11.5</v>
      </c>
    </row>
    <row r="148" spans="1:24" s="93" customFormat="1" ht="14.25" thickBot="1" x14ac:dyDescent="0.3">
      <c r="A148" s="224" t="s">
        <v>41</v>
      </c>
      <c r="B148" s="68">
        <v>7.86</v>
      </c>
      <c r="C148" s="68">
        <v>11.61</v>
      </c>
      <c r="D148" s="68">
        <v>9.85</v>
      </c>
      <c r="E148" s="68">
        <v>8.81</v>
      </c>
      <c r="F148" s="68">
        <v>11.73</v>
      </c>
      <c r="G148" s="68">
        <v>9.4600000000000009</v>
      </c>
      <c r="H148" s="68">
        <v>9.6999999999999993</v>
      </c>
      <c r="I148" s="68">
        <v>11.05</v>
      </c>
      <c r="J148" s="68">
        <v>11.39</v>
      </c>
      <c r="K148" s="68">
        <v>7.53</v>
      </c>
      <c r="L148" s="68">
        <v>13.23</v>
      </c>
      <c r="M148" s="68">
        <v>12.35</v>
      </c>
      <c r="N148" s="68">
        <v>6.78</v>
      </c>
      <c r="O148" s="68">
        <v>7.91</v>
      </c>
      <c r="P148" s="68">
        <v>18.670000000000002</v>
      </c>
      <c r="Q148" s="68">
        <v>10.75</v>
      </c>
      <c r="R148" s="68">
        <v>10.130000000000001</v>
      </c>
      <c r="S148" s="68">
        <v>20.28</v>
      </c>
      <c r="T148" s="68">
        <v>16.25</v>
      </c>
      <c r="U148" s="68">
        <v>18.32</v>
      </c>
      <c r="V148" s="68">
        <v>3.11</v>
      </c>
      <c r="W148" s="68">
        <v>13.44</v>
      </c>
      <c r="X148" s="68">
        <v>12.51</v>
      </c>
    </row>
    <row r="149" spans="1:24" s="93" customFormat="1" ht="14.25" thickBot="1" x14ac:dyDescent="0.3">
      <c r="A149" s="225" t="s">
        <v>13</v>
      </c>
      <c r="B149" s="73">
        <v>6.62</v>
      </c>
      <c r="C149" s="73">
        <v>8.66</v>
      </c>
      <c r="D149" s="73">
        <v>8.19</v>
      </c>
      <c r="E149" s="73">
        <v>7.62</v>
      </c>
      <c r="F149" s="73">
        <v>9.82</v>
      </c>
      <c r="G149" s="73">
        <v>7.9</v>
      </c>
      <c r="H149" s="73">
        <v>6.62</v>
      </c>
      <c r="I149" s="73">
        <v>8.4</v>
      </c>
      <c r="J149" s="73">
        <v>9.6300000000000008</v>
      </c>
      <c r="K149" s="73">
        <v>6.64</v>
      </c>
      <c r="L149" s="73">
        <v>11.03</v>
      </c>
      <c r="M149" s="73">
        <v>5.04</v>
      </c>
      <c r="N149" s="73">
        <v>4.95</v>
      </c>
      <c r="O149" s="73">
        <v>5.55</v>
      </c>
      <c r="P149" s="73">
        <v>14.36</v>
      </c>
      <c r="Q149" s="73">
        <v>8.6199999999999992</v>
      </c>
      <c r="R149" s="73">
        <v>5.33</v>
      </c>
      <c r="S149" s="73">
        <v>13.21</v>
      </c>
      <c r="T149" s="73">
        <v>10.75</v>
      </c>
      <c r="U149" s="73">
        <v>12.21</v>
      </c>
      <c r="V149" s="73">
        <v>1.64</v>
      </c>
      <c r="W149" s="73">
        <v>9.86</v>
      </c>
      <c r="X149" s="73">
        <v>9.39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14.88</v>
      </c>
      <c r="C152" s="68">
        <v>15.61</v>
      </c>
      <c r="D152" s="68">
        <v>15.22</v>
      </c>
      <c r="E152" s="68">
        <v>16.97</v>
      </c>
      <c r="F152" s="68">
        <v>24.06</v>
      </c>
    </row>
    <row r="153" spans="1:24" s="93" customFormat="1" ht="14.25" thickBot="1" x14ac:dyDescent="0.3">
      <c r="A153" s="225" t="s">
        <v>19</v>
      </c>
      <c r="B153" s="274">
        <v>8.92</v>
      </c>
      <c r="C153" s="274">
        <v>8.25</v>
      </c>
      <c r="D153" s="274">
        <v>7.31</v>
      </c>
      <c r="E153" s="274">
        <v>7.15</v>
      </c>
      <c r="F153" s="274">
        <v>14.55</v>
      </c>
    </row>
    <row r="154" spans="1:24" s="93" customFormat="1" ht="14.25" thickBot="1" x14ac:dyDescent="0.3">
      <c r="A154" s="224" t="s">
        <v>41</v>
      </c>
      <c r="B154" s="68">
        <v>9.5500000000000007</v>
      </c>
      <c r="C154" s="68">
        <v>10.49</v>
      </c>
      <c r="D154" s="68">
        <v>11.01</v>
      </c>
      <c r="E154" s="68">
        <v>11.29</v>
      </c>
      <c r="F154" s="68">
        <v>16.38</v>
      </c>
    </row>
    <row r="155" spans="1:24" s="93" customFormat="1" ht="14.25" thickBot="1" x14ac:dyDescent="0.3">
      <c r="A155" s="225" t="s">
        <v>13</v>
      </c>
      <c r="B155" s="73">
        <v>7.78</v>
      </c>
      <c r="C155" s="73">
        <v>8.1999999999999993</v>
      </c>
      <c r="D155" s="73">
        <v>8.07</v>
      </c>
      <c r="E155" s="73">
        <v>8.58</v>
      </c>
      <c r="F155" s="73">
        <v>10.49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1.91</v>
      </c>
      <c r="C158" s="68">
        <v>2.4700000000000002</v>
      </c>
      <c r="D158" s="68">
        <v>2.5499999999999998</v>
      </c>
      <c r="E158" s="68">
        <v>2.09</v>
      </c>
      <c r="F158" s="68">
        <v>2.62</v>
      </c>
      <c r="G158" s="68">
        <v>1.99</v>
      </c>
      <c r="H158" s="68">
        <v>1.63</v>
      </c>
      <c r="I158" s="68">
        <v>2.14</v>
      </c>
      <c r="J158" s="68">
        <v>2.2000000000000002</v>
      </c>
      <c r="K158" s="68">
        <v>1.68</v>
      </c>
      <c r="L158" s="68">
        <v>2.86</v>
      </c>
      <c r="M158" s="68">
        <v>1.1100000000000001</v>
      </c>
      <c r="N158" s="68">
        <v>1.05</v>
      </c>
      <c r="O158" s="68">
        <v>1.26</v>
      </c>
      <c r="P158" s="68">
        <v>3.45</v>
      </c>
      <c r="Q158" s="68">
        <v>1.87</v>
      </c>
      <c r="R158" s="68">
        <v>1.08</v>
      </c>
      <c r="S158" s="68">
        <v>2.72</v>
      </c>
      <c r="T158" s="68">
        <v>2.4500000000000002</v>
      </c>
      <c r="U158" s="68">
        <v>2.75</v>
      </c>
      <c r="V158" s="68">
        <v>0.35</v>
      </c>
      <c r="W158" s="68">
        <v>2.06</v>
      </c>
      <c r="X158" s="68">
        <v>2.2599999999999998</v>
      </c>
    </row>
    <row r="159" spans="1:24" s="93" customFormat="1" ht="14.25" thickBot="1" x14ac:dyDescent="0.3">
      <c r="A159" s="225" t="s">
        <v>45</v>
      </c>
      <c r="B159" s="73">
        <v>3.28</v>
      </c>
      <c r="C159" s="73">
        <v>4.33</v>
      </c>
      <c r="D159" s="73">
        <v>4.49</v>
      </c>
      <c r="E159" s="73">
        <v>3.46</v>
      </c>
      <c r="F159" s="73">
        <v>4.21</v>
      </c>
      <c r="G159" s="73">
        <v>3.33</v>
      </c>
      <c r="H159" s="73">
        <v>2.73</v>
      </c>
      <c r="I159" s="73">
        <v>3.35</v>
      </c>
      <c r="J159" s="73">
        <v>3.36</v>
      </c>
      <c r="K159" s="73">
        <v>2.61</v>
      </c>
      <c r="L159" s="73">
        <v>4.63</v>
      </c>
      <c r="M159" s="73">
        <v>1.71</v>
      </c>
      <c r="N159" s="73">
        <v>1.52</v>
      </c>
      <c r="O159" s="73">
        <v>1.92</v>
      </c>
      <c r="P159" s="73">
        <v>5.54</v>
      </c>
      <c r="Q159" s="73">
        <v>2.87</v>
      </c>
      <c r="R159" s="73">
        <v>1.61</v>
      </c>
      <c r="S159" s="73">
        <v>4.3899999999999997</v>
      </c>
      <c r="T159" s="73">
        <v>4.04</v>
      </c>
      <c r="U159" s="73">
        <v>4.45</v>
      </c>
      <c r="V159" s="73">
        <v>0.49</v>
      </c>
      <c r="W159" s="73">
        <v>3.29</v>
      </c>
      <c r="X159" s="73">
        <v>3.78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7.78</v>
      </c>
      <c r="C162" s="68">
        <v>8.1999999999999993</v>
      </c>
      <c r="D162" s="68">
        <v>8.07</v>
      </c>
      <c r="E162" s="68">
        <v>8.58</v>
      </c>
      <c r="F162" s="68">
        <v>10.49</v>
      </c>
    </row>
    <row r="163" spans="1:72" s="93" customFormat="1" ht="14.25" thickBot="1" x14ac:dyDescent="0.3">
      <c r="A163" s="225" t="s">
        <v>18</v>
      </c>
      <c r="B163" s="274">
        <v>1.17</v>
      </c>
      <c r="C163" s="274">
        <v>0.98</v>
      </c>
      <c r="D163" s="274">
        <v>0.93</v>
      </c>
      <c r="E163" s="274">
        <v>0.87</v>
      </c>
      <c r="F163" s="274">
        <v>0.83</v>
      </c>
    </row>
    <row r="164" spans="1:72" s="93" customFormat="1" ht="14.25" thickBot="1" x14ac:dyDescent="0.3">
      <c r="A164" s="224" t="s">
        <v>15</v>
      </c>
      <c r="B164" s="68">
        <v>1.67</v>
      </c>
      <c r="C164" s="68">
        <v>1.61</v>
      </c>
      <c r="D164" s="68">
        <v>1.54</v>
      </c>
      <c r="E164" s="68">
        <v>1.55</v>
      </c>
      <c r="F164" s="68">
        <v>1.64</v>
      </c>
    </row>
    <row r="165" spans="1:72" s="93" customFormat="1" ht="14.25" thickBot="1" x14ac:dyDescent="0.3">
      <c r="A165" s="225" t="s">
        <v>45</v>
      </c>
      <c r="B165" s="73">
        <v>15.24</v>
      </c>
      <c r="C165" s="73">
        <v>13.71</v>
      </c>
      <c r="D165" s="73">
        <v>11.87</v>
      </c>
      <c r="E165" s="73">
        <v>11.49</v>
      </c>
      <c r="F165" s="73">
        <v>14.06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116.88</v>
      </c>
      <c r="C168" s="68">
        <v>115.38</v>
      </c>
      <c r="D168" s="68">
        <v>107.14</v>
      </c>
      <c r="E168" s="68">
        <v>118.42</v>
      </c>
      <c r="F168" s="68">
        <v>108.43</v>
      </c>
      <c r="G168" s="68">
        <v>108.43</v>
      </c>
      <c r="H168" s="68">
        <v>109.76</v>
      </c>
      <c r="I168" s="68">
        <v>108.43</v>
      </c>
      <c r="J168" s="68">
        <v>115.38</v>
      </c>
      <c r="K168" s="68">
        <v>102.27</v>
      </c>
      <c r="L168" s="68">
        <v>101.12</v>
      </c>
      <c r="M168" s="68">
        <v>120</v>
      </c>
      <c r="N168" s="68">
        <v>120</v>
      </c>
      <c r="O168" s="68">
        <v>103.45</v>
      </c>
      <c r="P168" s="68">
        <v>101.12</v>
      </c>
      <c r="Q168" s="68">
        <v>116.88</v>
      </c>
      <c r="R168" s="68">
        <v>118.42</v>
      </c>
      <c r="S168" s="68">
        <v>109.76</v>
      </c>
      <c r="T168" s="68">
        <v>107.14</v>
      </c>
      <c r="U168" s="68">
        <v>111.11</v>
      </c>
      <c r="V168" s="68">
        <v>123.29</v>
      </c>
      <c r="W168" s="68">
        <v>108.43</v>
      </c>
      <c r="X168" s="68">
        <v>97.83</v>
      </c>
    </row>
    <row r="169" spans="1:72" s="93" customFormat="1" ht="14.25" thickBot="1" x14ac:dyDescent="0.3">
      <c r="A169" s="225" t="s">
        <v>17</v>
      </c>
      <c r="B169" s="274">
        <v>30.41</v>
      </c>
      <c r="C169" s="274">
        <v>32.369999999999997</v>
      </c>
      <c r="D169" s="274">
        <v>28.3</v>
      </c>
      <c r="E169" s="274">
        <v>29.9</v>
      </c>
      <c r="F169" s="274">
        <v>33.83</v>
      </c>
      <c r="G169" s="274">
        <v>32.49</v>
      </c>
      <c r="H169" s="274">
        <v>31.36</v>
      </c>
      <c r="I169" s="274">
        <v>31.91</v>
      </c>
      <c r="J169" s="274">
        <v>36.729999999999997</v>
      </c>
      <c r="K169" s="274">
        <v>32.49</v>
      </c>
      <c r="L169" s="274">
        <v>30.3</v>
      </c>
      <c r="M169" s="274">
        <v>34.619999999999997</v>
      </c>
      <c r="N169" s="274">
        <v>36.29</v>
      </c>
      <c r="O169" s="274">
        <v>33.33</v>
      </c>
      <c r="P169" s="274">
        <v>29.61</v>
      </c>
      <c r="Q169" s="274">
        <v>31.47</v>
      </c>
      <c r="R169" s="274">
        <v>32.26</v>
      </c>
      <c r="S169" s="274">
        <v>29.41</v>
      </c>
      <c r="T169" s="274">
        <v>28.66</v>
      </c>
      <c r="U169" s="274">
        <v>28.75</v>
      </c>
      <c r="V169" s="274">
        <v>34.479999999999997</v>
      </c>
      <c r="W169" s="274">
        <v>33.46</v>
      </c>
      <c r="X169" s="274">
        <v>29.22</v>
      </c>
    </row>
    <row r="170" spans="1:72" s="93" customFormat="1" ht="14.25" thickBot="1" x14ac:dyDescent="0.3">
      <c r="A170" s="224" t="s">
        <v>42</v>
      </c>
      <c r="B170" s="72">
        <v>147.29</v>
      </c>
      <c r="C170" s="72">
        <v>147.76</v>
      </c>
      <c r="D170" s="72">
        <v>135.44</v>
      </c>
      <c r="E170" s="72">
        <v>148.32</v>
      </c>
      <c r="F170" s="72">
        <v>142.27000000000001</v>
      </c>
      <c r="G170" s="72">
        <v>140.91999999999999</v>
      </c>
      <c r="H170" s="72">
        <v>141.11000000000001</v>
      </c>
      <c r="I170" s="72">
        <v>140.35</v>
      </c>
      <c r="J170" s="72">
        <v>152.12</v>
      </c>
      <c r="K170" s="72">
        <v>134.76</v>
      </c>
      <c r="L170" s="72">
        <v>131.43</v>
      </c>
      <c r="M170" s="72">
        <v>154.62</v>
      </c>
      <c r="N170" s="72">
        <v>156.29</v>
      </c>
      <c r="O170" s="72">
        <v>136.78</v>
      </c>
      <c r="P170" s="72">
        <v>130.72999999999999</v>
      </c>
      <c r="Q170" s="72">
        <v>148.35</v>
      </c>
      <c r="R170" s="72">
        <v>150.68</v>
      </c>
      <c r="S170" s="72">
        <v>139.16999999999999</v>
      </c>
      <c r="T170" s="72">
        <v>135.81</v>
      </c>
      <c r="U170" s="72">
        <v>139.87</v>
      </c>
      <c r="V170" s="72">
        <v>157.77000000000001</v>
      </c>
      <c r="W170" s="72">
        <v>141.88999999999999</v>
      </c>
      <c r="X170" s="72">
        <v>127.05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199.22</v>
      </c>
      <c r="C173" s="72">
        <v>102.35</v>
      </c>
      <c r="D173" s="72">
        <v>145.09</v>
      </c>
      <c r="E173" s="72">
        <v>145.79</v>
      </c>
      <c r="F173" s="72">
        <v>92.96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8.65</v>
      </c>
      <c r="C176" s="72">
        <v>10.039999999999999</v>
      </c>
      <c r="D176" s="72">
        <v>11.22</v>
      </c>
      <c r="E176" s="72">
        <v>10.35</v>
      </c>
      <c r="F176" s="72">
        <v>9.92</v>
      </c>
      <c r="G176" s="72">
        <v>9.27</v>
      </c>
      <c r="H176" s="72">
        <v>9.1300000000000008</v>
      </c>
      <c r="I176" s="72">
        <v>8.7200000000000006</v>
      </c>
      <c r="J176" s="72">
        <v>8.9700000000000006</v>
      </c>
      <c r="K176" s="72">
        <v>8.7200000000000006</v>
      </c>
      <c r="L176" s="72">
        <v>9.2899999999999991</v>
      </c>
      <c r="M176" s="72">
        <v>9.48</v>
      </c>
      <c r="N176" s="72">
        <v>9.9700000000000006</v>
      </c>
      <c r="O176" s="72">
        <v>10.28</v>
      </c>
      <c r="P176" s="72">
        <v>10.36</v>
      </c>
      <c r="Q176" s="72">
        <v>10.76</v>
      </c>
      <c r="R176" s="72">
        <v>10.14</v>
      </c>
      <c r="S176" s="72">
        <v>10</v>
      </c>
      <c r="T176" s="72">
        <v>10.050000000000001</v>
      </c>
      <c r="U176" s="72">
        <v>10.09</v>
      </c>
      <c r="V176" s="72">
        <v>10.24</v>
      </c>
      <c r="W176" s="72">
        <v>10.37</v>
      </c>
      <c r="X176" s="72">
        <v>11</v>
      </c>
      <c r="Y176" s="72">
        <v>11.1</v>
      </c>
      <c r="Z176" s="72">
        <v>11.42</v>
      </c>
      <c r="AA176" s="72">
        <v>11.28</v>
      </c>
      <c r="AB176" s="72">
        <v>11.51</v>
      </c>
      <c r="AC176" s="72">
        <v>12.14</v>
      </c>
      <c r="AD176" s="72">
        <v>12.49</v>
      </c>
      <c r="AE176" s="72">
        <v>12.79</v>
      </c>
      <c r="AF176" s="72">
        <v>12.66</v>
      </c>
      <c r="AG176" s="72">
        <v>12.42</v>
      </c>
      <c r="AH176" s="72">
        <v>12.53</v>
      </c>
      <c r="AI176" s="72">
        <v>12.15</v>
      </c>
      <c r="AJ176" s="72">
        <v>10.44</v>
      </c>
      <c r="AK176" s="72">
        <v>10.77</v>
      </c>
      <c r="AL176" s="72">
        <v>10.89</v>
      </c>
      <c r="AM176" s="72">
        <v>10.98</v>
      </c>
      <c r="AN176" s="72">
        <v>12.73</v>
      </c>
      <c r="AO176" s="72">
        <v>12.81</v>
      </c>
      <c r="AP176" s="72">
        <v>14.6</v>
      </c>
      <c r="AQ176" s="72">
        <v>13.98</v>
      </c>
      <c r="AR176" s="72">
        <v>13.1</v>
      </c>
      <c r="AS176" s="72">
        <v>10.98</v>
      </c>
      <c r="AT176" s="72">
        <v>11.22</v>
      </c>
      <c r="AU176" s="72">
        <v>11.43</v>
      </c>
      <c r="AV176" s="72">
        <v>10.88</v>
      </c>
      <c r="AW176" s="72">
        <v>10.88</v>
      </c>
      <c r="AX176" s="72">
        <v>10.86</v>
      </c>
      <c r="AY176" s="72">
        <v>11.11</v>
      </c>
      <c r="AZ176" s="72">
        <v>10.96</v>
      </c>
      <c r="BA176" s="72">
        <v>11.42</v>
      </c>
      <c r="BB176" s="72">
        <v>10.87</v>
      </c>
      <c r="BC176" s="72">
        <v>11.44</v>
      </c>
      <c r="BD176" s="72">
        <v>11.82</v>
      </c>
      <c r="BE176" s="72">
        <v>9.73</v>
      </c>
      <c r="BF176" s="72">
        <v>10.27</v>
      </c>
      <c r="BG176" s="72">
        <v>10.56</v>
      </c>
      <c r="BH176" s="72">
        <v>12.03</v>
      </c>
      <c r="BI176" s="72">
        <v>12.17</v>
      </c>
      <c r="BJ176" s="72">
        <v>12.12</v>
      </c>
      <c r="BK176" s="72">
        <v>12.32</v>
      </c>
      <c r="BL176" s="72">
        <v>11.48</v>
      </c>
      <c r="BM176" s="72">
        <v>11.98</v>
      </c>
      <c r="BN176" s="72">
        <v>13.28</v>
      </c>
      <c r="BO176" s="72">
        <v>13.29</v>
      </c>
      <c r="BP176" s="72">
        <v>12.27</v>
      </c>
      <c r="BQ176" s="72">
        <v>13.4</v>
      </c>
      <c r="BR176" s="72">
        <v>13.45</v>
      </c>
      <c r="BS176" s="72">
        <v>13.4</v>
      </c>
      <c r="BT176" s="72">
        <v>13.69</v>
      </c>
    </row>
  </sheetData>
  <phoneticPr fontId="3" type="noConversion"/>
  <conditionalFormatting sqref="E4">
    <cfRule type="cellIs" dxfId="2774" priority="101" operator="greaterThan">
      <formula>0.2</formula>
    </cfRule>
    <cfRule type="cellIs" dxfId="277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277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771" priority="95" operator="greaterThan">
      <formula>$B$19</formula>
    </cfRule>
  </conditionalFormatting>
  <conditionalFormatting sqref="D33:D34">
    <cfRule type="cellIs" dxfId="277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2769" priority="89" operator="lessThan">
      <formula>$H$62</formula>
    </cfRule>
    <cfRule type="cellIs" dxfId="2768" priority="90" operator="greaterThan">
      <formula>$H$62</formula>
    </cfRule>
  </conditionalFormatting>
  <conditionalFormatting sqref="J62">
    <cfRule type="cellIs" dxfId="2767" priority="87" operator="lessThan">
      <formula>$K$62</formula>
    </cfRule>
    <cfRule type="cellIs" dxfId="2766" priority="88" operator="greaterThan">
      <formula>$K$62</formula>
    </cfRule>
  </conditionalFormatting>
  <conditionalFormatting sqref="M62">
    <cfRule type="cellIs" dxfId="2765" priority="85" operator="lessThan">
      <formula>$N$62</formula>
    </cfRule>
    <cfRule type="cellIs" dxfId="2764" priority="86" operator="greaterThan">
      <formula>$N$62</formula>
    </cfRule>
  </conditionalFormatting>
  <conditionalFormatting sqref="B44:E44">
    <cfRule type="cellIs" dxfId="2763" priority="83" operator="greaterThan">
      <formula>0</formula>
    </cfRule>
    <cfRule type="cellIs" dxfId="2762" priority="84" operator="lessThan">
      <formula>0</formula>
    </cfRule>
  </conditionalFormatting>
  <conditionalFormatting sqref="F72">
    <cfRule type="cellIs" dxfId="2761" priority="82" operator="lessThan">
      <formula>$E$72*90%</formula>
    </cfRule>
  </conditionalFormatting>
  <conditionalFormatting sqref="F73">
    <cfRule type="cellIs" dxfId="2760" priority="81" operator="lessThan">
      <formula>$E$73*90%</formula>
    </cfRule>
  </conditionalFormatting>
  <conditionalFormatting sqref="F74">
    <cfRule type="cellIs" dxfId="2759" priority="80" operator="lessThan">
      <formula>$E$74*90%</formula>
    </cfRule>
  </conditionalFormatting>
  <conditionalFormatting sqref="F75">
    <cfRule type="cellIs" dxfId="2758" priority="79" operator="lessThan">
      <formula>$E$75*90%</formula>
    </cfRule>
  </conditionalFormatting>
  <conditionalFormatting sqref="H44:K44">
    <cfRule type="cellIs" dxfId="2757" priority="77" operator="greaterThan">
      <formula>0</formula>
    </cfRule>
    <cfRule type="cellIs" dxfId="2756" priority="78" operator="lessThan">
      <formula>0</formula>
    </cfRule>
  </conditionalFormatting>
  <conditionalFormatting sqref="H51:K51">
    <cfRule type="cellIs" dxfId="2755" priority="75" operator="greaterThan">
      <formula>0</formula>
    </cfRule>
    <cfRule type="cellIs" dxfId="2754" priority="76" operator="lessThan">
      <formula>0</formula>
    </cfRule>
  </conditionalFormatting>
  <conditionalFormatting sqref="B51:E51">
    <cfRule type="cellIs" dxfId="2753" priority="73" operator="greaterThan">
      <formula>0</formula>
    </cfRule>
    <cfRule type="cellIs" dxfId="275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75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75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749" priority="56" operator="lessThan">
      <formula>0</formula>
    </cfRule>
  </conditionalFormatting>
  <conditionalFormatting sqref="A25 E25 C25">
    <cfRule type="cellIs" dxfId="2748" priority="57" operator="lessThan">
      <formula>0</formula>
    </cfRule>
  </conditionalFormatting>
  <conditionalFormatting sqref="F25">
    <cfRule type="cellIs" dxfId="2747" priority="55" operator="lessThan">
      <formula>0</formula>
    </cfRule>
  </conditionalFormatting>
  <conditionalFormatting sqref="E1">
    <cfRule type="containsText" dxfId="2746" priority="54" operator="containsText" text="本季業外損益/平均=-">
      <formula>NOT(ISERROR(SEARCH("本季業外損益/平均=-",E1)))</formula>
    </cfRule>
  </conditionalFormatting>
  <conditionalFormatting sqref="M65">
    <cfRule type="cellIs" dxfId="2745" priority="53" operator="lessThan">
      <formula>$L$65*90%</formula>
    </cfRule>
  </conditionalFormatting>
  <conditionalFormatting sqref="M66">
    <cfRule type="cellIs" dxfId="2744" priority="52" operator="lessThan">
      <formula>$L$66*90%</formula>
    </cfRule>
  </conditionalFormatting>
  <conditionalFormatting sqref="M67">
    <cfRule type="cellIs" dxfId="2743" priority="51" operator="lessThan">
      <formula>$L$67*90%</formula>
    </cfRule>
  </conditionalFormatting>
  <conditionalFormatting sqref="M68">
    <cfRule type="cellIs" dxfId="2742" priority="50" operator="lessThan">
      <formula>$L$68*90%</formula>
    </cfRule>
  </conditionalFormatting>
  <conditionalFormatting sqref="B60">
    <cfRule type="cellIs" dxfId="2741" priority="49" operator="lessThan">
      <formula>0</formula>
    </cfRule>
  </conditionalFormatting>
  <conditionalFormatting sqref="B59:F59">
    <cfRule type="cellIs" dxfId="2740" priority="48" operator="lessThanOrEqual">
      <formula>0</formula>
    </cfRule>
  </conditionalFormatting>
  <conditionalFormatting sqref="D62">
    <cfRule type="cellIs" dxfId="2739" priority="46" operator="lessThan">
      <formula>$E$62</formula>
    </cfRule>
    <cfRule type="cellIs" dxfId="2738" priority="47" operator="greaterThan">
      <formula>$E$62</formula>
    </cfRule>
  </conditionalFormatting>
  <conditionalFormatting sqref="F69">
    <cfRule type="cellIs" dxfId="2737" priority="44" operator="lessThan">
      <formula>0</formula>
    </cfRule>
  </conditionalFormatting>
  <conditionalFormatting sqref="B65:E67 B69:E69 B68:D68">
    <cfRule type="cellIs" dxfId="2736" priority="45" operator="lessThan">
      <formula>0</formula>
    </cfRule>
  </conditionalFormatting>
  <conditionalFormatting sqref="E68">
    <cfRule type="cellIs" dxfId="2735" priority="43" operator="lessThan">
      <formula>0</formula>
    </cfRule>
  </conditionalFormatting>
  <conditionalFormatting sqref="F65:F68">
    <cfRule type="cellIs" dxfId="2734" priority="42" operator="lessThan">
      <formula>0</formula>
    </cfRule>
  </conditionalFormatting>
  <conditionalFormatting sqref="F65:F68">
    <cfRule type="cellIs" dxfId="2733" priority="41" operator="lessThan">
      <formula>$E$65*0.9</formula>
    </cfRule>
  </conditionalFormatting>
  <conditionalFormatting sqref="F66">
    <cfRule type="cellIs" dxfId="2732" priority="40" operator="lessThan">
      <formula>$E$66*0.9</formula>
    </cfRule>
  </conditionalFormatting>
  <conditionalFormatting sqref="F67:F68">
    <cfRule type="cellIs" dxfId="2731" priority="39" operator="lessThan">
      <formula>$E$67*0.9</formula>
    </cfRule>
  </conditionalFormatting>
  <conditionalFormatting sqref="F68">
    <cfRule type="cellIs" dxfId="2730" priority="38" operator="lessThan">
      <formula>$E$68*0.9</formula>
    </cfRule>
  </conditionalFormatting>
  <conditionalFormatting sqref="B13:F13">
    <cfRule type="cellIs" dxfId="2729" priority="27" operator="greaterThan">
      <formula>$I$16</formula>
    </cfRule>
    <cfRule type="cellIs" dxfId="2728" priority="28" operator="lessThanOrEqual">
      <formula>$I$16</formula>
    </cfRule>
  </conditionalFormatting>
  <conditionalFormatting sqref="B10:F10">
    <cfRule type="cellIs" dxfId="2727" priority="29" operator="greaterThan">
      <formula>15</formula>
    </cfRule>
    <cfRule type="cellIs" dxfId="2726" priority="36" operator="lessThan">
      <formula>$I$9</formula>
    </cfRule>
    <cfRule type="cellIs" dxfId="2725" priority="37" operator="greaterThan">
      <formula>$I$9</formula>
    </cfRule>
  </conditionalFormatting>
  <conditionalFormatting sqref="B16:F16">
    <cfRule type="cellIs" dxfId="2724" priority="34" operator="greaterThan">
      <formula>$I$16</formula>
    </cfRule>
    <cfRule type="cellIs" dxfId="2723" priority="35" operator="lessThanOrEqual">
      <formula>$I$16</formula>
    </cfRule>
  </conditionalFormatting>
  <conditionalFormatting sqref="B15:F15">
    <cfRule type="cellIs" dxfId="2722" priority="32" operator="lessThanOrEqual">
      <formula>$I$16</formula>
    </cfRule>
    <cfRule type="cellIs" dxfId="2721" priority="33" operator="greaterThan">
      <formula>$I$16</formula>
    </cfRule>
  </conditionalFormatting>
  <conditionalFormatting sqref="B14:F14">
    <cfRule type="cellIs" dxfId="2720" priority="30" operator="greaterThan">
      <formula>$I$16</formula>
    </cfRule>
    <cfRule type="cellIs" dxfId="2719" priority="31" operator="lessThanOrEqual">
      <formula>$I$16</formula>
    </cfRule>
  </conditionalFormatting>
  <conditionalFormatting sqref="K6">
    <cfRule type="containsText" dxfId="2718" priority="25" operator="containsText" text="衰退">
      <formula>NOT(ISERROR(SEARCH("衰退",K6)))</formula>
    </cfRule>
    <cfRule type="containsText" dxfId="2717" priority="26" operator="containsText" text="成長">
      <formula>NOT(ISERROR(SEARCH("成長",K6)))</formula>
    </cfRule>
  </conditionalFormatting>
  <conditionalFormatting sqref="I4:K4">
    <cfRule type="cellIs" dxfId="2716" priority="23" operator="lessThan">
      <formula>0</formula>
    </cfRule>
    <cfRule type="cellIs" dxfId="271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714" priority="20" operator="lessThanOrEqual">
      <formula>$I$16</formula>
    </cfRule>
    <cfRule type="cellIs" dxfId="2713" priority="21" operator="greaterThan">
      <formula>$I$16</formula>
    </cfRule>
  </conditionalFormatting>
  <conditionalFormatting sqref="I6">
    <cfRule type="containsText" dxfId="2712" priority="18" operator="containsText" text="衰退">
      <formula>NOT(ISERROR(SEARCH("衰退",I6)))</formula>
    </cfRule>
    <cfRule type="containsText" dxfId="2711" priority="19" operator="containsText" text="成長">
      <formula>NOT(ISERROR(SEARCH("成長",I6)))</formula>
    </cfRule>
  </conditionalFormatting>
  <conditionalFormatting sqref="M9">
    <cfRule type="cellIs" dxfId="2710" priority="17" operator="lessThan">
      <formula>$I$9</formula>
    </cfRule>
  </conditionalFormatting>
  <conditionalFormatting sqref="M10">
    <cfRule type="cellIs" dxfId="2709" priority="16" operator="greaterThan">
      <formula>$I$9</formula>
    </cfRule>
  </conditionalFormatting>
  <conditionalFormatting sqref="M11">
    <cfRule type="cellIs" dxfId="270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707" priority="12" operator="lessThan">
      <formula>0</formula>
    </cfRule>
    <cfRule type="cellIs" dxfId="2706" priority="13" operator="greaterThan">
      <formula>0.5</formula>
    </cfRule>
  </conditionalFormatting>
  <conditionalFormatting sqref="N14">
    <cfRule type="cellIs" dxfId="270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704" priority="8" operator="lessThan">
      <formula>0.1</formula>
    </cfRule>
  </conditionalFormatting>
  <conditionalFormatting sqref="I14">
    <cfRule type="cellIs" dxfId="270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70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701" priority="1" operator="lessThan">
      <formula>$N$5*0.9</formula>
    </cfRule>
    <cfRule type="cellIs" dxfId="2700" priority="2" operator="greaterThan">
      <formula>$N$5*1.1</formula>
    </cfRule>
  </conditionalFormatting>
  <hyperlinks>
    <hyperlink ref="L1" location="儀表板!A1" display="(回首頁)" xr:uid="{00000000-0004-0000-4300-000000000000}"/>
  </hyperlink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3.87 ~ 6.6</v>
      </c>
      <c r="L1" s="83" t="s">
        <v>176</v>
      </c>
      <c r="M1" s="84" t="str">
        <f ca="1">VLOOKUP(_xlfn.NUMBERVALUE(N1),儀表板!A:B,2,FALSE)</f>
        <v>新普</v>
      </c>
      <c r="N1" s="85" t="str">
        <f ca="1">MID(CELL("filename",L1),FIND("]",CELL("filename",L1))+1,255)</f>
        <v>6121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0.28033576003500815</v>
      </c>
    </row>
    <row r="3" spans="1:15" s="93" customFormat="1" x14ac:dyDescent="0.25">
      <c r="A3" s="81" t="s">
        <v>179</v>
      </c>
      <c r="B3" s="94">
        <f>SUM(F19:F22,F24:F27,J19)</f>
        <v>87.077312577707332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103.68433517116284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114.57479051466174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127.40032676630298</v>
      </c>
      <c r="L3" s="100"/>
      <c r="M3" s="79" t="s">
        <v>385</v>
      </c>
      <c r="N3" s="92">
        <f>(F69-E69)/E69</f>
        <v>-2.0099685195962575E-2</v>
      </c>
    </row>
    <row r="4" spans="1:15" s="93" customFormat="1" x14ac:dyDescent="0.25">
      <c r="A4" s="81" t="s">
        <v>182</v>
      </c>
      <c r="B4" s="96">
        <f>SUM(G36:G40)*2</f>
        <v>78</v>
      </c>
      <c r="C4" s="101"/>
      <c r="D4" s="370">
        <v>18.5</v>
      </c>
      <c r="E4" s="82">
        <f>(D4-F4)/F4</f>
        <v>-0.39935064935064934</v>
      </c>
      <c r="F4" s="103">
        <v>30.8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8.9072938615687001</v>
      </c>
    </row>
    <row r="5" spans="1:15" s="93" customFormat="1" x14ac:dyDescent="0.25">
      <c r="A5" s="81" t="s">
        <v>184</v>
      </c>
      <c r="B5" s="107">
        <f>SUM(F30:F34)*2</f>
        <v>77.274802359882017</v>
      </c>
      <c r="C5" s="87"/>
      <c r="D5" s="87"/>
      <c r="E5" s="87"/>
      <c r="F5" s="86"/>
      <c r="G5" s="88"/>
      <c r="M5" s="79" t="s">
        <v>375</v>
      </c>
      <c r="N5" s="152">
        <f>D62</f>
        <v>9.14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連4月成長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8.4054593925823902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20.6</v>
      </c>
      <c r="N9" s="129"/>
    </row>
    <row r="10" spans="1:15" s="93" customFormat="1" x14ac:dyDescent="0.25">
      <c r="A10" s="123" t="s">
        <v>194</v>
      </c>
      <c r="B10" s="126">
        <f>PERCENTILE(176:176,B9)</f>
        <v>11.04</v>
      </c>
      <c r="C10" s="126">
        <f>PERCENTILE(176:176,C9)</f>
        <v>11.52</v>
      </c>
      <c r="D10" s="126">
        <f>PERCENTILE(176:176,D9)</f>
        <v>12.73</v>
      </c>
      <c r="E10" s="126">
        <f>PERCENTILE(176:176,E9)</f>
        <v>14.155000000000001</v>
      </c>
      <c r="F10" s="126">
        <f>PERCENTILE(176:176,F9)</f>
        <v>14.86</v>
      </c>
      <c r="G10" s="95"/>
      <c r="H10" s="135"/>
      <c r="I10" s="135"/>
      <c r="J10" s="135"/>
      <c r="K10" s="135"/>
      <c r="L10" s="136" t="s">
        <v>374</v>
      </c>
      <c r="M10" s="130">
        <f>MIN(176:176)</f>
        <v>9.27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107.76</v>
      </c>
      <c r="L11" s="272" t="s">
        <v>193</v>
      </c>
      <c r="M11" s="128">
        <f>STDEV(176:176)</f>
        <v>2.2495480789163165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93.83753501400561</v>
      </c>
      <c r="C13" s="141">
        <f>$B$34/5.88%</f>
        <v>113.94557823129253</v>
      </c>
      <c r="D13" s="141">
        <f>$B$34/5%</f>
        <v>134</v>
      </c>
      <c r="E13" s="141">
        <f>$B$34/4.35%</f>
        <v>154.02298850574715</v>
      </c>
      <c r="F13" s="141">
        <f>$B$34/3.85%</f>
        <v>174.02597402597402</v>
      </c>
      <c r="G13" s="138" t="str">
        <f>"$"&amp;ROUND(B34,2)&amp;"/"&amp;IF(STDEV(C140:F140)/AVERAGE(C140:F140)&lt;15%,"高",IF(STDEV(C140:F140)/AVERAGE(C140:F140)&lt;30%,"中","低"))</f>
        <v>$6.7/高</v>
      </c>
      <c r="H13" s="142" t="s">
        <v>199</v>
      </c>
      <c r="I13" s="143">
        <f>MAX(0,1-J15)</f>
        <v>0.33993399339933994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112.27680000000001</v>
      </c>
      <c r="C14" s="141">
        <f>$B$33*C10</f>
        <v>117.15840000000001</v>
      </c>
      <c r="D14" s="141">
        <f>$B$33*D10</f>
        <v>129.46410000000003</v>
      </c>
      <c r="E14" s="141">
        <f>$B$33*E10</f>
        <v>143.95635000000004</v>
      </c>
      <c r="F14" s="141">
        <f>$B$33*F10</f>
        <v>151.12620000000001</v>
      </c>
      <c r="G14" s="138" t="str">
        <f>"$"&amp;ROUND(B33,2)&amp;"/"&amp;IF(STDEV(B69:E69)/AVERAGE(B69:E69)&lt;15%,"高",IF(STDEV(B69:E69)/AVERAGE(B69:E69)&lt;30%,"中","低"))</f>
        <v>$10.17/高</v>
      </c>
      <c r="H14" s="142" t="s">
        <v>203</v>
      </c>
      <c r="I14" s="145">
        <f>G62/100*I13</f>
        <v>4.2491749174917492E-2</v>
      </c>
      <c r="J14" s="76" t="s">
        <v>204</v>
      </c>
      <c r="K14" s="146"/>
      <c r="L14" s="147">
        <f>(HLOOKUP($C$1,$105:$106,2,FALSE)-HLOOKUP($C$1,$117:$127,9,FALSE))/(HLOOKUP($C$1,$117:$128,12,FALSE)/K11)</f>
        <v>39.235977393465433</v>
      </c>
      <c r="M14" s="148">
        <f>E135/E69</f>
        <v>0.51705170517051713</v>
      </c>
      <c r="N14" s="149">
        <f>F173/100</f>
        <v>1.7784</v>
      </c>
    </row>
    <row r="15" spans="1:15" s="93" customFormat="1" x14ac:dyDescent="0.25">
      <c r="A15" s="140" t="s">
        <v>375</v>
      </c>
      <c r="B15" s="141">
        <f>$D$62*B10</f>
        <v>100.90559999999999</v>
      </c>
      <c r="C15" s="141">
        <f>$D$62*C10</f>
        <v>105.2928</v>
      </c>
      <c r="D15" s="141">
        <f>$D$62*D10</f>
        <v>116.35220000000001</v>
      </c>
      <c r="E15" s="141">
        <f>$D$62*E10</f>
        <v>129.37670000000003</v>
      </c>
      <c r="F15" s="141">
        <f>$D$62*F10</f>
        <v>135.82040000000001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0.66006600660066006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98.336524231718442</v>
      </c>
      <c r="C16" s="141">
        <f>$F$69*C10</f>
        <v>102.61202528527141</v>
      </c>
      <c r="D16" s="141">
        <f>$F$69*D10</f>
        <v>113.38985085776956</v>
      </c>
      <c r="E16" s="141">
        <f>$F$69*E10</f>
        <v>126.08274461050496</v>
      </c>
      <c r="F16" s="141">
        <f>$F$69*F10</f>
        <v>132.36238678291087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756</v>
      </c>
      <c r="J17" s="92">
        <f ca="1">IF(I17&lt;=0,"",IF(I17&lt;=MIN($B$13:$F$16),(I17-MIN($B$13:$F$16))/MIN($B$13:$F$16),IF(I17&gt;=MAX($B$13:$F$16),I17/MAX($B$13:$F$16),PERCENTRANK($B$13:$F$16,I17))))</f>
        <v>4.3441791044776119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8.620000000000001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1.2865671641791045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0.22559015250306355</v>
      </c>
      <c r="J20" s="171">
        <f>HLOOKUP($C$1,$117:$127,11,FALSE)/HLOOKUP($C$1,$105:$115,11,FALSE)</f>
        <v>0.56989604821715156</v>
      </c>
      <c r="K20" s="163"/>
    </row>
    <row r="21" spans="1:14" s="93" customFormat="1" x14ac:dyDescent="0.25">
      <c r="A21" s="151" t="s">
        <v>201</v>
      </c>
      <c r="B21" s="161">
        <f>AVERAGE(C173:F173)/100</f>
        <v>1.8443000000000001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1.4933519462491522</v>
      </c>
      <c r="J21" s="78"/>
      <c r="K21" s="164" t="s">
        <v>356</v>
      </c>
      <c r="L21" s="165">
        <f>HLOOKUP($C$1,$105:$115,7,FALSE)/HLOOKUP($C$1,$105:$115,11,FALSE)</f>
        <v>0.83271210368089033</v>
      </c>
      <c r="M21" s="123" t="s">
        <v>268</v>
      </c>
      <c r="N21" s="165">
        <f>HLOOKUP($C$1,$117:$127,8,FALSE)/HLOOKUP($C$1,$117:$127,11,FALSE)</f>
        <v>0.97844644464871589</v>
      </c>
    </row>
    <row r="22" spans="1:14" s="93" customFormat="1" x14ac:dyDescent="0.25">
      <c r="A22" s="140" t="s">
        <v>222</v>
      </c>
      <c r="B22" s="161">
        <f>(-1)*SUM(C133:F133)/SUM(C132:F132)</f>
        <v>0.54695914882437935</v>
      </c>
      <c r="C22" s="157"/>
      <c r="D22" s="166"/>
      <c r="E22" s="140"/>
      <c r="F22" s="159">
        <f>IF(B22&lt;=0,10,IF(B22&gt;=100%,0,(1-B22)*10))</f>
        <v>4.5304085117562067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1.0291904423729599</v>
      </c>
      <c r="J22" s="78"/>
      <c r="K22" s="142" t="s">
        <v>357</v>
      </c>
      <c r="L22" s="165">
        <f>HLOOKUP($C$1,$105:$115,4,FALSE)/HLOOKUP($C$1,$105:$115,11,FALSE)</f>
        <v>0.23200013501896247</v>
      </c>
      <c r="M22" s="123" t="s">
        <v>353</v>
      </c>
      <c r="N22" s="165">
        <f>HLOOKUP($C$1,$117:$127,4,FALSE)/HLOOKUP($C$1,$117:$127,11,FALSE)</f>
        <v>0.60415561187203504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2.3250193258044778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0.25882237828211441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0.98914083301379274</v>
      </c>
      <c r="C24" s="169">
        <f>STDEV(C103:F103)</f>
        <v>1.4457631596514744E-2</v>
      </c>
      <c r="D24" s="76" t="str">
        <f>IF(C24/B24&lt;15%,"高",IF(C24/B24&lt;30%,"中","低"))</f>
        <v>高</v>
      </c>
      <c r="E24" s="149"/>
      <c r="F24" s="160">
        <f>MIN(100%,B24)*5</f>
        <v>4.9457041650689639</v>
      </c>
      <c r="G24" s="88" t="s">
        <v>229</v>
      </c>
      <c r="H24" s="123" t="s">
        <v>16</v>
      </c>
      <c r="I24" s="170">
        <f>HLOOKUP(C1,167:170,2,FALSE)</f>
        <v>60.4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2.7637462976604119E-2</v>
      </c>
      <c r="M24" s="123" t="s">
        <v>355</v>
      </c>
      <c r="N24" s="165">
        <f>HLOOKUP($C$1,$117:$127,9,FALSE)/HLOOKUP($C$1,$117:$127,11,FALSE)</f>
        <v>2.1553555351284091E-2</v>
      </c>
    </row>
    <row r="25" spans="1:14" s="93" customFormat="1" x14ac:dyDescent="0.25">
      <c r="A25" s="151" t="s">
        <v>366</v>
      </c>
      <c r="B25" s="255">
        <f>AVERAGE(94:94)</f>
        <v>170049.60869565216</v>
      </c>
      <c r="C25" s="254">
        <f>STDEV(94:94)/AVERAGE(94:94)</f>
        <v>0.3988000991178377</v>
      </c>
      <c r="D25" s="76" t="str">
        <f>IF(C25&lt;=1,"高",IF(C25&lt;=2,"中","低"))</f>
        <v>高</v>
      </c>
      <c r="E25" s="149"/>
      <c r="F25" s="160">
        <f>MAX(0,10-ABS(C25))</f>
        <v>9.6011999008821629</v>
      </c>
      <c r="G25" s="88" t="s">
        <v>213</v>
      </c>
      <c r="H25" s="123" t="s">
        <v>232</v>
      </c>
      <c r="I25" s="170">
        <f>IF(HLOOKUP(C1,167:170,3,FALSE)="無",0,HLOOKUP(C1,167:170,3,FALSE))</f>
        <v>66.67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70.046521739130426</v>
      </c>
      <c r="C26" s="172">
        <f>IF(COUNTIF(168:168,"&gt;0")=0,0,STDEV(168:168))</f>
        <v>9.5283073993881295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52.187826086956527</v>
      </c>
      <c r="C27" s="172">
        <f>IF(COUNTIF(169:169,"&gt;0")=0,0,STDEV(169:169))</f>
        <v>8.3113328744670234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0.107525</v>
      </c>
      <c r="C30" s="157" t="s">
        <v>217</v>
      </c>
      <c r="D30" s="174">
        <f>COUNTIF(146:146,"&gt;20")/COUNT(146:146)</f>
        <v>0</v>
      </c>
      <c r="E30" s="140" t="s">
        <v>239</v>
      </c>
      <c r="F30" s="159">
        <f>MIN(B30/25%*10,10)</f>
        <v>4.3010000000000002</v>
      </c>
      <c r="G30" s="175"/>
      <c r="H30" s="176"/>
    </row>
    <row r="31" spans="1:14" x14ac:dyDescent="0.25">
      <c r="A31" s="164" t="s">
        <v>240</v>
      </c>
      <c r="B31" s="173">
        <f>AVERAGE(C155:F155)/100</f>
        <v>5.3600000000000002E-2</v>
      </c>
      <c r="C31" s="157" t="s">
        <v>217</v>
      </c>
      <c r="D31" s="174">
        <f>COUNTIF(149:149,"&gt;8")/COUNT(149:149)</f>
        <v>0</v>
      </c>
      <c r="E31" s="140" t="s">
        <v>241</v>
      </c>
      <c r="F31" s="159">
        <f>MIN(B31/10%*10,10)</f>
        <v>5.36</v>
      </c>
      <c r="G31" s="175"/>
    </row>
    <row r="32" spans="1:14" x14ac:dyDescent="0.25">
      <c r="A32" s="155" t="s">
        <v>47</v>
      </c>
      <c r="B32" s="177">
        <f>AVERAGE(C165:F165)</f>
        <v>15.9375</v>
      </c>
      <c r="C32" s="157" t="s">
        <v>217</v>
      </c>
      <c r="D32" s="174">
        <f>COUNTIF(159:159,"&gt;3")/COUNT(159:159)</f>
        <v>0.86956521739130432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10.170000000000002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6.7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8.9764011799410035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59276931.25</v>
      </c>
      <c r="C36" s="178">
        <f>STDEV(C97:F97)</f>
        <v>3962439.3672465091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10.7525</v>
      </c>
      <c r="C37" s="180">
        <f>STDEV(C152:F152)</f>
        <v>0.62216691222425669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6.1724999999999994</v>
      </c>
      <c r="C38" s="180">
        <f>STDEV(C153:F153)</f>
        <v>0.52315548995176042</v>
      </c>
      <c r="D38" s="76" t="str">
        <f>IF(C38/B38&lt;15%,"高",IF(C38/B38&lt;30%,"中","低"))</f>
        <v>高</v>
      </c>
      <c r="E38" s="107">
        <f>IF(F153&gt;E153,1,0)+IF(E153&gt;D153,1,0)+IF(D153&gt;C153,1,0)</f>
        <v>0</v>
      </c>
      <c r="F38" s="179"/>
      <c r="G38" s="160">
        <f>IF(D38="高",6,IF(D38="中",4,2))+E38+1</f>
        <v>7</v>
      </c>
    </row>
    <row r="39" spans="1:14" x14ac:dyDescent="0.25">
      <c r="A39" s="142" t="s">
        <v>46</v>
      </c>
      <c r="B39" s="181">
        <f>AVERAGE(C165:F165)</f>
        <v>15.9375</v>
      </c>
      <c r="C39" s="181">
        <f>STDEV(C165:F165)</f>
        <v>2.1632132735046636</v>
      </c>
      <c r="D39" s="76" t="str">
        <f>IF(C39/B39&lt;15%,"高",IF(C39/B39&lt;30%,"中","低"))</f>
        <v>高</v>
      </c>
      <c r="E39" s="107">
        <f>IF(F165&gt;E165,1,0)+IF(E165&gt;D165,1,0)+IF(D165&gt;C165,1,0)</f>
        <v>0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10.170000000000002</v>
      </c>
      <c r="C40" s="183">
        <f>STDEV(B69:E69)</f>
        <v>0.80676307963779981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0.25751072961373395</v>
      </c>
      <c r="C44" s="186">
        <f>(C46-C49)/C49</f>
        <v>-0.12918660287081332</v>
      </c>
      <c r="D44" s="186">
        <f>(D46-D49)/D49</f>
        <v>-0.13461538461538464</v>
      </c>
      <c r="E44" s="186">
        <f>(E46-E49)/E49</f>
        <v>-7.1684587813620138E-2</v>
      </c>
      <c r="G44" s="86" t="s">
        <v>175</v>
      </c>
      <c r="H44" s="186">
        <f>(H47-H50)/H50</f>
        <v>-0.16279069767441867</v>
      </c>
      <c r="I44" s="186">
        <f>(I47-I50)/I50</f>
        <v>-0.36135957066189628</v>
      </c>
      <c r="J44" s="186">
        <f>(J47-J50)/J50</f>
        <v>-0.2714285714285713</v>
      </c>
      <c r="K44" s="186">
        <f>(K47-K50)/K50</f>
        <v>-7.3949579831932899E-2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2.93</v>
      </c>
      <c r="C46" s="152">
        <f>HLOOKUP(C45,$81:$82,2,FALSE)</f>
        <v>1.82</v>
      </c>
      <c r="D46" s="152">
        <f>HLOOKUP(D45,$81:$82,2,FALSE)</f>
        <v>1.8</v>
      </c>
      <c r="E46" s="152">
        <f>HLOOKUP(E45,$81:$82,2,FALSE)</f>
        <v>2.59</v>
      </c>
      <c r="G46" s="86" t="s">
        <v>164</v>
      </c>
      <c r="H46" s="145">
        <f>HLOOKUP(H45,$145:$147,2,FALSE)/100</f>
        <v>8.9399999999999993E-2</v>
      </c>
      <c r="I46" s="145">
        <f>HLOOKUP(I45,$145:$147,2,FALSE)/100</f>
        <v>8.6199999999999999E-2</v>
      </c>
      <c r="J46" s="145">
        <f>HLOOKUP(J45,$145:$147,2,FALSE)/100</f>
        <v>8.5999999999999993E-2</v>
      </c>
      <c r="K46" s="145">
        <f>HLOOKUP(K45,$145:$147,2,FALSE)/100</f>
        <v>0.10009999999999999</v>
      </c>
    </row>
    <row r="47" spans="1:14" x14ac:dyDescent="0.25">
      <c r="A47" s="188" t="s">
        <v>165</v>
      </c>
      <c r="B47" s="189">
        <f>HLOOKUP(B45,$157:$159,3,FALSE)</f>
        <v>3.4</v>
      </c>
      <c r="C47" s="189">
        <f>HLOOKUP(C45,$157:$159,3,FALSE)</f>
        <v>2.68</v>
      </c>
      <c r="D47" s="189">
        <f>HLOOKUP(D45,$157:$159,3,FALSE)</f>
        <v>2.6</v>
      </c>
      <c r="E47" s="189">
        <f>HLOOKUP(E45,$157:$159,3,FALSE)</f>
        <v>3.82</v>
      </c>
      <c r="G47" s="190" t="s">
        <v>166</v>
      </c>
      <c r="H47" s="145">
        <f>HLOOKUP(H45,$145:$147,3,FALSE)/100</f>
        <v>4.6799999999999994E-2</v>
      </c>
      <c r="I47" s="145">
        <f>HLOOKUP(I45,$145:$147,3,FALSE)/100</f>
        <v>3.5699999999999996E-2</v>
      </c>
      <c r="J47" s="145">
        <f>HLOOKUP(J45,$145:$147,3,FALSE)/100</f>
        <v>4.0800000000000003E-2</v>
      </c>
      <c r="K47" s="145">
        <f>HLOOKUP(K45,$145:$147,3,FALSE)/100</f>
        <v>5.5099999999999996E-2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2.33</v>
      </c>
      <c r="C49" s="152">
        <f>HLOOKUP(C48,$81:$82,2,FALSE)</f>
        <v>2.09</v>
      </c>
      <c r="D49" s="152">
        <f>HLOOKUP(D48,$81:$82,2,FALSE)</f>
        <v>2.08</v>
      </c>
      <c r="E49" s="152">
        <f>HLOOKUP(E48,$81:$82,2,FALSE)</f>
        <v>2.79</v>
      </c>
      <c r="G49" s="86" t="s">
        <v>164</v>
      </c>
      <c r="H49" s="145">
        <f>HLOOKUP(H48,$145:$147,2,FALSE)/100</f>
        <v>0.1011</v>
      </c>
      <c r="I49" s="145">
        <f>HLOOKUP(I48,$145:$147,2,FALSE)/100</f>
        <v>0.10039999999999999</v>
      </c>
      <c r="J49" s="145">
        <f>HLOOKUP(J48,$145:$147,2,FALSE)/100</f>
        <v>0.1014</v>
      </c>
      <c r="K49" s="145">
        <f>HLOOKUP(K48,$145:$147,2,FALSE)/100</f>
        <v>0.10339999999999999</v>
      </c>
    </row>
    <row r="50" spans="1:15" x14ac:dyDescent="0.25">
      <c r="A50" s="188" t="s">
        <v>165</v>
      </c>
      <c r="B50" s="189">
        <f>HLOOKUP(B48,$157:$159,3,FALSE)</f>
        <v>3.52</v>
      </c>
      <c r="C50" s="189">
        <f>HLOOKUP(C48,$157:$159,3,FALSE)</f>
        <v>3.06</v>
      </c>
      <c r="D50" s="189">
        <f>HLOOKUP(D48,$157:$159,3,FALSE)</f>
        <v>2.97</v>
      </c>
      <c r="E50" s="189">
        <f>HLOOKUP(E48,$157:$159,3,FALSE)</f>
        <v>4.22</v>
      </c>
      <c r="G50" s="190" t="s">
        <v>166</v>
      </c>
      <c r="H50" s="145">
        <f>HLOOKUP(H48,$145:$147,3,FALSE)/100</f>
        <v>5.5899999999999998E-2</v>
      </c>
      <c r="I50" s="145">
        <f>HLOOKUP(I48,$145:$147,3,FALSE)/100</f>
        <v>5.5899999999999998E-2</v>
      </c>
      <c r="J50" s="145">
        <f>HLOOKUP(J48,$145:$147,3,FALSE)/100</f>
        <v>5.5999999999999994E-2</v>
      </c>
      <c r="K50" s="145">
        <f>HLOOKUP(K48,$145:$147,3,FALSE)/100</f>
        <v>5.9500000000000004E-2</v>
      </c>
    </row>
    <row r="51" spans="1:15" x14ac:dyDescent="0.25">
      <c r="A51" s="86" t="s">
        <v>351</v>
      </c>
      <c r="B51" s="186">
        <f>(B47-B50)/B50</f>
        <v>-3.4090909090909123E-2</v>
      </c>
      <c r="C51" s="186">
        <f>(C47-C50)/C50</f>
        <v>-0.12418300653594767</v>
      </c>
      <c r="D51" s="186">
        <f>(D47-D50)/D50</f>
        <v>-0.12457912457912461</v>
      </c>
      <c r="E51" s="186">
        <f>(E47-E50)/E50</f>
        <v>-9.4786729857819885E-2</v>
      </c>
      <c r="G51" s="235" t="s">
        <v>174</v>
      </c>
      <c r="H51" s="186">
        <f>(H46-H49)/H49</f>
        <v>-0.11572700296735908</v>
      </c>
      <c r="I51" s="186">
        <f>(I46-I49)/I49</f>
        <v>-0.1414342629482071</v>
      </c>
      <c r="J51" s="186">
        <f>(J46-J49)/J49</f>
        <v>-0.15187376725838275</v>
      </c>
      <c r="K51" s="186">
        <f>(K46-K49)/K49</f>
        <v>-3.1914893617021253E-2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8.4054593925823902</v>
      </c>
      <c r="B53" s="193">
        <f>B46</f>
        <v>2.93</v>
      </c>
      <c r="C53" s="193">
        <f>E46/HLOOKUP(E45,$87:$94,5,FALSE)*HLOOKUP(E45,$87:$94,4,FALSE)*($B$25/HLOOKUP(E45,$87:$94,4,FALSE)+SUM($B$57:$D$57)/SUM($B58:$D$58)*$G$69/100/K46)</f>
        <v>2.3572938615686994</v>
      </c>
      <c r="D53" s="193">
        <f>D46/HLOOKUP(D45,$87:$94,5,FALSE)*HLOOKUP(D45,$87:$94,4,FALSE)*($B$25/HLOOKUP(D45,$87:$94,4,FALSE)+SUM($B$57:$D$57)/SUM($B58:$D$58)*$G$69/100/J46)</f>
        <v>1.592651845401887</v>
      </c>
      <c r="E53" s="193">
        <f>C46/HLOOKUP(C45,$87:$94,5,FALSE)*HLOOKUP(C45,$87:$94,4,FALSE)*($B$25/HLOOKUP(C45,$87:$94,4,FALSE)+SUM($B$57:$D$57)/SUM($B58:$D$58)*$G$69/100/I46)</f>
        <v>1.5255136856118037</v>
      </c>
    </row>
    <row r="54" spans="1:15" x14ac:dyDescent="0.25">
      <c r="A54" s="278">
        <f>SUM(B54:E54)</f>
        <v>8.5399999999999991</v>
      </c>
      <c r="B54" s="277">
        <f t="shared" ref="B54:D54" si="0">HLOOKUP(B52-10,81:82,2,FALSE)</f>
        <v>2.33</v>
      </c>
      <c r="C54" s="277">
        <f t="shared" si="0"/>
        <v>2.59</v>
      </c>
      <c r="D54" s="277">
        <f t="shared" si="0"/>
        <v>1.8</v>
      </c>
      <c r="E54" s="277">
        <f>HLOOKUP(E52-10,81:82,2,FALSE)</f>
        <v>1.82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5751353</v>
      </c>
      <c r="C57" s="196">
        <f>HLOOKUP(C56,78:79,2,FALSE)</f>
        <v>5715050</v>
      </c>
      <c r="D57" s="196">
        <f>HLOOKUP(D56,78:79,2,FALSE)</f>
        <v>5119168</v>
      </c>
      <c r="E57" s="196">
        <f>HLOOKUP(E56,78:79,2,FALSE)</f>
        <v>4912950</v>
      </c>
      <c r="F57" s="196">
        <f>HLOOKUP(F56,78:79,2,FALSE)</f>
        <v>4306899</v>
      </c>
      <c r="G57" s="196">
        <f t="shared" ref="G57:M57" si="2">HLOOKUP(G56,78:79,2,FALSE)</f>
        <v>4230558</v>
      </c>
      <c r="H57" s="196">
        <f t="shared" si="2"/>
        <v>4109466</v>
      </c>
      <c r="I57" s="196">
        <f t="shared" si="2"/>
        <v>4321470</v>
      </c>
      <c r="J57" s="196">
        <f t="shared" si="2"/>
        <v>3854251</v>
      </c>
      <c r="K57" s="196">
        <f t="shared" si="2"/>
        <v>3536555</v>
      </c>
      <c r="L57" s="196">
        <f t="shared" si="2"/>
        <v>5225630</v>
      </c>
      <c r="M57" s="196">
        <f t="shared" si="2"/>
        <v>5801065</v>
      </c>
      <c r="N57" s="197"/>
    </row>
    <row r="58" spans="1:15" x14ac:dyDescent="0.25">
      <c r="A58" s="198" t="s">
        <v>253</v>
      </c>
      <c r="B58" s="196">
        <f>HLOOKUP(B56-100,78:79,2,FALSE)</f>
        <v>5530297</v>
      </c>
      <c r="C58" s="196">
        <f>HLOOKUP(C56-100,78:79,2,FALSE)</f>
        <v>5237943</v>
      </c>
      <c r="D58" s="196">
        <f>HLOOKUP(D56-100,78:79,2,FALSE)</f>
        <v>4803486</v>
      </c>
      <c r="E58" s="196">
        <f>HLOOKUP(E56-100,78:79,2,FALSE)</f>
        <v>4581948</v>
      </c>
      <c r="F58" s="196">
        <f>HLOOKUP(F56-100,78:79,2,FALSE)</f>
        <v>4466440</v>
      </c>
      <c r="G58" s="196">
        <f t="shared" ref="G58:M58" si="3">HLOOKUP(G56-100,78:79,2,FALSE)</f>
        <v>4602751</v>
      </c>
      <c r="H58" s="196">
        <f t="shared" si="3"/>
        <v>4524130</v>
      </c>
      <c r="I58" s="196">
        <f t="shared" si="3"/>
        <v>4828328</v>
      </c>
      <c r="J58" s="196">
        <f t="shared" si="3"/>
        <v>3612225</v>
      </c>
      <c r="K58" s="196">
        <f t="shared" si="3"/>
        <v>4906095</v>
      </c>
      <c r="L58" s="196">
        <f t="shared" si="3"/>
        <v>5011314</v>
      </c>
      <c r="M58" s="196">
        <f t="shared" si="3"/>
        <v>6401052</v>
      </c>
      <c r="N58" s="197"/>
    </row>
    <row r="59" spans="1:15" x14ac:dyDescent="0.25">
      <c r="A59" s="199" t="s">
        <v>254</v>
      </c>
      <c r="B59" s="165">
        <f>IF(B57&lt;&gt;"",(B57-B58)/B58,"")</f>
        <v>3.9971813448717128E-2</v>
      </c>
      <c r="C59" s="165">
        <f>IF(C57&lt;&gt;"",(C57-C58)/C58,"")</f>
        <v>9.1086710947408167E-2</v>
      </c>
      <c r="D59" s="165">
        <f>IF(D57&lt;&gt;"",(D57-D58)/D58,"")</f>
        <v>6.5719354652017309E-2</v>
      </c>
      <c r="E59" s="165">
        <f>IF(E57&lt;&gt;"",(E57-E58)/E58,"")</f>
        <v>7.2240453187159701E-2</v>
      </c>
      <c r="F59" s="165">
        <f>IF(F57&lt;&gt;"",(F57-F58)/F58,"")</f>
        <v>-3.5719946982384183E-2</v>
      </c>
      <c r="G59" s="165">
        <f t="shared" ref="G59:M59" si="4">IF(G57&lt;&gt;"",(G57-G58)/G58,"")</f>
        <v>-8.0863162052433421E-2</v>
      </c>
      <c r="H59" s="165">
        <f t="shared" si="4"/>
        <v>-9.1656075311717392E-2</v>
      </c>
      <c r="I59" s="165">
        <f t="shared" si="4"/>
        <v>-0.10497588399131128</v>
      </c>
      <c r="J59" s="165">
        <f t="shared" si="4"/>
        <v>6.700191710095578E-2</v>
      </c>
      <c r="K59" s="165">
        <f t="shared" si="4"/>
        <v>-0.27915072985745282</v>
      </c>
      <c r="L59" s="165">
        <f t="shared" si="4"/>
        <v>4.2766428126435503E-2</v>
      </c>
      <c r="M59" s="165">
        <f t="shared" si="4"/>
        <v>-9.3732561460209973E-2</v>
      </c>
    </row>
    <row r="60" spans="1:15" x14ac:dyDescent="0.25">
      <c r="A60" s="195" t="s">
        <v>255</v>
      </c>
      <c r="B60" s="196">
        <f>SUM(B57:M57)</f>
        <v>56884415</v>
      </c>
    </row>
    <row r="61" spans="1:15" x14ac:dyDescent="0.25">
      <c r="A61" s="198" t="s">
        <v>256</v>
      </c>
      <c r="B61" s="196">
        <f>SUM(B58:M58)</f>
        <v>58506009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0.97228329144789216</v>
      </c>
      <c r="D62" s="152">
        <f>SUM(B46:E46)</f>
        <v>9.14</v>
      </c>
      <c r="E62" s="152">
        <f>SUM(B49:E49)</f>
        <v>9.2899999999999991</v>
      </c>
      <c r="G62" s="126">
        <f>SUM(B47:E47)</f>
        <v>12.5</v>
      </c>
      <c r="H62" s="126">
        <f>SUM(B50:E50)</f>
        <v>13.77</v>
      </c>
      <c r="J62" s="200">
        <f>AVERAGE(H46:K46)</f>
        <v>9.0424999999999978E-2</v>
      </c>
      <c r="K62" s="200">
        <f>AVERAGE(H49:K49)</f>
        <v>0.101575</v>
      </c>
      <c r="M62" s="200">
        <f>AVERAGE(H47:K47)</f>
        <v>4.4600000000000001E-2</v>
      </c>
      <c r="N62" s="200">
        <f>AVERAGE(H50:K50)</f>
        <v>5.6825000000000001E-2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2.33</v>
      </c>
      <c r="C65" s="205">
        <f t="shared" si="5"/>
        <v>2.4500000000000002</v>
      </c>
      <c r="D65" s="205">
        <f t="shared" si="5"/>
        <v>2.46</v>
      </c>
      <c r="E65" s="205">
        <f t="shared" si="5"/>
        <v>2.08</v>
      </c>
      <c r="F65" s="206">
        <f>IF(ISNA(HLOOKUP(F$64*10+$A65,$81:$82,2,FALSE)),(HLOOKUP(E$64*10+$A65,$87:$94,4,FALSE)*$G65+$B$25)/HLOOKUP(E$64*10+$A65,$87:$94,5,FALSE)*$E65,HLOOKUP(F$64*10+$A65,$81:$82,2,FALSE))</f>
        <v>1.8</v>
      </c>
      <c r="G65" s="101">
        <f>MIN(130%,SUM($B$57:$D$57)/SUM($B$58:$D$58)*$G$69/HLOOKUP(E$64*10+$A65,$145:$146,2,FALSE))</f>
        <v>0.91080062094310932</v>
      </c>
      <c r="H65" s="204">
        <v>1</v>
      </c>
      <c r="I65" s="208">
        <f t="shared" ref="I65:M68" si="6">IF(ISNA(HLOOKUP(I$64*10+$H65,$145:$147,3,FALSE)),"",HLOOKUP(I$64*10+$H65,$145:$147,3,FALSE)/100)</f>
        <v>6.6900000000000001E-2</v>
      </c>
      <c r="J65" s="208">
        <f t="shared" si="6"/>
        <v>6.4399999999999999E-2</v>
      </c>
      <c r="K65" s="208">
        <f t="shared" si="6"/>
        <v>6.6699999999999995E-2</v>
      </c>
      <c r="L65" s="208">
        <f t="shared" si="6"/>
        <v>5.5999999999999994E-2</v>
      </c>
      <c r="M65" s="209">
        <f t="shared" si="6"/>
        <v>4.0800000000000003E-2</v>
      </c>
      <c r="N65" s="256">
        <f t="shared" ref="N65:O68" si="7">HLOOKUP(E$64*10+$A65,$87:$94,8,FALSE)</f>
        <v>146246</v>
      </c>
      <c r="O65" s="256">
        <f t="shared" si="7"/>
        <v>294241</v>
      </c>
      <c r="P65" s="210"/>
    </row>
    <row r="66" spans="1:71" x14ac:dyDescent="0.25">
      <c r="A66" s="204">
        <v>2</v>
      </c>
      <c r="B66" s="205">
        <f t="shared" si="5"/>
        <v>2.11</v>
      </c>
      <c r="C66" s="205">
        <f t="shared" si="5"/>
        <v>2.4500000000000002</v>
      </c>
      <c r="D66" s="205">
        <f t="shared" si="5"/>
        <v>2.34</v>
      </c>
      <c r="E66" s="205">
        <f t="shared" si="5"/>
        <v>2.09</v>
      </c>
      <c r="F66" s="206">
        <f>IF(ISNA(HLOOKUP(F$64*10+$A66,$81:$82,2,FALSE)),(HLOOKUP(E$64*10+$A66,$87:$94,4,FALSE)*$G66+$B$25)/HLOOKUP(E$64*10+$A66,$87:$94,5,FALSE)*$E66,HLOOKUP(F$64*10+$A66,$81:$82,2,FALSE))</f>
        <v>1.82</v>
      </c>
      <c r="G66" s="101">
        <f>MIN(130%,SUM($B$57:$D$57)/SUM($B$58:$D$58)*$G$69/HLOOKUP(E$64*10+$A66,$145:$146,2,FALSE))</f>
        <v>0.91987234027521214</v>
      </c>
      <c r="H66" s="204">
        <v>2</v>
      </c>
      <c r="I66" s="208">
        <f t="shared" si="6"/>
        <v>6.0499999999999998E-2</v>
      </c>
      <c r="J66" s="208">
        <f t="shared" si="6"/>
        <v>6.7500000000000004E-2</v>
      </c>
      <c r="K66" s="208">
        <f t="shared" si="6"/>
        <v>5.5199999999999999E-2</v>
      </c>
      <c r="L66" s="208">
        <f t="shared" si="6"/>
        <v>5.5899999999999998E-2</v>
      </c>
      <c r="M66" s="209">
        <f t="shared" si="6"/>
        <v>3.5699999999999996E-2</v>
      </c>
      <c r="N66" s="256">
        <f t="shared" si="7"/>
        <v>135405</v>
      </c>
      <c r="O66" s="256">
        <f t="shared" si="7"/>
        <v>328430</v>
      </c>
      <c r="P66" s="210"/>
    </row>
    <row r="67" spans="1:71" x14ac:dyDescent="0.25">
      <c r="A67" s="204">
        <v>3</v>
      </c>
      <c r="B67" s="205">
        <f t="shared" si="5"/>
        <v>2.71</v>
      </c>
      <c r="C67" s="205">
        <f t="shared" si="5"/>
        <v>2.8</v>
      </c>
      <c r="D67" s="205">
        <f t="shared" si="5"/>
        <v>2.5099999999999998</v>
      </c>
      <c r="E67" s="205">
        <f t="shared" si="5"/>
        <v>2.33</v>
      </c>
      <c r="F67" s="206">
        <f>IF(ISNA(HLOOKUP(F$64*10+$A67,$81:$82,2,FALSE)),(HLOOKUP(E$64*10+$A67,$87:$94,4,FALSE)*$G67+$B$25)/HLOOKUP(E$64*10+$A67,$87:$94,5,FALSE)*$E67,HLOOKUP(F$64*10+$A67,$81:$82,2,FALSE))</f>
        <v>2.93</v>
      </c>
      <c r="G67" s="101">
        <f>MIN(130%,SUM($B$57:$D$57)/SUM($B$58:$D$58)*$G$69/HLOOKUP(E$64*10+$A67,$145:$146,2,FALSE))</f>
        <v>0.91350329340881598</v>
      </c>
      <c r="H67" s="204">
        <v>3</v>
      </c>
      <c r="I67" s="208">
        <f t="shared" si="6"/>
        <v>6.4199999999999993E-2</v>
      </c>
      <c r="J67" s="208">
        <f t="shared" si="6"/>
        <v>6.1799999999999994E-2</v>
      </c>
      <c r="K67" s="208">
        <f t="shared" si="6"/>
        <v>5.5899999999999998E-2</v>
      </c>
      <c r="L67" s="208">
        <f t="shared" si="6"/>
        <v>5.5899999999999998E-2</v>
      </c>
      <c r="M67" s="209">
        <f t="shared" si="6"/>
        <v>4.6799999999999994E-2</v>
      </c>
      <c r="N67" s="256">
        <f t="shared" si="7"/>
        <v>178830</v>
      </c>
      <c r="O67" s="256">
        <f t="shared" si="7"/>
        <v>220074</v>
      </c>
      <c r="P67" s="210"/>
    </row>
    <row r="68" spans="1:71" x14ac:dyDescent="0.25">
      <c r="A68" s="204">
        <v>4</v>
      </c>
      <c r="B68" s="205">
        <f>HLOOKUP(B$64*10+$A68,$81:$82,2,FALSE)</f>
        <v>3.35</v>
      </c>
      <c r="C68" s="205">
        <f>HLOOKUP(C$64*10+$A68,$81:$82,2,FALSE)</f>
        <v>3.29</v>
      </c>
      <c r="D68" s="205">
        <f>HLOOKUP(D$64*10+$A68,$81:$82,2,FALSE)</f>
        <v>2.79</v>
      </c>
      <c r="E68" s="206">
        <f>IF(ISNA(HLOOKUP(E$64*10+$A68,$81:$82,2,FALSE)),D68*(1-$N68)*#REF!*(1+$B$25)/(1+$E$4),HLOOKUP(E$64*10+$A68,$81:$82,2,FALSE))</f>
        <v>2.59</v>
      </c>
      <c r="F68" s="206">
        <f>IF(ISNA(HLOOKUP(F$64*10+$A68,$81:$82,2,FALSE)),(HLOOKUP(E$64*10+$A68,$87:$94,4,FALSE)*$G68+$B$25)/HLOOKUP(E$64*10+$A68,$87:$94,5,FALSE)*$E68,HLOOKUP(F$64*10+$A68,$81:$82,2,FALSE))</f>
        <v>2.3572938615686994</v>
      </c>
      <c r="G68" s="101">
        <f>MIN(130%,SUM($B$57:$D$57)/SUM($B$58:$D$58)*$G$69/HLOOKUP(E$64*10+$A68,$145:$146,2,FALSE))</f>
        <v>0.92262920043587704</v>
      </c>
      <c r="H68" s="204">
        <v>4</v>
      </c>
      <c r="I68" s="208">
        <f t="shared" si="6"/>
        <v>7.4400000000000008E-2</v>
      </c>
      <c r="J68" s="208">
        <f t="shared" si="6"/>
        <v>6.54E-2</v>
      </c>
      <c r="K68" s="208">
        <f t="shared" si="6"/>
        <v>5.9500000000000004E-2</v>
      </c>
      <c r="L68" s="208">
        <f t="shared" si="6"/>
        <v>5.5099999999999996E-2</v>
      </c>
      <c r="M68" s="209" t="str">
        <f t="shared" si="6"/>
        <v/>
      </c>
      <c r="N68" s="256">
        <f t="shared" si="7"/>
        <v>199342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10.5</v>
      </c>
      <c r="C69" s="213">
        <f>SUM(C65:C68)</f>
        <v>10.99</v>
      </c>
      <c r="D69" s="213">
        <f>SUM(D65:D68)</f>
        <v>10.1</v>
      </c>
      <c r="E69" s="213">
        <f>SUM(E65:E68)</f>
        <v>9.09</v>
      </c>
      <c r="F69" s="213">
        <f>SUM(F65:F68)</f>
        <v>8.9072938615687001</v>
      </c>
      <c r="G69" s="257">
        <f>_xlfn.FORECAST.ETS(23,B146:W146,{1,2,3,4,5,6,7,8,9,10,11,12,13,14,15,16,17,18,19,20,21,22})</f>
        <v>8.6709683000334117</v>
      </c>
      <c r="H69" s="214" t="s">
        <v>19</v>
      </c>
      <c r="I69" s="215">
        <f>HLOOKUP(I64,151:155,3,FALSE)/100</f>
        <v>6.7199999999999996E-2</v>
      </c>
      <c r="J69" s="215">
        <f>HLOOKUP(J64,151:155,3,FALSE)/100</f>
        <v>6.480000000000001E-2</v>
      </c>
      <c r="K69" s="215">
        <f>HLOOKUP(K64,151:155,3,FALSE)/100</f>
        <v>5.9200000000000003E-2</v>
      </c>
      <c r="L69" s="215">
        <f>IF(ISNA(HLOOKUP(L64,151:155,3,FALSE)/100),AVERAGE(L65:L68),HLOOKUP(L64,151:155,3,FALSE)/100)</f>
        <v>5.57E-2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4.03</v>
      </c>
      <c r="C72" s="205">
        <f t="shared" si="8"/>
        <v>3.92</v>
      </c>
      <c r="D72" s="205">
        <f t="shared" si="8"/>
        <v>3.75</v>
      </c>
      <c r="E72" s="205">
        <f t="shared" si="8"/>
        <v>2.97</v>
      </c>
      <c r="F72" s="205">
        <f t="shared" si="8"/>
        <v>2.6</v>
      </c>
    </row>
    <row r="73" spans="1:71" s="135" customFormat="1" x14ac:dyDescent="0.25">
      <c r="A73" s="204">
        <v>2</v>
      </c>
      <c r="B73" s="205">
        <f t="shared" si="8"/>
        <v>3.71</v>
      </c>
      <c r="C73" s="205">
        <f t="shared" si="8"/>
        <v>3.96</v>
      </c>
      <c r="D73" s="205">
        <f t="shared" si="8"/>
        <v>3.65</v>
      </c>
      <c r="E73" s="205">
        <f t="shared" si="8"/>
        <v>3.06</v>
      </c>
      <c r="F73" s="205">
        <f t="shared" si="8"/>
        <v>2.68</v>
      </c>
    </row>
    <row r="74" spans="1:71" s="135" customFormat="1" x14ac:dyDescent="0.25">
      <c r="A74" s="204">
        <v>3</v>
      </c>
      <c r="B74" s="205">
        <f t="shared" si="8"/>
        <v>4.83</v>
      </c>
      <c r="C74" s="205">
        <f t="shared" si="8"/>
        <v>4.62</v>
      </c>
      <c r="D74" s="205">
        <f t="shared" si="8"/>
        <v>3.93</v>
      </c>
      <c r="E74" s="205">
        <f t="shared" si="8"/>
        <v>3.52</v>
      </c>
      <c r="F74" s="205">
        <f t="shared" si="8"/>
        <v>3.4</v>
      </c>
    </row>
    <row r="75" spans="1:71" s="135" customFormat="1" x14ac:dyDescent="0.25">
      <c r="A75" s="204">
        <v>4</v>
      </c>
      <c r="B75" s="205">
        <f t="shared" si="8"/>
        <v>5.66</v>
      </c>
      <c r="C75" s="205">
        <f t="shared" si="8"/>
        <v>5.35</v>
      </c>
      <c r="D75" s="205">
        <f t="shared" si="8"/>
        <v>4.22</v>
      </c>
      <c r="E75" s="205">
        <f t="shared" si="8"/>
        <v>3.82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18.23</v>
      </c>
      <c r="C76" s="213">
        <f>SUM(C72:C75)</f>
        <v>17.850000000000001</v>
      </c>
      <c r="D76" s="213">
        <f>SUM(D72:D75)</f>
        <v>15.55</v>
      </c>
      <c r="E76" s="213">
        <f>AVERAGE(E72:E75)*4</f>
        <v>13.370000000000001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3603730</v>
      </c>
      <c r="C79" s="270">
        <v>3910776</v>
      </c>
      <c r="D79" s="270">
        <v>4303565</v>
      </c>
      <c r="E79" s="270">
        <v>4537829</v>
      </c>
      <c r="F79" s="270">
        <v>4809090</v>
      </c>
      <c r="G79" s="270">
        <v>5028823</v>
      </c>
      <c r="H79" s="270">
        <v>5102682</v>
      </c>
      <c r="I79" s="270">
        <v>5263978</v>
      </c>
      <c r="J79" s="270">
        <v>5662830</v>
      </c>
      <c r="K79" s="270">
        <v>5673509</v>
      </c>
      <c r="L79" s="270">
        <v>5760469</v>
      </c>
      <c r="M79" s="270">
        <v>5186360</v>
      </c>
      <c r="N79" s="270">
        <v>4214805</v>
      </c>
      <c r="O79" s="270">
        <v>3708409</v>
      </c>
      <c r="P79" s="270">
        <v>3578191</v>
      </c>
      <c r="Q79" s="270">
        <v>3775360</v>
      </c>
      <c r="R79" s="270">
        <v>3780076</v>
      </c>
      <c r="S79" s="270">
        <v>3946261</v>
      </c>
      <c r="T79" s="270">
        <v>4501382</v>
      </c>
      <c r="U79" s="270">
        <v>4701959</v>
      </c>
      <c r="V79" s="270">
        <v>5312778</v>
      </c>
      <c r="W79" s="270">
        <v>5472937</v>
      </c>
      <c r="X79" s="270">
        <v>6010856</v>
      </c>
      <c r="Y79" s="270">
        <v>5731885</v>
      </c>
      <c r="Z79" s="270">
        <v>4510556</v>
      </c>
      <c r="AA79" s="270">
        <v>3107863</v>
      </c>
      <c r="AB79" s="270">
        <v>4511921</v>
      </c>
      <c r="AC79" s="270">
        <v>4512665</v>
      </c>
      <c r="AD79" s="270">
        <v>4525377</v>
      </c>
      <c r="AE79" s="270">
        <v>4604452</v>
      </c>
      <c r="AF79" s="270">
        <v>4802494</v>
      </c>
      <c r="AG79" s="270">
        <v>5007735</v>
      </c>
      <c r="AH79" s="270">
        <v>5401150</v>
      </c>
      <c r="AI79" s="270">
        <v>5957048</v>
      </c>
      <c r="AJ79" s="270">
        <v>6519646</v>
      </c>
      <c r="AK79" s="270">
        <v>6554563</v>
      </c>
      <c r="AL79" s="270">
        <v>5424104</v>
      </c>
      <c r="AM79" s="270">
        <v>4061928</v>
      </c>
      <c r="AN79" s="270">
        <v>5521238</v>
      </c>
      <c r="AO79" s="270">
        <v>5425362</v>
      </c>
      <c r="AP79" s="270">
        <v>5102352</v>
      </c>
      <c r="AQ79" s="270">
        <v>5121457</v>
      </c>
      <c r="AR79" s="270">
        <v>5136458</v>
      </c>
      <c r="AS79" s="270">
        <v>5322915</v>
      </c>
      <c r="AT79" s="270">
        <v>5684182</v>
      </c>
      <c r="AU79" s="270">
        <v>6023894</v>
      </c>
      <c r="AV79" s="270">
        <v>6401052</v>
      </c>
      <c r="AW79" s="270">
        <v>5011314</v>
      </c>
      <c r="AX79" s="270">
        <v>4906095</v>
      </c>
      <c r="AY79" s="270">
        <v>3612225</v>
      </c>
      <c r="AZ79" s="270">
        <v>4828328</v>
      </c>
      <c r="BA79" s="270">
        <v>4524130</v>
      </c>
      <c r="BB79" s="270">
        <v>4602751</v>
      </c>
      <c r="BC79" s="270">
        <v>4466440</v>
      </c>
      <c r="BD79" s="270">
        <v>4581948</v>
      </c>
      <c r="BE79" s="270">
        <v>4803486</v>
      </c>
      <c r="BF79" s="270">
        <v>5237943</v>
      </c>
      <c r="BG79" s="270">
        <v>5530297</v>
      </c>
      <c r="BH79" s="270">
        <v>5801065</v>
      </c>
      <c r="BI79" s="270">
        <v>5225630</v>
      </c>
      <c r="BJ79" s="270">
        <v>3536555</v>
      </c>
      <c r="BK79" s="270">
        <v>3854251</v>
      </c>
      <c r="BL79" s="270">
        <v>4321470</v>
      </c>
      <c r="BM79" s="270">
        <v>4109466</v>
      </c>
      <c r="BN79" s="270">
        <v>4230558</v>
      </c>
      <c r="BO79" s="270">
        <v>4306899</v>
      </c>
      <c r="BP79" s="270">
        <v>4912950</v>
      </c>
      <c r="BQ79" s="270">
        <v>5119168</v>
      </c>
      <c r="BR79" s="270">
        <v>5715050</v>
      </c>
      <c r="BS79" s="270">
        <v>5751353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2.7</v>
      </c>
      <c r="C82" s="72">
        <v>3.07</v>
      </c>
      <c r="D82" s="72">
        <v>3.07</v>
      </c>
      <c r="E82" s="72">
        <v>2.11</v>
      </c>
      <c r="F82" s="72">
        <v>2.33</v>
      </c>
      <c r="G82" s="72">
        <v>2.11</v>
      </c>
      <c r="H82" s="72">
        <v>2.71</v>
      </c>
      <c r="I82" s="72">
        <v>3.35</v>
      </c>
      <c r="J82" s="72">
        <v>2.4500000000000002</v>
      </c>
      <c r="K82" s="72">
        <v>2.4500000000000002</v>
      </c>
      <c r="L82" s="72">
        <v>2.8</v>
      </c>
      <c r="M82" s="72">
        <v>3.29</v>
      </c>
      <c r="N82" s="72">
        <v>2.46</v>
      </c>
      <c r="O82" s="72">
        <v>2.34</v>
      </c>
      <c r="P82" s="72">
        <v>2.5099999999999998</v>
      </c>
      <c r="Q82" s="72">
        <v>2.79</v>
      </c>
      <c r="R82" s="72">
        <v>2.08</v>
      </c>
      <c r="S82" s="72">
        <v>2.09</v>
      </c>
      <c r="T82" s="72">
        <v>2.33</v>
      </c>
      <c r="U82" s="72">
        <v>2.59</v>
      </c>
      <c r="V82" s="72">
        <v>1.8</v>
      </c>
      <c r="W82" s="72">
        <v>1.82</v>
      </c>
      <c r="X82" s="72">
        <v>2.93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59.21</v>
      </c>
      <c r="C85" s="72">
        <v>56.78</v>
      </c>
      <c r="D85" s="72">
        <v>54.35</v>
      </c>
      <c r="E85" s="72">
        <v>56.36</v>
      </c>
      <c r="F85" s="72">
        <v>58.94</v>
      </c>
      <c r="G85" s="72">
        <v>54.83</v>
      </c>
      <c r="H85" s="72">
        <v>57.33</v>
      </c>
      <c r="I85" s="72">
        <v>61.1</v>
      </c>
      <c r="J85" s="72">
        <v>63.47</v>
      </c>
      <c r="K85" s="72">
        <v>58.71</v>
      </c>
      <c r="L85" s="72">
        <v>62</v>
      </c>
      <c r="M85" s="72">
        <v>66.03</v>
      </c>
      <c r="N85" s="72">
        <v>68.25</v>
      </c>
      <c r="O85" s="72">
        <v>63.41</v>
      </c>
      <c r="P85" s="72">
        <v>66.72</v>
      </c>
      <c r="Q85" s="72">
        <v>68.64</v>
      </c>
      <c r="R85" s="72">
        <v>70.959999999999994</v>
      </c>
      <c r="S85" s="72">
        <v>65.430000000000007</v>
      </c>
      <c r="T85" s="72">
        <v>66.86</v>
      </c>
      <c r="U85" s="72">
        <v>68.95</v>
      </c>
      <c r="V85" s="72">
        <v>69.77</v>
      </c>
      <c r="W85" s="72">
        <v>66.099999999999994</v>
      </c>
      <c r="X85" s="72">
        <v>107.76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11815127</v>
      </c>
      <c r="C88" s="273">
        <v>14344165</v>
      </c>
      <c r="D88" s="273">
        <v>15848414</v>
      </c>
      <c r="E88" s="273">
        <v>16825696</v>
      </c>
      <c r="F88" s="273">
        <v>11500733</v>
      </c>
      <c r="G88" s="273">
        <v>11499918</v>
      </c>
      <c r="H88" s="273">
        <v>14519836</v>
      </c>
      <c r="I88" s="273">
        <v>17215036</v>
      </c>
      <c r="J88" s="273">
        <v>12127615</v>
      </c>
      <c r="K88" s="273">
        <v>13641623</v>
      </c>
      <c r="L88" s="273">
        <v>15214045</v>
      </c>
      <c r="M88" s="273">
        <v>19032309</v>
      </c>
      <c r="N88" s="273">
        <v>15007596</v>
      </c>
      <c r="O88" s="273">
        <v>15650631</v>
      </c>
      <c r="P88" s="273">
        <v>16143254</v>
      </c>
      <c r="Q88" s="273">
        <v>17434791</v>
      </c>
      <c r="R88" s="273">
        <v>13346779</v>
      </c>
      <c r="S88" s="273">
        <v>13593424</v>
      </c>
      <c r="T88" s="273">
        <v>14623143</v>
      </c>
      <c r="U88" s="273">
        <v>16556992</v>
      </c>
      <c r="V88" s="273">
        <v>11712276</v>
      </c>
      <c r="W88" s="273">
        <v>12646923</v>
      </c>
      <c r="X88" s="273">
        <v>15747168</v>
      </c>
    </row>
    <row r="89" spans="1:25" ht="14.25" thickBot="1" x14ac:dyDescent="0.3">
      <c r="A89" s="250" t="s">
        <v>4</v>
      </c>
      <c r="B89" s="275">
        <v>1529685</v>
      </c>
      <c r="C89" s="275">
        <v>1943263</v>
      </c>
      <c r="D89" s="275">
        <v>1797495</v>
      </c>
      <c r="E89" s="275">
        <v>1818165</v>
      </c>
      <c r="F89" s="275">
        <v>1321600</v>
      </c>
      <c r="G89" s="275">
        <v>1289087</v>
      </c>
      <c r="H89" s="275">
        <v>1580848</v>
      </c>
      <c r="I89" s="275">
        <v>1974437</v>
      </c>
      <c r="J89" s="275">
        <v>1381208</v>
      </c>
      <c r="K89" s="275">
        <v>1520089</v>
      </c>
      <c r="L89" s="275">
        <v>1680091</v>
      </c>
      <c r="M89" s="275">
        <v>2196764</v>
      </c>
      <c r="N89" s="275">
        <v>1631158</v>
      </c>
      <c r="O89" s="275">
        <v>1583691</v>
      </c>
      <c r="P89" s="275">
        <v>1650927</v>
      </c>
      <c r="Q89" s="275">
        <v>1802965</v>
      </c>
      <c r="R89" s="275">
        <v>1352928</v>
      </c>
      <c r="S89" s="275">
        <v>1364141</v>
      </c>
      <c r="T89" s="275">
        <v>1477823</v>
      </c>
      <c r="U89" s="275">
        <v>1657751</v>
      </c>
      <c r="V89" s="275">
        <v>1006958</v>
      </c>
      <c r="W89" s="275">
        <v>1089643</v>
      </c>
      <c r="X89" s="275">
        <v>1407627</v>
      </c>
    </row>
    <row r="90" spans="1:25" ht="14.25" thickBot="1" x14ac:dyDescent="0.3">
      <c r="A90" s="251" t="s">
        <v>5</v>
      </c>
      <c r="B90" s="273">
        <v>873932</v>
      </c>
      <c r="C90" s="273">
        <v>1255125</v>
      </c>
      <c r="D90" s="273">
        <v>1060706</v>
      </c>
      <c r="E90" s="273">
        <v>1101676</v>
      </c>
      <c r="F90" s="273">
        <v>769645</v>
      </c>
      <c r="G90" s="273">
        <v>696217</v>
      </c>
      <c r="H90" s="273">
        <v>932222</v>
      </c>
      <c r="I90" s="273">
        <v>1280201</v>
      </c>
      <c r="J90" s="273">
        <v>781440</v>
      </c>
      <c r="K90" s="273">
        <v>920678</v>
      </c>
      <c r="L90" s="273">
        <v>939899</v>
      </c>
      <c r="M90" s="273">
        <v>1245095</v>
      </c>
      <c r="N90" s="273">
        <v>1000512</v>
      </c>
      <c r="O90" s="273">
        <v>863597</v>
      </c>
      <c r="P90" s="273">
        <v>902328</v>
      </c>
      <c r="Q90" s="273">
        <v>1037721</v>
      </c>
      <c r="R90" s="273">
        <v>747306</v>
      </c>
      <c r="S90" s="273">
        <v>759759</v>
      </c>
      <c r="T90" s="273">
        <v>817124</v>
      </c>
      <c r="U90" s="273">
        <v>912223</v>
      </c>
      <c r="V90" s="273">
        <v>477531</v>
      </c>
      <c r="W90" s="273">
        <v>451258</v>
      </c>
      <c r="X90" s="273">
        <v>736193</v>
      </c>
    </row>
    <row r="91" spans="1:25" ht="14.25" thickBot="1" x14ac:dyDescent="0.3">
      <c r="A91" s="250" t="s">
        <v>6</v>
      </c>
      <c r="B91" s="275">
        <v>926045</v>
      </c>
      <c r="C91" s="275">
        <v>1368834</v>
      </c>
      <c r="D91" s="275">
        <v>1169151</v>
      </c>
      <c r="E91" s="275">
        <v>1135250</v>
      </c>
      <c r="F91" s="275">
        <v>933384</v>
      </c>
      <c r="G91" s="275">
        <v>826891</v>
      </c>
      <c r="H91" s="275">
        <v>1066468</v>
      </c>
      <c r="I91" s="275">
        <v>1406799</v>
      </c>
      <c r="J91" s="275">
        <v>957334</v>
      </c>
      <c r="K91" s="275">
        <v>1073755</v>
      </c>
      <c r="L91" s="275">
        <v>1109180</v>
      </c>
      <c r="M91" s="275">
        <v>1415095</v>
      </c>
      <c r="N91" s="275">
        <v>1233053</v>
      </c>
      <c r="O91" s="275">
        <v>1091864</v>
      </c>
      <c r="P91" s="275">
        <v>1092208</v>
      </c>
      <c r="Q91" s="275">
        <v>1264256</v>
      </c>
      <c r="R91" s="275">
        <v>893552</v>
      </c>
      <c r="S91" s="275">
        <v>895164</v>
      </c>
      <c r="T91" s="275">
        <v>995954</v>
      </c>
      <c r="U91" s="275">
        <v>1111565</v>
      </c>
      <c r="V91" s="275">
        <v>771772</v>
      </c>
      <c r="W91" s="275">
        <v>779688</v>
      </c>
      <c r="X91" s="275">
        <v>956267</v>
      </c>
    </row>
    <row r="92" spans="1:25" ht="14.25" thickBot="1" x14ac:dyDescent="0.3">
      <c r="A92" s="251" t="s">
        <v>7</v>
      </c>
      <c r="B92" s="273">
        <v>757721</v>
      </c>
      <c r="C92" s="273">
        <v>946914</v>
      </c>
      <c r="D92" s="273">
        <v>947528</v>
      </c>
      <c r="E92" s="273">
        <v>650449</v>
      </c>
      <c r="F92" s="273">
        <v>716944</v>
      </c>
      <c r="G92" s="273">
        <v>650024</v>
      </c>
      <c r="H92" s="273">
        <v>834820</v>
      </c>
      <c r="I92" s="273">
        <v>1033819</v>
      </c>
      <c r="J92" s="273">
        <v>755297</v>
      </c>
      <c r="K92" s="273">
        <v>748695</v>
      </c>
      <c r="L92" s="273">
        <v>863196</v>
      </c>
      <c r="M92" s="273">
        <v>1060001</v>
      </c>
      <c r="N92" s="273">
        <v>780775</v>
      </c>
      <c r="O92" s="273">
        <v>744635</v>
      </c>
      <c r="P92" s="273">
        <v>796607</v>
      </c>
      <c r="Q92" s="273">
        <v>890711</v>
      </c>
      <c r="R92" s="273">
        <v>643871</v>
      </c>
      <c r="S92" s="273">
        <v>643861</v>
      </c>
      <c r="T92" s="273">
        <v>717087</v>
      </c>
      <c r="U92" s="273">
        <v>799162</v>
      </c>
      <c r="V92" s="273">
        <v>555676</v>
      </c>
      <c r="W92" s="273">
        <v>561375</v>
      </c>
      <c r="X92" s="273">
        <v>688512</v>
      </c>
    </row>
    <row r="93" spans="1:25" ht="26.25" thickBot="1" x14ac:dyDescent="0.3">
      <c r="A93" s="252" t="s">
        <v>8</v>
      </c>
      <c r="B93" s="276">
        <v>757721</v>
      </c>
      <c r="C93" s="276">
        <v>946914</v>
      </c>
      <c r="D93" s="276">
        <v>947528</v>
      </c>
      <c r="E93" s="276">
        <v>650449</v>
      </c>
      <c r="F93" s="276">
        <v>716944</v>
      </c>
      <c r="G93" s="276">
        <v>650024</v>
      </c>
      <c r="H93" s="276">
        <v>834820</v>
      </c>
      <c r="I93" s="276">
        <v>1033819</v>
      </c>
      <c r="J93" s="276">
        <v>756232</v>
      </c>
      <c r="K93" s="276">
        <v>753778</v>
      </c>
      <c r="L93" s="276">
        <v>861997</v>
      </c>
      <c r="M93" s="276">
        <v>1014348</v>
      </c>
      <c r="N93" s="276">
        <v>758186</v>
      </c>
      <c r="O93" s="276">
        <v>721792</v>
      </c>
      <c r="P93" s="276">
        <v>772928</v>
      </c>
      <c r="Q93" s="276">
        <v>860464</v>
      </c>
      <c r="R93" s="276">
        <v>642201</v>
      </c>
      <c r="S93" s="276">
        <v>643861</v>
      </c>
      <c r="T93" s="276">
        <v>717087</v>
      </c>
      <c r="U93" s="276">
        <v>799162</v>
      </c>
      <c r="V93" s="276">
        <v>555676</v>
      </c>
      <c r="W93" s="276">
        <v>561375</v>
      </c>
      <c r="X93" s="276">
        <v>672669</v>
      </c>
    </row>
    <row r="94" spans="1:25" x14ac:dyDescent="0.25">
      <c r="A94" s="233" t="s">
        <v>365</v>
      </c>
      <c r="B94" s="253">
        <f>IF(B91="","",B91-B90)</f>
        <v>52113</v>
      </c>
      <c r="C94" s="253">
        <f>IF(C91="","",C91-C90)</f>
        <v>113709</v>
      </c>
      <c r="D94" s="253">
        <f t="shared" ref="D94:Y94" si="9">IF(D91="","",D91-D90)</f>
        <v>108445</v>
      </c>
      <c r="E94" s="253">
        <f t="shared" si="9"/>
        <v>33574</v>
      </c>
      <c r="F94" s="253">
        <f t="shared" si="9"/>
        <v>163739</v>
      </c>
      <c r="G94" s="253">
        <f t="shared" si="9"/>
        <v>130674</v>
      </c>
      <c r="H94" s="253">
        <f t="shared" si="9"/>
        <v>134246</v>
      </c>
      <c r="I94" s="253">
        <f t="shared" si="9"/>
        <v>126598</v>
      </c>
      <c r="J94" s="253">
        <f t="shared" si="9"/>
        <v>175894</v>
      </c>
      <c r="K94" s="253">
        <f t="shared" si="9"/>
        <v>153077</v>
      </c>
      <c r="L94" s="253">
        <f t="shared" si="9"/>
        <v>169281</v>
      </c>
      <c r="M94" s="253">
        <f t="shared" si="9"/>
        <v>170000</v>
      </c>
      <c r="N94" s="253">
        <f t="shared" si="9"/>
        <v>232541</v>
      </c>
      <c r="O94" s="253">
        <f t="shared" si="9"/>
        <v>228267</v>
      </c>
      <c r="P94" s="253">
        <f t="shared" si="9"/>
        <v>189880</v>
      </c>
      <c r="Q94" s="253">
        <f t="shared" si="9"/>
        <v>226535</v>
      </c>
      <c r="R94" s="253">
        <f t="shared" si="9"/>
        <v>146246</v>
      </c>
      <c r="S94" s="253">
        <f t="shared" si="9"/>
        <v>135405</v>
      </c>
      <c r="T94" s="253">
        <f t="shared" si="9"/>
        <v>178830</v>
      </c>
      <c r="U94" s="253">
        <f t="shared" si="9"/>
        <v>199342</v>
      </c>
      <c r="V94" s="253">
        <f t="shared" si="9"/>
        <v>294241</v>
      </c>
      <c r="W94" s="253">
        <f t="shared" si="9"/>
        <v>328430</v>
      </c>
      <c r="X94" s="253">
        <f t="shared" si="9"/>
        <v>220074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58833402</v>
      </c>
      <c r="C97" s="273">
        <v>54735523</v>
      </c>
      <c r="D97" s="273">
        <v>60015592</v>
      </c>
      <c r="E97" s="273">
        <v>64236272</v>
      </c>
      <c r="F97" s="273">
        <v>58120338</v>
      </c>
    </row>
    <row r="98" spans="1:24" ht="14.25" thickBot="1" x14ac:dyDescent="0.3">
      <c r="A98" s="225" t="s">
        <v>4</v>
      </c>
      <c r="B98" s="275">
        <v>7088608</v>
      </c>
      <c r="C98" s="275">
        <v>6165972</v>
      </c>
      <c r="D98" s="275">
        <v>6778152</v>
      </c>
      <c r="E98" s="275">
        <v>6668741</v>
      </c>
      <c r="F98" s="275">
        <v>5852643</v>
      </c>
    </row>
    <row r="99" spans="1:24" ht="14.25" thickBot="1" x14ac:dyDescent="0.3">
      <c r="A99" s="224" t="s">
        <v>5</v>
      </c>
      <c r="B99" s="273">
        <v>4291439</v>
      </c>
      <c r="C99" s="273">
        <v>3678285</v>
      </c>
      <c r="D99" s="273">
        <v>3887112</v>
      </c>
      <c r="E99" s="273">
        <v>3804158</v>
      </c>
      <c r="F99" s="273">
        <v>3236412</v>
      </c>
    </row>
    <row r="100" spans="1:24" ht="14.25" thickBot="1" x14ac:dyDescent="0.3">
      <c r="A100" s="225" t="s">
        <v>6</v>
      </c>
      <c r="B100" s="275">
        <v>4599280</v>
      </c>
      <c r="C100" s="275">
        <v>4233542</v>
      </c>
      <c r="D100" s="275">
        <v>4555364</v>
      </c>
      <c r="E100" s="275">
        <v>4681381</v>
      </c>
      <c r="F100" s="275">
        <v>3896235</v>
      </c>
    </row>
    <row r="101" spans="1:24" ht="14.25" thickBot="1" x14ac:dyDescent="0.3">
      <c r="A101" s="224" t="s">
        <v>7</v>
      </c>
      <c r="B101" s="273">
        <v>3302612</v>
      </c>
      <c r="C101" s="273">
        <v>3235607</v>
      </c>
      <c r="D101" s="273">
        <v>3427189</v>
      </c>
      <c r="E101" s="273">
        <v>3212728</v>
      </c>
      <c r="F101" s="273">
        <v>2803981</v>
      </c>
    </row>
    <row r="102" spans="1:24" ht="14.25" thickBot="1" x14ac:dyDescent="0.3">
      <c r="A102" s="227" t="s">
        <v>8</v>
      </c>
      <c r="B102" s="276">
        <v>3302612</v>
      </c>
      <c r="C102" s="276">
        <v>3235607</v>
      </c>
      <c r="D102" s="276">
        <v>3386355</v>
      </c>
      <c r="E102" s="276">
        <v>3113370</v>
      </c>
      <c r="F102" s="276">
        <v>2802311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0.98808527921862499</v>
      </c>
      <c r="E103" s="234">
        <f>IF(OR(E102="",E102="無"),"",E102/E101)</f>
        <v>0.96907363461830565</v>
      </c>
      <c r="F103" s="234">
        <f>IF(OR(F102="",F102="無"),"",F102/F101)</f>
        <v>0.99940441821824044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9778904</v>
      </c>
      <c r="C106" s="273">
        <v>11901629</v>
      </c>
      <c r="D106" s="273">
        <v>11219343</v>
      </c>
      <c r="E106" s="273">
        <v>8216743</v>
      </c>
      <c r="F106" s="273">
        <v>10180103</v>
      </c>
      <c r="G106" s="273">
        <v>7380893</v>
      </c>
      <c r="H106" s="273">
        <v>6939409</v>
      </c>
      <c r="I106" s="273">
        <v>7872146</v>
      </c>
      <c r="J106" s="273">
        <v>12117535</v>
      </c>
      <c r="K106" s="273">
        <v>9489200</v>
      </c>
      <c r="L106" s="273">
        <v>10806119</v>
      </c>
      <c r="M106" s="273">
        <v>10165656</v>
      </c>
      <c r="N106" s="273">
        <v>14102722</v>
      </c>
      <c r="O106" s="273">
        <v>13639697</v>
      </c>
      <c r="P106" s="273">
        <v>12114614</v>
      </c>
      <c r="Q106" s="273">
        <v>8341230</v>
      </c>
      <c r="R106" s="273">
        <v>8482449</v>
      </c>
      <c r="S106" s="273">
        <v>8373970</v>
      </c>
      <c r="T106" s="273">
        <v>7181879</v>
      </c>
      <c r="U106" s="273">
        <v>8652408</v>
      </c>
      <c r="V106" s="273">
        <v>7679504</v>
      </c>
      <c r="W106" s="273">
        <v>7347639</v>
      </c>
      <c r="X106" s="273">
        <v>7905274</v>
      </c>
    </row>
    <row r="107" spans="1:24" ht="14.25" thickBot="1" x14ac:dyDescent="0.3">
      <c r="A107" s="225" t="s">
        <v>22</v>
      </c>
      <c r="B107" s="275">
        <v>622313</v>
      </c>
      <c r="C107" s="275">
        <v>1081317</v>
      </c>
      <c r="D107" s="275">
        <v>508367</v>
      </c>
      <c r="E107" s="275">
        <v>498669</v>
      </c>
      <c r="F107" s="275">
        <v>3541167</v>
      </c>
      <c r="G107" s="275">
        <v>5518330</v>
      </c>
      <c r="H107" s="275">
        <v>4602842</v>
      </c>
      <c r="I107" s="275">
        <v>2551496</v>
      </c>
      <c r="J107" s="275">
        <v>2818234</v>
      </c>
      <c r="K107" s="275">
        <v>6813123</v>
      </c>
      <c r="L107" s="275">
        <v>4606173</v>
      </c>
      <c r="M107" s="275">
        <v>4493127</v>
      </c>
      <c r="N107" s="275">
        <v>3116664</v>
      </c>
      <c r="O107" s="275">
        <v>5443600</v>
      </c>
      <c r="P107" s="275">
        <v>4824522</v>
      </c>
      <c r="Q107" s="275">
        <v>6666157</v>
      </c>
      <c r="R107" s="275">
        <v>6730492</v>
      </c>
      <c r="S107" s="275">
        <v>7323705</v>
      </c>
      <c r="T107" s="275">
        <v>7819361</v>
      </c>
      <c r="U107" s="275">
        <v>7967773</v>
      </c>
      <c r="V107" s="275">
        <v>8233503</v>
      </c>
      <c r="W107" s="275">
        <v>11603786</v>
      </c>
      <c r="X107" s="275">
        <v>7635886</v>
      </c>
    </row>
    <row r="108" spans="1:24" ht="14.25" thickBot="1" x14ac:dyDescent="0.3">
      <c r="A108" s="224" t="s">
        <v>263</v>
      </c>
      <c r="B108" s="273">
        <v>9824453</v>
      </c>
      <c r="C108" s="273">
        <v>11119813</v>
      </c>
      <c r="D108" s="273">
        <v>11267130</v>
      </c>
      <c r="E108" s="273">
        <v>13537414</v>
      </c>
      <c r="F108" s="273">
        <v>9472641</v>
      </c>
      <c r="G108" s="273">
        <v>9628996</v>
      </c>
      <c r="H108" s="273">
        <v>12390225</v>
      </c>
      <c r="I108" s="273">
        <v>16092772</v>
      </c>
      <c r="J108" s="273">
        <v>9906620</v>
      </c>
      <c r="K108" s="273">
        <v>11231738</v>
      </c>
      <c r="L108" s="273">
        <v>13099280</v>
      </c>
      <c r="M108" s="273">
        <v>15296473</v>
      </c>
      <c r="N108" s="273">
        <v>10391759</v>
      </c>
      <c r="O108" s="273">
        <v>10740949</v>
      </c>
      <c r="P108" s="273">
        <v>11792116</v>
      </c>
      <c r="Q108" s="273">
        <v>11293757</v>
      </c>
      <c r="R108" s="273">
        <v>8673246</v>
      </c>
      <c r="S108" s="273">
        <v>9615018</v>
      </c>
      <c r="T108" s="273">
        <v>11197145</v>
      </c>
      <c r="U108" s="273">
        <v>12911442</v>
      </c>
      <c r="V108" s="273">
        <v>8984999</v>
      </c>
      <c r="W108" s="273">
        <v>10346915</v>
      </c>
      <c r="X108" s="273">
        <v>10859518</v>
      </c>
    </row>
    <row r="109" spans="1:24" ht="14.25" thickBot="1" x14ac:dyDescent="0.3">
      <c r="A109" s="225" t="s">
        <v>264</v>
      </c>
      <c r="B109" s="275">
        <v>7383081</v>
      </c>
      <c r="C109" s="275">
        <v>8653861</v>
      </c>
      <c r="D109" s="275">
        <v>10184211</v>
      </c>
      <c r="E109" s="275">
        <v>6476717</v>
      </c>
      <c r="F109" s="275">
        <v>6116786</v>
      </c>
      <c r="G109" s="275">
        <v>5879971</v>
      </c>
      <c r="H109" s="275">
        <v>7031844</v>
      </c>
      <c r="I109" s="275">
        <v>6400175</v>
      </c>
      <c r="J109" s="275">
        <v>5995644</v>
      </c>
      <c r="K109" s="275">
        <v>5392230</v>
      </c>
      <c r="L109" s="275">
        <v>8269251</v>
      </c>
      <c r="M109" s="275">
        <v>8112004</v>
      </c>
      <c r="N109" s="275">
        <v>8310422</v>
      </c>
      <c r="O109" s="275">
        <v>7382052</v>
      </c>
      <c r="P109" s="275">
        <v>9556925</v>
      </c>
      <c r="Q109" s="275">
        <v>8693488</v>
      </c>
      <c r="R109" s="275">
        <v>8008581</v>
      </c>
      <c r="S109" s="275">
        <v>4926284</v>
      </c>
      <c r="T109" s="275">
        <v>6801503</v>
      </c>
      <c r="U109" s="275">
        <v>6493590</v>
      </c>
      <c r="V109" s="275">
        <v>7526618</v>
      </c>
      <c r="W109" s="275">
        <v>9063019</v>
      </c>
      <c r="X109" s="275">
        <v>12115020</v>
      </c>
    </row>
    <row r="110" spans="1:24" ht="14.25" thickBot="1" x14ac:dyDescent="0.3">
      <c r="A110" s="224" t="s">
        <v>23</v>
      </c>
      <c r="B110" s="273">
        <v>769199</v>
      </c>
      <c r="C110" s="273">
        <v>389887</v>
      </c>
      <c r="D110" s="273">
        <v>572505</v>
      </c>
      <c r="E110" s="273">
        <v>390714</v>
      </c>
      <c r="F110" s="273">
        <v>290294</v>
      </c>
      <c r="G110" s="273">
        <v>321568</v>
      </c>
      <c r="H110" s="273">
        <v>331012</v>
      </c>
      <c r="I110" s="273">
        <v>292610</v>
      </c>
      <c r="J110" s="273">
        <v>341309</v>
      </c>
      <c r="K110" s="273">
        <v>369465</v>
      </c>
      <c r="L110" s="273">
        <v>505595</v>
      </c>
      <c r="M110" s="273">
        <v>454193</v>
      </c>
      <c r="N110" s="273">
        <v>376988</v>
      </c>
      <c r="O110" s="273">
        <v>320751</v>
      </c>
      <c r="P110" s="273">
        <v>464231</v>
      </c>
      <c r="Q110" s="273">
        <v>529347</v>
      </c>
      <c r="R110" s="273">
        <v>318362</v>
      </c>
      <c r="S110" s="273">
        <v>382102</v>
      </c>
      <c r="T110" s="273">
        <v>484875</v>
      </c>
      <c r="U110" s="273">
        <v>295153</v>
      </c>
      <c r="V110" s="273">
        <v>381695</v>
      </c>
      <c r="W110" s="273">
        <v>421212</v>
      </c>
      <c r="X110" s="273">
        <v>462090</v>
      </c>
    </row>
    <row r="111" spans="1:24" ht="14.25" thickBot="1" x14ac:dyDescent="0.3">
      <c r="A111" s="225" t="s">
        <v>24</v>
      </c>
      <c r="B111" s="275">
        <v>28377950</v>
      </c>
      <c r="C111" s="275">
        <v>33146507</v>
      </c>
      <c r="D111" s="275">
        <v>33751556</v>
      </c>
      <c r="E111" s="275">
        <v>29120257</v>
      </c>
      <c r="F111" s="275">
        <v>29600991</v>
      </c>
      <c r="G111" s="275">
        <v>28729758</v>
      </c>
      <c r="H111" s="275">
        <v>31295332</v>
      </c>
      <c r="I111" s="275">
        <v>33209199</v>
      </c>
      <c r="J111" s="275">
        <v>31179342</v>
      </c>
      <c r="K111" s="275">
        <v>33295756</v>
      </c>
      <c r="L111" s="275">
        <v>37286418</v>
      </c>
      <c r="M111" s="275">
        <v>38521453</v>
      </c>
      <c r="N111" s="275">
        <v>36298555</v>
      </c>
      <c r="O111" s="275">
        <v>37527049</v>
      </c>
      <c r="P111" s="275">
        <v>38752408</v>
      </c>
      <c r="Q111" s="275">
        <v>35523979</v>
      </c>
      <c r="R111" s="275">
        <v>32213130</v>
      </c>
      <c r="S111" s="275">
        <v>30621079</v>
      </c>
      <c r="T111" s="275">
        <v>33484763</v>
      </c>
      <c r="U111" s="275">
        <v>36320366</v>
      </c>
      <c r="V111" s="275">
        <v>32806319</v>
      </c>
      <c r="W111" s="275">
        <v>38782571</v>
      </c>
      <c r="X111" s="275">
        <v>38977788</v>
      </c>
    </row>
    <row r="112" spans="1:24" ht="14.25" thickBot="1" x14ac:dyDescent="0.3">
      <c r="A112" s="224" t="s">
        <v>25</v>
      </c>
      <c r="B112" s="273">
        <v>160212</v>
      </c>
      <c r="C112" s="273">
        <v>160937</v>
      </c>
      <c r="D112" s="273">
        <v>158407</v>
      </c>
      <c r="E112" s="273">
        <v>155978</v>
      </c>
      <c r="F112" s="273">
        <v>136073</v>
      </c>
      <c r="G112" s="273">
        <v>126919</v>
      </c>
      <c r="H112" s="273">
        <v>126919</v>
      </c>
      <c r="I112" s="273">
        <v>94667</v>
      </c>
      <c r="J112" s="273">
        <v>94667</v>
      </c>
      <c r="K112" s="273">
        <v>92018</v>
      </c>
      <c r="L112" s="273">
        <v>92018</v>
      </c>
      <c r="M112" s="273">
        <v>92018</v>
      </c>
      <c r="N112" s="273">
        <v>97768</v>
      </c>
      <c r="O112" s="273">
        <v>97768</v>
      </c>
      <c r="P112" s="273">
        <v>97768</v>
      </c>
      <c r="Q112" s="273">
        <v>94275</v>
      </c>
      <c r="R112" s="273">
        <v>102075</v>
      </c>
      <c r="S112" s="273">
        <v>39047</v>
      </c>
      <c r="T112" s="273">
        <v>39047</v>
      </c>
      <c r="U112" s="273">
        <v>144047</v>
      </c>
      <c r="V112" s="273">
        <v>144047</v>
      </c>
      <c r="W112" s="273">
        <v>144047</v>
      </c>
      <c r="X112" s="273">
        <v>144047</v>
      </c>
    </row>
    <row r="113" spans="1:24" ht="14.25" thickBot="1" x14ac:dyDescent="0.3">
      <c r="A113" s="225" t="s">
        <v>26</v>
      </c>
      <c r="B113" s="275">
        <v>5158367</v>
      </c>
      <c r="C113" s="275">
        <v>5441015</v>
      </c>
      <c r="D113" s="275">
        <v>5697541</v>
      </c>
      <c r="E113" s="275">
        <v>5854349</v>
      </c>
      <c r="F113" s="275">
        <v>5850843</v>
      </c>
      <c r="G113" s="275">
        <v>5953321</v>
      </c>
      <c r="H113" s="275">
        <v>5961899</v>
      </c>
      <c r="I113" s="275">
        <v>6519846</v>
      </c>
      <c r="J113" s="275">
        <v>6437428</v>
      </c>
      <c r="K113" s="275">
        <v>6095045</v>
      </c>
      <c r="L113" s="275">
        <v>6035174</v>
      </c>
      <c r="M113" s="275">
        <v>6273454</v>
      </c>
      <c r="N113" s="275">
        <v>6198798</v>
      </c>
      <c r="O113" s="275">
        <v>6127359</v>
      </c>
      <c r="P113" s="275">
        <v>6345823</v>
      </c>
      <c r="Q113" s="275">
        <v>6308842</v>
      </c>
      <c r="R113" s="275">
        <v>6214544</v>
      </c>
      <c r="S113" s="275">
        <v>6069296</v>
      </c>
      <c r="T113" s="275">
        <v>5705960</v>
      </c>
      <c r="U113" s="275">
        <v>5269390</v>
      </c>
      <c r="V113" s="275">
        <v>5161117</v>
      </c>
      <c r="W113" s="275">
        <v>6347827</v>
      </c>
      <c r="X113" s="275">
        <v>6392744</v>
      </c>
    </row>
    <row r="114" spans="1:24" ht="14.25" thickBot="1" x14ac:dyDescent="0.3">
      <c r="A114" s="224" t="s">
        <v>27</v>
      </c>
      <c r="B114" s="273">
        <v>230642</v>
      </c>
      <c r="C114" s="273">
        <v>243513</v>
      </c>
      <c r="D114" s="273">
        <v>280786</v>
      </c>
      <c r="E114" s="273">
        <v>251483</v>
      </c>
      <c r="F114" s="273">
        <v>855427</v>
      </c>
      <c r="G114" s="273">
        <v>1153485</v>
      </c>
      <c r="H114" s="273">
        <v>1157562</v>
      </c>
      <c r="I114" s="273">
        <v>634060</v>
      </c>
      <c r="J114" s="273">
        <v>602180</v>
      </c>
      <c r="K114" s="273">
        <v>835243</v>
      </c>
      <c r="L114" s="273">
        <v>697883</v>
      </c>
      <c r="M114" s="273">
        <v>866164</v>
      </c>
      <c r="N114" s="273">
        <v>918380</v>
      </c>
      <c r="O114" s="273">
        <v>1015776</v>
      </c>
      <c r="P114" s="273">
        <v>1503892</v>
      </c>
      <c r="Q114" s="273">
        <v>1940819</v>
      </c>
      <c r="R114" s="273">
        <v>2072902</v>
      </c>
      <c r="S114" s="273">
        <v>1984592</v>
      </c>
      <c r="T114" s="273">
        <v>2267031</v>
      </c>
      <c r="U114" s="273">
        <v>2500323</v>
      </c>
      <c r="V114" s="273">
        <v>1898733</v>
      </c>
      <c r="W114" s="273">
        <v>1125474</v>
      </c>
      <c r="X114" s="273">
        <v>1293661</v>
      </c>
    </row>
    <row r="115" spans="1:24" ht="14.25" thickBot="1" x14ac:dyDescent="0.3">
      <c r="A115" s="225" t="s">
        <v>265</v>
      </c>
      <c r="B115" s="276">
        <v>33927171</v>
      </c>
      <c r="C115" s="276">
        <v>38991972</v>
      </c>
      <c r="D115" s="276">
        <v>39888290</v>
      </c>
      <c r="E115" s="276">
        <v>35382067</v>
      </c>
      <c r="F115" s="276">
        <v>36443334</v>
      </c>
      <c r="G115" s="276">
        <v>35963483</v>
      </c>
      <c r="H115" s="276">
        <v>38541712</v>
      </c>
      <c r="I115" s="276">
        <v>40457772</v>
      </c>
      <c r="J115" s="276">
        <v>38313617</v>
      </c>
      <c r="K115" s="276">
        <v>40318062</v>
      </c>
      <c r="L115" s="276">
        <v>44111493</v>
      </c>
      <c r="M115" s="276">
        <v>45753089</v>
      </c>
      <c r="N115" s="276">
        <v>43513501</v>
      </c>
      <c r="O115" s="276">
        <v>44767952</v>
      </c>
      <c r="P115" s="276">
        <v>46699891</v>
      </c>
      <c r="Q115" s="276">
        <v>43867915</v>
      </c>
      <c r="R115" s="276">
        <v>40602651</v>
      </c>
      <c r="S115" s="276">
        <v>38714014</v>
      </c>
      <c r="T115" s="276">
        <v>41496801</v>
      </c>
      <c r="U115" s="276">
        <v>44234126</v>
      </c>
      <c r="V115" s="276">
        <v>40010216</v>
      </c>
      <c r="W115" s="276">
        <v>46399919</v>
      </c>
      <c r="X115" s="276">
        <v>46808240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4124415</v>
      </c>
      <c r="C118" s="273">
        <v>4973386</v>
      </c>
      <c r="D118" s="273">
        <v>5454176</v>
      </c>
      <c r="E118" s="273">
        <v>3684011</v>
      </c>
      <c r="F118" s="273">
        <v>5162876</v>
      </c>
      <c r="G118" s="273">
        <v>3663964</v>
      </c>
      <c r="H118" s="273">
        <v>4449538</v>
      </c>
      <c r="I118" s="273">
        <v>3189137</v>
      </c>
      <c r="J118" s="273">
        <v>3372289</v>
      </c>
      <c r="K118" s="273">
        <v>4189496</v>
      </c>
      <c r="L118" s="273">
        <v>3264596</v>
      </c>
      <c r="M118" s="273">
        <v>2692739</v>
      </c>
      <c r="N118" s="273">
        <v>3451866</v>
      </c>
      <c r="O118" s="273">
        <v>4640945</v>
      </c>
      <c r="P118" s="273">
        <v>3759666</v>
      </c>
      <c r="Q118" s="273">
        <v>1811516</v>
      </c>
      <c r="R118" s="273">
        <v>1119872</v>
      </c>
      <c r="S118" s="273">
        <v>1120126</v>
      </c>
      <c r="T118" s="273">
        <v>1905900</v>
      </c>
      <c r="U118" s="273">
        <v>2441329</v>
      </c>
      <c r="V118" s="273">
        <v>1385469</v>
      </c>
      <c r="W118" s="273">
        <v>4700718</v>
      </c>
      <c r="X118" s="273">
        <v>3967771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8753140</v>
      </c>
      <c r="C120" s="273">
        <v>11832389</v>
      </c>
      <c r="D120" s="273">
        <v>12580157</v>
      </c>
      <c r="E120" s="273">
        <v>10088012</v>
      </c>
      <c r="F120" s="273">
        <v>8376286</v>
      </c>
      <c r="G120" s="273">
        <v>8745535</v>
      </c>
      <c r="H120" s="273">
        <v>11895983</v>
      </c>
      <c r="I120" s="273">
        <v>13213610</v>
      </c>
      <c r="J120" s="273">
        <v>8794503</v>
      </c>
      <c r="K120" s="273">
        <v>9185398</v>
      </c>
      <c r="L120" s="273">
        <v>14213333</v>
      </c>
      <c r="M120" s="273">
        <v>14903695</v>
      </c>
      <c r="N120" s="273">
        <v>10959384</v>
      </c>
      <c r="O120" s="273">
        <v>10555652</v>
      </c>
      <c r="P120" s="273">
        <v>13978642</v>
      </c>
      <c r="Q120" s="273">
        <v>11517351</v>
      </c>
      <c r="R120" s="273">
        <v>9519226</v>
      </c>
      <c r="S120" s="273">
        <v>8213401</v>
      </c>
      <c r="T120" s="273">
        <v>12048514</v>
      </c>
      <c r="U120" s="273">
        <v>12639760</v>
      </c>
      <c r="V120" s="273">
        <v>10572245</v>
      </c>
      <c r="W120" s="273">
        <v>13409737</v>
      </c>
      <c r="X120" s="273">
        <v>16116353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3725669</v>
      </c>
      <c r="C123" s="275">
        <v>5714288</v>
      </c>
      <c r="D123" s="275">
        <v>4317828</v>
      </c>
      <c r="E123" s="275">
        <v>3810376</v>
      </c>
      <c r="F123" s="275">
        <v>4167703</v>
      </c>
      <c r="G123" s="275">
        <v>6063345</v>
      </c>
      <c r="H123" s="275">
        <v>3939155</v>
      </c>
      <c r="I123" s="275">
        <v>4550486</v>
      </c>
      <c r="J123" s="275">
        <v>5899206</v>
      </c>
      <c r="K123" s="275">
        <v>8134126</v>
      </c>
      <c r="L123" s="275">
        <v>6794027</v>
      </c>
      <c r="M123" s="275">
        <v>6842170</v>
      </c>
      <c r="N123" s="275">
        <v>7006394</v>
      </c>
      <c r="O123" s="275">
        <v>8809572</v>
      </c>
      <c r="P123" s="275">
        <v>7182028</v>
      </c>
      <c r="Q123" s="275">
        <v>8264637</v>
      </c>
      <c r="R123" s="275">
        <v>7063227</v>
      </c>
      <c r="S123" s="275">
        <v>8369402</v>
      </c>
      <c r="T123" s="275">
        <v>6083641</v>
      </c>
      <c r="U123" s="275">
        <v>7147666</v>
      </c>
      <c r="V123" s="275">
        <v>5999642</v>
      </c>
      <c r="W123" s="275">
        <v>7364784</v>
      </c>
      <c r="X123" s="275">
        <v>6016748</v>
      </c>
    </row>
    <row r="124" spans="1:24" ht="14.25" thickBot="1" x14ac:dyDescent="0.3">
      <c r="A124" s="224" t="s">
        <v>268</v>
      </c>
      <c r="B124" s="273">
        <v>16603224</v>
      </c>
      <c r="C124" s="273">
        <v>22520063</v>
      </c>
      <c r="D124" s="273">
        <v>22352161</v>
      </c>
      <c r="E124" s="273">
        <v>17582399</v>
      </c>
      <c r="F124" s="273">
        <v>17706865</v>
      </c>
      <c r="G124" s="273">
        <v>18472844</v>
      </c>
      <c r="H124" s="273">
        <v>20284676</v>
      </c>
      <c r="I124" s="273">
        <v>20953233</v>
      </c>
      <c r="J124" s="273">
        <v>18065998</v>
      </c>
      <c r="K124" s="273">
        <v>21509020</v>
      </c>
      <c r="L124" s="273">
        <v>24271956</v>
      </c>
      <c r="M124" s="273">
        <v>24438604</v>
      </c>
      <c r="N124" s="273">
        <v>21417644</v>
      </c>
      <c r="O124" s="273">
        <v>24006169</v>
      </c>
      <c r="P124" s="273">
        <v>24920336</v>
      </c>
      <c r="Q124" s="273">
        <v>21593504</v>
      </c>
      <c r="R124" s="273">
        <v>17702325</v>
      </c>
      <c r="S124" s="273">
        <v>17702929</v>
      </c>
      <c r="T124" s="273">
        <v>20038055</v>
      </c>
      <c r="U124" s="273">
        <v>22228755</v>
      </c>
      <c r="V124" s="273">
        <v>17957356</v>
      </c>
      <c r="W124" s="273">
        <v>25475239</v>
      </c>
      <c r="X124" s="273">
        <v>26100872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565703</v>
      </c>
      <c r="G125" s="275">
        <v>586091</v>
      </c>
      <c r="H125" s="275">
        <v>583135</v>
      </c>
      <c r="I125" s="275">
        <v>619352</v>
      </c>
      <c r="J125" s="275">
        <v>631719</v>
      </c>
      <c r="K125" s="275">
        <v>647728</v>
      </c>
      <c r="L125" s="275">
        <v>664521</v>
      </c>
      <c r="M125" s="275">
        <v>846911</v>
      </c>
      <c r="N125" s="275">
        <v>936760</v>
      </c>
      <c r="O125" s="275">
        <v>1077252</v>
      </c>
      <c r="P125" s="275">
        <v>972902</v>
      </c>
      <c r="Q125" s="275">
        <v>850910</v>
      </c>
      <c r="R125" s="275">
        <v>1025189</v>
      </c>
      <c r="S125" s="275">
        <v>839530</v>
      </c>
      <c r="T125" s="275">
        <v>846318</v>
      </c>
      <c r="U125" s="275">
        <v>747784</v>
      </c>
      <c r="V125" s="275">
        <v>543135</v>
      </c>
      <c r="W125" s="275">
        <v>545994</v>
      </c>
      <c r="X125" s="275">
        <v>574959</v>
      </c>
    </row>
    <row r="126" spans="1:24" ht="14.25" thickBot="1" x14ac:dyDescent="0.3">
      <c r="A126" s="224" t="s">
        <v>33</v>
      </c>
      <c r="B126" s="273">
        <v>728630</v>
      </c>
      <c r="C126" s="273">
        <v>559209</v>
      </c>
      <c r="D126" s="273">
        <v>780895</v>
      </c>
      <c r="E126" s="273">
        <v>424161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17331854</v>
      </c>
      <c r="C127" s="275">
        <v>23079272</v>
      </c>
      <c r="D127" s="275">
        <v>23133056</v>
      </c>
      <c r="E127" s="275">
        <v>18006560</v>
      </c>
      <c r="F127" s="275">
        <v>18272568</v>
      </c>
      <c r="G127" s="275">
        <v>19058935</v>
      </c>
      <c r="H127" s="275">
        <v>20867811</v>
      </c>
      <c r="I127" s="275">
        <v>21572585</v>
      </c>
      <c r="J127" s="275">
        <v>18697717</v>
      </c>
      <c r="K127" s="275">
        <v>22156748</v>
      </c>
      <c r="L127" s="275">
        <v>24936477</v>
      </c>
      <c r="M127" s="275">
        <v>25285515</v>
      </c>
      <c r="N127" s="275">
        <v>22354404</v>
      </c>
      <c r="O127" s="275">
        <v>25083421</v>
      </c>
      <c r="P127" s="275">
        <v>25893238</v>
      </c>
      <c r="Q127" s="275">
        <v>22444414</v>
      </c>
      <c r="R127" s="275">
        <v>18727514</v>
      </c>
      <c r="S127" s="275">
        <v>18542459</v>
      </c>
      <c r="T127" s="275">
        <v>20884373</v>
      </c>
      <c r="U127" s="275">
        <v>22976539</v>
      </c>
      <c r="V127" s="275">
        <v>18500491</v>
      </c>
      <c r="W127" s="275">
        <v>26021233</v>
      </c>
      <c r="X127" s="275">
        <v>26675831</v>
      </c>
    </row>
    <row r="128" spans="1:24" ht="14.25" thickBot="1" x14ac:dyDescent="0.3">
      <c r="A128" s="224" t="s">
        <v>34</v>
      </c>
      <c r="B128" s="273">
        <v>16595317</v>
      </c>
      <c r="C128" s="273">
        <v>15912700</v>
      </c>
      <c r="D128" s="273">
        <v>16755234</v>
      </c>
      <c r="E128" s="273">
        <v>17375507</v>
      </c>
      <c r="F128" s="273">
        <v>18170766</v>
      </c>
      <c r="G128" s="273">
        <v>16904548</v>
      </c>
      <c r="H128" s="273">
        <v>17673901</v>
      </c>
      <c r="I128" s="273">
        <v>18885187</v>
      </c>
      <c r="J128" s="273">
        <v>19615900</v>
      </c>
      <c r="K128" s="273">
        <v>18161314</v>
      </c>
      <c r="L128" s="273">
        <v>19175016</v>
      </c>
      <c r="M128" s="273">
        <v>20467574</v>
      </c>
      <c r="N128" s="273">
        <v>21159097</v>
      </c>
      <c r="O128" s="273">
        <v>19684531</v>
      </c>
      <c r="P128" s="273">
        <v>20806653</v>
      </c>
      <c r="Q128" s="273">
        <v>21423501</v>
      </c>
      <c r="R128" s="273">
        <v>21875137</v>
      </c>
      <c r="S128" s="273">
        <v>20171555</v>
      </c>
      <c r="T128" s="273">
        <v>20612428</v>
      </c>
      <c r="U128" s="273">
        <v>21257587</v>
      </c>
      <c r="V128" s="273">
        <v>21509725</v>
      </c>
      <c r="W128" s="273">
        <v>20378686</v>
      </c>
      <c r="X128" s="273">
        <v>20132409</v>
      </c>
    </row>
    <row r="129" spans="1:24" ht="14.25" thickBot="1" x14ac:dyDescent="0.3">
      <c r="A129" s="225" t="s">
        <v>35</v>
      </c>
      <c r="B129" s="276">
        <v>33927171</v>
      </c>
      <c r="C129" s="276">
        <v>38991972</v>
      </c>
      <c r="D129" s="276">
        <v>39888290</v>
      </c>
      <c r="E129" s="276">
        <v>35382067</v>
      </c>
      <c r="F129" s="276">
        <v>36443334</v>
      </c>
      <c r="G129" s="276">
        <v>35963483</v>
      </c>
      <c r="H129" s="276">
        <v>38541712</v>
      </c>
      <c r="I129" s="276">
        <v>40457772</v>
      </c>
      <c r="J129" s="276">
        <v>38313617</v>
      </c>
      <c r="K129" s="276">
        <v>40318062</v>
      </c>
      <c r="L129" s="276">
        <v>44111493</v>
      </c>
      <c r="M129" s="276">
        <v>45753089</v>
      </c>
      <c r="N129" s="276">
        <v>43513501</v>
      </c>
      <c r="O129" s="276">
        <v>44767952</v>
      </c>
      <c r="P129" s="276">
        <v>46699891</v>
      </c>
      <c r="Q129" s="276">
        <v>43867915</v>
      </c>
      <c r="R129" s="276">
        <v>40602651</v>
      </c>
      <c r="S129" s="276">
        <v>38714014</v>
      </c>
      <c r="T129" s="276">
        <v>41496801</v>
      </c>
      <c r="U129" s="276">
        <v>44234126</v>
      </c>
      <c r="V129" s="276">
        <v>40010216</v>
      </c>
      <c r="W129" s="276">
        <v>46399919</v>
      </c>
      <c r="X129" s="276">
        <v>46808240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8.99</v>
      </c>
      <c r="C132" s="68">
        <v>18.239999999999998</v>
      </c>
      <c r="D132" s="68">
        <v>24.02</v>
      </c>
      <c r="E132" s="68">
        <v>17.690000000000001</v>
      </c>
      <c r="F132" s="68">
        <v>16.18</v>
      </c>
    </row>
    <row r="133" spans="1:24" ht="14.25" thickBot="1" x14ac:dyDescent="0.3">
      <c r="A133" s="225" t="s">
        <v>37</v>
      </c>
      <c r="B133" s="274">
        <v>-2.0099999999999998</v>
      </c>
      <c r="C133" s="274">
        <v>-10.53</v>
      </c>
      <c r="D133" s="274">
        <v>-9.0399999999999991</v>
      </c>
      <c r="E133" s="274">
        <v>-12.99</v>
      </c>
      <c r="F133" s="274">
        <v>-9.08</v>
      </c>
    </row>
    <row r="134" spans="1:24" ht="14.25" thickBot="1" x14ac:dyDescent="0.3">
      <c r="A134" s="224" t="s">
        <v>38</v>
      </c>
      <c r="B134" s="68">
        <v>-3.62</v>
      </c>
      <c r="C134" s="68">
        <v>-8.06</v>
      </c>
      <c r="D134" s="68">
        <v>-8.34</v>
      </c>
      <c r="E134" s="68">
        <v>-9.61</v>
      </c>
      <c r="F134" s="68">
        <v>-4.96</v>
      </c>
    </row>
    <row r="135" spans="1:24" ht="14.25" thickBot="1" x14ac:dyDescent="0.3">
      <c r="A135" s="225" t="s">
        <v>270</v>
      </c>
      <c r="B135" s="274">
        <v>6.98</v>
      </c>
      <c r="C135" s="274">
        <v>7.71</v>
      </c>
      <c r="D135" s="274">
        <v>14.98</v>
      </c>
      <c r="E135" s="274">
        <v>4.7</v>
      </c>
      <c r="F135" s="274">
        <v>7.09</v>
      </c>
    </row>
    <row r="136" spans="1:24" ht="14.25" thickBot="1" x14ac:dyDescent="0.3">
      <c r="A136" s="229" t="s">
        <v>39</v>
      </c>
      <c r="B136" s="72">
        <v>3.36</v>
      </c>
      <c r="C136" s="72">
        <v>-0.35</v>
      </c>
      <c r="D136" s="72">
        <v>6.64</v>
      </c>
      <c r="E136" s="72">
        <v>-4.91</v>
      </c>
      <c r="F136" s="72">
        <v>2.13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6.5</v>
      </c>
      <c r="C140" s="68">
        <v>6.8</v>
      </c>
      <c r="D140" s="68">
        <v>7</v>
      </c>
      <c r="E140" s="68">
        <v>7</v>
      </c>
      <c r="F140" s="68">
        <v>6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0.59360730593607314</v>
      </c>
      <c r="C142" s="234">
        <f>IF(C140&lt;&gt;"無",IF(ISNA(HLOOKUP(C139,$B$64:$F$69,6,FALSE)),"",C140/HLOOKUP(C139,$B$64:$F$69,6,FALSE)),"")</f>
        <v>0.64761904761904765</v>
      </c>
      <c r="D142" s="234">
        <f>IF(D140&lt;&gt;"無",IF(ISNA(HLOOKUP(D139,$B$64:$F$69,6,FALSE)),"",D140/HLOOKUP(D139,$B$64:$F$69,6,FALSE)),"")</f>
        <v>0.63694267515923564</v>
      </c>
      <c r="E142" s="234">
        <f>IF(E140&lt;&gt;"無",IF(ISNA(HLOOKUP(E139,$B$64:$F$69,6,FALSE)),"",E140/HLOOKUP(E139,$B$64:$F$69,6,FALSE)),"")</f>
        <v>0.69306930693069313</v>
      </c>
      <c r="F142" s="234">
        <f>IF(F140&lt;&gt;"無",IF(ISNA(HLOOKUP(F139,$B$64:$F$69,6,FALSE)),"",F140/HLOOKUP(F139,$B$64:$F$69,6,FALSE)),"")</f>
        <v>0.66006600660066006</v>
      </c>
    </row>
    <row r="143" spans="1:24" x14ac:dyDescent="0.25">
      <c r="A143" s="233" t="s">
        <v>216</v>
      </c>
      <c r="B143" s="234">
        <f>IF(OR(B140=0,B140="無"),"",B135/B140)</f>
        <v>1.0738461538461539</v>
      </c>
      <c r="C143" s="234">
        <f>IF(OR(C140=0,C140="無"),"",C135/C140)</f>
        <v>1.1338235294117647</v>
      </c>
      <c r="D143" s="234">
        <f>IF(OR(D140=0,D140="無"),"",D135/D140)</f>
        <v>2.14</v>
      </c>
      <c r="E143" s="234">
        <f>IF(OR(E140=0,E140="無"),"",E135/E140)</f>
        <v>0.67142857142857149</v>
      </c>
      <c r="F143" s="234">
        <f>IF(OR(F140=0,F140="無"),"",F135/F140)</f>
        <v>1.1816666666666666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12.95</v>
      </c>
      <c r="C146" s="68">
        <v>13.55</v>
      </c>
      <c r="D146" s="68">
        <v>11.34</v>
      </c>
      <c r="E146" s="68">
        <v>10.81</v>
      </c>
      <c r="F146" s="68">
        <v>11.49</v>
      </c>
      <c r="G146" s="68">
        <v>11.21</v>
      </c>
      <c r="H146" s="68">
        <v>10.89</v>
      </c>
      <c r="I146" s="68">
        <v>11.47</v>
      </c>
      <c r="J146" s="68">
        <v>11.39</v>
      </c>
      <c r="K146" s="68">
        <v>11.14</v>
      </c>
      <c r="L146" s="68">
        <v>11.04</v>
      </c>
      <c r="M146" s="68">
        <v>11.54</v>
      </c>
      <c r="N146" s="68">
        <v>10.87</v>
      </c>
      <c r="O146" s="68">
        <v>10.119999999999999</v>
      </c>
      <c r="P146" s="68">
        <v>10.23</v>
      </c>
      <c r="Q146" s="68">
        <v>10.34</v>
      </c>
      <c r="R146" s="68">
        <v>10.14</v>
      </c>
      <c r="S146" s="68">
        <v>10.039999999999999</v>
      </c>
      <c r="T146" s="68">
        <v>10.11</v>
      </c>
      <c r="U146" s="68">
        <v>10.01</v>
      </c>
      <c r="V146" s="68">
        <v>8.6</v>
      </c>
      <c r="W146" s="68">
        <v>8.6199999999999992</v>
      </c>
      <c r="X146" s="68">
        <v>8.94</v>
      </c>
    </row>
    <row r="147" spans="1:24" s="93" customFormat="1" ht="14.25" thickBot="1" x14ac:dyDescent="0.3">
      <c r="A147" s="225" t="s">
        <v>19</v>
      </c>
      <c r="B147" s="274">
        <v>7.4</v>
      </c>
      <c r="C147" s="274">
        <v>8.75</v>
      </c>
      <c r="D147" s="274">
        <v>6.69</v>
      </c>
      <c r="E147" s="274">
        <v>6.55</v>
      </c>
      <c r="F147" s="274">
        <v>6.69</v>
      </c>
      <c r="G147" s="274">
        <v>6.05</v>
      </c>
      <c r="H147" s="274">
        <v>6.42</v>
      </c>
      <c r="I147" s="274">
        <v>7.44</v>
      </c>
      <c r="J147" s="274">
        <v>6.44</v>
      </c>
      <c r="K147" s="274">
        <v>6.75</v>
      </c>
      <c r="L147" s="274">
        <v>6.18</v>
      </c>
      <c r="M147" s="274">
        <v>6.54</v>
      </c>
      <c r="N147" s="274">
        <v>6.67</v>
      </c>
      <c r="O147" s="274">
        <v>5.52</v>
      </c>
      <c r="P147" s="274">
        <v>5.59</v>
      </c>
      <c r="Q147" s="274">
        <v>5.95</v>
      </c>
      <c r="R147" s="274">
        <v>5.6</v>
      </c>
      <c r="S147" s="274">
        <v>5.59</v>
      </c>
      <c r="T147" s="274">
        <v>5.59</v>
      </c>
      <c r="U147" s="274">
        <v>5.51</v>
      </c>
      <c r="V147" s="274">
        <v>4.08</v>
      </c>
      <c r="W147" s="274">
        <v>3.57</v>
      </c>
      <c r="X147" s="274">
        <v>4.68</v>
      </c>
    </row>
    <row r="148" spans="1:24" s="93" customFormat="1" ht="14.25" thickBot="1" x14ac:dyDescent="0.3">
      <c r="A148" s="224" t="s">
        <v>41</v>
      </c>
      <c r="B148" s="68">
        <v>7.84</v>
      </c>
      <c r="C148" s="68">
        <v>9.5399999999999991</v>
      </c>
      <c r="D148" s="68">
        <v>7.38</v>
      </c>
      <c r="E148" s="68">
        <v>6.75</v>
      </c>
      <c r="F148" s="68">
        <v>8.1199999999999992</v>
      </c>
      <c r="G148" s="68">
        <v>7.19</v>
      </c>
      <c r="H148" s="68">
        <v>7.34</v>
      </c>
      <c r="I148" s="68">
        <v>8.17</v>
      </c>
      <c r="J148" s="68">
        <v>7.89</v>
      </c>
      <c r="K148" s="68">
        <v>7.87</v>
      </c>
      <c r="L148" s="68">
        <v>7.29</v>
      </c>
      <c r="M148" s="68">
        <v>7.44</v>
      </c>
      <c r="N148" s="68">
        <v>8.2200000000000006</v>
      </c>
      <c r="O148" s="68">
        <v>6.98</v>
      </c>
      <c r="P148" s="68">
        <v>6.77</v>
      </c>
      <c r="Q148" s="68">
        <v>7.25</v>
      </c>
      <c r="R148" s="68">
        <v>6.69</v>
      </c>
      <c r="S148" s="68">
        <v>6.59</v>
      </c>
      <c r="T148" s="68">
        <v>6.81</v>
      </c>
      <c r="U148" s="68">
        <v>6.71</v>
      </c>
      <c r="V148" s="68">
        <v>6.59</v>
      </c>
      <c r="W148" s="68">
        <v>6.17</v>
      </c>
      <c r="X148" s="68">
        <v>6.07</v>
      </c>
    </row>
    <row r="149" spans="1:24" s="93" customFormat="1" ht="14.25" thickBot="1" x14ac:dyDescent="0.3">
      <c r="A149" s="225" t="s">
        <v>13</v>
      </c>
      <c r="B149" s="73">
        <v>6.41</v>
      </c>
      <c r="C149" s="73">
        <v>6.6</v>
      </c>
      <c r="D149" s="73">
        <v>5.98</v>
      </c>
      <c r="E149" s="73">
        <v>3.87</v>
      </c>
      <c r="F149" s="73">
        <v>6.23</v>
      </c>
      <c r="G149" s="73">
        <v>5.65</v>
      </c>
      <c r="H149" s="73">
        <v>5.75</v>
      </c>
      <c r="I149" s="73">
        <v>6.01</v>
      </c>
      <c r="J149" s="73">
        <v>6.23</v>
      </c>
      <c r="K149" s="73">
        <v>5.49</v>
      </c>
      <c r="L149" s="73">
        <v>5.67</v>
      </c>
      <c r="M149" s="73">
        <v>5.57</v>
      </c>
      <c r="N149" s="73">
        <v>5.2</v>
      </c>
      <c r="O149" s="73">
        <v>4.76</v>
      </c>
      <c r="P149" s="73">
        <v>4.93</v>
      </c>
      <c r="Q149" s="73">
        <v>5.1100000000000003</v>
      </c>
      <c r="R149" s="73">
        <v>4.82</v>
      </c>
      <c r="S149" s="73">
        <v>4.74</v>
      </c>
      <c r="T149" s="73">
        <v>4.9000000000000004</v>
      </c>
      <c r="U149" s="73">
        <v>4.83</v>
      </c>
      <c r="V149" s="73">
        <v>4.74</v>
      </c>
      <c r="W149" s="73">
        <v>4.4400000000000004</v>
      </c>
      <c r="X149" s="73">
        <v>4.37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12.05</v>
      </c>
      <c r="C152" s="68">
        <v>11.27</v>
      </c>
      <c r="D152" s="68">
        <v>11.29</v>
      </c>
      <c r="E152" s="68">
        <v>10.38</v>
      </c>
      <c r="F152" s="68">
        <v>10.07</v>
      </c>
    </row>
    <row r="153" spans="1:24" s="93" customFormat="1" ht="14.25" thickBot="1" x14ac:dyDescent="0.3">
      <c r="A153" s="225" t="s">
        <v>19</v>
      </c>
      <c r="B153" s="274">
        <v>7.29</v>
      </c>
      <c r="C153" s="274">
        <v>6.72</v>
      </c>
      <c r="D153" s="274">
        <v>6.48</v>
      </c>
      <c r="E153" s="274">
        <v>5.92</v>
      </c>
      <c r="F153" s="274">
        <v>5.57</v>
      </c>
    </row>
    <row r="154" spans="1:24" s="93" customFormat="1" ht="14.25" thickBot="1" x14ac:dyDescent="0.3">
      <c r="A154" s="224" t="s">
        <v>41</v>
      </c>
      <c r="B154" s="68">
        <v>7.82</v>
      </c>
      <c r="C154" s="68">
        <v>7.73</v>
      </c>
      <c r="D154" s="68">
        <v>7.59</v>
      </c>
      <c r="E154" s="68">
        <v>7.29</v>
      </c>
      <c r="F154" s="68">
        <v>6.7</v>
      </c>
    </row>
    <row r="155" spans="1:24" s="93" customFormat="1" ht="14.25" thickBot="1" x14ac:dyDescent="0.3">
      <c r="A155" s="225" t="s">
        <v>13</v>
      </c>
      <c r="B155" s="73">
        <v>5.61</v>
      </c>
      <c r="C155" s="73">
        <v>5.91</v>
      </c>
      <c r="D155" s="73">
        <v>5.71</v>
      </c>
      <c r="E155" s="73">
        <v>5</v>
      </c>
      <c r="F155" s="73">
        <v>4.82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2.4</v>
      </c>
      <c r="C158" s="68">
        <v>2.65</v>
      </c>
      <c r="D158" s="68">
        <v>2.46</v>
      </c>
      <c r="E158" s="68">
        <v>1.76</v>
      </c>
      <c r="F158" s="68">
        <v>2.0299999999999998</v>
      </c>
      <c r="G158" s="68">
        <v>1.83</v>
      </c>
      <c r="H158" s="68">
        <v>2.27</v>
      </c>
      <c r="I158" s="68">
        <v>2.65</v>
      </c>
      <c r="J158" s="68">
        <v>1.97</v>
      </c>
      <c r="K158" s="68">
        <v>1.94</v>
      </c>
      <c r="L158" s="68">
        <v>2.1</v>
      </c>
      <c r="M158" s="68">
        <v>2.38</v>
      </c>
      <c r="N158" s="68">
        <v>1.77</v>
      </c>
      <c r="O158" s="68">
        <v>1.72</v>
      </c>
      <c r="P158" s="68">
        <v>1.77</v>
      </c>
      <c r="Q158" s="68">
        <v>2.0299999999999998</v>
      </c>
      <c r="R158" s="68">
        <v>1.53</v>
      </c>
      <c r="S158" s="68">
        <v>1.63</v>
      </c>
      <c r="T158" s="68">
        <v>1.8</v>
      </c>
      <c r="U158" s="68">
        <v>1.88</v>
      </c>
      <c r="V158" s="68">
        <v>1.33</v>
      </c>
      <c r="W158" s="68">
        <v>1.33</v>
      </c>
      <c r="X158" s="68">
        <v>1.52</v>
      </c>
    </row>
    <row r="159" spans="1:24" s="93" customFormat="1" ht="14.25" thickBot="1" x14ac:dyDescent="0.3">
      <c r="A159" s="225" t="s">
        <v>45</v>
      </c>
      <c r="B159" s="73">
        <v>4.6500000000000004</v>
      </c>
      <c r="C159" s="73">
        <v>5.83</v>
      </c>
      <c r="D159" s="73">
        <v>5.8</v>
      </c>
      <c r="E159" s="73">
        <v>3.81</v>
      </c>
      <c r="F159" s="73">
        <v>4.03</v>
      </c>
      <c r="G159" s="73">
        <v>3.71</v>
      </c>
      <c r="H159" s="73">
        <v>4.83</v>
      </c>
      <c r="I159" s="73">
        <v>5.66</v>
      </c>
      <c r="J159" s="73">
        <v>3.92</v>
      </c>
      <c r="K159" s="73">
        <v>3.96</v>
      </c>
      <c r="L159" s="73">
        <v>4.62</v>
      </c>
      <c r="M159" s="73">
        <v>5.35</v>
      </c>
      <c r="N159" s="73">
        <v>3.75</v>
      </c>
      <c r="O159" s="73">
        <v>3.65</v>
      </c>
      <c r="P159" s="73">
        <v>3.93</v>
      </c>
      <c r="Q159" s="73">
        <v>4.22</v>
      </c>
      <c r="R159" s="73">
        <v>2.97</v>
      </c>
      <c r="S159" s="73">
        <v>3.06</v>
      </c>
      <c r="T159" s="73">
        <v>3.52</v>
      </c>
      <c r="U159" s="73">
        <v>3.82</v>
      </c>
      <c r="V159" s="73">
        <v>2.6</v>
      </c>
      <c r="W159" s="73">
        <v>2.68</v>
      </c>
      <c r="X159" s="73">
        <v>3.4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5.61</v>
      </c>
      <c r="C162" s="68">
        <v>5.91</v>
      </c>
      <c r="D162" s="68">
        <v>5.71</v>
      </c>
      <c r="E162" s="68">
        <v>5</v>
      </c>
      <c r="F162" s="68">
        <v>4.82</v>
      </c>
    </row>
    <row r="163" spans="1:72" s="93" customFormat="1" ht="14.25" thickBot="1" x14ac:dyDescent="0.3">
      <c r="A163" s="225" t="s">
        <v>18</v>
      </c>
      <c r="B163" s="274">
        <v>1.66</v>
      </c>
      <c r="C163" s="274">
        <v>1.35</v>
      </c>
      <c r="D163" s="274">
        <v>1.31</v>
      </c>
      <c r="E163" s="274">
        <v>1.46</v>
      </c>
      <c r="F163" s="274">
        <v>1.31</v>
      </c>
    </row>
    <row r="164" spans="1:72" s="93" customFormat="1" ht="14.25" thickBot="1" x14ac:dyDescent="0.3">
      <c r="A164" s="224" t="s">
        <v>15</v>
      </c>
      <c r="B164" s="68">
        <v>2.04</v>
      </c>
      <c r="C164" s="68">
        <v>2.14</v>
      </c>
      <c r="D164" s="68">
        <v>2.2400000000000002</v>
      </c>
      <c r="E164" s="68">
        <v>2.0499999999999998</v>
      </c>
      <c r="F164" s="68">
        <v>2.08</v>
      </c>
    </row>
    <row r="165" spans="1:72" s="93" customFormat="1" ht="14.25" thickBot="1" x14ac:dyDescent="0.3">
      <c r="A165" s="225" t="s">
        <v>45</v>
      </c>
      <c r="B165" s="73">
        <v>19.809999999999999</v>
      </c>
      <c r="C165" s="73">
        <v>17.850000000000001</v>
      </c>
      <c r="D165" s="73">
        <v>17.420000000000002</v>
      </c>
      <c r="E165" s="73">
        <v>15.34</v>
      </c>
      <c r="F165" s="73">
        <v>13.14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72</v>
      </c>
      <c r="C168" s="68">
        <v>65.69</v>
      </c>
      <c r="D168" s="68">
        <v>63.38</v>
      </c>
      <c r="E168" s="68">
        <v>66.180000000000007</v>
      </c>
      <c r="F168" s="68">
        <v>90</v>
      </c>
      <c r="G168" s="68">
        <v>75</v>
      </c>
      <c r="H168" s="68">
        <v>68.180000000000007</v>
      </c>
      <c r="I168" s="68">
        <v>74.38</v>
      </c>
      <c r="J168" s="68">
        <v>96.77</v>
      </c>
      <c r="K168" s="68">
        <v>69.77</v>
      </c>
      <c r="L168" s="68">
        <v>72</v>
      </c>
      <c r="M168" s="68">
        <v>67.16</v>
      </c>
      <c r="N168" s="68">
        <v>76.92</v>
      </c>
      <c r="O168" s="68">
        <v>60.81</v>
      </c>
      <c r="P168" s="68">
        <v>62.94</v>
      </c>
      <c r="Q168" s="68">
        <v>59.6</v>
      </c>
      <c r="R168" s="68">
        <v>67.16</v>
      </c>
      <c r="S168" s="68">
        <v>60.4</v>
      </c>
      <c r="T168" s="68">
        <v>63.83</v>
      </c>
      <c r="U168" s="68">
        <v>65.69</v>
      </c>
      <c r="V168" s="68">
        <v>84.11</v>
      </c>
      <c r="W168" s="68">
        <v>68.7</v>
      </c>
      <c r="X168" s="68">
        <v>60.4</v>
      </c>
    </row>
    <row r="169" spans="1:72" s="93" customFormat="1" ht="14.25" thickBot="1" x14ac:dyDescent="0.3">
      <c r="A169" s="225" t="s">
        <v>17</v>
      </c>
      <c r="B169" s="274">
        <v>63.83</v>
      </c>
      <c r="C169" s="274">
        <v>58.06</v>
      </c>
      <c r="D169" s="274">
        <v>60.4</v>
      </c>
      <c r="E169" s="274">
        <v>50</v>
      </c>
      <c r="F169" s="274">
        <v>55.56</v>
      </c>
      <c r="G169" s="274">
        <v>52.94</v>
      </c>
      <c r="H169" s="274">
        <v>45</v>
      </c>
      <c r="I169" s="274">
        <v>39.65</v>
      </c>
      <c r="J169" s="274">
        <v>52.02</v>
      </c>
      <c r="K169" s="274">
        <v>42.25</v>
      </c>
      <c r="L169" s="274">
        <v>45.45</v>
      </c>
      <c r="M169" s="274">
        <v>43.69</v>
      </c>
      <c r="N169" s="274">
        <v>55.21</v>
      </c>
      <c r="O169" s="274">
        <v>50.28</v>
      </c>
      <c r="P169" s="274">
        <v>52.63</v>
      </c>
      <c r="Q169" s="274">
        <v>52.63</v>
      </c>
      <c r="R169" s="274">
        <v>62.5</v>
      </c>
      <c r="S169" s="274">
        <v>47.62</v>
      </c>
      <c r="T169" s="274">
        <v>40.18</v>
      </c>
      <c r="U169" s="274">
        <v>40.18</v>
      </c>
      <c r="V169" s="274">
        <v>58.82</v>
      </c>
      <c r="W169" s="274">
        <v>64.75</v>
      </c>
      <c r="X169" s="274">
        <v>66.67</v>
      </c>
    </row>
    <row r="170" spans="1:72" s="93" customFormat="1" ht="14.25" thickBot="1" x14ac:dyDescent="0.3">
      <c r="A170" s="224" t="s">
        <v>42</v>
      </c>
      <c r="B170" s="72">
        <v>135.83000000000001</v>
      </c>
      <c r="C170" s="72">
        <v>123.76</v>
      </c>
      <c r="D170" s="72">
        <v>123.78</v>
      </c>
      <c r="E170" s="72">
        <v>116.18</v>
      </c>
      <c r="F170" s="72">
        <v>145.56</v>
      </c>
      <c r="G170" s="72">
        <v>127.94</v>
      </c>
      <c r="H170" s="72">
        <v>113.18</v>
      </c>
      <c r="I170" s="72">
        <v>114.03</v>
      </c>
      <c r="J170" s="72">
        <v>148.80000000000001</v>
      </c>
      <c r="K170" s="72">
        <v>112.02</v>
      </c>
      <c r="L170" s="72">
        <v>117.45</v>
      </c>
      <c r="M170" s="72">
        <v>110.85</v>
      </c>
      <c r="N170" s="72">
        <v>132.13999999999999</v>
      </c>
      <c r="O170" s="72">
        <v>111.09</v>
      </c>
      <c r="P170" s="72">
        <v>115.57</v>
      </c>
      <c r="Q170" s="72">
        <v>112.23</v>
      </c>
      <c r="R170" s="72">
        <v>129.66</v>
      </c>
      <c r="S170" s="72">
        <v>108.02</v>
      </c>
      <c r="T170" s="72">
        <v>104.01</v>
      </c>
      <c r="U170" s="72">
        <v>105.87</v>
      </c>
      <c r="V170" s="72">
        <v>142.94</v>
      </c>
      <c r="W170" s="72">
        <v>133.44999999999999</v>
      </c>
      <c r="X170" s="72">
        <v>127.07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83.89</v>
      </c>
      <c r="C173" s="72">
        <v>173.98</v>
      </c>
      <c r="D173" s="72">
        <v>216.08</v>
      </c>
      <c r="E173" s="72">
        <v>169.82</v>
      </c>
      <c r="F173" s="72">
        <v>177.84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14.98</v>
      </c>
      <c r="C176" s="72">
        <v>17.32</v>
      </c>
      <c r="D176" s="72">
        <v>17.55</v>
      </c>
      <c r="E176" s="72">
        <v>16.8</v>
      </c>
      <c r="F176" s="72">
        <v>15.76</v>
      </c>
      <c r="G176" s="72">
        <v>15.42</v>
      </c>
      <c r="H176" s="72">
        <v>14.36</v>
      </c>
      <c r="I176" s="72">
        <v>15.02</v>
      </c>
      <c r="J176" s="72">
        <v>14.74</v>
      </c>
      <c r="K176" s="72">
        <v>14.14</v>
      </c>
      <c r="L176" s="72">
        <v>11.41</v>
      </c>
      <c r="M176" s="72">
        <v>11.93</v>
      </c>
      <c r="N176" s="72">
        <v>11.25</v>
      </c>
      <c r="O176" s="72">
        <v>11.04</v>
      </c>
      <c r="P176" s="72">
        <v>11.16</v>
      </c>
      <c r="Q176" s="72">
        <v>12.01</v>
      </c>
      <c r="R176" s="72">
        <v>12.73</v>
      </c>
      <c r="S176" s="72">
        <v>12.47</v>
      </c>
      <c r="T176" s="72">
        <v>12.11</v>
      </c>
      <c r="U176" s="72">
        <v>14.27</v>
      </c>
      <c r="V176" s="72">
        <v>14.68</v>
      </c>
      <c r="W176" s="72">
        <v>15.18</v>
      </c>
      <c r="X176" s="72">
        <v>14.11</v>
      </c>
      <c r="Y176" s="72">
        <v>14.33</v>
      </c>
      <c r="Z176" s="72">
        <v>15.05</v>
      </c>
      <c r="AA176" s="72">
        <v>14.52</v>
      </c>
      <c r="AB176" s="72">
        <v>13.06</v>
      </c>
      <c r="AC176" s="72">
        <v>14.1</v>
      </c>
      <c r="AD176" s="72">
        <v>14.86</v>
      </c>
      <c r="AE176" s="72">
        <v>16.02</v>
      </c>
      <c r="AF176" s="72">
        <v>16.7</v>
      </c>
      <c r="AG176" s="72">
        <v>14.91</v>
      </c>
      <c r="AH176" s="72">
        <v>14.17</v>
      </c>
      <c r="AI176" s="72">
        <v>13.4</v>
      </c>
      <c r="AJ176" s="72">
        <v>14.07</v>
      </c>
      <c r="AK176" s="72">
        <v>14.31</v>
      </c>
      <c r="AL176" s="72">
        <v>14</v>
      </c>
      <c r="AM176" s="72">
        <v>13.96</v>
      </c>
      <c r="AN176" s="72">
        <v>14.28</v>
      </c>
      <c r="AO176" s="72">
        <v>14.2</v>
      </c>
      <c r="AP176" s="72">
        <v>13.32</v>
      </c>
      <c r="AQ176" s="72">
        <v>12.51</v>
      </c>
      <c r="AR176" s="72">
        <v>12.18</v>
      </c>
      <c r="AS176" s="72">
        <v>10.35</v>
      </c>
      <c r="AT176" s="72">
        <v>10.19</v>
      </c>
      <c r="AU176" s="72">
        <v>10.43</v>
      </c>
      <c r="AV176" s="72">
        <v>10.93</v>
      </c>
      <c r="AW176" s="72">
        <v>10.36</v>
      </c>
      <c r="AX176" s="72">
        <v>9.27</v>
      </c>
      <c r="AY176" s="72">
        <v>9.94</v>
      </c>
      <c r="AZ176" s="72">
        <v>11.23</v>
      </c>
      <c r="BA176" s="72">
        <v>11.14</v>
      </c>
      <c r="BB176" s="72">
        <v>11.09</v>
      </c>
      <c r="BC176" s="72">
        <v>11.52</v>
      </c>
      <c r="BD176" s="72">
        <v>11.8</v>
      </c>
      <c r="BE176" s="72">
        <v>11.57</v>
      </c>
      <c r="BF176" s="72">
        <v>10.97</v>
      </c>
      <c r="BG176" s="72">
        <v>10.42</v>
      </c>
      <c r="BH176" s="72">
        <v>10</v>
      </c>
      <c r="BI176" s="72">
        <v>10.07</v>
      </c>
      <c r="BJ176" s="72">
        <v>10.119999999999999</v>
      </c>
      <c r="BK176" s="72">
        <v>10.72</v>
      </c>
      <c r="BL176" s="72">
        <v>11.24</v>
      </c>
      <c r="BM176" s="72">
        <v>10.99</v>
      </c>
      <c r="BN176" s="72">
        <v>11.33</v>
      </c>
      <c r="BO176" s="72">
        <v>11.52</v>
      </c>
      <c r="BP176" s="72">
        <v>11.45</v>
      </c>
      <c r="BQ176" s="72">
        <v>11.75</v>
      </c>
      <c r="BR176" s="72">
        <v>14.06</v>
      </c>
      <c r="BS176" s="72">
        <v>20.6</v>
      </c>
      <c r="BT176" s="72">
        <v>15.78</v>
      </c>
    </row>
  </sheetData>
  <phoneticPr fontId="3" type="noConversion"/>
  <conditionalFormatting sqref="E4">
    <cfRule type="cellIs" dxfId="2699" priority="101" operator="greaterThan">
      <formula>0.2</formula>
    </cfRule>
    <cfRule type="cellIs" dxfId="269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269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696" priority="95" operator="greaterThan">
      <formula>$B$19</formula>
    </cfRule>
  </conditionalFormatting>
  <conditionalFormatting sqref="D33:D34">
    <cfRule type="cellIs" dxfId="269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2694" priority="89" operator="lessThan">
      <formula>$H$62</formula>
    </cfRule>
    <cfRule type="cellIs" dxfId="2693" priority="90" operator="greaterThan">
      <formula>$H$62</formula>
    </cfRule>
  </conditionalFormatting>
  <conditionalFormatting sqref="J62">
    <cfRule type="cellIs" dxfId="2692" priority="87" operator="lessThan">
      <formula>$K$62</formula>
    </cfRule>
    <cfRule type="cellIs" dxfId="2691" priority="88" operator="greaterThan">
      <formula>$K$62</formula>
    </cfRule>
  </conditionalFormatting>
  <conditionalFormatting sqref="M62">
    <cfRule type="cellIs" dxfId="2690" priority="85" operator="lessThan">
      <formula>$N$62</formula>
    </cfRule>
    <cfRule type="cellIs" dxfId="2689" priority="86" operator="greaterThan">
      <formula>$N$62</formula>
    </cfRule>
  </conditionalFormatting>
  <conditionalFormatting sqref="B44:E44">
    <cfRule type="cellIs" dxfId="2688" priority="83" operator="greaterThan">
      <formula>0</formula>
    </cfRule>
    <cfRule type="cellIs" dxfId="2687" priority="84" operator="lessThan">
      <formula>0</formula>
    </cfRule>
  </conditionalFormatting>
  <conditionalFormatting sqref="F72">
    <cfRule type="cellIs" dxfId="2686" priority="82" operator="lessThan">
      <formula>$E$72*90%</formula>
    </cfRule>
  </conditionalFormatting>
  <conditionalFormatting sqref="F73">
    <cfRule type="cellIs" dxfId="2685" priority="81" operator="lessThan">
      <formula>$E$73*90%</formula>
    </cfRule>
  </conditionalFormatting>
  <conditionalFormatting sqref="F74">
    <cfRule type="cellIs" dxfId="2684" priority="80" operator="lessThan">
      <formula>$E$74*90%</formula>
    </cfRule>
  </conditionalFormatting>
  <conditionalFormatting sqref="F75">
    <cfRule type="cellIs" dxfId="2683" priority="79" operator="lessThan">
      <formula>$E$75*90%</formula>
    </cfRule>
  </conditionalFormatting>
  <conditionalFormatting sqref="H44:K44">
    <cfRule type="cellIs" dxfId="2682" priority="77" operator="greaterThan">
      <formula>0</formula>
    </cfRule>
    <cfRule type="cellIs" dxfId="2681" priority="78" operator="lessThan">
      <formula>0</formula>
    </cfRule>
  </conditionalFormatting>
  <conditionalFormatting sqref="H51:K51">
    <cfRule type="cellIs" dxfId="2680" priority="75" operator="greaterThan">
      <formula>0</formula>
    </cfRule>
    <cfRule type="cellIs" dxfId="2679" priority="76" operator="lessThan">
      <formula>0</formula>
    </cfRule>
  </conditionalFormatting>
  <conditionalFormatting sqref="B51:E51">
    <cfRule type="cellIs" dxfId="2678" priority="73" operator="greaterThan">
      <formula>0</formula>
    </cfRule>
    <cfRule type="cellIs" dxfId="267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67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67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674" priority="56" operator="lessThan">
      <formula>0</formula>
    </cfRule>
  </conditionalFormatting>
  <conditionalFormatting sqref="A25 E25 C25">
    <cfRule type="cellIs" dxfId="2673" priority="57" operator="lessThan">
      <formula>0</formula>
    </cfRule>
  </conditionalFormatting>
  <conditionalFormatting sqref="F25">
    <cfRule type="cellIs" dxfId="2672" priority="55" operator="lessThan">
      <formula>0</formula>
    </cfRule>
  </conditionalFormatting>
  <conditionalFormatting sqref="E1">
    <cfRule type="containsText" dxfId="2671" priority="54" operator="containsText" text="本季業外損益/平均=-">
      <formula>NOT(ISERROR(SEARCH("本季業外損益/平均=-",E1)))</formula>
    </cfRule>
  </conditionalFormatting>
  <conditionalFormatting sqref="M65">
    <cfRule type="cellIs" dxfId="2670" priority="53" operator="lessThan">
      <formula>$L$65*90%</formula>
    </cfRule>
  </conditionalFormatting>
  <conditionalFormatting sqref="M66">
    <cfRule type="cellIs" dxfId="2669" priority="52" operator="lessThan">
      <formula>$L$66*90%</formula>
    </cfRule>
  </conditionalFormatting>
  <conditionalFormatting sqref="M67">
    <cfRule type="cellIs" dxfId="2668" priority="51" operator="lessThan">
      <formula>$L$67*90%</formula>
    </cfRule>
  </conditionalFormatting>
  <conditionalFormatting sqref="M68">
    <cfRule type="cellIs" dxfId="2667" priority="50" operator="lessThan">
      <formula>$L$68*90%</formula>
    </cfRule>
  </conditionalFormatting>
  <conditionalFormatting sqref="B60">
    <cfRule type="cellIs" dxfId="2666" priority="49" operator="lessThan">
      <formula>0</formula>
    </cfRule>
  </conditionalFormatting>
  <conditionalFormatting sqref="B59:F59">
    <cfRule type="cellIs" dxfId="2665" priority="48" operator="lessThanOrEqual">
      <formula>0</formula>
    </cfRule>
  </conditionalFormatting>
  <conditionalFormatting sqref="D62">
    <cfRule type="cellIs" dxfId="2664" priority="46" operator="lessThan">
      <formula>$E$62</formula>
    </cfRule>
    <cfRule type="cellIs" dxfId="2663" priority="47" operator="greaterThan">
      <formula>$E$62</formula>
    </cfRule>
  </conditionalFormatting>
  <conditionalFormatting sqref="F69">
    <cfRule type="cellIs" dxfId="2662" priority="44" operator="lessThan">
      <formula>0</formula>
    </cfRule>
  </conditionalFormatting>
  <conditionalFormatting sqref="B65:E67 B69:E69 B68:D68">
    <cfRule type="cellIs" dxfId="2661" priority="45" operator="lessThan">
      <formula>0</formula>
    </cfRule>
  </conditionalFormatting>
  <conditionalFormatting sqref="E68">
    <cfRule type="cellIs" dxfId="2660" priority="43" operator="lessThan">
      <formula>0</formula>
    </cfRule>
  </conditionalFormatting>
  <conditionalFormatting sqref="F65:F68">
    <cfRule type="cellIs" dxfId="2659" priority="42" operator="lessThan">
      <formula>0</formula>
    </cfRule>
  </conditionalFormatting>
  <conditionalFormatting sqref="F65:F68">
    <cfRule type="cellIs" dxfId="2658" priority="41" operator="lessThan">
      <formula>$E$65*0.9</formula>
    </cfRule>
  </conditionalFormatting>
  <conditionalFormatting sqref="F66">
    <cfRule type="cellIs" dxfId="2657" priority="40" operator="lessThan">
      <formula>$E$66*0.9</formula>
    </cfRule>
  </conditionalFormatting>
  <conditionalFormatting sqref="F67:F68">
    <cfRule type="cellIs" dxfId="2656" priority="39" operator="lessThan">
      <formula>$E$67*0.9</formula>
    </cfRule>
  </conditionalFormatting>
  <conditionalFormatting sqref="F68">
    <cfRule type="cellIs" dxfId="2655" priority="38" operator="lessThan">
      <formula>$E$68*0.9</formula>
    </cfRule>
  </conditionalFormatting>
  <conditionalFormatting sqref="B13:F13">
    <cfRule type="cellIs" dxfId="2654" priority="27" operator="greaterThan">
      <formula>$I$16</formula>
    </cfRule>
    <cfRule type="cellIs" dxfId="2653" priority="28" operator="lessThanOrEqual">
      <formula>$I$16</formula>
    </cfRule>
  </conditionalFormatting>
  <conditionalFormatting sqref="B10:F10">
    <cfRule type="cellIs" dxfId="2652" priority="29" operator="greaterThan">
      <formula>15</formula>
    </cfRule>
    <cfRule type="cellIs" dxfId="2651" priority="36" operator="lessThan">
      <formula>$I$9</formula>
    </cfRule>
    <cfRule type="cellIs" dxfId="2650" priority="37" operator="greaterThan">
      <formula>$I$9</formula>
    </cfRule>
  </conditionalFormatting>
  <conditionalFormatting sqref="B16:F16">
    <cfRule type="cellIs" dxfId="2649" priority="34" operator="greaterThan">
      <formula>$I$16</formula>
    </cfRule>
    <cfRule type="cellIs" dxfId="2648" priority="35" operator="lessThanOrEqual">
      <formula>$I$16</formula>
    </cfRule>
  </conditionalFormatting>
  <conditionalFormatting sqref="B15:F15">
    <cfRule type="cellIs" dxfId="2647" priority="32" operator="lessThanOrEqual">
      <formula>$I$16</formula>
    </cfRule>
    <cfRule type="cellIs" dxfId="2646" priority="33" operator="greaterThan">
      <formula>$I$16</formula>
    </cfRule>
  </conditionalFormatting>
  <conditionalFormatting sqref="B14:F14">
    <cfRule type="cellIs" dxfId="2645" priority="30" operator="greaterThan">
      <formula>$I$16</formula>
    </cfRule>
    <cfRule type="cellIs" dxfId="2644" priority="31" operator="lessThanOrEqual">
      <formula>$I$16</formula>
    </cfRule>
  </conditionalFormatting>
  <conditionalFormatting sqref="K6">
    <cfRule type="containsText" dxfId="2643" priority="25" operator="containsText" text="衰退">
      <formula>NOT(ISERROR(SEARCH("衰退",K6)))</formula>
    </cfRule>
    <cfRule type="containsText" dxfId="2642" priority="26" operator="containsText" text="成長">
      <formula>NOT(ISERROR(SEARCH("成長",K6)))</formula>
    </cfRule>
  </conditionalFormatting>
  <conditionalFormatting sqref="I4:K4">
    <cfRule type="cellIs" dxfId="2641" priority="23" operator="lessThan">
      <formula>0</formula>
    </cfRule>
    <cfRule type="cellIs" dxfId="264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639" priority="20" operator="lessThanOrEqual">
      <formula>$I$16</formula>
    </cfRule>
    <cfRule type="cellIs" dxfId="2638" priority="21" operator="greaterThan">
      <formula>$I$16</formula>
    </cfRule>
  </conditionalFormatting>
  <conditionalFormatting sqref="I6">
    <cfRule type="containsText" dxfId="2637" priority="18" operator="containsText" text="衰退">
      <formula>NOT(ISERROR(SEARCH("衰退",I6)))</formula>
    </cfRule>
    <cfRule type="containsText" dxfId="2636" priority="19" operator="containsText" text="成長">
      <formula>NOT(ISERROR(SEARCH("成長",I6)))</formula>
    </cfRule>
  </conditionalFormatting>
  <conditionalFormatting sqref="M9">
    <cfRule type="cellIs" dxfId="2635" priority="17" operator="lessThan">
      <formula>$I$9</formula>
    </cfRule>
  </conditionalFormatting>
  <conditionalFormatting sqref="M10">
    <cfRule type="cellIs" dxfId="2634" priority="16" operator="greaterThan">
      <formula>$I$9</formula>
    </cfRule>
  </conditionalFormatting>
  <conditionalFormatting sqref="M11">
    <cfRule type="cellIs" dxfId="263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632" priority="12" operator="lessThan">
      <formula>0</formula>
    </cfRule>
    <cfRule type="cellIs" dxfId="2631" priority="13" operator="greaterThan">
      <formula>0.5</formula>
    </cfRule>
  </conditionalFormatting>
  <conditionalFormatting sqref="N14">
    <cfRule type="cellIs" dxfId="263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629" priority="8" operator="lessThan">
      <formula>0.1</formula>
    </cfRule>
  </conditionalFormatting>
  <conditionalFormatting sqref="I14">
    <cfRule type="cellIs" dxfId="262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62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626" priority="1" operator="lessThan">
      <formula>$N$5*0.9</formula>
    </cfRule>
    <cfRule type="cellIs" dxfId="2625" priority="2" operator="greaterThan">
      <formula>$N$5*1.1</formula>
    </cfRule>
  </conditionalFormatting>
  <hyperlinks>
    <hyperlink ref="L1" location="儀表板!A1" display="(回首頁)" xr:uid="{00000000-0004-0000-4400-000000000000}"/>
  </hyperlink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0.59 ~ 4.8</v>
      </c>
      <c r="L1" s="83" t="s">
        <v>176</v>
      </c>
      <c r="M1" s="84" t="str">
        <f ca="1">VLOOKUP(_xlfn.NUMBERVALUE(N1),儀表板!A:B,2,FALSE)</f>
        <v>豐藝</v>
      </c>
      <c r="N1" s="85" t="str">
        <f ca="1">MID(CELL("filename",L1),FIND("]",CELL("filename",L1))+1,255)</f>
        <v>6189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0.20516428259363667</v>
      </c>
    </row>
    <row r="3" spans="1:15" s="93" customFormat="1" x14ac:dyDescent="0.25">
      <c r="A3" s="81" t="s">
        <v>179</v>
      </c>
      <c r="B3" s="94">
        <f>SUM(F19:F22,F24:F27,J19)</f>
        <v>86.97740668727468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20.360128276781438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21.779638492516327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22.888307055170582</v>
      </c>
      <c r="L3" s="100"/>
      <c r="M3" s="79" t="s">
        <v>385</v>
      </c>
      <c r="N3" s="92">
        <f>(F69-E69)/E69</f>
        <v>-0.18186115639789122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17.899999999999999</v>
      </c>
      <c r="E4" s="82">
        <f>(D4-F4)/F4</f>
        <v>0</v>
      </c>
      <c r="F4" s="103">
        <v>17.899999999999999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2.0453471090052719</v>
      </c>
    </row>
    <row r="5" spans="1:15" s="93" customFormat="1" x14ac:dyDescent="0.25">
      <c r="A5" s="81" t="s">
        <v>184</v>
      </c>
      <c r="B5" s="107">
        <f>SUM(F30:F34)*2</f>
        <v>72.351623794212216</v>
      </c>
      <c r="C5" s="87"/>
      <c r="D5" s="87"/>
      <c r="E5" s="87"/>
      <c r="F5" s="86"/>
      <c r="G5" s="88"/>
      <c r="M5" s="79" t="s">
        <v>386</v>
      </c>
      <c r="N5" s="152">
        <f>D62</f>
        <v>2.1800000000000002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2.3143668712179397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16.170000000000002</v>
      </c>
      <c r="N9" s="129"/>
    </row>
    <row r="10" spans="1:15" s="93" customFormat="1" x14ac:dyDescent="0.25">
      <c r="A10" s="123" t="s">
        <v>194</v>
      </c>
      <c r="B10" s="126">
        <f>PERCENTILE(176:176,B9)</f>
        <v>9.2100000000000009</v>
      </c>
      <c r="C10" s="126">
        <f>PERCENTILE(176:176,C9)</f>
        <v>9.8249999999999993</v>
      </c>
      <c r="D10" s="126">
        <f>PERCENTILE(176:176,D9)</f>
        <v>10.51</v>
      </c>
      <c r="E10" s="126">
        <f>PERCENTILE(176:176,E9)</f>
        <v>11.045</v>
      </c>
      <c r="F10" s="126">
        <f>PERCENTILE(176:176,F9)</f>
        <v>11.67</v>
      </c>
      <c r="G10" s="95"/>
      <c r="H10" s="135"/>
      <c r="I10" s="135"/>
      <c r="J10" s="135"/>
      <c r="K10" s="135"/>
      <c r="L10" s="136" t="s">
        <v>374</v>
      </c>
      <c r="M10" s="130">
        <f>MIN(176:176)</f>
        <v>8.1199999999999992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19.010000000000002</v>
      </c>
      <c r="L11" s="272" t="s">
        <v>193</v>
      </c>
      <c r="M11" s="128">
        <f>STDEV(176:176)</f>
        <v>1.8313610841456756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40.266106442577033</v>
      </c>
      <c r="C13" s="141">
        <f>$B$34/5.88%</f>
        <v>48.894557823129254</v>
      </c>
      <c r="D13" s="141">
        <f>$B$34/5%</f>
        <v>57.5</v>
      </c>
      <c r="E13" s="141">
        <f>$B$34/4.35%</f>
        <v>66.091954022988517</v>
      </c>
      <c r="F13" s="141">
        <f>$B$34/3.85%</f>
        <v>74.675324675324674</v>
      </c>
      <c r="G13" s="138" t="str">
        <f>"$"&amp;ROUND(B34,2)&amp;"/"&amp;IF(STDEV(C140:F140)/AVERAGE(C140:F140)&lt;15%,"高",IF(STDEV(C140:F140)/AVERAGE(C140:F140)&lt;30%,"中","低"))</f>
        <v>$2.88/高</v>
      </c>
      <c r="H13" s="142" t="s">
        <v>199</v>
      </c>
      <c r="I13" s="143">
        <f>MAX(0,1-J15)</f>
        <v>8.0000000000000071E-2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28.6431</v>
      </c>
      <c r="C14" s="141">
        <f>$B$33*C10</f>
        <v>30.555749999999996</v>
      </c>
      <c r="D14" s="141">
        <f>$B$33*D10</f>
        <v>32.686099999999996</v>
      </c>
      <c r="E14" s="141">
        <f>$B$33*E10</f>
        <v>34.34995</v>
      </c>
      <c r="F14" s="141">
        <f>$B$33*F10</f>
        <v>36.293700000000001</v>
      </c>
      <c r="G14" s="138" t="str">
        <f>"$"&amp;ROUND(B33,2)&amp;"/"&amp;IF(STDEV(B69:E69)/AVERAGE(B69:E69)&lt;15%,"高",IF(STDEV(B69:E69)/AVERAGE(B69:E69)&lt;30%,"中","低"))</f>
        <v>$3.11/高</v>
      </c>
      <c r="H14" s="142" t="s">
        <v>203</v>
      </c>
      <c r="I14" s="145">
        <f>G62/100*I13</f>
        <v>9.5600000000000077E-3</v>
      </c>
      <c r="J14" s="76" t="s">
        <v>204</v>
      </c>
      <c r="K14" s="146"/>
      <c r="L14" s="147">
        <f>(HLOOKUP($C$1,$105:$106,2,FALSE)-HLOOKUP($C$1,$117:$127,9,FALSE))/(HLOOKUP($C$1,$117:$128,12,FALSE)/K11)</f>
        <v>6.4932000255491067</v>
      </c>
      <c r="M14" s="148">
        <f>E135/E69</f>
        <v>1.44</v>
      </c>
      <c r="N14" s="149">
        <f>F173/100</f>
        <v>1.2087000000000001</v>
      </c>
    </row>
    <row r="15" spans="1:15" s="93" customFormat="1" x14ac:dyDescent="0.25">
      <c r="A15" s="140" t="s">
        <v>375</v>
      </c>
      <c r="B15" s="141">
        <f>$D$62*B10</f>
        <v>20.077800000000003</v>
      </c>
      <c r="C15" s="141">
        <f>$D$62*C10</f>
        <v>21.418500000000002</v>
      </c>
      <c r="D15" s="141">
        <f>$D$62*D10</f>
        <v>22.911799999999999</v>
      </c>
      <c r="E15" s="141">
        <f>$D$62*E10</f>
        <v>24.078100000000003</v>
      </c>
      <c r="F15" s="141">
        <f>$D$62*F10</f>
        <v>25.440600000000003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0.91999999999999993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18.837646873938557</v>
      </c>
      <c r="C16" s="141">
        <f>$F$69*C10</f>
        <v>20.095535345976796</v>
      </c>
      <c r="D16" s="141">
        <f>$F$69*D10</f>
        <v>21.496598115645408</v>
      </c>
      <c r="E16" s="141">
        <f>$F$69*E10</f>
        <v>22.590858818963227</v>
      </c>
      <c r="F16" s="141">
        <f>$F$69*F10</f>
        <v>23.869200762091523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280</v>
      </c>
      <c r="J17" s="92">
        <f ca="1">IF(I17&lt;=0,"",IF(I17&lt;=MIN($B$13:$F$16),(I17-MIN($B$13:$F$16))/MIN($B$13:$F$16),IF(I17&gt;=MAX($B$13:$F$16),I17/MAX($B$13:$F$16),PERCENTRANK($B$13:$F$16,I17))))</f>
        <v>3.7495652173913046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2.6475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0.92086956521739127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0.27924490545902697</v>
      </c>
      <c r="J20" s="171">
        <f>HLOOKUP($C$1,$117:$127,11,FALSE)/HLOOKUP($C$1,$105:$115,11,FALSE)</f>
        <v>0.5561422780011489</v>
      </c>
      <c r="K20" s="163"/>
    </row>
    <row r="21" spans="1:14" s="93" customFormat="1" x14ac:dyDescent="0.25">
      <c r="A21" s="151" t="s">
        <v>201</v>
      </c>
      <c r="B21" s="161">
        <f>AVERAGE(C173:F173)/100</f>
        <v>0.93359999999999999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12.9024</v>
      </c>
      <c r="G21" s="88" t="s">
        <v>220</v>
      </c>
      <c r="H21" s="123" t="s">
        <v>221</v>
      </c>
      <c r="I21" s="162">
        <f>HLOOKUP($C$1,$105:$115,7,FALSE)/HLOOKUP($C$1,$117:$127,8,FALSE)</f>
        <v>1.7639581526813009</v>
      </c>
      <c r="J21" s="78"/>
      <c r="K21" s="164" t="s">
        <v>356</v>
      </c>
      <c r="L21" s="165">
        <f>HLOOKUP($C$1,$105:$115,7,FALSE)/HLOOKUP($C$1,$105:$115,11,FALSE)</f>
        <v>0.94053133176216874</v>
      </c>
      <c r="M21" s="123" t="s">
        <v>268</v>
      </c>
      <c r="N21" s="165">
        <f>HLOOKUP($C$1,$117:$127,8,FALSE)/HLOOKUP($C$1,$117:$127,11,FALSE)</f>
        <v>0.95873609524867498</v>
      </c>
    </row>
    <row r="22" spans="1:14" s="93" customFormat="1" x14ac:dyDescent="0.25">
      <c r="A22" s="140" t="s">
        <v>222</v>
      </c>
      <c r="B22" s="161">
        <f>(-1)*SUM(C133:F133)/SUM(C132:F132)</f>
        <v>9.7186700767263434E-2</v>
      </c>
      <c r="C22" s="157"/>
      <c r="D22" s="166"/>
      <c r="E22" s="140"/>
      <c r="F22" s="159">
        <f>IF(B22&lt;=0,10,IF(B22&gt;=100%,0,(1-B22)*10))</f>
        <v>9.0281329923273663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1.2180738287655786</v>
      </c>
      <c r="J22" s="78"/>
      <c r="K22" s="142" t="s">
        <v>357</v>
      </c>
      <c r="L22" s="165">
        <f>HLOOKUP($C$1,$105:$115,4,FALSE)/HLOOKUP($C$1,$105:$115,11,FALSE)</f>
        <v>0.37505432353948381</v>
      </c>
      <c r="M22" s="123" t="s">
        <v>353</v>
      </c>
      <c r="N22" s="165">
        <f>HLOOKUP($C$1,$117:$127,4,FALSE)/HLOOKUP($C$1,$117:$127,11,FALSE)</f>
        <v>0.49788944932819856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2.2529742087095839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0.29106206934678153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0.96629601174770441</v>
      </c>
      <c r="C24" s="169">
        <f>STDEV(C103:F103)</f>
        <v>2.1301761722203501E-2</v>
      </c>
      <c r="D24" s="76" t="str">
        <f>IF(C24/B24&lt;15%,"高",IF(C24/B24&lt;30%,"中","低"))</f>
        <v>高</v>
      </c>
      <c r="E24" s="149"/>
      <c r="F24" s="160">
        <f>MIN(100%,B24)*5</f>
        <v>4.8314800587385225</v>
      </c>
      <c r="G24" s="88" t="s">
        <v>229</v>
      </c>
      <c r="H24" s="123" t="s">
        <v>16</v>
      </c>
      <c r="I24" s="170">
        <f>HLOOKUP(C1,167:170,2,FALSE)</f>
        <v>52.94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7.4693907010385582E-3</v>
      </c>
      <c r="M24" s="123" t="s">
        <v>355</v>
      </c>
      <c r="N24" s="165">
        <f>HLOOKUP($C$1,$117:$127,9,FALSE)/HLOOKUP($C$1,$117:$127,11,FALSE)</f>
        <v>4.1263904751325027E-2</v>
      </c>
    </row>
    <row r="25" spans="1:14" s="93" customFormat="1" x14ac:dyDescent="0.25">
      <c r="A25" s="151" t="s">
        <v>366</v>
      </c>
      <c r="B25" s="255">
        <f>AVERAGE(94:94)</f>
        <v>-5495.260869565217</v>
      </c>
      <c r="C25" s="254">
        <f>STDEV(94:94)/AVERAGE(94:94)</f>
        <v>-4.7846063637912071</v>
      </c>
      <c r="D25" s="76" t="str">
        <f>IF(C25&lt;=1,"高",IF(C25&lt;=2,"中","低"))</f>
        <v>高</v>
      </c>
      <c r="E25" s="149"/>
      <c r="F25" s="160">
        <f>MAX(0,10-ABS(C25))</f>
        <v>5.2153936362087929</v>
      </c>
      <c r="G25" s="88" t="s">
        <v>213</v>
      </c>
      <c r="H25" s="123" t="s">
        <v>232</v>
      </c>
      <c r="I25" s="170">
        <f>IF(HLOOKUP(C1,167:170,3,FALSE)="無",0,HLOOKUP(C1,167:170,3,FALSE))</f>
        <v>48.39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48.647826086956528</v>
      </c>
      <c r="C26" s="172">
        <f>IF(COUNTIF(168:168,"&gt;0")=0,0,STDEV(168:168))</f>
        <v>4.973750145899368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57.35521739130435</v>
      </c>
      <c r="C27" s="172">
        <f>IF(COUNTIF(169:169,"&gt;0")=0,0,STDEV(169:169))</f>
        <v>9.2169285307796862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8.5374999999999993E-2</v>
      </c>
      <c r="C30" s="157" t="s">
        <v>217</v>
      </c>
      <c r="D30" s="174">
        <f>COUNTIF(146:146,"&gt;20")/COUNT(146:146)</f>
        <v>0</v>
      </c>
      <c r="E30" s="140" t="s">
        <v>239</v>
      </c>
      <c r="F30" s="159">
        <f>MIN(B30/25%*10,10)</f>
        <v>3.4149999999999996</v>
      </c>
      <c r="G30" s="175"/>
      <c r="H30" s="176"/>
    </row>
    <row r="31" spans="1:14" x14ac:dyDescent="0.25">
      <c r="A31" s="164" t="s">
        <v>240</v>
      </c>
      <c r="B31" s="173">
        <f>AVERAGE(C155:F155)/100</f>
        <v>2.9874999999999999E-2</v>
      </c>
      <c r="C31" s="157" t="s">
        <v>217</v>
      </c>
      <c r="D31" s="174">
        <f>COUNTIF(149:149,"&gt;8")/COUNT(149:149)</f>
        <v>0</v>
      </c>
      <c r="E31" s="140" t="s">
        <v>241</v>
      </c>
      <c r="F31" s="159">
        <f>MIN(B31/10%*10,10)</f>
        <v>2.9874999999999998</v>
      </c>
      <c r="G31" s="175"/>
    </row>
    <row r="32" spans="1:14" x14ac:dyDescent="0.25">
      <c r="A32" s="155" t="s">
        <v>47</v>
      </c>
      <c r="B32" s="177">
        <f>AVERAGE(C165:F165)</f>
        <v>16.517499999999998</v>
      </c>
      <c r="C32" s="157" t="s">
        <v>217</v>
      </c>
      <c r="D32" s="174">
        <f>COUNTIF(159:159,"&gt;3")/COUNT(159:159)</f>
        <v>0.73913043478260865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3.11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2.875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9.7733118971061099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19277203.75</v>
      </c>
      <c r="C36" s="178">
        <f>STDEV(C97:F97)</f>
        <v>1286012.1206394532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8.5374999999999996</v>
      </c>
      <c r="C37" s="180">
        <f>STDEV(C152:F152)</f>
        <v>0.49815492904650999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3.6825000000000001</v>
      </c>
      <c r="C38" s="180">
        <f>STDEV(C153:F153)</f>
        <v>0.20418537329266936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16.517499999999998</v>
      </c>
      <c r="C39" s="181">
        <f>STDEV(C165:F165)</f>
        <v>2.1849694887267281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3.11</v>
      </c>
      <c r="C40" s="183">
        <f>STDEV(B69:E69)</f>
        <v>0.4234776656841947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0.45999999999999996</v>
      </c>
      <c r="C44" s="186">
        <f>(C46-C49)/C49</f>
        <v>-1.9230769230769246E-2</v>
      </c>
      <c r="D44" s="186">
        <f>(D46-D49)/D49</f>
        <v>-0.83076923076923082</v>
      </c>
      <c r="E44" s="186">
        <f>(E46-E49)/E49</f>
        <v>0.13698630136986298</v>
      </c>
      <c r="G44" s="86" t="s">
        <v>175</v>
      </c>
      <c r="H44" s="186">
        <f>(H47-H50)/H50</f>
        <v>0.15361445783132532</v>
      </c>
      <c r="I44" s="186">
        <f>(I47-I50)/I50</f>
        <v>0.10714285714285718</v>
      </c>
      <c r="J44" s="186">
        <f>(J47-J50)/J50</f>
        <v>-0.44222222222222224</v>
      </c>
      <c r="K44" s="186">
        <f>(K47-K50)/K50</f>
        <v>2.6041666666667415E-3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0.73</v>
      </c>
      <c r="C46" s="152">
        <f>HLOOKUP(C45,$81:$82,2,FALSE)</f>
        <v>0.51</v>
      </c>
      <c r="D46" s="152">
        <f>HLOOKUP(D45,$81:$82,2,FALSE)</f>
        <v>0.11</v>
      </c>
      <c r="E46" s="152">
        <f>HLOOKUP(E45,$81:$82,2,FALSE)</f>
        <v>0.83</v>
      </c>
      <c r="G46" s="86" t="s">
        <v>164</v>
      </c>
      <c r="H46" s="145">
        <f>HLOOKUP(H45,$145:$147,2,FALSE)/100</f>
        <v>8.7799999999999989E-2</v>
      </c>
      <c r="I46" s="145">
        <f>HLOOKUP(I45,$145:$147,2,FALSE)/100</f>
        <v>7.9100000000000004E-2</v>
      </c>
      <c r="J46" s="145">
        <f>HLOOKUP(J45,$145:$147,2,FALSE)/100</f>
        <v>7.4200000000000002E-2</v>
      </c>
      <c r="K46" s="145">
        <f>HLOOKUP(K45,$145:$147,2,FALSE)/100</f>
        <v>8.8699999999999987E-2</v>
      </c>
    </row>
    <row r="47" spans="1:14" x14ac:dyDescent="0.25">
      <c r="A47" s="188" t="s">
        <v>165</v>
      </c>
      <c r="B47" s="189">
        <f>HLOOKUP(B45,$157:$159,3,FALSE)</f>
        <v>4.0199999999999996</v>
      </c>
      <c r="C47" s="189">
        <f>HLOOKUP(C45,$157:$159,3,FALSE)</f>
        <v>2.68</v>
      </c>
      <c r="D47" s="189">
        <f>HLOOKUP(D45,$157:$159,3,FALSE)</f>
        <v>0.66</v>
      </c>
      <c r="E47" s="189">
        <f>HLOOKUP(E45,$157:$159,3,FALSE)</f>
        <v>4.59</v>
      </c>
      <c r="G47" s="190" t="s">
        <v>166</v>
      </c>
      <c r="H47" s="145">
        <f>HLOOKUP(H45,$145:$147,3,FALSE)/100</f>
        <v>3.8300000000000001E-2</v>
      </c>
      <c r="I47" s="145">
        <f>HLOOKUP(I45,$145:$147,3,FALSE)/100</f>
        <v>2.7900000000000001E-2</v>
      </c>
      <c r="J47" s="145">
        <f>HLOOKUP(J45,$145:$147,3,FALSE)/100</f>
        <v>2.5099999999999997E-2</v>
      </c>
      <c r="K47" s="145">
        <f>HLOOKUP(K45,$145:$147,3,FALSE)/100</f>
        <v>3.85E-2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0.5</v>
      </c>
      <c r="C49" s="152">
        <f>HLOOKUP(C48,$81:$82,2,FALSE)</f>
        <v>0.52</v>
      </c>
      <c r="D49" s="152">
        <f>HLOOKUP(D48,$81:$82,2,FALSE)</f>
        <v>0.65</v>
      </c>
      <c r="E49" s="152">
        <f>HLOOKUP(E48,$81:$82,2,FALSE)</f>
        <v>0.73</v>
      </c>
      <c r="G49" s="86" t="s">
        <v>164</v>
      </c>
      <c r="H49" s="145">
        <f>HLOOKUP(H48,$145:$147,2,FALSE)/100</f>
        <v>7.5300000000000006E-2</v>
      </c>
      <c r="I49" s="145">
        <f>HLOOKUP(I48,$145:$147,2,FALSE)/100</f>
        <v>7.2700000000000001E-2</v>
      </c>
      <c r="J49" s="145">
        <f>HLOOKUP(J48,$145:$147,2,FALSE)/100</f>
        <v>9.2600000000000002E-2</v>
      </c>
      <c r="K49" s="145">
        <f>HLOOKUP(K48,$145:$147,2,FALSE)/100</f>
        <v>8.7300000000000003E-2</v>
      </c>
    </row>
    <row r="50" spans="1:15" x14ac:dyDescent="0.25">
      <c r="A50" s="188" t="s">
        <v>165</v>
      </c>
      <c r="B50" s="189">
        <f>HLOOKUP(B48,$157:$159,3,FALSE)</f>
        <v>2.87</v>
      </c>
      <c r="C50" s="189">
        <f>HLOOKUP(C48,$157:$159,3,FALSE)</f>
        <v>2.82</v>
      </c>
      <c r="D50" s="189">
        <f>HLOOKUP(D48,$157:$159,3,FALSE)</f>
        <v>3.32</v>
      </c>
      <c r="E50" s="189">
        <f>HLOOKUP(E48,$157:$159,3,FALSE)</f>
        <v>3.87</v>
      </c>
      <c r="G50" s="190" t="s">
        <v>166</v>
      </c>
      <c r="H50" s="145">
        <f>HLOOKUP(H48,$145:$147,3,FALSE)/100</f>
        <v>3.32E-2</v>
      </c>
      <c r="I50" s="145">
        <f>HLOOKUP(I48,$145:$147,3,FALSE)/100</f>
        <v>2.52E-2</v>
      </c>
      <c r="J50" s="145">
        <f>HLOOKUP(J48,$145:$147,3,FALSE)/100</f>
        <v>4.4999999999999998E-2</v>
      </c>
      <c r="K50" s="145">
        <f>HLOOKUP(K48,$145:$147,3,FALSE)/100</f>
        <v>3.8399999999999997E-2</v>
      </c>
    </row>
    <row r="51" spans="1:15" x14ac:dyDescent="0.25">
      <c r="A51" s="86" t="s">
        <v>351</v>
      </c>
      <c r="B51" s="186">
        <f>(B47-B50)/B50</f>
        <v>0.40069686411149807</v>
      </c>
      <c r="C51" s="186">
        <f>(C47-C50)/C50</f>
        <v>-4.9645390070921877E-2</v>
      </c>
      <c r="D51" s="186">
        <f>(D47-D50)/D50</f>
        <v>-0.8012048192771084</v>
      </c>
      <c r="E51" s="186">
        <f>(E47-E50)/E50</f>
        <v>0.18604651162790692</v>
      </c>
      <c r="G51" s="235" t="s">
        <v>174</v>
      </c>
      <c r="H51" s="186">
        <f>(H46-H49)/H49</f>
        <v>0.16600265604249645</v>
      </c>
      <c r="I51" s="186">
        <f>(I46-I49)/I49</f>
        <v>8.8033012379642409E-2</v>
      </c>
      <c r="J51" s="186">
        <f>(J46-J49)/J49</f>
        <v>-0.19870410367170627</v>
      </c>
      <c r="K51" s="186">
        <f>(K46-K49)/K49</f>
        <v>1.6036655211912765E-2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2.3143668712179397</v>
      </c>
      <c r="B53" s="193">
        <f>B46</f>
        <v>0.73</v>
      </c>
      <c r="C53" s="193">
        <f>E46/HLOOKUP(E45,$87:$94,5,FALSE)*HLOOKUP(E45,$87:$94,4,FALSE)*($B$25/HLOOKUP(E45,$87:$94,4,FALSE)+SUM($B$57:$D$57)/SUM($B58:$D$58)*$G$69/100/K46)</f>
        <v>0.69534710900527152</v>
      </c>
      <c r="D53" s="193">
        <f>D46/HLOOKUP(D45,$87:$94,5,FALSE)*HLOOKUP(D45,$87:$94,4,FALSE)*($B$25/HLOOKUP(D45,$87:$94,4,FALSE)+SUM($B$57:$D$57)/SUM($B58:$D$58)*$G$69/100/J46)</f>
        <v>0.38356771005784734</v>
      </c>
      <c r="E53" s="193">
        <f>C46/HLOOKUP(C45,$87:$94,5,FALSE)*HLOOKUP(C45,$87:$94,4,FALSE)*($B$25/HLOOKUP(C45,$87:$94,4,FALSE)+SUM($B$57:$D$57)/SUM($B58:$D$58)*$G$69/100/I46)</f>
        <v>0.50545205215482092</v>
      </c>
    </row>
    <row r="54" spans="1:15" x14ac:dyDescent="0.25">
      <c r="A54" s="278">
        <f>SUM(B54:E54)</f>
        <v>1.9500000000000002</v>
      </c>
      <c r="B54" s="277">
        <f t="shared" ref="B54:D54" si="0">HLOOKUP(B52-10,81:82,2,FALSE)</f>
        <v>0.5</v>
      </c>
      <c r="C54" s="277">
        <f t="shared" si="0"/>
        <v>0.83</v>
      </c>
      <c r="D54" s="277">
        <f t="shared" si="0"/>
        <v>0.11</v>
      </c>
      <c r="E54" s="277">
        <f>HLOOKUP(E52-10,81:82,2,FALSE)</f>
        <v>0.51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1574220</v>
      </c>
      <c r="C57" s="196">
        <f>HLOOKUP(C56,78:79,2,FALSE)</f>
        <v>1779269</v>
      </c>
      <c r="D57" s="196">
        <f>HLOOKUP(D56,78:79,2,FALSE)</f>
        <v>1673763</v>
      </c>
      <c r="E57" s="196">
        <f>HLOOKUP(E56,78:79,2,FALSE)</f>
        <v>1518716</v>
      </c>
      <c r="F57" s="196">
        <f>HLOOKUP(F56,78:79,2,FALSE)</f>
        <v>1469388</v>
      </c>
      <c r="G57" s="196">
        <f t="shared" ref="G57:M57" si="2">HLOOKUP(G56,78:79,2,FALSE)</f>
        <v>1401618</v>
      </c>
      <c r="H57" s="196">
        <f t="shared" si="2"/>
        <v>1454717</v>
      </c>
      <c r="I57" s="196">
        <f t="shared" si="2"/>
        <v>1633258</v>
      </c>
      <c r="J57" s="196">
        <f t="shared" si="2"/>
        <v>1156644</v>
      </c>
      <c r="K57" s="196">
        <f t="shared" si="2"/>
        <v>1499609</v>
      </c>
      <c r="L57" s="196">
        <f t="shared" si="2"/>
        <v>1597577</v>
      </c>
      <c r="M57" s="196">
        <f t="shared" si="2"/>
        <v>1672315</v>
      </c>
      <c r="N57" s="197"/>
    </row>
    <row r="58" spans="1:15" x14ac:dyDescent="0.25">
      <c r="A58" s="198" t="s">
        <v>253</v>
      </c>
      <c r="B58" s="196">
        <f>HLOOKUP(B56-100,78:79,2,FALSE)</f>
        <v>1610025</v>
      </c>
      <c r="C58" s="196">
        <f>HLOOKUP(C56-100,78:79,2,FALSE)</f>
        <v>1684025</v>
      </c>
      <c r="D58" s="196">
        <f>HLOOKUP(D56-100,78:79,2,FALSE)</f>
        <v>1704281</v>
      </c>
      <c r="E58" s="196">
        <f>HLOOKUP(E56-100,78:79,2,FALSE)</f>
        <v>1662397</v>
      </c>
      <c r="F58" s="196">
        <f>HLOOKUP(F56-100,78:79,2,FALSE)</f>
        <v>1569603</v>
      </c>
      <c r="G58" s="196">
        <f t="shared" ref="G58:M58" si="3">HLOOKUP(G56-100,78:79,2,FALSE)</f>
        <v>1586387</v>
      </c>
      <c r="H58" s="196">
        <f t="shared" si="3"/>
        <v>1672425</v>
      </c>
      <c r="I58" s="196">
        <f t="shared" si="3"/>
        <v>1500167</v>
      </c>
      <c r="J58" s="196">
        <f t="shared" si="3"/>
        <v>983706</v>
      </c>
      <c r="K58" s="196">
        <f t="shared" si="3"/>
        <v>1579514</v>
      </c>
      <c r="L58" s="196">
        <f t="shared" si="3"/>
        <v>1681891</v>
      </c>
      <c r="M58" s="196">
        <f t="shared" si="3"/>
        <v>1498109</v>
      </c>
      <c r="N58" s="197"/>
    </row>
    <row r="59" spans="1:15" x14ac:dyDescent="0.25">
      <c r="A59" s="199" t="s">
        <v>254</v>
      </c>
      <c r="B59" s="165">
        <f>IF(B57&lt;&gt;"",(B57-B58)/B58,"")</f>
        <v>-2.2238785112032422E-2</v>
      </c>
      <c r="C59" s="165">
        <f>IF(C57&lt;&gt;"",(C57-C58)/C58,"")</f>
        <v>5.6557355146152816E-2</v>
      </c>
      <c r="D59" s="165">
        <f>IF(D57&lt;&gt;"",(D57-D58)/D58,"")</f>
        <v>-1.790667149372668E-2</v>
      </c>
      <c r="E59" s="165">
        <f>IF(E57&lt;&gt;"",(E57-E58)/E58,"")</f>
        <v>-8.6430016416054647E-2</v>
      </c>
      <c r="F59" s="165">
        <f>IF(F57&lt;&gt;"",(F57-F58)/F58,"")</f>
        <v>-6.3847355031813782E-2</v>
      </c>
      <c r="G59" s="165">
        <f t="shared" ref="G59:M59" si="4">IF(G57&lt;&gt;"",(G57-G58)/G58,"")</f>
        <v>-0.11647157975954164</v>
      </c>
      <c r="H59" s="165">
        <f t="shared" si="4"/>
        <v>-0.13017504521876916</v>
      </c>
      <c r="I59" s="165">
        <f t="shared" si="4"/>
        <v>8.8717456123218283E-2</v>
      </c>
      <c r="J59" s="165">
        <f t="shared" si="4"/>
        <v>0.17580252636458454</v>
      </c>
      <c r="K59" s="165">
        <f t="shared" si="4"/>
        <v>-5.0588345529067803E-2</v>
      </c>
      <c r="L59" s="165">
        <f t="shared" si="4"/>
        <v>-5.0130478134433207E-2</v>
      </c>
      <c r="M59" s="165">
        <f t="shared" si="4"/>
        <v>0.11628392860599596</v>
      </c>
    </row>
    <row r="60" spans="1:15" x14ac:dyDescent="0.25">
      <c r="A60" s="195" t="s">
        <v>255</v>
      </c>
      <c r="B60" s="196">
        <f>SUM(B57:M57)</f>
        <v>18431094</v>
      </c>
    </row>
    <row r="61" spans="1:15" x14ac:dyDescent="0.25">
      <c r="A61" s="198" t="s">
        <v>256</v>
      </c>
      <c r="B61" s="196">
        <f>SUM(B58:M58)</f>
        <v>18732530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0.98390842027211489</v>
      </c>
      <c r="D62" s="152">
        <f>SUM(B46:E46)</f>
        <v>2.1800000000000002</v>
      </c>
      <c r="E62" s="152">
        <f>SUM(B49:E49)</f>
        <v>2.4</v>
      </c>
      <c r="G62" s="126">
        <f>SUM(B47:E47)</f>
        <v>11.95</v>
      </c>
      <c r="H62" s="126">
        <f>SUM(B50:E50)</f>
        <v>12.879999999999999</v>
      </c>
      <c r="J62" s="200">
        <f>AVERAGE(H46:K46)</f>
        <v>8.2449999999999996E-2</v>
      </c>
      <c r="K62" s="200">
        <f>AVERAGE(H49:K49)</f>
        <v>8.1975000000000006E-2</v>
      </c>
      <c r="M62" s="200">
        <f>AVERAGE(H47:K47)</f>
        <v>3.245E-2</v>
      </c>
      <c r="N62" s="200">
        <f>AVERAGE(H50:K50)</f>
        <v>3.5449999999999995E-2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0.83</v>
      </c>
      <c r="C65" s="205">
        <f t="shared" si="5"/>
        <v>0.98</v>
      </c>
      <c r="D65" s="205">
        <f t="shared" si="5"/>
        <v>0.78</v>
      </c>
      <c r="E65" s="205">
        <f t="shared" si="5"/>
        <v>0.65</v>
      </c>
      <c r="F65" s="206">
        <f>IF(ISNA(HLOOKUP(F$64*10+$A65,$81:$82,2,FALSE)),(HLOOKUP(E$64*10+$A65,$87:$94,4,FALSE)*$G65+$B$25)/HLOOKUP(E$64*10+$A65,$87:$94,5,FALSE)*$E65,HLOOKUP(F$64*10+$A65,$81:$82,2,FALSE))</f>
        <v>0.11</v>
      </c>
      <c r="G65" s="101">
        <f>MIN(130%,SUM($B$57:$D$57)/SUM($B$58:$D$58)*$G$69/HLOOKUP(E$64*10+$A65,$145:$146,2,FALSE))</f>
        <v>0.91979902669191094</v>
      </c>
      <c r="H65" s="204">
        <v>1</v>
      </c>
      <c r="I65" s="208">
        <f t="shared" ref="I65:M68" si="6">IF(ISNA(HLOOKUP(I$64*10+$H65,$145:$147,3,FALSE)),"",HLOOKUP(I$64*10+$H65,$145:$147,3,FALSE)/100)</f>
        <v>3.8800000000000001E-2</v>
      </c>
      <c r="J65" s="208">
        <f t="shared" si="6"/>
        <v>4.1200000000000001E-2</v>
      </c>
      <c r="K65" s="208">
        <f t="shared" si="6"/>
        <v>4.5499999999999999E-2</v>
      </c>
      <c r="L65" s="208">
        <f t="shared" si="6"/>
        <v>4.4999999999999998E-2</v>
      </c>
      <c r="M65" s="209">
        <f t="shared" si="6"/>
        <v>2.5099999999999997E-2</v>
      </c>
      <c r="N65" s="256">
        <f t="shared" ref="N65:O68" si="7">HLOOKUP(E$64*10+$A65,$87:$94,8,FALSE)</f>
        <v>-32224</v>
      </c>
      <c r="O65" s="256">
        <f t="shared" si="7"/>
        <v>-73793</v>
      </c>
      <c r="P65" s="210"/>
    </row>
    <row r="66" spans="1:71" x14ac:dyDescent="0.25">
      <c r="A66" s="204">
        <v>2</v>
      </c>
      <c r="B66" s="205">
        <f t="shared" si="5"/>
        <v>0.96</v>
      </c>
      <c r="C66" s="205">
        <f t="shared" si="5"/>
        <v>0.85</v>
      </c>
      <c r="D66" s="205">
        <f t="shared" si="5"/>
        <v>0.54</v>
      </c>
      <c r="E66" s="205">
        <f t="shared" si="5"/>
        <v>0.52</v>
      </c>
      <c r="F66" s="206">
        <f>IF(ISNA(HLOOKUP(F$64*10+$A66,$81:$82,2,FALSE)),(HLOOKUP(E$64*10+$A66,$87:$94,4,FALSE)*$G66+$B$25)/HLOOKUP(E$64*10+$A66,$87:$94,5,FALSE)*$E66,HLOOKUP(F$64*10+$A66,$81:$82,2,FALSE))</f>
        <v>0.51</v>
      </c>
      <c r="G66" s="101">
        <f>MIN(130%,SUM($B$57:$D$57)/SUM($B$58:$D$58)*$G$69/HLOOKUP(E$64*10+$A66,$145:$146,2,FALSE))</f>
        <v>1.1715734507795179</v>
      </c>
      <c r="H66" s="204">
        <v>2</v>
      </c>
      <c r="I66" s="208">
        <f t="shared" si="6"/>
        <v>4.0300000000000002E-2</v>
      </c>
      <c r="J66" s="208">
        <f t="shared" si="6"/>
        <v>4.2300000000000004E-2</v>
      </c>
      <c r="K66" s="208">
        <f t="shared" si="6"/>
        <v>3.2000000000000001E-2</v>
      </c>
      <c r="L66" s="208">
        <f t="shared" si="6"/>
        <v>2.52E-2</v>
      </c>
      <c r="M66" s="209">
        <f t="shared" si="6"/>
        <v>2.7900000000000001E-2</v>
      </c>
      <c r="N66" s="256">
        <f t="shared" si="7"/>
        <v>1010</v>
      </c>
      <c r="O66" s="256">
        <f t="shared" si="7"/>
        <v>4889</v>
      </c>
      <c r="P66" s="210"/>
    </row>
    <row r="67" spans="1:71" x14ac:dyDescent="0.25">
      <c r="A67" s="204">
        <v>3</v>
      </c>
      <c r="B67" s="205">
        <f t="shared" si="5"/>
        <v>0.8</v>
      </c>
      <c r="C67" s="205">
        <f t="shared" si="5"/>
        <v>0.88</v>
      </c>
      <c r="D67" s="205">
        <f t="shared" si="5"/>
        <v>1.17</v>
      </c>
      <c r="E67" s="205">
        <f t="shared" si="5"/>
        <v>0.5</v>
      </c>
      <c r="F67" s="206">
        <f>IF(ISNA(HLOOKUP(F$64*10+$A67,$81:$82,2,FALSE)),(HLOOKUP(E$64*10+$A67,$87:$94,4,FALSE)*$G67+$B$25)/HLOOKUP(E$64*10+$A67,$87:$94,5,FALSE)*$E67,HLOOKUP(F$64*10+$A67,$81:$82,2,FALSE))</f>
        <v>0.73</v>
      </c>
      <c r="G67" s="101">
        <f>MIN(130%,SUM($B$57:$D$57)/SUM($B$58:$D$58)*$G$69/HLOOKUP(E$64*10+$A67,$145:$146,2,FALSE))</f>
        <v>1.1311207154272371</v>
      </c>
      <c r="H67" s="204">
        <v>3</v>
      </c>
      <c r="I67" s="208">
        <f t="shared" si="6"/>
        <v>4.0300000000000002E-2</v>
      </c>
      <c r="J67" s="208">
        <f t="shared" si="6"/>
        <v>3.6499999999999998E-2</v>
      </c>
      <c r="K67" s="208">
        <f t="shared" si="6"/>
        <v>4.2900000000000001E-2</v>
      </c>
      <c r="L67" s="208">
        <f t="shared" si="6"/>
        <v>3.32E-2</v>
      </c>
      <c r="M67" s="209">
        <f t="shared" si="6"/>
        <v>3.8300000000000001E-2</v>
      </c>
      <c r="N67" s="256">
        <f t="shared" si="7"/>
        <v>-47430</v>
      </c>
      <c r="O67" s="256">
        <f t="shared" si="7"/>
        <v>-11725</v>
      </c>
      <c r="P67" s="210"/>
    </row>
    <row r="68" spans="1:71" x14ac:dyDescent="0.25">
      <c r="A68" s="204">
        <v>4</v>
      </c>
      <c r="B68" s="205">
        <f>HLOOKUP(B$64*10+$A68,$81:$82,2,FALSE)</f>
        <v>0.65</v>
      </c>
      <c r="C68" s="205">
        <f>HLOOKUP(C$64*10+$A68,$81:$82,2,FALSE)</f>
        <v>0.77</v>
      </c>
      <c r="D68" s="205">
        <f>HLOOKUP(D$64*10+$A68,$81:$82,2,FALSE)</f>
        <v>0.73</v>
      </c>
      <c r="E68" s="206">
        <f>IF(ISNA(HLOOKUP(E$64*10+$A68,$81:$82,2,FALSE)),D68*(1-$N68)*#REF!*(1+$B$25)/(1+$E$4),HLOOKUP(E$64*10+$A68,$81:$82,2,FALSE))</f>
        <v>0.83</v>
      </c>
      <c r="F68" s="206">
        <f>IF(ISNA(HLOOKUP(F$64*10+$A68,$81:$82,2,FALSE)),(HLOOKUP(E$64*10+$A68,$87:$94,4,FALSE)*$G68+$B$25)/HLOOKUP(E$64*10+$A68,$87:$94,5,FALSE)*$E68,HLOOKUP(F$64*10+$A68,$81:$82,2,FALSE))</f>
        <v>0.69534710900527175</v>
      </c>
      <c r="G68" s="101">
        <f>MIN(130%,SUM($B$57:$D$57)/SUM($B$58:$D$58)*$G$69/HLOOKUP(E$64*10+$A68,$145:$146,2,FALSE))</f>
        <v>0.96024114849685416</v>
      </c>
      <c r="H68" s="204">
        <v>4</v>
      </c>
      <c r="I68" s="208">
        <f t="shared" si="6"/>
        <v>2.4799999999999999E-2</v>
      </c>
      <c r="J68" s="208">
        <f t="shared" si="6"/>
        <v>2.7999999999999997E-2</v>
      </c>
      <c r="K68" s="208">
        <f t="shared" si="6"/>
        <v>3.8399999999999997E-2</v>
      </c>
      <c r="L68" s="208">
        <f t="shared" si="6"/>
        <v>3.85E-2</v>
      </c>
      <c r="M68" s="209" t="str">
        <f t="shared" si="6"/>
        <v/>
      </c>
      <c r="N68" s="256">
        <f t="shared" si="7"/>
        <v>20889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3.2399999999999998</v>
      </c>
      <c r="C69" s="213">
        <f>SUM(C65:C68)</f>
        <v>3.48</v>
      </c>
      <c r="D69" s="213">
        <f>SUM(D65:D68)</f>
        <v>3.22</v>
      </c>
      <c r="E69" s="213">
        <f>SUM(E65:E68)</f>
        <v>2.5</v>
      </c>
      <c r="F69" s="213">
        <f>SUM(F65:F68)</f>
        <v>2.0453471090052719</v>
      </c>
      <c r="G69" s="257">
        <f>_xlfn.FORECAST.ETS(23,B146:W146,{1,2,3,4,5,6,7,8,9,10,11,12,13,14,15,16,17,18,19,20,21,22})</f>
        <v>8.4683400587569295</v>
      </c>
      <c r="H69" s="214" t="s">
        <v>19</v>
      </c>
      <c r="I69" s="215">
        <f>HLOOKUP(I64,151:155,3,FALSE)/100</f>
        <v>3.5699999999999996E-2</v>
      </c>
      <c r="J69" s="215">
        <f>HLOOKUP(J64,151:155,3,FALSE)/100</f>
        <v>3.6799999999999999E-2</v>
      </c>
      <c r="K69" s="215">
        <f>HLOOKUP(K64,151:155,3,FALSE)/100</f>
        <v>3.9699999999999999E-2</v>
      </c>
      <c r="L69" s="215">
        <f>IF(ISNA(HLOOKUP(L64,151:155,3,FALSE)/100),AVERAGE(L65:L68),HLOOKUP(L64,151:155,3,FALSE)/100)</f>
        <v>3.5099999999999999E-2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4.62</v>
      </c>
      <c r="C72" s="205">
        <f t="shared" si="8"/>
        <v>5.08</v>
      </c>
      <c r="D72" s="205">
        <f t="shared" si="8"/>
        <v>4</v>
      </c>
      <c r="E72" s="205">
        <f t="shared" si="8"/>
        <v>3.32</v>
      </c>
      <c r="F72" s="205">
        <f t="shared" si="8"/>
        <v>0.66</v>
      </c>
    </row>
    <row r="73" spans="1:71" s="135" customFormat="1" x14ac:dyDescent="0.25">
      <c r="A73" s="204">
        <v>2</v>
      </c>
      <c r="B73" s="205">
        <f t="shared" si="8"/>
        <v>5.31</v>
      </c>
      <c r="C73" s="205">
        <f t="shared" si="8"/>
        <v>4.53</v>
      </c>
      <c r="D73" s="205">
        <f t="shared" si="8"/>
        <v>2.97</v>
      </c>
      <c r="E73" s="205">
        <f t="shared" si="8"/>
        <v>2.82</v>
      </c>
      <c r="F73" s="205">
        <f t="shared" si="8"/>
        <v>2.68</v>
      </c>
    </row>
    <row r="74" spans="1:71" s="135" customFormat="1" x14ac:dyDescent="0.25">
      <c r="A74" s="204">
        <v>3</v>
      </c>
      <c r="B74" s="205">
        <f t="shared" si="8"/>
        <v>4.57</v>
      </c>
      <c r="C74" s="205">
        <f t="shared" si="8"/>
        <v>4.8499999999999996</v>
      </c>
      <c r="D74" s="205">
        <f t="shared" si="8"/>
        <v>6.48</v>
      </c>
      <c r="E74" s="205">
        <f t="shared" si="8"/>
        <v>2.87</v>
      </c>
      <c r="F74" s="205">
        <f t="shared" si="8"/>
        <v>4.0199999999999996</v>
      </c>
    </row>
    <row r="75" spans="1:71" s="135" customFormat="1" x14ac:dyDescent="0.25">
      <c r="A75" s="204">
        <v>4</v>
      </c>
      <c r="B75" s="205">
        <f t="shared" si="8"/>
        <v>3.46</v>
      </c>
      <c r="C75" s="205">
        <f t="shared" si="8"/>
        <v>4.1399999999999997</v>
      </c>
      <c r="D75" s="205">
        <f t="shared" si="8"/>
        <v>3.87</v>
      </c>
      <c r="E75" s="205">
        <f t="shared" si="8"/>
        <v>4.59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17.96</v>
      </c>
      <c r="C76" s="213">
        <f>SUM(C72:C75)</f>
        <v>18.599999999999998</v>
      </c>
      <c r="D76" s="213">
        <f>SUM(D72:D75)</f>
        <v>17.32</v>
      </c>
      <c r="E76" s="213">
        <f>AVERAGE(E72:E75)*4</f>
        <v>13.6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1090356</v>
      </c>
      <c r="C79" s="270">
        <v>1368217</v>
      </c>
      <c r="D79" s="270">
        <v>1705314</v>
      </c>
      <c r="E79" s="270">
        <v>1665894</v>
      </c>
      <c r="F79" s="270">
        <v>1695916</v>
      </c>
      <c r="G79" s="270">
        <v>1503588</v>
      </c>
      <c r="H79" s="270">
        <v>1688683</v>
      </c>
      <c r="I79" s="270">
        <v>1700073</v>
      </c>
      <c r="J79" s="270">
        <v>1796730</v>
      </c>
      <c r="K79" s="270">
        <v>1542287</v>
      </c>
      <c r="L79" s="270">
        <v>1539630</v>
      </c>
      <c r="M79" s="270">
        <v>1449310</v>
      </c>
      <c r="N79" s="270">
        <v>1725984</v>
      </c>
      <c r="O79" s="270">
        <v>1285766</v>
      </c>
      <c r="P79" s="270">
        <v>1863540</v>
      </c>
      <c r="Q79" s="270">
        <v>1666994</v>
      </c>
      <c r="R79" s="270">
        <v>1636354</v>
      </c>
      <c r="S79" s="270">
        <v>1471442</v>
      </c>
      <c r="T79" s="270">
        <v>1659123</v>
      </c>
      <c r="U79" s="270">
        <v>1629138</v>
      </c>
      <c r="V79" s="270">
        <v>1823913</v>
      </c>
      <c r="W79" s="270">
        <v>1797945</v>
      </c>
      <c r="X79" s="270">
        <v>1717442</v>
      </c>
      <c r="Y79" s="270">
        <v>1783019</v>
      </c>
      <c r="Z79" s="270">
        <v>1566892</v>
      </c>
      <c r="AA79" s="270">
        <v>1318591</v>
      </c>
      <c r="AB79" s="270">
        <v>1665454</v>
      </c>
      <c r="AC79" s="270">
        <v>1740818</v>
      </c>
      <c r="AD79" s="270">
        <v>1787198</v>
      </c>
      <c r="AE79" s="270">
        <v>1687396</v>
      </c>
      <c r="AF79" s="270">
        <v>1783075</v>
      </c>
      <c r="AG79" s="270">
        <v>1760690</v>
      </c>
      <c r="AH79" s="270">
        <v>1817973</v>
      </c>
      <c r="AI79" s="270">
        <v>1782403</v>
      </c>
      <c r="AJ79" s="270">
        <v>1816922</v>
      </c>
      <c r="AK79" s="270">
        <v>1717655</v>
      </c>
      <c r="AL79" s="270">
        <v>1671209</v>
      </c>
      <c r="AM79" s="270">
        <v>1052174</v>
      </c>
      <c r="AN79" s="270">
        <v>1522105</v>
      </c>
      <c r="AO79" s="270">
        <v>1448419</v>
      </c>
      <c r="AP79" s="270">
        <v>1449371</v>
      </c>
      <c r="AQ79" s="270">
        <v>1384297</v>
      </c>
      <c r="AR79" s="270">
        <v>1416851</v>
      </c>
      <c r="AS79" s="270">
        <v>1494530</v>
      </c>
      <c r="AT79" s="270">
        <v>1568376</v>
      </c>
      <c r="AU79" s="270">
        <v>1483075</v>
      </c>
      <c r="AV79" s="270">
        <v>1498109</v>
      </c>
      <c r="AW79" s="270">
        <v>1681891</v>
      </c>
      <c r="AX79" s="270">
        <v>1579514</v>
      </c>
      <c r="AY79" s="270">
        <v>983706</v>
      </c>
      <c r="AZ79" s="270">
        <v>1500167</v>
      </c>
      <c r="BA79" s="270">
        <v>1672425</v>
      </c>
      <c r="BB79" s="270">
        <v>1586387</v>
      </c>
      <c r="BC79" s="270">
        <v>1569603</v>
      </c>
      <c r="BD79" s="270">
        <v>1662397</v>
      </c>
      <c r="BE79" s="270">
        <v>1704281</v>
      </c>
      <c r="BF79" s="270">
        <v>1684025</v>
      </c>
      <c r="BG79" s="270">
        <v>1610025</v>
      </c>
      <c r="BH79" s="270">
        <v>1672315</v>
      </c>
      <c r="BI79" s="270">
        <v>1597577</v>
      </c>
      <c r="BJ79" s="270">
        <v>1499609</v>
      </c>
      <c r="BK79" s="270">
        <v>1156644</v>
      </c>
      <c r="BL79" s="270">
        <v>1633258</v>
      </c>
      <c r="BM79" s="270">
        <v>1454717</v>
      </c>
      <c r="BN79" s="270">
        <v>1401618</v>
      </c>
      <c r="BO79" s="270">
        <v>1469388</v>
      </c>
      <c r="BP79" s="270">
        <v>1518716</v>
      </c>
      <c r="BQ79" s="270">
        <v>1673763</v>
      </c>
      <c r="BR79" s="270">
        <v>1779269</v>
      </c>
      <c r="BS79" s="270">
        <v>1574220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0.5</v>
      </c>
      <c r="C82" s="72">
        <v>0.75</v>
      </c>
      <c r="D82" s="72">
        <v>0.75</v>
      </c>
      <c r="E82" s="72">
        <v>0.56999999999999995</v>
      </c>
      <c r="F82" s="72">
        <v>0.83</v>
      </c>
      <c r="G82" s="72">
        <v>0.96</v>
      </c>
      <c r="H82" s="72">
        <v>0.8</v>
      </c>
      <c r="I82" s="72">
        <v>0.65</v>
      </c>
      <c r="J82" s="72">
        <v>0.98</v>
      </c>
      <c r="K82" s="72">
        <v>0.85</v>
      </c>
      <c r="L82" s="72">
        <v>0.88</v>
      </c>
      <c r="M82" s="72">
        <v>0.77</v>
      </c>
      <c r="N82" s="72">
        <v>0.78</v>
      </c>
      <c r="O82" s="72">
        <v>0.54</v>
      </c>
      <c r="P82" s="72">
        <v>1.17</v>
      </c>
      <c r="Q82" s="72">
        <v>0.73</v>
      </c>
      <c r="R82" s="72">
        <v>0.65</v>
      </c>
      <c r="S82" s="72">
        <v>0.52</v>
      </c>
      <c r="T82" s="72">
        <v>0.5</v>
      </c>
      <c r="U82" s="72">
        <v>0.83</v>
      </c>
      <c r="V82" s="72">
        <v>0.11</v>
      </c>
      <c r="W82" s="72">
        <v>0.51</v>
      </c>
      <c r="X82" s="72">
        <v>0.73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18.059999999999999</v>
      </c>
      <c r="C85" s="72">
        <v>16.61</v>
      </c>
      <c r="D85" s="72">
        <v>17.329999999999998</v>
      </c>
      <c r="E85" s="72">
        <v>17.82</v>
      </c>
      <c r="F85" s="72">
        <v>18.61</v>
      </c>
      <c r="G85" s="72">
        <v>17.36</v>
      </c>
      <c r="H85" s="72">
        <v>18.149999999999999</v>
      </c>
      <c r="I85" s="72">
        <v>18.77</v>
      </c>
      <c r="J85" s="72">
        <v>19.78</v>
      </c>
      <c r="K85" s="72">
        <v>17.62</v>
      </c>
      <c r="L85" s="72">
        <v>18.510000000000002</v>
      </c>
      <c r="M85" s="72">
        <v>19.28</v>
      </c>
      <c r="N85" s="72">
        <v>20.05</v>
      </c>
      <c r="O85" s="72">
        <v>17.39</v>
      </c>
      <c r="P85" s="72">
        <v>18.61</v>
      </c>
      <c r="Q85" s="72">
        <v>19.239999999999998</v>
      </c>
      <c r="R85" s="72">
        <v>20.13</v>
      </c>
      <c r="S85" s="72">
        <v>17.649999999999999</v>
      </c>
      <c r="T85" s="72">
        <v>18.12</v>
      </c>
      <c r="U85" s="72">
        <v>18.95</v>
      </c>
      <c r="V85" s="72">
        <v>20.23</v>
      </c>
      <c r="W85" s="72">
        <v>18.350000000000001</v>
      </c>
      <c r="X85" s="72">
        <v>19.010000000000002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4403463</v>
      </c>
      <c r="C88" s="273">
        <v>5099593</v>
      </c>
      <c r="D88" s="273">
        <v>5476679</v>
      </c>
      <c r="E88" s="273">
        <v>4788164</v>
      </c>
      <c r="F88" s="273">
        <v>4873793</v>
      </c>
      <c r="G88" s="273">
        <v>4773662</v>
      </c>
      <c r="H88" s="273">
        <v>5063970</v>
      </c>
      <c r="I88" s="273">
        <v>5452622</v>
      </c>
      <c r="J88" s="273">
        <v>4548933</v>
      </c>
      <c r="K88" s="273">
        <v>5222854</v>
      </c>
      <c r="L88" s="273">
        <v>5350806</v>
      </c>
      <c r="M88" s="273">
        <v>5332585</v>
      </c>
      <c r="N88" s="273">
        <v>4246062</v>
      </c>
      <c r="O88" s="273">
        <v>4283678</v>
      </c>
      <c r="P88" s="273">
        <v>4483139</v>
      </c>
      <c r="Q88" s="273">
        <v>4659364</v>
      </c>
      <c r="R88" s="273">
        <v>4063387</v>
      </c>
      <c r="S88" s="273">
        <v>4828415</v>
      </c>
      <c r="T88" s="273">
        <v>5045475</v>
      </c>
      <c r="U88" s="273">
        <v>4880070</v>
      </c>
      <c r="V88" s="273">
        <v>4289351</v>
      </c>
      <c r="W88" s="273">
        <v>4323562</v>
      </c>
      <c r="X88" s="273">
        <v>4972573</v>
      </c>
    </row>
    <row r="89" spans="1:25" ht="14.25" thickBot="1" x14ac:dyDescent="0.3">
      <c r="A89" s="250" t="s">
        <v>4</v>
      </c>
      <c r="B89" s="275">
        <v>328700</v>
      </c>
      <c r="C89" s="275">
        <v>400369</v>
      </c>
      <c r="D89" s="275">
        <v>415166</v>
      </c>
      <c r="E89" s="275">
        <v>296040</v>
      </c>
      <c r="F89" s="275">
        <v>428396</v>
      </c>
      <c r="G89" s="275">
        <v>411281</v>
      </c>
      <c r="H89" s="275">
        <v>408001</v>
      </c>
      <c r="I89" s="275">
        <v>407036</v>
      </c>
      <c r="J89" s="275">
        <v>412444</v>
      </c>
      <c r="K89" s="275">
        <v>457949</v>
      </c>
      <c r="L89" s="275">
        <v>438454</v>
      </c>
      <c r="M89" s="275">
        <v>422346</v>
      </c>
      <c r="N89" s="275">
        <v>417578</v>
      </c>
      <c r="O89" s="275">
        <v>340226</v>
      </c>
      <c r="P89" s="275">
        <v>461042</v>
      </c>
      <c r="Q89" s="275">
        <v>406642</v>
      </c>
      <c r="R89" s="275">
        <v>376442</v>
      </c>
      <c r="S89" s="275">
        <v>351017</v>
      </c>
      <c r="T89" s="275">
        <v>380025</v>
      </c>
      <c r="U89" s="275">
        <v>433011</v>
      </c>
      <c r="V89" s="275">
        <v>318151</v>
      </c>
      <c r="W89" s="275">
        <v>341902</v>
      </c>
      <c r="X89" s="275">
        <v>436767</v>
      </c>
    </row>
    <row r="90" spans="1:25" ht="14.25" thickBot="1" x14ac:dyDescent="0.3">
      <c r="A90" s="251" t="s">
        <v>5</v>
      </c>
      <c r="B90" s="273">
        <v>127688</v>
      </c>
      <c r="C90" s="273">
        <v>173603</v>
      </c>
      <c r="D90" s="273">
        <v>188703</v>
      </c>
      <c r="E90" s="273">
        <v>124392</v>
      </c>
      <c r="F90" s="273">
        <v>189260</v>
      </c>
      <c r="G90" s="273">
        <v>192284</v>
      </c>
      <c r="H90" s="273">
        <v>203865</v>
      </c>
      <c r="I90" s="273">
        <v>135112</v>
      </c>
      <c r="J90" s="273">
        <v>187465</v>
      </c>
      <c r="K90" s="273">
        <v>220946</v>
      </c>
      <c r="L90" s="273">
        <v>195103</v>
      </c>
      <c r="M90" s="273">
        <v>149416</v>
      </c>
      <c r="N90" s="273">
        <v>193111</v>
      </c>
      <c r="O90" s="273">
        <v>137026</v>
      </c>
      <c r="P90" s="273">
        <v>192443</v>
      </c>
      <c r="Q90" s="273">
        <v>178826</v>
      </c>
      <c r="R90" s="273">
        <v>182747</v>
      </c>
      <c r="S90" s="273">
        <v>121723</v>
      </c>
      <c r="T90" s="273">
        <v>167508</v>
      </c>
      <c r="U90" s="273">
        <v>187758</v>
      </c>
      <c r="V90" s="273">
        <v>107657</v>
      </c>
      <c r="W90" s="273">
        <v>120663</v>
      </c>
      <c r="X90" s="273">
        <v>190575</v>
      </c>
    </row>
    <row r="91" spans="1:25" ht="14.25" thickBot="1" x14ac:dyDescent="0.3">
      <c r="A91" s="250" t="s">
        <v>6</v>
      </c>
      <c r="B91" s="275">
        <v>115463</v>
      </c>
      <c r="C91" s="275">
        <v>166356</v>
      </c>
      <c r="D91" s="275">
        <v>167208</v>
      </c>
      <c r="E91" s="275">
        <v>127822</v>
      </c>
      <c r="F91" s="275">
        <v>201045</v>
      </c>
      <c r="G91" s="275">
        <v>205397</v>
      </c>
      <c r="H91" s="275">
        <v>180913</v>
      </c>
      <c r="I91" s="275">
        <v>143290</v>
      </c>
      <c r="J91" s="275">
        <v>208853</v>
      </c>
      <c r="K91" s="275">
        <v>196903</v>
      </c>
      <c r="L91" s="275">
        <v>196061</v>
      </c>
      <c r="M91" s="275">
        <v>176307</v>
      </c>
      <c r="N91" s="275">
        <v>175981</v>
      </c>
      <c r="O91" s="275">
        <v>126411</v>
      </c>
      <c r="P91" s="275">
        <v>244606</v>
      </c>
      <c r="Q91" s="275">
        <v>168620</v>
      </c>
      <c r="R91" s="275">
        <v>150523</v>
      </c>
      <c r="S91" s="275">
        <v>122733</v>
      </c>
      <c r="T91" s="275">
        <v>120078</v>
      </c>
      <c r="U91" s="275">
        <v>208647</v>
      </c>
      <c r="V91" s="275">
        <v>33864</v>
      </c>
      <c r="W91" s="275">
        <v>125552</v>
      </c>
      <c r="X91" s="275">
        <v>178850</v>
      </c>
    </row>
    <row r="92" spans="1:25" ht="14.25" thickBot="1" x14ac:dyDescent="0.3">
      <c r="A92" s="251" t="s">
        <v>7</v>
      </c>
      <c r="B92" s="273">
        <v>90762</v>
      </c>
      <c r="C92" s="273">
        <v>137940</v>
      </c>
      <c r="D92" s="273">
        <v>136782</v>
      </c>
      <c r="E92" s="273">
        <v>100962</v>
      </c>
      <c r="F92" s="273">
        <v>151897</v>
      </c>
      <c r="G92" s="273">
        <v>172443</v>
      </c>
      <c r="H92" s="273">
        <v>146490</v>
      </c>
      <c r="I92" s="273">
        <v>116212</v>
      </c>
      <c r="J92" s="273">
        <v>179001</v>
      </c>
      <c r="K92" s="273">
        <v>154801</v>
      </c>
      <c r="L92" s="273">
        <v>160419</v>
      </c>
      <c r="M92" s="273">
        <v>143331</v>
      </c>
      <c r="N92" s="273">
        <v>144315</v>
      </c>
      <c r="O92" s="273">
        <v>101982</v>
      </c>
      <c r="P92" s="273">
        <v>215042</v>
      </c>
      <c r="Q92" s="273">
        <v>135997</v>
      </c>
      <c r="R92" s="273">
        <v>122577</v>
      </c>
      <c r="S92" s="273">
        <v>100056</v>
      </c>
      <c r="T92" s="273">
        <v>96145</v>
      </c>
      <c r="U92" s="273">
        <v>159698</v>
      </c>
      <c r="V92" s="273">
        <v>25311</v>
      </c>
      <c r="W92" s="273">
        <v>103098</v>
      </c>
      <c r="X92" s="273">
        <v>149066</v>
      </c>
    </row>
    <row r="93" spans="1:25" ht="26.25" thickBot="1" x14ac:dyDescent="0.3">
      <c r="A93" s="252" t="s">
        <v>8</v>
      </c>
      <c r="B93" s="276">
        <v>88799</v>
      </c>
      <c r="C93" s="276">
        <v>134218</v>
      </c>
      <c r="D93" s="276">
        <v>134581</v>
      </c>
      <c r="E93" s="276">
        <v>102321</v>
      </c>
      <c r="F93" s="276">
        <v>149483</v>
      </c>
      <c r="G93" s="276">
        <v>170169</v>
      </c>
      <c r="H93" s="276">
        <v>142916</v>
      </c>
      <c r="I93" s="276">
        <v>116088</v>
      </c>
      <c r="J93" s="276">
        <v>175148</v>
      </c>
      <c r="K93" s="276">
        <v>152390</v>
      </c>
      <c r="L93" s="276">
        <v>157471</v>
      </c>
      <c r="M93" s="276">
        <v>137762</v>
      </c>
      <c r="N93" s="276">
        <v>140002</v>
      </c>
      <c r="O93" s="276">
        <v>97521</v>
      </c>
      <c r="P93" s="276">
        <v>208635</v>
      </c>
      <c r="Q93" s="276">
        <v>130815</v>
      </c>
      <c r="R93" s="276">
        <v>117137</v>
      </c>
      <c r="S93" s="276">
        <v>93064</v>
      </c>
      <c r="T93" s="276">
        <v>88982</v>
      </c>
      <c r="U93" s="276">
        <v>149026</v>
      </c>
      <c r="V93" s="276">
        <v>19964</v>
      </c>
      <c r="W93" s="276">
        <v>91161</v>
      </c>
      <c r="X93" s="276">
        <v>131531</v>
      </c>
    </row>
    <row r="94" spans="1:25" x14ac:dyDescent="0.25">
      <c r="A94" s="233" t="s">
        <v>365</v>
      </c>
      <c r="B94" s="253">
        <f>IF(B91="","",B91-B90)</f>
        <v>-12225</v>
      </c>
      <c r="C94" s="253">
        <f>IF(C91="","",C91-C90)</f>
        <v>-7247</v>
      </c>
      <c r="D94" s="253">
        <f t="shared" ref="D94:Y94" si="9">IF(D91="","",D91-D90)</f>
        <v>-21495</v>
      </c>
      <c r="E94" s="253">
        <f t="shared" si="9"/>
        <v>3430</v>
      </c>
      <c r="F94" s="253">
        <f t="shared" si="9"/>
        <v>11785</v>
      </c>
      <c r="G94" s="253">
        <f t="shared" si="9"/>
        <v>13113</v>
      </c>
      <c r="H94" s="253">
        <f t="shared" si="9"/>
        <v>-22952</v>
      </c>
      <c r="I94" s="253">
        <f t="shared" si="9"/>
        <v>8178</v>
      </c>
      <c r="J94" s="253">
        <f t="shared" si="9"/>
        <v>21388</v>
      </c>
      <c r="K94" s="253">
        <f t="shared" si="9"/>
        <v>-24043</v>
      </c>
      <c r="L94" s="253">
        <f t="shared" si="9"/>
        <v>958</v>
      </c>
      <c r="M94" s="253">
        <f t="shared" si="9"/>
        <v>26891</v>
      </c>
      <c r="N94" s="253">
        <f t="shared" si="9"/>
        <v>-17130</v>
      </c>
      <c r="O94" s="253">
        <f t="shared" si="9"/>
        <v>-10615</v>
      </c>
      <c r="P94" s="253">
        <f t="shared" si="9"/>
        <v>52163</v>
      </c>
      <c r="Q94" s="253">
        <f t="shared" si="9"/>
        <v>-10206</v>
      </c>
      <c r="R94" s="253">
        <f t="shared" si="9"/>
        <v>-32224</v>
      </c>
      <c r="S94" s="253">
        <f t="shared" si="9"/>
        <v>1010</v>
      </c>
      <c r="T94" s="253">
        <f t="shared" si="9"/>
        <v>-47430</v>
      </c>
      <c r="U94" s="253">
        <f t="shared" si="9"/>
        <v>20889</v>
      </c>
      <c r="V94" s="253">
        <f t="shared" si="9"/>
        <v>-73793</v>
      </c>
      <c r="W94" s="253">
        <f t="shared" si="9"/>
        <v>4889</v>
      </c>
      <c r="X94" s="253">
        <f t="shared" si="9"/>
        <v>-11725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19767899</v>
      </c>
      <c r="C97" s="273">
        <v>20164047</v>
      </c>
      <c r="D97" s="273">
        <v>20455178</v>
      </c>
      <c r="E97" s="273">
        <v>17672243</v>
      </c>
      <c r="F97" s="273">
        <v>18817347</v>
      </c>
    </row>
    <row r="98" spans="1:24" ht="14.25" thickBot="1" x14ac:dyDescent="0.3">
      <c r="A98" s="225" t="s">
        <v>4</v>
      </c>
      <c r="B98" s="275">
        <v>1440275</v>
      </c>
      <c r="C98" s="275">
        <v>1637697</v>
      </c>
      <c r="D98" s="275">
        <v>1766883</v>
      </c>
      <c r="E98" s="275">
        <v>1625488</v>
      </c>
      <c r="F98" s="275">
        <v>1540495</v>
      </c>
    </row>
    <row r="99" spans="1:24" ht="14.25" thickBot="1" x14ac:dyDescent="0.3">
      <c r="A99" s="224" t="s">
        <v>5</v>
      </c>
      <c r="B99" s="273">
        <v>614386</v>
      </c>
      <c r="C99" s="273">
        <v>720521</v>
      </c>
      <c r="D99" s="273">
        <v>752930</v>
      </c>
      <c r="E99" s="273">
        <v>701406</v>
      </c>
      <c r="F99" s="273">
        <v>659736</v>
      </c>
    </row>
    <row r="100" spans="1:24" ht="14.25" thickBot="1" x14ac:dyDescent="0.3">
      <c r="A100" s="225" t="s">
        <v>6</v>
      </c>
      <c r="B100" s="275">
        <v>576849</v>
      </c>
      <c r="C100" s="275">
        <v>730645</v>
      </c>
      <c r="D100" s="275">
        <v>778124</v>
      </c>
      <c r="E100" s="275">
        <v>715618</v>
      </c>
      <c r="F100" s="275">
        <v>601981</v>
      </c>
    </row>
    <row r="101" spans="1:24" ht="14.25" thickBot="1" x14ac:dyDescent="0.3">
      <c r="A101" s="224" t="s">
        <v>7</v>
      </c>
      <c r="B101" s="273">
        <v>466446</v>
      </c>
      <c r="C101" s="273">
        <v>587042</v>
      </c>
      <c r="D101" s="273">
        <v>637552</v>
      </c>
      <c r="E101" s="273">
        <v>597336</v>
      </c>
      <c r="F101" s="273">
        <v>478476</v>
      </c>
    </row>
    <row r="102" spans="1:24" ht="14.25" thickBot="1" x14ac:dyDescent="0.3">
      <c r="A102" s="227" t="s">
        <v>8</v>
      </c>
      <c r="B102" s="276">
        <v>459919</v>
      </c>
      <c r="C102" s="276">
        <v>578656</v>
      </c>
      <c r="D102" s="276">
        <v>622771</v>
      </c>
      <c r="E102" s="276">
        <v>576973</v>
      </c>
      <c r="F102" s="276">
        <v>448209</v>
      </c>
    </row>
    <row r="103" spans="1:24" x14ac:dyDescent="0.25">
      <c r="A103" s="233" t="s">
        <v>262</v>
      </c>
      <c r="B103" s="234">
        <f>IF(OR(B102="",B102="無"),"",B102/B101)</f>
        <v>0.98600695471715916</v>
      </c>
      <c r="C103" s="234">
        <f>IF(OR(C102="",C102="無"),"",C102/C101)</f>
        <v>0.98571482108605513</v>
      </c>
      <c r="D103" s="234">
        <f>IF(OR(D102="",D102="無"),"",D102/D101)</f>
        <v>0.97681600873340524</v>
      </c>
      <c r="E103" s="234">
        <f>IF(OR(E102="",E102="無"),"",E102/E101)</f>
        <v>0.96591030843612302</v>
      </c>
      <c r="F103" s="234">
        <f>IF(OR(F102="",F102="無"),"",F102/F101)</f>
        <v>0.93674290873523436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860665</v>
      </c>
      <c r="C106" s="273">
        <v>778777</v>
      </c>
      <c r="D106" s="273">
        <v>704452</v>
      </c>
      <c r="E106" s="273">
        <v>601166</v>
      </c>
      <c r="F106" s="273">
        <v>957113</v>
      </c>
      <c r="G106" s="273">
        <v>933519</v>
      </c>
      <c r="H106" s="273">
        <v>808750</v>
      </c>
      <c r="I106" s="273">
        <v>1354705</v>
      </c>
      <c r="J106" s="273">
        <v>1125845</v>
      </c>
      <c r="K106" s="273">
        <v>1180129</v>
      </c>
      <c r="L106" s="273">
        <v>980242</v>
      </c>
      <c r="M106" s="273">
        <v>1205467</v>
      </c>
      <c r="N106" s="273">
        <v>939751</v>
      </c>
      <c r="O106" s="273">
        <v>1278191</v>
      </c>
      <c r="P106" s="273">
        <v>1165642</v>
      </c>
      <c r="Q106" s="273">
        <v>1349945</v>
      </c>
      <c r="R106" s="273">
        <v>1358375</v>
      </c>
      <c r="S106" s="273">
        <v>1469303</v>
      </c>
      <c r="T106" s="273">
        <v>1424120</v>
      </c>
      <c r="U106" s="273">
        <v>1375188</v>
      </c>
      <c r="V106" s="273">
        <v>1611375</v>
      </c>
      <c r="W106" s="273">
        <v>1754016</v>
      </c>
      <c r="X106" s="273">
        <v>1477701</v>
      </c>
    </row>
    <row r="107" spans="1:24" ht="14.25" thickBot="1" x14ac:dyDescent="0.3">
      <c r="A107" s="225" t="s">
        <v>22</v>
      </c>
      <c r="B107" s="275">
        <v>16447</v>
      </c>
      <c r="C107" s="275">
        <v>12721</v>
      </c>
      <c r="D107" s="275">
        <v>13971</v>
      </c>
      <c r="E107" s="275">
        <v>15349</v>
      </c>
      <c r="F107" s="275">
        <v>28022</v>
      </c>
      <c r="G107" s="275">
        <v>19256</v>
      </c>
      <c r="H107" s="275">
        <v>20045</v>
      </c>
      <c r="I107" s="275">
        <v>22305</v>
      </c>
      <c r="J107" s="275">
        <v>22259</v>
      </c>
      <c r="K107" s="275">
        <v>21517</v>
      </c>
      <c r="L107" s="275">
        <v>8800</v>
      </c>
      <c r="M107" s="275">
        <v>17656</v>
      </c>
      <c r="N107" s="275">
        <v>7326</v>
      </c>
      <c r="O107" s="275">
        <v>11822</v>
      </c>
      <c r="P107" s="275">
        <v>16826</v>
      </c>
      <c r="Q107" s="275">
        <v>10655</v>
      </c>
      <c r="R107" s="275">
        <v>13232</v>
      </c>
      <c r="S107" s="275">
        <v>39580</v>
      </c>
      <c r="T107" s="275">
        <v>8807</v>
      </c>
      <c r="U107" s="275">
        <v>107460</v>
      </c>
      <c r="V107" s="275">
        <v>107502</v>
      </c>
      <c r="W107" s="275">
        <v>104555</v>
      </c>
      <c r="X107" s="275">
        <v>64870</v>
      </c>
    </row>
    <row r="108" spans="1:24" ht="14.25" thickBot="1" x14ac:dyDescent="0.3">
      <c r="A108" s="224" t="s">
        <v>263</v>
      </c>
      <c r="B108" s="273">
        <v>2369588</v>
      </c>
      <c r="C108" s="273">
        <v>2294141</v>
      </c>
      <c r="D108" s="273">
        <v>2385635</v>
      </c>
      <c r="E108" s="273">
        <v>2092135</v>
      </c>
      <c r="F108" s="273">
        <v>2339801</v>
      </c>
      <c r="G108" s="273">
        <v>2526544</v>
      </c>
      <c r="H108" s="273">
        <v>2739393</v>
      </c>
      <c r="I108" s="273">
        <v>2611113</v>
      </c>
      <c r="J108" s="273">
        <v>2786501</v>
      </c>
      <c r="K108" s="273">
        <v>2832825</v>
      </c>
      <c r="L108" s="273">
        <v>3075664</v>
      </c>
      <c r="M108" s="273">
        <v>2519572</v>
      </c>
      <c r="N108" s="273">
        <v>2401854</v>
      </c>
      <c r="O108" s="273">
        <v>2372752</v>
      </c>
      <c r="P108" s="273">
        <v>2572635</v>
      </c>
      <c r="Q108" s="273">
        <v>2588845</v>
      </c>
      <c r="R108" s="273">
        <v>2361106</v>
      </c>
      <c r="S108" s="273">
        <v>2674722</v>
      </c>
      <c r="T108" s="273">
        <v>2837464</v>
      </c>
      <c r="U108" s="273">
        <v>2993107</v>
      </c>
      <c r="V108" s="273">
        <v>2555951</v>
      </c>
      <c r="W108" s="273">
        <v>2658158</v>
      </c>
      <c r="X108" s="273">
        <v>3175016</v>
      </c>
    </row>
    <row r="109" spans="1:24" ht="14.25" thickBot="1" x14ac:dyDescent="0.3">
      <c r="A109" s="225" t="s">
        <v>264</v>
      </c>
      <c r="B109" s="275">
        <v>2557334</v>
      </c>
      <c r="C109" s="275">
        <v>2835405</v>
      </c>
      <c r="D109" s="275">
        <v>2821050</v>
      </c>
      <c r="E109" s="275">
        <v>2824018</v>
      </c>
      <c r="F109" s="275">
        <v>2760390</v>
      </c>
      <c r="G109" s="275">
        <v>2906501</v>
      </c>
      <c r="H109" s="275">
        <v>2782396</v>
      </c>
      <c r="I109" s="275">
        <v>2610291</v>
      </c>
      <c r="J109" s="275">
        <v>2696840</v>
      </c>
      <c r="K109" s="275">
        <v>2815745</v>
      </c>
      <c r="L109" s="275">
        <v>3195556</v>
      </c>
      <c r="M109" s="275">
        <v>3247562</v>
      </c>
      <c r="N109" s="275">
        <v>3668106</v>
      </c>
      <c r="O109" s="275">
        <v>3328302</v>
      </c>
      <c r="P109" s="275">
        <v>2989038</v>
      </c>
      <c r="Q109" s="275">
        <v>2704896</v>
      </c>
      <c r="R109" s="275">
        <v>2719798</v>
      </c>
      <c r="S109" s="275">
        <v>2609465</v>
      </c>
      <c r="T109" s="275">
        <v>2308296</v>
      </c>
      <c r="U109" s="275">
        <v>2332281</v>
      </c>
      <c r="V109" s="275">
        <v>2425096</v>
      </c>
      <c r="W109" s="275">
        <v>2400585</v>
      </c>
      <c r="X109" s="275">
        <v>2463981</v>
      </c>
    </row>
    <row r="110" spans="1:24" ht="14.25" thickBot="1" x14ac:dyDescent="0.3">
      <c r="A110" s="224" t="s">
        <v>23</v>
      </c>
      <c r="B110" s="273">
        <v>760502</v>
      </c>
      <c r="C110" s="273">
        <v>1029371</v>
      </c>
      <c r="D110" s="273">
        <v>570082</v>
      </c>
      <c r="E110" s="273">
        <v>784512</v>
      </c>
      <c r="F110" s="273">
        <v>395918</v>
      </c>
      <c r="G110" s="273">
        <v>468287</v>
      </c>
      <c r="H110" s="273">
        <v>662807</v>
      </c>
      <c r="I110" s="273">
        <v>671863</v>
      </c>
      <c r="J110" s="273">
        <v>580944</v>
      </c>
      <c r="K110" s="273">
        <v>505053</v>
      </c>
      <c r="L110" s="273">
        <v>562559</v>
      </c>
      <c r="M110" s="273">
        <v>768557</v>
      </c>
      <c r="N110" s="273">
        <v>461414</v>
      </c>
      <c r="O110" s="273">
        <v>512427</v>
      </c>
      <c r="P110" s="273">
        <v>636786</v>
      </c>
      <c r="Q110" s="273">
        <v>562050</v>
      </c>
      <c r="R110" s="273">
        <v>700295</v>
      </c>
      <c r="S110" s="273">
        <v>644573</v>
      </c>
      <c r="T110" s="273">
        <v>958726</v>
      </c>
      <c r="U110" s="273">
        <v>620051</v>
      </c>
      <c r="V110" s="273">
        <v>654672</v>
      </c>
      <c r="W110" s="273">
        <v>728423</v>
      </c>
      <c r="X110" s="273">
        <v>780484</v>
      </c>
    </row>
    <row r="111" spans="1:24" ht="14.25" thickBot="1" x14ac:dyDescent="0.3">
      <c r="A111" s="225" t="s">
        <v>24</v>
      </c>
      <c r="B111" s="275">
        <v>6564536</v>
      </c>
      <c r="C111" s="275">
        <v>6950415</v>
      </c>
      <c r="D111" s="275">
        <v>6495190</v>
      </c>
      <c r="E111" s="275">
        <v>6317180</v>
      </c>
      <c r="F111" s="275">
        <v>6481244</v>
      </c>
      <c r="G111" s="275">
        <v>6854107</v>
      </c>
      <c r="H111" s="275">
        <v>7013391</v>
      </c>
      <c r="I111" s="275">
        <v>7270277</v>
      </c>
      <c r="J111" s="275">
        <v>7212389</v>
      </c>
      <c r="K111" s="275">
        <v>7355269</v>
      </c>
      <c r="L111" s="275">
        <v>7822821</v>
      </c>
      <c r="M111" s="275">
        <v>7758814</v>
      </c>
      <c r="N111" s="275">
        <v>7478451</v>
      </c>
      <c r="O111" s="275">
        <v>7503494</v>
      </c>
      <c r="P111" s="275">
        <v>7380927</v>
      </c>
      <c r="Q111" s="275">
        <v>7216391</v>
      </c>
      <c r="R111" s="275">
        <v>7152806</v>
      </c>
      <c r="S111" s="275">
        <v>7437643</v>
      </c>
      <c r="T111" s="275">
        <v>7537413</v>
      </c>
      <c r="U111" s="275">
        <v>7428087</v>
      </c>
      <c r="V111" s="275">
        <v>7354596</v>
      </c>
      <c r="W111" s="275">
        <v>7645737</v>
      </c>
      <c r="X111" s="275">
        <v>7962052</v>
      </c>
    </row>
    <row r="112" spans="1:24" ht="14.25" thickBot="1" x14ac:dyDescent="0.3">
      <c r="A112" s="224" t="s">
        <v>25</v>
      </c>
      <c r="B112" s="273">
        <v>57301</v>
      </c>
      <c r="C112" s="273">
        <v>52058</v>
      </c>
      <c r="D112" s="273">
        <v>53455</v>
      </c>
      <c r="E112" s="273">
        <v>25290</v>
      </c>
      <c r="F112" s="273">
        <v>26367</v>
      </c>
      <c r="G112" s="273">
        <v>23582</v>
      </c>
      <c r="H112" s="273">
        <v>23615</v>
      </c>
      <c r="I112" s="273">
        <v>21813</v>
      </c>
      <c r="J112" s="273">
        <v>20809</v>
      </c>
      <c r="K112" s="273">
        <v>25129</v>
      </c>
      <c r="L112" s="273">
        <v>25329</v>
      </c>
      <c r="M112" s="273">
        <v>25881</v>
      </c>
      <c r="N112" s="273">
        <v>18106</v>
      </c>
      <c r="O112" s="273">
        <v>17999</v>
      </c>
      <c r="P112" s="273">
        <v>18893</v>
      </c>
      <c r="Q112" s="273">
        <v>20270</v>
      </c>
      <c r="R112" s="273">
        <v>16927</v>
      </c>
      <c r="S112" s="273">
        <v>16836</v>
      </c>
      <c r="T112" s="273">
        <v>16302</v>
      </c>
      <c r="U112" s="273">
        <v>15351</v>
      </c>
      <c r="V112" s="273">
        <v>14421</v>
      </c>
      <c r="W112" s="273">
        <v>14130</v>
      </c>
      <c r="X112" s="273">
        <v>13946</v>
      </c>
    </row>
    <row r="113" spans="1:24" ht="14.25" thickBot="1" x14ac:dyDescent="0.3">
      <c r="A113" s="225" t="s">
        <v>26</v>
      </c>
      <c r="B113" s="275">
        <v>407343</v>
      </c>
      <c r="C113" s="275">
        <v>405450</v>
      </c>
      <c r="D113" s="275">
        <v>407562</v>
      </c>
      <c r="E113" s="275">
        <v>406137</v>
      </c>
      <c r="F113" s="275">
        <v>417358</v>
      </c>
      <c r="G113" s="275">
        <v>417003</v>
      </c>
      <c r="H113" s="275">
        <v>412960</v>
      </c>
      <c r="I113" s="275">
        <v>409187</v>
      </c>
      <c r="J113" s="275">
        <v>417678</v>
      </c>
      <c r="K113" s="275">
        <v>421108</v>
      </c>
      <c r="L113" s="275">
        <v>423619</v>
      </c>
      <c r="M113" s="275">
        <v>421545</v>
      </c>
      <c r="N113" s="275">
        <v>424299</v>
      </c>
      <c r="O113" s="275">
        <v>418379</v>
      </c>
      <c r="P113" s="275">
        <v>416898</v>
      </c>
      <c r="Q113" s="275">
        <v>412240</v>
      </c>
      <c r="R113" s="275">
        <v>414491</v>
      </c>
      <c r="S113" s="275">
        <v>415451</v>
      </c>
      <c r="T113" s="275">
        <v>420209</v>
      </c>
      <c r="U113" s="275">
        <v>421915</v>
      </c>
      <c r="V113" s="275">
        <v>415138</v>
      </c>
      <c r="W113" s="275">
        <v>411598</v>
      </c>
      <c r="X113" s="275">
        <v>426253</v>
      </c>
    </row>
    <row r="114" spans="1:24" ht="14.25" thickBot="1" x14ac:dyDescent="0.3">
      <c r="A114" s="224" t="s">
        <v>27</v>
      </c>
      <c r="B114" s="273">
        <v>50396</v>
      </c>
      <c r="C114" s="273">
        <v>50816</v>
      </c>
      <c r="D114" s="273">
        <v>46604</v>
      </c>
      <c r="E114" s="273">
        <v>45613</v>
      </c>
      <c r="F114" s="273">
        <v>54479</v>
      </c>
      <c r="G114" s="273">
        <v>51026</v>
      </c>
      <c r="H114" s="273">
        <v>45149</v>
      </c>
      <c r="I114" s="273">
        <v>55267</v>
      </c>
      <c r="J114" s="273">
        <v>52804</v>
      </c>
      <c r="K114" s="273">
        <v>50998</v>
      </c>
      <c r="L114" s="273">
        <v>54886</v>
      </c>
      <c r="M114" s="273">
        <v>62726</v>
      </c>
      <c r="N114" s="273">
        <v>56948</v>
      </c>
      <c r="O114" s="273">
        <v>58337</v>
      </c>
      <c r="P114" s="273">
        <v>68017</v>
      </c>
      <c r="Q114" s="273">
        <v>67586</v>
      </c>
      <c r="R114" s="273">
        <v>75568</v>
      </c>
      <c r="S114" s="273">
        <v>63814</v>
      </c>
      <c r="T114" s="273">
        <v>66185</v>
      </c>
      <c r="U114" s="273">
        <v>63946</v>
      </c>
      <c r="V114" s="273">
        <v>70913</v>
      </c>
      <c r="W114" s="273">
        <v>60392</v>
      </c>
      <c r="X114" s="273">
        <v>63232</v>
      </c>
    </row>
    <row r="115" spans="1:24" ht="14.25" thickBot="1" x14ac:dyDescent="0.3">
      <c r="A115" s="225" t="s">
        <v>265</v>
      </c>
      <c r="B115" s="276">
        <v>7079576</v>
      </c>
      <c r="C115" s="276">
        <v>7458739</v>
      </c>
      <c r="D115" s="276">
        <v>7002811</v>
      </c>
      <c r="E115" s="276">
        <v>6794220</v>
      </c>
      <c r="F115" s="276">
        <v>6979448</v>
      </c>
      <c r="G115" s="276">
        <v>7345718</v>
      </c>
      <c r="H115" s="276">
        <v>7495115</v>
      </c>
      <c r="I115" s="276">
        <v>7756544</v>
      </c>
      <c r="J115" s="276">
        <v>7703680</v>
      </c>
      <c r="K115" s="276">
        <v>7852504</v>
      </c>
      <c r="L115" s="276">
        <v>8326655</v>
      </c>
      <c r="M115" s="276">
        <v>8268966</v>
      </c>
      <c r="N115" s="276">
        <v>7977804</v>
      </c>
      <c r="O115" s="276">
        <v>7998209</v>
      </c>
      <c r="P115" s="276">
        <v>7884735</v>
      </c>
      <c r="Q115" s="276">
        <v>7716487</v>
      </c>
      <c r="R115" s="276">
        <v>7659792</v>
      </c>
      <c r="S115" s="276">
        <v>7933744</v>
      </c>
      <c r="T115" s="276">
        <v>8040109</v>
      </c>
      <c r="U115" s="276">
        <v>7929299</v>
      </c>
      <c r="V115" s="276">
        <v>7855068</v>
      </c>
      <c r="W115" s="276">
        <v>8131857</v>
      </c>
      <c r="X115" s="276">
        <v>8465483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610852</v>
      </c>
      <c r="C118" s="273">
        <v>634710</v>
      </c>
      <c r="D118" s="273">
        <v>697621</v>
      </c>
      <c r="E118" s="273">
        <v>489110</v>
      </c>
      <c r="F118" s="273">
        <v>660902</v>
      </c>
      <c r="G118" s="273">
        <v>710572</v>
      </c>
      <c r="H118" s="273">
        <v>1057014</v>
      </c>
      <c r="I118" s="273">
        <v>1154434</v>
      </c>
      <c r="J118" s="273">
        <v>838778</v>
      </c>
      <c r="K118" s="273">
        <v>708419</v>
      </c>
      <c r="L118" s="273">
        <v>983304</v>
      </c>
      <c r="M118" s="273">
        <v>1265089</v>
      </c>
      <c r="N118" s="273">
        <v>1281681</v>
      </c>
      <c r="O118" s="273">
        <v>1447979</v>
      </c>
      <c r="P118" s="273">
        <v>1467032</v>
      </c>
      <c r="Q118" s="273">
        <v>1291691</v>
      </c>
      <c r="R118" s="273">
        <v>1175258</v>
      </c>
      <c r="S118" s="273">
        <v>1271130</v>
      </c>
      <c r="T118" s="273">
        <v>1475587</v>
      </c>
      <c r="U118" s="273">
        <v>1460636</v>
      </c>
      <c r="V118" s="273">
        <v>1176569</v>
      </c>
      <c r="W118" s="273">
        <v>1390596</v>
      </c>
      <c r="X118" s="273">
        <v>1611847</v>
      </c>
    </row>
    <row r="119" spans="1:24" ht="14.25" thickBot="1" x14ac:dyDescent="0.3">
      <c r="A119" s="225" t="s">
        <v>29</v>
      </c>
      <c r="B119" s="275">
        <v>80000</v>
      </c>
      <c r="C119" s="275">
        <v>40000</v>
      </c>
      <c r="D119" s="275">
        <v>180000</v>
      </c>
      <c r="E119" s="275">
        <v>180000</v>
      </c>
      <c r="F119" s="275">
        <v>140000</v>
      </c>
      <c r="G119" s="275">
        <v>140000</v>
      </c>
      <c r="H119" s="275">
        <v>180000</v>
      </c>
      <c r="I119" s="275">
        <v>140000</v>
      </c>
      <c r="J119" s="275">
        <v>100000</v>
      </c>
      <c r="K119" s="275">
        <v>100000</v>
      </c>
      <c r="L119" s="275">
        <v>140000</v>
      </c>
      <c r="M119" s="275">
        <v>140000</v>
      </c>
      <c r="N119" s="275">
        <v>140000</v>
      </c>
      <c r="O119" s="275">
        <v>190000</v>
      </c>
      <c r="P119" s="275">
        <v>190000</v>
      </c>
      <c r="Q119" s="275">
        <v>190000</v>
      </c>
      <c r="R119" s="275">
        <v>190000</v>
      </c>
      <c r="S119" s="275">
        <v>140000</v>
      </c>
      <c r="T119" s="275">
        <v>190000</v>
      </c>
      <c r="U119" s="275">
        <v>160000</v>
      </c>
      <c r="V119" s="275">
        <v>190000</v>
      </c>
      <c r="W119" s="275">
        <v>100000</v>
      </c>
      <c r="X119" s="275">
        <v>140000</v>
      </c>
    </row>
    <row r="120" spans="1:24" ht="14.25" thickBot="1" x14ac:dyDescent="0.3">
      <c r="A120" s="224" t="s">
        <v>266</v>
      </c>
      <c r="B120" s="273">
        <v>2430917</v>
      </c>
      <c r="C120" s="273">
        <v>2657232</v>
      </c>
      <c r="D120" s="273">
        <v>2295104</v>
      </c>
      <c r="E120" s="273">
        <v>2148236</v>
      </c>
      <c r="F120" s="273">
        <v>1947779</v>
      </c>
      <c r="G120" s="273">
        <v>2206370</v>
      </c>
      <c r="H120" s="273">
        <v>2155980</v>
      </c>
      <c r="I120" s="273">
        <v>2211289</v>
      </c>
      <c r="J120" s="273">
        <v>2348167</v>
      </c>
      <c r="K120" s="273">
        <v>2467162</v>
      </c>
      <c r="L120" s="273">
        <v>3001503</v>
      </c>
      <c r="M120" s="273">
        <v>2460312</v>
      </c>
      <c r="N120" s="273">
        <v>2025317</v>
      </c>
      <c r="O120" s="273">
        <v>1808782</v>
      </c>
      <c r="P120" s="273">
        <v>1998216</v>
      </c>
      <c r="Q120" s="273">
        <v>1852217</v>
      </c>
      <c r="R120" s="273">
        <v>1752207</v>
      </c>
      <c r="S120" s="273">
        <v>1948611</v>
      </c>
      <c r="T120" s="273">
        <v>2293499</v>
      </c>
      <c r="U120" s="273">
        <v>2007251</v>
      </c>
      <c r="V120" s="273">
        <v>1781282</v>
      </c>
      <c r="W120" s="273">
        <v>1891376</v>
      </c>
      <c r="X120" s="273">
        <v>2344070</v>
      </c>
    </row>
    <row r="121" spans="1:24" ht="14.25" thickBot="1" x14ac:dyDescent="0.3">
      <c r="A121" s="225" t="s">
        <v>267</v>
      </c>
      <c r="B121" s="275">
        <v>118283</v>
      </c>
      <c r="C121" s="275">
        <v>137325</v>
      </c>
      <c r="D121" s="275">
        <v>116755</v>
      </c>
      <c r="E121" s="275">
        <v>109835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13708</v>
      </c>
      <c r="C122" s="273">
        <v>17625</v>
      </c>
      <c r="D122" s="273">
        <v>23500</v>
      </c>
      <c r="E122" s="273">
        <v>23500</v>
      </c>
      <c r="F122" s="273">
        <v>23500</v>
      </c>
      <c r="G122" s="273">
        <v>25458</v>
      </c>
      <c r="H122" s="273">
        <v>23500</v>
      </c>
      <c r="I122" s="273">
        <v>23500</v>
      </c>
      <c r="J122" s="273">
        <v>23500</v>
      </c>
      <c r="K122" s="273">
        <v>23500</v>
      </c>
      <c r="L122" s="273">
        <v>23500</v>
      </c>
      <c r="M122" s="273">
        <v>23500</v>
      </c>
      <c r="N122" s="273">
        <v>23500</v>
      </c>
      <c r="O122" s="273">
        <v>23141</v>
      </c>
      <c r="P122" s="273">
        <v>23250</v>
      </c>
      <c r="Q122" s="273">
        <v>23329</v>
      </c>
      <c r="R122" s="273">
        <v>23443</v>
      </c>
      <c r="S122" s="273">
        <v>23582</v>
      </c>
      <c r="T122" s="273">
        <v>23754</v>
      </c>
      <c r="U122" s="273">
        <v>23862</v>
      </c>
      <c r="V122" s="273">
        <v>23970</v>
      </c>
      <c r="W122" s="273">
        <v>24040</v>
      </c>
      <c r="X122" s="273">
        <v>24149</v>
      </c>
    </row>
    <row r="123" spans="1:24" ht="14.25" thickBot="1" x14ac:dyDescent="0.3">
      <c r="A123" s="225" t="s">
        <v>31</v>
      </c>
      <c r="B123" s="275">
        <v>377195</v>
      </c>
      <c r="C123" s="275">
        <v>782328</v>
      </c>
      <c r="D123" s="275">
        <v>374701</v>
      </c>
      <c r="E123" s="275">
        <v>446847</v>
      </c>
      <c r="F123" s="275">
        <v>607094</v>
      </c>
      <c r="G123" s="275">
        <v>889172</v>
      </c>
      <c r="H123" s="275">
        <v>589029</v>
      </c>
      <c r="I123" s="275">
        <v>564458</v>
      </c>
      <c r="J123" s="275">
        <v>567561</v>
      </c>
      <c r="K123" s="275">
        <v>1127990</v>
      </c>
      <c r="L123" s="275">
        <v>574230</v>
      </c>
      <c r="M123" s="275">
        <v>630075</v>
      </c>
      <c r="N123" s="275">
        <v>612020</v>
      </c>
      <c r="O123" s="275">
        <v>1138821</v>
      </c>
      <c r="P123" s="275">
        <v>551035</v>
      </c>
      <c r="Q123" s="275">
        <v>563883</v>
      </c>
      <c r="R123" s="275">
        <v>549745</v>
      </c>
      <c r="S123" s="275">
        <v>1047501</v>
      </c>
      <c r="T123" s="275">
        <v>460229</v>
      </c>
      <c r="U123" s="275">
        <v>510001</v>
      </c>
      <c r="V123" s="275">
        <v>429862</v>
      </c>
      <c r="W123" s="275">
        <v>880697</v>
      </c>
      <c r="X123" s="275">
        <v>393676</v>
      </c>
    </row>
    <row r="124" spans="1:24" ht="14.25" thickBot="1" x14ac:dyDescent="0.3">
      <c r="A124" s="224" t="s">
        <v>268</v>
      </c>
      <c r="B124" s="273">
        <v>3630955</v>
      </c>
      <c r="C124" s="273">
        <v>4269220</v>
      </c>
      <c r="D124" s="273">
        <v>3687681</v>
      </c>
      <c r="E124" s="273">
        <v>3397528</v>
      </c>
      <c r="F124" s="273">
        <v>3379275</v>
      </c>
      <c r="G124" s="273">
        <v>3971572</v>
      </c>
      <c r="H124" s="273">
        <v>4005523</v>
      </c>
      <c r="I124" s="273">
        <v>4093681</v>
      </c>
      <c r="J124" s="273">
        <v>3878006</v>
      </c>
      <c r="K124" s="273">
        <v>4427071</v>
      </c>
      <c r="L124" s="273">
        <v>4722537</v>
      </c>
      <c r="M124" s="273">
        <v>4518976</v>
      </c>
      <c r="N124" s="273">
        <v>4082518</v>
      </c>
      <c r="O124" s="273">
        <v>4608723</v>
      </c>
      <c r="P124" s="273">
        <v>4229533</v>
      </c>
      <c r="Q124" s="273">
        <v>3921120</v>
      </c>
      <c r="R124" s="273">
        <v>3690653</v>
      </c>
      <c r="S124" s="273">
        <v>4430824</v>
      </c>
      <c r="T124" s="273">
        <v>4443069</v>
      </c>
      <c r="U124" s="273">
        <v>4161750</v>
      </c>
      <c r="V124" s="273">
        <v>3601683</v>
      </c>
      <c r="W124" s="273">
        <v>4286709</v>
      </c>
      <c r="X124" s="273">
        <v>4513742</v>
      </c>
    </row>
    <row r="125" spans="1:24" ht="14.25" thickBot="1" x14ac:dyDescent="0.3">
      <c r="A125" s="225" t="s">
        <v>32</v>
      </c>
      <c r="B125" s="275">
        <v>174292</v>
      </c>
      <c r="C125" s="275">
        <v>170375</v>
      </c>
      <c r="D125" s="275">
        <v>164500</v>
      </c>
      <c r="E125" s="275">
        <v>160844</v>
      </c>
      <c r="F125" s="275">
        <v>243595</v>
      </c>
      <c r="G125" s="275">
        <v>239261</v>
      </c>
      <c r="H125" s="275">
        <v>210279</v>
      </c>
      <c r="I125" s="275">
        <v>228769</v>
      </c>
      <c r="J125" s="275">
        <v>216474</v>
      </c>
      <c r="K125" s="275">
        <v>196472</v>
      </c>
      <c r="L125" s="275">
        <v>211659</v>
      </c>
      <c r="M125" s="275">
        <v>213483</v>
      </c>
      <c r="N125" s="275">
        <v>216261</v>
      </c>
      <c r="O125" s="275">
        <v>190921</v>
      </c>
      <c r="P125" s="275">
        <v>214800</v>
      </c>
      <c r="Q125" s="275">
        <v>200912</v>
      </c>
      <c r="R125" s="275">
        <v>188902</v>
      </c>
      <c r="S125" s="275">
        <v>196285</v>
      </c>
      <c r="T125" s="275">
        <v>198063</v>
      </c>
      <c r="U125" s="275">
        <v>209861</v>
      </c>
      <c r="V125" s="275">
        <v>196679</v>
      </c>
      <c r="W125" s="275">
        <v>194627</v>
      </c>
      <c r="X125" s="275">
        <v>194271</v>
      </c>
    </row>
    <row r="126" spans="1:24" ht="14.25" thickBot="1" x14ac:dyDescent="0.3">
      <c r="A126" s="224" t="s">
        <v>33</v>
      </c>
      <c r="B126" s="273">
        <v>17160</v>
      </c>
      <c r="C126" s="273">
        <v>17299</v>
      </c>
      <c r="D126" s="273">
        <v>18005</v>
      </c>
      <c r="E126" s="273">
        <v>17347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3822407</v>
      </c>
      <c r="C127" s="275">
        <v>4456894</v>
      </c>
      <c r="D127" s="275">
        <v>3870186</v>
      </c>
      <c r="E127" s="275">
        <v>3575719</v>
      </c>
      <c r="F127" s="275">
        <v>3622870</v>
      </c>
      <c r="G127" s="275">
        <v>4210833</v>
      </c>
      <c r="H127" s="275">
        <v>4215802</v>
      </c>
      <c r="I127" s="275">
        <v>4322450</v>
      </c>
      <c r="J127" s="275">
        <v>4094480</v>
      </c>
      <c r="K127" s="275">
        <v>4623543</v>
      </c>
      <c r="L127" s="275">
        <v>4934196</v>
      </c>
      <c r="M127" s="275">
        <v>4732459</v>
      </c>
      <c r="N127" s="275">
        <v>4298779</v>
      </c>
      <c r="O127" s="275">
        <v>4799644</v>
      </c>
      <c r="P127" s="275">
        <v>4444333</v>
      </c>
      <c r="Q127" s="275">
        <v>4122032</v>
      </c>
      <c r="R127" s="275">
        <v>3879555</v>
      </c>
      <c r="S127" s="275">
        <v>4627109</v>
      </c>
      <c r="T127" s="275">
        <v>4641132</v>
      </c>
      <c r="U127" s="275">
        <v>4371611</v>
      </c>
      <c r="V127" s="275">
        <v>3798362</v>
      </c>
      <c r="W127" s="275">
        <v>4481336</v>
      </c>
      <c r="X127" s="275">
        <v>4708013</v>
      </c>
    </row>
    <row r="128" spans="1:24" ht="14.25" thickBot="1" x14ac:dyDescent="0.3">
      <c r="A128" s="224" t="s">
        <v>34</v>
      </c>
      <c r="B128" s="273">
        <v>3257169</v>
      </c>
      <c r="C128" s="273">
        <v>3001845</v>
      </c>
      <c r="D128" s="273">
        <v>3132625</v>
      </c>
      <c r="E128" s="273">
        <v>3218501</v>
      </c>
      <c r="F128" s="273">
        <v>3356578</v>
      </c>
      <c r="G128" s="273">
        <v>3134885</v>
      </c>
      <c r="H128" s="273">
        <v>3279313</v>
      </c>
      <c r="I128" s="273">
        <v>3434094</v>
      </c>
      <c r="J128" s="273">
        <v>3609200</v>
      </c>
      <c r="K128" s="273">
        <v>3228961</v>
      </c>
      <c r="L128" s="273">
        <v>3392459</v>
      </c>
      <c r="M128" s="273">
        <v>3536507</v>
      </c>
      <c r="N128" s="273">
        <v>3679025</v>
      </c>
      <c r="O128" s="273">
        <v>3198565</v>
      </c>
      <c r="P128" s="273">
        <v>3440402</v>
      </c>
      <c r="Q128" s="273">
        <v>3594455</v>
      </c>
      <c r="R128" s="273">
        <v>3780237</v>
      </c>
      <c r="S128" s="273">
        <v>3306635</v>
      </c>
      <c r="T128" s="273">
        <v>3398977</v>
      </c>
      <c r="U128" s="273">
        <v>3557688</v>
      </c>
      <c r="V128" s="273">
        <v>4056706</v>
      </c>
      <c r="W128" s="273">
        <v>3650521</v>
      </c>
      <c r="X128" s="273">
        <v>3757470</v>
      </c>
    </row>
    <row r="129" spans="1:24" ht="14.25" thickBot="1" x14ac:dyDescent="0.3">
      <c r="A129" s="225" t="s">
        <v>35</v>
      </c>
      <c r="B129" s="276">
        <v>7079576</v>
      </c>
      <c r="C129" s="276">
        <v>7458739</v>
      </c>
      <c r="D129" s="276">
        <v>7002811</v>
      </c>
      <c r="E129" s="276">
        <v>6794220</v>
      </c>
      <c r="F129" s="276">
        <v>6979448</v>
      </c>
      <c r="G129" s="276">
        <v>7345718</v>
      </c>
      <c r="H129" s="276">
        <v>7495115</v>
      </c>
      <c r="I129" s="276">
        <v>7756544</v>
      </c>
      <c r="J129" s="276">
        <v>7703680</v>
      </c>
      <c r="K129" s="276">
        <v>7852504</v>
      </c>
      <c r="L129" s="276">
        <v>8326655</v>
      </c>
      <c r="M129" s="276">
        <v>8268966</v>
      </c>
      <c r="N129" s="276">
        <v>7977804</v>
      </c>
      <c r="O129" s="276">
        <v>7998209</v>
      </c>
      <c r="P129" s="276">
        <v>7884735</v>
      </c>
      <c r="Q129" s="276">
        <v>7716487</v>
      </c>
      <c r="R129" s="276">
        <v>7659792</v>
      </c>
      <c r="S129" s="276">
        <v>7933744</v>
      </c>
      <c r="T129" s="276">
        <v>8040109</v>
      </c>
      <c r="U129" s="276">
        <v>7929299</v>
      </c>
      <c r="V129" s="276">
        <v>7855068</v>
      </c>
      <c r="W129" s="276">
        <v>8131857</v>
      </c>
      <c r="X129" s="276">
        <v>8465483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1.19</v>
      </c>
      <c r="C132" s="68">
        <v>2.9</v>
      </c>
      <c r="D132" s="68">
        <v>1.87</v>
      </c>
      <c r="E132" s="68">
        <v>3.73</v>
      </c>
      <c r="F132" s="68">
        <v>3.23</v>
      </c>
    </row>
    <row r="133" spans="1:24" ht="14.25" thickBot="1" x14ac:dyDescent="0.3">
      <c r="A133" s="225" t="s">
        <v>37</v>
      </c>
      <c r="B133" s="274">
        <v>0.12</v>
      </c>
      <c r="C133" s="274">
        <v>-0.05</v>
      </c>
      <c r="D133" s="274">
        <v>-0.17</v>
      </c>
      <c r="E133" s="274">
        <v>-0.13</v>
      </c>
      <c r="F133" s="274">
        <v>-0.79</v>
      </c>
    </row>
    <row r="134" spans="1:24" ht="14.25" thickBot="1" x14ac:dyDescent="0.3">
      <c r="A134" s="224" t="s">
        <v>38</v>
      </c>
      <c r="B134" s="68">
        <v>-2.0299999999999998</v>
      </c>
      <c r="C134" s="68">
        <v>1.36</v>
      </c>
      <c r="D134" s="68">
        <v>-2.56</v>
      </c>
      <c r="E134" s="68">
        <v>-2.82</v>
      </c>
      <c r="F134" s="68">
        <v>-2.2799999999999998</v>
      </c>
    </row>
    <row r="135" spans="1:24" ht="14.25" thickBot="1" x14ac:dyDescent="0.3">
      <c r="A135" s="225" t="s">
        <v>270</v>
      </c>
      <c r="B135" s="274">
        <v>1.31</v>
      </c>
      <c r="C135" s="274">
        <v>2.85</v>
      </c>
      <c r="D135" s="274">
        <v>1.7</v>
      </c>
      <c r="E135" s="274">
        <v>3.6</v>
      </c>
      <c r="F135" s="274">
        <v>2.44</v>
      </c>
    </row>
    <row r="136" spans="1:24" ht="14.25" thickBot="1" x14ac:dyDescent="0.3">
      <c r="A136" s="229" t="s">
        <v>39</v>
      </c>
      <c r="B136" s="72">
        <v>-0.72</v>
      </c>
      <c r="C136" s="72">
        <v>4.21</v>
      </c>
      <c r="D136" s="72">
        <v>-0.86</v>
      </c>
      <c r="E136" s="72">
        <v>0.78</v>
      </c>
      <c r="F136" s="72">
        <v>0.15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借錢配息?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2.2000000000000002</v>
      </c>
      <c r="C140" s="68">
        <v>3</v>
      </c>
      <c r="D140" s="68">
        <v>3.2</v>
      </c>
      <c r="E140" s="68">
        <v>3</v>
      </c>
      <c r="F140" s="68">
        <v>2.2999999999999998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0.85603112840466933</v>
      </c>
      <c r="C142" s="234">
        <f>IF(C140&lt;&gt;"無",IF(ISNA(HLOOKUP(C139,$B$64:$F$69,6,FALSE)),"",C140/HLOOKUP(C139,$B$64:$F$69,6,FALSE)),"")</f>
        <v>0.92592592592592604</v>
      </c>
      <c r="D142" s="234">
        <f>IF(D140&lt;&gt;"無",IF(ISNA(HLOOKUP(D139,$B$64:$F$69,6,FALSE)),"",D140/HLOOKUP(D139,$B$64:$F$69,6,FALSE)),"")</f>
        <v>0.91954022988505757</v>
      </c>
      <c r="E142" s="234">
        <f>IF(E140&lt;&gt;"無",IF(ISNA(HLOOKUP(E139,$B$64:$F$69,6,FALSE)),"",E140/HLOOKUP(E139,$B$64:$F$69,6,FALSE)),"")</f>
        <v>0.93167701863354035</v>
      </c>
      <c r="F142" s="234">
        <f>IF(F140&lt;&gt;"無",IF(ISNA(HLOOKUP(F139,$B$64:$F$69,6,FALSE)),"",F140/HLOOKUP(F139,$B$64:$F$69,6,FALSE)),"")</f>
        <v>0.91999999999999993</v>
      </c>
    </row>
    <row r="143" spans="1:24" x14ac:dyDescent="0.25">
      <c r="A143" s="233" t="s">
        <v>216</v>
      </c>
      <c r="B143" s="234">
        <f>IF(OR(B140=0,B140="無"),"",B135/B140)</f>
        <v>0.59545454545454546</v>
      </c>
      <c r="C143" s="234">
        <f>IF(OR(C140=0,C140="無"),"",C135/C140)</f>
        <v>0.95000000000000007</v>
      </c>
      <c r="D143" s="234">
        <f>IF(OR(D140=0,D140="無"),"",D135/D140)</f>
        <v>0.53125</v>
      </c>
      <c r="E143" s="234">
        <f>IF(OR(E140=0,E140="無"),"",E135/E140)</f>
        <v>1.2</v>
      </c>
      <c r="F143" s="234">
        <f>IF(OR(F140=0,F140="無"),"",F135/F140)</f>
        <v>1.0608695652173914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7.46</v>
      </c>
      <c r="C146" s="68">
        <v>7.85</v>
      </c>
      <c r="D146" s="68">
        <v>7.58</v>
      </c>
      <c r="E146" s="68">
        <v>6.18</v>
      </c>
      <c r="F146" s="68">
        <v>8.7899999999999991</v>
      </c>
      <c r="G146" s="68">
        <v>8.6199999999999992</v>
      </c>
      <c r="H146" s="68">
        <v>8.06</v>
      </c>
      <c r="I146" s="68">
        <v>7.47</v>
      </c>
      <c r="J146" s="68">
        <v>9.07</v>
      </c>
      <c r="K146" s="68">
        <v>8.77</v>
      </c>
      <c r="L146" s="68">
        <v>8.19</v>
      </c>
      <c r="M146" s="68">
        <v>7.92</v>
      </c>
      <c r="N146" s="68">
        <v>9.83</v>
      </c>
      <c r="O146" s="68">
        <v>7.94</v>
      </c>
      <c r="P146" s="68">
        <v>10.28</v>
      </c>
      <c r="Q146" s="68">
        <v>8.73</v>
      </c>
      <c r="R146" s="68">
        <v>9.26</v>
      </c>
      <c r="S146" s="68">
        <v>7.27</v>
      </c>
      <c r="T146" s="68">
        <v>7.53</v>
      </c>
      <c r="U146" s="68">
        <v>8.8699999999999992</v>
      </c>
      <c r="V146" s="68">
        <v>7.42</v>
      </c>
      <c r="W146" s="68">
        <v>7.91</v>
      </c>
      <c r="X146" s="68">
        <v>8.7799999999999994</v>
      </c>
    </row>
    <row r="147" spans="1:24" s="93" customFormat="1" ht="14.25" thickBot="1" x14ac:dyDescent="0.3">
      <c r="A147" s="225" t="s">
        <v>19</v>
      </c>
      <c r="B147" s="274">
        <v>2.9</v>
      </c>
      <c r="C147" s="274">
        <v>3.4</v>
      </c>
      <c r="D147" s="274">
        <v>3.45</v>
      </c>
      <c r="E147" s="274">
        <v>2.6</v>
      </c>
      <c r="F147" s="274">
        <v>3.88</v>
      </c>
      <c r="G147" s="274">
        <v>4.03</v>
      </c>
      <c r="H147" s="274">
        <v>4.03</v>
      </c>
      <c r="I147" s="274">
        <v>2.48</v>
      </c>
      <c r="J147" s="274">
        <v>4.12</v>
      </c>
      <c r="K147" s="274">
        <v>4.2300000000000004</v>
      </c>
      <c r="L147" s="274">
        <v>3.65</v>
      </c>
      <c r="M147" s="274">
        <v>2.8</v>
      </c>
      <c r="N147" s="274">
        <v>4.55</v>
      </c>
      <c r="O147" s="274">
        <v>3.2</v>
      </c>
      <c r="P147" s="274">
        <v>4.29</v>
      </c>
      <c r="Q147" s="274">
        <v>3.84</v>
      </c>
      <c r="R147" s="274">
        <v>4.5</v>
      </c>
      <c r="S147" s="274">
        <v>2.52</v>
      </c>
      <c r="T147" s="274">
        <v>3.32</v>
      </c>
      <c r="U147" s="274">
        <v>3.85</v>
      </c>
      <c r="V147" s="274">
        <v>2.5099999999999998</v>
      </c>
      <c r="W147" s="274">
        <v>2.79</v>
      </c>
      <c r="X147" s="274">
        <v>3.83</v>
      </c>
    </row>
    <row r="148" spans="1:24" s="93" customFormat="1" ht="14.25" thickBot="1" x14ac:dyDescent="0.3">
      <c r="A148" s="224" t="s">
        <v>41</v>
      </c>
      <c r="B148" s="68">
        <v>2.62</v>
      </c>
      <c r="C148" s="68">
        <v>3.26</v>
      </c>
      <c r="D148" s="68">
        <v>3.05</v>
      </c>
      <c r="E148" s="68">
        <v>2.67</v>
      </c>
      <c r="F148" s="68">
        <v>4.13</v>
      </c>
      <c r="G148" s="68">
        <v>4.3</v>
      </c>
      <c r="H148" s="68">
        <v>3.57</v>
      </c>
      <c r="I148" s="68">
        <v>2.63</v>
      </c>
      <c r="J148" s="68">
        <v>4.59</v>
      </c>
      <c r="K148" s="68">
        <v>3.77</v>
      </c>
      <c r="L148" s="68">
        <v>3.66</v>
      </c>
      <c r="M148" s="68">
        <v>3.31</v>
      </c>
      <c r="N148" s="68">
        <v>4.1399999999999997</v>
      </c>
      <c r="O148" s="68">
        <v>2.95</v>
      </c>
      <c r="P148" s="68">
        <v>5.46</v>
      </c>
      <c r="Q148" s="68">
        <v>3.62</v>
      </c>
      <c r="R148" s="68">
        <v>3.7</v>
      </c>
      <c r="S148" s="68">
        <v>2.54</v>
      </c>
      <c r="T148" s="68">
        <v>2.38</v>
      </c>
      <c r="U148" s="68">
        <v>4.28</v>
      </c>
      <c r="V148" s="68">
        <v>0.79</v>
      </c>
      <c r="W148" s="68">
        <v>2.9</v>
      </c>
      <c r="X148" s="68">
        <v>3.6</v>
      </c>
    </row>
    <row r="149" spans="1:24" s="93" customFormat="1" ht="14.25" thickBot="1" x14ac:dyDescent="0.3">
      <c r="A149" s="225" t="s">
        <v>13</v>
      </c>
      <c r="B149" s="73">
        <v>2.06</v>
      </c>
      <c r="C149" s="73">
        <v>2.7</v>
      </c>
      <c r="D149" s="73">
        <v>2.5</v>
      </c>
      <c r="E149" s="73">
        <v>2.11</v>
      </c>
      <c r="F149" s="73">
        <v>3.12</v>
      </c>
      <c r="G149" s="73">
        <v>3.61</v>
      </c>
      <c r="H149" s="73">
        <v>2.89</v>
      </c>
      <c r="I149" s="73">
        <v>2.13</v>
      </c>
      <c r="J149" s="73">
        <v>3.94</v>
      </c>
      <c r="K149" s="73">
        <v>2.96</v>
      </c>
      <c r="L149" s="73">
        <v>3</v>
      </c>
      <c r="M149" s="73">
        <v>2.69</v>
      </c>
      <c r="N149" s="73">
        <v>3.4</v>
      </c>
      <c r="O149" s="73">
        <v>2.38</v>
      </c>
      <c r="P149" s="73">
        <v>4.8</v>
      </c>
      <c r="Q149" s="73">
        <v>2.92</v>
      </c>
      <c r="R149" s="73">
        <v>3.02</v>
      </c>
      <c r="S149" s="73">
        <v>2.0699999999999998</v>
      </c>
      <c r="T149" s="73">
        <v>1.91</v>
      </c>
      <c r="U149" s="73">
        <v>3.27</v>
      </c>
      <c r="V149" s="73">
        <v>0.59</v>
      </c>
      <c r="W149" s="73">
        <v>2.38</v>
      </c>
      <c r="X149" s="73">
        <v>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7.29</v>
      </c>
      <c r="C152" s="68">
        <v>8.1199999999999992</v>
      </c>
      <c r="D152" s="68">
        <v>8.64</v>
      </c>
      <c r="E152" s="68">
        <v>9.1999999999999993</v>
      </c>
      <c r="F152" s="68">
        <v>8.19</v>
      </c>
    </row>
    <row r="153" spans="1:24" s="93" customFormat="1" ht="14.25" thickBot="1" x14ac:dyDescent="0.3">
      <c r="A153" s="225" t="s">
        <v>19</v>
      </c>
      <c r="B153" s="274">
        <v>3.11</v>
      </c>
      <c r="C153" s="274">
        <v>3.57</v>
      </c>
      <c r="D153" s="274">
        <v>3.68</v>
      </c>
      <c r="E153" s="274">
        <v>3.97</v>
      </c>
      <c r="F153" s="274">
        <v>3.51</v>
      </c>
    </row>
    <row r="154" spans="1:24" s="93" customFormat="1" ht="14.25" thickBot="1" x14ac:dyDescent="0.3">
      <c r="A154" s="224" t="s">
        <v>41</v>
      </c>
      <c r="B154" s="68">
        <v>2.92</v>
      </c>
      <c r="C154" s="68">
        <v>3.62</v>
      </c>
      <c r="D154" s="68">
        <v>3.8</v>
      </c>
      <c r="E154" s="68">
        <v>4.05</v>
      </c>
      <c r="F154" s="68">
        <v>3.2</v>
      </c>
    </row>
    <row r="155" spans="1:24" s="93" customFormat="1" ht="14.25" thickBot="1" x14ac:dyDescent="0.3">
      <c r="A155" s="225" t="s">
        <v>13</v>
      </c>
      <c r="B155" s="73">
        <v>2.36</v>
      </c>
      <c r="C155" s="73">
        <v>2.91</v>
      </c>
      <c r="D155" s="73">
        <v>3.12</v>
      </c>
      <c r="E155" s="73">
        <v>3.38</v>
      </c>
      <c r="F155" s="73">
        <v>2.54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1.37</v>
      </c>
      <c r="C158" s="68">
        <v>1.94</v>
      </c>
      <c r="D158" s="68">
        <v>1.95</v>
      </c>
      <c r="E158" s="68">
        <v>1.52</v>
      </c>
      <c r="F158" s="68">
        <v>2.25</v>
      </c>
      <c r="G158" s="68">
        <v>2.46</v>
      </c>
      <c r="H158" s="68">
        <v>2.04</v>
      </c>
      <c r="I158" s="68">
        <v>1.59</v>
      </c>
      <c r="J158" s="68">
        <v>2.38</v>
      </c>
      <c r="K158" s="68">
        <v>2.04</v>
      </c>
      <c r="L158" s="68">
        <v>2.0299999999999998</v>
      </c>
      <c r="M158" s="68">
        <v>1.78</v>
      </c>
      <c r="N158" s="68">
        <v>1.84</v>
      </c>
      <c r="O158" s="68">
        <v>1.35</v>
      </c>
      <c r="P158" s="68">
        <v>2.78</v>
      </c>
      <c r="Q158" s="68">
        <v>1.82</v>
      </c>
      <c r="R158" s="68">
        <v>1.67</v>
      </c>
      <c r="S158" s="68">
        <v>1.35</v>
      </c>
      <c r="T158" s="68">
        <v>1.26</v>
      </c>
      <c r="U158" s="68">
        <v>2.0699999999999998</v>
      </c>
      <c r="V158" s="68">
        <v>0.4</v>
      </c>
      <c r="W158" s="68">
        <v>1.36</v>
      </c>
      <c r="X158" s="68">
        <v>1.88</v>
      </c>
    </row>
    <row r="159" spans="1:24" s="93" customFormat="1" ht="14.25" thickBot="1" x14ac:dyDescent="0.3">
      <c r="A159" s="225" t="s">
        <v>45</v>
      </c>
      <c r="B159" s="73">
        <v>2.82</v>
      </c>
      <c r="C159" s="73">
        <v>4.41</v>
      </c>
      <c r="D159" s="73">
        <v>4.46</v>
      </c>
      <c r="E159" s="73">
        <v>3.18</v>
      </c>
      <c r="F159" s="73">
        <v>4.62</v>
      </c>
      <c r="G159" s="73">
        <v>5.31</v>
      </c>
      <c r="H159" s="73">
        <v>4.57</v>
      </c>
      <c r="I159" s="73">
        <v>3.46</v>
      </c>
      <c r="J159" s="73">
        <v>5.08</v>
      </c>
      <c r="K159" s="73">
        <v>4.53</v>
      </c>
      <c r="L159" s="73">
        <v>4.8499999999999996</v>
      </c>
      <c r="M159" s="73">
        <v>4.1399999999999997</v>
      </c>
      <c r="N159" s="73">
        <v>4</v>
      </c>
      <c r="O159" s="73">
        <v>2.97</v>
      </c>
      <c r="P159" s="73">
        <v>6.48</v>
      </c>
      <c r="Q159" s="73">
        <v>3.87</v>
      </c>
      <c r="R159" s="73">
        <v>3.32</v>
      </c>
      <c r="S159" s="73">
        <v>2.82</v>
      </c>
      <c r="T159" s="73">
        <v>2.87</v>
      </c>
      <c r="U159" s="73">
        <v>4.59</v>
      </c>
      <c r="V159" s="73">
        <v>0.66</v>
      </c>
      <c r="W159" s="73">
        <v>2.68</v>
      </c>
      <c r="X159" s="73">
        <v>4.0199999999999996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2.36</v>
      </c>
      <c r="C162" s="68">
        <v>2.91</v>
      </c>
      <c r="D162" s="68">
        <v>3.12</v>
      </c>
      <c r="E162" s="68">
        <v>3.38</v>
      </c>
      <c r="F162" s="68">
        <v>2.54</v>
      </c>
    </row>
    <row r="163" spans="1:72" s="93" customFormat="1" ht="14.25" thickBot="1" x14ac:dyDescent="0.3">
      <c r="A163" s="225" t="s">
        <v>18</v>
      </c>
      <c r="B163" s="274">
        <v>2.91</v>
      </c>
      <c r="C163" s="274">
        <v>2.6</v>
      </c>
      <c r="D163" s="274">
        <v>2.4700000000000002</v>
      </c>
      <c r="E163" s="274">
        <v>2.29</v>
      </c>
      <c r="F163" s="274">
        <v>2.37</v>
      </c>
    </row>
    <row r="164" spans="1:72" s="93" customFormat="1" ht="14.25" thickBot="1" x14ac:dyDescent="0.3">
      <c r="A164" s="224" t="s">
        <v>15</v>
      </c>
      <c r="B164" s="68">
        <v>2.11</v>
      </c>
      <c r="C164" s="68">
        <v>2.2599999999999998</v>
      </c>
      <c r="D164" s="68">
        <v>2.34</v>
      </c>
      <c r="E164" s="68">
        <v>2.15</v>
      </c>
      <c r="F164" s="68">
        <v>2.23</v>
      </c>
    </row>
    <row r="165" spans="1:72" s="93" customFormat="1" ht="14.25" thickBot="1" x14ac:dyDescent="0.3">
      <c r="A165" s="225" t="s">
        <v>45</v>
      </c>
      <c r="B165" s="73">
        <v>14.6</v>
      </c>
      <c r="C165" s="73">
        <v>17.649999999999999</v>
      </c>
      <c r="D165" s="73">
        <v>18.29</v>
      </c>
      <c r="E165" s="73">
        <v>16.75</v>
      </c>
      <c r="F165" s="73">
        <v>13.38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49.18</v>
      </c>
      <c r="C168" s="68">
        <v>41.1</v>
      </c>
      <c r="D168" s="68">
        <v>38.46</v>
      </c>
      <c r="E168" s="68">
        <v>42.06</v>
      </c>
      <c r="F168" s="68">
        <v>40.909999999999997</v>
      </c>
      <c r="G168" s="68">
        <v>45.92</v>
      </c>
      <c r="H168" s="68">
        <v>46.88</v>
      </c>
      <c r="I168" s="68">
        <v>44.12</v>
      </c>
      <c r="J168" s="68">
        <v>53.25</v>
      </c>
      <c r="K168" s="68">
        <v>48.39</v>
      </c>
      <c r="L168" s="68">
        <v>49.72</v>
      </c>
      <c r="M168" s="68">
        <v>47.12</v>
      </c>
      <c r="N168" s="68">
        <v>52.02</v>
      </c>
      <c r="O168" s="68">
        <v>50.28</v>
      </c>
      <c r="P168" s="68">
        <v>49.72</v>
      </c>
      <c r="Q168" s="68">
        <v>49.72</v>
      </c>
      <c r="R168" s="68">
        <v>54.88</v>
      </c>
      <c r="S168" s="68">
        <v>46.88</v>
      </c>
      <c r="T168" s="68">
        <v>49.18</v>
      </c>
      <c r="U168" s="68">
        <v>53.89</v>
      </c>
      <c r="V168" s="68">
        <v>58.06</v>
      </c>
      <c r="W168" s="68">
        <v>54.22</v>
      </c>
      <c r="X168" s="68">
        <v>52.94</v>
      </c>
    </row>
    <row r="169" spans="1:72" s="93" customFormat="1" ht="14.25" thickBot="1" x14ac:dyDescent="0.3">
      <c r="A169" s="225" t="s">
        <v>17</v>
      </c>
      <c r="B169" s="274">
        <v>55.56</v>
      </c>
      <c r="C169" s="274">
        <v>51.72</v>
      </c>
      <c r="D169" s="274">
        <v>50.28</v>
      </c>
      <c r="E169" s="274">
        <v>56.6</v>
      </c>
      <c r="F169" s="274">
        <v>56.6</v>
      </c>
      <c r="G169" s="274">
        <v>58.44</v>
      </c>
      <c r="H169" s="274">
        <v>54.88</v>
      </c>
      <c r="I169" s="274">
        <v>48.13</v>
      </c>
      <c r="J169" s="274">
        <v>57.69</v>
      </c>
      <c r="K169" s="274">
        <v>52.02</v>
      </c>
      <c r="L169" s="274">
        <v>55.21</v>
      </c>
      <c r="M169" s="274">
        <v>59.21</v>
      </c>
      <c r="N169" s="274">
        <v>81.08</v>
      </c>
      <c r="O169" s="274">
        <v>79.650000000000006</v>
      </c>
      <c r="P169" s="274">
        <v>70.87</v>
      </c>
      <c r="Q169" s="274">
        <v>60.4</v>
      </c>
      <c r="R169" s="274">
        <v>66.180000000000007</v>
      </c>
      <c r="S169" s="274">
        <v>53.57</v>
      </c>
      <c r="T169" s="274">
        <v>47.37</v>
      </c>
      <c r="U169" s="274">
        <v>46.88</v>
      </c>
      <c r="V169" s="274">
        <v>53.89</v>
      </c>
      <c r="W169" s="274">
        <v>54.55</v>
      </c>
      <c r="X169" s="274">
        <v>48.39</v>
      </c>
    </row>
    <row r="170" spans="1:72" s="93" customFormat="1" ht="14.25" thickBot="1" x14ac:dyDescent="0.3">
      <c r="A170" s="224" t="s">
        <v>42</v>
      </c>
      <c r="B170" s="72">
        <v>104.74</v>
      </c>
      <c r="C170" s="72">
        <v>92.82</v>
      </c>
      <c r="D170" s="72">
        <v>88.74</v>
      </c>
      <c r="E170" s="72">
        <v>98.66</v>
      </c>
      <c r="F170" s="72">
        <v>97.51</v>
      </c>
      <c r="G170" s="72">
        <v>104.36</v>
      </c>
      <c r="H170" s="72">
        <v>101.75</v>
      </c>
      <c r="I170" s="72">
        <v>92.25</v>
      </c>
      <c r="J170" s="72">
        <v>110.95</v>
      </c>
      <c r="K170" s="72">
        <v>100.41</v>
      </c>
      <c r="L170" s="72">
        <v>104.94</v>
      </c>
      <c r="M170" s="72">
        <v>106.33</v>
      </c>
      <c r="N170" s="72">
        <v>133.1</v>
      </c>
      <c r="O170" s="72">
        <v>129.93</v>
      </c>
      <c r="P170" s="72">
        <v>120.59</v>
      </c>
      <c r="Q170" s="72">
        <v>110.13</v>
      </c>
      <c r="R170" s="72">
        <v>121.05</v>
      </c>
      <c r="S170" s="72">
        <v>100.45</v>
      </c>
      <c r="T170" s="72">
        <v>96.55</v>
      </c>
      <c r="U170" s="72">
        <v>100.77</v>
      </c>
      <c r="V170" s="72">
        <v>111.96</v>
      </c>
      <c r="W170" s="72">
        <v>108.76</v>
      </c>
      <c r="X170" s="72">
        <v>101.33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45.7</v>
      </c>
      <c r="C173" s="72">
        <v>88.27</v>
      </c>
      <c r="D173" s="72">
        <v>52.38</v>
      </c>
      <c r="E173" s="72">
        <v>111.92</v>
      </c>
      <c r="F173" s="72">
        <v>120.87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9.92</v>
      </c>
      <c r="C176" s="72">
        <v>11.63</v>
      </c>
      <c r="D176" s="72">
        <v>12.63</v>
      </c>
      <c r="E176" s="72">
        <v>9.4499999999999993</v>
      </c>
      <c r="F176" s="72">
        <v>9.01</v>
      </c>
      <c r="G176" s="72">
        <v>8.9499999999999993</v>
      </c>
      <c r="H176" s="72">
        <v>8.9499999999999993</v>
      </c>
      <c r="I176" s="72">
        <v>8.1199999999999992</v>
      </c>
      <c r="J176" s="72">
        <v>8.36</v>
      </c>
      <c r="K176" s="72">
        <v>8.19</v>
      </c>
      <c r="L176" s="72">
        <v>8.2799999999999994</v>
      </c>
      <c r="M176" s="72">
        <v>8.44</v>
      </c>
      <c r="N176" s="72">
        <v>8.58</v>
      </c>
      <c r="O176" s="72">
        <v>8.9700000000000006</v>
      </c>
      <c r="P176" s="72">
        <v>9.3000000000000007</v>
      </c>
      <c r="Q176" s="72">
        <v>10.45</v>
      </c>
      <c r="R176" s="72">
        <v>9.7100000000000009</v>
      </c>
      <c r="S176" s="72">
        <v>9.9700000000000006</v>
      </c>
      <c r="T176" s="72">
        <v>9.39</v>
      </c>
      <c r="U176" s="72">
        <v>9.19</v>
      </c>
      <c r="V176" s="72">
        <v>9.4499999999999993</v>
      </c>
      <c r="W176" s="72">
        <v>9.5299999999999994</v>
      </c>
      <c r="X176" s="72">
        <v>9.73</v>
      </c>
      <c r="Y176" s="72">
        <v>10.25</v>
      </c>
      <c r="Z176" s="72">
        <v>10.65</v>
      </c>
      <c r="AA176" s="72">
        <v>10.37</v>
      </c>
      <c r="AB176" s="72">
        <v>10.220000000000001</v>
      </c>
      <c r="AC176" s="72">
        <v>11.02</v>
      </c>
      <c r="AD176" s="72">
        <v>11.13</v>
      </c>
      <c r="AE176" s="72">
        <v>11.67</v>
      </c>
      <c r="AF176" s="72">
        <v>10.83</v>
      </c>
      <c r="AG176" s="72">
        <v>11.27</v>
      </c>
      <c r="AH176" s="72">
        <v>11.33</v>
      </c>
      <c r="AI176" s="72">
        <v>10.81</v>
      </c>
      <c r="AJ176" s="72">
        <v>10.51</v>
      </c>
      <c r="AK176" s="72">
        <v>10.69</v>
      </c>
      <c r="AL176" s="72">
        <v>10.79</v>
      </c>
      <c r="AM176" s="72">
        <v>11.14</v>
      </c>
      <c r="AN176" s="72">
        <v>11.03</v>
      </c>
      <c r="AO176" s="72">
        <v>11.19</v>
      </c>
      <c r="AP176" s="72">
        <v>11.56</v>
      </c>
      <c r="AQ176" s="72">
        <v>11.06</v>
      </c>
      <c r="AR176" s="72">
        <v>9.57</v>
      </c>
      <c r="AS176" s="72">
        <v>9.2100000000000009</v>
      </c>
      <c r="AT176" s="72">
        <v>9.2799999999999994</v>
      </c>
      <c r="AU176" s="72">
        <v>9.5500000000000007</v>
      </c>
      <c r="AV176" s="72">
        <v>9.14</v>
      </c>
      <c r="AW176" s="72">
        <v>9.06</v>
      </c>
      <c r="AX176" s="72">
        <v>9.07</v>
      </c>
      <c r="AY176" s="72">
        <v>10.16</v>
      </c>
      <c r="AZ176" s="72">
        <v>10.75</v>
      </c>
      <c r="BA176" s="72">
        <v>10.74</v>
      </c>
      <c r="BB176" s="72">
        <v>10.99</v>
      </c>
      <c r="BC176" s="72">
        <v>11.11</v>
      </c>
      <c r="BD176" s="72">
        <v>11.16</v>
      </c>
      <c r="BE176" s="72">
        <v>10.34</v>
      </c>
      <c r="BF176" s="72">
        <v>10.39</v>
      </c>
      <c r="BG176" s="72">
        <v>10.38</v>
      </c>
      <c r="BH176" s="72">
        <v>12.69</v>
      </c>
      <c r="BI176" s="72">
        <v>12.53</v>
      </c>
      <c r="BJ176" s="72">
        <v>12.69</v>
      </c>
      <c r="BK176" s="72">
        <v>13</v>
      </c>
      <c r="BL176" s="72">
        <v>13.01</v>
      </c>
      <c r="BM176" s="72">
        <v>12.77</v>
      </c>
      <c r="BN176" s="72">
        <v>16.170000000000002</v>
      </c>
      <c r="BO176" s="72">
        <v>15.9</v>
      </c>
      <c r="BP176" s="72">
        <v>15.51</v>
      </c>
      <c r="BQ176" s="72">
        <v>14.39</v>
      </c>
      <c r="BR176" s="72">
        <v>14.49</v>
      </c>
      <c r="BS176" s="72">
        <v>14.29</v>
      </c>
      <c r="BT176" s="72">
        <v>12.77</v>
      </c>
    </row>
  </sheetData>
  <phoneticPr fontId="3" type="noConversion"/>
  <conditionalFormatting sqref="E4">
    <cfRule type="cellIs" dxfId="2624" priority="103" operator="greaterThan">
      <formula>0.2</formula>
    </cfRule>
    <cfRule type="cellIs" dxfId="262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262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621" priority="97" operator="greaterThan">
      <formula>$B$19</formula>
    </cfRule>
  </conditionalFormatting>
  <conditionalFormatting sqref="D33:D34">
    <cfRule type="cellIs" dxfId="262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2619" priority="91" operator="lessThan">
      <formula>$H$62</formula>
    </cfRule>
    <cfRule type="cellIs" dxfId="2618" priority="92" operator="greaterThan">
      <formula>$H$62</formula>
    </cfRule>
  </conditionalFormatting>
  <conditionalFormatting sqref="J62">
    <cfRule type="cellIs" dxfId="2617" priority="89" operator="lessThan">
      <formula>$K$62</formula>
    </cfRule>
    <cfRule type="cellIs" dxfId="2616" priority="90" operator="greaterThan">
      <formula>$K$62</formula>
    </cfRule>
  </conditionalFormatting>
  <conditionalFormatting sqref="M62">
    <cfRule type="cellIs" dxfId="2615" priority="87" operator="lessThan">
      <formula>$N$62</formula>
    </cfRule>
    <cfRule type="cellIs" dxfId="2614" priority="88" operator="greaterThan">
      <formula>$N$62</formula>
    </cfRule>
  </conditionalFormatting>
  <conditionalFormatting sqref="B44:E44">
    <cfRule type="cellIs" dxfId="2613" priority="85" operator="greaterThan">
      <formula>0</formula>
    </cfRule>
    <cfRule type="cellIs" dxfId="2612" priority="86" operator="lessThan">
      <formula>0</formula>
    </cfRule>
  </conditionalFormatting>
  <conditionalFormatting sqref="F72">
    <cfRule type="cellIs" dxfId="2611" priority="84" operator="lessThan">
      <formula>$E$72*90%</formula>
    </cfRule>
  </conditionalFormatting>
  <conditionalFormatting sqref="F73">
    <cfRule type="cellIs" dxfId="2610" priority="83" operator="lessThan">
      <formula>$E$73*90%</formula>
    </cfRule>
  </conditionalFormatting>
  <conditionalFormatting sqref="F74">
    <cfRule type="cellIs" dxfId="2609" priority="82" operator="lessThan">
      <formula>$E$74*90%</formula>
    </cfRule>
  </conditionalFormatting>
  <conditionalFormatting sqref="F75">
    <cfRule type="cellIs" dxfId="2608" priority="81" operator="lessThan">
      <formula>$E$75*90%</formula>
    </cfRule>
  </conditionalFormatting>
  <conditionalFormatting sqref="H44:K44">
    <cfRule type="cellIs" dxfId="2607" priority="79" operator="greaterThan">
      <formula>0</formula>
    </cfRule>
    <cfRule type="cellIs" dxfId="2606" priority="80" operator="lessThan">
      <formula>0</formula>
    </cfRule>
  </conditionalFormatting>
  <conditionalFormatting sqref="H51:K51">
    <cfRule type="cellIs" dxfId="2605" priority="77" operator="greaterThan">
      <formula>0</formula>
    </cfRule>
    <cfRule type="cellIs" dxfId="2604" priority="78" operator="lessThan">
      <formula>0</formula>
    </cfRule>
  </conditionalFormatting>
  <conditionalFormatting sqref="B51:E51">
    <cfRule type="cellIs" dxfId="2603" priority="75" operator="greaterThan">
      <formula>0</formula>
    </cfRule>
    <cfRule type="cellIs" dxfId="260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60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60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599" priority="58" operator="lessThan">
      <formula>0</formula>
    </cfRule>
  </conditionalFormatting>
  <conditionalFormatting sqref="A25 E25 C25">
    <cfRule type="cellIs" dxfId="2598" priority="59" operator="lessThan">
      <formula>0</formula>
    </cfRule>
  </conditionalFormatting>
  <conditionalFormatting sqref="F25">
    <cfRule type="cellIs" dxfId="2597" priority="57" operator="lessThan">
      <formula>0</formula>
    </cfRule>
  </conditionalFormatting>
  <conditionalFormatting sqref="E1">
    <cfRule type="containsText" dxfId="2596" priority="56" operator="containsText" text="本季業外損益/平均=-">
      <formula>NOT(ISERROR(SEARCH("本季業外損益/平均=-",E1)))</formula>
    </cfRule>
  </conditionalFormatting>
  <conditionalFormatting sqref="M65">
    <cfRule type="cellIs" dxfId="2595" priority="55" operator="lessThan">
      <formula>$L$65*90%</formula>
    </cfRule>
  </conditionalFormatting>
  <conditionalFormatting sqref="M66">
    <cfRule type="cellIs" dxfId="2594" priority="54" operator="lessThan">
      <formula>$L$66*90%</formula>
    </cfRule>
  </conditionalFormatting>
  <conditionalFormatting sqref="M67">
    <cfRule type="cellIs" dxfId="2593" priority="53" operator="lessThan">
      <formula>$L$67*90%</formula>
    </cfRule>
  </conditionalFormatting>
  <conditionalFormatting sqref="M68">
    <cfRule type="cellIs" dxfId="2592" priority="52" operator="lessThan">
      <formula>$L$68*90%</formula>
    </cfRule>
  </conditionalFormatting>
  <conditionalFormatting sqref="B60">
    <cfRule type="cellIs" dxfId="2591" priority="51" operator="lessThan">
      <formula>0</formula>
    </cfRule>
  </conditionalFormatting>
  <conditionalFormatting sqref="B59:F59">
    <cfRule type="cellIs" dxfId="2590" priority="50" operator="lessThanOrEqual">
      <formula>0</formula>
    </cfRule>
  </conditionalFormatting>
  <conditionalFormatting sqref="D62">
    <cfRule type="cellIs" dxfId="2589" priority="48" operator="lessThan">
      <formula>$E$62</formula>
    </cfRule>
    <cfRule type="cellIs" dxfId="2588" priority="49" operator="greaterThan">
      <formula>$E$62</formula>
    </cfRule>
  </conditionalFormatting>
  <conditionalFormatting sqref="F69">
    <cfRule type="cellIs" dxfId="2587" priority="46" operator="lessThan">
      <formula>0</formula>
    </cfRule>
  </conditionalFormatting>
  <conditionalFormatting sqref="B65:E67 B69:E69 B68:D68">
    <cfRule type="cellIs" dxfId="2586" priority="47" operator="lessThan">
      <formula>0</formula>
    </cfRule>
  </conditionalFormatting>
  <conditionalFormatting sqref="E68">
    <cfRule type="cellIs" dxfId="2585" priority="45" operator="lessThan">
      <formula>0</formula>
    </cfRule>
  </conditionalFormatting>
  <conditionalFormatting sqref="F65:F68">
    <cfRule type="cellIs" dxfId="2584" priority="44" operator="lessThan">
      <formula>0</formula>
    </cfRule>
  </conditionalFormatting>
  <conditionalFormatting sqref="F65:F68">
    <cfRule type="cellIs" dxfId="2583" priority="43" operator="lessThan">
      <formula>$E$65*0.9</formula>
    </cfRule>
  </conditionalFormatting>
  <conditionalFormatting sqref="F66">
    <cfRule type="cellIs" dxfId="2582" priority="42" operator="lessThan">
      <formula>$E$66*0.9</formula>
    </cfRule>
  </conditionalFormatting>
  <conditionalFormatting sqref="F67:F68">
    <cfRule type="cellIs" dxfId="2581" priority="41" operator="lessThan">
      <formula>$E$67*0.9</formula>
    </cfRule>
  </conditionalFormatting>
  <conditionalFormatting sqref="F68">
    <cfRule type="cellIs" dxfId="2580" priority="40" operator="lessThan">
      <formula>$E$68*0.9</formula>
    </cfRule>
  </conditionalFormatting>
  <conditionalFormatting sqref="B13:F13">
    <cfRule type="cellIs" dxfId="2579" priority="29" operator="greaterThan">
      <formula>$I$16</formula>
    </cfRule>
    <cfRule type="cellIs" dxfId="2578" priority="30" operator="lessThanOrEqual">
      <formula>$I$16</formula>
    </cfRule>
  </conditionalFormatting>
  <conditionalFormatting sqref="B10:F10">
    <cfRule type="cellIs" dxfId="2577" priority="31" operator="greaterThan">
      <formula>15</formula>
    </cfRule>
    <cfRule type="cellIs" dxfId="2576" priority="38" operator="lessThan">
      <formula>$I$9</formula>
    </cfRule>
    <cfRule type="cellIs" dxfId="2575" priority="39" operator="greaterThan">
      <formula>$I$9</formula>
    </cfRule>
  </conditionalFormatting>
  <conditionalFormatting sqref="B16:F16">
    <cfRule type="cellIs" dxfId="2574" priority="36" operator="greaterThan">
      <formula>$I$16</formula>
    </cfRule>
    <cfRule type="cellIs" dxfId="2573" priority="37" operator="lessThanOrEqual">
      <formula>$I$16</formula>
    </cfRule>
  </conditionalFormatting>
  <conditionalFormatting sqref="B15:F15">
    <cfRule type="cellIs" dxfId="2572" priority="34" operator="lessThanOrEqual">
      <formula>$I$16</formula>
    </cfRule>
    <cfRule type="cellIs" dxfId="2571" priority="35" operator="greaterThan">
      <formula>$I$16</formula>
    </cfRule>
  </conditionalFormatting>
  <conditionalFormatting sqref="B14:F14">
    <cfRule type="cellIs" dxfId="2570" priority="32" operator="greaterThan">
      <formula>$I$16</formula>
    </cfRule>
    <cfRule type="cellIs" dxfId="2569" priority="33" operator="lessThanOrEqual">
      <formula>$I$16</formula>
    </cfRule>
  </conditionalFormatting>
  <conditionalFormatting sqref="K6">
    <cfRule type="containsText" dxfId="2568" priority="27" operator="containsText" text="衰退">
      <formula>NOT(ISERROR(SEARCH("衰退",K6)))</formula>
    </cfRule>
    <cfRule type="containsText" dxfId="2567" priority="28" operator="containsText" text="成長">
      <formula>NOT(ISERROR(SEARCH("成長",K6)))</formula>
    </cfRule>
  </conditionalFormatting>
  <conditionalFormatting sqref="I4:K4">
    <cfRule type="cellIs" dxfId="2566" priority="25" operator="lessThan">
      <formula>0</formula>
    </cfRule>
    <cfRule type="cellIs" dxfId="256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564" priority="22" operator="lessThanOrEqual">
      <formula>$I$16</formula>
    </cfRule>
    <cfRule type="cellIs" dxfId="2563" priority="23" operator="greaterThan">
      <formula>$I$16</formula>
    </cfRule>
  </conditionalFormatting>
  <conditionalFormatting sqref="I6">
    <cfRule type="containsText" dxfId="2562" priority="20" operator="containsText" text="衰退">
      <formula>NOT(ISERROR(SEARCH("衰退",I6)))</formula>
    </cfRule>
    <cfRule type="containsText" dxfId="2561" priority="21" operator="containsText" text="成長">
      <formula>NOT(ISERROR(SEARCH("成長",I6)))</formula>
    </cfRule>
  </conditionalFormatting>
  <conditionalFormatting sqref="M9">
    <cfRule type="cellIs" dxfId="2560" priority="19" operator="lessThan">
      <formula>$I$9</formula>
    </cfRule>
  </conditionalFormatting>
  <conditionalFormatting sqref="M10">
    <cfRule type="cellIs" dxfId="2559" priority="18" operator="greaterThan">
      <formula>$I$9</formula>
    </cfRule>
  </conditionalFormatting>
  <conditionalFormatting sqref="M11">
    <cfRule type="cellIs" dxfId="255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557" priority="14" operator="lessThan">
      <formula>0</formula>
    </cfRule>
    <cfRule type="cellIs" dxfId="2556" priority="15" operator="greaterThan">
      <formula>0.5</formula>
    </cfRule>
  </conditionalFormatting>
  <conditionalFormatting sqref="N14">
    <cfRule type="cellIs" dxfId="255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554" priority="10" operator="lessThan">
      <formula>0.1</formula>
    </cfRule>
  </conditionalFormatting>
  <conditionalFormatting sqref="I14">
    <cfRule type="cellIs" dxfId="255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55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551" priority="1" operator="lessThan">
      <formula>$N$5*0.9</formula>
    </cfRule>
    <cfRule type="cellIs" dxfId="2550" priority="2" operator="greaterThan">
      <formula>$N$5*1.1</formula>
    </cfRule>
  </conditionalFormatting>
  <hyperlinks>
    <hyperlink ref="L1" location="儀表板!A1" display="(回首頁)" xr:uid="{00000000-0004-0000-4500-000000000000}"/>
  </hyperlink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12.52 ~ 22.39</v>
      </c>
      <c r="L1" s="83" t="s">
        <v>176</v>
      </c>
      <c r="M1" s="84" t="str">
        <f ca="1">VLOOKUP(_xlfn.NUMBERVALUE(N1),儀表板!A:B,2,FALSE)</f>
        <v>盛群</v>
      </c>
      <c r="N1" s="85" t="str">
        <f ca="1">MID(CELL("filename",L1),FIND("]",CELL("filename",L1))+1,255)</f>
        <v>6202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0.13643360353304002</v>
      </c>
    </row>
    <row r="3" spans="1:15" s="93" customFormat="1" x14ac:dyDescent="0.25">
      <c r="A3" s="81" t="s">
        <v>179</v>
      </c>
      <c r="B3" s="94">
        <f>SUM(F19:F22,F24:F27,J19)</f>
        <v>92.343871174680743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53.855883648117697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55.908815443753106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58.345472808666159</v>
      </c>
      <c r="L3" s="100"/>
      <c r="M3" s="79" t="s">
        <v>385</v>
      </c>
      <c r="N3" s="92">
        <f>(F69-E69)/E69</f>
        <v>0.11043873724844203</v>
      </c>
    </row>
    <row r="4" spans="1:15" s="93" customFormat="1" x14ac:dyDescent="0.25">
      <c r="A4" s="81" t="s">
        <v>182</v>
      </c>
      <c r="B4" s="96">
        <f>SUM(G36:G40)*2</f>
        <v>92</v>
      </c>
      <c r="C4" s="101"/>
      <c r="D4" s="102">
        <f>F4*(1+F141/10)</f>
        <v>22.6</v>
      </c>
      <c r="E4" s="82">
        <f>(D4-F4)/F4</f>
        <v>0</v>
      </c>
      <c r="F4" s="103">
        <v>22.6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3.8532224182520936</v>
      </c>
    </row>
    <row r="5" spans="1:15" s="93" customFormat="1" x14ac:dyDescent="0.25">
      <c r="A5" s="81" t="s">
        <v>184</v>
      </c>
      <c r="B5" s="107">
        <f>SUM(F30:F34)*2</f>
        <v>100.0086642599278</v>
      </c>
      <c r="C5" s="87"/>
      <c r="D5" s="87"/>
      <c r="E5" s="87"/>
      <c r="F5" s="86"/>
      <c r="G5" s="88"/>
      <c r="M5" s="79" t="s">
        <v>375</v>
      </c>
      <c r="N5" s="152">
        <f>D62</f>
        <v>3.8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4.0534547807956773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20.64</v>
      </c>
      <c r="N9" s="129"/>
    </row>
    <row r="10" spans="1:15" s="93" customFormat="1" x14ac:dyDescent="0.25">
      <c r="A10" s="123" t="s">
        <v>194</v>
      </c>
      <c r="B10" s="126">
        <f>PERCENTILE(176:176,B9)</f>
        <v>13.43</v>
      </c>
      <c r="C10" s="126">
        <f>PERCENTILE(176:176,C9)</f>
        <v>14.035</v>
      </c>
      <c r="D10" s="126">
        <f>PERCENTILE(176:176,D9)</f>
        <v>14.57</v>
      </c>
      <c r="E10" s="126">
        <f>PERCENTILE(176:176,E9)</f>
        <v>15.205</v>
      </c>
      <c r="F10" s="126">
        <f>PERCENTILE(176:176,F9)</f>
        <v>16.52</v>
      </c>
      <c r="G10" s="95"/>
      <c r="H10" s="135"/>
      <c r="I10" s="135"/>
      <c r="J10" s="135"/>
      <c r="K10" s="135"/>
      <c r="L10" s="136" t="s">
        <v>374</v>
      </c>
      <c r="M10" s="130">
        <f>MIN(176:176)</f>
        <v>11.2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16.78</v>
      </c>
      <c r="L11" s="272" t="s">
        <v>193</v>
      </c>
      <c r="M11" s="128">
        <f>STDEV(176:176)</f>
        <v>1.9239082142611035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48.564425770308127</v>
      </c>
      <c r="C13" s="141">
        <f>$B$34/5.88%</f>
        <v>58.971088435374149</v>
      </c>
      <c r="D13" s="141">
        <f>$B$34/5%</f>
        <v>69.349999999999994</v>
      </c>
      <c r="E13" s="141">
        <f>$B$34/4.35%</f>
        <v>79.712643678160916</v>
      </c>
      <c r="F13" s="141">
        <f>$B$34/3.85%</f>
        <v>90.064935064935057</v>
      </c>
      <c r="G13" s="138" t="str">
        <f>"$"&amp;ROUND(B34,2)&amp;"/"&amp;IF(STDEV(C140:F140)/AVERAGE(C140:F140)&lt;15%,"高",IF(STDEV(C140:F140)/AVERAGE(C140:F140)&lt;30%,"中","低"))</f>
        <v>$3.47/高</v>
      </c>
      <c r="H13" s="142" t="s">
        <v>199</v>
      </c>
      <c r="I13" s="143">
        <f>MAX(0,1-J15)</f>
        <v>0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46.501375000000003</v>
      </c>
      <c r="C14" s="141">
        <f>$B$33*C10</f>
        <v>48.596187500000006</v>
      </c>
      <c r="D14" s="141">
        <f>$B$33*D10</f>
        <v>50.448625000000007</v>
      </c>
      <c r="E14" s="141">
        <f>$B$33*E10</f>
        <v>52.647312500000005</v>
      </c>
      <c r="F14" s="141">
        <f>$B$33*F10</f>
        <v>57.200500000000005</v>
      </c>
      <c r="G14" s="138" t="str">
        <f>"$"&amp;ROUND(B33,2)&amp;"/"&amp;IF(STDEV(B69:E69)/AVERAGE(B69:E69)&lt;15%,"高",IF(STDEV(B69:E69)/AVERAGE(B69:E69)&lt;30%,"中","低"))</f>
        <v>$3.46/高</v>
      </c>
      <c r="H14" s="142" t="s">
        <v>203</v>
      </c>
      <c r="I14" s="145">
        <f>G62/100*I13</f>
        <v>0</v>
      </c>
      <c r="J14" s="76" t="s">
        <v>204</v>
      </c>
      <c r="K14" s="146"/>
      <c r="L14" s="147">
        <f>(HLOOKUP($C$1,$105:$106,2,FALSE)-HLOOKUP($C$1,$117:$127,9,FALSE))/(HLOOKUP($C$1,$117:$128,12,FALSE)/K11)</f>
        <v>5.163060030738821</v>
      </c>
      <c r="M14" s="148">
        <f>E135/E69</f>
        <v>0.39481268011527382</v>
      </c>
      <c r="N14" s="149">
        <f>F173/100</f>
        <v>1.1767000000000001</v>
      </c>
    </row>
    <row r="15" spans="1:15" s="93" customFormat="1" x14ac:dyDescent="0.25">
      <c r="A15" s="140" t="s">
        <v>375</v>
      </c>
      <c r="B15" s="141">
        <f>$D$62*B10</f>
        <v>51.033999999999999</v>
      </c>
      <c r="C15" s="141">
        <f>$D$62*C10</f>
        <v>53.332999999999998</v>
      </c>
      <c r="D15" s="141">
        <f>$D$62*D10</f>
        <v>55.366</v>
      </c>
      <c r="E15" s="141">
        <f>$D$62*E10</f>
        <v>57.778999999999996</v>
      </c>
      <c r="F15" s="141">
        <f>$D$62*F10</f>
        <v>62.775999999999996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51.748777077125617</v>
      </c>
      <c r="C16" s="141">
        <f>$F$69*C10</f>
        <v>54.079976640168134</v>
      </c>
      <c r="D16" s="141">
        <f>$F$69*D10</f>
        <v>56.141450633933005</v>
      </c>
      <c r="E16" s="141">
        <f>$F$69*E10</f>
        <v>58.588246869523083</v>
      </c>
      <c r="F16" s="141">
        <f>$F$69*F10</f>
        <v>63.655234349524584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2675</v>
      </c>
      <c r="J17" s="92">
        <f ca="1">IF(I17&lt;=0,"",IF(I17&lt;=MIN($B$13:$F$16),(I17-MIN($B$13:$F$16))/MIN($B$13:$F$16),IF(I17&gt;=MAX($B$13:$F$16),I17/MAX($B$13:$F$16),PERCENTRANK($B$13:$F$16,I17))))</f>
        <v>29.70079307858688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3.6174999999999997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1.0432588320115357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0.10873128235948509</v>
      </c>
      <c r="J20" s="171">
        <f>HLOOKUP($C$1,$117:$127,11,FALSE)/HLOOKUP($C$1,$105:$115,11,FALSE)</f>
        <v>0.23308263734031404</v>
      </c>
      <c r="K20" s="163"/>
    </row>
    <row r="21" spans="1:14" s="93" customFormat="1" x14ac:dyDescent="0.25">
      <c r="A21" s="151" t="s">
        <v>201</v>
      </c>
      <c r="B21" s="161">
        <f>AVERAGE(C173:F173)/100</f>
        <v>1.1614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3.861023317136103</v>
      </c>
      <c r="J21" s="78"/>
      <c r="K21" s="164" t="s">
        <v>356</v>
      </c>
      <c r="L21" s="165">
        <f>HLOOKUP($C$1,$105:$115,7,FALSE)/HLOOKUP($C$1,$105:$115,11,FALSE)</f>
        <v>0.76655604246796949</v>
      </c>
      <c r="M21" s="123" t="s">
        <v>268</v>
      </c>
      <c r="N21" s="165">
        <f>HLOOKUP($C$1,$117:$127,8,FALSE)/HLOOKUP($C$1,$117:$127,11,FALSE)</f>
        <v>0.85178809030663438</v>
      </c>
    </row>
    <row r="22" spans="1:14" s="93" customFormat="1" x14ac:dyDescent="0.25">
      <c r="A22" s="140" t="s">
        <v>222</v>
      </c>
      <c r="B22" s="161">
        <f>(-1)*SUM(C133:F133)/SUM(C132:F132)</f>
        <v>0.10630407911001233</v>
      </c>
      <c r="C22" s="157"/>
      <c r="D22" s="166"/>
      <c r="E22" s="140"/>
      <c r="F22" s="159">
        <f>IF(B22&lt;=0,10,IF(B22&gt;=100%,0,(1-B22)*10))</f>
        <v>8.9369592088998768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3.2027080312782465</v>
      </c>
      <c r="J22" s="78"/>
      <c r="K22" s="142" t="s">
        <v>357</v>
      </c>
      <c r="L22" s="165">
        <f>HLOOKUP($C$1,$105:$115,4,FALSE)/HLOOKUP($C$1,$105:$115,11,FALSE)</f>
        <v>0.16456067178255912</v>
      </c>
      <c r="M22" s="123" t="s">
        <v>353</v>
      </c>
      <c r="N22" s="165">
        <f>HLOOKUP($C$1,$117:$127,4,FALSE)/HLOOKUP($C$1,$117:$127,11,FALSE)</f>
        <v>0.5335075851199883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1.3039214505875554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0.13069995148272759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0.99064561694472864</v>
      </c>
      <c r="C24" s="169">
        <f>STDEV(C103:F103)</f>
        <v>4.2855019510725494E-3</v>
      </c>
      <c r="D24" s="76" t="str">
        <f>IF(C24/B24&lt;15%,"高",IF(C24/B24&lt;30%,"中","低"))</f>
        <v>高</v>
      </c>
      <c r="E24" s="149"/>
      <c r="F24" s="160">
        <f>MIN(100%,B24)*5</f>
        <v>4.9532280847236434</v>
      </c>
      <c r="G24" s="88" t="s">
        <v>229</v>
      </c>
      <c r="H24" s="123" t="s">
        <v>16</v>
      </c>
      <c r="I24" s="170">
        <f>HLOOKUP(C1,167:170,2,FALSE)</f>
        <v>65.69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1.7519010962253882E-2</v>
      </c>
      <c r="M24" s="123" t="s">
        <v>355</v>
      </c>
      <c r="N24" s="165">
        <f>HLOOKUP($C$1,$117:$127,9,FALSE)/HLOOKUP($C$1,$117:$127,11,FALSE)</f>
        <v>0.14821190969336565</v>
      </c>
    </row>
    <row r="25" spans="1:14" s="93" customFormat="1" x14ac:dyDescent="0.25">
      <c r="A25" s="151" t="s">
        <v>366</v>
      </c>
      <c r="B25" s="255">
        <f>AVERAGE(94:94)</f>
        <v>25666.739130434784</v>
      </c>
      <c r="C25" s="254">
        <f>STDEV(94:94)/AVERAGE(94:94)</f>
        <v>0.54631611894277099</v>
      </c>
      <c r="D25" s="76" t="str">
        <f>IF(C25&lt;=1,"高",IF(C25&lt;=2,"中","低"))</f>
        <v>高</v>
      </c>
      <c r="E25" s="149"/>
      <c r="F25" s="160">
        <f>MAX(0,10-ABS(C25))</f>
        <v>9.4536838810572288</v>
      </c>
      <c r="G25" s="88" t="s">
        <v>213</v>
      </c>
      <c r="H25" s="123" t="s">
        <v>232</v>
      </c>
      <c r="I25" s="170">
        <f>IF(HLOOKUP(C1,167:170,3,FALSE)="無",0,HLOOKUP(C1,167:170,3,FALSE))</f>
        <v>101.12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58.129130434782631</v>
      </c>
      <c r="C26" s="172">
        <f>IF(COUNTIF(168:168,"&gt;0")=0,0,STDEV(168:168))</f>
        <v>3.9597875437079124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98.589565217391282</v>
      </c>
      <c r="C27" s="172">
        <f>IF(COUNTIF(169:169,"&gt;0")=0,0,STDEV(169:169))</f>
        <v>9.8604962433950529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0.47954999999999992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0.19802500000000001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19.849999999999998</v>
      </c>
      <c r="C32" s="157" t="s">
        <v>217</v>
      </c>
      <c r="D32" s="174">
        <f>COUNTIF(159:159,"&gt;3")/COUNT(159:159)</f>
        <v>0.95652173913043481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3.4625000000000004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3.4674999999999998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10.004332129963899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3987627</v>
      </c>
      <c r="C36" s="178">
        <f>STDEV(C97:F97)</f>
        <v>117340.19162247861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47.954999999999991</v>
      </c>
      <c r="C37" s="180">
        <f>STDEV(C152:F152)</f>
        <v>1.2040625675880254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20.397500000000001</v>
      </c>
      <c r="C38" s="180">
        <f>STDEV(C153:F153)</f>
        <v>0.84972054229611327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19.849999999999998</v>
      </c>
      <c r="C39" s="181">
        <f>STDEV(C165:F165)</f>
        <v>0.26745716167889999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3.4625000000000004</v>
      </c>
      <c r="C40" s="183">
        <f>STDEV(B69:E69)</f>
        <v>0.10210288928331057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0.14130434782608695</v>
      </c>
      <c r="C44" s="186">
        <f>(C46-C49)/C49</f>
        <v>0.1348314606741573</v>
      </c>
      <c r="D44" s="186">
        <f>(D46-D49)/D49</f>
        <v>0.10810810810810806</v>
      </c>
      <c r="E44" s="186">
        <f>(E46-E49)/E49</f>
        <v>1.0989010989010999E-2</v>
      </c>
      <c r="G44" s="86" t="s">
        <v>175</v>
      </c>
      <c r="H44" s="186">
        <f>(H47-H50)/H50</f>
        <v>-9.7276264591438441E-3</v>
      </c>
      <c r="I44" s="186">
        <f>(I47-I50)/I50</f>
        <v>-6.3476562500000056E-2</v>
      </c>
      <c r="J44" s="186">
        <f>(J47-J50)/J50</f>
        <v>2.4658971668415582E-2</v>
      </c>
      <c r="K44" s="186">
        <f>(K47-K50)/K50</f>
        <v>-4.7277936962750809E-2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1.05</v>
      </c>
      <c r="C46" s="152">
        <f>HLOOKUP(C45,$81:$82,2,FALSE)</f>
        <v>1.01</v>
      </c>
      <c r="D46" s="152">
        <f>HLOOKUP(D45,$81:$82,2,FALSE)</f>
        <v>0.82</v>
      </c>
      <c r="E46" s="152">
        <f>HLOOKUP(E45,$81:$82,2,FALSE)</f>
        <v>0.92</v>
      </c>
      <c r="G46" s="86" t="s">
        <v>164</v>
      </c>
      <c r="H46" s="145">
        <f>HLOOKUP(H45,$145:$147,2,FALSE)/100</f>
        <v>0.48130000000000001</v>
      </c>
      <c r="I46" s="145">
        <f>HLOOKUP(I45,$145:$147,2,FALSE)/100</f>
        <v>0.45429999999999998</v>
      </c>
      <c r="J46" s="145">
        <f>HLOOKUP(J45,$145:$147,2,FALSE)/100</f>
        <v>0.4582</v>
      </c>
      <c r="K46" s="145">
        <f>HLOOKUP(K45,$145:$147,2,FALSE)/100</f>
        <v>0.47659999999999997</v>
      </c>
    </row>
    <row r="47" spans="1:14" x14ac:dyDescent="0.25">
      <c r="A47" s="188" t="s">
        <v>165</v>
      </c>
      <c r="B47" s="189">
        <f>HLOOKUP(B45,$157:$159,3,FALSE)</f>
        <v>6.47</v>
      </c>
      <c r="C47" s="189">
        <f>HLOOKUP(C45,$157:$159,3,FALSE)</f>
        <v>6.02</v>
      </c>
      <c r="D47" s="189">
        <f>HLOOKUP(D45,$157:$159,3,FALSE)</f>
        <v>4.6100000000000003</v>
      </c>
      <c r="E47" s="189">
        <f>HLOOKUP(E45,$157:$159,3,FALSE)</f>
        <v>5.42</v>
      </c>
      <c r="G47" s="190" t="s">
        <v>166</v>
      </c>
      <c r="H47" s="145">
        <f>HLOOKUP(H45,$145:$147,3,FALSE)/100</f>
        <v>0.2036</v>
      </c>
      <c r="I47" s="145">
        <f>HLOOKUP(I45,$145:$147,3,FALSE)/100</f>
        <v>0.1918</v>
      </c>
      <c r="J47" s="145">
        <f>HLOOKUP(J45,$145:$147,3,FALSE)/100</f>
        <v>0.1953</v>
      </c>
      <c r="K47" s="145">
        <f>HLOOKUP(K45,$145:$147,3,FALSE)/100</f>
        <v>0.19949999999999998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0.92</v>
      </c>
      <c r="C49" s="152">
        <f>HLOOKUP(C48,$81:$82,2,FALSE)</f>
        <v>0.89</v>
      </c>
      <c r="D49" s="152">
        <f>HLOOKUP(D48,$81:$82,2,FALSE)</f>
        <v>0.74</v>
      </c>
      <c r="E49" s="152">
        <f>HLOOKUP(E48,$81:$82,2,FALSE)</f>
        <v>0.91</v>
      </c>
      <c r="G49" s="86" t="s">
        <v>164</v>
      </c>
      <c r="H49" s="145">
        <f>HLOOKUP(H48,$145:$147,2,FALSE)/100</f>
        <v>0.48560000000000003</v>
      </c>
      <c r="I49" s="145">
        <f>HLOOKUP(I48,$145:$147,2,FALSE)/100</f>
        <v>0.49079999999999996</v>
      </c>
      <c r="J49" s="145">
        <f>HLOOKUP(J48,$145:$147,2,FALSE)/100</f>
        <v>0.4864</v>
      </c>
      <c r="K49" s="145">
        <f>HLOOKUP(K48,$145:$147,2,FALSE)/100</f>
        <v>0.48729999999999996</v>
      </c>
    </row>
    <row r="50" spans="1:15" x14ac:dyDescent="0.25">
      <c r="A50" s="188" t="s">
        <v>165</v>
      </c>
      <c r="B50" s="189">
        <f>HLOOKUP(B48,$157:$159,3,FALSE)</f>
        <v>5.67</v>
      </c>
      <c r="C50" s="189">
        <f>HLOOKUP(C48,$157:$159,3,FALSE)</f>
        <v>5.22</v>
      </c>
      <c r="D50" s="189">
        <f>HLOOKUP(D48,$157:$159,3,FALSE)</f>
        <v>4.09</v>
      </c>
      <c r="E50" s="189">
        <f>HLOOKUP(E48,$157:$159,3,FALSE)</f>
        <v>5.23</v>
      </c>
      <c r="G50" s="190" t="s">
        <v>166</v>
      </c>
      <c r="H50" s="145">
        <f>HLOOKUP(H48,$145:$147,3,FALSE)/100</f>
        <v>0.20559999999999998</v>
      </c>
      <c r="I50" s="145">
        <f>HLOOKUP(I48,$145:$147,3,FALSE)/100</f>
        <v>0.20480000000000001</v>
      </c>
      <c r="J50" s="145">
        <f>HLOOKUP(J48,$145:$147,3,FALSE)/100</f>
        <v>0.19059999999999999</v>
      </c>
      <c r="K50" s="145">
        <f>HLOOKUP(K48,$145:$147,3,FALSE)/100</f>
        <v>0.2094</v>
      </c>
    </row>
    <row r="51" spans="1:15" x14ac:dyDescent="0.25">
      <c r="A51" s="86" t="s">
        <v>351</v>
      </c>
      <c r="B51" s="186">
        <f>(B47-B50)/B50</f>
        <v>0.14109347442680772</v>
      </c>
      <c r="C51" s="186">
        <f>(C47-C50)/C50</f>
        <v>0.15325670498084287</v>
      </c>
      <c r="D51" s="186">
        <f>(D47-D50)/D50</f>
        <v>0.1271393643031786</v>
      </c>
      <c r="E51" s="186">
        <f>(E47-E50)/E50</f>
        <v>3.632887189292533E-2</v>
      </c>
      <c r="G51" s="235" t="s">
        <v>174</v>
      </c>
      <c r="H51" s="186">
        <f>(H46-H49)/H49</f>
        <v>-8.8550247116969232E-3</v>
      </c>
      <c r="I51" s="186">
        <f>(I46-I49)/I49</f>
        <v>-7.4368378158109164E-2</v>
      </c>
      <c r="J51" s="186">
        <f>(J46-J49)/J49</f>
        <v>-5.797697368421053E-2</v>
      </c>
      <c r="K51" s="186">
        <f>(K46-K49)/K49</f>
        <v>-2.1957726246665275E-2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4.0534547807956773</v>
      </c>
      <c r="B53" s="193">
        <f>B46</f>
        <v>1.05</v>
      </c>
      <c r="C53" s="193">
        <f>E46/HLOOKUP(E45,$87:$94,5,FALSE)*HLOOKUP(E45,$87:$94,4,FALSE)*($B$25/HLOOKUP(E45,$87:$94,4,FALSE)+SUM($B$57:$D$57)/SUM($B58:$D$58)*$G$69/100/K46)</f>
        <v>0.97322241825209377</v>
      </c>
      <c r="D53" s="193">
        <f>D46/HLOOKUP(D45,$87:$94,5,FALSE)*HLOOKUP(D45,$87:$94,4,FALSE)*($B$25/HLOOKUP(D45,$87:$94,4,FALSE)+SUM($B$57:$D$57)/SUM($B58:$D$58)*$G$69/100/J46)</f>
        <v>0.99705084049102843</v>
      </c>
      <c r="E53" s="193">
        <f>C46/HLOOKUP(C45,$87:$94,5,FALSE)*HLOOKUP(C45,$87:$94,4,FALSE)*($B$25/HLOOKUP(C45,$87:$94,4,FALSE)+SUM($B$57:$D$57)/SUM($B58:$D$58)*$G$69/100/I46)</f>
        <v>1.0331815220525546</v>
      </c>
    </row>
    <row r="54" spans="1:15" x14ac:dyDescent="0.25">
      <c r="A54" s="278">
        <f>SUM(B54:E54)</f>
        <v>3.67</v>
      </c>
      <c r="B54" s="277">
        <f t="shared" ref="B54:D54" si="0">HLOOKUP(B52-10,81:82,2,FALSE)</f>
        <v>0.92</v>
      </c>
      <c r="C54" s="277">
        <f t="shared" si="0"/>
        <v>0.92</v>
      </c>
      <c r="D54" s="277">
        <f t="shared" si="0"/>
        <v>0.82</v>
      </c>
      <c r="E54" s="277">
        <f>HLOOKUP(E52-10,81:82,2,FALSE)</f>
        <v>1.01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409979</v>
      </c>
      <c r="C57" s="196">
        <f>HLOOKUP(C56,78:79,2,FALSE)</f>
        <v>384296</v>
      </c>
      <c r="D57" s="196">
        <f>HLOOKUP(D56,78:79,2,FALSE)</f>
        <v>400968</v>
      </c>
      <c r="E57" s="196">
        <f>HLOOKUP(E56,78:79,2,FALSE)</f>
        <v>339472</v>
      </c>
      <c r="F57" s="196">
        <f>HLOOKUP(F56,78:79,2,FALSE)</f>
        <v>385455</v>
      </c>
      <c r="G57" s="196">
        <f t="shared" ref="G57:M57" si="2">HLOOKUP(G56,78:79,2,FALSE)</f>
        <v>388610</v>
      </c>
      <c r="H57" s="196">
        <f t="shared" si="2"/>
        <v>380554</v>
      </c>
      <c r="I57" s="196">
        <f t="shared" si="2"/>
        <v>446257</v>
      </c>
      <c r="J57" s="196">
        <f t="shared" si="2"/>
        <v>336274</v>
      </c>
      <c r="K57" s="196">
        <f t="shared" si="2"/>
        <v>303775</v>
      </c>
      <c r="L57" s="196">
        <f t="shared" si="2"/>
        <v>342427</v>
      </c>
      <c r="M57" s="196">
        <f t="shared" si="2"/>
        <v>386913</v>
      </c>
      <c r="N57" s="197"/>
    </row>
    <row r="58" spans="1:15" x14ac:dyDescent="0.25">
      <c r="A58" s="198" t="s">
        <v>253</v>
      </c>
      <c r="B58" s="196">
        <f>HLOOKUP(B56-100,78:79,2,FALSE)</f>
        <v>355582</v>
      </c>
      <c r="C58" s="196">
        <f>HLOOKUP(C56-100,78:79,2,FALSE)</f>
        <v>370360</v>
      </c>
      <c r="D58" s="196">
        <f>HLOOKUP(D56-100,78:79,2,FALSE)</f>
        <v>351831</v>
      </c>
      <c r="E58" s="196">
        <f>HLOOKUP(E56-100,78:79,2,FALSE)</f>
        <v>348987</v>
      </c>
      <c r="F58" s="196">
        <f>HLOOKUP(F56-100,78:79,2,FALSE)</f>
        <v>363411</v>
      </c>
      <c r="G58" s="196">
        <f t="shared" ref="G58:M58" si="3">HLOOKUP(G56-100,78:79,2,FALSE)</f>
        <v>358738</v>
      </c>
      <c r="H58" s="196">
        <f t="shared" si="3"/>
        <v>371453</v>
      </c>
      <c r="I58" s="196">
        <f t="shared" si="3"/>
        <v>369949</v>
      </c>
      <c r="J58" s="196">
        <f t="shared" si="3"/>
        <v>211861</v>
      </c>
      <c r="K58" s="196">
        <f t="shared" si="3"/>
        <v>326276</v>
      </c>
      <c r="L58" s="196">
        <f t="shared" si="3"/>
        <v>341142</v>
      </c>
      <c r="M58" s="196">
        <f t="shared" si="3"/>
        <v>357780</v>
      </c>
      <c r="N58" s="197"/>
    </row>
    <row r="59" spans="1:15" x14ac:dyDescent="0.25">
      <c r="A59" s="199" t="s">
        <v>254</v>
      </c>
      <c r="B59" s="165">
        <f>IF(B57&lt;&gt;"",(B57-B58)/B58,"")</f>
        <v>0.15298018459877047</v>
      </c>
      <c r="C59" s="165">
        <f>IF(C57&lt;&gt;"",(C57-C58)/C58,"")</f>
        <v>3.7628253591100551E-2</v>
      </c>
      <c r="D59" s="165">
        <f>IF(D57&lt;&gt;"",(D57-D58)/D58,"")</f>
        <v>0.13966080305601269</v>
      </c>
      <c r="E59" s="165">
        <f>IF(E57&lt;&gt;"",(E57-E58)/E58,"")</f>
        <v>-2.7264625902970598E-2</v>
      </c>
      <c r="F59" s="165">
        <f>IF(F57&lt;&gt;"",(F57-F58)/F58,"")</f>
        <v>6.0658593163112839E-2</v>
      </c>
      <c r="G59" s="165">
        <f t="shared" ref="G59:M59" si="4">IF(G57&lt;&gt;"",(G57-G58)/G58,"")</f>
        <v>8.3269684282122322E-2</v>
      </c>
      <c r="H59" s="165">
        <f t="shared" si="4"/>
        <v>2.4501080890449129E-2</v>
      </c>
      <c r="I59" s="165">
        <f t="shared" si="4"/>
        <v>0.20626626913439419</v>
      </c>
      <c r="J59" s="165">
        <f t="shared" si="4"/>
        <v>0.587238802799949</v>
      </c>
      <c r="K59" s="165">
        <f t="shared" si="4"/>
        <v>-6.8963086466672388E-2</v>
      </c>
      <c r="L59" s="165">
        <f t="shared" si="4"/>
        <v>3.7667598829812807E-3</v>
      </c>
      <c r="M59" s="165">
        <f t="shared" si="4"/>
        <v>8.1427133992956563E-2</v>
      </c>
    </row>
    <row r="60" spans="1:15" x14ac:dyDescent="0.25">
      <c r="A60" s="195" t="s">
        <v>255</v>
      </c>
      <c r="B60" s="196">
        <f>SUM(B57:M57)</f>
        <v>4504980</v>
      </c>
    </row>
    <row r="61" spans="1:15" x14ac:dyDescent="0.25">
      <c r="A61" s="198" t="s">
        <v>256</v>
      </c>
      <c r="B61" s="196">
        <f>SUM(B58:M58)</f>
        <v>4127370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1.0914892534471103</v>
      </c>
      <c r="D62" s="152">
        <f>SUM(B46:E46)</f>
        <v>3.8</v>
      </c>
      <c r="E62" s="152">
        <f>SUM(B49:E49)</f>
        <v>3.46</v>
      </c>
      <c r="G62" s="126">
        <f>SUM(B47:E47)</f>
        <v>22.519999999999996</v>
      </c>
      <c r="H62" s="126">
        <f>SUM(B50:E50)</f>
        <v>20.21</v>
      </c>
      <c r="J62" s="200">
        <f>AVERAGE(H46:K46)</f>
        <v>0.46759999999999996</v>
      </c>
      <c r="K62" s="200">
        <f>AVERAGE(H49:K49)</f>
        <v>0.48752499999999999</v>
      </c>
      <c r="M62" s="200">
        <f>AVERAGE(H47:K47)</f>
        <v>0.19755</v>
      </c>
      <c r="N62" s="200">
        <f>AVERAGE(H50:K50)</f>
        <v>0.2026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0.67</v>
      </c>
      <c r="C65" s="205">
        <f t="shared" si="5"/>
        <v>0.73</v>
      </c>
      <c r="D65" s="205">
        <f t="shared" si="5"/>
        <v>0.71</v>
      </c>
      <c r="E65" s="205">
        <f t="shared" si="5"/>
        <v>0.74</v>
      </c>
      <c r="F65" s="206">
        <f>IF(ISNA(HLOOKUP(F$64*10+$A65,$81:$82,2,FALSE)),(HLOOKUP(E$64*10+$A65,$87:$94,4,FALSE)*$G65+$B$25)/HLOOKUP(E$64*10+$A65,$87:$94,5,FALSE)*$E65,HLOOKUP(F$64*10+$A65,$81:$82,2,FALSE))</f>
        <v>0.82</v>
      </c>
      <c r="G65" s="101">
        <f>MIN(130%,SUM($B$57:$D$57)/SUM($B$58:$D$58)*$G$69/HLOOKUP(E$64*10+$A65,$145:$146,2,FALSE))</f>
        <v>1.0398598799725898</v>
      </c>
      <c r="H65" s="204">
        <v>1</v>
      </c>
      <c r="I65" s="208">
        <f t="shared" ref="I65:M68" si="6">IF(ISNA(HLOOKUP(I$64*10+$H65,$145:$147,3,FALSE)),"",HLOOKUP(I$64*10+$H65,$145:$147,3,FALSE)/100)</f>
        <v>0.16489999999999999</v>
      </c>
      <c r="J65" s="208">
        <f t="shared" si="6"/>
        <v>0.1991</v>
      </c>
      <c r="K65" s="208">
        <f t="shared" si="6"/>
        <v>0.2051</v>
      </c>
      <c r="L65" s="208">
        <f t="shared" si="6"/>
        <v>0.19059999999999999</v>
      </c>
      <c r="M65" s="209">
        <f t="shared" si="6"/>
        <v>0.1953</v>
      </c>
      <c r="N65" s="256">
        <f t="shared" ref="N65:O68" si="7">HLOOKUP(E$64*10+$A65,$87:$94,8,FALSE)</f>
        <v>22033</v>
      </c>
      <c r="O65" s="256">
        <f t="shared" si="7"/>
        <v>1556</v>
      </c>
      <c r="P65" s="210"/>
    </row>
    <row r="66" spans="1:71" x14ac:dyDescent="0.25">
      <c r="A66" s="204">
        <v>2</v>
      </c>
      <c r="B66" s="205">
        <f t="shared" si="5"/>
        <v>0.97</v>
      </c>
      <c r="C66" s="205">
        <f t="shared" si="5"/>
        <v>0.92</v>
      </c>
      <c r="D66" s="205">
        <f t="shared" si="5"/>
        <v>0.97</v>
      </c>
      <c r="E66" s="205">
        <f t="shared" si="5"/>
        <v>0.89</v>
      </c>
      <c r="F66" s="206">
        <f>IF(ISNA(HLOOKUP(F$64*10+$A66,$81:$82,2,FALSE)),(HLOOKUP(E$64*10+$A66,$87:$94,4,FALSE)*$G66+$B$25)/HLOOKUP(E$64*10+$A66,$87:$94,5,FALSE)*$E66,HLOOKUP(F$64*10+$A66,$81:$82,2,FALSE))</f>
        <v>1.01</v>
      </c>
      <c r="G66" s="101">
        <f>MIN(130%,SUM($B$57:$D$57)/SUM($B$58:$D$58)*$G$69/HLOOKUP(E$64*10+$A66,$145:$146,2,FALSE))</f>
        <v>1.0305375827601218</v>
      </c>
      <c r="H66" s="204">
        <v>2</v>
      </c>
      <c r="I66" s="208">
        <f t="shared" si="6"/>
        <v>0.20569999999999999</v>
      </c>
      <c r="J66" s="208">
        <f t="shared" si="6"/>
        <v>0.21879999999999999</v>
      </c>
      <c r="K66" s="208">
        <f t="shared" si="6"/>
        <v>0.22329999999999997</v>
      </c>
      <c r="L66" s="208">
        <f t="shared" si="6"/>
        <v>0.20480000000000001</v>
      </c>
      <c r="M66" s="209">
        <f t="shared" si="6"/>
        <v>0.1918</v>
      </c>
      <c r="N66" s="256">
        <f t="shared" si="7"/>
        <v>17023</v>
      </c>
      <c r="O66" s="256">
        <f t="shared" si="7"/>
        <v>44659</v>
      </c>
      <c r="P66" s="210"/>
    </row>
    <row r="67" spans="1:71" x14ac:dyDescent="0.25">
      <c r="A67" s="204">
        <v>3</v>
      </c>
      <c r="B67" s="205">
        <f t="shared" si="5"/>
        <v>0.87</v>
      </c>
      <c r="C67" s="205">
        <f t="shared" si="5"/>
        <v>0.9</v>
      </c>
      <c r="D67" s="205">
        <f t="shared" si="5"/>
        <v>0.97</v>
      </c>
      <c r="E67" s="205">
        <f t="shared" si="5"/>
        <v>0.92</v>
      </c>
      <c r="F67" s="206">
        <f>IF(ISNA(HLOOKUP(F$64*10+$A67,$81:$82,2,FALSE)),(HLOOKUP(E$64*10+$A67,$87:$94,4,FALSE)*$G67+$B$25)/HLOOKUP(E$64*10+$A67,$87:$94,5,FALSE)*$E67,HLOOKUP(F$64*10+$A67,$81:$82,2,FALSE))</f>
        <v>1.05</v>
      </c>
      <c r="G67" s="101">
        <f>MIN(130%,SUM($B$57:$D$57)/SUM($B$58:$D$58)*$G$69/HLOOKUP(E$64*10+$A67,$145:$146,2,FALSE))</f>
        <v>1.0415729934486566</v>
      </c>
      <c r="H67" s="204">
        <v>3</v>
      </c>
      <c r="I67" s="208">
        <f t="shared" si="6"/>
        <v>0.2097</v>
      </c>
      <c r="J67" s="208">
        <f t="shared" si="6"/>
        <v>0.20499999999999999</v>
      </c>
      <c r="K67" s="208">
        <f t="shared" si="6"/>
        <v>0.2145</v>
      </c>
      <c r="L67" s="208">
        <f t="shared" si="6"/>
        <v>0.20559999999999998</v>
      </c>
      <c r="M67" s="209">
        <f t="shared" si="6"/>
        <v>0.2036</v>
      </c>
      <c r="N67" s="256">
        <f t="shared" si="7"/>
        <v>20260</v>
      </c>
      <c r="O67" s="256">
        <f t="shared" si="7"/>
        <v>46667</v>
      </c>
      <c r="P67" s="210"/>
    </row>
    <row r="68" spans="1:71" x14ac:dyDescent="0.25">
      <c r="A68" s="204">
        <v>4</v>
      </c>
      <c r="B68" s="205">
        <f>HLOOKUP(B$64*10+$A68,$81:$82,2,FALSE)</f>
        <v>0.81</v>
      </c>
      <c r="C68" s="205">
        <f>HLOOKUP(C$64*10+$A68,$81:$82,2,FALSE)</f>
        <v>0.95</v>
      </c>
      <c r="D68" s="205">
        <f>HLOOKUP(D$64*10+$A68,$81:$82,2,FALSE)</f>
        <v>0.91</v>
      </c>
      <c r="E68" s="206">
        <f>IF(ISNA(HLOOKUP(E$64*10+$A68,$81:$82,2,FALSE)),D68*(1-$N68)*#REF!*(1+$B$25)/(1+$E$4),HLOOKUP(E$64*10+$A68,$81:$82,2,FALSE))</f>
        <v>0.92</v>
      </c>
      <c r="F68" s="206">
        <f>IF(ISNA(HLOOKUP(F$64*10+$A68,$81:$82,2,FALSE)),(HLOOKUP(E$64*10+$A68,$87:$94,4,FALSE)*$G68+$B$25)/HLOOKUP(E$64*10+$A68,$87:$94,5,FALSE)*$E68,HLOOKUP(F$64*10+$A68,$81:$82,2,FALSE))</f>
        <v>0.97322241825209355</v>
      </c>
      <c r="G68" s="101">
        <f>MIN(130%,SUM($B$57:$D$57)/SUM($B$58:$D$58)*$G$69/HLOOKUP(E$64*10+$A68,$145:$146,2,FALSE))</f>
        <v>1.0612418078444561</v>
      </c>
      <c r="H68" s="204">
        <v>4</v>
      </c>
      <c r="I68" s="208">
        <f t="shared" si="6"/>
        <v>0.19260000000000002</v>
      </c>
      <c r="J68" s="208">
        <f t="shared" si="6"/>
        <v>0.20760000000000001</v>
      </c>
      <c r="K68" s="208">
        <f t="shared" si="6"/>
        <v>0.2094</v>
      </c>
      <c r="L68" s="208">
        <f t="shared" si="6"/>
        <v>0.19949999999999998</v>
      </c>
      <c r="M68" s="209" t="str">
        <f t="shared" si="6"/>
        <v/>
      </c>
      <c r="N68" s="256">
        <f t="shared" si="7"/>
        <v>24957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3.3200000000000003</v>
      </c>
      <c r="C69" s="213">
        <f>SUM(C65:C68)</f>
        <v>3.5</v>
      </c>
      <c r="D69" s="213">
        <f>SUM(D65:D68)</f>
        <v>3.56</v>
      </c>
      <c r="E69" s="213">
        <f>SUM(E65:E68)</f>
        <v>3.4699999999999998</v>
      </c>
      <c r="F69" s="213">
        <f>SUM(F65:F68)</f>
        <v>3.8532224182520936</v>
      </c>
      <c r="G69" s="257">
        <f>_xlfn.FORECAST.ETS(23,B146:W146,{1,2,3,4,5,6,7,8,9,10,11,12,13,14,15,16,17,18,19,20,21,22})</f>
        <v>45.60783738001129</v>
      </c>
      <c r="H69" s="214" t="s">
        <v>19</v>
      </c>
      <c r="I69" s="215">
        <f>HLOOKUP(I64,151:155,3,FALSE)/100</f>
        <v>0.19399999999999998</v>
      </c>
      <c r="J69" s="215">
        <f>HLOOKUP(J64,151:155,3,FALSE)/100</f>
        <v>0.20800000000000002</v>
      </c>
      <c r="K69" s="215">
        <f>HLOOKUP(K64,151:155,3,FALSE)/100</f>
        <v>0.21340000000000001</v>
      </c>
      <c r="L69" s="215">
        <f>IF(ISNA(HLOOKUP(L64,151:155,3,FALSE)/100),AVERAGE(L65:L68),HLOOKUP(L64,151:155,3,FALSE)/100)</f>
        <v>0.20050000000000001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4.03</v>
      </c>
      <c r="C72" s="205">
        <f t="shared" si="8"/>
        <v>4.09</v>
      </c>
      <c r="D72" s="205">
        <f t="shared" si="8"/>
        <v>3.91</v>
      </c>
      <c r="E72" s="205">
        <f t="shared" si="8"/>
        <v>4.09</v>
      </c>
      <c r="F72" s="205">
        <f t="shared" si="8"/>
        <v>4.6100000000000003</v>
      </c>
    </row>
    <row r="73" spans="1:71" s="135" customFormat="1" x14ac:dyDescent="0.25">
      <c r="A73" s="204">
        <v>2</v>
      </c>
      <c r="B73" s="205">
        <f t="shared" si="8"/>
        <v>5.97</v>
      </c>
      <c r="C73" s="205">
        <f t="shared" si="8"/>
        <v>5.41</v>
      </c>
      <c r="D73" s="205">
        <f t="shared" si="8"/>
        <v>5.67</v>
      </c>
      <c r="E73" s="205">
        <f t="shared" si="8"/>
        <v>5.22</v>
      </c>
      <c r="F73" s="205">
        <f t="shared" si="8"/>
        <v>6.02</v>
      </c>
    </row>
    <row r="74" spans="1:71" s="135" customFormat="1" x14ac:dyDescent="0.25">
      <c r="A74" s="204">
        <v>3</v>
      </c>
      <c r="B74" s="205">
        <f t="shared" si="8"/>
        <v>5.42</v>
      </c>
      <c r="C74" s="205">
        <f t="shared" si="8"/>
        <v>5.59</v>
      </c>
      <c r="D74" s="205">
        <f t="shared" si="8"/>
        <v>6.04</v>
      </c>
      <c r="E74" s="205">
        <f t="shared" si="8"/>
        <v>5.67</v>
      </c>
      <c r="F74" s="205">
        <f t="shared" si="8"/>
        <v>6.47</v>
      </c>
    </row>
    <row r="75" spans="1:71" s="135" customFormat="1" x14ac:dyDescent="0.25">
      <c r="A75" s="204">
        <v>4</v>
      </c>
      <c r="B75" s="205">
        <f t="shared" si="8"/>
        <v>4.7300000000000004</v>
      </c>
      <c r="C75" s="205">
        <f t="shared" si="8"/>
        <v>5.52</v>
      </c>
      <c r="D75" s="205">
        <f t="shared" si="8"/>
        <v>5.23</v>
      </c>
      <c r="E75" s="205">
        <f t="shared" si="8"/>
        <v>5.42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20.149999999999999</v>
      </c>
      <c r="C76" s="213">
        <f>SUM(C72:C75)</f>
        <v>20.61</v>
      </c>
      <c r="D76" s="213">
        <f>SUM(D72:D75)</f>
        <v>20.85</v>
      </c>
      <c r="E76" s="213">
        <f>AVERAGE(E72:E75)*4</f>
        <v>20.399999999999999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197961</v>
      </c>
      <c r="C79" s="270">
        <v>257697</v>
      </c>
      <c r="D79" s="270">
        <v>305546</v>
      </c>
      <c r="E79" s="270">
        <v>334900</v>
      </c>
      <c r="F79" s="270">
        <v>330641</v>
      </c>
      <c r="G79" s="270">
        <v>330629</v>
      </c>
      <c r="H79" s="270">
        <v>330945</v>
      </c>
      <c r="I79" s="270">
        <v>320796</v>
      </c>
      <c r="J79" s="270">
        <v>283777</v>
      </c>
      <c r="K79" s="270">
        <v>281930</v>
      </c>
      <c r="L79" s="270">
        <v>328041</v>
      </c>
      <c r="M79" s="270">
        <v>253089</v>
      </c>
      <c r="N79" s="270">
        <v>343060</v>
      </c>
      <c r="O79" s="270">
        <v>213229</v>
      </c>
      <c r="P79" s="270">
        <v>336540</v>
      </c>
      <c r="Q79" s="270">
        <v>345430</v>
      </c>
      <c r="R79" s="270">
        <v>373755</v>
      </c>
      <c r="S79" s="270">
        <v>327099</v>
      </c>
      <c r="T79" s="270">
        <v>340474</v>
      </c>
      <c r="U79" s="270">
        <v>320767</v>
      </c>
      <c r="V79" s="270">
        <v>308081</v>
      </c>
      <c r="W79" s="270">
        <v>320126</v>
      </c>
      <c r="X79" s="270">
        <v>347195</v>
      </c>
      <c r="Y79" s="270">
        <v>318605</v>
      </c>
      <c r="Z79" s="270">
        <v>279722</v>
      </c>
      <c r="AA79" s="270">
        <v>264871</v>
      </c>
      <c r="AB79" s="270">
        <v>339622</v>
      </c>
      <c r="AC79" s="270">
        <v>365284</v>
      </c>
      <c r="AD79" s="270">
        <v>345795</v>
      </c>
      <c r="AE79" s="270">
        <v>320075</v>
      </c>
      <c r="AF79" s="270">
        <v>324968</v>
      </c>
      <c r="AG79" s="270">
        <v>325621</v>
      </c>
      <c r="AH79" s="270">
        <v>329256</v>
      </c>
      <c r="AI79" s="270">
        <v>350438</v>
      </c>
      <c r="AJ79" s="270">
        <v>343778</v>
      </c>
      <c r="AK79" s="270">
        <v>341089</v>
      </c>
      <c r="AL79" s="270">
        <v>351106</v>
      </c>
      <c r="AM79" s="270">
        <v>192617</v>
      </c>
      <c r="AN79" s="270">
        <v>334518</v>
      </c>
      <c r="AO79" s="270">
        <v>344357</v>
      </c>
      <c r="AP79" s="270">
        <v>355394</v>
      </c>
      <c r="AQ79" s="270">
        <v>336403</v>
      </c>
      <c r="AR79" s="270">
        <v>348001</v>
      </c>
      <c r="AS79" s="270">
        <v>332122</v>
      </c>
      <c r="AT79" s="270">
        <v>333745</v>
      </c>
      <c r="AU79" s="270">
        <v>340655</v>
      </c>
      <c r="AV79" s="270">
        <v>357780</v>
      </c>
      <c r="AW79" s="270">
        <v>341142</v>
      </c>
      <c r="AX79" s="270">
        <v>326276</v>
      </c>
      <c r="AY79" s="270">
        <v>211861</v>
      </c>
      <c r="AZ79" s="270">
        <v>369949</v>
      </c>
      <c r="BA79" s="270">
        <v>371453</v>
      </c>
      <c r="BB79" s="270">
        <v>358738</v>
      </c>
      <c r="BC79" s="270">
        <v>363411</v>
      </c>
      <c r="BD79" s="270">
        <v>348987</v>
      </c>
      <c r="BE79" s="270">
        <v>351831</v>
      </c>
      <c r="BF79" s="270">
        <v>370360</v>
      </c>
      <c r="BG79" s="270">
        <v>355582</v>
      </c>
      <c r="BH79" s="270">
        <v>386913</v>
      </c>
      <c r="BI79" s="270">
        <v>342427</v>
      </c>
      <c r="BJ79" s="270">
        <v>303775</v>
      </c>
      <c r="BK79" s="270">
        <v>336274</v>
      </c>
      <c r="BL79" s="270">
        <v>446257</v>
      </c>
      <c r="BM79" s="270">
        <v>380554</v>
      </c>
      <c r="BN79" s="270">
        <v>388610</v>
      </c>
      <c r="BO79" s="270">
        <v>385455</v>
      </c>
      <c r="BP79" s="270">
        <v>339472</v>
      </c>
      <c r="BQ79" s="270">
        <v>400968</v>
      </c>
      <c r="BR79" s="270">
        <v>384296</v>
      </c>
      <c r="BS79" s="270">
        <v>409979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0.43</v>
      </c>
      <c r="C82" s="72">
        <v>0.82</v>
      </c>
      <c r="D82" s="72">
        <v>0.73</v>
      </c>
      <c r="E82" s="72">
        <v>0.53</v>
      </c>
      <c r="F82" s="72">
        <v>0.67</v>
      </c>
      <c r="G82" s="72">
        <v>0.97</v>
      </c>
      <c r="H82" s="72">
        <v>0.87</v>
      </c>
      <c r="I82" s="72">
        <v>0.81</v>
      </c>
      <c r="J82" s="72">
        <v>0.73</v>
      </c>
      <c r="K82" s="72">
        <v>0.92</v>
      </c>
      <c r="L82" s="72">
        <v>0.9</v>
      </c>
      <c r="M82" s="72">
        <v>0.95</v>
      </c>
      <c r="N82" s="72">
        <v>0.71</v>
      </c>
      <c r="O82" s="72">
        <v>0.97</v>
      </c>
      <c r="P82" s="72">
        <v>0.97</v>
      </c>
      <c r="Q82" s="72">
        <v>0.91</v>
      </c>
      <c r="R82" s="72">
        <v>0.74</v>
      </c>
      <c r="S82" s="72">
        <v>0.89</v>
      </c>
      <c r="T82" s="72">
        <v>0.92</v>
      </c>
      <c r="U82" s="72">
        <v>0.92</v>
      </c>
      <c r="V82" s="72">
        <v>0.82</v>
      </c>
      <c r="W82" s="72">
        <v>1.01</v>
      </c>
      <c r="X82" s="72">
        <v>1.05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16.61</v>
      </c>
      <c r="C85" s="72">
        <v>15.14</v>
      </c>
      <c r="D85" s="72">
        <v>15.84</v>
      </c>
      <c r="E85" s="72">
        <v>16.36</v>
      </c>
      <c r="F85" s="72">
        <v>17.12</v>
      </c>
      <c r="G85" s="72">
        <v>15.65</v>
      </c>
      <c r="H85" s="72">
        <v>16.53</v>
      </c>
      <c r="I85" s="72">
        <v>17.52</v>
      </c>
      <c r="J85" s="72">
        <v>18.239999999999998</v>
      </c>
      <c r="K85" s="72">
        <v>15.8</v>
      </c>
      <c r="L85" s="72">
        <v>16.78</v>
      </c>
      <c r="M85" s="72">
        <v>17.86</v>
      </c>
      <c r="N85" s="72">
        <v>18.55</v>
      </c>
      <c r="O85" s="72">
        <v>15.96</v>
      </c>
      <c r="P85" s="72">
        <v>17.07</v>
      </c>
      <c r="Q85" s="72">
        <v>17.809999999999999</v>
      </c>
      <c r="R85" s="72">
        <v>18.61</v>
      </c>
      <c r="S85" s="72">
        <v>15.83</v>
      </c>
      <c r="T85" s="72">
        <v>16.62</v>
      </c>
      <c r="U85" s="72">
        <v>17.53</v>
      </c>
      <c r="V85" s="72">
        <v>18.11</v>
      </c>
      <c r="W85" s="72">
        <v>15.68</v>
      </c>
      <c r="X85" s="72">
        <v>16.78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761204</v>
      </c>
      <c r="C88" s="273">
        <v>996170</v>
      </c>
      <c r="D88" s="273">
        <v>935518</v>
      </c>
      <c r="E88" s="273">
        <v>863060</v>
      </c>
      <c r="F88" s="273">
        <v>892829</v>
      </c>
      <c r="G88" s="273">
        <v>1046284</v>
      </c>
      <c r="H88" s="273">
        <v>969322</v>
      </c>
      <c r="I88" s="273">
        <v>985926</v>
      </c>
      <c r="J88" s="273">
        <v>884215</v>
      </c>
      <c r="K88" s="273">
        <v>1031154</v>
      </c>
      <c r="L88" s="273">
        <v>979845</v>
      </c>
      <c r="M88" s="273">
        <v>1035305</v>
      </c>
      <c r="N88" s="273">
        <v>878241</v>
      </c>
      <c r="O88" s="273">
        <v>1036154</v>
      </c>
      <c r="P88" s="273">
        <v>1013868</v>
      </c>
      <c r="Q88" s="273">
        <v>1039577</v>
      </c>
      <c r="R88" s="273">
        <v>908086</v>
      </c>
      <c r="S88" s="273">
        <v>1093602</v>
      </c>
      <c r="T88" s="273">
        <v>1071178</v>
      </c>
      <c r="U88" s="273">
        <v>1084922</v>
      </c>
      <c r="V88" s="273">
        <v>1086306</v>
      </c>
      <c r="W88" s="273">
        <v>1154619</v>
      </c>
      <c r="X88" s="273">
        <v>1124736</v>
      </c>
    </row>
    <row r="89" spans="1:25" ht="14.25" thickBot="1" x14ac:dyDescent="0.3">
      <c r="A89" s="250" t="s">
        <v>4</v>
      </c>
      <c r="B89" s="275">
        <v>334052</v>
      </c>
      <c r="C89" s="275">
        <v>429559</v>
      </c>
      <c r="D89" s="275">
        <v>414983</v>
      </c>
      <c r="E89" s="275">
        <v>390418</v>
      </c>
      <c r="F89" s="275">
        <v>398671</v>
      </c>
      <c r="G89" s="275">
        <v>483091</v>
      </c>
      <c r="H89" s="275">
        <v>464870</v>
      </c>
      <c r="I89" s="275">
        <v>458964</v>
      </c>
      <c r="J89" s="275">
        <v>416501</v>
      </c>
      <c r="K89" s="275">
        <v>491458</v>
      </c>
      <c r="L89" s="275">
        <v>466844</v>
      </c>
      <c r="M89" s="275">
        <v>507645</v>
      </c>
      <c r="N89" s="275">
        <v>429025</v>
      </c>
      <c r="O89" s="275">
        <v>497865</v>
      </c>
      <c r="P89" s="275">
        <v>506427</v>
      </c>
      <c r="Q89" s="275">
        <v>506627</v>
      </c>
      <c r="R89" s="275">
        <v>441675</v>
      </c>
      <c r="S89" s="275">
        <v>536786</v>
      </c>
      <c r="T89" s="275">
        <v>520139</v>
      </c>
      <c r="U89" s="275">
        <v>517108</v>
      </c>
      <c r="V89" s="275">
        <v>497692</v>
      </c>
      <c r="W89" s="275">
        <v>524522</v>
      </c>
      <c r="X89" s="275">
        <v>541365</v>
      </c>
    </row>
    <row r="90" spans="1:25" ht="14.25" thickBot="1" x14ac:dyDescent="0.3">
      <c r="A90" s="251" t="s">
        <v>5</v>
      </c>
      <c r="B90" s="273">
        <v>102653</v>
      </c>
      <c r="C90" s="273">
        <v>180555</v>
      </c>
      <c r="D90" s="273">
        <v>164128</v>
      </c>
      <c r="E90" s="273">
        <v>134976</v>
      </c>
      <c r="F90" s="273">
        <v>147225</v>
      </c>
      <c r="G90" s="273">
        <v>215263</v>
      </c>
      <c r="H90" s="273">
        <v>203240</v>
      </c>
      <c r="I90" s="273">
        <v>189861</v>
      </c>
      <c r="J90" s="273">
        <v>176020</v>
      </c>
      <c r="K90" s="273">
        <v>225600</v>
      </c>
      <c r="L90" s="273">
        <v>200907</v>
      </c>
      <c r="M90" s="273">
        <v>214968</v>
      </c>
      <c r="N90" s="273">
        <v>180088</v>
      </c>
      <c r="O90" s="273">
        <v>231385</v>
      </c>
      <c r="P90" s="273">
        <v>217435</v>
      </c>
      <c r="Q90" s="273">
        <v>217642</v>
      </c>
      <c r="R90" s="273">
        <v>173101</v>
      </c>
      <c r="S90" s="273">
        <v>223954</v>
      </c>
      <c r="T90" s="273">
        <v>220192</v>
      </c>
      <c r="U90" s="273">
        <v>216443</v>
      </c>
      <c r="V90" s="273">
        <v>212166</v>
      </c>
      <c r="W90" s="273">
        <v>221473</v>
      </c>
      <c r="X90" s="273">
        <v>228993</v>
      </c>
    </row>
    <row r="91" spans="1:25" ht="14.25" thickBot="1" x14ac:dyDescent="0.3">
      <c r="A91" s="250" t="s">
        <v>6</v>
      </c>
      <c r="B91" s="275">
        <v>106401</v>
      </c>
      <c r="C91" s="275">
        <v>205982</v>
      </c>
      <c r="D91" s="275">
        <v>184992</v>
      </c>
      <c r="E91" s="275">
        <v>150497</v>
      </c>
      <c r="F91" s="275">
        <v>174798</v>
      </c>
      <c r="G91" s="275">
        <v>253670</v>
      </c>
      <c r="H91" s="275">
        <v>226609</v>
      </c>
      <c r="I91" s="275">
        <v>226955</v>
      </c>
      <c r="J91" s="275">
        <v>191698</v>
      </c>
      <c r="K91" s="275">
        <v>241825</v>
      </c>
      <c r="L91" s="275">
        <v>245124</v>
      </c>
      <c r="M91" s="275">
        <v>259872</v>
      </c>
      <c r="N91" s="275">
        <v>190025</v>
      </c>
      <c r="O91" s="275">
        <v>261128</v>
      </c>
      <c r="P91" s="275">
        <v>266483</v>
      </c>
      <c r="Q91" s="275">
        <v>229067</v>
      </c>
      <c r="R91" s="275">
        <v>195134</v>
      </c>
      <c r="S91" s="275">
        <v>240977</v>
      </c>
      <c r="T91" s="275">
        <v>240452</v>
      </c>
      <c r="U91" s="275">
        <v>241400</v>
      </c>
      <c r="V91" s="275">
        <v>213722</v>
      </c>
      <c r="W91" s="275">
        <v>266132</v>
      </c>
      <c r="X91" s="275">
        <v>275660</v>
      </c>
    </row>
    <row r="92" spans="1:25" ht="14.25" thickBot="1" x14ac:dyDescent="0.3">
      <c r="A92" s="251" t="s">
        <v>7</v>
      </c>
      <c r="B92" s="273">
        <v>95288</v>
      </c>
      <c r="C92" s="273">
        <v>183346</v>
      </c>
      <c r="D92" s="273">
        <v>163934</v>
      </c>
      <c r="E92" s="273">
        <v>118481</v>
      </c>
      <c r="F92" s="273">
        <v>151125</v>
      </c>
      <c r="G92" s="273">
        <v>219225</v>
      </c>
      <c r="H92" s="273">
        <v>195761</v>
      </c>
      <c r="I92" s="273">
        <v>181689</v>
      </c>
      <c r="J92" s="273">
        <v>165833</v>
      </c>
      <c r="K92" s="273">
        <v>209055</v>
      </c>
      <c r="L92" s="273">
        <v>206691</v>
      </c>
      <c r="M92" s="273">
        <v>217005</v>
      </c>
      <c r="N92" s="273">
        <v>161707</v>
      </c>
      <c r="O92" s="273">
        <v>222220</v>
      </c>
      <c r="P92" s="273">
        <v>227002</v>
      </c>
      <c r="Q92" s="273">
        <v>207392</v>
      </c>
      <c r="R92" s="273">
        <v>169120</v>
      </c>
      <c r="S92" s="273">
        <v>204220</v>
      </c>
      <c r="T92" s="273">
        <v>209077</v>
      </c>
      <c r="U92" s="273">
        <v>210305</v>
      </c>
      <c r="V92" s="273">
        <v>186746</v>
      </c>
      <c r="W92" s="273">
        <v>231208</v>
      </c>
      <c r="X92" s="273">
        <v>239079</v>
      </c>
    </row>
    <row r="93" spans="1:25" ht="26.25" thickBot="1" x14ac:dyDescent="0.3">
      <c r="A93" s="252" t="s">
        <v>8</v>
      </c>
      <c r="B93" s="276">
        <v>95550</v>
      </c>
      <c r="C93" s="276">
        <v>182907</v>
      </c>
      <c r="D93" s="276">
        <v>163449</v>
      </c>
      <c r="E93" s="276">
        <v>118288</v>
      </c>
      <c r="F93" s="276">
        <v>150447</v>
      </c>
      <c r="G93" s="276">
        <v>217441</v>
      </c>
      <c r="H93" s="276">
        <v>195147</v>
      </c>
      <c r="I93" s="276">
        <v>181910</v>
      </c>
      <c r="J93" s="276">
        <v>165101</v>
      </c>
      <c r="K93" s="276">
        <v>207224</v>
      </c>
      <c r="L93" s="276">
        <v>204412</v>
      </c>
      <c r="M93" s="276">
        <v>214819</v>
      </c>
      <c r="N93" s="276">
        <v>160549</v>
      </c>
      <c r="O93" s="276">
        <v>220005</v>
      </c>
      <c r="P93" s="276">
        <v>219622</v>
      </c>
      <c r="Q93" s="276">
        <v>206630</v>
      </c>
      <c r="R93" s="276">
        <v>168076</v>
      </c>
      <c r="S93" s="276">
        <v>201959</v>
      </c>
      <c r="T93" s="276">
        <v>206996</v>
      </c>
      <c r="U93" s="276">
        <v>207187</v>
      </c>
      <c r="V93" s="276">
        <v>185151</v>
      </c>
      <c r="W93" s="276">
        <v>228219</v>
      </c>
      <c r="X93" s="276">
        <v>236715</v>
      </c>
    </row>
    <row r="94" spans="1:25" x14ac:dyDescent="0.25">
      <c r="A94" s="233" t="s">
        <v>365</v>
      </c>
      <c r="B94" s="253">
        <f>IF(B91="","",B91-B90)</f>
        <v>3748</v>
      </c>
      <c r="C94" s="253">
        <f>IF(C91="","",C91-C90)</f>
        <v>25427</v>
      </c>
      <c r="D94" s="253">
        <f t="shared" ref="D94:Y94" si="9">IF(D91="","",D91-D90)</f>
        <v>20864</v>
      </c>
      <c r="E94" s="253">
        <f t="shared" si="9"/>
        <v>15521</v>
      </c>
      <c r="F94" s="253">
        <f t="shared" si="9"/>
        <v>27573</v>
      </c>
      <c r="G94" s="253">
        <f t="shared" si="9"/>
        <v>38407</v>
      </c>
      <c r="H94" s="253">
        <f t="shared" si="9"/>
        <v>23369</v>
      </c>
      <c r="I94" s="253">
        <f t="shared" si="9"/>
        <v>37094</v>
      </c>
      <c r="J94" s="253">
        <f t="shared" si="9"/>
        <v>15678</v>
      </c>
      <c r="K94" s="253">
        <f t="shared" si="9"/>
        <v>16225</v>
      </c>
      <c r="L94" s="253">
        <f t="shared" si="9"/>
        <v>44217</v>
      </c>
      <c r="M94" s="253">
        <f t="shared" si="9"/>
        <v>44904</v>
      </c>
      <c r="N94" s="253">
        <f t="shared" si="9"/>
        <v>9937</v>
      </c>
      <c r="O94" s="253">
        <f t="shared" si="9"/>
        <v>29743</v>
      </c>
      <c r="P94" s="253">
        <f t="shared" si="9"/>
        <v>49048</v>
      </c>
      <c r="Q94" s="253">
        <f t="shared" si="9"/>
        <v>11425</v>
      </c>
      <c r="R94" s="253">
        <f t="shared" si="9"/>
        <v>22033</v>
      </c>
      <c r="S94" s="253">
        <f t="shared" si="9"/>
        <v>17023</v>
      </c>
      <c r="T94" s="253">
        <f t="shared" si="9"/>
        <v>20260</v>
      </c>
      <c r="U94" s="253">
        <f t="shared" si="9"/>
        <v>24957</v>
      </c>
      <c r="V94" s="253">
        <f t="shared" si="9"/>
        <v>1556</v>
      </c>
      <c r="W94" s="253">
        <f t="shared" si="9"/>
        <v>44659</v>
      </c>
      <c r="X94" s="253">
        <f t="shared" si="9"/>
        <v>46667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3555952</v>
      </c>
      <c r="C97" s="273">
        <v>3894361</v>
      </c>
      <c r="D97" s="273">
        <v>3930519</v>
      </c>
      <c r="E97" s="273">
        <v>3967840</v>
      </c>
      <c r="F97" s="273">
        <v>4157788</v>
      </c>
    </row>
    <row r="98" spans="1:24" ht="14.25" thickBot="1" x14ac:dyDescent="0.3">
      <c r="A98" s="225" t="s">
        <v>4</v>
      </c>
      <c r="B98" s="275">
        <v>1569012</v>
      </c>
      <c r="C98" s="275">
        <v>1803223</v>
      </c>
      <c r="D98" s="275">
        <v>1883932</v>
      </c>
      <c r="E98" s="275">
        <v>1948736</v>
      </c>
      <c r="F98" s="275">
        <v>2015708</v>
      </c>
    </row>
    <row r="99" spans="1:24" ht="14.25" thickBot="1" x14ac:dyDescent="0.3">
      <c r="A99" s="224" t="s">
        <v>5</v>
      </c>
      <c r="B99" s="273">
        <v>582312</v>
      </c>
      <c r="C99" s="273">
        <v>755589</v>
      </c>
      <c r="D99" s="273">
        <v>817495</v>
      </c>
      <c r="E99" s="273">
        <v>846550</v>
      </c>
      <c r="F99" s="273">
        <v>833690</v>
      </c>
    </row>
    <row r="100" spans="1:24" ht="14.25" thickBot="1" x14ac:dyDescent="0.3">
      <c r="A100" s="225" t="s">
        <v>6</v>
      </c>
      <c r="B100" s="275">
        <v>647872</v>
      </c>
      <c r="C100" s="275">
        <v>882032</v>
      </c>
      <c r="D100" s="275">
        <v>938519</v>
      </c>
      <c r="E100" s="275">
        <v>946703</v>
      </c>
      <c r="F100" s="275">
        <v>917963</v>
      </c>
    </row>
    <row r="101" spans="1:24" ht="14.25" thickBot="1" x14ac:dyDescent="0.3">
      <c r="A101" s="224" t="s">
        <v>7</v>
      </c>
      <c r="B101" s="273">
        <v>561049</v>
      </c>
      <c r="C101" s="273">
        <v>747800</v>
      </c>
      <c r="D101" s="273">
        <v>798584</v>
      </c>
      <c r="E101" s="273">
        <v>818321</v>
      </c>
      <c r="F101" s="273">
        <v>792722</v>
      </c>
    </row>
    <row r="102" spans="1:24" ht="14.25" thickBot="1" x14ac:dyDescent="0.3">
      <c r="A102" s="227" t="s">
        <v>8</v>
      </c>
      <c r="B102" s="276">
        <v>560194</v>
      </c>
      <c r="C102" s="276">
        <v>744945</v>
      </c>
      <c r="D102" s="276">
        <v>791556</v>
      </c>
      <c r="E102" s="276">
        <v>806806</v>
      </c>
      <c r="F102" s="276">
        <v>784218</v>
      </c>
    </row>
    <row r="103" spans="1:24" x14ac:dyDescent="0.25">
      <c r="A103" s="233" t="s">
        <v>262</v>
      </c>
      <c r="B103" s="234">
        <f>IF(OR(B102="",B102="無"),"",B102/B101)</f>
        <v>0.99847606893515539</v>
      </c>
      <c r="C103" s="234">
        <f>IF(OR(C102="",C102="無"),"",C102/C101)</f>
        <v>0.99618213426049751</v>
      </c>
      <c r="D103" s="234">
        <f>IF(OR(D102="",D102="無"),"",D102/D101)</f>
        <v>0.99119942297867225</v>
      </c>
      <c r="E103" s="234">
        <f>IF(OR(E102="",E102="無"),"",E102/E101)</f>
        <v>0.98592850482878969</v>
      </c>
      <c r="F103" s="234">
        <f>IF(OR(F102="",F102="無"),"",F102/F101)</f>
        <v>0.98927240571095543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2156146</v>
      </c>
      <c r="C106" s="273">
        <v>2217876</v>
      </c>
      <c r="D106" s="273">
        <v>1756935</v>
      </c>
      <c r="E106" s="273">
        <v>1856530</v>
      </c>
      <c r="F106" s="273">
        <v>2176572</v>
      </c>
      <c r="G106" s="273">
        <v>2391215</v>
      </c>
      <c r="H106" s="273">
        <v>1971553</v>
      </c>
      <c r="I106" s="273">
        <v>1050620</v>
      </c>
      <c r="J106" s="273">
        <v>1431162</v>
      </c>
      <c r="K106" s="273">
        <v>1515412</v>
      </c>
      <c r="L106" s="273">
        <v>906049</v>
      </c>
      <c r="M106" s="273">
        <v>1179235</v>
      </c>
      <c r="N106" s="273">
        <v>889125</v>
      </c>
      <c r="O106" s="273">
        <v>663261</v>
      </c>
      <c r="P106" s="273">
        <v>582894</v>
      </c>
      <c r="Q106" s="273">
        <v>680400</v>
      </c>
      <c r="R106" s="273">
        <v>1269038</v>
      </c>
      <c r="S106" s="273">
        <v>1692747</v>
      </c>
      <c r="T106" s="273">
        <v>1416190</v>
      </c>
      <c r="U106" s="273">
        <v>1149307</v>
      </c>
      <c r="V106" s="273">
        <v>1565426</v>
      </c>
      <c r="W106" s="273">
        <v>1947607</v>
      </c>
      <c r="X106" s="273">
        <v>1347655</v>
      </c>
    </row>
    <row r="107" spans="1:24" ht="14.25" thickBot="1" x14ac:dyDescent="0.3">
      <c r="A107" s="225" t="s">
        <v>22</v>
      </c>
      <c r="B107" s="275">
        <v>224988</v>
      </c>
      <c r="C107" s="275">
        <v>393840</v>
      </c>
      <c r="D107" s="275">
        <v>214346</v>
      </c>
      <c r="E107" s="275">
        <v>340917</v>
      </c>
      <c r="F107" s="275">
        <v>245851</v>
      </c>
      <c r="G107" s="275">
        <v>230730</v>
      </c>
      <c r="H107" s="275">
        <v>242565</v>
      </c>
      <c r="I107" s="275">
        <v>263247</v>
      </c>
      <c r="J107" s="275">
        <v>163126</v>
      </c>
      <c r="K107" s="275">
        <v>147659</v>
      </c>
      <c r="L107" s="275">
        <v>123097</v>
      </c>
      <c r="M107" s="275">
        <v>158476</v>
      </c>
      <c r="N107" s="275">
        <v>344028</v>
      </c>
      <c r="O107" s="275">
        <v>615199</v>
      </c>
      <c r="P107" s="275">
        <v>163280</v>
      </c>
      <c r="Q107" s="275">
        <v>214512</v>
      </c>
      <c r="R107" s="275">
        <v>268120</v>
      </c>
      <c r="S107" s="275">
        <v>557493</v>
      </c>
      <c r="T107" s="275">
        <v>404630</v>
      </c>
      <c r="U107" s="275">
        <v>359245</v>
      </c>
      <c r="V107" s="275">
        <v>398058</v>
      </c>
      <c r="W107" s="275">
        <v>772401</v>
      </c>
      <c r="X107" s="275">
        <v>633924</v>
      </c>
    </row>
    <row r="108" spans="1:24" ht="14.25" thickBot="1" x14ac:dyDescent="0.3">
      <c r="A108" s="224" t="s">
        <v>263</v>
      </c>
      <c r="B108" s="273">
        <v>511508</v>
      </c>
      <c r="C108" s="273">
        <v>614073</v>
      </c>
      <c r="D108" s="273">
        <v>550838</v>
      </c>
      <c r="E108" s="273">
        <v>519251</v>
      </c>
      <c r="F108" s="273">
        <v>533577</v>
      </c>
      <c r="G108" s="273">
        <v>670692</v>
      </c>
      <c r="H108" s="273">
        <v>595289</v>
      </c>
      <c r="I108" s="273">
        <v>620098</v>
      </c>
      <c r="J108" s="273">
        <v>561277</v>
      </c>
      <c r="K108" s="273">
        <v>686536</v>
      </c>
      <c r="L108" s="273">
        <v>650339</v>
      </c>
      <c r="M108" s="273">
        <v>674909</v>
      </c>
      <c r="N108" s="273">
        <v>565366</v>
      </c>
      <c r="O108" s="273">
        <v>696131</v>
      </c>
      <c r="P108" s="273">
        <v>677351</v>
      </c>
      <c r="Q108" s="273">
        <v>680519</v>
      </c>
      <c r="R108" s="273">
        <v>603628</v>
      </c>
      <c r="S108" s="273">
        <v>709685</v>
      </c>
      <c r="T108" s="273">
        <v>697224</v>
      </c>
      <c r="U108" s="273">
        <v>727559</v>
      </c>
      <c r="V108" s="273">
        <v>761703</v>
      </c>
      <c r="W108" s="273">
        <v>824178</v>
      </c>
      <c r="X108" s="273">
        <v>819797</v>
      </c>
    </row>
    <row r="109" spans="1:24" ht="14.25" thickBot="1" x14ac:dyDescent="0.3">
      <c r="A109" s="225" t="s">
        <v>264</v>
      </c>
      <c r="B109" s="275">
        <v>595133</v>
      </c>
      <c r="C109" s="275">
        <v>651172</v>
      </c>
      <c r="D109" s="275">
        <v>621659</v>
      </c>
      <c r="E109" s="275">
        <v>566507</v>
      </c>
      <c r="F109" s="275">
        <v>561460</v>
      </c>
      <c r="G109" s="275">
        <v>554892</v>
      </c>
      <c r="H109" s="275">
        <v>579617</v>
      </c>
      <c r="I109" s="275">
        <v>515202</v>
      </c>
      <c r="J109" s="275">
        <v>575255</v>
      </c>
      <c r="K109" s="275">
        <v>553875</v>
      </c>
      <c r="L109" s="275">
        <v>542478</v>
      </c>
      <c r="M109" s="275">
        <v>500981</v>
      </c>
      <c r="N109" s="275">
        <v>538470</v>
      </c>
      <c r="O109" s="275">
        <v>528087</v>
      </c>
      <c r="P109" s="275">
        <v>575409</v>
      </c>
      <c r="Q109" s="275">
        <v>588609</v>
      </c>
      <c r="R109" s="275">
        <v>635341</v>
      </c>
      <c r="S109" s="275">
        <v>581412</v>
      </c>
      <c r="T109" s="275">
        <v>554315</v>
      </c>
      <c r="U109" s="275">
        <v>509344</v>
      </c>
      <c r="V109" s="275">
        <v>588340</v>
      </c>
      <c r="W109" s="275">
        <v>655733</v>
      </c>
      <c r="X109" s="275">
        <v>651112</v>
      </c>
    </row>
    <row r="110" spans="1:24" ht="14.25" thickBot="1" x14ac:dyDescent="0.3">
      <c r="A110" s="224" t="s">
        <v>23</v>
      </c>
      <c r="B110" s="273">
        <v>95283</v>
      </c>
      <c r="C110" s="273">
        <v>98210</v>
      </c>
      <c r="D110" s="273">
        <v>151128</v>
      </c>
      <c r="E110" s="273">
        <v>108248</v>
      </c>
      <c r="F110" s="273">
        <v>25194</v>
      </c>
      <c r="G110" s="273">
        <v>28164</v>
      </c>
      <c r="H110" s="273">
        <v>41639</v>
      </c>
      <c r="I110" s="273">
        <v>1275415</v>
      </c>
      <c r="J110" s="273">
        <v>1166591</v>
      </c>
      <c r="K110" s="273">
        <v>1223013</v>
      </c>
      <c r="L110" s="273">
        <v>1315814</v>
      </c>
      <c r="M110" s="273">
        <v>1316557</v>
      </c>
      <c r="N110" s="273">
        <v>1613433</v>
      </c>
      <c r="O110" s="273">
        <v>1703058</v>
      </c>
      <c r="P110" s="273">
        <v>1712288</v>
      </c>
      <c r="Q110" s="273">
        <v>1660482</v>
      </c>
      <c r="R110" s="273">
        <v>1160243</v>
      </c>
      <c r="S110" s="273">
        <v>703679</v>
      </c>
      <c r="T110" s="273">
        <v>471453</v>
      </c>
      <c r="U110" s="273">
        <v>1183186</v>
      </c>
      <c r="V110" s="273">
        <v>773824</v>
      </c>
      <c r="W110" s="273">
        <v>199266</v>
      </c>
      <c r="X110" s="273">
        <v>366288</v>
      </c>
    </row>
    <row r="111" spans="1:24" ht="14.25" thickBot="1" x14ac:dyDescent="0.3">
      <c r="A111" s="225" t="s">
        <v>24</v>
      </c>
      <c r="B111" s="275">
        <v>3583058</v>
      </c>
      <c r="C111" s="275">
        <v>3975171</v>
      </c>
      <c r="D111" s="275">
        <v>3294906</v>
      </c>
      <c r="E111" s="275">
        <v>3391453</v>
      </c>
      <c r="F111" s="275">
        <v>3542654</v>
      </c>
      <c r="G111" s="275">
        <v>3875693</v>
      </c>
      <c r="H111" s="275">
        <v>3430663</v>
      </c>
      <c r="I111" s="275">
        <v>3724582</v>
      </c>
      <c r="J111" s="275">
        <v>3897411</v>
      </c>
      <c r="K111" s="275">
        <v>4126495</v>
      </c>
      <c r="L111" s="275">
        <v>3537777</v>
      </c>
      <c r="M111" s="275">
        <v>3830158</v>
      </c>
      <c r="N111" s="275">
        <v>3950422</v>
      </c>
      <c r="O111" s="275">
        <v>4205736</v>
      </c>
      <c r="P111" s="275">
        <v>3711222</v>
      </c>
      <c r="Q111" s="275">
        <v>3824522</v>
      </c>
      <c r="R111" s="275">
        <v>3936370</v>
      </c>
      <c r="S111" s="275">
        <v>4245016</v>
      </c>
      <c r="T111" s="275">
        <v>3543812</v>
      </c>
      <c r="U111" s="275">
        <v>3928641</v>
      </c>
      <c r="V111" s="275">
        <v>4087351</v>
      </c>
      <c r="W111" s="275">
        <v>4399185</v>
      </c>
      <c r="X111" s="275">
        <v>3818776</v>
      </c>
    </row>
    <row r="112" spans="1:24" ht="14.25" thickBot="1" x14ac:dyDescent="0.3">
      <c r="A112" s="224" t="s">
        <v>25</v>
      </c>
      <c r="B112" s="273">
        <v>584516</v>
      </c>
      <c r="C112" s="273">
        <v>584581</v>
      </c>
      <c r="D112" s="273">
        <v>596055</v>
      </c>
      <c r="E112" s="273">
        <v>603385</v>
      </c>
      <c r="F112" s="273">
        <v>603132</v>
      </c>
      <c r="G112" s="273">
        <v>618677</v>
      </c>
      <c r="H112" s="273">
        <v>631062</v>
      </c>
      <c r="I112" s="273">
        <v>599009</v>
      </c>
      <c r="J112" s="273">
        <v>591448</v>
      </c>
      <c r="K112" s="273">
        <v>579743</v>
      </c>
      <c r="L112" s="273">
        <v>598849</v>
      </c>
      <c r="M112" s="273">
        <v>628862</v>
      </c>
      <c r="N112" s="273">
        <v>624849</v>
      </c>
      <c r="O112" s="273">
        <v>610551</v>
      </c>
      <c r="P112" s="273">
        <v>645103</v>
      </c>
      <c r="Q112" s="273">
        <v>659020</v>
      </c>
      <c r="R112" s="273">
        <v>653734</v>
      </c>
      <c r="S112" s="273">
        <v>638208</v>
      </c>
      <c r="T112" s="273">
        <v>648745</v>
      </c>
      <c r="U112" s="273">
        <v>660435</v>
      </c>
      <c r="V112" s="273">
        <v>622749</v>
      </c>
      <c r="W112" s="273">
        <v>620232</v>
      </c>
      <c r="X112" s="273">
        <v>652236</v>
      </c>
    </row>
    <row r="113" spans="1:24" ht="14.25" thickBot="1" x14ac:dyDescent="0.3">
      <c r="A113" s="225" t="s">
        <v>26</v>
      </c>
      <c r="B113" s="275">
        <v>310699</v>
      </c>
      <c r="C113" s="275">
        <v>306323</v>
      </c>
      <c r="D113" s="275">
        <v>478220</v>
      </c>
      <c r="E113" s="275">
        <v>499430</v>
      </c>
      <c r="F113" s="275">
        <v>514909</v>
      </c>
      <c r="G113" s="275">
        <v>512018</v>
      </c>
      <c r="H113" s="275">
        <v>502751</v>
      </c>
      <c r="I113" s="275">
        <v>499508</v>
      </c>
      <c r="J113" s="275">
        <v>491908</v>
      </c>
      <c r="K113" s="275">
        <v>484865</v>
      </c>
      <c r="L113" s="275">
        <v>485471</v>
      </c>
      <c r="M113" s="275">
        <v>487863</v>
      </c>
      <c r="N113" s="275">
        <v>481283</v>
      </c>
      <c r="O113" s="275">
        <v>475786</v>
      </c>
      <c r="P113" s="275">
        <v>480756</v>
      </c>
      <c r="Q113" s="275">
        <v>463561</v>
      </c>
      <c r="R113" s="275">
        <v>460973</v>
      </c>
      <c r="S113" s="275">
        <v>456047</v>
      </c>
      <c r="T113" s="275">
        <v>440079</v>
      </c>
      <c r="U113" s="275">
        <v>442570</v>
      </c>
      <c r="V113" s="275">
        <v>420930</v>
      </c>
      <c r="W113" s="275">
        <v>428113</v>
      </c>
      <c r="X113" s="275">
        <v>423444</v>
      </c>
    </row>
    <row r="114" spans="1:24" ht="14.25" thickBot="1" x14ac:dyDescent="0.3">
      <c r="A114" s="224" t="s">
        <v>27</v>
      </c>
      <c r="B114" s="273">
        <v>93079</v>
      </c>
      <c r="C114" s="273">
        <v>87854</v>
      </c>
      <c r="D114" s="273">
        <v>62410</v>
      </c>
      <c r="E114" s="273">
        <v>70225</v>
      </c>
      <c r="F114" s="273">
        <v>155199</v>
      </c>
      <c r="G114" s="273">
        <v>169030</v>
      </c>
      <c r="H114" s="273">
        <v>157239</v>
      </c>
      <c r="I114" s="273">
        <v>106386</v>
      </c>
      <c r="J114" s="273">
        <v>109821</v>
      </c>
      <c r="K114" s="273">
        <v>114109</v>
      </c>
      <c r="L114" s="273">
        <v>111745</v>
      </c>
      <c r="M114" s="273">
        <v>112683</v>
      </c>
      <c r="N114" s="273">
        <v>107432</v>
      </c>
      <c r="O114" s="273">
        <v>114179</v>
      </c>
      <c r="P114" s="273">
        <v>106501</v>
      </c>
      <c r="Q114" s="273">
        <v>116934</v>
      </c>
      <c r="R114" s="273">
        <v>110016</v>
      </c>
      <c r="S114" s="273">
        <v>124410</v>
      </c>
      <c r="T114" s="273">
        <v>113516</v>
      </c>
      <c r="U114" s="273">
        <v>103121</v>
      </c>
      <c r="V114" s="273">
        <v>98206</v>
      </c>
      <c r="W114" s="273">
        <v>101076</v>
      </c>
      <c r="X114" s="273">
        <v>87275</v>
      </c>
    </row>
    <row r="115" spans="1:24" ht="14.25" thickBot="1" x14ac:dyDescent="0.3">
      <c r="A115" s="225" t="s">
        <v>265</v>
      </c>
      <c r="B115" s="276">
        <v>4571352</v>
      </c>
      <c r="C115" s="276">
        <v>4953929</v>
      </c>
      <c r="D115" s="276">
        <v>4431591</v>
      </c>
      <c r="E115" s="276">
        <v>4564493</v>
      </c>
      <c r="F115" s="276">
        <v>4815894</v>
      </c>
      <c r="G115" s="276">
        <v>5175418</v>
      </c>
      <c r="H115" s="276">
        <v>4721715</v>
      </c>
      <c r="I115" s="276">
        <v>4929485</v>
      </c>
      <c r="J115" s="276">
        <v>5090588</v>
      </c>
      <c r="K115" s="276">
        <v>5305212</v>
      </c>
      <c r="L115" s="276">
        <v>4733842</v>
      </c>
      <c r="M115" s="276">
        <v>5059566</v>
      </c>
      <c r="N115" s="276">
        <v>5163986</v>
      </c>
      <c r="O115" s="276">
        <v>5406252</v>
      </c>
      <c r="P115" s="276">
        <v>4943582</v>
      </c>
      <c r="Q115" s="276">
        <v>5064037</v>
      </c>
      <c r="R115" s="276">
        <v>5161093</v>
      </c>
      <c r="S115" s="276">
        <v>5463681</v>
      </c>
      <c r="T115" s="276">
        <v>4746152</v>
      </c>
      <c r="U115" s="276">
        <v>5134767</v>
      </c>
      <c r="V115" s="276">
        <v>5229236</v>
      </c>
      <c r="W115" s="276">
        <v>5548606</v>
      </c>
      <c r="X115" s="276">
        <v>4981731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475115</v>
      </c>
      <c r="C120" s="273">
        <v>654928</v>
      </c>
      <c r="D120" s="273">
        <v>521463</v>
      </c>
      <c r="E120" s="273">
        <v>468993</v>
      </c>
      <c r="F120" s="273">
        <v>522237</v>
      </c>
      <c r="G120" s="273">
        <v>602444</v>
      </c>
      <c r="H120" s="273">
        <v>500360</v>
      </c>
      <c r="I120" s="273">
        <v>458662</v>
      </c>
      <c r="J120" s="273">
        <v>495174</v>
      </c>
      <c r="K120" s="273">
        <v>512932</v>
      </c>
      <c r="L120" s="273">
        <v>489224</v>
      </c>
      <c r="M120" s="273">
        <v>471782</v>
      </c>
      <c r="N120" s="273">
        <v>456126</v>
      </c>
      <c r="O120" s="273">
        <v>471226</v>
      </c>
      <c r="P120" s="273">
        <v>604245</v>
      </c>
      <c r="Q120" s="273">
        <v>470714</v>
      </c>
      <c r="R120" s="273">
        <v>435027</v>
      </c>
      <c r="S120" s="273">
        <v>499094</v>
      </c>
      <c r="T120" s="273">
        <v>486708</v>
      </c>
      <c r="U120" s="273">
        <v>566909</v>
      </c>
      <c r="V120" s="273">
        <v>590952</v>
      </c>
      <c r="W120" s="273">
        <v>615559</v>
      </c>
      <c r="X120" s="273">
        <v>619485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265191</v>
      </c>
      <c r="C123" s="275">
        <v>832196</v>
      </c>
      <c r="D123" s="275">
        <v>285782</v>
      </c>
      <c r="E123" s="275">
        <v>327792</v>
      </c>
      <c r="F123" s="275">
        <v>342186</v>
      </c>
      <c r="G123" s="275">
        <v>948869</v>
      </c>
      <c r="H123" s="275">
        <v>398273</v>
      </c>
      <c r="I123" s="275">
        <v>371891</v>
      </c>
      <c r="J123" s="275">
        <v>332498</v>
      </c>
      <c r="K123" s="275">
        <v>1081991</v>
      </c>
      <c r="L123" s="275">
        <v>309344</v>
      </c>
      <c r="M123" s="275">
        <v>386311</v>
      </c>
      <c r="N123" s="275">
        <v>349527</v>
      </c>
      <c r="O123" s="275">
        <v>1162944</v>
      </c>
      <c r="P123" s="275">
        <v>309607</v>
      </c>
      <c r="Q123" s="275">
        <v>383986</v>
      </c>
      <c r="R123" s="275">
        <v>335482</v>
      </c>
      <c r="S123" s="275">
        <v>1207586</v>
      </c>
      <c r="T123" s="275">
        <v>322778</v>
      </c>
      <c r="U123" s="275">
        <v>410473</v>
      </c>
      <c r="V123" s="275">
        <v>349920</v>
      </c>
      <c r="W123" s="275">
        <v>1191571</v>
      </c>
      <c r="X123" s="275">
        <v>369573</v>
      </c>
    </row>
    <row r="124" spans="1:24" ht="14.25" thickBot="1" x14ac:dyDescent="0.3">
      <c r="A124" s="224" t="s">
        <v>268</v>
      </c>
      <c r="B124" s="273">
        <v>740306</v>
      </c>
      <c r="C124" s="273">
        <v>1487124</v>
      </c>
      <c r="D124" s="273">
        <v>807245</v>
      </c>
      <c r="E124" s="273">
        <v>796785</v>
      </c>
      <c r="F124" s="273">
        <v>864423</v>
      </c>
      <c r="G124" s="273">
        <v>1551313</v>
      </c>
      <c r="H124" s="273">
        <v>898633</v>
      </c>
      <c r="I124" s="273">
        <v>830553</v>
      </c>
      <c r="J124" s="273">
        <v>827672</v>
      </c>
      <c r="K124" s="273">
        <v>1594923</v>
      </c>
      <c r="L124" s="273">
        <v>798568</v>
      </c>
      <c r="M124" s="273">
        <v>858093</v>
      </c>
      <c r="N124" s="273">
        <v>805653</v>
      </c>
      <c r="O124" s="273">
        <v>1634170</v>
      </c>
      <c r="P124" s="273">
        <v>913852</v>
      </c>
      <c r="Q124" s="273">
        <v>854700</v>
      </c>
      <c r="R124" s="273">
        <v>770509</v>
      </c>
      <c r="S124" s="273">
        <v>1706680</v>
      </c>
      <c r="T124" s="273">
        <v>809486</v>
      </c>
      <c r="U124" s="273">
        <v>977382</v>
      </c>
      <c r="V124" s="273">
        <v>940872</v>
      </c>
      <c r="W124" s="273">
        <v>1807130</v>
      </c>
      <c r="X124" s="273">
        <v>989058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114188</v>
      </c>
      <c r="G125" s="275">
        <v>113764</v>
      </c>
      <c r="H125" s="275">
        <v>113336</v>
      </c>
      <c r="I125" s="275">
        <v>124564</v>
      </c>
      <c r="J125" s="275">
        <v>124129</v>
      </c>
      <c r="K125" s="275">
        <v>123703</v>
      </c>
      <c r="L125" s="275">
        <v>123286</v>
      </c>
      <c r="M125" s="275">
        <v>143866</v>
      </c>
      <c r="N125" s="275">
        <v>143465</v>
      </c>
      <c r="O125" s="275">
        <v>143069</v>
      </c>
      <c r="P125" s="275">
        <v>142674</v>
      </c>
      <c r="Q125" s="275">
        <v>163141</v>
      </c>
      <c r="R125" s="275">
        <v>162662</v>
      </c>
      <c r="S125" s="275">
        <v>162177</v>
      </c>
      <c r="T125" s="275">
        <v>161690</v>
      </c>
      <c r="U125" s="275">
        <v>173262</v>
      </c>
      <c r="V125" s="275">
        <v>172815</v>
      </c>
      <c r="W125" s="275">
        <v>172368</v>
      </c>
      <c r="X125" s="275">
        <v>172097</v>
      </c>
    </row>
    <row r="126" spans="1:24" ht="14.25" thickBot="1" x14ac:dyDescent="0.3">
      <c r="A126" s="224" t="s">
        <v>33</v>
      </c>
      <c r="B126" s="273">
        <v>109438</v>
      </c>
      <c r="C126" s="273">
        <v>74082</v>
      </c>
      <c r="D126" s="273">
        <v>73792</v>
      </c>
      <c r="E126" s="273">
        <v>100544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849744</v>
      </c>
      <c r="C127" s="275">
        <v>1561206</v>
      </c>
      <c r="D127" s="275">
        <v>881037</v>
      </c>
      <c r="E127" s="275">
        <v>897329</v>
      </c>
      <c r="F127" s="275">
        <v>978611</v>
      </c>
      <c r="G127" s="275">
        <v>1665077</v>
      </c>
      <c r="H127" s="275">
        <v>1011969</v>
      </c>
      <c r="I127" s="275">
        <v>955117</v>
      </c>
      <c r="J127" s="275">
        <v>951801</v>
      </c>
      <c r="K127" s="275">
        <v>1718626</v>
      </c>
      <c r="L127" s="275">
        <v>921854</v>
      </c>
      <c r="M127" s="275">
        <v>1001959</v>
      </c>
      <c r="N127" s="275">
        <v>949118</v>
      </c>
      <c r="O127" s="275">
        <v>1777239</v>
      </c>
      <c r="P127" s="275">
        <v>1056526</v>
      </c>
      <c r="Q127" s="275">
        <v>1017841</v>
      </c>
      <c r="R127" s="275">
        <v>933171</v>
      </c>
      <c r="S127" s="275">
        <v>1868857</v>
      </c>
      <c r="T127" s="275">
        <v>971176</v>
      </c>
      <c r="U127" s="275">
        <v>1150644</v>
      </c>
      <c r="V127" s="275">
        <v>1113687</v>
      </c>
      <c r="W127" s="275">
        <v>1979498</v>
      </c>
      <c r="X127" s="275">
        <v>1161155</v>
      </c>
    </row>
    <row r="128" spans="1:24" ht="14.25" thickBot="1" x14ac:dyDescent="0.3">
      <c r="A128" s="224" t="s">
        <v>34</v>
      </c>
      <c r="B128" s="273">
        <v>3721608</v>
      </c>
      <c r="C128" s="273">
        <v>3392723</v>
      </c>
      <c r="D128" s="273">
        <v>3550554</v>
      </c>
      <c r="E128" s="273">
        <v>3667164</v>
      </c>
      <c r="F128" s="273">
        <v>3837283</v>
      </c>
      <c r="G128" s="273">
        <v>3510341</v>
      </c>
      <c r="H128" s="273">
        <v>3709746</v>
      </c>
      <c r="I128" s="273">
        <v>3974368</v>
      </c>
      <c r="J128" s="273">
        <v>4138787</v>
      </c>
      <c r="K128" s="273">
        <v>3586586</v>
      </c>
      <c r="L128" s="273">
        <v>3811988</v>
      </c>
      <c r="M128" s="273">
        <v>4057607</v>
      </c>
      <c r="N128" s="273">
        <v>4214868</v>
      </c>
      <c r="O128" s="273">
        <v>3629013</v>
      </c>
      <c r="P128" s="273">
        <v>3887056</v>
      </c>
      <c r="Q128" s="273">
        <v>4046196</v>
      </c>
      <c r="R128" s="273">
        <v>4227922</v>
      </c>
      <c r="S128" s="273">
        <v>3594824</v>
      </c>
      <c r="T128" s="273">
        <v>3774976</v>
      </c>
      <c r="U128" s="273">
        <v>3984123</v>
      </c>
      <c r="V128" s="273">
        <v>4115549</v>
      </c>
      <c r="W128" s="273">
        <v>3569108</v>
      </c>
      <c r="X128" s="273">
        <v>3820576</v>
      </c>
    </row>
    <row r="129" spans="1:24" ht="14.25" thickBot="1" x14ac:dyDescent="0.3">
      <c r="A129" s="225" t="s">
        <v>35</v>
      </c>
      <c r="B129" s="276">
        <v>4571352</v>
      </c>
      <c r="C129" s="276">
        <v>4953929</v>
      </c>
      <c r="D129" s="276">
        <v>4431591</v>
      </c>
      <c r="E129" s="276">
        <v>4564493</v>
      </c>
      <c r="F129" s="276">
        <v>4815894</v>
      </c>
      <c r="G129" s="276">
        <v>5175418</v>
      </c>
      <c r="H129" s="276">
        <v>4721715</v>
      </c>
      <c r="I129" s="276">
        <v>4929485</v>
      </c>
      <c r="J129" s="276">
        <v>5090588</v>
      </c>
      <c r="K129" s="276">
        <v>5305212</v>
      </c>
      <c r="L129" s="276">
        <v>4733842</v>
      </c>
      <c r="M129" s="276">
        <v>5059566</v>
      </c>
      <c r="N129" s="276">
        <v>5163986</v>
      </c>
      <c r="O129" s="276">
        <v>5406252</v>
      </c>
      <c r="P129" s="276">
        <v>4943582</v>
      </c>
      <c r="Q129" s="276">
        <v>5064037</v>
      </c>
      <c r="R129" s="276">
        <v>5161093</v>
      </c>
      <c r="S129" s="276">
        <v>5463681</v>
      </c>
      <c r="T129" s="276">
        <v>4746152</v>
      </c>
      <c r="U129" s="276">
        <v>5134767</v>
      </c>
      <c r="V129" s="276">
        <v>5229236</v>
      </c>
      <c r="W129" s="276">
        <v>5548606</v>
      </c>
      <c r="X129" s="276">
        <v>4981731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2.4700000000000002</v>
      </c>
      <c r="C132" s="68">
        <v>4.34</v>
      </c>
      <c r="D132" s="68">
        <v>4.33</v>
      </c>
      <c r="E132" s="68">
        <v>3.38</v>
      </c>
      <c r="F132" s="68">
        <v>4.13</v>
      </c>
    </row>
    <row r="133" spans="1:24" ht="14.25" thickBot="1" x14ac:dyDescent="0.3">
      <c r="A133" s="225" t="s">
        <v>37</v>
      </c>
      <c r="B133" s="274">
        <v>-1.1200000000000001</v>
      </c>
      <c r="C133" s="274">
        <v>-0.8</v>
      </c>
      <c r="D133" s="274">
        <v>-0.5</v>
      </c>
      <c r="E133" s="274">
        <v>-2.0099999999999998</v>
      </c>
      <c r="F133" s="274">
        <v>1.59</v>
      </c>
    </row>
    <row r="134" spans="1:24" ht="14.25" thickBot="1" x14ac:dyDescent="0.3">
      <c r="A134" s="224" t="s">
        <v>38</v>
      </c>
      <c r="B134" s="68">
        <v>-2.2999999999999998</v>
      </c>
      <c r="C134" s="68">
        <v>-2.11</v>
      </c>
      <c r="D134" s="68">
        <v>-3.3</v>
      </c>
      <c r="E134" s="68">
        <v>-3.56</v>
      </c>
      <c r="F134" s="68">
        <v>-3.61</v>
      </c>
    </row>
    <row r="135" spans="1:24" ht="14.25" thickBot="1" x14ac:dyDescent="0.3">
      <c r="A135" s="225" t="s">
        <v>270</v>
      </c>
      <c r="B135" s="274">
        <v>1.34</v>
      </c>
      <c r="C135" s="274">
        <v>3.55</v>
      </c>
      <c r="D135" s="274">
        <v>3.83</v>
      </c>
      <c r="E135" s="274">
        <v>1.37</v>
      </c>
      <c r="F135" s="274">
        <v>5.72</v>
      </c>
    </row>
    <row r="136" spans="1:24" ht="14.25" thickBot="1" x14ac:dyDescent="0.3">
      <c r="A136" s="229" t="s">
        <v>39</v>
      </c>
      <c r="B136" s="72">
        <v>-0.96</v>
      </c>
      <c r="C136" s="72">
        <v>1.43</v>
      </c>
      <c r="D136" s="72">
        <v>0.53</v>
      </c>
      <c r="E136" s="72">
        <v>-2.19</v>
      </c>
      <c r="F136" s="72">
        <v>2.11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2.5</v>
      </c>
      <c r="C140" s="68">
        <v>3.3</v>
      </c>
      <c r="D140" s="68">
        <v>3.5</v>
      </c>
      <c r="E140" s="68">
        <v>3.57</v>
      </c>
      <c r="F140" s="68">
        <v>3.5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0.99601593625498019</v>
      </c>
      <c r="C142" s="234">
        <f>IF(C140&lt;&gt;"無",IF(ISNA(HLOOKUP(C139,$B$64:$F$69,6,FALSE)),"",C140/HLOOKUP(C139,$B$64:$F$69,6,FALSE)),"")</f>
        <v>0.99397590361445765</v>
      </c>
      <c r="D142" s="234">
        <f>IF(D140&lt;&gt;"無",IF(ISNA(HLOOKUP(D139,$B$64:$F$69,6,FALSE)),"",D140/HLOOKUP(D139,$B$64:$F$69,6,FALSE)),"")</f>
        <v>1</v>
      </c>
      <c r="E142" s="234">
        <f>IF(E140&lt;&gt;"無",IF(ISNA(HLOOKUP(E139,$B$64:$F$69,6,FALSE)),"",E140/HLOOKUP(E139,$B$64:$F$69,6,FALSE)),"")</f>
        <v>1.0028089887640448</v>
      </c>
      <c r="F142" s="234">
        <f>IF(F140&lt;&gt;"無",IF(ISNA(HLOOKUP(F139,$B$64:$F$69,6,FALSE)),"",F140/HLOOKUP(F139,$B$64:$F$69,6,FALSE)),"")</f>
        <v>1.0086455331412105</v>
      </c>
    </row>
    <row r="143" spans="1:24" x14ac:dyDescent="0.25">
      <c r="A143" s="233" t="s">
        <v>216</v>
      </c>
      <c r="B143" s="234">
        <f>IF(OR(B140=0,B140="無"),"",B135/B140)</f>
        <v>0.53600000000000003</v>
      </c>
      <c r="C143" s="234">
        <f>IF(OR(C140=0,C140="無"),"",C135/C140)</f>
        <v>1.0757575757575757</v>
      </c>
      <c r="D143" s="234">
        <f>IF(OR(D140=0,D140="無"),"",D135/D140)</f>
        <v>1.0942857142857143</v>
      </c>
      <c r="E143" s="234">
        <f>IF(OR(E140=0,E140="無"),"",E135/E140)</f>
        <v>0.38375350140056025</v>
      </c>
      <c r="F143" s="234">
        <f>IF(OR(F140=0,F140="無"),"",F135/F140)</f>
        <v>1.6342857142857141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43.88</v>
      </c>
      <c r="C146" s="68">
        <v>43.12</v>
      </c>
      <c r="D146" s="68">
        <v>44.36</v>
      </c>
      <c r="E146" s="68">
        <v>45.24</v>
      </c>
      <c r="F146" s="68">
        <v>44.65</v>
      </c>
      <c r="G146" s="68">
        <v>46.17</v>
      </c>
      <c r="H146" s="68">
        <v>47.96</v>
      </c>
      <c r="I146" s="68">
        <v>46.55</v>
      </c>
      <c r="J146" s="68">
        <v>47.1</v>
      </c>
      <c r="K146" s="68">
        <v>47.66</v>
      </c>
      <c r="L146" s="68">
        <v>47.64</v>
      </c>
      <c r="M146" s="68">
        <v>49.03</v>
      </c>
      <c r="N146" s="68">
        <v>48.85</v>
      </c>
      <c r="O146" s="68">
        <v>48.05</v>
      </c>
      <c r="P146" s="68">
        <v>49.95</v>
      </c>
      <c r="Q146" s="68">
        <v>48.73</v>
      </c>
      <c r="R146" s="68">
        <v>48.64</v>
      </c>
      <c r="S146" s="68">
        <v>49.08</v>
      </c>
      <c r="T146" s="68">
        <v>48.56</v>
      </c>
      <c r="U146" s="68">
        <v>47.66</v>
      </c>
      <c r="V146" s="68">
        <v>45.82</v>
      </c>
      <c r="W146" s="68">
        <v>45.43</v>
      </c>
      <c r="X146" s="68">
        <v>48.13</v>
      </c>
    </row>
    <row r="147" spans="1:24" s="93" customFormat="1" ht="14.25" thickBot="1" x14ac:dyDescent="0.3">
      <c r="A147" s="225" t="s">
        <v>19</v>
      </c>
      <c r="B147" s="274">
        <v>13.49</v>
      </c>
      <c r="C147" s="274">
        <v>18.12</v>
      </c>
      <c r="D147" s="274">
        <v>17.54</v>
      </c>
      <c r="E147" s="274">
        <v>15.64</v>
      </c>
      <c r="F147" s="274">
        <v>16.489999999999998</v>
      </c>
      <c r="G147" s="274">
        <v>20.57</v>
      </c>
      <c r="H147" s="274">
        <v>20.97</v>
      </c>
      <c r="I147" s="274">
        <v>19.260000000000002</v>
      </c>
      <c r="J147" s="274">
        <v>19.91</v>
      </c>
      <c r="K147" s="274">
        <v>21.88</v>
      </c>
      <c r="L147" s="274">
        <v>20.5</v>
      </c>
      <c r="M147" s="274">
        <v>20.76</v>
      </c>
      <c r="N147" s="274">
        <v>20.51</v>
      </c>
      <c r="O147" s="274">
        <v>22.33</v>
      </c>
      <c r="P147" s="274">
        <v>21.45</v>
      </c>
      <c r="Q147" s="274">
        <v>20.94</v>
      </c>
      <c r="R147" s="274">
        <v>19.059999999999999</v>
      </c>
      <c r="S147" s="274">
        <v>20.48</v>
      </c>
      <c r="T147" s="274">
        <v>20.56</v>
      </c>
      <c r="U147" s="274">
        <v>19.95</v>
      </c>
      <c r="V147" s="274">
        <v>19.53</v>
      </c>
      <c r="W147" s="274">
        <v>19.18</v>
      </c>
      <c r="X147" s="274">
        <v>20.36</v>
      </c>
    </row>
    <row r="148" spans="1:24" s="93" customFormat="1" ht="14.25" thickBot="1" x14ac:dyDescent="0.3">
      <c r="A148" s="224" t="s">
        <v>41</v>
      </c>
      <c r="B148" s="68">
        <v>13.98</v>
      </c>
      <c r="C148" s="68">
        <v>20.68</v>
      </c>
      <c r="D148" s="68">
        <v>19.77</v>
      </c>
      <c r="E148" s="68">
        <v>17.440000000000001</v>
      </c>
      <c r="F148" s="68">
        <v>19.579999999999998</v>
      </c>
      <c r="G148" s="68">
        <v>24.24</v>
      </c>
      <c r="H148" s="68">
        <v>23.38</v>
      </c>
      <c r="I148" s="68">
        <v>23.02</v>
      </c>
      <c r="J148" s="68">
        <v>21.68</v>
      </c>
      <c r="K148" s="68">
        <v>23.45</v>
      </c>
      <c r="L148" s="68">
        <v>25.02</v>
      </c>
      <c r="M148" s="68">
        <v>25.1</v>
      </c>
      <c r="N148" s="68">
        <v>21.64</v>
      </c>
      <c r="O148" s="68">
        <v>25.2</v>
      </c>
      <c r="P148" s="68">
        <v>26.28</v>
      </c>
      <c r="Q148" s="68">
        <v>22.03</v>
      </c>
      <c r="R148" s="68">
        <v>21.49</v>
      </c>
      <c r="S148" s="68">
        <v>22.04</v>
      </c>
      <c r="T148" s="68">
        <v>22.45</v>
      </c>
      <c r="U148" s="68">
        <v>22.25</v>
      </c>
      <c r="V148" s="68">
        <v>19.670000000000002</v>
      </c>
      <c r="W148" s="68">
        <v>23.05</v>
      </c>
      <c r="X148" s="68">
        <v>24.51</v>
      </c>
    </row>
    <row r="149" spans="1:24" s="93" customFormat="1" ht="14.25" thickBot="1" x14ac:dyDescent="0.3">
      <c r="A149" s="225" t="s">
        <v>13</v>
      </c>
      <c r="B149" s="73">
        <v>12.52</v>
      </c>
      <c r="C149" s="73">
        <v>18.41</v>
      </c>
      <c r="D149" s="73">
        <v>17.52</v>
      </c>
      <c r="E149" s="73">
        <v>13.73</v>
      </c>
      <c r="F149" s="73">
        <v>16.93</v>
      </c>
      <c r="G149" s="73">
        <v>20.95</v>
      </c>
      <c r="H149" s="73">
        <v>20.2</v>
      </c>
      <c r="I149" s="73">
        <v>18.43</v>
      </c>
      <c r="J149" s="73">
        <v>18.75</v>
      </c>
      <c r="K149" s="73">
        <v>20.27</v>
      </c>
      <c r="L149" s="73">
        <v>21.09</v>
      </c>
      <c r="M149" s="73">
        <v>20.96</v>
      </c>
      <c r="N149" s="73">
        <v>18.41</v>
      </c>
      <c r="O149" s="73">
        <v>21.45</v>
      </c>
      <c r="P149" s="73">
        <v>22.39</v>
      </c>
      <c r="Q149" s="73">
        <v>19.95</v>
      </c>
      <c r="R149" s="73">
        <v>18.62</v>
      </c>
      <c r="S149" s="73">
        <v>18.670000000000002</v>
      </c>
      <c r="T149" s="73">
        <v>19.52</v>
      </c>
      <c r="U149" s="73">
        <v>19.38</v>
      </c>
      <c r="V149" s="73">
        <v>17.190000000000001</v>
      </c>
      <c r="W149" s="73">
        <v>20.02</v>
      </c>
      <c r="X149" s="73">
        <v>21.26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44.12</v>
      </c>
      <c r="C152" s="68">
        <v>46.3</v>
      </c>
      <c r="D152" s="68">
        <v>47.93</v>
      </c>
      <c r="E152" s="68">
        <v>49.11</v>
      </c>
      <c r="F152" s="68">
        <v>48.48</v>
      </c>
    </row>
    <row r="153" spans="1:24" s="93" customFormat="1" ht="14.25" thickBot="1" x14ac:dyDescent="0.3">
      <c r="A153" s="225" t="s">
        <v>19</v>
      </c>
      <c r="B153" s="274">
        <v>16.38</v>
      </c>
      <c r="C153" s="274">
        <v>19.399999999999999</v>
      </c>
      <c r="D153" s="274">
        <v>20.8</v>
      </c>
      <c r="E153" s="274">
        <v>21.34</v>
      </c>
      <c r="F153" s="274">
        <v>20.05</v>
      </c>
    </row>
    <row r="154" spans="1:24" s="93" customFormat="1" ht="14.25" thickBot="1" x14ac:dyDescent="0.3">
      <c r="A154" s="224" t="s">
        <v>41</v>
      </c>
      <c r="B154" s="68">
        <v>18.22</v>
      </c>
      <c r="C154" s="68">
        <v>22.65</v>
      </c>
      <c r="D154" s="68">
        <v>23.88</v>
      </c>
      <c r="E154" s="68">
        <v>23.86</v>
      </c>
      <c r="F154" s="68">
        <v>22.08</v>
      </c>
    </row>
    <row r="155" spans="1:24" s="93" customFormat="1" ht="14.25" thickBot="1" x14ac:dyDescent="0.3">
      <c r="A155" s="225" t="s">
        <v>13</v>
      </c>
      <c r="B155" s="73">
        <v>15.78</v>
      </c>
      <c r="C155" s="73">
        <v>19.2</v>
      </c>
      <c r="D155" s="73">
        <v>20.32</v>
      </c>
      <c r="E155" s="73">
        <v>20.62</v>
      </c>
      <c r="F155" s="73">
        <v>19.07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2.11</v>
      </c>
      <c r="C158" s="68">
        <v>3.85</v>
      </c>
      <c r="D158" s="68">
        <v>3.49</v>
      </c>
      <c r="E158" s="68">
        <v>2.63</v>
      </c>
      <c r="F158" s="68">
        <v>3.22</v>
      </c>
      <c r="G158" s="68">
        <v>4.3899999999999997</v>
      </c>
      <c r="H158" s="68">
        <v>3.96</v>
      </c>
      <c r="I158" s="68">
        <v>3.77</v>
      </c>
      <c r="J158" s="68">
        <v>3.31</v>
      </c>
      <c r="K158" s="68">
        <v>4.0199999999999996</v>
      </c>
      <c r="L158" s="68">
        <v>4.12</v>
      </c>
      <c r="M158" s="68">
        <v>4.43</v>
      </c>
      <c r="N158" s="68">
        <v>3.16</v>
      </c>
      <c r="O158" s="68">
        <v>4.2</v>
      </c>
      <c r="P158" s="68">
        <v>4.3899999999999997</v>
      </c>
      <c r="Q158" s="68">
        <v>4.1399999999999997</v>
      </c>
      <c r="R158" s="68">
        <v>3.31</v>
      </c>
      <c r="S158" s="68">
        <v>3.84</v>
      </c>
      <c r="T158" s="68">
        <v>4.0999999999999996</v>
      </c>
      <c r="U158" s="68">
        <v>4.26</v>
      </c>
      <c r="V158" s="68">
        <v>3.6</v>
      </c>
      <c r="W158" s="68">
        <v>4.29</v>
      </c>
      <c r="X158" s="68">
        <v>4.54</v>
      </c>
    </row>
    <row r="159" spans="1:24" s="93" customFormat="1" ht="14.25" thickBot="1" x14ac:dyDescent="0.3">
      <c r="A159" s="225" t="s">
        <v>45</v>
      </c>
      <c r="B159" s="73">
        <v>2.59</v>
      </c>
      <c r="C159" s="73">
        <v>5.15</v>
      </c>
      <c r="D159" s="73">
        <v>4.72</v>
      </c>
      <c r="E159" s="73">
        <v>3.28</v>
      </c>
      <c r="F159" s="73">
        <v>4.03</v>
      </c>
      <c r="G159" s="73">
        <v>5.97</v>
      </c>
      <c r="H159" s="73">
        <v>5.42</v>
      </c>
      <c r="I159" s="73">
        <v>4.7300000000000004</v>
      </c>
      <c r="J159" s="73">
        <v>4.09</v>
      </c>
      <c r="K159" s="73">
        <v>5.41</v>
      </c>
      <c r="L159" s="73">
        <v>5.59</v>
      </c>
      <c r="M159" s="73">
        <v>5.52</v>
      </c>
      <c r="N159" s="73">
        <v>3.91</v>
      </c>
      <c r="O159" s="73">
        <v>5.67</v>
      </c>
      <c r="P159" s="73">
        <v>6.04</v>
      </c>
      <c r="Q159" s="73">
        <v>5.23</v>
      </c>
      <c r="R159" s="73">
        <v>4.09</v>
      </c>
      <c r="S159" s="73">
        <v>5.22</v>
      </c>
      <c r="T159" s="73">
        <v>5.67</v>
      </c>
      <c r="U159" s="73">
        <v>5.42</v>
      </c>
      <c r="V159" s="73">
        <v>4.6100000000000003</v>
      </c>
      <c r="W159" s="73">
        <v>6.02</v>
      </c>
      <c r="X159" s="73">
        <v>6.47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15.78</v>
      </c>
      <c r="C162" s="68">
        <v>19.2</v>
      </c>
      <c r="D162" s="68">
        <v>20.32</v>
      </c>
      <c r="E162" s="68">
        <v>20.62</v>
      </c>
      <c r="F162" s="68">
        <v>19.07</v>
      </c>
    </row>
    <row r="163" spans="1:72" s="93" customFormat="1" ht="14.25" thickBot="1" x14ac:dyDescent="0.3">
      <c r="A163" s="225" t="s">
        <v>18</v>
      </c>
      <c r="B163" s="274">
        <v>0.78</v>
      </c>
      <c r="C163" s="274">
        <v>0.79</v>
      </c>
      <c r="D163" s="274">
        <v>0.78</v>
      </c>
      <c r="E163" s="274">
        <v>0.78</v>
      </c>
      <c r="F163" s="274">
        <v>0.81</v>
      </c>
    </row>
    <row r="164" spans="1:72" s="93" customFormat="1" ht="14.25" thickBot="1" x14ac:dyDescent="0.3">
      <c r="A164" s="224" t="s">
        <v>15</v>
      </c>
      <c r="B164" s="68">
        <v>1.24</v>
      </c>
      <c r="C164" s="68">
        <v>1.24</v>
      </c>
      <c r="D164" s="68">
        <v>1.25</v>
      </c>
      <c r="E164" s="68">
        <v>1.25</v>
      </c>
      <c r="F164" s="68">
        <v>1.29</v>
      </c>
    </row>
    <row r="165" spans="1:72" s="93" customFormat="1" ht="14.25" thickBot="1" x14ac:dyDescent="0.3">
      <c r="A165" s="225" t="s">
        <v>45</v>
      </c>
      <c r="B165" s="73">
        <v>15.37</v>
      </c>
      <c r="C165" s="73">
        <v>19.57</v>
      </c>
      <c r="D165" s="73">
        <v>19.89</v>
      </c>
      <c r="E165" s="73">
        <v>20.2</v>
      </c>
      <c r="F165" s="73">
        <v>19.739999999999998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58.82</v>
      </c>
      <c r="C168" s="68">
        <v>50.85</v>
      </c>
      <c r="D168" s="68">
        <v>55.9</v>
      </c>
      <c r="E168" s="68">
        <v>55.9</v>
      </c>
      <c r="F168" s="68">
        <v>52.94</v>
      </c>
      <c r="G168" s="68">
        <v>51.72</v>
      </c>
      <c r="H168" s="68">
        <v>58.82</v>
      </c>
      <c r="I168" s="68">
        <v>55.56</v>
      </c>
      <c r="J168" s="68">
        <v>60</v>
      </c>
      <c r="K168" s="68">
        <v>54.55</v>
      </c>
      <c r="L168" s="68">
        <v>61.22</v>
      </c>
      <c r="M168" s="68">
        <v>57.69</v>
      </c>
      <c r="N168" s="68">
        <v>63.38</v>
      </c>
      <c r="O168" s="68">
        <v>54.88</v>
      </c>
      <c r="P168" s="68">
        <v>60.81</v>
      </c>
      <c r="Q168" s="68">
        <v>58.82</v>
      </c>
      <c r="R168" s="68">
        <v>63.83</v>
      </c>
      <c r="S168" s="68">
        <v>53.89</v>
      </c>
      <c r="T168" s="68">
        <v>59.21</v>
      </c>
      <c r="U168" s="68">
        <v>59.21</v>
      </c>
      <c r="V168" s="68">
        <v>61.64</v>
      </c>
      <c r="W168" s="68">
        <v>61.64</v>
      </c>
      <c r="X168" s="68">
        <v>65.69</v>
      </c>
    </row>
    <row r="169" spans="1:72" s="93" customFormat="1" ht="14.25" thickBot="1" x14ac:dyDescent="0.3">
      <c r="A169" s="225" t="s">
        <v>17</v>
      </c>
      <c r="B169" s="274">
        <v>120</v>
      </c>
      <c r="C169" s="274">
        <v>98.9</v>
      </c>
      <c r="D169" s="274">
        <v>109.76</v>
      </c>
      <c r="E169" s="274">
        <v>112.5</v>
      </c>
      <c r="F169" s="274">
        <v>102.27</v>
      </c>
      <c r="G169" s="274">
        <v>89.11</v>
      </c>
      <c r="H169" s="274">
        <v>101.12</v>
      </c>
      <c r="I169" s="274">
        <v>93.75</v>
      </c>
      <c r="J169" s="274">
        <v>104.65</v>
      </c>
      <c r="K169" s="274">
        <v>93.75</v>
      </c>
      <c r="L169" s="274">
        <v>95.74</v>
      </c>
      <c r="M169" s="274">
        <v>89.11</v>
      </c>
      <c r="N169" s="274">
        <v>104.65</v>
      </c>
      <c r="O169" s="274">
        <v>89.11</v>
      </c>
      <c r="P169" s="274">
        <v>97.83</v>
      </c>
      <c r="Q169" s="274">
        <v>97.83</v>
      </c>
      <c r="R169" s="274">
        <v>118.42</v>
      </c>
      <c r="S169" s="274">
        <v>97.83</v>
      </c>
      <c r="T169" s="274">
        <v>92.78</v>
      </c>
      <c r="U169" s="274">
        <v>84.11</v>
      </c>
      <c r="V169" s="274">
        <v>84.11</v>
      </c>
      <c r="W169" s="274">
        <v>89.11</v>
      </c>
      <c r="X169" s="274">
        <v>101.12</v>
      </c>
    </row>
    <row r="170" spans="1:72" s="93" customFormat="1" ht="14.25" thickBot="1" x14ac:dyDescent="0.3">
      <c r="A170" s="224" t="s">
        <v>42</v>
      </c>
      <c r="B170" s="72">
        <v>178.82</v>
      </c>
      <c r="C170" s="72">
        <v>149.75</v>
      </c>
      <c r="D170" s="72">
        <v>165.66</v>
      </c>
      <c r="E170" s="72">
        <v>168.4</v>
      </c>
      <c r="F170" s="72">
        <v>155.21</v>
      </c>
      <c r="G170" s="72">
        <v>140.83000000000001</v>
      </c>
      <c r="H170" s="72">
        <v>159.94999999999999</v>
      </c>
      <c r="I170" s="72">
        <v>149.31</v>
      </c>
      <c r="J170" s="72">
        <v>164.65</v>
      </c>
      <c r="K170" s="72">
        <v>148.30000000000001</v>
      </c>
      <c r="L170" s="72">
        <v>156.97</v>
      </c>
      <c r="M170" s="72">
        <v>146.80000000000001</v>
      </c>
      <c r="N170" s="72">
        <v>168.03</v>
      </c>
      <c r="O170" s="72">
        <v>143.99</v>
      </c>
      <c r="P170" s="72">
        <v>158.63999999999999</v>
      </c>
      <c r="Q170" s="72">
        <v>156.65</v>
      </c>
      <c r="R170" s="72">
        <v>182.25</v>
      </c>
      <c r="S170" s="72">
        <v>151.72</v>
      </c>
      <c r="T170" s="72">
        <v>151.99</v>
      </c>
      <c r="U170" s="72">
        <v>143.32</v>
      </c>
      <c r="V170" s="72">
        <v>145.76</v>
      </c>
      <c r="W170" s="72">
        <v>150.75</v>
      </c>
      <c r="X170" s="72">
        <v>166.82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98.07</v>
      </c>
      <c r="C173" s="72">
        <v>130.47999999999999</v>
      </c>
      <c r="D173" s="72">
        <v>122.61</v>
      </c>
      <c r="E173" s="72">
        <v>93.8</v>
      </c>
      <c r="F173" s="72">
        <v>117.67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11.2</v>
      </c>
      <c r="C176" s="72">
        <v>13.13</v>
      </c>
      <c r="D176" s="72">
        <v>14.37</v>
      </c>
      <c r="E176" s="72">
        <v>14.69</v>
      </c>
      <c r="F176" s="72">
        <v>14.44</v>
      </c>
      <c r="G176" s="72">
        <v>13.95</v>
      </c>
      <c r="H176" s="72">
        <v>13.88</v>
      </c>
      <c r="I176" s="72">
        <v>13.05</v>
      </c>
      <c r="J176" s="72">
        <v>13.21</v>
      </c>
      <c r="K176" s="72">
        <v>12.65</v>
      </c>
      <c r="L176" s="72">
        <v>12.16</v>
      </c>
      <c r="M176" s="72">
        <v>12.42</v>
      </c>
      <c r="N176" s="72">
        <v>12.62</v>
      </c>
      <c r="O176" s="72">
        <v>13.41</v>
      </c>
      <c r="P176" s="72">
        <v>14.54</v>
      </c>
      <c r="Q176" s="72">
        <v>13.97</v>
      </c>
      <c r="R176" s="72">
        <v>13.22</v>
      </c>
      <c r="S176" s="72">
        <v>13.56</v>
      </c>
      <c r="T176" s="72">
        <v>13.63</v>
      </c>
      <c r="U176" s="72">
        <v>12.41</v>
      </c>
      <c r="V176" s="72">
        <v>12.41</v>
      </c>
      <c r="W176" s="72">
        <v>14.44</v>
      </c>
      <c r="X176" s="72">
        <v>14.79</v>
      </c>
      <c r="Y176" s="72">
        <v>15.47</v>
      </c>
      <c r="Z176" s="72">
        <v>18.48</v>
      </c>
      <c r="AA176" s="72">
        <v>20.64</v>
      </c>
      <c r="AB176" s="72">
        <v>18.62</v>
      </c>
      <c r="AC176" s="72">
        <v>17.48</v>
      </c>
      <c r="AD176" s="72">
        <v>16.34</v>
      </c>
      <c r="AE176" s="72">
        <v>18.260000000000002</v>
      </c>
      <c r="AF176" s="72">
        <v>18.34</v>
      </c>
      <c r="AG176" s="72">
        <v>16.64</v>
      </c>
      <c r="AH176" s="72">
        <v>16.52</v>
      </c>
      <c r="AI176" s="72">
        <v>15.07</v>
      </c>
      <c r="AJ176" s="72">
        <v>16.3</v>
      </c>
      <c r="AK176" s="72">
        <v>16.71</v>
      </c>
      <c r="AL176" s="72">
        <v>17.61</v>
      </c>
      <c r="AM176" s="72">
        <v>17.329999999999998</v>
      </c>
      <c r="AN176" s="72">
        <v>16.940000000000001</v>
      </c>
      <c r="AO176" s="72">
        <v>16.66</v>
      </c>
      <c r="AP176" s="72">
        <v>15.66</v>
      </c>
      <c r="AQ176" s="72">
        <v>14.57</v>
      </c>
      <c r="AR176" s="72">
        <v>13.81</v>
      </c>
      <c r="AS176" s="72">
        <v>11.65</v>
      </c>
      <c r="AT176" s="72">
        <v>11.99</v>
      </c>
      <c r="AU176" s="72">
        <v>13.43</v>
      </c>
      <c r="AV176" s="72">
        <v>13.79</v>
      </c>
      <c r="AW176" s="72">
        <v>14.37</v>
      </c>
      <c r="AX176" s="72">
        <v>13.66</v>
      </c>
      <c r="AY176" s="72">
        <v>13.84</v>
      </c>
      <c r="AZ176" s="72">
        <v>14.8</v>
      </c>
      <c r="BA176" s="72">
        <v>14.69</v>
      </c>
      <c r="BB176" s="72">
        <v>14.84</v>
      </c>
      <c r="BC176" s="72">
        <v>15.14</v>
      </c>
      <c r="BD176" s="72">
        <v>15.06</v>
      </c>
      <c r="BE176" s="72">
        <v>14.35</v>
      </c>
      <c r="BF176" s="72">
        <v>14.21</v>
      </c>
      <c r="BG176" s="72">
        <v>14.32</v>
      </c>
      <c r="BH176" s="72">
        <v>13.98</v>
      </c>
      <c r="BI176" s="72">
        <v>14.09</v>
      </c>
      <c r="BJ176" s="72">
        <v>14.28</v>
      </c>
      <c r="BK176" s="72">
        <v>14.96</v>
      </c>
      <c r="BL176" s="72">
        <v>15.72</v>
      </c>
      <c r="BM176" s="72">
        <v>15.94</v>
      </c>
      <c r="BN176" s="72">
        <v>16.2</v>
      </c>
      <c r="BO176" s="72">
        <v>16.12</v>
      </c>
      <c r="BP176" s="72">
        <v>15.44</v>
      </c>
      <c r="BQ176" s="72">
        <v>15.12</v>
      </c>
      <c r="BR176" s="72">
        <v>15.27</v>
      </c>
      <c r="BS176" s="72">
        <v>16.62</v>
      </c>
      <c r="BT176" s="72">
        <v>19.96</v>
      </c>
    </row>
  </sheetData>
  <phoneticPr fontId="3" type="noConversion"/>
  <conditionalFormatting sqref="E4">
    <cfRule type="cellIs" dxfId="2549" priority="101" operator="greaterThan">
      <formula>0.2</formula>
    </cfRule>
    <cfRule type="cellIs" dxfId="254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254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546" priority="95" operator="greaterThan">
      <formula>$B$19</formula>
    </cfRule>
  </conditionalFormatting>
  <conditionalFormatting sqref="D33:D34">
    <cfRule type="cellIs" dxfId="254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2544" priority="89" operator="lessThan">
      <formula>$H$62</formula>
    </cfRule>
    <cfRule type="cellIs" dxfId="2543" priority="90" operator="greaterThan">
      <formula>$H$62</formula>
    </cfRule>
  </conditionalFormatting>
  <conditionalFormatting sqref="J62">
    <cfRule type="cellIs" dxfId="2542" priority="87" operator="lessThan">
      <formula>$K$62</formula>
    </cfRule>
    <cfRule type="cellIs" dxfId="2541" priority="88" operator="greaterThan">
      <formula>$K$62</formula>
    </cfRule>
  </conditionalFormatting>
  <conditionalFormatting sqref="M62">
    <cfRule type="cellIs" dxfId="2540" priority="85" operator="lessThan">
      <formula>$N$62</formula>
    </cfRule>
    <cfRule type="cellIs" dxfId="2539" priority="86" operator="greaterThan">
      <formula>$N$62</formula>
    </cfRule>
  </conditionalFormatting>
  <conditionalFormatting sqref="B44:E44">
    <cfRule type="cellIs" dxfId="2538" priority="83" operator="greaterThan">
      <formula>0</formula>
    </cfRule>
    <cfRule type="cellIs" dxfId="2537" priority="84" operator="lessThan">
      <formula>0</formula>
    </cfRule>
  </conditionalFormatting>
  <conditionalFormatting sqref="F72">
    <cfRule type="cellIs" dxfId="2536" priority="82" operator="lessThan">
      <formula>$E$72*90%</formula>
    </cfRule>
  </conditionalFormatting>
  <conditionalFormatting sqref="F73">
    <cfRule type="cellIs" dxfId="2535" priority="81" operator="lessThan">
      <formula>$E$73*90%</formula>
    </cfRule>
  </conditionalFormatting>
  <conditionalFormatting sqref="F74">
    <cfRule type="cellIs" dxfId="2534" priority="80" operator="lessThan">
      <formula>$E$74*90%</formula>
    </cfRule>
  </conditionalFormatting>
  <conditionalFormatting sqref="F75">
    <cfRule type="cellIs" dxfId="2533" priority="79" operator="lessThan">
      <formula>$E$75*90%</formula>
    </cfRule>
  </conditionalFormatting>
  <conditionalFormatting sqref="H44:K44">
    <cfRule type="cellIs" dxfId="2532" priority="77" operator="greaterThan">
      <formula>0</formula>
    </cfRule>
    <cfRule type="cellIs" dxfId="2531" priority="78" operator="lessThan">
      <formula>0</formula>
    </cfRule>
  </conditionalFormatting>
  <conditionalFormatting sqref="H51:K51">
    <cfRule type="cellIs" dxfId="2530" priority="75" operator="greaterThan">
      <formula>0</formula>
    </cfRule>
    <cfRule type="cellIs" dxfId="2529" priority="76" operator="lessThan">
      <formula>0</formula>
    </cfRule>
  </conditionalFormatting>
  <conditionalFormatting sqref="B51:E51">
    <cfRule type="cellIs" dxfId="2528" priority="73" operator="greaterThan">
      <formula>0</formula>
    </cfRule>
    <cfRule type="cellIs" dxfId="252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52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52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524" priority="56" operator="lessThan">
      <formula>0</formula>
    </cfRule>
  </conditionalFormatting>
  <conditionalFormatting sqref="A25 E25 C25">
    <cfRule type="cellIs" dxfId="2523" priority="57" operator="lessThan">
      <formula>0</formula>
    </cfRule>
  </conditionalFormatting>
  <conditionalFormatting sqref="F25">
    <cfRule type="cellIs" dxfId="2522" priority="55" operator="lessThan">
      <formula>0</formula>
    </cfRule>
  </conditionalFormatting>
  <conditionalFormatting sqref="E1">
    <cfRule type="containsText" dxfId="2521" priority="54" operator="containsText" text="本季業外損益/平均=-">
      <formula>NOT(ISERROR(SEARCH("本季業外損益/平均=-",E1)))</formula>
    </cfRule>
  </conditionalFormatting>
  <conditionalFormatting sqref="M65">
    <cfRule type="cellIs" dxfId="2520" priority="53" operator="lessThan">
      <formula>$L$65*90%</formula>
    </cfRule>
  </conditionalFormatting>
  <conditionalFormatting sqref="M66">
    <cfRule type="cellIs" dxfId="2519" priority="52" operator="lessThan">
      <formula>$L$66*90%</formula>
    </cfRule>
  </conditionalFormatting>
  <conditionalFormatting sqref="M67">
    <cfRule type="cellIs" dxfId="2518" priority="51" operator="lessThan">
      <formula>$L$67*90%</formula>
    </cfRule>
  </conditionalFormatting>
  <conditionalFormatting sqref="M68">
    <cfRule type="cellIs" dxfId="2517" priority="50" operator="lessThan">
      <formula>$L$68*90%</formula>
    </cfRule>
  </conditionalFormatting>
  <conditionalFormatting sqref="B60">
    <cfRule type="cellIs" dxfId="2516" priority="49" operator="lessThan">
      <formula>0</formula>
    </cfRule>
  </conditionalFormatting>
  <conditionalFormatting sqref="B59:F59">
    <cfRule type="cellIs" dxfId="2515" priority="48" operator="lessThanOrEqual">
      <formula>0</formula>
    </cfRule>
  </conditionalFormatting>
  <conditionalFormatting sqref="D62">
    <cfRule type="cellIs" dxfId="2514" priority="46" operator="lessThan">
      <formula>$E$62</formula>
    </cfRule>
    <cfRule type="cellIs" dxfId="2513" priority="47" operator="greaterThan">
      <formula>$E$62</formula>
    </cfRule>
  </conditionalFormatting>
  <conditionalFormatting sqref="F69">
    <cfRule type="cellIs" dxfId="2512" priority="44" operator="lessThan">
      <formula>0</formula>
    </cfRule>
  </conditionalFormatting>
  <conditionalFormatting sqref="B65:E67 B69:E69 B68:D68">
    <cfRule type="cellIs" dxfId="2511" priority="45" operator="lessThan">
      <formula>0</formula>
    </cfRule>
  </conditionalFormatting>
  <conditionalFormatting sqref="E68">
    <cfRule type="cellIs" dxfId="2510" priority="43" operator="lessThan">
      <formula>0</formula>
    </cfRule>
  </conditionalFormatting>
  <conditionalFormatting sqref="F65:F68">
    <cfRule type="cellIs" dxfId="2509" priority="42" operator="lessThan">
      <formula>0</formula>
    </cfRule>
  </conditionalFormatting>
  <conditionalFormatting sqref="F65:F68">
    <cfRule type="cellIs" dxfId="2508" priority="41" operator="lessThan">
      <formula>$E$65*0.9</formula>
    </cfRule>
  </conditionalFormatting>
  <conditionalFormatting sqref="F66">
    <cfRule type="cellIs" dxfId="2507" priority="40" operator="lessThan">
      <formula>$E$66*0.9</formula>
    </cfRule>
  </conditionalFormatting>
  <conditionalFormatting sqref="F67:F68">
    <cfRule type="cellIs" dxfId="2506" priority="39" operator="lessThan">
      <formula>$E$67*0.9</formula>
    </cfRule>
  </conditionalFormatting>
  <conditionalFormatting sqref="F68">
    <cfRule type="cellIs" dxfId="2505" priority="38" operator="lessThan">
      <formula>$E$68*0.9</formula>
    </cfRule>
  </conditionalFormatting>
  <conditionalFormatting sqref="B13:F13">
    <cfRule type="cellIs" dxfId="2504" priority="27" operator="greaterThan">
      <formula>$I$16</formula>
    </cfRule>
    <cfRule type="cellIs" dxfId="2503" priority="28" operator="lessThanOrEqual">
      <formula>$I$16</formula>
    </cfRule>
  </conditionalFormatting>
  <conditionalFormatting sqref="B10:F10">
    <cfRule type="cellIs" dxfId="2502" priority="29" operator="greaterThan">
      <formula>15</formula>
    </cfRule>
    <cfRule type="cellIs" dxfId="2501" priority="36" operator="lessThan">
      <formula>$I$9</formula>
    </cfRule>
    <cfRule type="cellIs" dxfId="2500" priority="37" operator="greaterThan">
      <formula>$I$9</formula>
    </cfRule>
  </conditionalFormatting>
  <conditionalFormatting sqref="B16:F16">
    <cfRule type="cellIs" dxfId="2499" priority="34" operator="greaterThan">
      <formula>$I$16</formula>
    </cfRule>
    <cfRule type="cellIs" dxfId="2498" priority="35" operator="lessThanOrEqual">
      <formula>$I$16</formula>
    </cfRule>
  </conditionalFormatting>
  <conditionalFormatting sqref="B15:F15">
    <cfRule type="cellIs" dxfId="2497" priority="32" operator="lessThanOrEqual">
      <formula>$I$16</formula>
    </cfRule>
    <cfRule type="cellIs" dxfId="2496" priority="33" operator="greaterThan">
      <formula>$I$16</formula>
    </cfRule>
  </conditionalFormatting>
  <conditionalFormatting sqref="B14:F14">
    <cfRule type="cellIs" dxfId="2495" priority="30" operator="greaterThan">
      <formula>$I$16</formula>
    </cfRule>
    <cfRule type="cellIs" dxfId="2494" priority="31" operator="lessThanOrEqual">
      <formula>$I$16</formula>
    </cfRule>
  </conditionalFormatting>
  <conditionalFormatting sqref="K6">
    <cfRule type="containsText" dxfId="2493" priority="25" operator="containsText" text="衰退">
      <formula>NOT(ISERROR(SEARCH("衰退",K6)))</formula>
    </cfRule>
    <cfRule type="containsText" dxfId="2492" priority="26" operator="containsText" text="成長">
      <formula>NOT(ISERROR(SEARCH("成長",K6)))</formula>
    </cfRule>
  </conditionalFormatting>
  <conditionalFormatting sqref="I4:K4">
    <cfRule type="cellIs" dxfId="2491" priority="23" operator="lessThan">
      <formula>0</formula>
    </cfRule>
    <cfRule type="cellIs" dxfId="249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489" priority="20" operator="lessThanOrEqual">
      <formula>$I$16</formula>
    </cfRule>
    <cfRule type="cellIs" dxfId="2488" priority="21" operator="greaterThan">
      <formula>$I$16</formula>
    </cfRule>
  </conditionalFormatting>
  <conditionalFormatting sqref="I6">
    <cfRule type="containsText" dxfId="2487" priority="18" operator="containsText" text="衰退">
      <formula>NOT(ISERROR(SEARCH("衰退",I6)))</formula>
    </cfRule>
    <cfRule type="containsText" dxfId="2486" priority="19" operator="containsText" text="成長">
      <formula>NOT(ISERROR(SEARCH("成長",I6)))</formula>
    </cfRule>
  </conditionalFormatting>
  <conditionalFormatting sqref="M9">
    <cfRule type="cellIs" dxfId="2485" priority="17" operator="lessThan">
      <formula>$I$9</formula>
    </cfRule>
  </conditionalFormatting>
  <conditionalFormatting sqref="M10">
    <cfRule type="cellIs" dxfId="2484" priority="16" operator="greaterThan">
      <formula>$I$9</formula>
    </cfRule>
  </conditionalFormatting>
  <conditionalFormatting sqref="M11">
    <cfRule type="cellIs" dxfId="248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482" priority="12" operator="lessThan">
      <formula>0</formula>
    </cfRule>
    <cfRule type="cellIs" dxfId="2481" priority="13" operator="greaterThan">
      <formula>0.5</formula>
    </cfRule>
  </conditionalFormatting>
  <conditionalFormatting sqref="N14">
    <cfRule type="cellIs" dxfId="248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479" priority="8" operator="lessThan">
      <formula>0.1</formula>
    </cfRule>
  </conditionalFormatting>
  <conditionalFormatting sqref="I14">
    <cfRule type="cellIs" dxfId="247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47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476" priority="1" operator="lessThan">
      <formula>$N$5*0.9</formula>
    </cfRule>
    <cfRule type="cellIs" dxfId="2475" priority="2" operator="greaterThan">
      <formula>$N$5*1.1</formula>
    </cfRule>
  </conditionalFormatting>
  <hyperlinks>
    <hyperlink ref="L1" location="儀表板!A1" display="(回首頁)" xr:uid="{00000000-0004-0000-4600-000000000000}"/>
  </hyperlink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7.74 ~ 24.06</v>
      </c>
      <c r="L1" s="83" t="s">
        <v>176</v>
      </c>
      <c r="M1" s="84" t="str">
        <f ca="1">VLOOKUP(_xlfn.NUMBERVALUE(N1),儀表板!A:B,2,FALSE)</f>
        <v>飛捷</v>
      </c>
      <c r="N1" s="85" t="str">
        <f ca="1">MID(CELL("filename",L1),FIND("]",CELL("filename",L1))+1,255)</f>
        <v>6206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0.13117650575995535</v>
      </c>
    </row>
    <row r="3" spans="1:15" s="93" customFormat="1" x14ac:dyDescent="0.25">
      <c r="A3" s="81" t="s">
        <v>179</v>
      </c>
      <c r="B3" s="94">
        <f>SUM(F19:F22,F24:F27,J19)</f>
        <v>84.970296105225344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70.831701857781965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78.832117103588999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82.985198903163976</v>
      </c>
      <c r="L3" s="100"/>
      <c r="M3" s="79" t="s">
        <v>385</v>
      </c>
      <c r="N3" s="92">
        <f>(F69-E69)/E69</f>
        <v>-0.16712149895334544</v>
      </c>
    </row>
    <row r="4" spans="1:15" s="93" customFormat="1" x14ac:dyDescent="0.25">
      <c r="A4" s="81" t="s">
        <v>182</v>
      </c>
      <c r="B4" s="96">
        <f>SUM(G36:G40)*2</f>
        <v>76</v>
      </c>
      <c r="C4" s="101"/>
      <c r="D4" s="102">
        <f>F4*(1+F141/10)</f>
        <v>14.6</v>
      </c>
      <c r="E4" s="82">
        <f>(D4-F4)/F4</f>
        <v>0</v>
      </c>
      <c r="F4" s="103">
        <v>14.6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5.0222573613113273</v>
      </c>
    </row>
    <row r="5" spans="1:15" s="93" customFormat="1" x14ac:dyDescent="0.25">
      <c r="A5" s="81" t="s">
        <v>184</v>
      </c>
      <c r="B5" s="107">
        <f>SUM(F30:F34)*2</f>
        <v>98.821802935010481</v>
      </c>
      <c r="C5" s="87"/>
      <c r="D5" s="87"/>
      <c r="E5" s="87"/>
      <c r="F5" s="86"/>
      <c r="G5" s="88"/>
      <c r="M5" s="79" t="s">
        <v>386</v>
      </c>
      <c r="N5" s="152">
        <f>D62</f>
        <v>5.3900000000000006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連2月成長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6.0162990559296858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19.46</v>
      </c>
      <c r="N9" s="129"/>
    </row>
    <row r="10" spans="1:15" s="93" customFormat="1" x14ac:dyDescent="0.25">
      <c r="A10" s="123" t="s">
        <v>194</v>
      </c>
      <c r="B10" s="126">
        <f>PERCENTILE(176:176,B9)</f>
        <v>12.74</v>
      </c>
      <c r="C10" s="126">
        <f>PERCENTILE(176:176,C9)</f>
        <v>13.9</v>
      </c>
      <c r="D10" s="126">
        <f>PERCENTILE(176:176,D9)</f>
        <v>15.47</v>
      </c>
      <c r="E10" s="126">
        <f>PERCENTILE(176:176,E9)</f>
        <v>16.285</v>
      </c>
      <c r="F10" s="126">
        <f>PERCENTILE(176:176,F9)</f>
        <v>16.93</v>
      </c>
      <c r="G10" s="95"/>
      <c r="H10" s="135"/>
      <c r="I10" s="135"/>
      <c r="J10" s="135"/>
      <c r="K10" s="135"/>
      <c r="L10" s="136" t="s">
        <v>374</v>
      </c>
      <c r="M10" s="130">
        <f>MIN(176:176)</f>
        <v>10.27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29.64</v>
      </c>
      <c r="L11" s="272" t="s">
        <v>193</v>
      </c>
      <c r="M11" s="128">
        <f>STDEV(176:176)</f>
        <v>2.3245682232507572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80.532212885154067</v>
      </c>
      <c r="C13" s="141">
        <f>$B$34/5.88%</f>
        <v>97.789115646258509</v>
      </c>
      <c r="D13" s="141">
        <f>$B$34/5%</f>
        <v>115</v>
      </c>
      <c r="E13" s="141">
        <f>$B$34/4.35%</f>
        <v>132.18390804597703</v>
      </c>
      <c r="F13" s="141">
        <f>$B$34/3.85%</f>
        <v>149.35064935064935</v>
      </c>
      <c r="G13" s="138" t="str">
        <f>"$"&amp;ROUND(B34,2)&amp;"/"&amp;IF(STDEV(C140:F140)/AVERAGE(C140:F140)&lt;15%,"高",IF(STDEV(C140:F140)/AVERAGE(C140:F140)&lt;30%,"中","低"))</f>
        <v>$5.75/高</v>
      </c>
      <c r="H13" s="142" t="s">
        <v>199</v>
      </c>
      <c r="I13" s="143">
        <f>MAX(0,1-J15)</f>
        <v>0.17081260364842454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91.15470000000002</v>
      </c>
      <c r="C14" s="141">
        <f>$B$33*C10</f>
        <v>99.454500000000024</v>
      </c>
      <c r="D14" s="141">
        <f>$B$33*D10</f>
        <v>110.68785000000003</v>
      </c>
      <c r="E14" s="141">
        <f>$B$33*E10</f>
        <v>116.51917500000002</v>
      </c>
      <c r="F14" s="141">
        <f>$B$33*F10</f>
        <v>121.13415000000002</v>
      </c>
      <c r="G14" s="138" t="str">
        <f>"$"&amp;ROUND(B33,2)&amp;"/"&amp;IF(STDEV(B69:E69)/AVERAGE(B69:E69)&lt;15%,"高",IF(STDEV(B69:E69)/AVERAGE(B69:E69)&lt;30%,"中","低"))</f>
        <v>$7.16/高</v>
      </c>
      <c r="H14" s="142" t="s">
        <v>203</v>
      </c>
      <c r="I14" s="145">
        <f>G62/100*I13</f>
        <v>2.8474461028192375E-2</v>
      </c>
      <c r="J14" s="76" t="s">
        <v>204</v>
      </c>
      <c r="K14" s="146"/>
      <c r="L14" s="147">
        <f>(HLOOKUP($C$1,$105:$106,2,FALSE)-HLOOKUP($C$1,$117:$127,9,FALSE))/(HLOOKUP($C$1,$117:$128,12,FALSE)/K11)</f>
        <v>10.589841713862734</v>
      </c>
      <c r="M14" s="148">
        <f>E135/E69</f>
        <v>1.187396351575456</v>
      </c>
      <c r="N14" s="149">
        <f>F173/100</f>
        <v>1.3631</v>
      </c>
    </row>
    <row r="15" spans="1:15" s="93" customFormat="1" x14ac:dyDescent="0.25">
      <c r="A15" s="140" t="s">
        <v>375</v>
      </c>
      <c r="B15" s="141">
        <f>$D$62*B10</f>
        <v>68.668600000000012</v>
      </c>
      <c r="C15" s="141">
        <f>$D$62*C10</f>
        <v>74.921000000000006</v>
      </c>
      <c r="D15" s="141">
        <f>$D$62*D10</f>
        <v>83.383300000000006</v>
      </c>
      <c r="E15" s="141">
        <f>$D$62*E10</f>
        <v>87.776150000000015</v>
      </c>
      <c r="F15" s="141">
        <f>$D$62*F10</f>
        <v>91.252700000000004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0.82918739635157546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63.983558783106311</v>
      </c>
      <c r="C16" s="141">
        <f>$F$69*C10</f>
        <v>69.809377322227448</v>
      </c>
      <c r="D16" s="141">
        <f>$F$69*D10</f>
        <v>77.69432137948624</v>
      </c>
      <c r="E16" s="141">
        <f>$F$69*E10</f>
        <v>81.787461128954959</v>
      </c>
      <c r="F16" s="141">
        <f>$F$69*F10</f>
        <v>85.026817127000768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94</v>
      </c>
      <c r="J17" s="92">
        <f ca="1">IF(I17&lt;=0,"",IF(I17&lt;=MIN($B$13:$F$16),(I17-MIN($B$13:$F$16))/MIN($B$13:$F$16),IF(I17&gt;=MAX($B$13:$F$16),I17/MAX($B$13:$F$16),PERCENTRANK($B$13:$F$16,I17))))</f>
        <v>0.60099999999999998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6.28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15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1.0921739130434782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0.12231469665499173</v>
      </c>
      <c r="J20" s="171">
        <f>HLOOKUP($C$1,$117:$127,11,FALSE)/HLOOKUP($C$1,$105:$115,11,FALSE)</f>
        <v>0.22648816325226234</v>
      </c>
      <c r="K20" s="163"/>
    </row>
    <row r="21" spans="1:14" s="93" customFormat="1" x14ac:dyDescent="0.25">
      <c r="A21" s="151" t="s">
        <v>201</v>
      </c>
      <c r="B21" s="161">
        <f>AVERAGE(C173:F173)/100</f>
        <v>1.0647499999999999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3.3638708873682313</v>
      </c>
      <c r="J21" s="78"/>
      <c r="K21" s="164" t="s">
        <v>356</v>
      </c>
      <c r="L21" s="165">
        <f>HLOOKUP($C$1,$105:$115,7,FALSE)/HLOOKUP($C$1,$105:$115,11,FALSE)</f>
        <v>0.69212172315470621</v>
      </c>
      <c r="M21" s="123" t="s">
        <v>268</v>
      </c>
      <c r="N21" s="165">
        <f>HLOOKUP($C$1,$117:$127,8,FALSE)/HLOOKUP($C$1,$117:$127,11,FALSE)</f>
        <v>0.90844293612258564</v>
      </c>
    </row>
    <row r="22" spans="1:14" s="93" customFormat="1" x14ac:dyDescent="0.25">
      <c r="A22" s="140" t="s">
        <v>222</v>
      </c>
      <c r="B22" s="161">
        <f>(-1)*SUM(C133:F133)/SUM(C132:F132)</f>
        <v>0.14153846153846156</v>
      </c>
      <c r="C22" s="157"/>
      <c r="D22" s="166"/>
      <c r="E22" s="140"/>
      <c r="F22" s="159">
        <f>IF(B22&lt;=0,10,IF(B22&gt;=100%,0,(1-B22)*10))</f>
        <v>8.5846153846153843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2.5527904536706787</v>
      </c>
      <c r="J22" s="78"/>
      <c r="K22" s="142" t="s">
        <v>357</v>
      </c>
      <c r="L22" s="165">
        <f>HLOOKUP($C$1,$105:$115,4,FALSE)/HLOOKUP($C$1,$105:$115,11,FALSE)</f>
        <v>0.1934608482951225</v>
      </c>
      <c r="M22" s="123" t="s">
        <v>353</v>
      </c>
      <c r="N22" s="165">
        <f>HLOOKUP($C$1,$117:$127,4,FALSE)/HLOOKUP($C$1,$117:$127,11,FALSE)</f>
        <v>0.45995104159700517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1.292805038646262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0.16688107426947316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0.99269778753487681</v>
      </c>
      <c r="C24" s="169">
        <f>STDEV(C103:F103)</f>
        <v>1.5001253380333071E-2</v>
      </c>
      <c r="D24" s="76" t="str">
        <f>IF(C24/B24&lt;15%,"高",IF(C24/B24&lt;30%,"中","低"))</f>
        <v>高</v>
      </c>
      <c r="E24" s="149"/>
      <c r="F24" s="160">
        <f>MIN(100%,B24)*5</f>
        <v>4.9634889376743843</v>
      </c>
      <c r="G24" s="88" t="s">
        <v>229</v>
      </c>
      <c r="H24" s="123" t="s">
        <v>16</v>
      </c>
      <c r="I24" s="170">
        <f>HLOOKUP(C1,167:170,2,FALSE)</f>
        <v>69.77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0.10686203640562866</v>
      </c>
      <c r="M24" s="123" t="s">
        <v>355</v>
      </c>
      <c r="N24" s="165">
        <f>HLOOKUP($C$1,$117:$127,9,FALSE)/HLOOKUP($C$1,$117:$127,11,FALSE)</f>
        <v>9.1557063877414385E-2</v>
      </c>
    </row>
    <row r="25" spans="1:14" s="93" customFormat="1" x14ac:dyDescent="0.25">
      <c r="A25" s="151" t="s">
        <v>366</v>
      </c>
      <c r="B25" s="255">
        <f>AVERAGE(94:94)</f>
        <v>8157.478260869565</v>
      </c>
      <c r="C25" s="254">
        <f>STDEV(94:94)/AVERAGE(94:94)</f>
        <v>4.5778082170644181</v>
      </c>
      <c r="D25" s="76" t="str">
        <f>IF(C25&lt;=1,"高",IF(C25&lt;=2,"中","低"))</f>
        <v>低</v>
      </c>
      <c r="E25" s="149"/>
      <c r="F25" s="160">
        <f>MAX(0,10-ABS(C25))</f>
        <v>5.4221917829355819</v>
      </c>
      <c r="G25" s="88" t="s">
        <v>213</v>
      </c>
      <c r="H25" s="123" t="s">
        <v>232</v>
      </c>
      <c r="I25" s="170">
        <f>IF(HLOOKUP(C1,167:170,3,FALSE)="無",0,HLOOKUP(C1,167:170,3,FALSE))</f>
        <v>78.260000000000005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69.998260869565229</v>
      </c>
      <c r="C26" s="172">
        <f>IF(COUNTIF(168:168,"&gt;0")=0,0,STDEV(168:168))</f>
        <v>4.3109592395680787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65.634782608695659</v>
      </c>
      <c r="C27" s="172">
        <f>IF(COUNTIF(169:169,"&gt;0")=0,0,STDEV(169:169))</f>
        <v>9.2990829799918551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0.332175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0.19289999999999999</v>
      </c>
      <c r="C31" s="157" t="s">
        <v>217</v>
      </c>
      <c r="D31" s="174">
        <f>COUNTIF(149:149,"&gt;8")/COUNT(149:149)</f>
        <v>0.95652173913043481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22.875</v>
      </c>
      <c r="C32" s="157" t="s">
        <v>217</v>
      </c>
      <c r="D32" s="174">
        <f>COUNTIF(159:159,"&gt;3")/COUNT(159:159)</f>
        <v>0.95652173913043481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7.1550000000000011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5.75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9.4109014675052407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4915133.5</v>
      </c>
      <c r="C36" s="178">
        <f>STDEV(C97:F97)</f>
        <v>672146.78341837414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33.217500000000001</v>
      </c>
      <c r="C37" s="180">
        <f>STDEV(C152:F152)</f>
        <v>1.0050994975623044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20.7425</v>
      </c>
      <c r="C38" s="180">
        <f>STDEV(C153:F153)</f>
        <v>2.2324034133641697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22.875</v>
      </c>
      <c r="C39" s="181">
        <f>STDEV(C165:F165)</f>
        <v>3.550028168902335</v>
      </c>
      <c r="D39" s="76" t="str">
        <f>IF(C39/B39&lt;15%,"高",IF(C39/B39&lt;30%,"中","低"))</f>
        <v>中</v>
      </c>
      <c r="E39" s="107">
        <f>IF(F165&gt;E165,1,0)+IF(E165&gt;D165,1,0)+IF(D165&gt;C165,1,0)</f>
        <v>0</v>
      </c>
      <c r="F39" s="182"/>
      <c r="G39" s="160">
        <f>IF(D39="高",6,IF(D39="中",4,2))+E39+1</f>
        <v>5</v>
      </c>
    </row>
    <row r="40" spans="1:14" x14ac:dyDescent="0.25">
      <c r="A40" s="164" t="s">
        <v>14</v>
      </c>
      <c r="B40" s="183">
        <f>AVERAGE(B69:E69)</f>
        <v>7.1550000000000011</v>
      </c>
      <c r="C40" s="183">
        <f>STDEV(B69:E69)</f>
        <v>0.79584336817408174</v>
      </c>
      <c r="D40" s="76" t="str">
        <f>IF(C40/B40&lt;15%,"高",IF(C40/B40&lt;30%,"中","低"))</f>
        <v>高</v>
      </c>
      <c r="E40" s="107">
        <f>IF(E69&gt;D69,1,0)+IF(D69&gt;C69,1,0)+IF(C69&gt;B69,1,0)</f>
        <v>0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2.4793388429752088E-2</v>
      </c>
      <c r="C44" s="186">
        <f>(C46-C49)/C49</f>
        <v>-5.9171597633136145E-3</v>
      </c>
      <c r="D44" s="186">
        <f>(D46-D49)/D49</f>
        <v>-0.4370860927152318</v>
      </c>
      <c r="E44" s="186">
        <f>(E46-E49)/E49</f>
        <v>-0.13829787234042543</v>
      </c>
      <c r="G44" s="86" t="s">
        <v>175</v>
      </c>
      <c r="H44" s="186">
        <f>(H47-H50)/H50</f>
        <v>-0.18170950388523616</v>
      </c>
      <c r="I44" s="186">
        <f>(I47-I50)/I50</f>
        <v>-0.10884353741496595</v>
      </c>
      <c r="J44" s="186">
        <f>(J47-J50)/J50</f>
        <v>-0.31341911764705888</v>
      </c>
      <c r="K44" s="186">
        <f>(K47-K50)/K50</f>
        <v>-0.36942675159235666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1.24</v>
      </c>
      <c r="C46" s="152">
        <f>HLOOKUP(C45,$81:$82,2,FALSE)</f>
        <v>1.68</v>
      </c>
      <c r="D46" s="152">
        <f>HLOOKUP(D45,$81:$82,2,FALSE)</f>
        <v>0.85</v>
      </c>
      <c r="E46" s="152">
        <f>HLOOKUP(E45,$81:$82,2,FALSE)</f>
        <v>1.62</v>
      </c>
      <c r="G46" s="86" t="s">
        <v>164</v>
      </c>
      <c r="H46" s="145">
        <f>HLOOKUP(H45,$145:$147,2,FALSE)/100</f>
        <v>0.30299999999999999</v>
      </c>
      <c r="I46" s="145">
        <f>HLOOKUP(I45,$145:$147,2,FALSE)/100</f>
        <v>0.3014</v>
      </c>
      <c r="J46" s="145">
        <f>HLOOKUP(J45,$145:$147,2,FALSE)/100</f>
        <v>0.30109999999999998</v>
      </c>
      <c r="K46" s="145">
        <f>HLOOKUP(K45,$145:$147,2,FALSE)/100</f>
        <v>0.32229999999999998</v>
      </c>
    </row>
    <row r="47" spans="1:14" x14ac:dyDescent="0.25">
      <c r="A47" s="188" t="s">
        <v>165</v>
      </c>
      <c r="B47" s="189">
        <f>HLOOKUP(B45,$157:$159,3,FALSE)</f>
        <v>4.0199999999999996</v>
      </c>
      <c r="C47" s="189">
        <f>HLOOKUP(C45,$157:$159,3,FALSE)</f>
        <v>5.28</v>
      </c>
      <c r="D47" s="189">
        <f>HLOOKUP(D45,$157:$159,3,FALSE)</f>
        <v>2.4</v>
      </c>
      <c r="E47" s="189">
        <f>HLOOKUP(E45,$157:$159,3,FALSE)</f>
        <v>4.97</v>
      </c>
      <c r="G47" s="190" t="s">
        <v>166</v>
      </c>
      <c r="H47" s="145">
        <f>HLOOKUP(H45,$145:$147,3,FALSE)/100</f>
        <v>0.13689999999999999</v>
      </c>
      <c r="I47" s="145">
        <f>HLOOKUP(I45,$145:$147,3,FALSE)/100</f>
        <v>0.15720000000000001</v>
      </c>
      <c r="J47" s="145">
        <f>HLOOKUP(J45,$145:$147,3,FALSE)/100</f>
        <v>0.14940000000000001</v>
      </c>
      <c r="K47" s="145">
        <f>HLOOKUP(K45,$145:$147,3,FALSE)/100</f>
        <v>0.1386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1.21</v>
      </c>
      <c r="C49" s="152">
        <f>HLOOKUP(C48,$81:$82,2,FALSE)</f>
        <v>1.69</v>
      </c>
      <c r="D49" s="152">
        <f>HLOOKUP(D48,$81:$82,2,FALSE)</f>
        <v>1.51</v>
      </c>
      <c r="E49" s="152">
        <f>HLOOKUP(E48,$81:$82,2,FALSE)</f>
        <v>1.88</v>
      </c>
      <c r="G49" s="86" t="s">
        <v>164</v>
      </c>
      <c r="H49" s="145">
        <f>HLOOKUP(H48,$145:$147,2,FALSE)/100</f>
        <v>0.32579999999999998</v>
      </c>
      <c r="I49" s="145">
        <f>HLOOKUP(I48,$145:$147,2,FALSE)/100</f>
        <v>0.34429999999999999</v>
      </c>
      <c r="J49" s="145">
        <f>HLOOKUP(J48,$145:$147,2,FALSE)/100</f>
        <v>0.3533</v>
      </c>
      <c r="K49" s="145">
        <f>HLOOKUP(K48,$145:$147,2,FALSE)/100</f>
        <v>0.35119999999999996</v>
      </c>
    </row>
    <row r="50" spans="1:15" x14ac:dyDescent="0.25">
      <c r="A50" s="188" t="s">
        <v>165</v>
      </c>
      <c r="B50" s="189">
        <f>HLOOKUP(B48,$157:$159,3,FALSE)</f>
        <v>3.85</v>
      </c>
      <c r="C50" s="189">
        <f>HLOOKUP(C48,$157:$159,3,FALSE)</f>
        <v>5.1100000000000003</v>
      </c>
      <c r="D50" s="189">
        <f>HLOOKUP(D48,$157:$159,3,FALSE)</f>
        <v>4.3600000000000003</v>
      </c>
      <c r="E50" s="189">
        <f>HLOOKUP(E48,$157:$159,3,FALSE)</f>
        <v>5.74</v>
      </c>
      <c r="G50" s="190" t="s">
        <v>166</v>
      </c>
      <c r="H50" s="145">
        <f>HLOOKUP(H48,$145:$147,3,FALSE)/100</f>
        <v>0.1673</v>
      </c>
      <c r="I50" s="145">
        <f>HLOOKUP(I48,$145:$147,3,FALSE)/100</f>
        <v>0.1764</v>
      </c>
      <c r="J50" s="145">
        <f>HLOOKUP(J48,$145:$147,3,FALSE)/100</f>
        <v>0.21760000000000002</v>
      </c>
      <c r="K50" s="145">
        <f>HLOOKUP(K48,$145:$147,3,FALSE)/100</f>
        <v>0.2198</v>
      </c>
    </row>
    <row r="51" spans="1:15" x14ac:dyDescent="0.25">
      <c r="A51" s="86" t="s">
        <v>351</v>
      </c>
      <c r="B51" s="186">
        <f>(B47-B50)/B50</f>
        <v>4.4155844155844018E-2</v>
      </c>
      <c r="C51" s="186">
        <f>(C47-C50)/C50</f>
        <v>3.326810176125243E-2</v>
      </c>
      <c r="D51" s="186">
        <f>(D47-D50)/D50</f>
        <v>-0.44954128440366981</v>
      </c>
      <c r="E51" s="186">
        <f>(E47-E50)/E50</f>
        <v>-0.1341463414634147</v>
      </c>
      <c r="G51" s="235" t="s">
        <v>174</v>
      </c>
      <c r="H51" s="186">
        <f>(H46-H49)/H49</f>
        <v>-6.998158379373845E-2</v>
      </c>
      <c r="I51" s="186">
        <f>(I46-I49)/I49</f>
        <v>-0.12460063897763576</v>
      </c>
      <c r="J51" s="186">
        <f>(J46-J49)/J49</f>
        <v>-0.14774978771582231</v>
      </c>
      <c r="K51" s="186">
        <f>(K46-K49)/K49</f>
        <v>-8.2289293849658274E-2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6.0162990559296858</v>
      </c>
      <c r="B53" s="193">
        <f>B46</f>
        <v>1.24</v>
      </c>
      <c r="C53" s="193">
        <f>E46/HLOOKUP(E45,$87:$94,5,FALSE)*HLOOKUP(E45,$87:$94,4,FALSE)*($B$25/HLOOKUP(E45,$87:$94,4,FALSE)+SUM($B$57:$D$57)/SUM($B58:$D$58)*$G$69/100/K46)</f>
        <v>1.2522573613113275</v>
      </c>
      <c r="D53" s="193">
        <f>D46/HLOOKUP(D45,$87:$94,5,FALSE)*HLOOKUP(D45,$87:$94,4,FALSE)*($B$25/HLOOKUP(D45,$87:$94,4,FALSE)+SUM($B$57:$D$57)/SUM($B58:$D$58)*$G$69/100/J46)</f>
        <v>1.6241267944521942</v>
      </c>
      <c r="E53" s="193">
        <f>C46/HLOOKUP(C45,$87:$94,5,FALSE)*HLOOKUP(C45,$87:$94,4,FALSE)*($B$25/HLOOKUP(C45,$87:$94,4,FALSE)+SUM($B$57:$D$57)/SUM($B58:$D$58)*$G$69/100/I46)</f>
        <v>1.8999149001661648</v>
      </c>
    </row>
    <row r="54" spans="1:15" x14ac:dyDescent="0.25">
      <c r="A54" s="278">
        <f>SUM(B54:E54)</f>
        <v>5.36</v>
      </c>
      <c r="B54" s="277">
        <f t="shared" ref="B54:D54" si="0">HLOOKUP(B52-10,81:82,2,FALSE)</f>
        <v>1.21</v>
      </c>
      <c r="C54" s="277">
        <f t="shared" si="0"/>
        <v>1.62</v>
      </c>
      <c r="D54" s="277">
        <f t="shared" si="0"/>
        <v>0.85</v>
      </c>
      <c r="E54" s="277">
        <f>HLOOKUP(E52-10,81:82,2,FALSE)</f>
        <v>1.68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508059</v>
      </c>
      <c r="C57" s="196">
        <f>HLOOKUP(C56,78:79,2,FALSE)</f>
        <v>484179</v>
      </c>
      <c r="D57" s="196">
        <f>HLOOKUP(D56,78:79,2,FALSE)</f>
        <v>474592</v>
      </c>
      <c r="E57" s="196">
        <f>HLOOKUP(E56,78:79,2,FALSE)</f>
        <v>587696</v>
      </c>
      <c r="F57" s="196">
        <f>HLOOKUP(F56,78:79,2,FALSE)</f>
        <v>603163</v>
      </c>
      <c r="G57" s="196">
        <f t="shared" ref="G57:M57" si="2">HLOOKUP(G56,78:79,2,FALSE)</f>
        <v>616616</v>
      </c>
      <c r="H57" s="196">
        <f t="shared" si="2"/>
        <v>565415</v>
      </c>
      <c r="I57" s="196">
        <f t="shared" si="2"/>
        <v>613507</v>
      </c>
      <c r="J57" s="196">
        <f t="shared" si="2"/>
        <v>439331</v>
      </c>
      <c r="K57" s="196">
        <f t="shared" si="2"/>
        <v>467207</v>
      </c>
      <c r="L57" s="196">
        <f t="shared" si="2"/>
        <v>472844</v>
      </c>
      <c r="M57" s="196">
        <f t="shared" si="2"/>
        <v>491602</v>
      </c>
      <c r="N57" s="197"/>
    </row>
    <row r="58" spans="1:15" x14ac:dyDescent="0.25">
      <c r="A58" s="198" t="s">
        <v>253</v>
      </c>
      <c r="B58" s="196">
        <f>HLOOKUP(B56-100,78:79,2,FALSE)</f>
        <v>461680</v>
      </c>
      <c r="C58" s="196">
        <f>HLOOKUP(C56-100,78:79,2,FALSE)</f>
        <v>438950</v>
      </c>
      <c r="D58" s="196">
        <f>HLOOKUP(D56-100,78:79,2,FALSE)</f>
        <v>502571</v>
      </c>
      <c r="E58" s="196">
        <f>HLOOKUP(E56-100,78:79,2,FALSE)</f>
        <v>509485</v>
      </c>
      <c r="F58" s="196">
        <f>HLOOKUP(F56-100,78:79,2,FALSE)</f>
        <v>510043</v>
      </c>
      <c r="G58" s="196">
        <f t="shared" ref="G58:M58" si="3">HLOOKUP(G56-100,78:79,2,FALSE)</f>
        <v>468313</v>
      </c>
      <c r="H58" s="196">
        <f t="shared" si="3"/>
        <v>442355</v>
      </c>
      <c r="I58" s="196">
        <f t="shared" si="3"/>
        <v>424583</v>
      </c>
      <c r="J58" s="196">
        <f t="shared" si="3"/>
        <v>383471</v>
      </c>
      <c r="K58" s="196">
        <f t="shared" si="3"/>
        <v>535639</v>
      </c>
      <c r="L58" s="196">
        <f t="shared" si="3"/>
        <v>488725</v>
      </c>
      <c r="M58" s="196">
        <f t="shared" si="3"/>
        <v>450096</v>
      </c>
      <c r="N58" s="197"/>
    </row>
    <row r="59" spans="1:15" x14ac:dyDescent="0.25">
      <c r="A59" s="199" t="s">
        <v>254</v>
      </c>
      <c r="B59" s="165">
        <f>IF(B57&lt;&gt;"",(B57-B58)/B58,"")</f>
        <v>0.10045702651186969</v>
      </c>
      <c r="C59" s="165">
        <f>IF(C57&lt;&gt;"",(C57-C58)/C58,"")</f>
        <v>0.10303907050916961</v>
      </c>
      <c r="D59" s="165">
        <f>IF(D57&lt;&gt;"",(D57-D58)/D58,"")</f>
        <v>-5.5671735933828258E-2</v>
      </c>
      <c r="E59" s="165">
        <f>IF(E57&lt;&gt;"",(E57-E58)/E58,"")</f>
        <v>0.15350991687684623</v>
      </c>
      <c r="F59" s="165">
        <f>IF(F57&lt;&gt;"",(F57-F58)/F58,"")</f>
        <v>0.18257284189764392</v>
      </c>
      <c r="G59" s="165">
        <f t="shared" ref="G59:M59" si="4">IF(G57&lt;&gt;"",(G57-G58)/G58,"")</f>
        <v>0.31667495884162944</v>
      </c>
      <c r="H59" s="165">
        <f t="shared" si="4"/>
        <v>0.27819285415559902</v>
      </c>
      <c r="I59" s="165">
        <f t="shared" si="4"/>
        <v>0.4449636466839228</v>
      </c>
      <c r="J59" s="165">
        <f t="shared" si="4"/>
        <v>0.14566942480656947</v>
      </c>
      <c r="K59" s="165">
        <f t="shared" si="4"/>
        <v>-0.12775768754702327</v>
      </c>
      <c r="L59" s="165">
        <f t="shared" si="4"/>
        <v>-3.2494756765051924E-2</v>
      </c>
      <c r="M59" s="165">
        <f t="shared" si="4"/>
        <v>9.2215882833884322E-2</v>
      </c>
    </row>
    <row r="60" spans="1:15" x14ac:dyDescent="0.25">
      <c r="A60" s="195" t="s">
        <v>255</v>
      </c>
      <c r="B60" s="196">
        <f>SUM(B57:M57)</f>
        <v>6324211</v>
      </c>
    </row>
    <row r="61" spans="1:15" x14ac:dyDescent="0.25">
      <c r="A61" s="198" t="s">
        <v>256</v>
      </c>
      <c r="B61" s="196">
        <f>SUM(B58:M58)</f>
        <v>5615911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1.1261237936284958</v>
      </c>
      <c r="D62" s="152">
        <f>SUM(B46:E46)</f>
        <v>5.3900000000000006</v>
      </c>
      <c r="E62" s="152">
        <f>SUM(B49:E49)</f>
        <v>6.29</v>
      </c>
      <c r="G62" s="126">
        <f>SUM(B47:E47)</f>
        <v>16.670000000000002</v>
      </c>
      <c r="H62" s="126">
        <f>SUM(B50:E50)</f>
        <v>19.060000000000002</v>
      </c>
      <c r="J62" s="200">
        <f>AVERAGE(H46:K46)</f>
        <v>0.30695</v>
      </c>
      <c r="K62" s="200">
        <f>AVERAGE(H49:K49)</f>
        <v>0.34364999999999996</v>
      </c>
      <c r="M62" s="200">
        <f>AVERAGE(H47:K47)</f>
        <v>0.14552500000000002</v>
      </c>
      <c r="N62" s="200">
        <f>AVERAGE(H50:K50)</f>
        <v>0.195275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2.21</v>
      </c>
      <c r="C65" s="205">
        <f t="shared" si="5"/>
        <v>1.61</v>
      </c>
      <c r="D65" s="205">
        <f t="shared" si="5"/>
        <v>1.56</v>
      </c>
      <c r="E65" s="205">
        <f t="shared" si="5"/>
        <v>1.51</v>
      </c>
      <c r="F65" s="206">
        <f>IF(ISNA(HLOOKUP(F$64*10+$A65,$81:$82,2,FALSE)),(HLOOKUP(E$64*10+$A65,$87:$94,4,FALSE)*$G65+$B$25)/HLOOKUP(E$64*10+$A65,$87:$94,5,FALSE)*$E65,HLOOKUP(F$64*10+$A65,$81:$82,2,FALSE))</f>
        <v>0.85</v>
      </c>
      <c r="G65" s="101">
        <f>MIN(130%,SUM($B$57:$D$57)/SUM($B$58:$D$58)*$G$69/HLOOKUP(E$64*10+$A65,$145:$146,2,FALSE))</f>
        <v>0.95113633267476194</v>
      </c>
      <c r="H65" s="204">
        <v>1</v>
      </c>
      <c r="I65" s="208">
        <f t="shared" ref="I65:M68" si="6">IF(ISNA(HLOOKUP(I$64*10+$H65,$145:$147,3,FALSE)),"",HLOOKUP(I$64*10+$H65,$145:$147,3,FALSE)/100)</f>
        <v>0.2379</v>
      </c>
      <c r="J65" s="208">
        <f t="shared" si="6"/>
        <v>0.20449999999999999</v>
      </c>
      <c r="K65" s="208">
        <f t="shared" si="6"/>
        <v>0.20910000000000001</v>
      </c>
      <c r="L65" s="208">
        <f t="shared" si="6"/>
        <v>0.21760000000000002</v>
      </c>
      <c r="M65" s="209">
        <f t="shared" si="6"/>
        <v>0.14940000000000001</v>
      </c>
      <c r="N65" s="256">
        <f t="shared" ref="N65:O68" si="7">HLOOKUP(E$64*10+$A65,$87:$94,8,FALSE)</f>
        <v>-37455</v>
      </c>
      <c r="O65" s="256">
        <f t="shared" si="7"/>
        <v>-90200</v>
      </c>
      <c r="P65" s="210"/>
    </row>
    <row r="66" spans="1:71" x14ac:dyDescent="0.25">
      <c r="A66" s="204">
        <v>2</v>
      </c>
      <c r="B66" s="205">
        <f t="shared" si="5"/>
        <v>2.2000000000000002</v>
      </c>
      <c r="C66" s="205">
        <f t="shared" si="5"/>
        <v>1.66</v>
      </c>
      <c r="D66" s="205">
        <f t="shared" si="5"/>
        <v>1.77</v>
      </c>
      <c r="E66" s="205">
        <f t="shared" si="5"/>
        <v>1.69</v>
      </c>
      <c r="F66" s="206">
        <f>IF(ISNA(HLOOKUP(F$64*10+$A66,$81:$82,2,FALSE)),(HLOOKUP(E$64*10+$A66,$87:$94,4,FALSE)*$G66+$B$25)/HLOOKUP(E$64*10+$A66,$87:$94,5,FALSE)*$E66,HLOOKUP(F$64*10+$A66,$81:$82,2,FALSE))</f>
        <v>1.68</v>
      </c>
      <c r="G66" s="101">
        <f>MIN(130%,SUM($B$57:$D$57)/SUM($B$58:$D$58)*$G$69/HLOOKUP(E$64*10+$A66,$145:$146,2,FALSE))</f>
        <v>0.97599903088583606</v>
      </c>
      <c r="H66" s="204">
        <v>2</v>
      </c>
      <c r="I66" s="208">
        <f t="shared" si="6"/>
        <v>0.22850000000000001</v>
      </c>
      <c r="J66" s="208">
        <f t="shared" si="6"/>
        <v>0.20949999999999999</v>
      </c>
      <c r="K66" s="208">
        <f t="shared" si="6"/>
        <v>0.2147</v>
      </c>
      <c r="L66" s="208">
        <f t="shared" si="6"/>
        <v>0.1764</v>
      </c>
      <c r="M66" s="209">
        <f t="shared" si="6"/>
        <v>0.15720000000000001</v>
      </c>
      <c r="N66" s="256">
        <f t="shared" si="7"/>
        <v>25477</v>
      </c>
      <c r="O66" s="256">
        <f t="shared" si="7"/>
        <v>3247</v>
      </c>
      <c r="P66" s="210"/>
    </row>
    <row r="67" spans="1:71" x14ac:dyDescent="0.25">
      <c r="A67" s="204">
        <v>3</v>
      </c>
      <c r="B67" s="205">
        <f t="shared" si="5"/>
        <v>1.73</v>
      </c>
      <c r="C67" s="205">
        <f t="shared" si="5"/>
        <v>2.27</v>
      </c>
      <c r="D67" s="205">
        <f t="shared" si="5"/>
        <v>1.98</v>
      </c>
      <c r="E67" s="205">
        <f t="shared" si="5"/>
        <v>1.21</v>
      </c>
      <c r="F67" s="206">
        <f>IF(ISNA(HLOOKUP(F$64*10+$A67,$81:$82,2,FALSE)),(HLOOKUP(E$64*10+$A67,$87:$94,4,FALSE)*$G67+$B$25)/HLOOKUP(E$64*10+$A67,$87:$94,5,FALSE)*$E67,HLOOKUP(F$64*10+$A67,$81:$82,2,FALSE))</f>
        <v>1.24</v>
      </c>
      <c r="G67" s="101">
        <f>MIN(130%,SUM($B$57:$D$57)/SUM($B$58:$D$58)*$G$69/HLOOKUP(E$64*10+$A67,$145:$146,2,FALSE))</f>
        <v>1.0314194792326377</v>
      </c>
      <c r="H67" s="204">
        <v>3</v>
      </c>
      <c r="I67" s="208">
        <f t="shared" si="6"/>
        <v>0.23420000000000002</v>
      </c>
      <c r="J67" s="208">
        <f t="shared" si="6"/>
        <v>0.2266</v>
      </c>
      <c r="K67" s="208">
        <f t="shared" si="6"/>
        <v>0.2218</v>
      </c>
      <c r="L67" s="208">
        <f t="shared" si="6"/>
        <v>0.1673</v>
      </c>
      <c r="M67" s="209">
        <f t="shared" si="6"/>
        <v>0.13689999999999999</v>
      </c>
      <c r="N67" s="256">
        <f t="shared" si="7"/>
        <v>-46051</v>
      </c>
      <c r="O67" s="256">
        <f t="shared" si="7"/>
        <v>965</v>
      </c>
      <c r="P67" s="210"/>
    </row>
    <row r="68" spans="1:71" x14ac:dyDescent="0.25">
      <c r="A68" s="204">
        <v>4</v>
      </c>
      <c r="B68" s="205">
        <f>HLOOKUP(B$64*10+$A68,$81:$82,2,FALSE)</f>
        <v>1.7</v>
      </c>
      <c r="C68" s="205">
        <f>HLOOKUP(C$64*10+$A68,$81:$82,2,FALSE)</f>
        <v>2.02</v>
      </c>
      <c r="D68" s="205">
        <f>HLOOKUP(D$64*10+$A68,$81:$82,2,FALSE)</f>
        <v>1.88</v>
      </c>
      <c r="E68" s="206">
        <f>IF(ISNA(HLOOKUP(E$64*10+$A68,$81:$82,2,FALSE)),D68*(1-$N68)*#REF!*(1+$B$25)/(1+$E$4),HLOOKUP(E$64*10+$A68,$81:$82,2,FALSE))</f>
        <v>1.62</v>
      </c>
      <c r="F68" s="206">
        <f>IF(ISNA(HLOOKUP(F$64*10+$A68,$81:$82,2,FALSE)),(HLOOKUP(E$64*10+$A68,$87:$94,4,FALSE)*$G68+$B$25)/HLOOKUP(E$64*10+$A68,$87:$94,5,FALSE)*$E68,HLOOKUP(F$64*10+$A68,$81:$82,2,FALSE))</f>
        <v>1.2522573613113275</v>
      </c>
      <c r="G68" s="101">
        <f>MIN(130%,SUM($B$57:$D$57)/SUM($B$58:$D$58)*$G$69/HLOOKUP(E$64*10+$A68,$145:$146,2,FALSE))</f>
        <v>1.0426201251442551</v>
      </c>
      <c r="H68" s="204">
        <v>4</v>
      </c>
      <c r="I68" s="208">
        <f t="shared" si="6"/>
        <v>0.19309999999999999</v>
      </c>
      <c r="J68" s="208">
        <f t="shared" si="6"/>
        <v>0.217</v>
      </c>
      <c r="K68" s="208">
        <f t="shared" si="6"/>
        <v>0.2198</v>
      </c>
      <c r="L68" s="208">
        <f t="shared" si="6"/>
        <v>0.1386</v>
      </c>
      <c r="M68" s="209" t="str">
        <f t="shared" si="6"/>
        <v/>
      </c>
      <c r="N68" s="256">
        <f t="shared" si="7"/>
        <v>79140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7.8400000000000007</v>
      </c>
      <c r="C69" s="213">
        <f>SUM(C65:C68)</f>
        <v>7.5600000000000005</v>
      </c>
      <c r="D69" s="213">
        <f>SUM(D65:D68)</f>
        <v>7.19</v>
      </c>
      <c r="E69" s="213">
        <f>SUM(E65:E68)</f>
        <v>6.03</v>
      </c>
      <c r="F69" s="213">
        <f>SUM(F65:F68)</f>
        <v>5.0222573613113273</v>
      </c>
      <c r="G69" s="257">
        <f>_xlfn.FORECAST.ETS(23,B146:W146,{1,2,3,4,5,6,7,8,9,10,11,12,13,14,15,16,17,18,19,20,21,22})</f>
        <v>32.145968216925333</v>
      </c>
      <c r="H69" s="214" t="s">
        <v>19</v>
      </c>
      <c r="I69" s="215">
        <f>HLOOKUP(I64,151:155,3,FALSE)/100</f>
        <v>0.22359999999999999</v>
      </c>
      <c r="J69" s="215">
        <f>HLOOKUP(J64,151:155,3,FALSE)/100</f>
        <v>0.2152</v>
      </c>
      <c r="K69" s="215">
        <f>HLOOKUP(K64,151:155,3,FALSE)/100</f>
        <v>0.2165</v>
      </c>
      <c r="L69" s="215">
        <f>IF(ISNA(HLOOKUP(L64,151:155,3,FALSE)/100),AVERAGE(L65:L68),HLOOKUP(L64,151:155,3,FALSE)/100)</f>
        <v>0.1744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7.53</v>
      </c>
      <c r="C72" s="205">
        <f t="shared" si="8"/>
        <v>4.99</v>
      </c>
      <c r="D72" s="205">
        <f t="shared" si="8"/>
        <v>4.59</v>
      </c>
      <c r="E72" s="205">
        <f t="shared" si="8"/>
        <v>4.3600000000000003</v>
      </c>
      <c r="F72" s="205">
        <f t="shared" si="8"/>
        <v>2.4</v>
      </c>
    </row>
    <row r="73" spans="1:71" s="135" customFormat="1" x14ac:dyDescent="0.25">
      <c r="A73" s="204">
        <v>2</v>
      </c>
      <c r="B73" s="205">
        <f t="shared" si="8"/>
        <v>7.12</v>
      </c>
      <c r="C73" s="205">
        <f t="shared" si="8"/>
        <v>5.31</v>
      </c>
      <c r="D73" s="205">
        <f t="shared" si="8"/>
        <v>5.28</v>
      </c>
      <c r="E73" s="205">
        <f t="shared" si="8"/>
        <v>5.1100000000000003</v>
      </c>
      <c r="F73" s="205">
        <f t="shared" si="8"/>
        <v>5.28</v>
      </c>
    </row>
    <row r="74" spans="1:71" s="135" customFormat="1" x14ac:dyDescent="0.25">
      <c r="A74" s="204">
        <v>3</v>
      </c>
      <c r="B74" s="205">
        <f t="shared" si="8"/>
        <v>6.05</v>
      </c>
      <c r="C74" s="205">
        <f t="shared" si="8"/>
        <v>8.1999999999999993</v>
      </c>
      <c r="D74" s="205">
        <f t="shared" si="8"/>
        <v>6.61</v>
      </c>
      <c r="E74" s="205">
        <f t="shared" si="8"/>
        <v>3.85</v>
      </c>
      <c r="F74" s="205">
        <f t="shared" si="8"/>
        <v>4.0199999999999996</v>
      </c>
    </row>
    <row r="75" spans="1:71" s="135" customFormat="1" x14ac:dyDescent="0.25">
      <c r="A75" s="204">
        <v>4</v>
      </c>
      <c r="B75" s="205">
        <f t="shared" si="8"/>
        <v>5.45</v>
      </c>
      <c r="C75" s="205">
        <f t="shared" si="8"/>
        <v>6.77</v>
      </c>
      <c r="D75" s="205">
        <f t="shared" si="8"/>
        <v>5.74</v>
      </c>
      <c r="E75" s="205">
        <f t="shared" si="8"/>
        <v>4.97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26.15</v>
      </c>
      <c r="C76" s="213">
        <f>SUM(C72:C75)</f>
        <v>25.27</v>
      </c>
      <c r="D76" s="213">
        <f>SUM(D72:D75)</f>
        <v>22.22</v>
      </c>
      <c r="E76" s="213">
        <f>AVERAGE(E72:E75)*4</f>
        <v>18.29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226366</v>
      </c>
      <c r="C79" s="270">
        <v>274510</v>
      </c>
      <c r="D79" s="270">
        <v>297962</v>
      </c>
      <c r="E79" s="270">
        <v>310909</v>
      </c>
      <c r="F79" s="270">
        <v>311142</v>
      </c>
      <c r="G79" s="270">
        <v>288637</v>
      </c>
      <c r="H79" s="270">
        <v>283832</v>
      </c>
      <c r="I79" s="270">
        <v>302466</v>
      </c>
      <c r="J79" s="270">
        <v>275753</v>
      </c>
      <c r="K79" s="270">
        <v>279214</v>
      </c>
      <c r="L79" s="270">
        <v>280341</v>
      </c>
      <c r="M79" s="270">
        <v>301483</v>
      </c>
      <c r="N79" s="270">
        <v>358001</v>
      </c>
      <c r="O79" s="270">
        <v>280111</v>
      </c>
      <c r="P79" s="270">
        <v>316144</v>
      </c>
      <c r="Q79" s="270">
        <v>343712</v>
      </c>
      <c r="R79" s="270">
        <v>356261</v>
      </c>
      <c r="S79" s="270">
        <v>369781</v>
      </c>
      <c r="T79" s="270">
        <v>315960</v>
      </c>
      <c r="U79" s="270">
        <v>353874</v>
      </c>
      <c r="V79" s="270">
        <v>380122</v>
      </c>
      <c r="W79" s="270">
        <v>334010</v>
      </c>
      <c r="X79" s="270">
        <v>332982</v>
      </c>
      <c r="Y79" s="270">
        <v>324868</v>
      </c>
      <c r="Z79" s="270">
        <v>320321</v>
      </c>
      <c r="AA79" s="270">
        <v>319116</v>
      </c>
      <c r="AB79" s="270">
        <v>353884</v>
      </c>
      <c r="AC79" s="270">
        <v>378932</v>
      </c>
      <c r="AD79" s="270">
        <v>401240</v>
      </c>
      <c r="AE79" s="270">
        <v>408385</v>
      </c>
      <c r="AF79" s="270">
        <v>419492</v>
      </c>
      <c r="AG79" s="270">
        <v>450619</v>
      </c>
      <c r="AH79" s="270">
        <v>449199</v>
      </c>
      <c r="AI79" s="270">
        <v>440576</v>
      </c>
      <c r="AJ79" s="270">
        <v>401506</v>
      </c>
      <c r="AK79" s="270">
        <v>405680</v>
      </c>
      <c r="AL79" s="270">
        <v>406758</v>
      </c>
      <c r="AM79" s="270">
        <v>323748</v>
      </c>
      <c r="AN79" s="270">
        <v>447417</v>
      </c>
      <c r="AO79" s="270">
        <v>427435</v>
      </c>
      <c r="AP79" s="270">
        <v>505178</v>
      </c>
      <c r="AQ79" s="270">
        <v>465256</v>
      </c>
      <c r="AR79" s="270">
        <v>459010</v>
      </c>
      <c r="AS79" s="270">
        <v>405706</v>
      </c>
      <c r="AT79" s="270">
        <v>405430</v>
      </c>
      <c r="AU79" s="270">
        <v>425226</v>
      </c>
      <c r="AV79" s="270">
        <v>450096</v>
      </c>
      <c r="AW79" s="270">
        <v>488725</v>
      </c>
      <c r="AX79" s="270">
        <v>535639</v>
      </c>
      <c r="AY79" s="270">
        <v>383471</v>
      </c>
      <c r="AZ79" s="270">
        <v>424583</v>
      </c>
      <c r="BA79" s="270">
        <v>442355</v>
      </c>
      <c r="BB79" s="270">
        <v>468313</v>
      </c>
      <c r="BC79" s="270">
        <v>510043</v>
      </c>
      <c r="BD79" s="270">
        <v>509485</v>
      </c>
      <c r="BE79" s="270">
        <v>502571</v>
      </c>
      <c r="BF79" s="270">
        <v>438950</v>
      </c>
      <c r="BG79" s="270">
        <v>461680</v>
      </c>
      <c r="BH79" s="270">
        <v>491602</v>
      </c>
      <c r="BI79" s="270">
        <v>472844</v>
      </c>
      <c r="BJ79" s="270">
        <v>467207</v>
      </c>
      <c r="BK79" s="270">
        <v>439331</v>
      </c>
      <c r="BL79" s="270">
        <v>613507</v>
      </c>
      <c r="BM79" s="270">
        <v>565415</v>
      </c>
      <c r="BN79" s="270">
        <v>616616</v>
      </c>
      <c r="BO79" s="270">
        <v>603163</v>
      </c>
      <c r="BP79" s="270">
        <v>587696</v>
      </c>
      <c r="BQ79" s="270">
        <v>474592</v>
      </c>
      <c r="BR79" s="270">
        <v>484179</v>
      </c>
      <c r="BS79" s="270">
        <v>508059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1.36</v>
      </c>
      <c r="C82" s="72">
        <v>1.69</v>
      </c>
      <c r="D82" s="72">
        <v>1.6</v>
      </c>
      <c r="E82" s="72">
        <v>1.7</v>
      </c>
      <c r="F82" s="72">
        <v>2.21</v>
      </c>
      <c r="G82" s="72">
        <v>2.2000000000000002</v>
      </c>
      <c r="H82" s="72">
        <v>1.73</v>
      </c>
      <c r="I82" s="72">
        <v>1.7</v>
      </c>
      <c r="J82" s="72">
        <v>1.61</v>
      </c>
      <c r="K82" s="72">
        <v>1.66</v>
      </c>
      <c r="L82" s="72">
        <v>2.27</v>
      </c>
      <c r="M82" s="72">
        <v>2.02</v>
      </c>
      <c r="N82" s="72">
        <v>1.56</v>
      </c>
      <c r="O82" s="72">
        <v>1.77</v>
      </c>
      <c r="P82" s="72">
        <v>1.98</v>
      </c>
      <c r="Q82" s="72">
        <v>1.88</v>
      </c>
      <c r="R82" s="72">
        <v>1.51</v>
      </c>
      <c r="S82" s="72">
        <v>1.69</v>
      </c>
      <c r="T82" s="72">
        <v>1.21</v>
      </c>
      <c r="U82" s="72">
        <v>1.62</v>
      </c>
      <c r="V82" s="72">
        <v>0.85</v>
      </c>
      <c r="W82" s="72">
        <v>1.68</v>
      </c>
      <c r="X82" s="72">
        <v>1.24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28.7</v>
      </c>
      <c r="C85" s="72">
        <v>26.91</v>
      </c>
      <c r="D85" s="72">
        <v>26.03</v>
      </c>
      <c r="E85" s="72">
        <v>27.76</v>
      </c>
      <c r="F85" s="72">
        <v>30.79</v>
      </c>
      <c r="G85" s="72">
        <v>30.3</v>
      </c>
      <c r="H85" s="72">
        <v>29.76</v>
      </c>
      <c r="I85" s="72">
        <v>31.57</v>
      </c>
      <c r="J85" s="72">
        <v>33.22</v>
      </c>
      <c r="K85" s="72">
        <v>28.85</v>
      </c>
      <c r="L85" s="72">
        <v>28.58</v>
      </c>
      <c r="M85" s="72">
        <v>30.7</v>
      </c>
      <c r="N85" s="72">
        <v>32.81</v>
      </c>
      <c r="O85" s="72">
        <v>28.71</v>
      </c>
      <c r="P85" s="72">
        <v>29.48</v>
      </c>
      <c r="Q85" s="72">
        <v>31.14</v>
      </c>
      <c r="R85" s="72">
        <v>32.619999999999997</v>
      </c>
      <c r="S85" s="72">
        <v>28.2</v>
      </c>
      <c r="T85" s="72">
        <v>29.33</v>
      </c>
      <c r="U85" s="72">
        <v>30.94</v>
      </c>
      <c r="V85" s="72">
        <v>31.64</v>
      </c>
      <c r="W85" s="72">
        <v>28.37</v>
      </c>
      <c r="X85" s="72">
        <v>29.64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831998</v>
      </c>
      <c r="C88" s="273">
        <v>935697</v>
      </c>
      <c r="D88" s="273">
        <v>900399</v>
      </c>
      <c r="E88" s="273">
        <v>909984</v>
      </c>
      <c r="F88" s="273">
        <v>954260</v>
      </c>
      <c r="G88" s="273">
        <v>1069785</v>
      </c>
      <c r="H88" s="273">
        <v>1049864</v>
      </c>
      <c r="I88" s="273">
        <v>991309</v>
      </c>
      <c r="J88" s="273">
        <v>993304</v>
      </c>
      <c r="K88" s="273">
        <v>1188586</v>
      </c>
      <c r="L88" s="273">
        <v>1319412</v>
      </c>
      <c r="M88" s="273">
        <v>1247176</v>
      </c>
      <c r="N88" s="273">
        <v>1178782</v>
      </c>
      <c r="O88" s="273">
        <v>1397406</v>
      </c>
      <c r="P88" s="273">
        <v>1268457</v>
      </c>
      <c r="Q88" s="273">
        <v>1368412</v>
      </c>
      <c r="R88" s="273">
        <v>1343824</v>
      </c>
      <c r="S88" s="273">
        <v>1420655</v>
      </c>
      <c r="T88" s="273">
        <v>1450869</v>
      </c>
      <c r="U88" s="273">
        <v>1418434</v>
      </c>
      <c r="V88" s="273">
        <v>1520095</v>
      </c>
      <c r="W88" s="273">
        <v>1784847</v>
      </c>
      <c r="X88" s="273">
        <v>1547289</v>
      </c>
    </row>
    <row r="89" spans="1:25" ht="14.25" thickBot="1" x14ac:dyDescent="0.3">
      <c r="A89" s="250" t="s">
        <v>4</v>
      </c>
      <c r="B89" s="275">
        <v>259507</v>
      </c>
      <c r="C89" s="275">
        <v>296271</v>
      </c>
      <c r="D89" s="275">
        <v>286728</v>
      </c>
      <c r="E89" s="275">
        <v>282929</v>
      </c>
      <c r="F89" s="275">
        <v>330861</v>
      </c>
      <c r="G89" s="275">
        <v>355364</v>
      </c>
      <c r="H89" s="275">
        <v>340958</v>
      </c>
      <c r="I89" s="275">
        <v>303786</v>
      </c>
      <c r="J89" s="275">
        <v>322139</v>
      </c>
      <c r="K89" s="275">
        <v>373217</v>
      </c>
      <c r="L89" s="275">
        <v>433171</v>
      </c>
      <c r="M89" s="275">
        <v>396418</v>
      </c>
      <c r="N89" s="275">
        <v>398796</v>
      </c>
      <c r="O89" s="275">
        <v>470344</v>
      </c>
      <c r="P89" s="275">
        <v>444003</v>
      </c>
      <c r="Q89" s="275">
        <v>480605</v>
      </c>
      <c r="R89" s="275">
        <v>474828</v>
      </c>
      <c r="S89" s="275">
        <v>489156</v>
      </c>
      <c r="T89" s="275">
        <v>472685</v>
      </c>
      <c r="U89" s="275">
        <v>457120</v>
      </c>
      <c r="V89" s="275">
        <v>457724</v>
      </c>
      <c r="W89" s="275">
        <v>537980</v>
      </c>
      <c r="X89" s="275">
        <v>468833</v>
      </c>
    </row>
    <row r="90" spans="1:25" ht="14.25" thickBot="1" x14ac:dyDescent="0.3">
      <c r="A90" s="251" t="s">
        <v>5</v>
      </c>
      <c r="B90" s="273">
        <v>153717</v>
      </c>
      <c r="C90" s="273">
        <v>184039</v>
      </c>
      <c r="D90" s="273">
        <v>189523</v>
      </c>
      <c r="E90" s="273">
        <v>173627</v>
      </c>
      <c r="F90" s="273">
        <v>226982</v>
      </c>
      <c r="G90" s="273">
        <v>244486</v>
      </c>
      <c r="H90" s="273">
        <v>245874</v>
      </c>
      <c r="I90" s="273">
        <v>191451</v>
      </c>
      <c r="J90" s="273">
        <v>203126</v>
      </c>
      <c r="K90" s="273">
        <v>248949</v>
      </c>
      <c r="L90" s="273">
        <v>298987</v>
      </c>
      <c r="M90" s="273">
        <v>270629</v>
      </c>
      <c r="N90" s="273">
        <v>246517</v>
      </c>
      <c r="O90" s="273">
        <v>300076</v>
      </c>
      <c r="P90" s="273">
        <v>281306</v>
      </c>
      <c r="Q90" s="273">
        <v>300797</v>
      </c>
      <c r="R90" s="273">
        <v>292352</v>
      </c>
      <c r="S90" s="273">
        <v>250624</v>
      </c>
      <c r="T90" s="273">
        <v>242756</v>
      </c>
      <c r="U90" s="273">
        <v>196637</v>
      </c>
      <c r="V90" s="273">
        <v>227135</v>
      </c>
      <c r="W90" s="273">
        <v>280636</v>
      </c>
      <c r="X90" s="273">
        <v>211902</v>
      </c>
    </row>
    <row r="91" spans="1:25" ht="14.25" thickBot="1" x14ac:dyDescent="0.3">
      <c r="A91" s="250" t="s">
        <v>6</v>
      </c>
      <c r="B91" s="275">
        <v>137520</v>
      </c>
      <c r="C91" s="275">
        <v>194491</v>
      </c>
      <c r="D91" s="275">
        <v>178508</v>
      </c>
      <c r="E91" s="275">
        <v>188615</v>
      </c>
      <c r="F91" s="275">
        <v>259512</v>
      </c>
      <c r="G91" s="275">
        <v>272395</v>
      </c>
      <c r="H91" s="275">
        <v>237060</v>
      </c>
      <c r="I91" s="275">
        <v>235565</v>
      </c>
      <c r="J91" s="275">
        <v>222888</v>
      </c>
      <c r="K91" s="275">
        <v>234474</v>
      </c>
      <c r="L91" s="275">
        <v>333193</v>
      </c>
      <c r="M91" s="275">
        <v>314450</v>
      </c>
      <c r="N91" s="275">
        <v>241596</v>
      </c>
      <c r="O91" s="275">
        <v>292846</v>
      </c>
      <c r="P91" s="275">
        <v>352054</v>
      </c>
      <c r="Q91" s="275">
        <v>317418</v>
      </c>
      <c r="R91" s="275">
        <v>254897</v>
      </c>
      <c r="S91" s="275">
        <v>276101</v>
      </c>
      <c r="T91" s="275">
        <v>196705</v>
      </c>
      <c r="U91" s="275">
        <v>275777</v>
      </c>
      <c r="V91" s="275">
        <v>136935</v>
      </c>
      <c r="W91" s="275">
        <v>283883</v>
      </c>
      <c r="X91" s="275">
        <v>212867</v>
      </c>
    </row>
    <row r="92" spans="1:25" ht="14.25" thickBot="1" x14ac:dyDescent="0.3">
      <c r="A92" s="251" t="s">
        <v>7</v>
      </c>
      <c r="B92" s="273">
        <v>124119</v>
      </c>
      <c r="C92" s="273">
        <v>154605</v>
      </c>
      <c r="D92" s="273">
        <v>160418</v>
      </c>
      <c r="E92" s="273">
        <v>171326</v>
      </c>
      <c r="F92" s="273">
        <v>227619</v>
      </c>
      <c r="G92" s="273">
        <v>231563</v>
      </c>
      <c r="H92" s="273">
        <v>207211</v>
      </c>
      <c r="I92" s="273">
        <v>201799</v>
      </c>
      <c r="J92" s="273">
        <v>195834</v>
      </c>
      <c r="K92" s="273">
        <v>199792</v>
      </c>
      <c r="L92" s="273">
        <v>300574</v>
      </c>
      <c r="M92" s="273">
        <v>268702</v>
      </c>
      <c r="N92" s="273">
        <v>210049</v>
      </c>
      <c r="O92" s="273">
        <v>250253</v>
      </c>
      <c r="P92" s="273">
        <v>305142</v>
      </c>
      <c r="Q92" s="273">
        <v>277288</v>
      </c>
      <c r="R92" s="273">
        <v>217991</v>
      </c>
      <c r="S92" s="273">
        <v>244127</v>
      </c>
      <c r="T92" s="273">
        <v>174182</v>
      </c>
      <c r="U92" s="273">
        <v>235547</v>
      </c>
      <c r="V92" s="273">
        <v>117694</v>
      </c>
      <c r="W92" s="273">
        <v>248204</v>
      </c>
      <c r="X92" s="273">
        <v>183079</v>
      </c>
    </row>
    <row r="93" spans="1:25" ht="26.25" thickBot="1" x14ac:dyDescent="0.3">
      <c r="A93" s="252" t="s">
        <v>8</v>
      </c>
      <c r="B93" s="276">
        <v>124271</v>
      </c>
      <c r="C93" s="276">
        <v>154400</v>
      </c>
      <c r="D93" s="276">
        <v>160065</v>
      </c>
      <c r="E93" s="276">
        <v>170384</v>
      </c>
      <c r="F93" s="276">
        <v>225952</v>
      </c>
      <c r="G93" s="276">
        <v>230429</v>
      </c>
      <c r="H93" s="276">
        <v>204932</v>
      </c>
      <c r="I93" s="276">
        <v>198373</v>
      </c>
      <c r="J93" s="276">
        <v>193635</v>
      </c>
      <c r="K93" s="276">
        <v>198929</v>
      </c>
      <c r="L93" s="276">
        <v>299778</v>
      </c>
      <c r="M93" s="276">
        <v>266982</v>
      </c>
      <c r="N93" s="276">
        <v>208931</v>
      </c>
      <c r="O93" s="276">
        <v>245550</v>
      </c>
      <c r="P93" s="276">
        <v>289148</v>
      </c>
      <c r="Q93" s="276">
        <v>272967</v>
      </c>
      <c r="R93" s="276">
        <v>220364</v>
      </c>
      <c r="S93" s="276">
        <v>247634</v>
      </c>
      <c r="T93" s="276">
        <v>176563</v>
      </c>
      <c r="U93" s="276">
        <v>237255</v>
      </c>
      <c r="V93" s="276">
        <v>124634</v>
      </c>
      <c r="W93" s="276">
        <v>246257</v>
      </c>
      <c r="X93" s="276">
        <v>181507</v>
      </c>
    </row>
    <row r="94" spans="1:25" x14ac:dyDescent="0.25">
      <c r="A94" s="233" t="s">
        <v>365</v>
      </c>
      <c r="B94" s="253">
        <f>IF(B91="","",B91-B90)</f>
        <v>-16197</v>
      </c>
      <c r="C94" s="253">
        <f>IF(C91="","",C91-C90)</f>
        <v>10452</v>
      </c>
      <c r="D94" s="253">
        <f t="shared" ref="D94:Y94" si="9">IF(D91="","",D91-D90)</f>
        <v>-11015</v>
      </c>
      <c r="E94" s="253">
        <f t="shared" si="9"/>
        <v>14988</v>
      </c>
      <c r="F94" s="253">
        <f t="shared" si="9"/>
        <v>32530</v>
      </c>
      <c r="G94" s="253">
        <f t="shared" si="9"/>
        <v>27909</v>
      </c>
      <c r="H94" s="253">
        <f t="shared" si="9"/>
        <v>-8814</v>
      </c>
      <c r="I94" s="253">
        <f t="shared" si="9"/>
        <v>44114</v>
      </c>
      <c r="J94" s="253">
        <f t="shared" si="9"/>
        <v>19762</v>
      </c>
      <c r="K94" s="253">
        <f t="shared" si="9"/>
        <v>-14475</v>
      </c>
      <c r="L94" s="253">
        <f t="shared" si="9"/>
        <v>34206</v>
      </c>
      <c r="M94" s="253">
        <f t="shared" si="9"/>
        <v>43821</v>
      </c>
      <c r="N94" s="253">
        <f t="shared" si="9"/>
        <v>-4921</v>
      </c>
      <c r="O94" s="253">
        <f t="shared" si="9"/>
        <v>-7230</v>
      </c>
      <c r="P94" s="253">
        <f t="shared" si="9"/>
        <v>70748</v>
      </c>
      <c r="Q94" s="253">
        <f t="shared" si="9"/>
        <v>16621</v>
      </c>
      <c r="R94" s="253">
        <f t="shared" si="9"/>
        <v>-37455</v>
      </c>
      <c r="S94" s="253">
        <f t="shared" si="9"/>
        <v>25477</v>
      </c>
      <c r="T94" s="253">
        <f t="shared" si="9"/>
        <v>-46051</v>
      </c>
      <c r="U94" s="253">
        <f t="shared" si="9"/>
        <v>79140</v>
      </c>
      <c r="V94" s="253">
        <f t="shared" si="9"/>
        <v>-90200</v>
      </c>
      <c r="W94" s="253">
        <f t="shared" si="9"/>
        <v>3247</v>
      </c>
      <c r="X94" s="253">
        <f t="shared" si="9"/>
        <v>965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3578078</v>
      </c>
      <c r="C97" s="273">
        <v>4065218</v>
      </c>
      <c r="D97" s="273">
        <v>4748478</v>
      </c>
      <c r="E97" s="273">
        <v>5213056</v>
      </c>
      <c r="F97" s="273">
        <v>5633782</v>
      </c>
    </row>
    <row r="98" spans="1:24" ht="14.25" thickBot="1" x14ac:dyDescent="0.3">
      <c r="A98" s="225" t="s">
        <v>4</v>
      </c>
      <c r="B98" s="275">
        <v>1125435</v>
      </c>
      <c r="C98" s="275">
        <v>1330969</v>
      </c>
      <c r="D98" s="275">
        <v>1524945</v>
      </c>
      <c r="E98" s="275">
        <v>1793747</v>
      </c>
      <c r="F98" s="275">
        <v>1893789</v>
      </c>
    </row>
    <row r="99" spans="1:24" ht="14.25" thickBot="1" x14ac:dyDescent="0.3">
      <c r="A99" s="224" t="s">
        <v>5</v>
      </c>
      <c r="B99" s="273">
        <v>700906</v>
      </c>
      <c r="C99" s="273">
        <v>908785</v>
      </c>
      <c r="D99" s="273">
        <v>1021691</v>
      </c>
      <c r="E99" s="273">
        <v>1128696</v>
      </c>
      <c r="F99" s="273">
        <v>982369</v>
      </c>
    </row>
    <row r="100" spans="1:24" ht="14.25" thickBot="1" x14ac:dyDescent="0.3">
      <c r="A100" s="225" t="s">
        <v>6</v>
      </c>
      <c r="B100" s="275">
        <v>699134</v>
      </c>
      <c r="C100" s="275">
        <v>1004532</v>
      </c>
      <c r="D100" s="275">
        <v>1105005</v>
      </c>
      <c r="E100" s="275">
        <v>1203914</v>
      </c>
      <c r="F100" s="275">
        <v>1003480</v>
      </c>
    </row>
    <row r="101" spans="1:24" ht="14.25" thickBot="1" x14ac:dyDescent="0.3">
      <c r="A101" s="224" t="s">
        <v>7</v>
      </c>
      <c r="B101" s="273">
        <v>610468</v>
      </c>
      <c r="C101" s="273">
        <v>868192</v>
      </c>
      <c r="D101" s="273">
        <v>964902</v>
      </c>
      <c r="E101" s="273">
        <v>1042732</v>
      </c>
      <c r="F101" s="273">
        <v>871847</v>
      </c>
    </row>
    <row r="102" spans="1:24" ht="14.25" thickBot="1" x14ac:dyDescent="0.3">
      <c r="A102" s="227" t="s">
        <v>8</v>
      </c>
      <c r="B102" s="276">
        <v>609120</v>
      </c>
      <c r="C102" s="276">
        <v>859686</v>
      </c>
      <c r="D102" s="276">
        <v>959324</v>
      </c>
      <c r="E102" s="276">
        <v>1016596</v>
      </c>
      <c r="F102" s="276">
        <v>881816</v>
      </c>
    </row>
    <row r="103" spans="1:24" x14ac:dyDescent="0.25">
      <c r="A103" s="233" t="s">
        <v>262</v>
      </c>
      <c r="B103" s="234">
        <f>IF(OR(B102="",B102="無"),"",B102/B101)</f>
        <v>0.99779185804988957</v>
      </c>
      <c r="C103" s="234">
        <f>IF(OR(C102="",C102="無"),"",C102/C101)</f>
        <v>0.99020262799012204</v>
      </c>
      <c r="D103" s="234">
        <f>IF(OR(D102="",D102="無"),"",D102/D101)</f>
        <v>0.99421910204352359</v>
      </c>
      <c r="E103" s="234">
        <f>IF(OR(E102="",E102="無"),"",E102/E101)</f>
        <v>0.97493507440070892</v>
      </c>
      <c r="F103" s="234">
        <f>IF(OR(F102="",F102="無"),"",F102/F101)</f>
        <v>1.0114343457051524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1770245</v>
      </c>
      <c r="C106" s="273">
        <v>1882803</v>
      </c>
      <c r="D106" s="273">
        <v>1759438</v>
      </c>
      <c r="E106" s="273">
        <v>1978998</v>
      </c>
      <c r="F106" s="273">
        <v>2298539</v>
      </c>
      <c r="G106" s="273">
        <v>1604833</v>
      </c>
      <c r="H106" s="273">
        <v>1397556</v>
      </c>
      <c r="I106" s="273">
        <v>1617777</v>
      </c>
      <c r="J106" s="273">
        <v>2048599</v>
      </c>
      <c r="K106" s="273">
        <v>2119133</v>
      </c>
      <c r="L106" s="273">
        <v>2060189</v>
      </c>
      <c r="M106" s="273">
        <v>2394500</v>
      </c>
      <c r="N106" s="273">
        <v>2830488</v>
      </c>
      <c r="O106" s="273">
        <v>2850815</v>
      </c>
      <c r="P106" s="273">
        <v>2375364</v>
      </c>
      <c r="Q106" s="273">
        <v>2413793</v>
      </c>
      <c r="R106" s="273">
        <v>2695229</v>
      </c>
      <c r="S106" s="273">
        <v>2565348</v>
      </c>
      <c r="T106" s="273">
        <v>1955953</v>
      </c>
      <c r="U106" s="273">
        <v>2257734</v>
      </c>
      <c r="V106" s="273">
        <v>2107900</v>
      </c>
      <c r="W106" s="273">
        <v>2414113</v>
      </c>
      <c r="X106" s="273">
        <v>1784976</v>
      </c>
    </row>
    <row r="107" spans="1:24" ht="14.25" thickBot="1" x14ac:dyDescent="0.3">
      <c r="A107" s="225" t="s">
        <v>22</v>
      </c>
      <c r="B107" s="274">
        <v>372</v>
      </c>
      <c r="C107" s="274">
        <v>405</v>
      </c>
      <c r="D107" s="275">
        <v>3924</v>
      </c>
      <c r="E107" s="274">
        <v>157</v>
      </c>
      <c r="F107" s="275">
        <v>3127</v>
      </c>
      <c r="G107" s="274">
        <v>120</v>
      </c>
      <c r="H107" s="275">
        <v>2675</v>
      </c>
      <c r="I107" s="274">
        <v>180</v>
      </c>
      <c r="J107" s="274">
        <v>31</v>
      </c>
      <c r="K107" s="274">
        <v>852</v>
      </c>
      <c r="L107" s="274">
        <v>0</v>
      </c>
      <c r="M107" s="274">
        <v>0</v>
      </c>
      <c r="N107" s="275">
        <v>41511</v>
      </c>
      <c r="O107" s="274">
        <v>62</v>
      </c>
      <c r="P107" s="275">
        <v>120086</v>
      </c>
      <c r="Q107" s="275">
        <v>160121</v>
      </c>
      <c r="R107" s="275">
        <v>81737</v>
      </c>
      <c r="S107" s="274">
        <v>0</v>
      </c>
      <c r="T107" s="274">
        <v>32</v>
      </c>
      <c r="U107" s="274">
        <v>0</v>
      </c>
      <c r="V107" s="274">
        <v>0</v>
      </c>
      <c r="W107" s="274">
        <v>257</v>
      </c>
      <c r="X107" s="274">
        <v>0</v>
      </c>
    </row>
    <row r="108" spans="1:24" ht="14.25" thickBot="1" x14ac:dyDescent="0.3">
      <c r="A108" s="224" t="s">
        <v>263</v>
      </c>
      <c r="B108" s="273">
        <v>665822</v>
      </c>
      <c r="C108" s="273">
        <v>730419</v>
      </c>
      <c r="D108" s="273">
        <v>696230</v>
      </c>
      <c r="E108" s="273">
        <v>708423</v>
      </c>
      <c r="F108" s="273">
        <v>706017</v>
      </c>
      <c r="G108" s="273">
        <v>881358</v>
      </c>
      <c r="H108" s="273">
        <v>877047</v>
      </c>
      <c r="I108" s="273">
        <v>765277</v>
      </c>
      <c r="J108" s="273">
        <v>864511</v>
      </c>
      <c r="K108" s="273">
        <v>1009094</v>
      </c>
      <c r="L108" s="273">
        <v>1157319</v>
      </c>
      <c r="M108" s="273">
        <v>1040820</v>
      </c>
      <c r="N108" s="273">
        <v>929575</v>
      </c>
      <c r="O108" s="273">
        <v>1085001</v>
      </c>
      <c r="P108" s="273">
        <v>1002569</v>
      </c>
      <c r="Q108" s="273">
        <v>1076074</v>
      </c>
      <c r="R108" s="273">
        <v>1011387</v>
      </c>
      <c r="S108" s="273">
        <v>1178892</v>
      </c>
      <c r="T108" s="273">
        <v>1043528</v>
      </c>
      <c r="U108" s="273">
        <v>1126040</v>
      </c>
      <c r="V108" s="273">
        <v>1201495</v>
      </c>
      <c r="W108" s="273">
        <v>1231803</v>
      </c>
      <c r="X108" s="273">
        <v>1162318</v>
      </c>
    </row>
    <row r="109" spans="1:24" ht="14.25" thickBot="1" x14ac:dyDescent="0.3">
      <c r="A109" s="225" t="s">
        <v>264</v>
      </c>
      <c r="B109" s="275">
        <v>491842</v>
      </c>
      <c r="C109" s="275">
        <v>497087</v>
      </c>
      <c r="D109" s="275">
        <v>399489</v>
      </c>
      <c r="E109" s="275">
        <v>385583</v>
      </c>
      <c r="F109" s="275">
        <v>440135</v>
      </c>
      <c r="G109" s="275">
        <v>377510</v>
      </c>
      <c r="H109" s="275">
        <v>430980</v>
      </c>
      <c r="I109" s="275">
        <v>425736</v>
      </c>
      <c r="J109" s="275">
        <v>550933</v>
      </c>
      <c r="K109" s="275">
        <v>490188</v>
      </c>
      <c r="L109" s="275">
        <v>525128</v>
      </c>
      <c r="M109" s="275">
        <v>470493</v>
      </c>
      <c r="N109" s="275">
        <v>755135</v>
      </c>
      <c r="O109" s="275">
        <v>676994</v>
      </c>
      <c r="P109" s="275">
        <v>672660</v>
      </c>
      <c r="Q109" s="275">
        <v>671025</v>
      </c>
      <c r="R109" s="275">
        <v>743607</v>
      </c>
      <c r="S109" s="275">
        <v>814566</v>
      </c>
      <c r="T109" s="275">
        <v>820852</v>
      </c>
      <c r="U109" s="275">
        <v>816996</v>
      </c>
      <c r="V109" s="275">
        <v>868692</v>
      </c>
      <c r="W109" s="275">
        <v>868176</v>
      </c>
      <c r="X109" s="275">
        <v>1002626</v>
      </c>
    </row>
    <row r="110" spans="1:24" ht="14.25" thickBot="1" x14ac:dyDescent="0.3">
      <c r="A110" s="224" t="s">
        <v>23</v>
      </c>
      <c r="B110" s="273">
        <v>42486</v>
      </c>
      <c r="C110" s="273">
        <v>39372</v>
      </c>
      <c r="D110" s="273">
        <v>36195</v>
      </c>
      <c r="E110" s="273">
        <v>43830</v>
      </c>
      <c r="F110" s="273">
        <v>38573</v>
      </c>
      <c r="G110" s="273">
        <v>908830</v>
      </c>
      <c r="H110" s="273">
        <v>826509</v>
      </c>
      <c r="I110" s="273">
        <v>834811</v>
      </c>
      <c r="J110" s="273">
        <v>506555</v>
      </c>
      <c r="K110" s="273">
        <v>505328</v>
      </c>
      <c r="L110" s="273">
        <v>187915</v>
      </c>
      <c r="M110" s="273">
        <v>179982</v>
      </c>
      <c r="N110" s="273">
        <v>194309</v>
      </c>
      <c r="O110" s="273">
        <v>190915</v>
      </c>
      <c r="P110" s="273">
        <v>200827</v>
      </c>
      <c r="Q110" s="273">
        <v>196955</v>
      </c>
      <c r="R110" s="273">
        <v>228310</v>
      </c>
      <c r="S110" s="273">
        <v>232052</v>
      </c>
      <c r="T110" s="273">
        <v>168576</v>
      </c>
      <c r="U110" s="273">
        <v>177405</v>
      </c>
      <c r="V110" s="273">
        <v>191745</v>
      </c>
      <c r="W110" s="273">
        <v>176672</v>
      </c>
      <c r="X110" s="273">
        <v>208366</v>
      </c>
    </row>
    <row r="111" spans="1:24" ht="14.25" thickBot="1" x14ac:dyDescent="0.3">
      <c r="A111" s="225" t="s">
        <v>24</v>
      </c>
      <c r="B111" s="275">
        <v>2970767</v>
      </c>
      <c r="C111" s="275">
        <v>3150086</v>
      </c>
      <c r="D111" s="275">
        <v>2895276</v>
      </c>
      <c r="E111" s="275">
        <v>3116991</v>
      </c>
      <c r="F111" s="275">
        <v>3486391</v>
      </c>
      <c r="G111" s="275">
        <v>3772651</v>
      </c>
      <c r="H111" s="275">
        <v>3534767</v>
      </c>
      <c r="I111" s="275">
        <v>3643781</v>
      </c>
      <c r="J111" s="275">
        <v>3970629</v>
      </c>
      <c r="K111" s="275">
        <v>4124595</v>
      </c>
      <c r="L111" s="275">
        <v>3930551</v>
      </c>
      <c r="M111" s="275">
        <v>4085795</v>
      </c>
      <c r="N111" s="275">
        <v>4751018</v>
      </c>
      <c r="O111" s="275">
        <v>4803787</v>
      </c>
      <c r="P111" s="275">
        <v>4371506</v>
      </c>
      <c r="Q111" s="275">
        <v>4517968</v>
      </c>
      <c r="R111" s="275">
        <v>4760270</v>
      </c>
      <c r="S111" s="275">
        <v>4790858</v>
      </c>
      <c r="T111" s="275">
        <v>3988941</v>
      </c>
      <c r="U111" s="275">
        <v>4378175</v>
      </c>
      <c r="V111" s="275">
        <v>4369832</v>
      </c>
      <c r="W111" s="275">
        <v>4691021</v>
      </c>
      <c r="X111" s="275">
        <v>4158286</v>
      </c>
    </row>
    <row r="112" spans="1:24" ht="14.25" thickBot="1" x14ac:dyDescent="0.3">
      <c r="A112" s="224" t="s">
        <v>25</v>
      </c>
      <c r="B112" s="273">
        <v>16480</v>
      </c>
      <c r="C112" s="273">
        <v>16480</v>
      </c>
      <c r="D112" s="273">
        <v>16639</v>
      </c>
      <c r="E112" s="273">
        <v>14767</v>
      </c>
      <c r="F112" s="273">
        <v>14793</v>
      </c>
      <c r="G112" s="68">
        <v>224</v>
      </c>
      <c r="H112" s="68">
        <v>36</v>
      </c>
      <c r="I112" s="68">
        <v>225</v>
      </c>
      <c r="J112" s="68">
        <v>159</v>
      </c>
      <c r="K112" s="68">
        <v>32</v>
      </c>
      <c r="L112" s="68">
        <v>0</v>
      </c>
      <c r="M112" s="273">
        <v>4349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1191691</v>
      </c>
      <c r="C113" s="275">
        <v>1200414</v>
      </c>
      <c r="D113" s="275">
        <v>1201380</v>
      </c>
      <c r="E113" s="275">
        <v>1205711</v>
      </c>
      <c r="F113" s="275">
        <v>1187216</v>
      </c>
      <c r="G113" s="275">
        <v>1190018</v>
      </c>
      <c r="H113" s="275">
        <v>1188095</v>
      </c>
      <c r="I113" s="275">
        <v>1199433</v>
      </c>
      <c r="J113" s="275">
        <v>1186892</v>
      </c>
      <c r="K113" s="275">
        <v>1168992</v>
      </c>
      <c r="L113" s="275">
        <v>1159409</v>
      </c>
      <c r="M113" s="275">
        <v>1148004</v>
      </c>
      <c r="N113" s="275">
        <v>1151430</v>
      </c>
      <c r="O113" s="275">
        <v>1143922</v>
      </c>
      <c r="P113" s="275">
        <v>1136838</v>
      </c>
      <c r="Q113" s="275">
        <v>1156416</v>
      </c>
      <c r="R113" s="275">
        <v>1149511</v>
      </c>
      <c r="S113" s="275">
        <v>1146755</v>
      </c>
      <c r="T113" s="275">
        <v>1138782</v>
      </c>
      <c r="U113" s="275">
        <v>1145713</v>
      </c>
      <c r="V113" s="275">
        <v>1170680</v>
      </c>
      <c r="W113" s="275">
        <v>1174777</v>
      </c>
      <c r="X113" s="275">
        <v>1207711</v>
      </c>
    </row>
    <row r="114" spans="1:24" ht="14.25" thickBot="1" x14ac:dyDescent="0.3">
      <c r="A114" s="224" t="s">
        <v>27</v>
      </c>
      <c r="B114" s="273">
        <v>5707</v>
      </c>
      <c r="C114" s="273">
        <v>34552</v>
      </c>
      <c r="D114" s="273">
        <v>34101</v>
      </c>
      <c r="E114" s="273">
        <v>33670</v>
      </c>
      <c r="F114" s="273">
        <v>57107</v>
      </c>
      <c r="G114" s="273">
        <v>65473</v>
      </c>
      <c r="H114" s="273">
        <v>68937</v>
      </c>
      <c r="I114" s="273">
        <v>98101</v>
      </c>
      <c r="J114" s="273">
        <v>69091</v>
      </c>
      <c r="K114" s="273">
        <v>128835</v>
      </c>
      <c r="L114" s="273">
        <v>88431</v>
      </c>
      <c r="M114" s="273">
        <v>75646</v>
      </c>
      <c r="N114" s="273">
        <v>311172</v>
      </c>
      <c r="O114" s="273">
        <v>303229</v>
      </c>
      <c r="P114" s="273">
        <v>298580</v>
      </c>
      <c r="Q114" s="273">
        <v>301715</v>
      </c>
      <c r="R114" s="273">
        <v>288605</v>
      </c>
      <c r="S114" s="273">
        <v>727568</v>
      </c>
      <c r="T114" s="273">
        <v>709662</v>
      </c>
      <c r="U114" s="273">
        <v>677479</v>
      </c>
      <c r="V114" s="273">
        <v>702379</v>
      </c>
      <c r="W114" s="273">
        <v>658216</v>
      </c>
      <c r="X114" s="273">
        <v>642030</v>
      </c>
    </row>
    <row r="115" spans="1:24" ht="14.25" thickBot="1" x14ac:dyDescent="0.3">
      <c r="A115" s="225" t="s">
        <v>265</v>
      </c>
      <c r="B115" s="276">
        <v>4184645</v>
      </c>
      <c r="C115" s="276">
        <v>4401532</v>
      </c>
      <c r="D115" s="276">
        <v>4147396</v>
      </c>
      <c r="E115" s="276">
        <v>4371139</v>
      </c>
      <c r="F115" s="276">
        <v>4745507</v>
      </c>
      <c r="G115" s="276">
        <v>5028366</v>
      </c>
      <c r="H115" s="276">
        <v>4791835</v>
      </c>
      <c r="I115" s="276">
        <v>4941540</v>
      </c>
      <c r="J115" s="276">
        <v>5226771</v>
      </c>
      <c r="K115" s="276">
        <v>5422454</v>
      </c>
      <c r="L115" s="276">
        <v>5178391</v>
      </c>
      <c r="M115" s="276">
        <v>5313794</v>
      </c>
      <c r="N115" s="276">
        <v>6213620</v>
      </c>
      <c r="O115" s="276">
        <v>6250938</v>
      </c>
      <c r="P115" s="276">
        <v>5806924</v>
      </c>
      <c r="Q115" s="276">
        <v>5976099</v>
      </c>
      <c r="R115" s="276">
        <v>6198386</v>
      </c>
      <c r="S115" s="276">
        <v>6665181</v>
      </c>
      <c r="T115" s="276">
        <v>5837385</v>
      </c>
      <c r="U115" s="276">
        <v>6201367</v>
      </c>
      <c r="V115" s="276">
        <v>6242891</v>
      </c>
      <c r="W115" s="276">
        <v>6524014</v>
      </c>
      <c r="X115" s="276">
        <v>6008027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11131</v>
      </c>
      <c r="C118" s="273">
        <v>1033</v>
      </c>
      <c r="D118" s="273">
        <v>9584</v>
      </c>
      <c r="E118" s="273">
        <v>3132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273">
        <v>103163</v>
      </c>
      <c r="T118" s="273">
        <v>74632</v>
      </c>
      <c r="U118" s="273">
        <v>69143</v>
      </c>
      <c r="V118" s="273">
        <v>68896</v>
      </c>
      <c r="W118" s="273">
        <v>76322</v>
      </c>
      <c r="X118" s="273">
        <v>157596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422443</v>
      </c>
      <c r="C120" s="273">
        <v>511187</v>
      </c>
      <c r="D120" s="273">
        <v>374454</v>
      </c>
      <c r="E120" s="273">
        <v>469241</v>
      </c>
      <c r="F120" s="273">
        <v>538780</v>
      </c>
      <c r="G120" s="273">
        <v>536060</v>
      </c>
      <c r="H120" s="273">
        <v>433296</v>
      </c>
      <c r="I120" s="273">
        <v>377504</v>
      </c>
      <c r="J120" s="273">
        <v>460931</v>
      </c>
      <c r="K120" s="273">
        <v>475789</v>
      </c>
      <c r="L120" s="273">
        <v>575824</v>
      </c>
      <c r="M120" s="273">
        <v>428529</v>
      </c>
      <c r="N120" s="273">
        <v>599918</v>
      </c>
      <c r="O120" s="273">
        <v>499337</v>
      </c>
      <c r="P120" s="273">
        <v>511475</v>
      </c>
      <c r="Q120" s="273">
        <v>562827</v>
      </c>
      <c r="R120" s="273">
        <v>572633</v>
      </c>
      <c r="S120" s="273">
        <v>596816</v>
      </c>
      <c r="T120" s="273">
        <v>544243</v>
      </c>
      <c r="U120" s="273">
        <v>724920</v>
      </c>
      <c r="V120" s="273">
        <v>696459</v>
      </c>
      <c r="W120" s="273">
        <v>659087</v>
      </c>
      <c r="X120" s="273">
        <v>625877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5">
        <v>28088</v>
      </c>
      <c r="R121" s="274">
        <v>0</v>
      </c>
      <c r="S121" s="274">
        <v>0</v>
      </c>
      <c r="T121" s="274">
        <v>0</v>
      </c>
      <c r="U121" s="275">
        <v>32760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743497</v>
      </c>
      <c r="C122" s="273">
        <v>747405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273">
        <v>306520</v>
      </c>
      <c r="M122" s="273">
        <v>302789</v>
      </c>
      <c r="N122" s="273">
        <v>53115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335021</v>
      </c>
      <c r="C123" s="275">
        <v>631868</v>
      </c>
      <c r="D123" s="275">
        <v>343173</v>
      </c>
      <c r="E123" s="275">
        <v>296465</v>
      </c>
      <c r="F123" s="275">
        <v>336598</v>
      </c>
      <c r="G123" s="275">
        <v>742448</v>
      </c>
      <c r="H123" s="275">
        <v>385211</v>
      </c>
      <c r="I123" s="275">
        <v>372796</v>
      </c>
      <c r="J123" s="275">
        <v>372116</v>
      </c>
      <c r="K123" s="275">
        <v>1076678</v>
      </c>
      <c r="L123" s="275">
        <v>412655</v>
      </c>
      <c r="M123" s="275">
        <v>400160</v>
      </c>
      <c r="N123" s="275">
        <v>467273</v>
      </c>
      <c r="O123" s="275">
        <v>1234173</v>
      </c>
      <c r="P123" s="275">
        <v>453744</v>
      </c>
      <c r="Q123" s="275">
        <v>428132</v>
      </c>
      <c r="R123" s="275">
        <v>465445</v>
      </c>
      <c r="S123" s="275">
        <v>1385254</v>
      </c>
      <c r="T123" s="275">
        <v>461639</v>
      </c>
      <c r="U123" s="275">
        <v>386269</v>
      </c>
      <c r="V123" s="275">
        <v>397353</v>
      </c>
      <c r="W123" s="275">
        <v>1171275</v>
      </c>
      <c r="X123" s="275">
        <v>452688</v>
      </c>
    </row>
    <row r="124" spans="1:24" ht="14.25" thickBot="1" x14ac:dyDescent="0.3">
      <c r="A124" s="224" t="s">
        <v>268</v>
      </c>
      <c r="B124" s="273">
        <v>1512092</v>
      </c>
      <c r="C124" s="273">
        <v>1891493</v>
      </c>
      <c r="D124" s="273">
        <v>727211</v>
      </c>
      <c r="E124" s="273">
        <v>768838</v>
      </c>
      <c r="F124" s="273">
        <v>875378</v>
      </c>
      <c r="G124" s="273">
        <v>1278508</v>
      </c>
      <c r="H124" s="273">
        <v>818507</v>
      </c>
      <c r="I124" s="273">
        <v>750300</v>
      </c>
      <c r="J124" s="273">
        <v>833047</v>
      </c>
      <c r="K124" s="273">
        <v>1552467</v>
      </c>
      <c r="L124" s="273">
        <v>1294999</v>
      </c>
      <c r="M124" s="273">
        <v>1131478</v>
      </c>
      <c r="N124" s="273">
        <v>1120306</v>
      </c>
      <c r="O124" s="273">
        <v>1733510</v>
      </c>
      <c r="P124" s="273">
        <v>965219</v>
      </c>
      <c r="Q124" s="273">
        <v>1019047</v>
      </c>
      <c r="R124" s="273">
        <v>1038078</v>
      </c>
      <c r="S124" s="273">
        <v>2085233</v>
      </c>
      <c r="T124" s="273">
        <v>1080514</v>
      </c>
      <c r="U124" s="273">
        <v>1213092</v>
      </c>
      <c r="V124" s="273">
        <v>1162708</v>
      </c>
      <c r="W124" s="273">
        <v>1906684</v>
      </c>
      <c r="X124" s="273">
        <v>1236161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5">
        <v>751314</v>
      </c>
      <c r="E125" s="275">
        <v>755232</v>
      </c>
      <c r="F125" s="275">
        <v>636682</v>
      </c>
      <c r="G125" s="275">
        <v>477338</v>
      </c>
      <c r="H125" s="275">
        <v>391893</v>
      </c>
      <c r="I125" s="275">
        <v>369301</v>
      </c>
      <c r="J125" s="275">
        <v>367363</v>
      </c>
      <c r="K125" s="275">
        <v>367786</v>
      </c>
      <c r="L125" s="275">
        <v>58345</v>
      </c>
      <c r="M125" s="275">
        <v>64117</v>
      </c>
      <c r="N125" s="275">
        <v>64417</v>
      </c>
      <c r="O125" s="275">
        <v>64780</v>
      </c>
      <c r="P125" s="275">
        <v>68359</v>
      </c>
      <c r="Q125" s="275">
        <v>62397</v>
      </c>
      <c r="R125" s="275">
        <v>51923</v>
      </c>
      <c r="S125" s="275">
        <v>142574</v>
      </c>
      <c r="T125" s="275">
        <v>137047</v>
      </c>
      <c r="U125" s="275">
        <v>134604</v>
      </c>
      <c r="V125" s="275">
        <v>131591</v>
      </c>
      <c r="W125" s="275">
        <v>157703</v>
      </c>
      <c r="X125" s="275">
        <v>124586</v>
      </c>
    </row>
    <row r="126" spans="1:24" ht="14.25" thickBot="1" x14ac:dyDescent="0.3">
      <c r="A126" s="224" t="s">
        <v>33</v>
      </c>
      <c r="B126" s="273">
        <v>31395</v>
      </c>
      <c r="C126" s="273">
        <v>31429</v>
      </c>
      <c r="D126" s="273">
        <v>32185</v>
      </c>
      <c r="E126" s="273">
        <v>32863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1543487</v>
      </c>
      <c r="C127" s="275">
        <v>1922922</v>
      </c>
      <c r="D127" s="275">
        <v>1510710</v>
      </c>
      <c r="E127" s="275">
        <v>1556933</v>
      </c>
      <c r="F127" s="275">
        <v>1512060</v>
      </c>
      <c r="G127" s="275">
        <v>1755846</v>
      </c>
      <c r="H127" s="275">
        <v>1210400</v>
      </c>
      <c r="I127" s="275">
        <v>1119601</v>
      </c>
      <c r="J127" s="275">
        <v>1200410</v>
      </c>
      <c r="K127" s="275">
        <v>1920253</v>
      </c>
      <c r="L127" s="275">
        <v>1353344</v>
      </c>
      <c r="M127" s="275">
        <v>1195595</v>
      </c>
      <c r="N127" s="275">
        <v>1184723</v>
      </c>
      <c r="O127" s="275">
        <v>1798290</v>
      </c>
      <c r="P127" s="275">
        <v>1033578</v>
      </c>
      <c r="Q127" s="275">
        <v>1081444</v>
      </c>
      <c r="R127" s="275">
        <v>1090001</v>
      </c>
      <c r="S127" s="275">
        <v>2227807</v>
      </c>
      <c r="T127" s="275">
        <v>1217561</v>
      </c>
      <c r="U127" s="275">
        <v>1347696</v>
      </c>
      <c r="V127" s="275">
        <v>1294299</v>
      </c>
      <c r="W127" s="275">
        <v>2064387</v>
      </c>
      <c r="X127" s="275">
        <v>1360747</v>
      </c>
    </row>
    <row r="128" spans="1:24" ht="14.25" thickBot="1" x14ac:dyDescent="0.3">
      <c r="A128" s="224" t="s">
        <v>34</v>
      </c>
      <c r="B128" s="273">
        <v>2641158</v>
      </c>
      <c r="C128" s="273">
        <v>2478610</v>
      </c>
      <c r="D128" s="273">
        <v>2636686</v>
      </c>
      <c r="E128" s="273">
        <v>2814206</v>
      </c>
      <c r="F128" s="273">
        <v>3233447</v>
      </c>
      <c r="G128" s="273">
        <v>3272520</v>
      </c>
      <c r="H128" s="273">
        <v>3581435</v>
      </c>
      <c r="I128" s="273">
        <v>3821939</v>
      </c>
      <c r="J128" s="273">
        <v>4026361</v>
      </c>
      <c r="K128" s="273">
        <v>3502201</v>
      </c>
      <c r="L128" s="273">
        <v>3825047</v>
      </c>
      <c r="M128" s="273">
        <v>4118199</v>
      </c>
      <c r="N128" s="273">
        <v>5028897</v>
      </c>
      <c r="O128" s="273">
        <v>4452648</v>
      </c>
      <c r="P128" s="273">
        <v>4773346</v>
      </c>
      <c r="Q128" s="273">
        <v>4894655</v>
      </c>
      <c r="R128" s="273">
        <v>5108385</v>
      </c>
      <c r="S128" s="273">
        <v>4437374</v>
      </c>
      <c r="T128" s="273">
        <v>4619824</v>
      </c>
      <c r="U128" s="273">
        <v>4853671</v>
      </c>
      <c r="V128" s="273">
        <v>4948592</v>
      </c>
      <c r="W128" s="273">
        <v>4459627</v>
      </c>
      <c r="X128" s="273">
        <v>4647280</v>
      </c>
    </row>
    <row r="129" spans="1:24" ht="14.25" thickBot="1" x14ac:dyDescent="0.3">
      <c r="A129" s="225" t="s">
        <v>35</v>
      </c>
      <c r="B129" s="276">
        <v>4184645</v>
      </c>
      <c r="C129" s="276">
        <v>4401532</v>
      </c>
      <c r="D129" s="276">
        <v>4147396</v>
      </c>
      <c r="E129" s="276">
        <v>4371139</v>
      </c>
      <c r="F129" s="276">
        <v>4745507</v>
      </c>
      <c r="G129" s="276">
        <v>5028366</v>
      </c>
      <c r="H129" s="276">
        <v>4791835</v>
      </c>
      <c r="I129" s="276">
        <v>4941540</v>
      </c>
      <c r="J129" s="276">
        <v>5226771</v>
      </c>
      <c r="K129" s="276">
        <v>5422454</v>
      </c>
      <c r="L129" s="276">
        <v>5178391</v>
      </c>
      <c r="M129" s="276">
        <v>5313794</v>
      </c>
      <c r="N129" s="276">
        <v>6213620</v>
      </c>
      <c r="O129" s="276">
        <v>6250938</v>
      </c>
      <c r="P129" s="276">
        <v>5806924</v>
      </c>
      <c r="Q129" s="276">
        <v>5976099</v>
      </c>
      <c r="R129" s="276">
        <v>6198386</v>
      </c>
      <c r="S129" s="276">
        <v>6665181</v>
      </c>
      <c r="T129" s="276">
        <v>5837385</v>
      </c>
      <c r="U129" s="276">
        <v>6201367</v>
      </c>
      <c r="V129" s="276">
        <v>6242891</v>
      </c>
      <c r="W129" s="276">
        <v>6524014</v>
      </c>
      <c r="X129" s="276">
        <v>6008027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7.67</v>
      </c>
      <c r="C132" s="68">
        <v>7.02</v>
      </c>
      <c r="D132" s="68">
        <v>6.04</v>
      </c>
      <c r="E132" s="68">
        <v>8.08</v>
      </c>
      <c r="F132" s="68">
        <v>8.11</v>
      </c>
    </row>
    <row r="133" spans="1:24" ht="14.25" thickBot="1" x14ac:dyDescent="0.3">
      <c r="A133" s="225" t="s">
        <v>37</v>
      </c>
      <c r="B133" s="274">
        <v>-2.5299999999999998</v>
      </c>
      <c r="C133" s="274">
        <v>-5.7</v>
      </c>
      <c r="D133" s="274">
        <v>5</v>
      </c>
      <c r="E133" s="274">
        <v>-0.92</v>
      </c>
      <c r="F133" s="274">
        <v>-2.52</v>
      </c>
    </row>
    <row r="134" spans="1:24" ht="14.25" thickBot="1" x14ac:dyDescent="0.3">
      <c r="A134" s="224" t="s">
        <v>38</v>
      </c>
      <c r="B134" s="68">
        <v>-3.04</v>
      </c>
      <c r="C134" s="68">
        <v>-2.59</v>
      </c>
      <c r="D134" s="68">
        <v>-5.27</v>
      </c>
      <c r="E134" s="68">
        <v>-7.05</v>
      </c>
      <c r="F134" s="68">
        <v>-6.43</v>
      </c>
    </row>
    <row r="135" spans="1:24" ht="14.25" thickBot="1" x14ac:dyDescent="0.3">
      <c r="A135" s="225" t="s">
        <v>270</v>
      </c>
      <c r="B135" s="274">
        <v>5.14</v>
      </c>
      <c r="C135" s="274">
        <v>1.32</v>
      </c>
      <c r="D135" s="274">
        <v>11.05</v>
      </c>
      <c r="E135" s="274">
        <v>7.16</v>
      </c>
      <c r="F135" s="274">
        <v>5.59</v>
      </c>
    </row>
    <row r="136" spans="1:24" ht="14.25" thickBot="1" x14ac:dyDescent="0.3">
      <c r="A136" s="229" t="s">
        <v>39</v>
      </c>
      <c r="B136" s="72">
        <v>2.1</v>
      </c>
      <c r="C136" s="72">
        <v>-1.27</v>
      </c>
      <c r="D136" s="72">
        <v>5.78</v>
      </c>
      <c r="E136" s="72">
        <v>0.11</v>
      </c>
      <c r="F136" s="72">
        <v>-0.84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3.35</v>
      </c>
      <c r="C140" s="68">
        <v>6</v>
      </c>
      <c r="D140" s="68">
        <v>6</v>
      </c>
      <c r="E140" s="68">
        <v>6</v>
      </c>
      <c r="F140" s="68">
        <v>5</v>
      </c>
    </row>
    <row r="141" spans="1:24" ht="14.25" thickBot="1" x14ac:dyDescent="0.3">
      <c r="A141" s="227" t="s">
        <v>1</v>
      </c>
      <c r="B141" s="73">
        <v>0.96</v>
      </c>
      <c r="C141" s="73">
        <v>1</v>
      </c>
      <c r="D141" s="73">
        <v>0.5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0.52755905511811019</v>
      </c>
      <c r="C142" s="234">
        <f>IF(C140&lt;&gt;"無",IF(ISNA(HLOOKUP(C139,$B$64:$F$69,6,FALSE)),"",C140/HLOOKUP(C139,$B$64:$F$69,6,FALSE)),"")</f>
        <v>0.76530612244897955</v>
      </c>
      <c r="D142" s="234">
        <f>IF(D140&lt;&gt;"無",IF(ISNA(HLOOKUP(D139,$B$64:$F$69,6,FALSE)),"",D140/HLOOKUP(D139,$B$64:$F$69,6,FALSE)),"")</f>
        <v>0.79365079365079361</v>
      </c>
      <c r="E142" s="234">
        <f>IF(E140&lt;&gt;"無",IF(ISNA(HLOOKUP(E139,$B$64:$F$69,6,FALSE)),"",E140/HLOOKUP(E139,$B$64:$F$69,6,FALSE)),"")</f>
        <v>0.83449235048678716</v>
      </c>
      <c r="F142" s="234">
        <f>IF(F140&lt;&gt;"無",IF(ISNA(HLOOKUP(F139,$B$64:$F$69,6,FALSE)),"",F140/HLOOKUP(F139,$B$64:$F$69,6,FALSE)),"")</f>
        <v>0.82918739635157546</v>
      </c>
    </row>
    <row r="143" spans="1:24" x14ac:dyDescent="0.25">
      <c r="A143" s="233" t="s">
        <v>216</v>
      </c>
      <c r="B143" s="234">
        <f>IF(OR(B140=0,B140="無"),"",B135/B140)</f>
        <v>1.5343283582089551</v>
      </c>
      <c r="C143" s="234">
        <f>IF(OR(C140=0,C140="無"),"",C135/C140)</f>
        <v>0.22</v>
      </c>
      <c r="D143" s="234">
        <f>IF(OR(D140=0,D140="無"),"",D135/D140)</f>
        <v>1.8416666666666668</v>
      </c>
      <c r="E143" s="234">
        <f>IF(OR(E140=0,E140="無"),"",E135/E140)</f>
        <v>1.1933333333333334</v>
      </c>
      <c r="F143" s="234">
        <f>IF(OR(F140=0,F140="無"),"",F135/F140)</f>
        <v>1.1179999999999999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31.19</v>
      </c>
      <c r="C146" s="68">
        <v>31.66</v>
      </c>
      <c r="D146" s="68">
        <v>31.84</v>
      </c>
      <c r="E146" s="68">
        <v>31.09</v>
      </c>
      <c r="F146" s="68">
        <v>34.67</v>
      </c>
      <c r="G146" s="68">
        <v>33.22</v>
      </c>
      <c r="H146" s="68">
        <v>32.479999999999997</v>
      </c>
      <c r="I146" s="68">
        <v>30.64</v>
      </c>
      <c r="J146" s="68">
        <v>32.43</v>
      </c>
      <c r="K146" s="68">
        <v>31.4</v>
      </c>
      <c r="L146" s="68">
        <v>32.83</v>
      </c>
      <c r="M146" s="68">
        <v>31.79</v>
      </c>
      <c r="N146" s="68">
        <v>33.83</v>
      </c>
      <c r="O146" s="68">
        <v>33.659999999999997</v>
      </c>
      <c r="P146" s="68">
        <v>35</v>
      </c>
      <c r="Q146" s="68">
        <v>35.119999999999997</v>
      </c>
      <c r="R146" s="68">
        <v>35.33</v>
      </c>
      <c r="S146" s="68">
        <v>34.43</v>
      </c>
      <c r="T146" s="68">
        <v>32.58</v>
      </c>
      <c r="U146" s="68">
        <v>32.229999999999997</v>
      </c>
      <c r="V146" s="68">
        <v>30.11</v>
      </c>
      <c r="W146" s="68">
        <v>30.14</v>
      </c>
      <c r="X146" s="68">
        <v>30.3</v>
      </c>
    </row>
    <row r="147" spans="1:24" s="93" customFormat="1" ht="14.25" thickBot="1" x14ac:dyDescent="0.3">
      <c r="A147" s="225" t="s">
        <v>19</v>
      </c>
      <c r="B147" s="274">
        <v>18.48</v>
      </c>
      <c r="C147" s="274">
        <v>19.670000000000002</v>
      </c>
      <c r="D147" s="274">
        <v>21.05</v>
      </c>
      <c r="E147" s="274">
        <v>19.079999999999998</v>
      </c>
      <c r="F147" s="274">
        <v>23.79</v>
      </c>
      <c r="G147" s="274">
        <v>22.85</v>
      </c>
      <c r="H147" s="274">
        <v>23.42</v>
      </c>
      <c r="I147" s="274">
        <v>19.309999999999999</v>
      </c>
      <c r="J147" s="274">
        <v>20.45</v>
      </c>
      <c r="K147" s="274">
        <v>20.95</v>
      </c>
      <c r="L147" s="274">
        <v>22.66</v>
      </c>
      <c r="M147" s="274">
        <v>21.7</v>
      </c>
      <c r="N147" s="274">
        <v>20.91</v>
      </c>
      <c r="O147" s="274">
        <v>21.47</v>
      </c>
      <c r="P147" s="274">
        <v>22.18</v>
      </c>
      <c r="Q147" s="274">
        <v>21.98</v>
      </c>
      <c r="R147" s="274">
        <v>21.76</v>
      </c>
      <c r="S147" s="274">
        <v>17.64</v>
      </c>
      <c r="T147" s="274">
        <v>16.73</v>
      </c>
      <c r="U147" s="274">
        <v>13.86</v>
      </c>
      <c r="V147" s="274">
        <v>14.94</v>
      </c>
      <c r="W147" s="274">
        <v>15.72</v>
      </c>
      <c r="X147" s="274">
        <v>13.69</v>
      </c>
    </row>
    <row r="148" spans="1:24" s="93" customFormat="1" ht="14.25" thickBot="1" x14ac:dyDescent="0.3">
      <c r="A148" s="224" t="s">
        <v>41</v>
      </c>
      <c r="B148" s="68">
        <v>16.53</v>
      </c>
      <c r="C148" s="68">
        <v>20.79</v>
      </c>
      <c r="D148" s="68">
        <v>19.829999999999998</v>
      </c>
      <c r="E148" s="68">
        <v>20.73</v>
      </c>
      <c r="F148" s="68">
        <v>27.2</v>
      </c>
      <c r="G148" s="68">
        <v>25.46</v>
      </c>
      <c r="H148" s="68">
        <v>22.58</v>
      </c>
      <c r="I148" s="68">
        <v>23.76</v>
      </c>
      <c r="J148" s="68">
        <v>22.44</v>
      </c>
      <c r="K148" s="68">
        <v>19.73</v>
      </c>
      <c r="L148" s="68">
        <v>25.25</v>
      </c>
      <c r="M148" s="68">
        <v>25.21</v>
      </c>
      <c r="N148" s="68">
        <v>20.5</v>
      </c>
      <c r="O148" s="68">
        <v>20.96</v>
      </c>
      <c r="P148" s="68">
        <v>27.75</v>
      </c>
      <c r="Q148" s="68">
        <v>23.2</v>
      </c>
      <c r="R148" s="68">
        <v>18.97</v>
      </c>
      <c r="S148" s="68">
        <v>19.43</v>
      </c>
      <c r="T148" s="68">
        <v>13.56</v>
      </c>
      <c r="U148" s="68">
        <v>19.440000000000001</v>
      </c>
      <c r="V148" s="68">
        <v>9.01</v>
      </c>
      <c r="W148" s="68">
        <v>15.91</v>
      </c>
      <c r="X148" s="68">
        <v>13.76</v>
      </c>
    </row>
    <row r="149" spans="1:24" s="93" customFormat="1" ht="14.25" thickBot="1" x14ac:dyDescent="0.3">
      <c r="A149" s="225" t="s">
        <v>13</v>
      </c>
      <c r="B149" s="73">
        <v>14.92</v>
      </c>
      <c r="C149" s="73">
        <v>16.52</v>
      </c>
      <c r="D149" s="73">
        <v>17.82</v>
      </c>
      <c r="E149" s="73">
        <v>18.829999999999998</v>
      </c>
      <c r="F149" s="73">
        <v>23.85</v>
      </c>
      <c r="G149" s="73">
        <v>21.65</v>
      </c>
      <c r="H149" s="73">
        <v>19.739999999999998</v>
      </c>
      <c r="I149" s="73">
        <v>20.36</v>
      </c>
      <c r="J149" s="73">
        <v>19.72</v>
      </c>
      <c r="K149" s="73">
        <v>16.809999999999999</v>
      </c>
      <c r="L149" s="73">
        <v>22.78</v>
      </c>
      <c r="M149" s="73">
        <v>21.54</v>
      </c>
      <c r="N149" s="73">
        <v>17.82</v>
      </c>
      <c r="O149" s="73">
        <v>17.91</v>
      </c>
      <c r="P149" s="73">
        <v>24.06</v>
      </c>
      <c r="Q149" s="73">
        <v>20.260000000000002</v>
      </c>
      <c r="R149" s="73">
        <v>16.22</v>
      </c>
      <c r="S149" s="73">
        <v>17.18</v>
      </c>
      <c r="T149" s="73">
        <v>12.01</v>
      </c>
      <c r="U149" s="73">
        <v>16.61</v>
      </c>
      <c r="V149" s="73">
        <v>7.74</v>
      </c>
      <c r="W149" s="73">
        <v>13.91</v>
      </c>
      <c r="X149" s="73">
        <v>11.83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31.45</v>
      </c>
      <c r="C152" s="68">
        <v>32.74</v>
      </c>
      <c r="D152" s="68">
        <v>32.11</v>
      </c>
      <c r="E152" s="68">
        <v>34.409999999999997</v>
      </c>
      <c r="F152" s="68">
        <v>33.61</v>
      </c>
    </row>
    <row r="153" spans="1:24" s="93" customFormat="1" ht="14.25" thickBot="1" x14ac:dyDescent="0.3">
      <c r="A153" s="225" t="s">
        <v>19</v>
      </c>
      <c r="B153" s="274">
        <v>19.59</v>
      </c>
      <c r="C153" s="274">
        <v>22.36</v>
      </c>
      <c r="D153" s="274">
        <v>21.52</v>
      </c>
      <c r="E153" s="274">
        <v>21.65</v>
      </c>
      <c r="F153" s="274">
        <v>17.440000000000001</v>
      </c>
    </row>
    <row r="154" spans="1:24" s="93" customFormat="1" ht="14.25" thickBot="1" x14ac:dyDescent="0.3">
      <c r="A154" s="224" t="s">
        <v>41</v>
      </c>
      <c r="B154" s="68">
        <v>19.54</v>
      </c>
      <c r="C154" s="68">
        <v>24.71</v>
      </c>
      <c r="D154" s="68">
        <v>23.27</v>
      </c>
      <c r="E154" s="68">
        <v>23.09</v>
      </c>
      <c r="F154" s="68">
        <v>17.809999999999999</v>
      </c>
    </row>
    <row r="155" spans="1:24" s="93" customFormat="1" ht="14.25" thickBot="1" x14ac:dyDescent="0.3">
      <c r="A155" s="225" t="s">
        <v>13</v>
      </c>
      <c r="B155" s="73">
        <v>17.059999999999999</v>
      </c>
      <c r="C155" s="73">
        <v>21.36</v>
      </c>
      <c r="D155" s="73">
        <v>20.32</v>
      </c>
      <c r="E155" s="73">
        <v>20</v>
      </c>
      <c r="F155" s="73">
        <v>15.48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3.11</v>
      </c>
      <c r="C158" s="68">
        <v>3.68</v>
      </c>
      <c r="D158" s="68">
        <v>3.84</v>
      </c>
      <c r="E158" s="68">
        <v>4.1100000000000003</v>
      </c>
      <c r="F158" s="68">
        <v>5.0599999999999996</v>
      </c>
      <c r="G158" s="68">
        <v>4.78</v>
      </c>
      <c r="H158" s="68">
        <v>4.25</v>
      </c>
      <c r="I158" s="68">
        <v>4.18</v>
      </c>
      <c r="J158" s="68">
        <v>3.88</v>
      </c>
      <c r="K158" s="68">
        <v>3.78</v>
      </c>
      <c r="L158" s="68">
        <v>5.7</v>
      </c>
      <c r="M158" s="68">
        <v>5.15</v>
      </c>
      <c r="N158" s="68">
        <v>3.66</v>
      </c>
      <c r="O158" s="68">
        <v>4.0199999999999996</v>
      </c>
      <c r="P158" s="68">
        <v>5.0599999999999996</v>
      </c>
      <c r="Q158" s="68">
        <v>4.71</v>
      </c>
      <c r="R158" s="68">
        <v>3.58</v>
      </c>
      <c r="S158" s="68">
        <v>3.8</v>
      </c>
      <c r="T158" s="68">
        <v>2.79</v>
      </c>
      <c r="U158" s="68">
        <v>3.92</v>
      </c>
      <c r="V158" s="68">
        <v>1.9</v>
      </c>
      <c r="W158" s="68">
        <v>3.9</v>
      </c>
      <c r="X158" s="68">
        <v>2.93</v>
      </c>
    </row>
    <row r="159" spans="1:24" s="93" customFormat="1" ht="14.25" thickBot="1" x14ac:dyDescent="0.3">
      <c r="A159" s="225" t="s">
        <v>45</v>
      </c>
      <c r="B159" s="73">
        <v>4.82</v>
      </c>
      <c r="C159" s="73">
        <v>6.04</v>
      </c>
      <c r="D159" s="73">
        <v>6.27</v>
      </c>
      <c r="E159" s="73">
        <v>6.29</v>
      </c>
      <c r="F159" s="73">
        <v>7.53</v>
      </c>
      <c r="G159" s="73">
        <v>7.12</v>
      </c>
      <c r="H159" s="73">
        <v>6.05</v>
      </c>
      <c r="I159" s="73">
        <v>5.45</v>
      </c>
      <c r="J159" s="73">
        <v>4.99</v>
      </c>
      <c r="K159" s="73">
        <v>5.31</v>
      </c>
      <c r="L159" s="73">
        <v>8.1999999999999993</v>
      </c>
      <c r="M159" s="73">
        <v>6.77</v>
      </c>
      <c r="N159" s="73">
        <v>4.59</v>
      </c>
      <c r="O159" s="73">
        <v>5.28</v>
      </c>
      <c r="P159" s="73">
        <v>6.61</v>
      </c>
      <c r="Q159" s="73">
        <v>5.74</v>
      </c>
      <c r="R159" s="73">
        <v>4.3600000000000003</v>
      </c>
      <c r="S159" s="73">
        <v>5.1100000000000003</v>
      </c>
      <c r="T159" s="73">
        <v>3.85</v>
      </c>
      <c r="U159" s="73">
        <v>4.97</v>
      </c>
      <c r="V159" s="73">
        <v>2.4</v>
      </c>
      <c r="W159" s="73">
        <v>5.28</v>
      </c>
      <c r="X159" s="73">
        <v>4.0199999999999996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17.059999999999999</v>
      </c>
      <c r="C162" s="68">
        <v>21.36</v>
      </c>
      <c r="D162" s="68">
        <v>20.32</v>
      </c>
      <c r="E162" s="68">
        <v>20</v>
      </c>
      <c r="F162" s="68">
        <v>15.48</v>
      </c>
    </row>
    <row r="163" spans="1:72" s="93" customFormat="1" ht="14.25" thickBot="1" x14ac:dyDescent="0.3">
      <c r="A163" s="225" t="s">
        <v>18</v>
      </c>
      <c r="B163" s="274">
        <v>0.82</v>
      </c>
      <c r="C163" s="274">
        <v>0.82</v>
      </c>
      <c r="D163" s="274">
        <v>0.89</v>
      </c>
      <c r="E163" s="274">
        <v>0.87</v>
      </c>
      <c r="F163" s="274">
        <v>0.91</v>
      </c>
    </row>
    <row r="164" spans="1:72" s="93" customFormat="1" ht="14.25" thickBot="1" x14ac:dyDescent="0.3">
      <c r="A164" s="224" t="s">
        <v>15</v>
      </c>
      <c r="B164" s="68">
        <v>1.55</v>
      </c>
      <c r="C164" s="68">
        <v>1.29</v>
      </c>
      <c r="D164" s="68">
        <v>1.29</v>
      </c>
      <c r="E164" s="68">
        <v>1.22</v>
      </c>
      <c r="F164" s="68">
        <v>1.28</v>
      </c>
    </row>
    <row r="165" spans="1:72" s="93" customFormat="1" ht="14.25" thickBot="1" x14ac:dyDescent="0.3">
      <c r="A165" s="225" t="s">
        <v>45</v>
      </c>
      <c r="B165" s="73">
        <v>22.92</v>
      </c>
      <c r="C165" s="73">
        <v>26.17</v>
      </c>
      <c r="D165" s="73">
        <v>24.3</v>
      </c>
      <c r="E165" s="73">
        <v>23.14</v>
      </c>
      <c r="F165" s="73">
        <v>17.89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62.94</v>
      </c>
      <c r="C168" s="68">
        <v>67.16</v>
      </c>
      <c r="D168" s="68">
        <v>71.430000000000007</v>
      </c>
      <c r="E168" s="68">
        <v>69.23</v>
      </c>
      <c r="F168" s="68">
        <v>66.67</v>
      </c>
      <c r="G168" s="68">
        <v>66.67</v>
      </c>
      <c r="H168" s="68">
        <v>75.63</v>
      </c>
      <c r="I168" s="68">
        <v>74.38</v>
      </c>
      <c r="J168" s="68">
        <v>73.77</v>
      </c>
      <c r="K168" s="68">
        <v>70.87</v>
      </c>
      <c r="L168" s="68">
        <v>73.77</v>
      </c>
      <c r="M168" s="68">
        <v>79.650000000000006</v>
      </c>
      <c r="N168" s="68">
        <v>75</v>
      </c>
      <c r="O168" s="68">
        <v>64.75</v>
      </c>
      <c r="P168" s="68">
        <v>73.77</v>
      </c>
      <c r="Q168" s="68">
        <v>68.180000000000007</v>
      </c>
      <c r="R168" s="68">
        <v>69.77</v>
      </c>
      <c r="S168" s="68">
        <v>69.23</v>
      </c>
      <c r="T168" s="68">
        <v>68.7</v>
      </c>
      <c r="U168" s="68">
        <v>68.7</v>
      </c>
      <c r="V168" s="68">
        <v>68.7</v>
      </c>
      <c r="W168" s="68">
        <v>61.22</v>
      </c>
      <c r="X168" s="68">
        <v>69.77</v>
      </c>
    </row>
    <row r="169" spans="1:72" s="93" customFormat="1" ht="14.25" thickBot="1" x14ac:dyDescent="0.3">
      <c r="A169" s="225" t="s">
        <v>17</v>
      </c>
      <c r="B169" s="274">
        <v>77.59</v>
      </c>
      <c r="C169" s="274">
        <v>69.77</v>
      </c>
      <c r="D169" s="274">
        <v>65.69</v>
      </c>
      <c r="E169" s="274">
        <v>56.25</v>
      </c>
      <c r="F169" s="274">
        <v>59.6</v>
      </c>
      <c r="G169" s="274">
        <v>51.43</v>
      </c>
      <c r="H169" s="274">
        <v>51.43</v>
      </c>
      <c r="I169" s="274">
        <v>55.9</v>
      </c>
      <c r="J169" s="274">
        <v>65.69</v>
      </c>
      <c r="K169" s="274">
        <v>57.32</v>
      </c>
      <c r="L169" s="274">
        <v>51.43</v>
      </c>
      <c r="M169" s="274">
        <v>52.63</v>
      </c>
      <c r="N169" s="274">
        <v>70.87</v>
      </c>
      <c r="O169" s="274">
        <v>69.77</v>
      </c>
      <c r="P169" s="274">
        <v>73.77</v>
      </c>
      <c r="Q169" s="274">
        <v>68.180000000000007</v>
      </c>
      <c r="R169" s="274">
        <v>73.17</v>
      </c>
      <c r="S169" s="274">
        <v>75</v>
      </c>
      <c r="T169" s="274">
        <v>75</v>
      </c>
      <c r="U169" s="274">
        <v>76.92</v>
      </c>
      <c r="V169" s="274">
        <v>71.430000000000007</v>
      </c>
      <c r="W169" s="274">
        <v>62.5</v>
      </c>
      <c r="X169" s="274">
        <v>78.260000000000005</v>
      </c>
    </row>
    <row r="170" spans="1:72" s="93" customFormat="1" ht="14.25" thickBot="1" x14ac:dyDescent="0.3">
      <c r="A170" s="224" t="s">
        <v>42</v>
      </c>
      <c r="B170" s="72">
        <v>140.52000000000001</v>
      </c>
      <c r="C170" s="72">
        <v>136.93</v>
      </c>
      <c r="D170" s="72">
        <v>137.12</v>
      </c>
      <c r="E170" s="72">
        <v>125.48</v>
      </c>
      <c r="F170" s="72">
        <v>126.27</v>
      </c>
      <c r="G170" s="72">
        <v>118.1</v>
      </c>
      <c r="H170" s="72">
        <v>127.06</v>
      </c>
      <c r="I170" s="72">
        <v>130.28</v>
      </c>
      <c r="J170" s="72">
        <v>139.46</v>
      </c>
      <c r="K170" s="72">
        <v>128.19</v>
      </c>
      <c r="L170" s="72">
        <v>125.2</v>
      </c>
      <c r="M170" s="72">
        <v>132.28</v>
      </c>
      <c r="N170" s="72">
        <v>145.87</v>
      </c>
      <c r="O170" s="72">
        <v>134.52000000000001</v>
      </c>
      <c r="P170" s="72">
        <v>147.54</v>
      </c>
      <c r="Q170" s="72">
        <v>136.36000000000001</v>
      </c>
      <c r="R170" s="72">
        <v>142.94</v>
      </c>
      <c r="S170" s="72">
        <v>144.22999999999999</v>
      </c>
      <c r="T170" s="72">
        <v>143.69999999999999</v>
      </c>
      <c r="U170" s="72">
        <v>145.63</v>
      </c>
      <c r="V170" s="72">
        <v>140.13</v>
      </c>
      <c r="W170" s="72">
        <v>123.72</v>
      </c>
      <c r="X170" s="72">
        <v>148.03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125.94</v>
      </c>
      <c r="C173" s="72">
        <v>94.3</v>
      </c>
      <c r="D173" s="72">
        <v>82.78</v>
      </c>
      <c r="E173" s="72">
        <v>112.51</v>
      </c>
      <c r="F173" s="72">
        <v>136.31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10.27</v>
      </c>
      <c r="C176" s="72">
        <v>11.77</v>
      </c>
      <c r="D176" s="72">
        <v>12.89</v>
      </c>
      <c r="E176" s="72">
        <v>12.1</v>
      </c>
      <c r="F176" s="72">
        <v>11.76</v>
      </c>
      <c r="G176" s="72">
        <v>11.04</v>
      </c>
      <c r="H176" s="72">
        <v>11.42</v>
      </c>
      <c r="I176" s="72">
        <v>11.6</v>
      </c>
      <c r="J176" s="72">
        <v>11.16</v>
      </c>
      <c r="K176" s="72">
        <v>10.82</v>
      </c>
      <c r="L176" s="72">
        <v>11.11</v>
      </c>
      <c r="M176" s="72">
        <v>11.75</v>
      </c>
      <c r="N176" s="72">
        <v>12.43</v>
      </c>
      <c r="O176" s="72">
        <v>13</v>
      </c>
      <c r="P176" s="72">
        <v>13.63</v>
      </c>
      <c r="Q176" s="72">
        <v>12.5</v>
      </c>
      <c r="R176" s="72">
        <v>12.74</v>
      </c>
      <c r="S176" s="72">
        <v>13.52</v>
      </c>
      <c r="T176" s="72">
        <v>16.18</v>
      </c>
      <c r="U176" s="72">
        <v>13.57</v>
      </c>
      <c r="V176" s="72">
        <v>12.91</v>
      </c>
      <c r="W176" s="72">
        <v>13.38</v>
      </c>
      <c r="X176" s="72">
        <v>14.67</v>
      </c>
      <c r="Y176" s="72">
        <v>16.260000000000002</v>
      </c>
      <c r="Z176" s="72">
        <v>15.58</v>
      </c>
      <c r="AA176" s="72">
        <v>15.42</v>
      </c>
      <c r="AB176" s="72">
        <v>16.93</v>
      </c>
      <c r="AC176" s="72">
        <v>16.23</v>
      </c>
      <c r="AD176" s="72">
        <v>17.11</v>
      </c>
      <c r="AE176" s="72">
        <v>19.100000000000001</v>
      </c>
      <c r="AF176" s="72">
        <v>19.46</v>
      </c>
      <c r="AG176" s="72">
        <v>19.059999999999999</v>
      </c>
      <c r="AH176" s="72">
        <v>17.899999999999999</v>
      </c>
      <c r="AI176" s="72">
        <v>16.829999999999998</v>
      </c>
      <c r="AJ176" s="72">
        <v>16.54</v>
      </c>
      <c r="AK176" s="72">
        <v>16.309999999999999</v>
      </c>
      <c r="AL176" s="72">
        <v>16.59</v>
      </c>
      <c r="AM176" s="72">
        <v>17.29</v>
      </c>
      <c r="AN176" s="72">
        <v>17.2</v>
      </c>
      <c r="AO176" s="72">
        <v>17.579999999999998</v>
      </c>
      <c r="AP176" s="72">
        <v>16.95</v>
      </c>
      <c r="AQ176" s="72">
        <v>17.489999999999998</v>
      </c>
      <c r="AR176" s="72">
        <v>16.39</v>
      </c>
      <c r="AS176" s="72">
        <v>13.96</v>
      </c>
      <c r="AT176" s="72">
        <v>12.64</v>
      </c>
      <c r="AU176" s="72">
        <v>13.84</v>
      </c>
      <c r="AV176" s="72">
        <v>14.45</v>
      </c>
      <c r="AW176" s="72">
        <v>13.65</v>
      </c>
      <c r="AX176" s="72">
        <v>13.75</v>
      </c>
      <c r="AY176" s="72">
        <v>15.36</v>
      </c>
      <c r="AZ176" s="72">
        <v>16.03</v>
      </c>
      <c r="BA176" s="72">
        <v>15.55</v>
      </c>
      <c r="BB176" s="72">
        <v>15.5</v>
      </c>
      <c r="BC176" s="72">
        <v>15.31</v>
      </c>
      <c r="BD176" s="72">
        <v>14.81</v>
      </c>
      <c r="BE176" s="72">
        <v>15.59</v>
      </c>
      <c r="BF176" s="72">
        <v>15.62</v>
      </c>
      <c r="BG176" s="72">
        <v>15.08</v>
      </c>
      <c r="BH176" s="72">
        <v>15.15</v>
      </c>
      <c r="BI176" s="72">
        <v>15.32</v>
      </c>
      <c r="BJ176" s="72">
        <v>15.47</v>
      </c>
      <c r="BK176" s="72">
        <v>16.11</v>
      </c>
      <c r="BL176" s="72">
        <v>16.87</v>
      </c>
      <c r="BM176" s="72">
        <v>16.73</v>
      </c>
      <c r="BN176" s="72">
        <v>18.78</v>
      </c>
      <c r="BO176" s="72">
        <v>18.72</v>
      </c>
      <c r="BP176" s="72">
        <v>18.3</v>
      </c>
      <c r="BQ176" s="72">
        <v>17.64</v>
      </c>
      <c r="BR176" s="72">
        <v>16.88</v>
      </c>
      <c r="BS176" s="72">
        <v>16.440000000000001</v>
      </c>
      <c r="BT176" s="72">
        <v>16.309999999999999</v>
      </c>
    </row>
  </sheetData>
  <phoneticPr fontId="3" type="noConversion"/>
  <conditionalFormatting sqref="E4">
    <cfRule type="cellIs" dxfId="2474" priority="103" operator="greaterThan">
      <formula>0.2</formula>
    </cfRule>
    <cfRule type="cellIs" dxfId="247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247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471" priority="97" operator="greaterThan">
      <formula>$B$19</formula>
    </cfRule>
  </conditionalFormatting>
  <conditionalFormatting sqref="D33:D34">
    <cfRule type="cellIs" dxfId="247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2469" priority="91" operator="lessThan">
      <formula>$H$62</formula>
    </cfRule>
    <cfRule type="cellIs" dxfId="2468" priority="92" operator="greaterThan">
      <formula>$H$62</formula>
    </cfRule>
  </conditionalFormatting>
  <conditionalFormatting sqref="J62">
    <cfRule type="cellIs" dxfId="2467" priority="89" operator="lessThan">
      <formula>$K$62</formula>
    </cfRule>
    <cfRule type="cellIs" dxfId="2466" priority="90" operator="greaterThan">
      <formula>$K$62</formula>
    </cfRule>
  </conditionalFormatting>
  <conditionalFormatting sqref="M62">
    <cfRule type="cellIs" dxfId="2465" priority="87" operator="lessThan">
      <formula>$N$62</formula>
    </cfRule>
    <cfRule type="cellIs" dxfId="2464" priority="88" operator="greaterThan">
      <formula>$N$62</formula>
    </cfRule>
  </conditionalFormatting>
  <conditionalFormatting sqref="B44:E44">
    <cfRule type="cellIs" dxfId="2463" priority="85" operator="greaterThan">
      <formula>0</formula>
    </cfRule>
    <cfRule type="cellIs" dxfId="2462" priority="86" operator="lessThan">
      <formula>0</formula>
    </cfRule>
  </conditionalFormatting>
  <conditionalFormatting sqref="F72">
    <cfRule type="cellIs" dxfId="2461" priority="84" operator="lessThan">
      <formula>$E$72*90%</formula>
    </cfRule>
  </conditionalFormatting>
  <conditionalFormatting sqref="F73">
    <cfRule type="cellIs" dxfId="2460" priority="83" operator="lessThan">
      <formula>$E$73*90%</formula>
    </cfRule>
  </conditionalFormatting>
  <conditionalFormatting sqref="F74">
    <cfRule type="cellIs" dxfId="2459" priority="82" operator="lessThan">
      <formula>$E$74*90%</formula>
    </cfRule>
  </conditionalFormatting>
  <conditionalFormatting sqref="F75">
    <cfRule type="cellIs" dxfId="2458" priority="81" operator="lessThan">
      <formula>$E$75*90%</formula>
    </cfRule>
  </conditionalFormatting>
  <conditionalFormatting sqref="H44:K44">
    <cfRule type="cellIs" dxfId="2457" priority="79" operator="greaterThan">
      <formula>0</formula>
    </cfRule>
    <cfRule type="cellIs" dxfId="2456" priority="80" operator="lessThan">
      <formula>0</formula>
    </cfRule>
  </conditionalFormatting>
  <conditionalFormatting sqref="H51:K51">
    <cfRule type="cellIs" dxfId="2455" priority="77" operator="greaterThan">
      <formula>0</formula>
    </cfRule>
    <cfRule type="cellIs" dxfId="2454" priority="78" operator="lessThan">
      <formula>0</formula>
    </cfRule>
  </conditionalFormatting>
  <conditionalFormatting sqref="B51:E51">
    <cfRule type="cellIs" dxfId="2453" priority="75" operator="greaterThan">
      <formula>0</formula>
    </cfRule>
    <cfRule type="cellIs" dxfId="245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45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45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449" priority="58" operator="lessThan">
      <formula>0</formula>
    </cfRule>
  </conditionalFormatting>
  <conditionalFormatting sqref="A25 E25 C25">
    <cfRule type="cellIs" dxfId="2448" priority="59" operator="lessThan">
      <formula>0</formula>
    </cfRule>
  </conditionalFormatting>
  <conditionalFormatting sqref="F25">
    <cfRule type="cellIs" dxfId="2447" priority="57" operator="lessThan">
      <formula>0</formula>
    </cfRule>
  </conditionalFormatting>
  <conditionalFormatting sqref="E1">
    <cfRule type="containsText" dxfId="2446" priority="56" operator="containsText" text="本季業外損益/平均=-">
      <formula>NOT(ISERROR(SEARCH("本季業外損益/平均=-",E1)))</formula>
    </cfRule>
  </conditionalFormatting>
  <conditionalFormatting sqref="M65">
    <cfRule type="cellIs" dxfId="2445" priority="55" operator="lessThan">
      <formula>$L$65*90%</formula>
    </cfRule>
  </conditionalFormatting>
  <conditionalFormatting sqref="M66">
    <cfRule type="cellIs" dxfId="2444" priority="54" operator="lessThan">
      <formula>$L$66*90%</formula>
    </cfRule>
  </conditionalFormatting>
  <conditionalFormatting sqref="M67">
    <cfRule type="cellIs" dxfId="2443" priority="53" operator="lessThan">
      <formula>$L$67*90%</formula>
    </cfRule>
  </conditionalFormatting>
  <conditionalFormatting sqref="M68">
    <cfRule type="cellIs" dxfId="2442" priority="52" operator="lessThan">
      <formula>$L$68*90%</formula>
    </cfRule>
  </conditionalFormatting>
  <conditionalFormatting sqref="B60">
    <cfRule type="cellIs" dxfId="2441" priority="51" operator="lessThan">
      <formula>0</formula>
    </cfRule>
  </conditionalFormatting>
  <conditionalFormatting sqref="B59:F59">
    <cfRule type="cellIs" dxfId="2440" priority="50" operator="lessThanOrEqual">
      <formula>0</formula>
    </cfRule>
  </conditionalFormatting>
  <conditionalFormatting sqref="D62">
    <cfRule type="cellIs" dxfId="2439" priority="48" operator="lessThan">
      <formula>$E$62</formula>
    </cfRule>
    <cfRule type="cellIs" dxfId="2438" priority="49" operator="greaterThan">
      <formula>$E$62</formula>
    </cfRule>
  </conditionalFormatting>
  <conditionalFormatting sqref="F69">
    <cfRule type="cellIs" dxfId="2437" priority="46" operator="lessThan">
      <formula>0</formula>
    </cfRule>
  </conditionalFormatting>
  <conditionalFormatting sqref="B65:E67 B69:E69 B68:D68">
    <cfRule type="cellIs" dxfId="2436" priority="47" operator="lessThan">
      <formula>0</formula>
    </cfRule>
  </conditionalFormatting>
  <conditionalFormatting sqref="E68">
    <cfRule type="cellIs" dxfId="2435" priority="45" operator="lessThan">
      <formula>0</formula>
    </cfRule>
  </conditionalFormatting>
  <conditionalFormatting sqref="F65:F68">
    <cfRule type="cellIs" dxfId="2434" priority="44" operator="lessThan">
      <formula>0</formula>
    </cfRule>
  </conditionalFormatting>
  <conditionalFormatting sqref="F65:F68">
    <cfRule type="cellIs" dxfId="2433" priority="43" operator="lessThan">
      <formula>$E$65*0.9</formula>
    </cfRule>
  </conditionalFormatting>
  <conditionalFormatting sqref="F66">
    <cfRule type="cellIs" dxfId="2432" priority="42" operator="lessThan">
      <formula>$E$66*0.9</formula>
    </cfRule>
  </conditionalFormatting>
  <conditionalFormatting sqref="F67:F68">
    <cfRule type="cellIs" dxfId="2431" priority="41" operator="lessThan">
      <formula>$E$67*0.9</formula>
    </cfRule>
  </conditionalFormatting>
  <conditionalFormatting sqref="F68">
    <cfRule type="cellIs" dxfId="2430" priority="40" operator="lessThan">
      <formula>$E$68*0.9</formula>
    </cfRule>
  </conditionalFormatting>
  <conditionalFormatting sqref="B13:F13">
    <cfRule type="cellIs" dxfId="2429" priority="29" operator="greaterThan">
      <formula>$I$16</formula>
    </cfRule>
    <cfRule type="cellIs" dxfId="2428" priority="30" operator="lessThanOrEqual">
      <formula>$I$16</formula>
    </cfRule>
  </conditionalFormatting>
  <conditionalFormatting sqref="B10:F10">
    <cfRule type="cellIs" dxfId="2427" priority="31" operator="greaterThan">
      <formula>15</formula>
    </cfRule>
    <cfRule type="cellIs" dxfId="2426" priority="38" operator="lessThan">
      <formula>$I$9</formula>
    </cfRule>
    <cfRule type="cellIs" dxfId="2425" priority="39" operator="greaterThan">
      <formula>$I$9</formula>
    </cfRule>
  </conditionalFormatting>
  <conditionalFormatting sqref="B16:F16">
    <cfRule type="cellIs" dxfId="2424" priority="36" operator="greaterThan">
      <formula>$I$16</formula>
    </cfRule>
    <cfRule type="cellIs" dxfId="2423" priority="37" operator="lessThanOrEqual">
      <formula>$I$16</formula>
    </cfRule>
  </conditionalFormatting>
  <conditionalFormatting sqref="B15:F15">
    <cfRule type="cellIs" dxfId="2422" priority="34" operator="lessThanOrEqual">
      <formula>$I$16</formula>
    </cfRule>
    <cfRule type="cellIs" dxfId="2421" priority="35" operator="greaterThan">
      <formula>$I$16</formula>
    </cfRule>
  </conditionalFormatting>
  <conditionalFormatting sqref="B14:F14">
    <cfRule type="cellIs" dxfId="2420" priority="32" operator="greaterThan">
      <formula>$I$16</formula>
    </cfRule>
    <cfRule type="cellIs" dxfId="2419" priority="33" operator="lessThanOrEqual">
      <formula>$I$16</formula>
    </cfRule>
  </conditionalFormatting>
  <conditionalFormatting sqref="K6">
    <cfRule type="containsText" dxfId="2418" priority="27" operator="containsText" text="衰退">
      <formula>NOT(ISERROR(SEARCH("衰退",K6)))</formula>
    </cfRule>
    <cfRule type="containsText" dxfId="2417" priority="28" operator="containsText" text="成長">
      <formula>NOT(ISERROR(SEARCH("成長",K6)))</formula>
    </cfRule>
  </conditionalFormatting>
  <conditionalFormatting sqref="I4:K4">
    <cfRule type="cellIs" dxfId="2416" priority="25" operator="lessThan">
      <formula>0</formula>
    </cfRule>
    <cfRule type="cellIs" dxfId="241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414" priority="22" operator="lessThanOrEqual">
      <formula>$I$16</formula>
    </cfRule>
    <cfRule type="cellIs" dxfId="2413" priority="23" operator="greaterThan">
      <formula>$I$16</formula>
    </cfRule>
  </conditionalFormatting>
  <conditionalFormatting sqref="I6">
    <cfRule type="containsText" dxfId="2412" priority="20" operator="containsText" text="衰退">
      <formula>NOT(ISERROR(SEARCH("衰退",I6)))</formula>
    </cfRule>
    <cfRule type="containsText" dxfId="2411" priority="21" operator="containsText" text="成長">
      <formula>NOT(ISERROR(SEARCH("成長",I6)))</formula>
    </cfRule>
  </conditionalFormatting>
  <conditionalFormatting sqref="M9">
    <cfRule type="cellIs" dxfId="2410" priority="19" operator="lessThan">
      <formula>$I$9</formula>
    </cfRule>
  </conditionalFormatting>
  <conditionalFormatting sqref="M10">
    <cfRule type="cellIs" dxfId="2409" priority="18" operator="greaterThan">
      <formula>$I$9</formula>
    </cfRule>
  </conditionalFormatting>
  <conditionalFormatting sqref="M11">
    <cfRule type="cellIs" dxfId="240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407" priority="14" operator="lessThan">
      <formula>0</formula>
    </cfRule>
    <cfRule type="cellIs" dxfId="2406" priority="15" operator="greaterThan">
      <formula>0.5</formula>
    </cfRule>
  </conditionalFormatting>
  <conditionalFormatting sqref="N14">
    <cfRule type="cellIs" dxfId="240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404" priority="10" operator="lessThan">
      <formula>0.1</formula>
    </cfRule>
  </conditionalFormatting>
  <conditionalFormatting sqref="I14">
    <cfRule type="cellIs" dxfId="240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40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401" priority="1" operator="lessThan">
      <formula>$N$5*0.9</formula>
    </cfRule>
    <cfRule type="cellIs" dxfId="2400" priority="2" operator="greaterThan">
      <formula>$N$5*1.1</formula>
    </cfRule>
  </conditionalFormatting>
  <hyperlinks>
    <hyperlink ref="L1" location="儀表板!A1" display="(回首頁)" xr:uid="{00000000-0004-0000-4700-000000000000}"/>
  </hyperlink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9.93 ~ 28.8</v>
      </c>
      <c r="L1" s="83" t="s">
        <v>176</v>
      </c>
      <c r="M1" s="84" t="str">
        <f ca="1">VLOOKUP(_xlfn.NUMBERVALUE(N1),儀表板!A:B,2,FALSE)</f>
        <v>居易</v>
      </c>
      <c r="N1" s="85" t="str">
        <f ca="1">MID(CELL("filename",L1),FIND("]",CELL("filename",L1))+1,255)</f>
        <v>6216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0.16035838871444952</v>
      </c>
    </row>
    <row r="3" spans="1:15" s="93" customFormat="1" x14ac:dyDescent="0.25">
      <c r="A3" s="81" t="s">
        <v>179</v>
      </c>
      <c r="B3" s="94">
        <f>SUM(F19:F22,F24:F27,J19)</f>
        <v>77.82355637030247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23.285914109770182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24.698815799617282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26.46763928919686</v>
      </c>
      <c r="L3" s="100"/>
      <c r="M3" s="79" t="s">
        <v>385</v>
      </c>
      <c r="N3" s="92">
        <f>(F69-E69)/E69</f>
        <v>-0.30542822419092974</v>
      </c>
    </row>
    <row r="4" spans="1:15" s="93" customFormat="1" x14ac:dyDescent="0.25">
      <c r="A4" s="81" t="s">
        <v>182</v>
      </c>
      <c r="B4" s="96">
        <f>SUM(G36:G40)*2</f>
        <v>92</v>
      </c>
      <c r="C4" s="101"/>
      <c r="D4" s="102">
        <f>F4*(1+F141/10)</f>
        <v>7.99</v>
      </c>
      <c r="E4" s="82">
        <f>(D4-F4)/F4</f>
        <v>0</v>
      </c>
      <c r="F4" s="103">
        <v>7.99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2.1323353517338459</v>
      </c>
    </row>
    <row r="5" spans="1:15" s="93" customFormat="1" x14ac:dyDescent="0.25">
      <c r="A5" s="81" t="s">
        <v>184</v>
      </c>
      <c r="B5" s="107">
        <f>SUM(F30:F34)*2</f>
        <v>99.215648854961827</v>
      </c>
      <c r="C5" s="87"/>
      <c r="D5" s="87"/>
      <c r="E5" s="87"/>
      <c r="F5" s="86"/>
      <c r="G5" s="88"/>
      <c r="M5" s="79" t="s">
        <v>386</v>
      </c>
      <c r="N5" s="152">
        <f>D62</f>
        <v>2.38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連3年成長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2.3128169990810248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16.46</v>
      </c>
      <c r="N9" s="129"/>
    </row>
    <row r="10" spans="1:15" s="93" customFormat="1" x14ac:dyDescent="0.25">
      <c r="A10" s="123" t="s">
        <v>194</v>
      </c>
      <c r="B10" s="126">
        <f>PERCENTILE(176:176,B9)</f>
        <v>10.039999999999999</v>
      </c>
      <c r="C10" s="126">
        <f>PERCENTILE(176:176,C9)</f>
        <v>10.795</v>
      </c>
      <c r="D10" s="126">
        <f>PERCENTILE(176:176,D9)</f>
        <v>11.45</v>
      </c>
      <c r="E10" s="126">
        <f>PERCENTILE(176:176,E9)</f>
        <v>12.27</v>
      </c>
      <c r="F10" s="126">
        <f>PERCENTILE(176:176,F9)</f>
        <v>12.9</v>
      </c>
      <c r="G10" s="95"/>
      <c r="H10" s="135"/>
      <c r="I10" s="135"/>
      <c r="J10" s="135"/>
      <c r="K10" s="135"/>
      <c r="L10" s="136" t="s">
        <v>374</v>
      </c>
      <c r="M10" s="130">
        <f>MIN(176:176)</f>
        <v>8.31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16.72</v>
      </c>
      <c r="L11" s="272" t="s">
        <v>193</v>
      </c>
      <c r="M11" s="128">
        <f>STDEV(176:176)</f>
        <v>1.8154368138136052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31.897759103641459</v>
      </c>
      <c r="C13" s="141">
        <f>$B$34/5.88%</f>
        <v>38.732993197278908</v>
      </c>
      <c r="D13" s="141">
        <f>$B$34/5%</f>
        <v>45.55</v>
      </c>
      <c r="E13" s="141">
        <f>$B$34/4.35%</f>
        <v>52.356321839080458</v>
      </c>
      <c r="F13" s="141">
        <f>$B$34/3.85%</f>
        <v>59.15584415584415</v>
      </c>
      <c r="G13" s="138" t="str">
        <f>"$"&amp;ROUND(B34,2)&amp;"/"&amp;IF(STDEV(C140:F140)/AVERAGE(C140:F140)&lt;15%,"高",IF(STDEV(C140:F140)/AVERAGE(C140:F140)&lt;30%,"中","低"))</f>
        <v>$2.28/中</v>
      </c>
      <c r="H13" s="142" t="s">
        <v>199</v>
      </c>
      <c r="I13" s="143">
        <f>MAX(0,1-J15)</f>
        <v>0.12377850162866455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26.3048</v>
      </c>
      <c r="C14" s="141">
        <f>$B$33*C10</f>
        <v>28.282900000000001</v>
      </c>
      <c r="D14" s="141">
        <f>$B$33*D10</f>
        <v>29.998999999999999</v>
      </c>
      <c r="E14" s="141">
        <f>$B$33*E10</f>
        <v>32.147399999999998</v>
      </c>
      <c r="F14" s="141">
        <f>$B$33*F10</f>
        <v>33.798000000000002</v>
      </c>
      <c r="G14" s="138" t="str">
        <f>"$"&amp;ROUND(B33,2)&amp;"/"&amp;IF(STDEV(B69:E69)/AVERAGE(B69:E69)&lt;15%,"高",IF(STDEV(B69:E69)/AVERAGE(B69:E69)&lt;30%,"中","低"))</f>
        <v>$2.62/中</v>
      </c>
      <c r="H14" s="142" t="s">
        <v>203</v>
      </c>
      <c r="I14" s="145">
        <f>G62/100*I13</f>
        <v>1.7069055374592846E-2</v>
      </c>
      <c r="J14" s="76" t="s">
        <v>204</v>
      </c>
      <c r="K14" s="146"/>
      <c r="L14" s="147">
        <f>(HLOOKUP($C$1,$105:$106,2,FALSE)-HLOOKUP($C$1,$117:$127,9,FALSE))/(HLOOKUP($C$1,$117:$128,12,FALSE)/K11)</f>
        <v>8.0708590236647328</v>
      </c>
      <c r="M14" s="148">
        <f>E135/E69</f>
        <v>1.0488599348534202</v>
      </c>
      <c r="N14" s="149">
        <f>F173/100</f>
        <v>1.2381</v>
      </c>
    </row>
    <row r="15" spans="1:15" s="93" customFormat="1" x14ac:dyDescent="0.25">
      <c r="A15" s="140" t="s">
        <v>375</v>
      </c>
      <c r="B15" s="141">
        <f>$D$62*B10</f>
        <v>23.895199999999996</v>
      </c>
      <c r="C15" s="141">
        <f>$D$62*C10</f>
        <v>25.6921</v>
      </c>
      <c r="D15" s="141">
        <f>$D$62*D10</f>
        <v>27.250999999999998</v>
      </c>
      <c r="E15" s="141">
        <f>$D$62*E10</f>
        <v>29.202599999999997</v>
      </c>
      <c r="F15" s="141">
        <f>$D$62*F10</f>
        <v>30.701999999999998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0.87622149837133545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21.408646931407812</v>
      </c>
      <c r="C16" s="141">
        <f>$F$69*C10</f>
        <v>23.018560121966868</v>
      </c>
      <c r="D16" s="141">
        <f>$F$69*D10</f>
        <v>24.415239777352536</v>
      </c>
      <c r="E16" s="141">
        <f>$F$69*E10</f>
        <v>26.163754765774289</v>
      </c>
      <c r="F16" s="141">
        <f>$F$69*F10</f>
        <v>27.507126037366614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92</v>
      </c>
      <c r="J17" s="92">
        <f ca="1">IF(I17&lt;=0,"",IF(I17&lt;=MIN($B$13:$F$16),(I17-MIN($B$13:$F$16))/MIN($B$13:$F$16),IF(I17&gt;=MAX($B$13:$F$16),I17/MAX($B$13:$F$16),PERCENTRANK($B$13:$F$16,I17))))</f>
        <v>1.5552140504939629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2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20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0.87815587266739847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8.9454754416299395E-2</v>
      </c>
      <c r="J20" s="171">
        <f>HLOOKUP($C$1,$117:$127,11,FALSE)/HLOOKUP($C$1,$105:$115,11,FALSE)</f>
        <v>0.12549575942904931</v>
      </c>
      <c r="K20" s="163"/>
    </row>
    <row r="21" spans="1:14" s="93" customFormat="1" x14ac:dyDescent="0.25">
      <c r="A21" s="151" t="s">
        <v>201</v>
      </c>
      <c r="B21" s="161">
        <f>AVERAGE(C173:F173)/100</f>
        <v>1.019075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7.9298772549185834</v>
      </c>
      <c r="J21" s="78"/>
      <c r="K21" s="164" t="s">
        <v>356</v>
      </c>
      <c r="L21" s="165">
        <f>HLOOKUP($C$1,$105:$115,7,FALSE)/HLOOKUP($C$1,$105:$115,11,FALSE)</f>
        <v>0.83986136693637348</v>
      </c>
      <c r="M21" s="123" t="s">
        <v>268</v>
      </c>
      <c r="N21" s="165">
        <f>HLOOKUP($C$1,$117:$127,8,FALSE)/HLOOKUP($C$1,$117:$127,11,FALSE)</f>
        <v>0.84394100451767207</v>
      </c>
    </row>
    <row r="22" spans="1:14" s="93" customFormat="1" x14ac:dyDescent="0.25">
      <c r="A22" s="140" t="s">
        <v>222</v>
      </c>
      <c r="B22" s="161">
        <f>(-1)*SUM(C133:F133)/SUM(C132:F132)</f>
        <v>0.26764436296975253</v>
      </c>
      <c r="C22" s="157"/>
      <c r="D22" s="166"/>
      <c r="E22" s="140"/>
      <c r="F22" s="159">
        <f>IF(B22&lt;=0,10,IF(B22&gt;=100%,0,(1-B22)*10))</f>
        <v>7.3235563703024749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7.1641041789038322</v>
      </c>
      <c r="J22" s="78"/>
      <c r="K22" s="142" t="s">
        <v>357</v>
      </c>
      <c r="L22" s="165">
        <f>HLOOKUP($C$1,$105:$115,4,FALSE)/HLOOKUP($C$1,$105:$115,11,FALSE)</f>
        <v>7.1137309328229939E-2</v>
      </c>
      <c r="M22" s="123" t="s">
        <v>353</v>
      </c>
      <c r="N22" s="165">
        <f>HLOOKUP($C$1,$117:$127,4,FALSE)/HLOOKUP($C$1,$117:$127,11,FALSE)</f>
        <v>0.28718902675851921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1.1435050324594367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8.1103805482727304E-2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53.89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1.0119777530361257E-2</v>
      </c>
      <c r="M24" s="123" t="s">
        <v>355</v>
      </c>
      <c r="N24" s="165">
        <f>HLOOKUP($C$1,$117:$127,9,FALSE)/HLOOKUP($C$1,$117:$127,11,FALSE)</f>
        <v>0.15605899548232793</v>
      </c>
    </row>
    <row r="25" spans="1:14" s="93" customFormat="1" x14ac:dyDescent="0.25">
      <c r="A25" s="151" t="s">
        <v>366</v>
      </c>
      <c r="B25" s="255">
        <f>AVERAGE(94:94)</f>
        <v>1313.4782608695652</v>
      </c>
      <c r="C25" s="254">
        <f>STDEV(94:94)/AVERAGE(94:94)</f>
        <v>11.061141541823588</v>
      </c>
      <c r="D25" s="76" t="str">
        <f>IF(C25&lt;=1,"高",IF(C25&lt;=2,"中","低"))</f>
        <v>低</v>
      </c>
      <c r="E25" s="149"/>
      <c r="F25" s="160">
        <f>MAX(0,10-ABS(C25))</f>
        <v>0</v>
      </c>
      <c r="G25" s="88" t="s">
        <v>213</v>
      </c>
      <c r="H25" s="123" t="s">
        <v>232</v>
      </c>
      <c r="I25" s="170">
        <f>IF(HLOOKUP(C1,167:170,3,FALSE)="無",0,HLOOKUP(C1,167:170,3,FALSE))</f>
        <v>108.43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50.075652173913042</v>
      </c>
      <c r="C26" s="172">
        <f>IF(COUNTIF(168:168,"&gt;0")=0,0,STDEV(168:168))</f>
        <v>7.9564541131923967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96.158695652173904</v>
      </c>
      <c r="C27" s="172">
        <f>IF(COUNTIF(169:169,"&gt;0")=0,0,STDEV(169:169))</f>
        <v>23.963432237160497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6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0.48667499999999997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0.19587499999999999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15.86</v>
      </c>
      <c r="C32" s="157" t="s">
        <v>217</v>
      </c>
      <c r="D32" s="174">
        <f>COUNTIF(159:159,"&gt;3")/COUNT(159:159)</f>
        <v>0.69565217391304346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2.62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2.2774999999999999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9.6078244274809155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1023052</v>
      </c>
      <c r="C36" s="178">
        <f>STDEV(C97:F97)</f>
        <v>137672.07497770441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48.667499999999997</v>
      </c>
      <c r="C37" s="180">
        <f>STDEV(C152:F152)</f>
        <v>1.4247660626690046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21.592500000000001</v>
      </c>
      <c r="C38" s="180">
        <f>STDEV(C153:F153)</f>
        <v>2.2865457936955185</v>
      </c>
      <c r="D38" s="76" t="str">
        <f>IF(C38/B38&lt;15%,"高",IF(C38/B38&lt;30%,"中","低"))</f>
        <v>高</v>
      </c>
      <c r="E38" s="107">
        <f>IF(F153&gt;E153,1,0)+IF(E153&gt;D153,1,0)+IF(D153&gt;C153,1,0)</f>
        <v>3</v>
      </c>
      <c r="F38" s="179"/>
      <c r="G38" s="160">
        <f>IF(D38="高",6,IF(D38="中",4,2))+E38+1</f>
        <v>10</v>
      </c>
    </row>
    <row r="39" spans="1:14" x14ac:dyDescent="0.25">
      <c r="A39" s="142" t="s">
        <v>46</v>
      </c>
      <c r="B39" s="181">
        <f>AVERAGE(C165:F165)</f>
        <v>15.86</v>
      </c>
      <c r="C39" s="181">
        <f>STDEV(C165:F165)</f>
        <v>1.9754999367248804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2.62</v>
      </c>
      <c r="C40" s="183">
        <f>STDEV(B69:E69)</f>
        <v>0.49436828377233105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-0.31944444444444442</v>
      </c>
      <c r="C44" s="186">
        <f>(C46-C49)/C49</f>
        <v>-0.1855670103092783</v>
      </c>
      <c r="D44" s="186">
        <f>(D46-D49)/D49</f>
        <v>-0.41176470588235298</v>
      </c>
      <c r="E44" s="186">
        <f>(E46-E49)/E49</f>
        <v>0.22807017543859651</v>
      </c>
      <c r="G44" s="86" t="s">
        <v>175</v>
      </c>
      <c r="H44" s="186">
        <f>(H47-H50)/H50</f>
        <v>-0.1284129692832765</v>
      </c>
      <c r="I44" s="186">
        <f>(I47-I50)/I50</f>
        <v>-8.2940963419051175E-2</v>
      </c>
      <c r="J44" s="186">
        <f>(J47-J50)/J50</f>
        <v>0.14536799707067014</v>
      </c>
      <c r="K44" s="186">
        <f>(K47-K50)/K50</f>
        <v>-5.0659630606860288E-2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0.49</v>
      </c>
      <c r="C46" s="152">
        <f>HLOOKUP(C45,$81:$82,2,FALSE)</f>
        <v>0.79</v>
      </c>
      <c r="D46" s="152">
        <f>HLOOKUP(D45,$81:$82,2,FALSE)</f>
        <v>0.4</v>
      </c>
      <c r="E46" s="152">
        <f>HLOOKUP(E45,$81:$82,2,FALSE)</f>
        <v>0.7</v>
      </c>
      <c r="G46" s="86" t="s">
        <v>164</v>
      </c>
      <c r="H46" s="145">
        <f>HLOOKUP(H45,$145:$147,2,FALSE)/100</f>
        <v>0.51859999999999995</v>
      </c>
      <c r="I46" s="145">
        <f>HLOOKUP(I45,$145:$147,2,FALSE)/100</f>
        <v>0.51350000000000007</v>
      </c>
      <c r="J46" s="145">
        <f>HLOOKUP(J45,$145:$147,2,FALSE)/100</f>
        <v>0.51880000000000004</v>
      </c>
      <c r="K46" s="145">
        <f>HLOOKUP(K45,$145:$147,2,FALSE)/100</f>
        <v>0.49950000000000006</v>
      </c>
    </row>
    <row r="47" spans="1:14" x14ac:dyDescent="0.25">
      <c r="A47" s="188" t="s">
        <v>165</v>
      </c>
      <c r="B47" s="189">
        <f>HLOOKUP(B45,$157:$159,3,FALSE)</f>
        <v>2.95</v>
      </c>
      <c r="C47" s="189">
        <f>HLOOKUP(C45,$157:$159,3,FALSE)</f>
        <v>4.62</v>
      </c>
      <c r="D47" s="189">
        <f>HLOOKUP(D45,$157:$159,3,FALSE)</f>
        <v>2.2200000000000002</v>
      </c>
      <c r="E47" s="189">
        <f>HLOOKUP(E45,$157:$159,3,FALSE)</f>
        <v>4</v>
      </c>
      <c r="G47" s="190" t="s">
        <v>166</v>
      </c>
      <c r="H47" s="145">
        <f>HLOOKUP(H45,$145:$147,3,FALSE)/100</f>
        <v>0.20430000000000001</v>
      </c>
      <c r="I47" s="145">
        <f>HLOOKUP(I45,$145:$147,3,FALSE)/100</f>
        <v>0.25319999999999998</v>
      </c>
      <c r="J47" s="145">
        <f>HLOOKUP(J45,$145:$147,3,FALSE)/100</f>
        <v>0.31280000000000002</v>
      </c>
      <c r="K47" s="145">
        <f>HLOOKUP(K45,$145:$147,3,FALSE)/100</f>
        <v>0.17989999999999998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0.72</v>
      </c>
      <c r="C49" s="152">
        <f>HLOOKUP(C48,$81:$82,2,FALSE)</f>
        <v>0.97</v>
      </c>
      <c r="D49" s="152">
        <f>HLOOKUP(D48,$81:$82,2,FALSE)</f>
        <v>0.68</v>
      </c>
      <c r="E49" s="152">
        <f>HLOOKUP(E48,$81:$82,2,FALSE)</f>
        <v>0.56999999999999995</v>
      </c>
      <c r="G49" s="86" t="s">
        <v>164</v>
      </c>
      <c r="H49" s="145">
        <f>HLOOKUP(H48,$145:$147,2,FALSE)/100</f>
        <v>0.48049999999999998</v>
      </c>
      <c r="I49" s="145">
        <f>HLOOKUP(I48,$145:$147,2,FALSE)/100</f>
        <v>0.52239999999999998</v>
      </c>
      <c r="J49" s="145">
        <f>HLOOKUP(J48,$145:$147,2,FALSE)/100</f>
        <v>0.50829999999999997</v>
      </c>
      <c r="K49" s="145">
        <f>HLOOKUP(K48,$145:$147,2,FALSE)/100</f>
        <v>0.52310000000000001</v>
      </c>
    </row>
    <row r="50" spans="1:15" x14ac:dyDescent="0.25">
      <c r="A50" s="188" t="s">
        <v>165</v>
      </c>
      <c r="B50" s="189">
        <f>HLOOKUP(B48,$157:$159,3,FALSE)</f>
        <v>4.2699999999999996</v>
      </c>
      <c r="C50" s="189">
        <f>HLOOKUP(C48,$157:$159,3,FALSE)</f>
        <v>5.54</v>
      </c>
      <c r="D50" s="189">
        <f>HLOOKUP(D48,$157:$159,3,FALSE)</f>
        <v>3.83</v>
      </c>
      <c r="E50" s="189">
        <f>HLOOKUP(E48,$157:$159,3,FALSE)</f>
        <v>3.24</v>
      </c>
      <c r="G50" s="190" t="s">
        <v>166</v>
      </c>
      <c r="H50" s="145">
        <f>HLOOKUP(H48,$145:$147,3,FALSE)/100</f>
        <v>0.23440000000000003</v>
      </c>
      <c r="I50" s="145">
        <f>HLOOKUP(I48,$145:$147,3,FALSE)/100</f>
        <v>0.27610000000000001</v>
      </c>
      <c r="J50" s="145">
        <f>HLOOKUP(J48,$145:$147,3,FALSE)/100</f>
        <v>0.27310000000000001</v>
      </c>
      <c r="K50" s="145">
        <f>HLOOKUP(K48,$145:$147,3,FALSE)/100</f>
        <v>0.1895</v>
      </c>
    </row>
    <row r="51" spans="1:15" x14ac:dyDescent="0.25">
      <c r="A51" s="86" t="s">
        <v>351</v>
      </c>
      <c r="B51" s="186">
        <f>(B47-B50)/B50</f>
        <v>-0.30913348946135821</v>
      </c>
      <c r="C51" s="186">
        <f>(C47-C50)/C50</f>
        <v>-0.16606498194945846</v>
      </c>
      <c r="D51" s="186">
        <f>(D47-D50)/D50</f>
        <v>-0.42036553524804171</v>
      </c>
      <c r="E51" s="186">
        <f>(E47-E50)/E50</f>
        <v>0.23456790123456783</v>
      </c>
      <c r="G51" s="235" t="s">
        <v>174</v>
      </c>
      <c r="H51" s="186">
        <f>(H46-H49)/H49</f>
        <v>7.929240374609775E-2</v>
      </c>
      <c r="I51" s="186">
        <f>(I46-I49)/I49</f>
        <v>-1.7036753445635353E-2</v>
      </c>
      <c r="J51" s="186">
        <f>(J46-J49)/J49</f>
        <v>2.0657092268345594E-2</v>
      </c>
      <c r="K51" s="186">
        <f>(K46-K49)/K49</f>
        <v>-4.5115656662205988E-2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2.3128169990810248</v>
      </c>
      <c r="B53" s="193">
        <f>B46</f>
        <v>0.49</v>
      </c>
      <c r="C53" s="193">
        <f>E46/HLOOKUP(E45,$87:$94,5,FALSE)*HLOOKUP(E45,$87:$94,4,FALSE)*($B$25/HLOOKUP(E45,$87:$94,4,FALSE)+SUM($B$57:$D$57)/SUM($B58:$D$58)*$G$69/100/K46)</f>
        <v>0.45233535173384593</v>
      </c>
      <c r="D53" s="193">
        <f>D46/HLOOKUP(D45,$87:$94,5,FALSE)*HLOOKUP(D45,$87:$94,4,FALSE)*($B$25/HLOOKUP(D45,$87:$94,4,FALSE)+SUM($B$57:$D$57)/SUM($B58:$D$58)*$G$69/100/J46)</f>
        <v>0.75088174245553563</v>
      </c>
      <c r="E53" s="193">
        <f>C46/HLOOKUP(C45,$87:$94,5,FALSE)*HLOOKUP(C45,$87:$94,4,FALSE)*($B$25/HLOOKUP(C45,$87:$94,4,FALSE)+SUM($B$57:$D$57)/SUM($B58:$D$58)*$G$69/100/I46)</f>
        <v>0.61959990489164318</v>
      </c>
    </row>
    <row r="54" spans="1:15" x14ac:dyDescent="0.25">
      <c r="A54" s="278">
        <f>SUM(B54:E54)</f>
        <v>2.61</v>
      </c>
      <c r="B54" s="277">
        <f t="shared" ref="B54:D54" si="0">HLOOKUP(B52-10,81:82,2,FALSE)</f>
        <v>0.72</v>
      </c>
      <c r="C54" s="277">
        <f t="shared" si="0"/>
        <v>0.7</v>
      </c>
      <c r="D54" s="277">
        <f t="shared" si="0"/>
        <v>0.4</v>
      </c>
      <c r="E54" s="277">
        <f>HLOOKUP(E52-10,81:82,2,FALSE)</f>
        <v>0.79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71779</v>
      </c>
      <c r="C57" s="196">
        <f>HLOOKUP(C56,78:79,2,FALSE)</f>
        <v>96280</v>
      </c>
      <c r="D57" s="196">
        <f>HLOOKUP(D56,78:79,2,FALSE)</f>
        <v>57318</v>
      </c>
      <c r="E57" s="196">
        <f>HLOOKUP(E56,78:79,2,FALSE)</f>
        <v>55849</v>
      </c>
      <c r="F57" s="196">
        <f>HLOOKUP(F56,78:79,2,FALSE)</f>
        <v>106532</v>
      </c>
      <c r="G57" s="196">
        <f t="shared" ref="G57:M57" si="2">HLOOKUP(G56,78:79,2,FALSE)</f>
        <v>77223</v>
      </c>
      <c r="H57" s="196">
        <f t="shared" si="2"/>
        <v>78305</v>
      </c>
      <c r="I57" s="196">
        <f t="shared" si="2"/>
        <v>94087</v>
      </c>
      <c r="J57" s="196">
        <f t="shared" si="2"/>
        <v>88679</v>
      </c>
      <c r="K57" s="196">
        <f t="shared" si="2"/>
        <v>72929</v>
      </c>
      <c r="L57" s="196">
        <f t="shared" si="2"/>
        <v>109394</v>
      </c>
      <c r="M57" s="196">
        <f t="shared" si="2"/>
        <v>72519</v>
      </c>
      <c r="N57" s="197"/>
    </row>
    <row r="58" spans="1:15" x14ac:dyDescent="0.25">
      <c r="A58" s="198" t="s">
        <v>253</v>
      </c>
      <c r="B58" s="196">
        <f>HLOOKUP(B56-100,78:79,2,FALSE)</f>
        <v>99729</v>
      </c>
      <c r="C58" s="196">
        <f>HLOOKUP(C56-100,78:79,2,FALSE)</f>
        <v>94229</v>
      </c>
      <c r="D58" s="196">
        <f>HLOOKUP(D56-100,78:79,2,FALSE)</f>
        <v>79833</v>
      </c>
      <c r="E58" s="196">
        <f>HLOOKUP(E56-100,78:79,2,FALSE)</f>
        <v>85631</v>
      </c>
      <c r="F58" s="196">
        <f>HLOOKUP(F56-100,78:79,2,FALSE)</f>
        <v>90215</v>
      </c>
      <c r="G58" s="196">
        <f t="shared" ref="G58:M58" si="3">HLOOKUP(G56-100,78:79,2,FALSE)</f>
        <v>110762</v>
      </c>
      <c r="H58" s="196">
        <f t="shared" si="3"/>
        <v>98736</v>
      </c>
      <c r="I58" s="196">
        <f t="shared" si="3"/>
        <v>127114</v>
      </c>
      <c r="J58" s="196">
        <f t="shared" si="3"/>
        <v>78878</v>
      </c>
      <c r="K58" s="196">
        <f t="shared" si="3"/>
        <v>96200</v>
      </c>
      <c r="L58" s="196">
        <f t="shared" si="3"/>
        <v>73683</v>
      </c>
      <c r="M58" s="196">
        <f t="shared" si="3"/>
        <v>72808</v>
      </c>
      <c r="N58" s="197"/>
    </row>
    <row r="59" spans="1:15" x14ac:dyDescent="0.25">
      <c r="A59" s="199" t="s">
        <v>254</v>
      </c>
      <c r="B59" s="165">
        <f>IF(B57&lt;&gt;"",(B57-B58)/B58,"")</f>
        <v>-0.28025950325381782</v>
      </c>
      <c r="C59" s="165">
        <f>IF(C57&lt;&gt;"",(C57-C58)/C58,"")</f>
        <v>2.1766122955777945E-2</v>
      </c>
      <c r="D59" s="165">
        <f>IF(D57&lt;&gt;"",(D57-D58)/D58,"")</f>
        <v>-0.28202622975461278</v>
      </c>
      <c r="E59" s="165">
        <f>IF(E57&lt;&gt;"",(E57-E58)/E58,"")</f>
        <v>-0.34779460709322557</v>
      </c>
      <c r="F59" s="165">
        <f>IF(F57&lt;&gt;"",(F57-F58)/F58,"")</f>
        <v>0.18086792661974171</v>
      </c>
      <c r="G59" s="165">
        <f t="shared" ref="G59:M59" si="4">IF(G57&lt;&gt;"",(G57-G58)/G58,"")</f>
        <v>-0.3028024051570033</v>
      </c>
      <c r="H59" s="165">
        <f t="shared" si="4"/>
        <v>-0.20692553881056555</v>
      </c>
      <c r="I59" s="165">
        <f t="shared" si="4"/>
        <v>-0.25982189215979357</v>
      </c>
      <c r="J59" s="165">
        <f t="shared" si="4"/>
        <v>0.12425517888384593</v>
      </c>
      <c r="K59" s="165">
        <f t="shared" si="4"/>
        <v>-0.24190228690228691</v>
      </c>
      <c r="L59" s="165">
        <f t="shared" si="4"/>
        <v>0.48465724794050186</v>
      </c>
      <c r="M59" s="165">
        <f t="shared" si="4"/>
        <v>-3.9693440281287767E-3</v>
      </c>
    </row>
    <row r="60" spans="1:15" x14ac:dyDescent="0.25">
      <c r="A60" s="195" t="s">
        <v>255</v>
      </c>
      <c r="B60" s="196">
        <f>SUM(B57:M57)</f>
        <v>980894</v>
      </c>
    </row>
    <row r="61" spans="1:15" x14ac:dyDescent="0.25">
      <c r="A61" s="198" t="s">
        <v>256</v>
      </c>
      <c r="B61" s="196">
        <f>SUM(B58:M58)</f>
        <v>1107818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0.88542883397814443</v>
      </c>
      <c r="D62" s="152">
        <f>SUM(B46:E46)</f>
        <v>2.38</v>
      </c>
      <c r="E62" s="152">
        <f>SUM(B49:E49)</f>
        <v>2.94</v>
      </c>
      <c r="G62" s="126">
        <f>SUM(B47:E47)</f>
        <v>13.790000000000001</v>
      </c>
      <c r="H62" s="126">
        <f>SUM(B50:E50)</f>
        <v>16.88</v>
      </c>
      <c r="J62" s="200">
        <f>AVERAGE(H46:K46)</f>
        <v>0.51259999999999994</v>
      </c>
      <c r="K62" s="200">
        <f>AVERAGE(H49:K49)</f>
        <v>0.508575</v>
      </c>
      <c r="M62" s="200">
        <f>AVERAGE(H47:K47)</f>
        <v>0.23754999999999998</v>
      </c>
      <c r="N62" s="200">
        <f>AVERAGE(H50:K50)</f>
        <v>0.24327500000000002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0.42</v>
      </c>
      <c r="C65" s="205">
        <f t="shared" si="5"/>
        <v>0.56000000000000005</v>
      </c>
      <c r="D65" s="205">
        <f t="shared" si="5"/>
        <v>0.4</v>
      </c>
      <c r="E65" s="205">
        <f t="shared" si="5"/>
        <v>0.68</v>
      </c>
      <c r="F65" s="206">
        <f>IF(ISNA(HLOOKUP(F$64*10+$A65,$81:$82,2,FALSE)),(HLOOKUP(E$64*10+$A65,$87:$94,4,FALSE)*$G65+$B$25)/HLOOKUP(E$64*10+$A65,$87:$94,5,FALSE)*$E65,HLOOKUP(F$64*10+$A65,$81:$82,2,FALSE))</f>
        <v>0.4</v>
      </c>
      <c r="G65" s="101">
        <f>MIN(130%,SUM($B$57:$D$57)/SUM($B$58:$D$58)*$G$69/HLOOKUP(E$64*10+$A65,$145:$146,2,FALSE))</f>
        <v>0.83096076517546413</v>
      </c>
      <c r="H65" s="204">
        <v>1</v>
      </c>
      <c r="I65" s="208">
        <f t="shared" ref="I65:M68" si="6">IF(ISNA(HLOOKUP(I$64*10+$H65,$145:$147,3,FALSE)),"",HLOOKUP(I$64*10+$H65,$145:$147,3,FALSE)/100)</f>
        <v>0.1691</v>
      </c>
      <c r="J65" s="208">
        <f t="shared" si="6"/>
        <v>0.18429999999999999</v>
      </c>
      <c r="K65" s="208">
        <f t="shared" si="6"/>
        <v>0.19889999999999999</v>
      </c>
      <c r="L65" s="208">
        <f t="shared" si="6"/>
        <v>0.27310000000000001</v>
      </c>
      <c r="M65" s="209">
        <f t="shared" si="6"/>
        <v>0.31280000000000002</v>
      </c>
      <c r="N65" s="256">
        <f t="shared" ref="N65:O68" si="7">HLOOKUP(E$64*10+$A65,$87:$94,8,FALSE)</f>
        <v>-14387</v>
      </c>
      <c r="O65" s="256">
        <f t="shared" si="7"/>
        <v>-44593</v>
      </c>
      <c r="P65" s="210"/>
    </row>
    <row r="66" spans="1:71" x14ac:dyDescent="0.25">
      <c r="A66" s="204">
        <v>2</v>
      </c>
      <c r="B66" s="205">
        <f t="shared" si="5"/>
        <v>0.4</v>
      </c>
      <c r="C66" s="205">
        <f t="shared" si="5"/>
        <v>0.66</v>
      </c>
      <c r="D66" s="205">
        <f t="shared" si="5"/>
        <v>1.05</v>
      </c>
      <c r="E66" s="205">
        <f t="shared" si="5"/>
        <v>0.97</v>
      </c>
      <c r="F66" s="206">
        <f>IF(ISNA(HLOOKUP(F$64*10+$A66,$81:$82,2,FALSE)),(HLOOKUP(E$64*10+$A66,$87:$94,4,FALSE)*$G66+$B$25)/HLOOKUP(E$64*10+$A66,$87:$94,5,FALSE)*$E66,HLOOKUP(F$64*10+$A66,$81:$82,2,FALSE))</f>
        <v>0.79</v>
      </c>
      <c r="G66" s="101">
        <f>MIN(130%,SUM($B$57:$D$57)/SUM($B$58:$D$58)*$G$69/HLOOKUP(E$64*10+$A66,$145:$146,2,FALSE))</f>
        <v>0.80853245968355358</v>
      </c>
      <c r="H66" s="204">
        <v>2</v>
      </c>
      <c r="I66" s="208">
        <f t="shared" si="6"/>
        <v>0.16510000000000002</v>
      </c>
      <c r="J66" s="208">
        <f t="shared" si="6"/>
        <v>0.24780000000000002</v>
      </c>
      <c r="K66" s="208">
        <f t="shared" si="6"/>
        <v>0.27440000000000003</v>
      </c>
      <c r="L66" s="208">
        <f t="shared" si="6"/>
        <v>0.27610000000000001</v>
      </c>
      <c r="M66" s="209">
        <f t="shared" si="6"/>
        <v>0.25319999999999998</v>
      </c>
      <c r="N66" s="256">
        <f t="shared" si="7"/>
        <v>-829</v>
      </c>
      <c r="O66" s="256">
        <f t="shared" si="7"/>
        <v>4910</v>
      </c>
      <c r="P66" s="210"/>
    </row>
    <row r="67" spans="1:71" x14ac:dyDescent="0.25">
      <c r="A67" s="204">
        <v>3</v>
      </c>
      <c r="B67" s="205">
        <f t="shared" si="5"/>
        <v>0.46</v>
      </c>
      <c r="C67" s="205">
        <f t="shared" si="5"/>
        <v>0.48</v>
      </c>
      <c r="D67" s="205">
        <f t="shared" si="5"/>
        <v>0.95</v>
      </c>
      <c r="E67" s="205">
        <f t="shared" si="5"/>
        <v>0.72</v>
      </c>
      <c r="F67" s="206">
        <f>IF(ISNA(HLOOKUP(F$64*10+$A67,$81:$82,2,FALSE)),(HLOOKUP(E$64*10+$A67,$87:$94,4,FALSE)*$G67+$B$25)/HLOOKUP(E$64*10+$A67,$87:$94,5,FALSE)*$E67,HLOOKUP(F$64*10+$A67,$81:$82,2,FALSE))</f>
        <v>0.49</v>
      </c>
      <c r="G67" s="101">
        <f>MIN(130%,SUM($B$57:$D$57)/SUM($B$58:$D$58)*$G$69/HLOOKUP(E$64*10+$A67,$145:$146,2,FALSE))</f>
        <v>0.87903716324388859</v>
      </c>
      <c r="H67" s="204">
        <v>3</v>
      </c>
      <c r="I67" s="208">
        <f t="shared" si="6"/>
        <v>0.19210000000000002</v>
      </c>
      <c r="J67" s="208">
        <f t="shared" si="6"/>
        <v>0.19269999999999998</v>
      </c>
      <c r="K67" s="208">
        <f t="shared" si="6"/>
        <v>0.21350000000000002</v>
      </c>
      <c r="L67" s="208">
        <f t="shared" si="6"/>
        <v>0.23440000000000003</v>
      </c>
      <c r="M67" s="209">
        <f t="shared" si="6"/>
        <v>0.20430000000000001</v>
      </c>
      <c r="N67" s="256">
        <f t="shared" si="7"/>
        <v>7888</v>
      </c>
      <c r="O67" s="256">
        <f t="shared" si="7"/>
        <v>4506</v>
      </c>
      <c r="P67" s="210"/>
    </row>
    <row r="68" spans="1:71" x14ac:dyDescent="0.25">
      <c r="A68" s="204">
        <v>4</v>
      </c>
      <c r="B68" s="205">
        <f>HLOOKUP(B$64*10+$A68,$81:$82,2,FALSE)</f>
        <v>0.73</v>
      </c>
      <c r="C68" s="205">
        <f>HLOOKUP(C$64*10+$A68,$81:$82,2,FALSE)</f>
        <v>0.73</v>
      </c>
      <c r="D68" s="205">
        <f>HLOOKUP(D$64*10+$A68,$81:$82,2,FALSE)</f>
        <v>0.56999999999999995</v>
      </c>
      <c r="E68" s="206">
        <f>IF(ISNA(HLOOKUP(E$64*10+$A68,$81:$82,2,FALSE)),D68*(1-$N68)*#REF!*(1+$B$25)/(1+$E$4),HLOOKUP(E$64*10+$A68,$81:$82,2,FALSE))</f>
        <v>0.7</v>
      </c>
      <c r="F68" s="206">
        <f>IF(ISNA(HLOOKUP(F$64*10+$A68,$81:$82,2,FALSE)),(HLOOKUP(E$64*10+$A68,$87:$94,4,FALSE)*$G68+$B$25)/HLOOKUP(E$64*10+$A68,$87:$94,5,FALSE)*$E68,HLOOKUP(F$64*10+$A68,$81:$82,2,FALSE))</f>
        <v>0.45233535173384587</v>
      </c>
      <c r="G68" s="101">
        <f>MIN(130%,SUM($B$57:$D$57)/SUM($B$58:$D$58)*$G$69/HLOOKUP(E$64*10+$A68,$145:$146,2,FALSE))</f>
        <v>0.84560031419156834</v>
      </c>
      <c r="H68" s="204">
        <v>4</v>
      </c>
      <c r="I68" s="208">
        <f t="shared" si="6"/>
        <v>0.21940000000000001</v>
      </c>
      <c r="J68" s="208">
        <f t="shared" si="6"/>
        <v>0.2082</v>
      </c>
      <c r="K68" s="208">
        <f t="shared" si="6"/>
        <v>0.1895</v>
      </c>
      <c r="L68" s="208">
        <f t="shared" si="6"/>
        <v>0.17989999999999998</v>
      </c>
      <c r="M68" s="209" t="str">
        <f t="shared" si="6"/>
        <v/>
      </c>
      <c r="N68" s="256">
        <f t="shared" si="7"/>
        <v>17649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2.0099999999999998</v>
      </c>
      <c r="C69" s="213">
        <f>SUM(C65:C68)</f>
        <v>2.4300000000000002</v>
      </c>
      <c r="D69" s="213">
        <f>SUM(D65:D68)</f>
        <v>2.97</v>
      </c>
      <c r="E69" s="213">
        <f>SUM(E65:E68)</f>
        <v>3.0700000000000003</v>
      </c>
      <c r="F69" s="213">
        <f>SUM(F65:F68)</f>
        <v>2.1323353517338459</v>
      </c>
      <c r="G69" s="257">
        <f>_xlfn.FORECAST.ETS(23,B146:W146,{1,2,3,4,5,6,7,8,9,10,11,12,13,14,15,16,17,18,19,20,21,22})</f>
        <v>51.310967371826067</v>
      </c>
      <c r="H69" s="214" t="s">
        <v>19</v>
      </c>
      <c r="I69" s="215">
        <f>HLOOKUP(I64,151:155,3,FALSE)/100</f>
        <v>0.18840000000000001</v>
      </c>
      <c r="J69" s="215">
        <f>HLOOKUP(J64,151:155,3,FALSE)/100</f>
        <v>0.2087</v>
      </c>
      <c r="K69" s="215">
        <f>HLOOKUP(K64,151:155,3,FALSE)/100</f>
        <v>0.22450000000000001</v>
      </c>
      <c r="L69" s="215">
        <f>IF(ISNA(HLOOKUP(L64,151:155,3,FALSE)/100),AVERAGE(L65:L68),HLOOKUP(L64,151:155,3,FALSE)/100)</f>
        <v>0.24210000000000001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2.81</v>
      </c>
      <c r="C72" s="205">
        <f t="shared" si="8"/>
        <v>3.52</v>
      </c>
      <c r="D72" s="205">
        <f t="shared" si="8"/>
        <v>2.41</v>
      </c>
      <c r="E72" s="205">
        <f t="shared" si="8"/>
        <v>3.83</v>
      </c>
      <c r="F72" s="205">
        <f t="shared" si="8"/>
        <v>2.2200000000000002</v>
      </c>
    </row>
    <row r="73" spans="1:71" s="135" customFormat="1" x14ac:dyDescent="0.25">
      <c r="A73" s="204">
        <v>2</v>
      </c>
      <c r="B73" s="205">
        <f t="shared" si="8"/>
        <v>2.77</v>
      </c>
      <c r="C73" s="205">
        <f t="shared" si="8"/>
        <v>4.2699999999999996</v>
      </c>
      <c r="D73" s="205">
        <f t="shared" si="8"/>
        <v>6.39</v>
      </c>
      <c r="E73" s="205">
        <f t="shared" si="8"/>
        <v>5.54</v>
      </c>
      <c r="F73" s="205">
        <f t="shared" si="8"/>
        <v>4.62</v>
      </c>
    </row>
    <row r="74" spans="1:71" s="135" customFormat="1" x14ac:dyDescent="0.25">
      <c r="A74" s="204">
        <v>3</v>
      </c>
      <c r="B74" s="205">
        <f t="shared" si="8"/>
        <v>3.18</v>
      </c>
      <c r="C74" s="205">
        <f t="shared" si="8"/>
        <v>3.13</v>
      </c>
      <c r="D74" s="205">
        <f t="shared" si="8"/>
        <v>5.81</v>
      </c>
      <c r="E74" s="205">
        <f t="shared" si="8"/>
        <v>4.2699999999999996</v>
      </c>
      <c r="F74" s="205">
        <f t="shared" si="8"/>
        <v>2.95</v>
      </c>
    </row>
    <row r="75" spans="1:71" s="135" customFormat="1" x14ac:dyDescent="0.25">
      <c r="A75" s="204">
        <v>4</v>
      </c>
      <c r="B75" s="205">
        <f t="shared" si="8"/>
        <v>4.84</v>
      </c>
      <c r="C75" s="205">
        <f t="shared" si="8"/>
        <v>4.51</v>
      </c>
      <c r="D75" s="205">
        <f t="shared" si="8"/>
        <v>3.24</v>
      </c>
      <c r="E75" s="205">
        <f t="shared" si="8"/>
        <v>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13.6</v>
      </c>
      <c r="C76" s="213">
        <f>SUM(C72:C75)</f>
        <v>15.429999999999998</v>
      </c>
      <c r="D76" s="213">
        <f>SUM(D72:D75)</f>
        <v>17.850000000000001</v>
      </c>
      <c r="E76" s="213">
        <f>AVERAGE(E72:E75)*4</f>
        <v>17.64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32129</v>
      </c>
      <c r="C79" s="270">
        <v>66889</v>
      </c>
      <c r="D79" s="270">
        <v>88821</v>
      </c>
      <c r="E79" s="270">
        <v>72905</v>
      </c>
      <c r="F79" s="270">
        <v>71364</v>
      </c>
      <c r="G79" s="270">
        <v>66048</v>
      </c>
      <c r="H79" s="270">
        <v>72236</v>
      </c>
      <c r="I79" s="270">
        <v>60142</v>
      </c>
      <c r="J79" s="270">
        <v>64194</v>
      </c>
      <c r="K79" s="270">
        <v>47378</v>
      </c>
      <c r="L79" s="270">
        <v>71993</v>
      </c>
      <c r="M79" s="270">
        <v>59912</v>
      </c>
      <c r="N79" s="270">
        <v>60634</v>
      </c>
      <c r="O79" s="270">
        <v>53868</v>
      </c>
      <c r="P79" s="270">
        <v>79042</v>
      </c>
      <c r="Q79" s="270">
        <v>75292</v>
      </c>
      <c r="R79" s="270">
        <v>54374</v>
      </c>
      <c r="S79" s="270">
        <v>59842</v>
      </c>
      <c r="T79" s="270">
        <v>70652</v>
      </c>
      <c r="U79" s="270">
        <v>59399</v>
      </c>
      <c r="V79" s="270">
        <v>76070</v>
      </c>
      <c r="W79" s="270">
        <v>76376</v>
      </c>
      <c r="X79" s="270">
        <v>77362</v>
      </c>
      <c r="Y79" s="270">
        <v>85293</v>
      </c>
      <c r="Z79" s="270">
        <v>73516</v>
      </c>
      <c r="AA79" s="270">
        <v>79245</v>
      </c>
      <c r="AB79" s="270">
        <v>82972</v>
      </c>
      <c r="AC79" s="270">
        <v>84983</v>
      </c>
      <c r="AD79" s="270">
        <v>80848</v>
      </c>
      <c r="AE79" s="270">
        <v>92113</v>
      </c>
      <c r="AF79" s="270">
        <v>83239</v>
      </c>
      <c r="AG79" s="270">
        <v>92386</v>
      </c>
      <c r="AH79" s="270">
        <v>89974</v>
      </c>
      <c r="AI79" s="270">
        <v>90805</v>
      </c>
      <c r="AJ79" s="270">
        <v>82163</v>
      </c>
      <c r="AK79" s="270">
        <v>99321</v>
      </c>
      <c r="AL79" s="270">
        <v>75916</v>
      </c>
      <c r="AM79" s="270">
        <v>63329</v>
      </c>
      <c r="AN79" s="270">
        <v>125801</v>
      </c>
      <c r="AO79" s="270">
        <v>122410</v>
      </c>
      <c r="AP79" s="270">
        <v>116263</v>
      </c>
      <c r="AQ79" s="270">
        <v>107607</v>
      </c>
      <c r="AR79" s="270">
        <v>76816</v>
      </c>
      <c r="AS79" s="270">
        <v>95669</v>
      </c>
      <c r="AT79" s="270">
        <v>88226</v>
      </c>
      <c r="AU79" s="270">
        <v>71032</v>
      </c>
      <c r="AV79" s="270">
        <v>72808</v>
      </c>
      <c r="AW79" s="270">
        <v>73683</v>
      </c>
      <c r="AX79" s="270">
        <v>96200</v>
      </c>
      <c r="AY79" s="270">
        <v>78878</v>
      </c>
      <c r="AZ79" s="270">
        <v>127114</v>
      </c>
      <c r="BA79" s="270">
        <v>98736</v>
      </c>
      <c r="BB79" s="270">
        <v>110762</v>
      </c>
      <c r="BC79" s="270">
        <v>90215</v>
      </c>
      <c r="BD79" s="270">
        <v>85631</v>
      </c>
      <c r="BE79" s="270">
        <v>79833</v>
      </c>
      <c r="BF79" s="270">
        <v>94229</v>
      </c>
      <c r="BG79" s="270">
        <v>99729</v>
      </c>
      <c r="BH79" s="270">
        <v>72519</v>
      </c>
      <c r="BI79" s="270">
        <v>109394</v>
      </c>
      <c r="BJ79" s="270">
        <v>72929</v>
      </c>
      <c r="BK79" s="270">
        <v>88679</v>
      </c>
      <c r="BL79" s="270">
        <v>94087</v>
      </c>
      <c r="BM79" s="270">
        <v>78305</v>
      </c>
      <c r="BN79" s="270">
        <v>77223</v>
      </c>
      <c r="BO79" s="270">
        <v>106532</v>
      </c>
      <c r="BP79" s="270">
        <v>55849</v>
      </c>
      <c r="BQ79" s="270">
        <v>57318</v>
      </c>
      <c r="BR79" s="270">
        <v>96280</v>
      </c>
      <c r="BS79" s="270">
        <v>71779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0.27</v>
      </c>
      <c r="C82" s="72">
        <v>0.48</v>
      </c>
      <c r="D82" s="72">
        <v>0.46</v>
      </c>
      <c r="E82" s="72">
        <v>0.3</v>
      </c>
      <c r="F82" s="72">
        <v>0.42</v>
      </c>
      <c r="G82" s="72">
        <v>0.4</v>
      </c>
      <c r="H82" s="72">
        <v>0.46</v>
      </c>
      <c r="I82" s="72">
        <v>0.73</v>
      </c>
      <c r="J82" s="72">
        <v>0.56000000000000005</v>
      </c>
      <c r="K82" s="72">
        <v>0.66</v>
      </c>
      <c r="L82" s="72">
        <v>0.48</v>
      </c>
      <c r="M82" s="72">
        <v>0.73</v>
      </c>
      <c r="N82" s="72">
        <v>0.4</v>
      </c>
      <c r="O82" s="72">
        <v>1.05</v>
      </c>
      <c r="P82" s="72">
        <v>0.95</v>
      </c>
      <c r="Q82" s="72">
        <v>0.56999999999999995</v>
      </c>
      <c r="R82" s="72">
        <v>0.68</v>
      </c>
      <c r="S82" s="72">
        <v>0.97</v>
      </c>
      <c r="T82" s="72">
        <v>0.72</v>
      </c>
      <c r="U82" s="72">
        <v>0.7</v>
      </c>
      <c r="V82" s="72">
        <v>0.4</v>
      </c>
      <c r="W82" s="72">
        <v>0.79</v>
      </c>
      <c r="X82" s="72">
        <v>0.49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15.6</v>
      </c>
      <c r="C85" s="72">
        <v>13.8</v>
      </c>
      <c r="D85" s="72">
        <v>14.34</v>
      </c>
      <c r="E85" s="72">
        <v>14.58</v>
      </c>
      <c r="F85" s="72">
        <v>14.99</v>
      </c>
      <c r="G85" s="72">
        <v>14.11</v>
      </c>
      <c r="H85" s="72">
        <v>14.59</v>
      </c>
      <c r="I85" s="72">
        <v>15.44</v>
      </c>
      <c r="J85" s="72">
        <v>16.07</v>
      </c>
      <c r="K85" s="72">
        <v>15.13</v>
      </c>
      <c r="L85" s="72">
        <v>15.71</v>
      </c>
      <c r="M85" s="72">
        <v>16.510000000000002</v>
      </c>
      <c r="N85" s="72">
        <v>16.95</v>
      </c>
      <c r="O85" s="72">
        <v>15.88</v>
      </c>
      <c r="P85" s="72">
        <v>16.93</v>
      </c>
      <c r="Q85" s="72">
        <v>17.45</v>
      </c>
      <c r="R85" s="72">
        <v>18.11</v>
      </c>
      <c r="S85" s="72">
        <v>16.47</v>
      </c>
      <c r="T85" s="72">
        <v>16.89</v>
      </c>
      <c r="U85" s="72">
        <v>17.59</v>
      </c>
      <c r="V85" s="72">
        <v>17.989999999999998</v>
      </c>
      <c r="W85" s="72">
        <v>16.190000000000001</v>
      </c>
      <c r="X85" s="72">
        <v>16.72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202478</v>
      </c>
      <c r="C88" s="273">
        <v>217999</v>
      </c>
      <c r="D88" s="273">
        <v>210401</v>
      </c>
      <c r="E88" s="273">
        <v>178923</v>
      </c>
      <c r="F88" s="273">
        <v>193576</v>
      </c>
      <c r="G88" s="273">
        <v>189495</v>
      </c>
      <c r="H88" s="273">
        <v>206147</v>
      </c>
      <c r="I88" s="273">
        <v>238885</v>
      </c>
      <c r="J88" s="273">
        <v>235803</v>
      </c>
      <c r="K88" s="273">
        <v>257904</v>
      </c>
      <c r="L88" s="273">
        <v>265427</v>
      </c>
      <c r="M88" s="273">
        <v>272253</v>
      </c>
      <c r="N88" s="273">
        <v>265852</v>
      </c>
      <c r="O88" s="273">
        <v>346435</v>
      </c>
      <c r="P88" s="273">
        <v>258675</v>
      </c>
      <c r="Q88" s="273">
        <v>219188</v>
      </c>
      <c r="R88" s="273">
        <v>302194</v>
      </c>
      <c r="S88" s="273">
        <v>299539</v>
      </c>
      <c r="T88" s="273">
        <v>259503</v>
      </c>
      <c r="U88" s="273">
        <v>281332</v>
      </c>
      <c r="V88" s="273">
        <v>255691</v>
      </c>
      <c r="W88" s="273">
        <v>262103</v>
      </c>
      <c r="X88" s="273">
        <v>209565</v>
      </c>
    </row>
    <row r="89" spans="1:25" ht="14.25" thickBot="1" x14ac:dyDescent="0.3">
      <c r="A89" s="250" t="s">
        <v>4</v>
      </c>
      <c r="B89" s="275">
        <v>96422</v>
      </c>
      <c r="C89" s="275">
        <v>98230</v>
      </c>
      <c r="D89" s="275">
        <v>101933</v>
      </c>
      <c r="E89" s="275">
        <v>85115</v>
      </c>
      <c r="F89" s="275">
        <v>97335</v>
      </c>
      <c r="G89" s="275">
        <v>91656</v>
      </c>
      <c r="H89" s="275">
        <v>99254</v>
      </c>
      <c r="I89" s="275">
        <v>118014</v>
      </c>
      <c r="J89" s="275">
        <v>113404</v>
      </c>
      <c r="K89" s="275">
        <v>129075</v>
      </c>
      <c r="L89" s="275">
        <v>117747</v>
      </c>
      <c r="M89" s="275">
        <v>123870</v>
      </c>
      <c r="N89" s="275">
        <v>119196</v>
      </c>
      <c r="O89" s="275">
        <v>164362</v>
      </c>
      <c r="P89" s="275">
        <v>128555</v>
      </c>
      <c r="Q89" s="275">
        <v>114650</v>
      </c>
      <c r="R89" s="275">
        <v>153610</v>
      </c>
      <c r="S89" s="275">
        <v>156487</v>
      </c>
      <c r="T89" s="275">
        <v>124689</v>
      </c>
      <c r="U89" s="275">
        <v>140515</v>
      </c>
      <c r="V89" s="275">
        <v>132659</v>
      </c>
      <c r="W89" s="275">
        <v>134589</v>
      </c>
      <c r="X89" s="275">
        <v>108689</v>
      </c>
    </row>
    <row r="90" spans="1:25" ht="14.25" thickBot="1" x14ac:dyDescent="0.3">
      <c r="A90" s="251" t="s">
        <v>5</v>
      </c>
      <c r="B90" s="273">
        <v>33523</v>
      </c>
      <c r="C90" s="273">
        <v>39299</v>
      </c>
      <c r="D90" s="273">
        <v>38491</v>
      </c>
      <c r="E90" s="273">
        <v>22449</v>
      </c>
      <c r="F90" s="273">
        <v>32735</v>
      </c>
      <c r="G90" s="273">
        <v>31292</v>
      </c>
      <c r="H90" s="273">
        <v>39598</v>
      </c>
      <c r="I90" s="273">
        <v>52410</v>
      </c>
      <c r="J90" s="273">
        <v>43449</v>
      </c>
      <c r="K90" s="273">
        <v>63921</v>
      </c>
      <c r="L90" s="273">
        <v>51157</v>
      </c>
      <c r="M90" s="273">
        <v>56676</v>
      </c>
      <c r="N90" s="273">
        <v>52868</v>
      </c>
      <c r="O90" s="273">
        <v>95077</v>
      </c>
      <c r="P90" s="273">
        <v>55239</v>
      </c>
      <c r="Q90" s="273">
        <v>41542</v>
      </c>
      <c r="R90" s="273">
        <v>82516</v>
      </c>
      <c r="S90" s="273">
        <v>82692</v>
      </c>
      <c r="T90" s="273">
        <v>60816</v>
      </c>
      <c r="U90" s="273">
        <v>50606</v>
      </c>
      <c r="V90" s="273">
        <v>79980</v>
      </c>
      <c r="W90" s="273">
        <v>66352</v>
      </c>
      <c r="X90" s="273">
        <v>42822</v>
      </c>
    </row>
    <row r="91" spans="1:25" ht="14.25" thickBot="1" x14ac:dyDescent="0.3">
      <c r="A91" s="250" t="s">
        <v>6</v>
      </c>
      <c r="B91" s="275">
        <v>25171</v>
      </c>
      <c r="C91" s="275">
        <v>36500</v>
      </c>
      <c r="D91" s="275">
        <v>38340</v>
      </c>
      <c r="E91" s="275">
        <v>25345</v>
      </c>
      <c r="F91" s="275">
        <v>37307</v>
      </c>
      <c r="G91" s="275">
        <v>37358</v>
      </c>
      <c r="H91" s="275">
        <v>41866</v>
      </c>
      <c r="I91" s="275">
        <v>58663</v>
      </c>
      <c r="J91" s="275">
        <v>52330</v>
      </c>
      <c r="K91" s="275">
        <v>62775</v>
      </c>
      <c r="L91" s="275">
        <v>46494</v>
      </c>
      <c r="M91" s="275">
        <v>69882</v>
      </c>
      <c r="N91" s="275">
        <v>38453</v>
      </c>
      <c r="O91" s="275">
        <v>93838</v>
      </c>
      <c r="P91" s="275">
        <v>91935</v>
      </c>
      <c r="Q91" s="275">
        <v>48535</v>
      </c>
      <c r="R91" s="275">
        <v>68129</v>
      </c>
      <c r="S91" s="275">
        <v>81863</v>
      </c>
      <c r="T91" s="275">
        <v>68704</v>
      </c>
      <c r="U91" s="275">
        <v>68255</v>
      </c>
      <c r="V91" s="275">
        <v>35387</v>
      </c>
      <c r="W91" s="275">
        <v>71262</v>
      </c>
      <c r="X91" s="275">
        <v>47328</v>
      </c>
    </row>
    <row r="92" spans="1:25" ht="14.25" thickBot="1" x14ac:dyDescent="0.3">
      <c r="A92" s="251" t="s">
        <v>7</v>
      </c>
      <c r="B92" s="273">
        <v>20103</v>
      </c>
      <c r="C92" s="273">
        <v>35770</v>
      </c>
      <c r="D92" s="273">
        <v>34499</v>
      </c>
      <c r="E92" s="273">
        <v>22546</v>
      </c>
      <c r="F92" s="273">
        <v>31054</v>
      </c>
      <c r="G92" s="273">
        <v>30099</v>
      </c>
      <c r="H92" s="273">
        <v>34184</v>
      </c>
      <c r="I92" s="273">
        <v>54632</v>
      </c>
      <c r="J92" s="273">
        <v>41894</v>
      </c>
      <c r="K92" s="273">
        <v>50641</v>
      </c>
      <c r="L92" s="273">
        <v>36987</v>
      </c>
      <c r="M92" s="273">
        <v>56014</v>
      </c>
      <c r="N92" s="273">
        <v>31102</v>
      </c>
      <c r="O92" s="273">
        <v>81373</v>
      </c>
      <c r="P92" s="273">
        <v>74499</v>
      </c>
      <c r="Q92" s="273">
        <v>43666</v>
      </c>
      <c r="R92" s="273">
        <v>53409</v>
      </c>
      <c r="S92" s="273">
        <v>75668</v>
      </c>
      <c r="T92" s="273">
        <v>56740</v>
      </c>
      <c r="U92" s="273">
        <v>55119</v>
      </c>
      <c r="V92" s="273">
        <v>31602</v>
      </c>
      <c r="W92" s="273">
        <v>63603</v>
      </c>
      <c r="X92" s="273">
        <v>39530</v>
      </c>
    </row>
    <row r="93" spans="1:25" ht="26.25" thickBot="1" x14ac:dyDescent="0.3">
      <c r="A93" s="252" t="s">
        <v>8</v>
      </c>
      <c r="B93" s="276">
        <v>20103</v>
      </c>
      <c r="C93" s="276">
        <v>35770</v>
      </c>
      <c r="D93" s="276">
        <v>34499</v>
      </c>
      <c r="E93" s="276">
        <v>22546</v>
      </c>
      <c r="F93" s="276">
        <v>31054</v>
      </c>
      <c r="G93" s="276">
        <v>30099</v>
      </c>
      <c r="H93" s="276">
        <v>34184</v>
      </c>
      <c r="I93" s="276">
        <v>54632</v>
      </c>
      <c r="J93" s="276">
        <v>41894</v>
      </c>
      <c r="K93" s="276">
        <v>50641</v>
      </c>
      <c r="L93" s="276">
        <v>36987</v>
      </c>
      <c r="M93" s="276">
        <v>56014</v>
      </c>
      <c r="N93" s="276">
        <v>31102</v>
      </c>
      <c r="O93" s="276">
        <v>81373</v>
      </c>
      <c r="P93" s="276">
        <v>74499</v>
      </c>
      <c r="Q93" s="276">
        <v>43666</v>
      </c>
      <c r="R93" s="276">
        <v>53409</v>
      </c>
      <c r="S93" s="276">
        <v>75668</v>
      </c>
      <c r="T93" s="276">
        <v>56740</v>
      </c>
      <c r="U93" s="276">
        <v>55119</v>
      </c>
      <c r="V93" s="276">
        <v>31602</v>
      </c>
      <c r="W93" s="276">
        <v>63603</v>
      </c>
      <c r="X93" s="276">
        <v>39530</v>
      </c>
    </row>
    <row r="94" spans="1:25" x14ac:dyDescent="0.25">
      <c r="A94" s="233" t="s">
        <v>365</v>
      </c>
      <c r="B94" s="253">
        <f>IF(B91="","",B91-B90)</f>
        <v>-8352</v>
      </c>
      <c r="C94" s="253">
        <f>IF(C91="","",C91-C90)</f>
        <v>-2799</v>
      </c>
      <c r="D94" s="253">
        <f t="shared" ref="D94:Y94" si="9">IF(D91="","",D91-D90)</f>
        <v>-151</v>
      </c>
      <c r="E94" s="253">
        <f t="shared" si="9"/>
        <v>2896</v>
      </c>
      <c r="F94" s="253">
        <f t="shared" si="9"/>
        <v>4572</v>
      </c>
      <c r="G94" s="253">
        <f t="shared" si="9"/>
        <v>6066</v>
      </c>
      <c r="H94" s="253">
        <f t="shared" si="9"/>
        <v>2268</v>
      </c>
      <c r="I94" s="253">
        <f t="shared" si="9"/>
        <v>6253</v>
      </c>
      <c r="J94" s="253">
        <f t="shared" si="9"/>
        <v>8881</v>
      </c>
      <c r="K94" s="253">
        <f t="shared" si="9"/>
        <v>-1146</v>
      </c>
      <c r="L94" s="253">
        <f t="shared" si="9"/>
        <v>-4663</v>
      </c>
      <c r="M94" s="253">
        <f t="shared" si="9"/>
        <v>13206</v>
      </c>
      <c r="N94" s="253">
        <f t="shared" si="9"/>
        <v>-14415</v>
      </c>
      <c r="O94" s="253">
        <f t="shared" si="9"/>
        <v>-1239</v>
      </c>
      <c r="P94" s="253">
        <f t="shared" si="9"/>
        <v>36696</v>
      </c>
      <c r="Q94" s="253">
        <f t="shared" si="9"/>
        <v>6993</v>
      </c>
      <c r="R94" s="253">
        <f t="shared" si="9"/>
        <v>-14387</v>
      </c>
      <c r="S94" s="253">
        <f t="shared" si="9"/>
        <v>-829</v>
      </c>
      <c r="T94" s="253">
        <f t="shared" si="9"/>
        <v>7888</v>
      </c>
      <c r="U94" s="253">
        <f t="shared" si="9"/>
        <v>17649</v>
      </c>
      <c r="V94" s="253">
        <f t="shared" si="9"/>
        <v>-44593</v>
      </c>
      <c r="W94" s="253">
        <f t="shared" si="9"/>
        <v>4910</v>
      </c>
      <c r="X94" s="253">
        <f t="shared" si="9"/>
        <v>4506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809801</v>
      </c>
      <c r="C97" s="273">
        <v>828103</v>
      </c>
      <c r="D97" s="273">
        <v>1031387</v>
      </c>
      <c r="E97" s="273">
        <v>1090150</v>
      </c>
      <c r="F97" s="273">
        <v>1142568</v>
      </c>
    </row>
    <row r="98" spans="1:24" ht="14.25" thickBot="1" x14ac:dyDescent="0.3">
      <c r="A98" s="225" t="s">
        <v>4</v>
      </c>
      <c r="B98" s="275">
        <v>381700</v>
      </c>
      <c r="C98" s="275">
        <v>406259</v>
      </c>
      <c r="D98" s="275">
        <v>484096</v>
      </c>
      <c r="E98" s="275">
        <v>526763</v>
      </c>
      <c r="F98" s="275">
        <v>575301</v>
      </c>
    </row>
    <row r="99" spans="1:24" ht="14.25" thickBot="1" x14ac:dyDescent="0.3">
      <c r="A99" s="224" t="s">
        <v>5</v>
      </c>
      <c r="B99" s="273">
        <v>133762</v>
      </c>
      <c r="C99" s="273">
        <v>156035</v>
      </c>
      <c r="D99" s="273">
        <v>215203</v>
      </c>
      <c r="E99" s="273">
        <v>244726</v>
      </c>
      <c r="F99" s="273">
        <v>276630</v>
      </c>
    </row>
    <row r="100" spans="1:24" ht="14.25" thickBot="1" x14ac:dyDescent="0.3">
      <c r="A100" s="225" t="s">
        <v>6</v>
      </c>
      <c r="B100" s="275">
        <v>125356</v>
      </c>
      <c r="C100" s="275">
        <v>175194</v>
      </c>
      <c r="D100" s="275">
        <v>231481</v>
      </c>
      <c r="E100" s="275">
        <v>272761</v>
      </c>
      <c r="F100" s="275">
        <v>286951</v>
      </c>
    </row>
    <row r="101" spans="1:24" ht="14.25" thickBot="1" x14ac:dyDescent="0.3">
      <c r="A101" s="224" t="s">
        <v>7</v>
      </c>
      <c r="B101" s="273">
        <v>112918</v>
      </c>
      <c r="C101" s="273">
        <v>149969</v>
      </c>
      <c r="D101" s="273">
        <v>185536</v>
      </c>
      <c r="E101" s="273">
        <v>230640</v>
      </c>
      <c r="F101" s="273">
        <v>240936</v>
      </c>
    </row>
    <row r="102" spans="1:24" ht="14.25" thickBot="1" x14ac:dyDescent="0.3">
      <c r="A102" s="227" t="s">
        <v>8</v>
      </c>
      <c r="B102" s="276">
        <v>112918</v>
      </c>
      <c r="C102" s="276">
        <v>149969</v>
      </c>
      <c r="D102" s="276">
        <v>185536</v>
      </c>
      <c r="E102" s="276">
        <v>230640</v>
      </c>
      <c r="F102" s="276">
        <v>240936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505709</v>
      </c>
      <c r="C106" s="273">
        <v>520538</v>
      </c>
      <c r="D106" s="273">
        <v>427410</v>
      </c>
      <c r="E106" s="273">
        <v>477369</v>
      </c>
      <c r="F106" s="273">
        <v>544164</v>
      </c>
      <c r="G106" s="273">
        <v>589229</v>
      </c>
      <c r="H106" s="273">
        <v>528945</v>
      </c>
      <c r="I106" s="273">
        <v>584182</v>
      </c>
      <c r="J106" s="273">
        <v>682965</v>
      </c>
      <c r="K106" s="273">
        <v>723427</v>
      </c>
      <c r="L106" s="273">
        <v>586425</v>
      </c>
      <c r="M106" s="273">
        <v>563653</v>
      </c>
      <c r="N106" s="273">
        <v>609402</v>
      </c>
      <c r="O106" s="273">
        <v>703487</v>
      </c>
      <c r="P106" s="273">
        <v>575121</v>
      </c>
      <c r="Q106" s="273">
        <v>662844</v>
      </c>
      <c r="R106" s="273">
        <v>763506</v>
      </c>
      <c r="S106" s="273">
        <v>903730</v>
      </c>
      <c r="T106" s="273">
        <v>692188</v>
      </c>
      <c r="U106" s="273">
        <v>623409</v>
      </c>
      <c r="V106" s="273">
        <v>706490</v>
      </c>
      <c r="W106" s="273">
        <v>830885</v>
      </c>
      <c r="X106" s="273">
        <v>688731</v>
      </c>
    </row>
    <row r="107" spans="1:24" ht="14.25" thickBot="1" x14ac:dyDescent="0.3">
      <c r="A107" s="225" t="s">
        <v>22</v>
      </c>
      <c r="B107" s="275">
        <v>361745</v>
      </c>
      <c r="C107" s="275">
        <v>360935</v>
      </c>
      <c r="D107" s="275">
        <v>340809</v>
      </c>
      <c r="E107" s="275">
        <v>341587</v>
      </c>
      <c r="F107" s="275">
        <v>332383</v>
      </c>
      <c r="G107" s="275">
        <v>333887</v>
      </c>
      <c r="H107" s="275">
        <v>334065</v>
      </c>
      <c r="I107" s="275">
        <v>336628</v>
      </c>
      <c r="J107" s="275">
        <v>338703</v>
      </c>
      <c r="K107" s="275">
        <v>338792</v>
      </c>
      <c r="L107" s="275">
        <v>340605</v>
      </c>
      <c r="M107" s="275">
        <v>342117</v>
      </c>
      <c r="N107" s="275">
        <v>343709</v>
      </c>
      <c r="O107" s="275">
        <v>342889</v>
      </c>
      <c r="P107" s="275">
        <v>345636</v>
      </c>
      <c r="Q107" s="275">
        <v>344151</v>
      </c>
      <c r="R107" s="275">
        <v>340880</v>
      </c>
      <c r="S107" s="275">
        <v>342094</v>
      </c>
      <c r="T107" s="275">
        <v>48146</v>
      </c>
      <c r="U107" s="275">
        <v>48179</v>
      </c>
      <c r="V107" s="275">
        <v>48218</v>
      </c>
      <c r="W107" s="275">
        <v>48259</v>
      </c>
      <c r="X107" s="275">
        <v>48304</v>
      </c>
    </row>
    <row r="108" spans="1:24" ht="14.25" thickBot="1" x14ac:dyDescent="0.3">
      <c r="A108" s="224" t="s">
        <v>263</v>
      </c>
      <c r="B108" s="273">
        <v>114001</v>
      </c>
      <c r="C108" s="273">
        <v>129572</v>
      </c>
      <c r="D108" s="273">
        <v>113164</v>
      </c>
      <c r="E108" s="273">
        <v>103847</v>
      </c>
      <c r="F108" s="273">
        <v>100981</v>
      </c>
      <c r="G108" s="273">
        <v>104213</v>
      </c>
      <c r="H108" s="273">
        <v>113111</v>
      </c>
      <c r="I108" s="273">
        <v>105836</v>
      </c>
      <c r="J108" s="273">
        <v>93646</v>
      </c>
      <c r="K108" s="273">
        <v>97905</v>
      </c>
      <c r="L108" s="273">
        <v>156860</v>
      </c>
      <c r="M108" s="273">
        <v>170002</v>
      </c>
      <c r="N108" s="273">
        <v>185884</v>
      </c>
      <c r="O108" s="273">
        <v>212744</v>
      </c>
      <c r="P108" s="273">
        <v>163212</v>
      </c>
      <c r="Q108" s="273">
        <v>141664</v>
      </c>
      <c r="R108" s="273">
        <v>192761</v>
      </c>
      <c r="S108" s="273">
        <v>150019</v>
      </c>
      <c r="T108" s="273">
        <v>187404</v>
      </c>
      <c r="U108" s="273">
        <v>133550</v>
      </c>
      <c r="V108" s="273">
        <v>96096</v>
      </c>
      <c r="W108" s="273">
        <v>139910</v>
      </c>
      <c r="X108" s="273">
        <v>110919</v>
      </c>
    </row>
    <row r="109" spans="1:24" ht="14.25" thickBot="1" x14ac:dyDescent="0.3">
      <c r="A109" s="225" t="s">
        <v>264</v>
      </c>
      <c r="B109" s="275">
        <v>151750</v>
      </c>
      <c r="C109" s="275">
        <v>154873</v>
      </c>
      <c r="D109" s="275">
        <v>135136</v>
      </c>
      <c r="E109" s="275">
        <v>132857</v>
      </c>
      <c r="F109" s="275">
        <v>145177</v>
      </c>
      <c r="G109" s="275">
        <v>150140</v>
      </c>
      <c r="H109" s="275">
        <v>137645</v>
      </c>
      <c r="I109" s="275">
        <v>135599</v>
      </c>
      <c r="J109" s="275">
        <v>129507</v>
      </c>
      <c r="K109" s="275">
        <v>140892</v>
      </c>
      <c r="L109" s="275">
        <v>144478</v>
      </c>
      <c r="M109" s="275">
        <v>99231</v>
      </c>
      <c r="N109" s="275">
        <v>100806</v>
      </c>
      <c r="O109" s="275">
        <v>131515</v>
      </c>
      <c r="P109" s="275">
        <v>126400</v>
      </c>
      <c r="Q109" s="275">
        <v>116940</v>
      </c>
      <c r="R109" s="275">
        <v>109317</v>
      </c>
      <c r="S109" s="275">
        <v>118703</v>
      </c>
      <c r="T109" s="275">
        <v>119936</v>
      </c>
      <c r="U109" s="275">
        <v>99509</v>
      </c>
      <c r="V109" s="275">
        <v>122706</v>
      </c>
      <c r="W109" s="275">
        <v>117581</v>
      </c>
      <c r="X109" s="275">
        <v>126459</v>
      </c>
    </row>
    <row r="110" spans="1:24" ht="14.25" thickBot="1" x14ac:dyDescent="0.3">
      <c r="A110" s="224" t="s">
        <v>23</v>
      </c>
      <c r="B110" s="273">
        <v>29837</v>
      </c>
      <c r="C110" s="273">
        <v>23817</v>
      </c>
      <c r="D110" s="273">
        <v>27793</v>
      </c>
      <c r="E110" s="273">
        <v>19295</v>
      </c>
      <c r="F110" s="273">
        <v>12841</v>
      </c>
      <c r="G110" s="273">
        <v>9828</v>
      </c>
      <c r="H110" s="273">
        <v>9726</v>
      </c>
      <c r="I110" s="273">
        <v>25844</v>
      </c>
      <c r="J110" s="273">
        <v>25643</v>
      </c>
      <c r="K110" s="273">
        <v>55936</v>
      </c>
      <c r="L110" s="273">
        <v>61182</v>
      </c>
      <c r="M110" s="273">
        <v>166068</v>
      </c>
      <c r="N110" s="273">
        <v>177254</v>
      </c>
      <c r="O110" s="273">
        <v>214476</v>
      </c>
      <c r="P110" s="273">
        <v>219642</v>
      </c>
      <c r="Q110" s="273">
        <v>208633</v>
      </c>
      <c r="R110" s="273">
        <v>216004</v>
      </c>
      <c r="S110" s="273">
        <v>173209</v>
      </c>
      <c r="T110" s="273">
        <v>349691</v>
      </c>
      <c r="U110" s="273">
        <v>607679</v>
      </c>
      <c r="V110" s="273">
        <v>515294</v>
      </c>
      <c r="W110" s="273">
        <v>386599</v>
      </c>
      <c r="X110" s="273">
        <v>335119</v>
      </c>
    </row>
    <row r="111" spans="1:24" ht="14.25" thickBot="1" x14ac:dyDescent="0.3">
      <c r="A111" s="225" t="s">
        <v>24</v>
      </c>
      <c r="B111" s="275">
        <v>1163042</v>
      </c>
      <c r="C111" s="275">
        <v>1189735</v>
      </c>
      <c r="D111" s="275">
        <v>1044312</v>
      </c>
      <c r="E111" s="275">
        <v>1074955</v>
      </c>
      <c r="F111" s="275">
        <v>1135546</v>
      </c>
      <c r="G111" s="275">
        <v>1187297</v>
      </c>
      <c r="H111" s="275">
        <v>1123492</v>
      </c>
      <c r="I111" s="275">
        <v>1188089</v>
      </c>
      <c r="J111" s="275">
        <v>1270464</v>
      </c>
      <c r="K111" s="275">
        <v>1356952</v>
      </c>
      <c r="L111" s="275">
        <v>1289550</v>
      </c>
      <c r="M111" s="275">
        <v>1341071</v>
      </c>
      <c r="N111" s="275">
        <v>1417055</v>
      </c>
      <c r="O111" s="275">
        <v>1605111</v>
      </c>
      <c r="P111" s="275">
        <v>1430011</v>
      </c>
      <c r="Q111" s="275">
        <v>1474232</v>
      </c>
      <c r="R111" s="275">
        <v>1622468</v>
      </c>
      <c r="S111" s="275">
        <v>1687755</v>
      </c>
      <c r="T111" s="275">
        <v>1397365</v>
      </c>
      <c r="U111" s="275">
        <v>1512326</v>
      </c>
      <c r="V111" s="275">
        <v>1488804</v>
      </c>
      <c r="W111" s="275">
        <v>1523234</v>
      </c>
      <c r="X111" s="275">
        <v>1309532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150699</v>
      </c>
      <c r="C113" s="275">
        <v>148996</v>
      </c>
      <c r="D113" s="275">
        <v>147693</v>
      </c>
      <c r="E113" s="275">
        <v>146303</v>
      </c>
      <c r="F113" s="275">
        <v>157732</v>
      </c>
      <c r="G113" s="275">
        <v>156631</v>
      </c>
      <c r="H113" s="275">
        <v>157845</v>
      </c>
      <c r="I113" s="275">
        <v>156247</v>
      </c>
      <c r="J113" s="275">
        <v>155006</v>
      </c>
      <c r="K113" s="275">
        <v>153351</v>
      </c>
      <c r="L113" s="275">
        <v>152476</v>
      </c>
      <c r="M113" s="275">
        <v>150754</v>
      </c>
      <c r="N113" s="275">
        <v>149098</v>
      </c>
      <c r="O113" s="275">
        <v>148453</v>
      </c>
      <c r="P113" s="275">
        <v>147261</v>
      </c>
      <c r="Q113" s="275">
        <v>146110</v>
      </c>
      <c r="R113" s="275">
        <v>152153</v>
      </c>
      <c r="S113" s="275">
        <v>159028</v>
      </c>
      <c r="T113" s="275">
        <v>203275</v>
      </c>
      <c r="U113" s="275">
        <v>220302</v>
      </c>
      <c r="V113" s="275">
        <v>235827</v>
      </c>
      <c r="W113" s="275">
        <v>235527</v>
      </c>
      <c r="X113" s="275">
        <v>233913</v>
      </c>
    </row>
    <row r="114" spans="1:24" ht="14.25" thickBot="1" x14ac:dyDescent="0.3">
      <c r="A114" s="224" t="s">
        <v>27</v>
      </c>
      <c r="B114" s="273">
        <v>18983</v>
      </c>
      <c r="C114" s="273">
        <v>18012</v>
      </c>
      <c r="D114" s="273">
        <v>17638</v>
      </c>
      <c r="E114" s="273">
        <v>17361</v>
      </c>
      <c r="F114" s="273">
        <v>15071</v>
      </c>
      <c r="G114" s="273">
        <v>13913</v>
      </c>
      <c r="H114" s="273">
        <v>13019</v>
      </c>
      <c r="I114" s="273">
        <v>12982</v>
      </c>
      <c r="J114" s="273">
        <v>12221</v>
      </c>
      <c r="K114" s="273">
        <v>12257</v>
      </c>
      <c r="L114" s="273">
        <v>12527</v>
      </c>
      <c r="M114" s="273">
        <v>12528</v>
      </c>
      <c r="N114" s="273">
        <v>12012</v>
      </c>
      <c r="O114" s="273">
        <v>11867</v>
      </c>
      <c r="P114" s="273">
        <v>13428</v>
      </c>
      <c r="Q114" s="273">
        <v>13966</v>
      </c>
      <c r="R114" s="273">
        <v>13924</v>
      </c>
      <c r="S114" s="273">
        <v>15528</v>
      </c>
      <c r="T114" s="273">
        <v>14207</v>
      </c>
      <c r="U114" s="273">
        <v>16753</v>
      </c>
      <c r="V114" s="273">
        <v>16485</v>
      </c>
      <c r="W114" s="273">
        <v>16166</v>
      </c>
      <c r="X114" s="273">
        <v>15779</v>
      </c>
    </row>
    <row r="115" spans="1:24" ht="14.25" thickBot="1" x14ac:dyDescent="0.3">
      <c r="A115" s="225" t="s">
        <v>265</v>
      </c>
      <c r="B115" s="276">
        <v>1332724</v>
      </c>
      <c r="C115" s="276">
        <v>1356743</v>
      </c>
      <c r="D115" s="276">
        <v>1209643</v>
      </c>
      <c r="E115" s="276">
        <v>1238619</v>
      </c>
      <c r="F115" s="276">
        <v>1308349</v>
      </c>
      <c r="G115" s="276">
        <v>1357841</v>
      </c>
      <c r="H115" s="276">
        <v>1294356</v>
      </c>
      <c r="I115" s="276">
        <v>1357318</v>
      </c>
      <c r="J115" s="276">
        <v>1437691</v>
      </c>
      <c r="K115" s="276">
        <v>1522560</v>
      </c>
      <c r="L115" s="276">
        <v>1454553</v>
      </c>
      <c r="M115" s="276">
        <v>1504353</v>
      </c>
      <c r="N115" s="276">
        <v>1578165</v>
      </c>
      <c r="O115" s="276">
        <v>1765431</v>
      </c>
      <c r="P115" s="276">
        <v>1590700</v>
      </c>
      <c r="Q115" s="276">
        <v>1634308</v>
      </c>
      <c r="R115" s="276">
        <v>1788545</v>
      </c>
      <c r="S115" s="276">
        <v>1862311</v>
      </c>
      <c r="T115" s="276">
        <v>1614847</v>
      </c>
      <c r="U115" s="276">
        <v>1749381</v>
      </c>
      <c r="V115" s="276">
        <v>1741116</v>
      </c>
      <c r="W115" s="276">
        <v>1774927</v>
      </c>
      <c r="X115" s="276">
        <v>1559224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273">
        <v>49770</v>
      </c>
      <c r="P118" s="273">
        <v>16090</v>
      </c>
      <c r="Q118" s="68">
        <v>0</v>
      </c>
      <c r="R118" s="273">
        <v>33219</v>
      </c>
      <c r="S118" s="273">
        <v>49779</v>
      </c>
      <c r="T118" s="273">
        <v>16560</v>
      </c>
      <c r="U118" s="273">
        <v>43358</v>
      </c>
      <c r="V118" s="273">
        <v>12335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58467</v>
      </c>
      <c r="C120" s="273">
        <v>56030</v>
      </c>
      <c r="D120" s="273">
        <v>40660</v>
      </c>
      <c r="E120" s="273">
        <v>46328</v>
      </c>
      <c r="F120" s="273">
        <v>50473</v>
      </c>
      <c r="G120" s="273">
        <v>61547</v>
      </c>
      <c r="H120" s="273">
        <v>51339</v>
      </c>
      <c r="I120" s="273">
        <v>65766</v>
      </c>
      <c r="J120" s="273">
        <v>63886</v>
      </c>
      <c r="K120" s="273">
        <v>76970</v>
      </c>
      <c r="L120" s="273">
        <v>70191</v>
      </c>
      <c r="M120" s="273">
        <v>52583</v>
      </c>
      <c r="N120" s="273">
        <v>72213</v>
      </c>
      <c r="O120" s="273">
        <v>112855</v>
      </c>
      <c r="P120" s="273">
        <v>39504</v>
      </c>
      <c r="Q120" s="273">
        <v>54499</v>
      </c>
      <c r="R120" s="273">
        <v>87994</v>
      </c>
      <c r="S120" s="273">
        <v>69270</v>
      </c>
      <c r="T120" s="273">
        <v>55393</v>
      </c>
      <c r="U120" s="273">
        <v>61909</v>
      </c>
      <c r="V120" s="273">
        <v>65940</v>
      </c>
      <c r="W120" s="273">
        <v>46111</v>
      </c>
      <c r="X120" s="273">
        <v>56196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91345</v>
      </c>
      <c r="C123" s="275">
        <v>252068</v>
      </c>
      <c r="D123" s="275">
        <v>78727</v>
      </c>
      <c r="E123" s="275">
        <v>81265</v>
      </c>
      <c r="F123" s="275">
        <v>100567</v>
      </c>
      <c r="G123" s="275">
        <v>204875</v>
      </c>
      <c r="H123" s="275">
        <v>111779</v>
      </c>
      <c r="I123" s="275">
        <v>91643</v>
      </c>
      <c r="J123" s="275">
        <v>117817</v>
      </c>
      <c r="K123" s="275">
        <v>251236</v>
      </c>
      <c r="L123" s="275">
        <v>135293</v>
      </c>
      <c r="M123" s="275">
        <v>136567</v>
      </c>
      <c r="N123" s="275">
        <v>156054</v>
      </c>
      <c r="O123" s="275">
        <v>321667</v>
      </c>
      <c r="P123" s="275">
        <v>166423</v>
      </c>
      <c r="Q123" s="275">
        <v>168692</v>
      </c>
      <c r="R123" s="275">
        <v>205238</v>
      </c>
      <c r="S123" s="275">
        <v>393080</v>
      </c>
      <c r="T123" s="275">
        <v>155491</v>
      </c>
      <c r="U123" s="275">
        <v>200480</v>
      </c>
      <c r="V123" s="275">
        <v>189381</v>
      </c>
      <c r="W123" s="275">
        <v>380402</v>
      </c>
      <c r="X123" s="275">
        <v>108943</v>
      </c>
    </row>
    <row r="124" spans="1:24" ht="14.25" thickBot="1" x14ac:dyDescent="0.3">
      <c r="A124" s="224" t="s">
        <v>268</v>
      </c>
      <c r="B124" s="273">
        <v>149812</v>
      </c>
      <c r="C124" s="273">
        <v>308098</v>
      </c>
      <c r="D124" s="273">
        <v>119387</v>
      </c>
      <c r="E124" s="273">
        <v>127593</v>
      </c>
      <c r="F124" s="273">
        <v>151040</v>
      </c>
      <c r="G124" s="273">
        <v>266422</v>
      </c>
      <c r="H124" s="273">
        <v>163118</v>
      </c>
      <c r="I124" s="273">
        <v>157409</v>
      </c>
      <c r="J124" s="273">
        <v>181703</v>
      </c>
      <c r="K124" s="273">
        <v>328206</v>
      </c>
      <c r="L124" s="273">
        <v>205484</v>
      </c>
      <c r="M124" s="273">
        <v>189150</v>
      </c>
      <c r="N124" s="273">
        <v>228267</v>
      </c>
      <c r="O124" s="273">
        <v>484292</v>
      </c>
      <c r="P124" s="273">
        <v>222017</v>
      </c>
      <c r="Q124" s="273">
        <v>223191</v>
      </c>
      <c r="R124" s="273">
        <v>326451</v>
      </c>
      <c r="S124" s="273">
        <v>512129</v>
      </c>
      <c r="T124" s="273">
        <v>227444</v>
      </c>
      <c r="U124" s="273">
        <v>305747</v>
      </c>
      <c r="V124" s="273">
        <v>267656</v>
      </c>
      <c r="W124" s="273">
        <v>426513</v>
      </c>
      <c r="X124" s="273">
        <v>165139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37506</v>
      </c>
      <c r="G125" s="275">
        <v>36478</v>
      </c>
      <c r="H125" s="275">
        <v>36439</v>
      </c>
      <c r="I125" s="275">
        <v>38463</v>
      </c>
      <c r="J125" s="275">
        <v>38616</v>
      </c>
      <c r="K125" s="275">
        <v>38431</v>
      </c>
      <c r="L125" s="275">
        <v>38885</v>
      </c>
      <c r="M125" s="275">
        <v>42848</v>
      </c>
      <c r="N125" s="275">
        <v>42741</v>
      </c>
      <c r="O125" s="275">
        <v>42678</v>
      </c>
      <c r="P125" s="275">
        <v>43429</v>
      </c>
      <c r="Q125" s="275">
        <v>44679</v>
      </c>
      <c r="R125" s="275">
        <v>42554</v>
      </c>
      <c r="S125" s="275">
        <v>40073</v>
      </c>
      <c r="T125" s="275">
        <v>37533</v>
      </c>
      <c r="U125" s="275">
        <v>37447</v>
      </c>
      <c r="V125" s="275">
        <v>35278</v>
      </c>
      <c r="W125" s="275">
        <v>33056</v>
      </c>
      <c r="X125" s="275">
        <v>30537</v>
      </c>
    </row>
    <row r="126" spans="1:24" ht="14.25" thickBot="1" x14ac:dyDescent="0.3">
      <c r="A126" s="224" t="s">
        <v>33</v>
      </c>
      <c r="B126" s="273">
        <v>19355</v>
      </c>
      <c r="C126" s="273">
        <v>18967</v>
      </c>
      <c r="D126" s="273">
        <v>19820</v>
      </c>
      <c r="E126" s="273">
        <v>22181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169167</v>
      </c>
      <c r="C127" s="275">
        <v>327065</v>
      </c>
      <c r="D127" s="275">
        <v>139207</v>
      </c>
      <c r="E127" s="275">
        <v>149774</v>
      </c>
      <c r="F127" s="275">
        <v>188546</v>
      </c>
      <c r="G127" s="275">
        <v>302900</v>
      </c>
      <c r="H127" s="275">
        <v>199557</v>
      </c>
      <c r="I127" s="275">
        <v>195872</v>
      </c>
      <c r="J127" s="275">
        <v>220319</v>
      </c>
      <c r="K127" s="275">
        <v>366637</v>
      </c>
      <c r="L127" s="275">
        <v>244369</v>
      </c>
      <c r="M127" s="275">
        <v>231998</v>
      </c>
      <c r="N127" s="275">
        <v>271008</v>
      </c>
      <c r="O127" s="275">
        <v>526970</v>
      </c>
      <c r="P127" s="275">
        <v>265446</v>
      </c>
      <c r="Q127" s="275">
        <v>267870</v>
      </c>
      <c r="R127" s="275">
        <v>369005</v>
      </c>
      <c r="S127" s="275">
        <v>552202</v>
      </c>
      <c r="T127" s="275">
        <v>264977</v>
      </c>
      <c r="U127" s="275">
        <v>343194</v>
      </c>
      <c r="V127" s="275">
        <v>302934</v>
      </c>
      <c r="W127" s="275">
        <v>459569</v>
      </c>
      <c r="X127" s="275">
        <v>195676</v>
      </c>
    </row>
    <row r="128" spans="1:24" ht="14.25" thickBot="1" x14ac:dyDescent="0.3">
      <c r="A128" s="224" t="s">
        <v>34</v>
      </c>
      <c r="B128" s="273">
        <v>1163557</v>
      </c>
      <c r="C128" s="273">
        <v>1029678</v>
      </c>
      <c r="D128" s="273">
        <v>1070436</v>
      </c>
      <c r="E128" s="273">
        <v>1088845</v>
      </c>
      <c r="F128" s="273">
        <v>1119803</v>
      </c>
      <c r="G128" s="273">
        <v>1054941</v>
      </c>
      <c r="H128" s="273">
        <v>1094799</v>
      </c>
      <c r="I128" s="273">
        <v>1161446</v>
      </c>
      <c r="J128" s="273">
        <v>1217372</v>
      </c>
      <c r="K128" s="273">
        <v>1155923</v>
      </c>
      <c r="L128" s="273">
        <v>1210184</v>
      </c>
      <c r="M128" s="273">
        <v>1272355</v>
      </c>
      <c r="N128" s="273">
        <v>1307157</v>
      </c>
      <c r="O128" s="273">
        <v>1238461</v>
      </c>
      <c r="P128" s="273">
        <v>1325254</v>
      </c>
      <c r="Q128" s="273">
        <v>1366438</v>
      </c>
      <c r="R128" s="273">
        <v>1419540</v>
      </c>
      <c r="S128" s="273">
        <v>1310109</v>
      </c>
      <c r="T128" s="273">
        <v>1349870</v>
      </c>
      <c r="U128" s="273">
        <v>1406187</v>
      </c>
      <c r="V128" s="273">
        <v>1438182</v>
      </c>
      <c r="W128" s="273">
        <v>1315358</v>
      </c>
      <c r="X128" s="273">
        <v>1363548</v>
      </c>
    </row>
    <row r="129" spans="1:24" ht="14.25" thickBot="1" x14ac:dyDescent="0.3">
      <c r="A129" s="225" t="s">
        <v>35</v>
      </c>
      <c r="B129" s="276">
        <v>1332724</v>
      </c>
      <c r="C129" s="276">
        <v>1356743</v>
      </c>
      <c r="D129" s="276">
        <v>1209643</v>
      </c>
      <c r="E129" s="276">
        <v>1238619</v>
      </c>
      <c r="F129" s="276">
        <v>1308349</v>
      </c>
      <c r="G129" s="276">
        <v>1357841</v>
      </c>
      <c r="H129" s="276">
        <v>1294356</v>
      </c>
      <c r="I129" s="276">
        <v>1357318</v>
      </c>
      <c r="J129" s="276">
        <v>1437691</v>
      </c>
      <c r="K129" s="276">
        <v>1522560</v>
      </c>
      <c r="L129" s="276">
        <v>1454553</v>
      </c>
      <c r="M129" s="276">
        <v>1504353</v>
      </c>
      <c r="N129" s="276">
        <v>1578165</v>
      </c>
      <c r="O129" s="276">
        <v>1765431</v>
      </c>
      <c r="P129" s="276">
        <v>1590700</v>
      </c>
      <c r="Q129" s="276">
        <v>1634308</v>
      </c>
      <c r="R129" s="276">
        <v>1788545</v>
      </c>
      <c r="S129" s="276">
        <v>1862311</v>
      </c>
      <c r="T129" s="276">
        <v>1614847</v>
      </c>
      <c r="U129" s="276">
        <v>1749381</v>
      </c>
      <c r="V129" s="276">
        <v>1741116</v>
      </c>
      <c r="W129" s="276">
        <v>1774927</v>
      </c>
      <c r="X129" s="276">
        <v>1559224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2.3199999999999998</v>
      </c>
      <c r="C132" s="68">
        <v>2.41</v>
      </c>
      <c r="D132" s="68">
        <v>0.9</v>
      </c>
      <c r="E132" s="68">
        <v>3.8</v>
      </c>
      <c r="F132" s="68">
        <v>3.8</v>
      </c>
    </row>
    <row r="133" spans="1:24" ht="14.25" thickBot="1" x14ac:dyDescent="0.3">
      <c r="A133" s="225" t="s">
        <v>37</v>
      </c>
      <c r="B133" s="274">
        <v>-7.0000000000000007E-2</v>
      </c>
      <c r="C133" s="274">
        <v>0.18</v>
      </c>
      <c r="D133" s="274">
        <v>-0.02</v>
      </c>
      <c r="E133" s="274">
        <v>-0.57999999999999996</v>
      </c>
      <c r="F133" s="274">
        <v>-2.5</v>
      </c>
    </row>
    <row r="134" spans="1:24" ht="14.25" thickBot="1" x14ac:dyDescent="0.3">
      <c r="A134" s="224" t="s">
        <v>38</v>
      </c>
      <c r="B134" s="68">
        <v>-2.1800000000000002</v>
      </c>
      <c r="C134" s="68">
        <v>-1.24</v>
      </c>
      <c r="D134" s="68">
        <v>-1.18</v>
      </c>
      <c r="E134" s="68">
        <v>-1.9</v>
      </c>
      <c r="F134" s="68">
        <v>-1.74</v>
      </c>
    </row>
    <row r="135" spans="1:24" ht="14.25" thickBot="1" x14ac:dyDescent="0.3">
      <c r="A135" s="225" t="s">
        <v>270</v>
      </c>
      <c r="B135" s="274">
        <v>2.25</v>
      </c>
      <c r="C135" s="274">
        <v>2.59</v>
      </c>
      <c r="D135" s="274">
        <v>0.88</v>
      </c>
      <c r="E135" s="274">
        <v>3.22</v>
      </c>
      <c r="F135" s="274">
        <v>1.31</v>
      </c>
    </row>
    <row r="136" spans="1:24" ht="14.25" thickBot="1" x14ac:dyDescent="0.3">
      <c r="A136" s="229" t="s">
        <v>39</v>
      </c>
      <c r="B136" s="72">
        <v>0.06</v>
      </c>
      <c r="C136" s="72">
        <v>1.35</v>
      </c>
      <c r="D136" s="72">
        <v>-0.3</v>
      </c>
      <c r="E136" s="72">
        <v>1.32</v>
      </c>
      <c r="F136" s="72">
        <v>-0.44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1.36</v>
      </c>
      <c r="C140" s="68">
        <v>1.65</v>
      </c>
      <c r="D140" s="68">
        <v>2.15</v>
      </c>
      <c r="E140" s="68">
        <v>2.62</v>
      </c>
      <c r="F140" s="68">
        <v>2.69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0.90066225165562919</v>
      </c>
      <c r="C142" s="234">
        <f>IF(C140&lt;&gt;"無",IF(ISNA(HLOOKUP(C139,$B$64:$F$69,6,FALSE)),"",C140/HLOOKUP(C139,$B$64:$F$69,6,FALSE)),"")</f>
        <v>0.82089552238805974</v>
      </c>
      <c r="D142" s="234">
        <f>IF(D140&lt;&gt;"無",IF(ISNA(HLOOKUP(D139,$B$64:$F$69,6,FALSE)),"",D140/HLOOKUP(D139,$B$64:$F$69,6,FALSE)),"")</f>
        <v>0.88477366255144019</v>
      </c>
      <c r="E142" s="234">
        <f>IF(E140&lt;&gt;"無",IF(ISNA(HLOOKUP(E139,$B$64:$F$69,6,FALSE)),"",E140/HLOOKUP(E139,$B$64:$F$69,6,FALSE)),"")</f>
        <v>0.88215488215488214</v>
      </c>
      <c r="F142" s="234">
        <f>IF(F140&lt;&gt;"無",IF(ISNA(HLOOKUP(F139,$B$64:$F$69,6,FALSE)),"",F140/HLOOKUP(F139,$B$64:$F$69,6,FALSE)),"")</f>
        <v>0.87622149837133545</v>
      </c>
    </row>
    <row r="143" spans="1:24" x14ac:dyDescent="0.25">
      <c r="A143" s="233" t="s">
        <v>216</v>
      </c>
      <c r="B143" s="234">
        <f>IF(OR(B140=0,B140="無"),"",B135/B140)</f>
        <v>1.6544117647058822</v>
      </c>
      <c r="C143" s="234">
        <f>IF(OR(C140=0,C140="無"),"",C135/C140)</f>
        <v>1.5696969696969696</v>
      </c>
      <c r="D143" s="234">
        <f>IF(OR(D140=0,D140="無"),"",D135/D140)</f>
        <v>0.40930232558139534</v>
      </c>
      <c r="E143" s="234">
        <f>IF(OR(E140=0,E140="無"),"",E135/E140)</f>
        <v>1.2290076335877862</v>
      </c>
      <c r="F143" s="234">
        <f>IF(OR(F140=0,F140="無"),"",F135/F140)</f>
        <v>0.48698884758364314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47.62</v>
      </c>
      <c r="C146" s="68">
        <v>45.06</v>
      </c>
      <c r="D146" s="68">
        <v>48.45</v>
      </c>
      <c r="E146" s="68">
        <v>47.57</v>
      </c>
      <c r="F146" s="68">
        <v>50.28</v>
      </c>
      <c r="G146" s="68">
        <v>48.37</v>
      </c>
      <c r="H146" s="68">
        <v>48.15</v>
      </c>
      <c r="I146" s="68">
        <v>49.4</v>
      </c>
      <c r="J146" s="68">
        <v>48.09</v>
      </c>
      <c r="K146" s="68">
        <v>50.05</v>
      </c>
      <c r="L146" s="68">
        <v>44.36</v>
      </c>
      <c r="M146" s="68">
        <v>45.5</v>
      </c>
      <c r="N146" s="68">
        <v>44.84</v>
      </c>
      <c r="O146" s="68">
        <v>47.44</v>
      </c>
      <c r="P146" s="68">
        <v>49.7</v>
      </c>
      <c r="Q146" s="68">
        <v>52.31</v>
      </c>
      <c r="R146" s="68">
        <v>50.83</v>
      </c>
      <c r="S146" s="68">
        <v>52.24</v>
      </c>
      <c r="T146" s="68">
        <v>48.05</v>
      </c>
      <c r="U146" s="68">
        <v>49.95</v>
      </c>
      <c r="V146" s="68">
        <v>51.88</v>
      </c>
      <c r="W146" s="68">
        <v>51.35</v>
      </c>
      <c r="X146" s="68">
        <v>51.86</v>
      </c>
    </row>
    <row r="147" spans="1:24" s="93" customFormat="1" ht="14.25" thickBot="1" x14ac:dyDescent="0.3">
      <c r="A147" s="225" t="s">
        <v>19</v>
      </c>
      <c r="B147" s="274">
        <v>16.559999999999999</v>
      </c>
      <c r="C147" s="274">
        <v>18.03</v>
      </c>
      <c r="D147" s="274">
        <v>18.29</v>
      </c>
      <c r="E147" s="274">
        <v>12.55</v>
      </c>
      <c r="F147" s="274">
        <v>16.91</v>
      </c>
      <c r="G147" s="274">
        <v>16.510000000000002</v>
      </c>
      <c r="H147" s="274">
        <v>19.21</v>
      </c>
      <c r="I147" s="274">
        <v>21.94</v>
      </c>
      <c r="J147" s="274">
        <v>18.43</v>
      </c>
      <c r="K147" s="274">
        <v>24.78</v>
      </c>
      <c r="L147" s="274">
        <v>19.27</v>
      </c>
      <c r="M147" s="274">
        <v>20.82</v>
      </c>
      <c r="N147" s="274">
        <v>19.89</v>
      </c>
      <c r="O147" s="274">
        <v>27.44</v>
      </c>
      <c r="P147" s="274">
        <v>21.35</v>
      </c>
      <c r="Q147" s="274">
        <v>18.95</v>
      </c>
      <c r="R147" s="274">
        <v>27.31</v>
      </c>
      <c r="S147" s="274">
        <v>27.61</v>
      </c>
      <c r="T147" s="274">
        <v>23.44</v>
      </c>
      <c r="U147" s="274">
        <v>17.989999999999998</v>
      </c>
      <c r="V147" s="274">
        <v>31.28</v>
      </c>
      <c r="W147" s="274">
        <v>25.32</v>
      </c>
      <c r="X147" s="274">
        <v>20.43</v>
      </c>
    </row>
    <row r="148" spans="1:24" s="93" customFormat="1" ht="14.25" thickBot="1" x14ac:dyDescent="0.3">
      <c r="A148" s="224" t="s">
        <v>41</v>
      </c>
      <c r="B148" s="68">
        <v>12.43</v>
      </c>
      <c r="C148" s="68">
        <v>16.739999999999998</v>
      </c>
      <c r="D148" s="68">
        <v>18.22</v>
      </c>
      <c r="E148" s="68">
        <v>14.17</v>
      </c>
      <c r="F148" s="68">
        <v>19.27</v>
      </c>
      <c r="G148" s="68">
        <v>19.71</v>
      </c>
      <c r="H148" s="68">
        <v>20.309999999999999</v>
      </c>
      <c r="I148" s="68">
        <v>24.56</v>
      </c>
      <c r="J148" s="68">
        <v>22.19</v>
      </c>
      <c r="K148" s="68">
        <v>24.34</v>
      </c>
      <c r="L148" s="68">
        <v>17.52</v>
      </c>
      <c r="M148" s="68">
        <v>25.67</v>
      </c>
      <c r="N148" s="68">
        <v>14.46</v>
      </c>
      <c r="O148" s="68">
        <v>27.09</v>
      </c>
      <c r="P148" s="68">
        <v>35.54</v>
      </c>
      <c r="Q148" s="68">
        <v>22.14</v>
      </c>
      <c r="R148" s="68">
        <v>22.54</v>
      </c>
      <c r="S148" s="68">
        <v>27.33</v>
      </c>
      <c r="T148" s="68">
        <v>26.48</v>
      </c>
      <c r="U148" s="68">
        <v>24.26</v>
      </c>
      <c r="V148" s="68">
        <v>13.84</v>
      </c>
      <c r="W148" s="68">
        <v>27.19</v>
      </c>
      <c r="X148" s="68">
        <v>22.58</v>
      </c>
    </row>
    <row r="149" spans="1:24" s="93" customFormat="1" ht="14.25" thickBot="1" x14ac:dyDescent="0.3">
      <c r="A149" s="225" t="s">
        <v>13</v>
      </c>
      <c r="B149" s="73">
        <v>9.93</v>
      </c>
      <c r="C149" s="73">
        <v>16.41</v>
      </c>
      <c r="D149" s="73">
        <v>16.399999999999999</v>
      </c>
      <c r="E149" s="73">
        <v>12.6</v>
      </c>
      <c r="F149" s="73">
        <v>16.04</v>
      </c>
      <c r="G149" s="73">
        <v>15.88</v>
      </c>
      <c r="H149" s="73">
        <v>16.579999999999998</v>
      </c>
      <c r="I149" s="73">
        <v>22.87</v>
      </c>
      <c r="J149" s="73">
        <v>17.77</v>
      </c>
      <c r="K149" s="73">
        <v>19.64</v>
      </c>
      <c r="L149" s="73">
        <v>13.93</v>
      </c>
      <c r="M149" s="73">
        <v>20.57</v>
      </c>
      <c r="N149" s="73">
        <v>11.7</v>
      </c>
      <c r="O149" s="73">
        <v>23.49</v>
      </c>
      <c r="P149" s="73">
        <v>28.8</v>
      </c>
      <c r="Q149" s="73">
        <v>19.920000000000002</v>
      </c>
      <c r="R149" s="73">
        <v>17.670000000000002</v>
      </c>
      <c r="S149" s="73">
        <v>25.26</v>
      </c>
      <c r="T149" s="73">
        <v>21.86</v>
      </c>
      <c r="U149" s="73">
        <v>19.59</v>
      </c>
      <c r="V149" s="73">
        <v>12.36</v>
      </c>
      <c r="W149" s="73">
        <v>24.27</v>
      </c>
      <c r="X149" s="73">
        <v>18.86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47.14</v>
      </c>
      <c r="C152" s="68">
        <v>49.06</v>
      </c>
      <c r="D152" s="68">
        <v>46.94</v>
      </c>
      <c r="E152" s="68">
        <v>48.32</v>
      </c>
      <c r="F152" s="68">
        <v>50.35</v>
      </c>
    </row>
    <row r="153" spans="1:24" s="93" customFormat="1" ht="14.25" thickBot="1" x14ac:dyDescent="0.3">
      <c r="A153" s="225" t="s">
        <v>19</v>
      </c>
      <c r="B153" s="274">
        <v>16.52</v>
      </c>
      <c r="C153" s="274">
        <v>18.84</v>
      </c>
      <c r="D153" s="274">
        <v>20.87</v>
      </c>
      <c r="E153" s="274">
        <v>22.45</v>
      </c>
      <c r="F153" s="274">
        <v>24.21</v>
      </c>
    </row>
    <row r="154" spans="1:24" s="93" customFormat="1" ht="14.25" thickBot="1" x14ac:dyDescent="0.3">
      <c r="A154" s="224" t="s">
        <v>41</v>
      </c>
      <c r="B154" s="68">
        <v>15.48</v>
      </c>
      <c r="C154" s="68">
        <v>21.16</v>
      </c>
      <c r="D154" s="68">
        <v>22.44</v>
      </c>
      <c r="E154" s="68">
        <v>25.02</v>
      </c>
      <c r="F154" s="68">
        <v>25.11</v>
      </c>
    </row>
    <row r="155" spans="1:24" s="93" customFormat="1" ht="14.25" thickBot="1" x14ac:dyDescent="0.3">
      <c r="A155" s="225" t="s">
        <v>13</v>
      </c>
      <c r="B155" s="73">
        <v>13.94</v>
      </c>
      <c r="C155" s="73">
        <v>18.11</v>
      </c>
      <c r="D155" s="73">
        <v>17.989999999999998</v>
      </c>
      <c r="E155" s="73">
        <v>21.16</v>
      </c>
      <c r="F155" s="73">
        <v>21.09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1.53</v>
      </c>
      <c r="C158" s="68">
        <v>2.66</v>
      </c>
      <c r="D158" s="68">
        <v>2.69</v>
      </c>
      <c r="E158" s="68">
        <v>1.84</v>
      </c>
      <c r="F158" s="68">
        <v>2.44</v>
      </c>
      <c r="G158" s="68">
        <v>2.2599999999999998</v>
      </c>
      <c r="H158" s="68">
        <v>2.58</v>
      </c>
      <c r="I158" s="68">
        <v>4.12</v>
      </c>
      <c r="J158" s="68">
        <v>3</v>
      </c>
      <c r="K158" s="68">
        <v>3.42</v>
      </c>
      <c r="L158" s="68">
        <v>2.48</v>
      </c>
      <c r="M158" s="68">
        <v>3.79</v>
      </c>
      <c r="N158" s="68">
        <v>2.02</v>
      </c>
      <c r="O158" s="68">
        <v>4.87</v>
      </c>
      <c r="P158" s="68">
        <v>4.4400000000000004</v>
      </c>
      <c r="Q158" s="68">
        <v>2.71</v>
      </c>
      <c r="R158" s="68">
        <v>3.12</v>
      </c>
      <c r="S158" s="68">
        <v>4.1500000000000004</v>
      </c>
      <c r="T158" s="68">
        <v>3.26</v>
      </c>
      <c r="U158" s="68">
        <v>3.28</v>
      </c>
      <c r="V158" s="68">
        <v>1.81</v>
      </c>
      <c r="W158" s="68">
        <v>3.62</v>
      </c>
      <c r="X158" s="68">
        <v>2.37</v>
      </c>
    </row>
    <row r="159" spans="1:24" s="93" customFormat="1" ht="14.25" thickBot="1" x14ac:dyDescent="0.3">
      <c r="A159" s="225" t="s">
        <v>45</v>
      </c>
      <c r="B159" s="73">
        <v>1.75</v>
      </c>
      <c r="C159" s="73">
        <v>3.26</v>
      </c>
      <c r="D159" s="73">
        <v>3.29</v>
      </c>
      <c r="E159" s="73">
        <v>2.09</v>
      </c>
      <c r="F159" s="73">
        <v>2.81</v>
      </c>
      <c r="G159" s="73">
        <v>2.77</v>
      </c>
      <c r="H159" s="73">
        <v>3.18</v>
      </c>
      <c r="I159" s="73">
        <v>4.84</v>
      </c>
      <c r="J159" s="73">
        <v>3.52</v>
      </c>
      <c r="K159" s="73">
        <v>4.2699999999999996</v>
      </c>
      <c r="L159" s="73">
        <v>3.13</v>
      </c>
      <c r="M159" s="73">
        <v>4.51</v>
      </c>
      <c r="N159" s="73">
        <v>2.41</v>
      </c>
      <c r="O159" s="73">
        <v>6.39</v>
      </c>
      <c r="P159" s="73">
        <v>5.81</v>
      </c>
      <c r="Q159" s="73">
        <v>3.24</v>
      </c>
      <c r="R159" s="73">
        <v>3.83</v>
      </c>
      <c r="S159" s="73">
        <v>5.54</v>
      </c>
      <c r="T159" s="73">
        <v>4.2699999999999996</v>
      </c>
      <c r="U159" s="73">
        <v>4</v>
      </c>
      <c r="V159" s="73">
        <v>2.2200000000000002</v>
      </c>
      <c r="W159" s="73">
        <v>4.62</v>
      </c>
      <c r="X159" s="73">
        <v>2.95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13.94</v>
      </c>
      <c r="C162" s="68">
        <v>18.11</v>
      </c>
      <c r="D162" s="68">
        <v>17.989999999999998</v>
      </c>
      <c r="E162" s="68">
        <v>21.16</v>
      </c>
      <c r="F162" s="68">
        <v>21.09</v>
      </c>
    </row>
    <row r="163" spans="1:72" s="93" customFormat="1" ht="14.25" thickBot="1" x14ac:dyDescent="0.3">
      <c r="A163" s="225" t="s">
        <v>18</v>
      </c>
      <c r="B163" s="274">
        <v>0.65</v>
      </c>
      <c r="C163" s="274">
        <v>0.61</v>
      </c>
      <c r="D163" s="274">
        <v>0.69</v>
      </c>
      <c r="E163" s="274">
        <v>0.67</v>
      </c>
      <c r="F163" s="274">
        <v>0.65</v>
      </c>
    </row>
    <row r="164" spans="1:72" s="93" customFormat="1" ht="14.25" thickBot="1" x14ac:dyDescent="0.3">
      <c r="A164" s="224" t="s">
        <v>15</v>
      </c>
      <c r="B164" s="68">
        <v>1.1399999999999999</v>
      </c>
      <c r="C164" s="68">
        <v>1.17</v>
      </c>
      <c r="D164" s="68">
        <v>1.18</v>
      </c>
      <c r="E164" s="68">
        <v>1.2</v>
      </c>
      <c r="F164" s="68">
        <v>1.24</v>
      </c>
    </row>
    <row r="165" spans="1:72" s="93" customFormat="1" ht="14.25" thickBot="1" x14ac:dyDescent="0.3">
      <c r="A165" s="225" t="s">
        <v>45</v>
      </c>
      <c r="B165" s="73">
        <v>10.15</v>
      </c>
      <c r="C165" s="73">
        <v>13.33</v>
      </c>
      <c r="D165" s="73">
        <v>15.25</v>
      </c>
      <c r="E165" s="73">
        <v>17.48</v>
      </c>
      <c r="F165" s="73">
        <v>17.38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55.56</v>
      </c>
      <c r="C168" s="68">
        <v>50.28</v>
      </c>
      <c r="D168" s="68">
        <v>52.02</v>
      </c>
      <c r="E168" s="68">
        <v>54.55</v>
      </c>
      <c r="F168" s="68">
        <v>47.62</v>
      </c>
      <c r="G168" s="68">
        <v>48.65</v>
      </c>
      <c r="H168" s="68">
        <v>47.37</v>
      </c>
      <c r="I168" s="68">
        <v>41.28</v>
      </c>
      <c r="J168" s="68">
        <v>38.14</v>
      </c>
      <c r="K168" s="68">
        <v>33.46</v>
      </c>
      <c r="L168" s="68">
        <v>43.27</v>
      </c>
      <c r="M168" s="68">
        <v>53.89</v>
      </c>
      <c r="N168" s="68">
        <v>60.4</v>
      </c>
      <c r="O168" s="68">
        <v>51.72</v>
      </c>
      <c r="P168" s="68">
        <v>65.22</v>
      </c>
      <c r="Q168" s="68">
        <v>62.5</v>
      </c>
      <c r="R168" s="68">
        <v>49.72</v>
      </c>
      <c r="S168" s="68">
        <v>51.43</v>
      </c>
      <c r="T168" s="68">
        <v>58.44</v>
      </c>
      <c r="U168" s="68">
        <v>51.43</v>
      </c>
      <c r="V168" s="68">
        <v>40.36</v>
      </c>
      <c r="W168" s="68">
        <v>40.54</v>
      </c>
      <c r="X168" s="68">
        <v>53.89</v>
      </c>
    </row>
    <row r="169" spans="1:72" s="93" customFormat="1" ht="14.25" thickBot="1" x14ac:dyDescent="0.3">
      <c r="A169" s="225" t="s">
        <v>17</v>
      </c>
      <c r="B169" s="274">
        <v>126.76</v>
      </c>
      <c r="C169" s="274">
        <v>115.38</v>
      </c>
      <c r="D169" s="274">
        <v>120</v>
      </c>
      <c r="E169" s="274">
        <v>128.57</v>
      </c>
      <c r="F169" s="274">
        <v>130.43</v>
      </c>
      <c r="G169" s="274">
        <v>136.36000000000001</v>
      </c>
      <c r="H169" s="274">
        <v>121.62</v>
      </c>
      <c r="I169" s="274">
        <v>102.27</v>
      </c>
      <c r="J169" s="274">
        <v>97.83</v>
      </c>
      <c r="K169" s="274">
        <v>94.74</v>
      </c>
      <c r="L169" s="274">
        <v>86.54</v>
      </c>
      <c r="M169" s="274">
        <v>73.77</v>
      </c>
      <c r="N169" s="274">
        <v>61.22</v>
      </c>
      <c r="O169" s="274">
        <v>57.32</v>
      </c>
      <c r="P169" s="274">
        <v>89.11</v>
      </c>
      <c r="Q169" s="274">
        <v>104.65</v>
      </c>
      <c r="R169" s="274">
        <v>68.7</v>
      </c>
      <c r="S169" s="274">
        <v>72</v>
      </c>
      <c r="T169" s="274">
        <v>79.650000000000006</v>
      </c>
      <c r="U169" s="274">
        <v>70.31</v>
      </c>
      <c r="V169" s="274">
        <v>81.08</v>
      </c>
      <c r="W169" s="274">
        <v>84.91</v>
      </c>
      <c r="X169" s="274">
        <v>108.43</v>
      </c>
    </row>
    <row r="170" spans="1:72" s="93" customFormat="1" ht="14.25" thickBot="1" x14ac:dyDescent="0.3">
      <c r="A170" s="224" t="s">
        <v>42</v>
      </c>
      <c r="B170" s="72">
        <v>182.32</v>
      </c>
      <c r="C170" s="72">
        <v>165.66</v>
      </c>
      <c r="D170" s="72">
        <v>172.02</v>
      </c>
      <c r="E170" s="72">
        <v>183.12</v>
      </c>
      <c r="F170" s="72">
        <v>178.05</v>
      </c>
      <c r="G170" s="72">
        <v>185.01</v>
      </c>
      <c r="H170" s="72">
        <v>168.99</v>
      </c>
      <c r="I170" s="72">
        <v>143.56</v>
      </c>
      <c r="J170" s="72">
        <v>135.96</v>
      </c>
      <c r="K170" s="72">
        <v>128.19</v>
      </c>
      <c r="L170" s="72">
        <v>129.81</v>
      </c>
      <c r="M170" s="72">
        <v>127.66</v>
      </c>
      <c r="N170" s="72">
        <v>121.63</v>
      </c>
      <c r="O170" s="72">
        <v>109.05</v>
      </c>
      <c r="P170" s="72">
        <v>154.33000000000001</v>
      </c>
      <c r="Q170" s="72">
        <v>167.15</v>
      </c>
      <c r="R170" s="72">
        <v>118.43</v>
      </c>
      <c r="S170" s="72">
        <v>123.43</v>
      </c>
      <c r="T170" s="72">
        <v>138.09</v>
      </c>
      <c r="U170" s="72">
        <v>121.74</v>
      </c>
      <c r="V170" s="72">
        <v>121.44</v>
      </c>
      <c r="W170" s="72">
        <v>125.45</v>
      </c>
      <c r="X170" s="72">
        <v>162.33000000000001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154.15</v>
      </c>
      <c r="C173" s="72">
        <v>120.29</v>
      </c>
      <c r="D173" s="72">
        <v>37.36</v>
      </c>
      <c r="E173" s="72">
        <v>126.17</v>
      </c>
      <c r="F173" s="72">
        <v>123.81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12.04</v>
      </c>
      <c r="C176" s="72">
        <v>13.52</v>
      </c>
      <c r="D176" s="72">
        <v>15.19</v>
      </c>
      <c r="E176" s="72">
        <v>13.34</v>
      </c>
      <c r="F176" s="72">
        <v>13.2</v>
      </c>
      <c r="G176" s="72">
        <v>12.9</v>
      </c>
      <c r="H176" s="72">
        <v>13.26</v>
      </c>
      <c r="I176" s="72">
        <v>11.86</v>
      </c>
      <c r="J176" s="72">
        <v>11.05</v>
      </c>
      <c r="K176" s="72">
        <v>9.94</v>
      </c>
      <c r="L176" s="72">
        <v>10.210000000000001</v>
      </c>
      <c r="M176" s="72">
        <v>10.56</v>
      </c>
      <c r="N176" s="72">
        <v>10.74</v>
      </c>
      <c r="O176" s="72">
        <v>11.26</v>
      </c>
      <c r="P176" s="72">
        <v>11.49</v>
      </c>
      <c r="Q176" s="72">
        <v>12.36</v>
      </c>
      <c r="R176" s="72">
        <v>12.65</v>
      </c>
      <c r="S176" s="72">
        <v>12.43</v>
      </c>
      <c r="T176" s="72">
        <v>12.1</v>
      </c>
      <c r="U176" s="72">
        <v>12.49</v>
      </c>
      <c r="V176" s="72">
        <v>12.04</v>
      </c>
      <c r="W176" s="72">
        <v>12.73</v>
      </c>
      <c r="X176" s="72">
        <v>12.76</v>
      </c>
      <c r="Y176" s="72">
        <v>14</v>
      </c>
      <c r="Z176" s="72">
        <v>15.86</v>
      </c>
      <c r="AA176" s="72">
        <v>16.46</v>
      </c>
      <c r="AB176" s="72">
        <v>13.82</v>
      </c>
      <c r="AC176" s="72">
        <v>15.68</v>
      </c>
      <c r="AD176" s="72">
        <v>13.55</v>
      </c>
      <c r="AE176" s="72">
        <v>14.2</v>
      </c>
      <c r="AF176" s="72">
        <v>14.33</v>
      </c>
      <c r="AG176" s="72">
        <v>12.87</v>
      </c>
      <c r="AH176" s="72">
        <v>12.26</v>
      </c>
      <c r="AI176" s="72">
        <v>11.22</v>
      </c>
      <c r="AJ176" s="72">
        <v>10.63</v>
      </c>
      <c r="AK176" s="72">
        <v>10.63</v>
      </c>
      <c r="AL176" s="72">
        <v>10.98</v>
      </c>
      <c r="AM176" s="72">
        <v>10.85</v>
      </c>
      <c r="AN176" s="72">
        <v>10.92</v>
      </c>
      <c r="AO176" s="72">
        <v>12.28</v>
      </c>
      <c r="AP176" s="72">
        <v>13.39</v>
      </c>
      <c r="AQ176" s="72">
        <v>12.69</v>
      </c>
      <c r="AR176" s="72">
        <v>12.63</v>
      </c>
      <c r="AS176" s="72">
        <v>9.5299999999999994</v>
      </c>
      <c r="AT176" s="72">
        <v>9.52</v>
      </c>
      <c r="AU176" s="72">
        <v>10.11</v>
      </c>
      <c r="AV176" s="72">
        <v>9.1</v>
      </c>
      <c r="AW176" s="72">
        <v>8.74</v>
      </c>
      <c r="AX176" s="72">
        <v>8.31</v>
      </c>
      <c r="AY176" s="72">
        <v>8.8699999999999992</v>
      </c>
      <c r="AZ176" s="72">
        <v>9.75</v>
      </c>
      <c r="BA176" s="72">
        <v>10.27</v>
      </c>
      <c r="BB176" s="72">
        <v>9.25</v>
      </c>
      <c r="BC176" s="72">
        <v>9.1999999999999993</v>
      </c>
      <c r="BD176" s="72">
        <v>9.25</v>
      </c>
      <c r="BE176" s="72">
        <v>9.11</v>
      </c>
      <c r="BF176" s="72">
        <v>9.0399999999999991</v>
      </c>
      <c r="BG176" s="72">
        <v>9.07</v>
      </c>
      <c r="BH176" s="72">
        <v>10.039999999999999</v>
      </c>
      <c r="BI176" s="72">
        <v>10.199999999999999</v>
      </c>
      <c r="BJ176" s="72">
        <v>10.71</v>
      </c>
      <c r="BK176" s="72">
        <v>11.37</v>
      </c>
      <c r="BL176" s="72">
        <v>10.93</v>
      </c>
      <c r="BM176" s="72">
        <v>10.66</v>
      </c>
      <c r="BN176" s="72">
        <v>11.52</v>
      </c>
      <c r="BO176" s="72">
        <v>11.45</v>
      </c>
      <c r="BP176" s="72">
        <v>11.7</v>
      </c>
      <c r="BQ176" s="72">
        <v>12.21</v>
      </c>
      <c r="BR176" s="72">
        <v>11.28</v>
      </c>
      <c r="BS176" s="72">
        <v>11.25</v>
      </c>
      <c r="BT176" s="72">
        <v>12.11</v>
      </c>
    </row>
  </sheetData>
  <phoneticPr fontId="3" type="noConversion"/>
  <conditionalFormatting sqref="E4">
    <cfRule type="cellIs" dxfId="2399" priority="103" operator="greaterThan">
      <formula>0.2</formula>
    </cfRule>
    <cfRule type="cellIs" dxfId="239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239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396" priority="97" operator="greaterThan">
      <formula>$B$19</formula>
    </cfRule>
  </conditionalFormatting>
  <conditionalFormatting sqref="D33:D34">
    <cfRule type="cellIs" dxfId="239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2394" priority="91" operator="lessThan">
      <formula>$H$62</formula>
    </cfRule>
    <cfRule type="cellIs" dxfId="2393" priority="92" operator="greaterThan">
      <formula>$H$62</formula>
    </cfRule>
  </conditionalFormatting>
  <conditionalFormatting sqref="J62">
    <cfRule type="cellIs" dxfId="2392" priority="89" operator="lessThan">
      <formula>$K$62</formula>
    </cfRule>
    <cfRule type="cellIs" dxfId="2391" priority="90" operator="greaterThan">
      <formula>$K$62</formula>
    </cfRule>
  </conditionalFormatting>
  <conditionalFormatting sqref="M62">
    <cfRule type="cellIs" dxfId="2390" priority="87" operator="lessThan">
      <formula>$N$62</formula>
    </cfRule>
    <cfRule type="cellIs" dxfId="2389" priority="88" operator="greaterThan">
      <formula>$N$62</formula>
    </cfRule>
  </conditionalFormatting>
  <conditionalFormatting sqref="B44:E44">
    <cfRule type="cellIs" dxfId="2388" priority="85" operator="greaterThan">
      <formula>0</formula>
    </cfRule>
    <cfRule type="cellIs" dxfId="2387" priority="86" operator="lessThan">
      <formula>0</formula>
    </cfRule>
  </conditionalFormatting>
  <conditionalFormatting sqref="F72">
    <cfRule type="cellIs" dxfId="2386" priority="84" operator="lessThan">
      <formula>$E$72*90%</formula>
    </cfRule>
  </conditionalFormatting>
  <conditionalFormatting sqref="F73">
    <cfRule type="cellIs" dxfId="2385" priority="83" operator="lessThan">
      <formula>$E$73*90%</formula>
    </cfRule>
  </conditionalFormatting>
  <conditionalFormatting sqref="F74">
    <cfRule type="cellIs" dxfId="2384" priority="82" operator="lessThan">
      <formula>$E$74*90%</formula>
    </cfRule>
  </conditionalFormatting>
  <conditionalFormatting sqref="F75">
    <cfRule type="cellIs" dxfId="2383" priority="81" operator="lessThan">
      <formula>$E$75*90%</formula>
    </cfRule>
  </conditionalFormatting>
  <conditionalFormatting sqref="H44:K44">
    <cfRule type="cellIs" dxfId="2382" priority="79" operator="greaterThan">
      <formula>0</formula>
    </cfRule>
    <cfRule type="cellIs" dxfId="2381" priority="80" operator="lessThan">
      <formula>0</formula>
    </cfRule>
  </conditionalFormatting>
  <conditionalFormatting sqref="H51:K51">
    <cfRule type="cellIs" dxfId="2380" priority="77" operator="greaterThan">
      <formula>0</formula>
    </cfRule>
    <cfRule type="cellIs" dxfId="2379" priority="78" operator="lessThan">
      <formula>0</formula>
    </cfRule>
  </conditionalFormatting>
  <conditionalFormatting sqref="B51:E51">
    <cfRule type="cellIs" dxfId="2378" priority="75" operator="greaterThan">
      <formula>0</formula>
    </cfRule>
    <cfRule type="cellIs" dxfId="237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37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37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374" priority="58" operator="lessThan">
      <formula>0</formula>
    </cfRule>
  </conditionalFormatting>
  <conditionalFormatting sqref="A25 E25 C25">
    <cfRule type="cellIs" dxfId="2373" priority="59" operator="lessThan">
      <formula>0</formula>
    </cfRule>
  </conditionalFormatting>
  <conditionalFormatting sqref="F25">
    <cfRule type="cellIs" dxfId="2372" priority="57" operator="lessThan">
      <formula>0</formula>
    </cfRule>
  </conditionalFormatting>
  <conditionalFormatting sqref="E1">
    <cfRule type="containsText" dxfId="2371" priority="56" operator="containsText" text="本季業外損益/平均=-">
      <formula>NOT(ISERROR(SEARCH("本季業外損益/平均=-",E1)))</formula>
    </cfRule>
  </conditionalFormatting>
  <conditionalFormatting sqref="M65">
    <cfRule type="cellIs" dxfId="2370" priority="55" operator="lessThan">
      <formula>$L$65*90%</formula>
    </cfRule>
  </conditionalFormatting>
  <conditionalFormatting sqref="M66">
    <cfRule type="cellIs" dxfId="2369" priority="54" operator="lessThan">
      <formula>$L$66*90%</formula>
    </cfRule>
  </conditionalFormatting>
  <conditionalFormatting sqref="M67">
    <cfRule type="cellIs" dxfId="2368" priority="53" operator="lessThan">
      <formula>$L$67*90%</formula>
    </cfRule>
  </conditionalFormatting>
  <conditionalFormatting sqref="M68">
    <cfRule type="cellIs" dxfId="2367" priority="52" operator="lessThan">
      <formula>$L$68*90%</formula>
    </cfRule>
  </conditionalFormatting>
  <conditionalFormatting sqref="B60">
    <cfRule type="cellIs" dxfId="2366" priority="51" operator="lessThan">
      <formula>0</formula>
    </cfRule>
  </conditionalFormatting>
  <conditionalFormatting sqref="B59:F59">
    <cfRule type="cellIs" dxfId="2365" priority="50" operator="lessThanOrEqual">
      <formula>0</formula>
    </cfRule>
  </conditionalFormatting>
  <conditionalFormatting sqref="D62">
    <cfRule type="cellIs" dxfId="2364" priority="48" operator="lessThan">
      <formula>$E$62</formula>
    </cfRule>
    <cfRule type="cellIs" dxfId="2363" priority="49" operator="greaterThan">
      <formula>$E$62</formula>
    </cfRule>
  </conditionalFormatting>
  <conditionalFormatting sqref="F69">
    <cfRule type="cellIs" dxfId="2362" priority="46" operator="lessThan">
      <formula>0</formula>
    </cfRule>
  </conditionalFormatting>
  <conditionalFormatting sqref="B65:E67 B69:E69 B68:D68">
    <cfRule type="cellIs" dxfId="2361" priority="47" operator="lessThan">
      <formula>0</formula>
    </cfRule>
  </conditionalFormatting>
  <conditionalFormatting sqref="E68">
    <cfRule type="cellIs" dxfId="2360" priority="45" operator="lessThan">
      <formula>0</formula>
    </cfRule>
  </conditionalFormatting>
  <conditionalFormatting sqref="F65:F68">
    <cfRule type="cellIs" dxfId="2359" priority="44" operator="lessThan">
      <formula>0</formula>
    </cfRule>
  </conditionalFormatting>
  <conditionalFormatting sqref="F65:F68">
    <cfRule type="cellIs" dxfId="2358" priority="43" operator="lessThan">
      <formula>$E$65*0.9</formula>
    </cfRule>
  </conditionalFormatting>
  <conditionalFormatting sqref="F66">
    <cfRule type="cellIs" dxfId="2357" priority="42" operator="lessThan">
      <formula>$E$66*0.9</formula>
    </cfRule>
  </conditionalFormatting>
  <conditionalFormatting sqref="F67:F68">
    <cfRule type="cellIs" dxfId="2356" priority="41" operator="lessThan">
      <formula>$E$67*0.9</formula>
    </cfRule>
  </conditionalFormatting>
  <conditionalFormatting sqref="F68">
    <cfRule type="cellIs" dxfId="2355" priority="40" operator="lessThan">
      <formula>$E$68*0.9</formula>
    </cfRule>
  </conditionalFormatting>
  <conditionalFormatting sqref="B13:F13">
    <cfRule type="cellIs" dxfId="2354" priority="29" operator="greaterThan">
      <formula>$I$16</formula>
    </cfRule>
    <cfRule type="cellIs" dxfId="2353" priority="30" operator="lessThanOrEqual">
      <formula>$I$16</formula>
    </cfRule>
  </conditionalFormatting>
  <conditionalFormatting sqref="B10:F10">
    <cfRule type="cellIs" dxfId="2352" priority="31" operator="greaterThan">
      <formula>15</formula>
    </cfRule>
    <cfRule type="cellIs" dxfId="2351" priority="38" operator="lessThan">
      <formula>$I$9</formula>
    </cfRule>
    <cfRule type="cellIs" dxfId="2350" priority="39" operator="greaterThan">
      <formula>$I$9</formula>
    </cfRule>
  </conditionalFormatting>
  <conditionalFormatting sqref="B16:F16">
    <cfRule type="cellIs" dxfId="2349" priority="36" operator="greaterThan">
      <formula>$I$16</formula>
    </cfRule>
    <cfRule type="cellIs" dxfId="2348" priority="37" operator="lessThanOrEqual">
      <formula>$I$16</formula>
    </cfRule>
  </conditionalFormatting>
  <conditionalFormatting sqref="B15:F15">
    <cfRule type="cellIs" dxfId="2347" priority="34" operator="lessThanOrEqual">
      <formula>$I$16</formula>
    </cfRule>
    <cfRule type="cellIs" dxfId="2346" priority="35" operator="greaterThan">
      <formula>$I$16</formula>
    </cfRule>
  </conditionalFormatting>
  <conditionalFormatting sqref="B14:F14">
    <cfRule type="cellIs" dxfId="2345" priority="32" operator="greaterThan">
      <formula>$I$16</formula>
    </cfRule>
    <cfRule type="cellIs" dxfId="2344" priority="33" operator="lessThanOrEqual">
      <formula>$I$16</formula>
    </cfRule>
  </conditionalFormatting>
  <conditionalFormatting sqref="K6">
    <cfRule type="containsText" dxfId="2343" priority="27" operator="containsText" text="衰退">
      <formula>NOT(ISERROR(SEARCH("衰退",K6)))</formula>
    </cfRule>
    <cfRule type="containsText" dxfId="2342" priority="28" operator="containsText" text="成長">
      <formula>NOT(ISERROR(SEARCH("成長",K6)))</formula>
    </cfRule>
  </conditionalFormatting>
  <conditionalFormatting sqref="I4:K4">
    <cfRule type="cellIs" dxfId="2341" priority="25" operator="lessThan">
      <formula>0</formula>
    </cfRule>
    <cfRule type="cellIs" dxfId="234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339" priority="22" operator="lessThanOrEqual">
      <formula>$I$16</formula>
    </cfRule>
    <cfRule type="cellIs" dxfId="2338" priority="23" operator="greaterThan">
      <formula>$I$16</formula>
    </cfRule>
  </conditionalFormatting>
  <conditionalFormatting sqref="I6">
    <cfRule type="containsText" dxfId="2337" priority="20" operator="containsText" text="衰退">
      <formula>NOT(ISERROR(SEARCH("衰退",I6)))</formula>
    </cfRule>
    <cfRule type="containsText" dxfId="2336" priority="21" operator="containsText" text="成長">
      <formula>NOT(ISERROR(SEARCH("成長",I6)))</formula>
    </cfRule>
  </conditionalFormatting>
  <conditionalFormatting sqref="M9">
    <cfRule type="cellIs" dxfId="2335" priority="19" operator="lessThan">
      <formula>$I$9</formula>
    </cfRule>
  </conditionalFormatting>
  <conditionalFormatting sqref="M10">
    <cfRule type="cellIs" dxfId="2334" priority="18" operator="greaterThan">
      <formula>$I$9</formula>
    </cfRule>
  </conditionalFormatting>
  <conditionalFormatting sqref="M11">
    <cfRule type="cellIs" dxfId="233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332" priority="14" operator="lessThan">
      <formula>0</formula>
    </cfRule>
    <cfRule type="cellIs" dxfId="2331" priority="15" operator="greaterThan">
      <formula>0.5</formula>
    </cfRule>
  </conditionalFormatting>
  <conditionalFormatting sqref="N14">
    <cfRule type="cellIs" dxfId="233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329" priority="10" operator="lessThan">
      <formula>0.1</formula>
    </cfRule>
  </conditionalFormatting>
  <conditionalFormatting sqref="I14">
    <cfRule type="cellIs" dxfId="232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32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326" priority="1" operator="lessThan">
      <formula>$N$5*0.9</formula>
    </cfRule>
    <cfRule type="cellIs" dxfId="2325" priority="2" operator="greaterThan">
      <formula>$N$5*1.1</formula>
    </cfRule>
  </conditionalFormatting>
  <hyperlinks>
    <hyperlink ref="L1" location="儀表板!A1" display="(回首頁)" xr:uid="{00000000-0004-0000-4800-000000000000}"/>
  </hyperlink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工作表31"/>
  <dimension ref="A1:BT176"/>
  <sheetViews>
    <sheetView workbookViewId="0"/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201801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-5.87 ~ 17.39</v>
      </c>
      <c r="L1" s="83" t="s">
        <v>176</v>
      </c>
      <c r="M1" s="84" t="str">
        <f ca="1">VLOOKUP(_xlfn.NUMBERVALUE(N1),儀表板!A:B,2,FALSE)</f>
        <v>中探針</v>
      </c>
      <c r="N1" s="85" t="str">
        <f ca="1">MID(CELL("filename",L1),FIND("]",CELL("filename",L1))+1,255)</f>
        <v>6217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0.22231764263861306</v>
      </c>
    </row>
    <row r="3" spans="1:15" s="93" customFormat="1" x14ac:dyDescent="0.25">
      <c r="A3" s="81" t="s">
        <v>179</v>
      </c>
      <c r="B3" s="94">
        <f>SUM(F19:F22,F24:F27,J19)</f>
        <v>80.800543705521747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39.2508304490499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42.947096993579265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53.595864895675774</v>
      </c>
      <c r="L3" s="100"/>
      <c r="M3" s="79" t="s">
        <v>385</v>
      </c>
      <c r="N3" s="92">
        <f>(F69-E69)/E69</f>
        <v>6.1100842894813184E-2</v>
      </c>
    </row>
    <row r="4" spans="1:15" s="93" customFormat="1" x14ac:dyDescent="0.25">
      <c r="A4" s="81" t="s">
        <v>182</v>
      </c>
      <c r="B4" s="96">
        <f>SUM(G36:G40)*2</f>
        <v>72</v>
      </c>
      <c r="C4" s="101"/>
      <c r="D4" s="102">
        <f>F4*(1+F141/10)</f>
        <v>6.3832000000000004</v>
      </c>
      <c r="E4" s="82">
        <f>(D4-F4)/F4</f>
        <v>1.0000000000000023E-2</v>
      </c>
      <c r="F4" s="103">
        <v>6.32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2.7588621915265139</v>
      </c>
    </row>
    <row r="5" spans="1:15" s="93" customFormat="1" x14ac:dyDescent="0.25">
      <c r="A5" s="81" t="s">
        <v>184</v>
      </c>
      <c r="B5" s="107">
        <f>SUM(F30:F34)*2</f>
        <v>96.0773858007705</v>
      </c>
      <c r="C5" s="87"/>
      <c r="D5" s="87"/>
      <c r="E5" s="87"/>
      <c r="F5" s="86"/>
      <c r="G5" s="88"/>
      <c r="M5" s="79" t="s">
        <v>386</v>
      </c>
      <c r="N5" s="152">
        <f>D62</f>
        <v>3.05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連4月衰退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2.9691591754509226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54.15</v>
      </c>
      <c r="N9" s="129"/>
    </row>
    <row r="10" spans="1:15" s="93" customFormat="1" x14ac:dyDescent="0.25">
      <c r="A10" s="123" t="s">
        <v>194</v>
      </c>
      <c r="B10" s="126">
        <f>PERCENTILE(176:176,B9)</f>
        <v>12.65</v>
      </c>
      <c r="C10" s="126">
        <f>PERCENTILE(176:176,C9)</f>
        <v>13.379999999999999</v>
      </c>
      <c r="D10" s="126">
        <f>PERCENTILE(176:176,D9)</f>
        <v>14.64</v>
      </c>
      <c r="E10" s="126">
        <f>PERCENTILE(176:176,E9)</f>
        <v>18.270000000000003</v>
      </c>
      <c r="F10" s="126">
        <f>PERCENTILE(176:176,F9)</f>
        <v>23.35</v>
      </c>
      <c r="G10" s="95"/>
      <c r="H10" s="135"/>
      <c r="I10" s="135"/>
      <c r="J10" s="135"/>
      <c r="K10" s="135"/>
      <c r="L10" s="136" t="s">
        <v>374</v>
      </c>
      <c r="M10" s="130">
        <f>MIN(176:176)</f>
        <v>11.12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22.79</v>
      </c>
      <c r="L11" s="272" t="s">
        <v>193</v>
      </c>
      <c r="M11" s="128">
        <f>STDEV(176:176)</f>
        <v>11.552926978503034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23.80952380952381</v>
      </c>
      <c r="C13" s="141">
        <f>$B$34/5.88%</f>
        <v>28.911564625850339</v>
      </c>
      <c r="D13" s="141">
        <f>$B$34/5%</f>
        <v>34</v>
      </c>
      <c r="E13" s="141">
        <f>$B$34/4.35%</f>
        <v>39.080459770114942</v>
      </c>
      <c r="F13" s="141">
        <f>$B$34/3.85%</f>
        <v>44.155844155844157</v>
      </c>
      <c r="G13" s="138" t="str">
        <f>"$"&amp;ROUND(B34,2)&amp;"/"&amp;IF(STDEV(C140:F140)/AVERAGE(C140:F140)&lt;15%,"高",IF(STDEV(C140:F140)/AVERAGE(C140:F140)&lt;30%,"中","低"))</f>
        <v>$1.7/低</v>
      </c>
      <c r="H13" s="142" t="s">
        <v>199</v>
      </c>
      <c r="I13" s="143">
        <f>MAX(0,1-J15)</f>
        <v>0.34615384615384603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37.475625000000001</v>
      </c>
      <c r="C14" s="141">
        <f>$B$33*C10</f>
        <v>39.638249999999999</v>
      </c>
      <c r="D14" s="141">
        <f>$B$33*D10</f>
        <v>43.371000000000002</v>
      </c>
      <c r="E14" s="141">
        <f>$B$33*E10</f>
        <v>54.12487500000001</v>
      </c>
      <c r="F14" s="141">
        <f>$B$33*F10</f>
        <v>69.174374999999998</v>
      </c>
      <c r="G14" s="138" t="str">
        <f>"$"&amp;ROUND(B33,2)&amp;"/"&amp;IF(STDEV(B69:E69)/AVERAGE(B69:E69)&lt;15%,"高",IF(STDEV(B69:E69)/AVERAGE(B69:E69)&lt;30%,"中","低"))</f>
        <v>$2.96/中</v>
      </c>
      <c r="H14" s="142" t="s">
        <v>203</v>
      </c>
      <c r="I14" s="145">
        <f>G62/100*I13</f>
        <v>4.5969230769230741E-2</v>
      </c>
      <c r="J14" s="76" t="s">
        <v>204</v>
      </c>
      <c r="K14" s="146"/>
      <c r="L14" s="147">
        <f>(HLOOKUP($C$1,$105:$106,2,FALSE)-HLOOKUP($C$1,$117:$127,9,FALSE))/(HLOOKUP($C$1,$117:$128,12,FALSE)/K11)</f>
        <v>6.5864340437764586</v>
      </c>
      <c r="M14" s="148">
        <f>E135/E69</f>
        <v>0.84230769230769242</v>
      </c>
      <c r="N14" s="149">
        <f>F173/100</f>
        <v>0.308</v>
      </c>
    </row>
    <row r="15" spans="1:15" s="93" customFormat="1" x14ac:dyDescent="0.25">
      <c r="A15" s="140" t="s">
        <v>375</v>
      </c>
      <c r="B15" s="141">
        <f>$D$62*B10</f>
        <v>38.582499999999996</v>
      </c>
      <c r="C15" s="141">
        <f>$D$62*C10</f>
        <v>40.808999999999997</v>
      </c>
      <c r="D15" s="141">
        <f>$D$62*D10</f>
        <v>44.652000000000001</v>
      </c>
      <c r="E15" s="141">
        <f>$D$62*E10</f>
        <v>55.723500000000008</v>
      </c>
      <c r="F15" s="141">
        <f>$D$62*F10</f>
        <v>71.217500000000001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0.65384615384615397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34.899606722810404</v>
      </c>
      <c r="C16" s="141">
        <f>$F$69*C10</f>
        <v>36.913576122624754</v>
      </c>
      <c r="D16" s="141">
        <f>$F$69*D10</f>
        <v>40.389742483948169</v>
      </c>
      <c r="E16" s="141">
        <f>$F$69*E10</f>
        <v>50.404412239189419</v>
      </c>
      <c r="F16" s="141">
        <f>$F$69*F10</f>
        <v>64.419432172144099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470</v>
      </c>
      <c r="J17" s="92">
        <f ca="1">IF(I17&lt;=0,"",IF(I17&lt;=MIN($B$13:$F$16),(I17-MIN($B$13:$F$16))/MIN($B$13:$F$16),IF(I17&gt;=MAX($B$13:$F$16),I17/MAX($B$13:$F$16),PERCENTRANK($B$13:$F$16,I17))))</f>
        <v>6.599501527012321</v>
      </c>
      <c r="K17" s="78" t="s">
        <v>206</v>
      </c>
      <c r="L17" s="153">
        <f ca="1">VLOOKUP(_xlfn.NUMBERVALUE(N1),儀表板!A:G,6,FALSE)</f>
        <v>35.369999999999997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3.5049999999999999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2.0617647058823527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0.11153425781294453</v>
      </c>
      <c r="J20" s="171">
        <f>HLOOKUP($C$1,$117:$127,11,FALSE)/HLOOKUP($C$1,$105:$115,11,FALSE)</f>
        <v>0.27022548600985302</v>
      </c>
      <c r="K20" s="163"/>
    </row>
    <row r="21" spans="1:14" s="93" customFormat="1" x14ac:dyDescent="0.25">
      <c r="A21" s="151" t="s">
        <v>201</v>
      </c>
      <c r="B21" s="161">
        <f>AVERAGE(C173:F173)/100</f>
        <v>1.3882999999999999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3.5584755251589764</v>
      </c>
      <c r="J21" s="78"/>
      <c r="K21" s="164" t="s">
        <v>356</v>
      </c>
      <c r="L21" s="165">
        <f>HLOOKUP($C$1,$105:$115,7,FALSE)/HLOOKUP($C$1,$105:$115,11,FALSE)</f>
        <v>0.82868545411634553</v>
      </c>
      <c r="M21" s="123" t="s">
        <v>268</v>
      </c>
      <c r="N21" s="165">
        <f>HLOOKUP($C$1,$117:$127,8,FALSE)/HLOOKUP($C$1,$117:$127,11,FALSE)</f>
        <v>0.86178598304870613</v>
      </c>
    </row>
    <row r="22" spans="1:14" s="93" customFormat="1" x14ac:dyDescent="0.25">
      <c r="A22" s="140" t="s">
        <v>222</v>
      </c>
      <c r="B22" s="161">
        <f>(-1)*SUM(C133:F133)/SUM(C132:F132)</f>
        <v>0.13661538461538461</v>
      </c>
      <c r="C22" s="157"/>
      <c r="D22" s="166"/>
      <c r="E22" s="140"/>
      <c r="F22" s="159">
        <f>IF(B22&lt;=0,10,IF(B22&gt;=100%,0,(1-B22)*10))</f>
        <v>8.6338461538461537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3.1534184465875024</v>
      </c>
      <c r="J22" s="78"/>
      <c r="K22" s="142" t="s">
        <v>357</v>
      </c>
      <c r="L22" s="165">
        <f>HLOOKUP($C$1,$105:$115,4,FALSE)/HLOOKUP($C$1,$105:$115,11,FALSE)</f>
        <v>0.32054360469862714</v>
      </c>
      <c r="M22" s="123" t="s">
        <v>353</v>
      </c>
      <c r="N22" s="165">
        <f>HLOOKUP($C$1,$117:$127,4,FALSE)/HLOOKUP($C$1,$117:$127,11,FALSE)</f>
        <v>0.58725485349343498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1.3702862744991688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9.4328289382866068E-2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113.92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3.0189485829753188E-2</v>
      </c>
      <c r="M24" s="123" t="s">
        <v>355</v>
      </c>
      <c r="N24" s="165">
        <f>HLOOKUP($C$1,$117:$127,9,FALSE)/HLOOKUP($C$1,$117:$127,11,FALSE)</f>
        <v>0.13821401695129387</v>
      </c>
    </row>
    <row r="25" spans="1:14" s="93" customFormat="1" x14ac:dyDescent="0.25">
      <c r="A25" s="151" t="s">
        <v>366</v>
      </c>
      <c r="B25" s="255">
        <f>AVERAGE(94:94)</f>
        <v>1404.5652173913043</v>
      </c>
      <c r="C25" s="254">
        <f>STDEV(94:94)/AVERAGE(94:94)</f>
        <v>9.3333024483244067</v>
      </c>
      <c r="D25" s="76" t="str">
        <f>IF(C25&lt;=1,"高",IF(C25&lt;=2,"中","低"))</f>
        <v>低</v>
      </c>
      <c r="E25" s="149"/>
      <c r="F25" s="160">
        <f>MAX(0,10-ABS(C25))</f>
        <v>0.6666975516755933</v>
      </c>
      <c r="G25" s="88" t="s">
        <v>213</v>
      </c>
      <c r="H25" s="123" t="s">
        <v>232</v>
      </c>
      <c r="I25" s="170">
        <f>IF(HLOOKUP(C1,167:170,3,FALSE)="無",0,HLOOKUP(C1,167:170,3,FALSE))</f>
        <v>58.06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121.3026086956522</v>
      </c>
      <c r="C26" s="172">
        <f>IF(COUNTIF(168:168,"&gt;0")=0,0,STDEV(168:168))</f>
        <v>20.134548828363126</v>
      </c>
      <c r="D26" s="76" t="str">
        <f>IF(C26&lt;=15,"高",IF(C26&lt;=30,"中","低"))</f>
        <v>中</v>
      </c>
      <c r="E26" s="149"/>
      <c r="F26" s="160">
        <f>IF(I24&lt;=60,4,IF(I24&lt;=90,3,IF(I24&lt;=120,2,IF(I24&lt;=150,1,0))))+IF(D26="高",6,IF(D26="中",4,2))</f>
        <v>6</v>
      </c>
      <c r="G26" s="88" t="s">
        <v>213</v>
      </c>
    </row>
    <row r="27" spans="1:14" s="93" customFormat="1" x14ac:dyDescent="0.25">
      <c r="A27" s="164" t="s">
        <v>234</v>
      </c>
      <c r="B27" s="172">
        <f>IF(COUNTIF(169:169,"&gt;0")=0,0,AVERAGE(169:169))</f>
        <v>64.096956521739131</v>
      </c>
      <c r="C27" s="172">
        <f>IF(COUNTIF(169:169,"&gt;0")=0,0,STDEV(169:169))</f>
        <v>10.045000309870405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236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0.39200000000000002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0.10397500000000001</v>
      </c>
      <c r="C31" s="157" t="s">
        <v>217</v>
      </c>
      <c r="D31" s="174">
        <f>COUNTIF(149:149,"&gt;8")/COUNT(149:149)</f>
        <v>0.65217391304347827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14.4975</v>
      </c>
      <c r="C32" s="157" t="s">
        <v>217</v>
      </c>
      <c r="D32" s="174">
        <f>COUNTIF(159:159,"&gt;3")/COUNT(159:159)</f>
        <v>0.60869565217391308</v>
      </c>
      <c r="E32" s="140" t="s">
        <v>242</v>
      </c>
      <c r="F32" s="159">
        <f>MIN(B32/15*10,10)</f>
        <v>9.6650000000000009</v>
      </c>
      <c r="G32" s="135"/>
    </row>
    <row r="33" spans="1:14" x14ac:dyDescent="0.25">
      <c r="A33" s="155" t="s">
        <v>14</v>
      </c>
      <c r="B33" s="156">
        <f>AVERAGE(B69:E69)</f>
        <v>2.9624999999999999</v>
      </c>
      <c r="C33" s="157" t="s">
        <v>217</v>
      </c>
      <c r="D33" s="174">
        <f>COUNTIF(82:82,"&gt;0")/COUNT(82:82)</f>
        <v>0.95652173913043481</v>
      </c>
      <c r="E33" s="140" t="s">
        <v>243</v>
      </c>
      <c r="F33" s="159">
        <f>MIN(B33,2)+D33*8</f>
        <v>9.6521739130434785</v>
      </c>
      <c r="G33" s="135"/>
    </row>
    <row r="34" spans="1:14" x14ac:dyDescent="0.25">
      <c r="A34" s="155" t="s">
        <v>244</v>
      </c>
      <c r="B34" s="156">
        <f>AVERAGE(C140:F140)</f>
        <v>1.7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8.7215189873417724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1538108</v>
      </c>
      <c r="C36" s="178">
        <f>STDEV(C97:F97)</f>
        <v>366703.26481866324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39.200000000000003</v>
      </c>
      <c r="C37" s="180">
        <f>STDEV(C152:F152)</f>
        <v>1.655133428659656</v>
      </c>
      <c r="D37" s="76" t="str">
        <f>IF(C37/B37&lt;15%,"高",IF(C37/B37&lt;30%,"中","低"))</f>
        <v>高</v>
      </c>
      <c r="E37" s="107">
        <f>IF(F152&gt;E152,1,0)+IF(E152&gt;D152,1,0)+IF(D152&gt;C152,1,0)</f>
        <v>0</v>
      </c>
      <c r="F37" s="179"/>
      <c r="G37" s="160">
        <f>IF(D37="高",6,IF(D37="中",4,2))+E37+1</f>
        <v>7</v>
      </c>
    </row>
    <row r="38" spans="1:14" x14ac:dyDescent="0.25">
      <c r="A38" s="164" t="s">
        <v>249</v>
      </c>
      <c r="B38" s="180">
        <f>AVERAGE(C153:F153)</f>
        <v>11.875</v>
      </c>
      <c r="C38" s="180">
        <f>STDEV(C153:F153)</f>
        <v>2.4823308938710551</v>
      </c>
      <c r="D38" s="76" t="str">
        <f>IF(C38/B38&lt;15%,"高",IF(C38/B38&lt;30%,"中","低"))</f>
        <v>中</v>
      </c>
      <c r="E38" s="107">
        <f>IF(F153&gt;E153,1,0)+IF(E153&gt;D153,1,0)+IF(D153&gt;C153,1,0)</f>
        <v>2</v>
      </c>
      <c r="F38" s="179"/>
      <c r="G38" s="160">
        <f>IF(D38="高",6,IF(D38="中",4,2))+E38+1</f>
        <v>7</v>
      </c>
    </row>
    <row r="39" spans="1:14" x14ac:dyDescent="0.25">
      <c r="A39" s="142" t="s">
        <v>46</v>
      </c>
      <c r="B39" s="181">
        <f>AVERAGE(C165:F165)</f>
        <v>14.4975</v>
      </c>
      <c r="C39" s="181">
        <f>STDEV(C165:F165)</f>
        <v>3.3736071199829971</v>
      </c>
      <c r="D39" s="76" t="str">
        <f>IF(C39/B39&lt;15%,"高",IF(C39/B39&lt;30%,"中","低"))</f>
        <v>中</v>
      </c>
      <c r="E39" s="107">
        <f>IF(F165&gt;E165,1,0)+IF(E165&gt;D165,1,0)+IF(D165&gt;C165,1,0)</f>
        <v>2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2.9624999999999999</v>
      </c>
      <c r="C40" s="183">
        <f>STDEV(B69:E69)</f>
        <v>0.82810526706049414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0.17910447761194029</v>
      </c>
      <c r="C44" s="186">
        <f>(C46-C49)/C49</f>
        <v>0.22807017543859651</v>
      </c>
      <c r="D44" s="186">
        <f>(D46-D49)/D49</f>
        <v>1.9999999999999998</v>
      </c>
      <c r="E44" s="186">
        <f>(E46-E49)/E49</f>
        <v>6.7796610169491595E-2</v>
      </c>
      <c r="G44" s="86" t="s">
        <v>175</v>
      </c>
      <c r="H44" s="186">
        <f>(H47-H50)/H50</f>
        <v>-0.1032967032967033</v>
      </c>
      <c r="I44" s="186">
        <f>(I47-I50)/I50</f>
        <v>0.63913043478260867</v>
      </c>
      <c r="J44" s="186">
        <f>(J47-J50)/J50</f>
        <v>1.3582995951417001</v>
      </c>
      <c r="K44" s="186">
        <f>(K47-K50)/K50</f>
        <v>-9.3619558735837757E-2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163</v>
      </c>
      <c r="B46" s="152">
        <f>HLOOKUP(B45,$81:$82,2,FALSE)</f>
        <v>0.79</v>
      </c>
      <c r="C46" s="152">
        <f>HLOOKUP(C45,$81:$82,2,FALSE)</f>
        <v>0.7</v>
      </c>
      <c r="D46" s="152">
        <f>HLOOKUP(D45,$81:$82,2,FALSE)</f>
        <v>0.3</v>
      </c>
      <c r="E46" s="152">
        <f>HLOOKUP(E45,$81:$82,2,FALSE)</f>
        <v>1.26</v>
      </c>
      <c r="G46" s="86" t="s">
        <v>164</v>
      </c>
      <c r="H46" s="145">
        <f>HLOOKUP(H45,$145:$147,2,FALSE)/100</f>
        <v>0.38170000000000004</v>
      </c>
      <c r="I46" s="145">
        <f>HLOOKUP(I45,$145:$147,2,FALSE)/100</f>
        <v>0.38500000000000001</v>
      </c>
      <c r="J46" s="145">
        <f>HLOOKUP(J45,$145:$147,2,FALSE)/100</f>
        <v>0.37799999999999995</v>
      </c>
      <c r="K46" s="145">
        <f>HLOOKUP(K45,$145:$147,2,FALSE)/100</f>
        <v>0.38750000000000001</v>
      </c>
    </row>
    <row r="47" spans="1:14" x14ac:dyDescent="0.25">
      <c r="A47" s="188" t="s">
        <v>165</v>
      </c>
      <c r="B47" s="189">
        <f>HLOOKUP(B45,$157:$159,3,FALSE)</f>
        <v>3.42</v>
      </c>
      <c r="C47" s="189">
        <f>HLOOKUP(C45,$157:$159,3,FALSE)</f>
        <v>3.03</v>
      </c>
      <c r="D47" s="189">
        <f>HLOOKUP(D45,$157:$159,3,FALSE)</f>
        <v>1.27</v>
      </c>
      <c r="E47" s="189">
        <f>HLOOKUP(E45,$157:$159,3,FALSE)</f>
        <v>5.56</v>
      </c>
      <c r="G47" s="190" t="s">
        <v>166</v>
      </c>
      <c r="H47" s="145">
        <f>HLOOKUP(H45,$145:$147,3,FALSE)/100</f>
        <v>0.12240000000000001</v>
      </c>
      <c r="I47" s="145">
        <f>HLOOKUP(I45,$145:$147,3,FALSE)/100</f>
        <v>0.11310000000000001</v>
      </c>
      <c r="J47" s="145">
        <f>HLOOKUP(J45,$145:$147,3,FALSE)/100</f>
        <v>0.11650000000000001</v>
      </c>
      <c r="K47" s="145">
        <f>HLOOKUP(K45,$145:$147,3,FALSE)/100</f>
        <v>0.152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167</v>
      </c>
      <c r="B49" s="152">
        <f>HLOOKUP(B48,$81:$82,2,FALSE)</f>
        <v>0.67</v>
      </c>
      <c r="C49" s="152">
        <f>HLOOKUP(C48,$81:$82,2,FALSE)</f>
        <v>0.56999999999999995</v>
      </c>
      <c r="D49" s="152">
        <f>HLOOKUP(D48,$81:$82,2,FALSE)</f>
        <v>0.1</v>
      </c>
      <c r="E49" s="152">
        <f>HLOOKUP(E48,$81:$82,2,FALSE)</f>
        <v>1.18</v>
      </c>
      <c r="G49" s="86" t="s">
        <v>168</v>
      </c>
      <c r="H49" s="145">
        <f>HLOOKUP(H48,$145:$147,2,FALSE)/100</f>
        <v>0.36609999999999998</v>
      </c>
      <c r="I49" s="145">
        <f>HLOOKUP(I48,$145:$147,2,FALSE)/100</f>
        <v>0.35210000000000002</v>
      </c>
      <c r="J49" s="145">
        <f>HLOOKUP(J48,$145:$147,2,FALSE)/100</f>
        <v>0.36310000000000003</v>
      </c>
      <c r="K49" s="145">
        <f>HLOOKUP(K48,$145:$147,2,FALSE)/100</f>
        <v>0.40130000000000005</v>
      </c>
    </row>
    <row r="50" spans="1:15" x14ac:dyDescent="0.25">
      <c r="A50" s="188" t="s">
        <v>165</v>
      </c>
      <c r="B50" s="189">
        <f>HLOOKUP(B48,$157:$159,3,FALSE)</f>
        <v>3.08</v>
      </c>
      <c r="C50" s="189">
        <f>HLOOKUP(C48,$157:$159,3,FALSE)</f>
        <v>2.4500000000000002</v>
      </c>
      <c r="D50" s="189">
        <f>HLOOKUP(D48,$157:$159,3,FALSE)</f>
        <v>0.41</v>
      </c>
      <c r="E50" s="189">
        <f>HLOOKUP(E48,$157:$159,3,FALSE)</f>
        <v>4.68</v>
      </c>
      <c r="G50" s="190" t="s">
        <v>169</v>
      </c>
      <c r="H50" s="145">
        <f>HLOOKUP(H48,$145:$147,3,FALSE)/100</f>
        <v>0.13650000000000001</v>
      </c>
      <c r="I50" s="145">
        <f>HLOOKUP(I48,$145:$147,3,FALSE)/100</f>
        <v>6.9000000000000006E-2</v>
      </c>
      <c r="J50" s="145">
        <f>HLOOKUP(J48,$145:$147,3,FALSE)/100</f>
        <v>4.9400000000000006E-2</v>
      </c>
      <c r="K50" s="145">
        <f>HLOOKUP(K48,$145:$147,3,FALSE)/100</f>
        <v>0.16769999999999999</v>
      </c>
    </row>
    <row r="51" spans="1:15" x14ac:dyDescent="0.25">
      <c r="A51" s="86" t="s">
        <v>351</v>
      </c>
      <c r="B51" s="186">
        <f>(B47-B50)/B50</f>
        <v>0.11038961038961034</v>
      </c>
      <c r="C51" s="186">
        <f>(C47-C50)/C50</f>
        <v>0.23673469387755086</v>
      </c>
      <c r="D51" s="186">
        <f>(D47-D50)/D50</f>
        <v>2.0975609756097566</v>
      </c>
      <c r="E51" s="186">
        <f>(E47-E50)/E50</f>
        <v>0.18803418803418803</v>
      </c>
      <c r="G51" s="235" t="s">
        <v>174</v>
      </c>
      <c r="H51" s="186">
        <f>(H46-H49)/H49</f>
        <v>4.2611308385687136E-2</v>
      </c>
      <c r="I51" s="186">
        <f>(I46-I49)/I49</f>
        <v>9.3439363817097359E-2</v>
      </c>
      <c r="J51" s="186">
        <f>(J46-J49)/J49</f>
        <v>4.1035527402919061E-2</v>
      </c>
      <c r="K51" s="186">
        <f>(K46-K49)/K49</f>
        <v>-3.4388238225766345E-2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2.9691591754509226</v>
      </c>
      <c r="B53" s="193">
        <f>B46</f>
        <v>0.79</v>
      </c>
      <c r="C53" s="193">
        <f>E46/HLOOKUP(E45,$87:$94,5,FALSE)*HLOOKUP(E45,$87:$94,4,FALSE)*($B$25/HLOOKUP(E45,$87:$94,4,FALSE)+SUM($B$57:$D$57)/SUM($B58:$D$58)*$G$69/100/K46)</f>
        <v>0.96886219152651376</v>
      </c>
      <c r="D53" s="193">
        <f>D46/HLOOKUP(D45,$87:$94,5,FALSE)*HLOOKUP(D45,$87:$94,4,FALSE)*($B$25/HLOOKUP(D45,$87:$94,4,FALSE)+SUM($B$57:$D$57)/SUM($B58:$D$58)*$G$69/100/J46)</f>
        <v>0.58904782886630658</v>
      </c>
      <c r="E53" s="193">
        <f>C46/HLOOKUP(C45,$87:$94,5,FALSE)*HLOOKUP(C45,$87:$94,4,FALSE)*($B$25/HLOOKUP(C45,$87:$94,4,FALSE)+SUM($B$57:$D$57)/SUM($B58:$D$58)*$G$69/100/I46)</f>
        <v>0.62124915505810197</v>
      </c>
    </row>
    <row r="54" spans="1:15" x14ac:dyDescent="0.25">
      <c r="A54" s="278">
        <f>SUM(B54:E54)</f>
        <v>2.9299999999999997</v>
      </c>
      <c r="B54" s="277">
        <f t="shared" ref="B54:D54" si="0">HLOOKUP(B52-10,81:82,2,FALSE)</f>
        <v>0.67</v>
      </c>
      <c r="C54" s="277">
        <f t="shared" si="0"/>
        <v>1.26</v>
      </c>
      <c r="D54" s="277">
        <f t="shared" si="0"/>
        <v>0.3</v>
      </c>
      <c r="E54" s="277">
        <f>HLOOKUP(E52-10,81:82,2,FALSE)</f>
        <v>0.7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201801</v>
      </c>
      <c r="C56" s="194">
        <f>IF(B56-ROUNDDOWN(B56/100,0)*100-1=0,(ROUNDDOWN(B56/100,0)-1)*100+12,B56-1)</f>
        <v>201712</v>
      </c>
      <c r="D56" s="194">
        <f>IF(C56-ROUNDDOWN(C56/100,0)*100-1=0,(ROUNDDOWN(C56/100,0)-1)*100+12,C56-1)</f>
        <v>201711</v>
      </c>
      <c r="E56" s="194">
        <f>IF(D56-ROUNDDOWN(D56/100,0)*100-1=0,(ROUNDDOWN(D56/100,0)-1)*100+12,D56-1)</f>
        <v>201710</v>
      </c>
      <c r="F56" s="194">
        <f>IF(E56-ROUNDDOWN(E56/100,0)*100-1=0,(ROUNDDOWN(E56/100,0)-1)*100+12,E56-1)</f>
        <v>201709</v>
      </c>
      <c r="G56" s="194">
        <f t="shared" ref="G56:M56" si="1">IF(F56-ROUNDDOWN(F56/100,0)*100-1=0,(ROUNDDOWN(F56/100,0)-1)*100+12,F56-1)</f>
        <v>201708</v>
      </c>
      <c r="H56" s="194">
        <f t="shared" si="1"/>
        <v>201707</v>
      </c>
      <c r="I56" s="194">
        <f t="shared" si="1"/>
        <v>201706</v>
      </c>
      <c r="J56" s="194">
        <f t="shared" si="1"/>
        <v>201705</v>
      </c>
      <c r="K56" s="194">
        <f t="shared" si="1"/>
        <v>201704</v>
      </c>
      <c r="L56" s="194">
        <f t="shared" si="1"/>
        <v>201703</v>
      </c>
      <c r="M56" s="194">
        <f t="shared" si="1"/>
        <v>201702</v>
      </c>
      <c r="N56" s="138"/>
    </row>
    <row r="57" spans="1:15" x14ac:dyDescent="0.25">
      <c r="A57" s="195" t="s">
        <v>252</v>
      </c>
      <c r="B57" s="196">
        <f>HLOOKUP(B56,78:79,2,FALSE)</f>
        <v>140028</v>
      </c>
      <c r="C57" s="196">
        <f>HLOOKUP(C56,78:79,2,FALSE)</f>
        <v>178127</v>
      </c>
      <c r="D57" s="196">
        <f>HLOOKUP(D56,78:79,2,FALSE)</f>
        <v>176577</v>
      </c>
      <c r="E57" s="196">
        <f>HLOOKUP(E56,78:79,2,FALSE)</f>
        <v>139467</v>
      </c>
      <c r="F57" s="196">
        <f>HLOOKUP(F56,78:79,2,FALSE)</f>
        <v>181857</v>
      </c>
      <c r="G57" s="196">
        <f t="shared" ref="G57:M57" si="2">HLOOKUP(G56,78:79,2,FALSE)</f>
        <v>162689</v>
      </c>
      <c r="H57" s="196">
        <f t="shared" si="2"/>
        <v>155474</v>
      </c>
      <c r="I57" s="196">
        <f t="shared" si="2"/>
        <v>174449</v>
      </c>
      <c r="J57" s="196">
        <f t="shared" si="2"/>
        <v>172251</v>
      </c>
      <c r="K57" s="196">
        <f t="shared" si="2"/>
        <v>124035</v>
      </c>
      <c r="L57" s="196">
        <f t="shared" si="2"/>
        <v>156825</v>
      </c>
      <c r="M57" s="196">
        <f t="shared" si="2"/>
        <v>110672</v>
      </c>
      <c r="N57" s="197"/>
    </row>
    <row r="58" spans="1:15" x14ac:dyDescent="0.25">
      <c r="A58" s="198" t="s">
        <v>253</v>
      </c>
      <c r="B58" s="196">
        <f>HLOOKUP(B56-100,78:79,2,FALSE)</f>
        <v>157658</v>
      </c>
      <c r="C58" s="196">
        <f>HLOOKUP(C56-100,78:79,2,FALSE)</f>
        <v>182456</v>
      </c>
      <c r="D58" s="196">
        <f>HLOOKUP(D56-100,78:79,2,FALSE)</f>
        <v>203150</v>
      </c>
      <c r="E58" s="196">
        <f>HLOOKUP(E56-100,78:79,2,FALSE)</f>
        <v>165897</v>
      </c>
      <c r="F58" s="196">
        <f>HLOOKUP(F56-100,78:79,2,FALSE)</f>
        <v>176481</v>
      </c>
      <c r="G58" s="196">
        <f t="shared" ref="G58:M58" si="3">HLOOKUP(G56-100,78:79,2,FALSE)</f>
        <v>183692</v>
      </c>
      <c r="H58" s="196">
        <f t="shared" si="3"/>
        <v>167320</v>
      </c>
      <c r="I58" s="196">
        <f t="shared" si="3"/>
        <v>141568</v>
      </c>
      <c r="J58" s="196">
        <f t="shared" si="3"/>
        <v>152809</v>
      </c>
      <c r="K58" s="196">
        <f t="shared" si="3"/>
        <v>152645</v>
      </c>
      <c r="L58" s="196">
        <f t="shared" si="3"/>
        <v>123846</v>
      </c>
      <c r="M58" s="196">
        <f t="shared" si="3"/>
        <v>70377</v>
      </c>
      <c r="N58" s="197"/>
    </row>
    <row r="59" spans="1:15" x14ac:dyDescent="0.25">
      <c r="A59" s="199" t="s">
        <v>254</v>
      </c>
      <c r="B59" s="165">
        <f>IF(B57&lt;&gt;"",(B57-B58)/B58,"")</f>
        <v>-0.11182432861002931</v>
      </c>
      <c r="C59" s="165">
        <f>IF(C57&lt;&gt;"",(C57-C58)/C58,"")</f>
        <v>-2.3726268250975579E-2</v>
      </c>
      <c r="D59" s="165">
        <f>IF(D57&lt;&gt;"",(D57-D58)/D58,"")</f>
        <v>-0.13080482402165888</v>
      </c>
      <c r="E59" s="165">
        <f>IF(E57&lt;&gt;"",(E57-E58)/E58,"")</f>
        <v>-0.15931571999493663</v>
      </c>
      <c r="F59" s="165">
        <f>IF(F57&lt;&gt;"",(F57-F58)/F58,"")</f>
        <v>3.0462202730038929E-2</v>
      </c>
      <c r="G59" s="165">
        <f t="shared" ref="G59:M59" si="4">IF(G57&lt;&gt;"",(G57-G58)/G58,"")</f>
        <v>-0.11433813121965028</v>
      </c>
      <c r="H59" s="165">
        <f t="shared" si="4"/>
        <v>-7.0798469997609373E-2</v>
      </c>
      <c r="I59" s="165">
        <f t="shared" si="4"/>
        <v>0.23226294077757687</v>
      </c>
      <c r="J59" s="165">
        <f t="shared" si="4"/>
        <v>0.12723072593891721</v>
      </c>
      <c r="K59" s="165">
        <f t="shared" si="4"/>
        <v>-0.18742834681777981</v>
      </c>
      <c r="L59" s="165">
        <f t="shared" si="4"/>
        <v>0.26629039290732037</v>
      </c>
      <c r="M59" s="165">
        <f t="shared" si="4"/>
        <v>0.57255921678957611</v>
      </c>
    </row>
    <row r="60" spans="1:15" x14ac:dyDescent="0.25">
      <c r="A60" s="195" t="s">
        <v>255</v>
      </c>
      <c r="B60" s="196">
        <f>SUM(B57:M57)</f>
        <v>1872451</v>
      </c>
    </row>
    <row r="61" spans="1:15" x14ac:dyDescent="0.25">
      <c r="A61" s="198" t="s">
        <v>256</v>
      </c>
      <c r="B61" s="196">
        <f>SUM(B58:M58)</f>
        <v>1877899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0.99709888550981707</v>
      </c>
      <c r="D62" s="152">
        <f>SUM(B46:E46)</f>
        <v>3.05</v>
      </c>
      <c r="E62" s="152">
        <f>SUM(B49:E49)</f>
        <v>2.52</v>
      </c>
      <c r="G62" s="126">
        <f>SUM(B47:E47)</f>
        <v>13.279999999999998</v>
      </c>
      <c r="H62" s="126">
        <f>SUM(B50:E50)</f>
        <v>10.620000000000001</v>
      </c>
      <c r="J62" s="200">
        <f>AVERAGE(H46:K46)</f>
        <v>0.38305</v>
      </c>
      <c r="K62" s="200">
        <f>AVERAGE(H49:K49)</f>
        <v>0.37064999999999998</v>
      </c>
      <c r="M62" s="200">
        <f>AVERAGE(H47:K47)</f>
        <v>0.126</v>
      </c>
      <c r="N62" s="200">
        <f>AVERAGE(H50:K50)</f>
        <v>0.10564999999999999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2" x14ac:dyDescent="0.25">
      <c r="A65" s="204">
        <v>1</v>
      </c>
      <c r="B65" s="205">
        <f t="shared" ref="B65:E67" si="5">HLOOKUP(B$64*10+$A65,$81:$82,2,FALSE)</f>
        <v>0.43</v>
      </c>
      <c r="C65" s="205">
        <f t="shared" si="5"/>
        <v>0.26</v>
      </c>
      <c r="D65" s="205">
        <f t="shared" si="5"/>
        <v>0.75</v>
      </c>
      <c r="E65" s="205">
        <f t="shared" si="5"/>
        <v>0.1</v>
      </c>
      <c r="F65" s="206">
        <f>IF(ISNA(HLOOKUP(F$64*10+$A65,$81:$82,2,FALSE)),(HLOOKUP(E$64*10+$A65,$87:$94,4,FALSE)*$G65+$B$25)/HLOOKUP(E$64*10+$A65,$87:$94,5,FALSE)*$E65,HLOOKUP(F$64*10+$A65,$81:$82,2,FALSE))</f>
        <v>0.3</v>
      </c>
      <c r="G65" s="101">
        <f>MIN(130%,SUM($B$57:$D$57)/SUM($B$58:$D$58)*$G$69/HLOOKUP(E$64*10+$A65,$145:$146,2,FALSE))</f>
        <v>0.96431509651792902</v>
      </c>
      <c r="H65" s="204">
        <v>1</v>
      </c>
      <c r="I65" s="208">
        <f t="shared" ref="I65:M68" si="6">IF(ISNA(HLOOKUP(I$64*10+$H65,$145:$147,3,FALSE)),"",HLOOKUP(I$64*10+$H65,$145:$147,3,FALSE)/100)</f>
        <v>7.0999999999999994E-2</v>
      </c>
      <c r="J65" s="208">
        <f t="shared" si="6"/>
        <v>3.2400000000000005E-2</v>
      </c>
      <c r="K65" s="208">
        <f t="shared" si="6"/>
        <v>0.1351</v>
      </c>
      <c r="L65" s="208">
        <f t="shared" si="6"/>
        <v>4.9400000000000006E-2</v>
      </c>
      <c r="M65" s="209">
        <f t="shared" si="6"/>
        <v>0.11650000000000001</v>
      </c>
      <c r="N65" s="256">
        <f t="shared" ref="N65:O68" si="7">HLOOKUP(E$64*10+$A65,$87:$94,8,FALSE)</f>
        <v>-10987</v>
      </c>
      <c r="O65" s="256">
        <f t="shared" si="7"/>
        <v>-25444</v>
      </c>
      <c r="P65" s="210"/>
    </row>
    <row r="66" spans="1:72" x14ac:dyDescent="0.25">
      <c r="A66" s="204">
        <v>2</v>
      </c>
      <c r="B66" s="205">
        <f t="shared" si="5"/>
        <v>0.57999999999999996</v>
      </c>
      <c r="C66" s="205">
        <f t="shared" si="5"/>
        <v>0.64</v>
      </c>
      <c r="D66" s="205">
        <f t="shared" si="5"/>
        <v>0.6</v>
      </c>
      <c r="E66" s="205">
        <f t="shared" si="5"/>
        <v>0.56999999999999995</v>
      </c>
      <c r="F66" s="206">
        <f>IF(ISNA(HLOOKUP(F$64*10+$A66,$81:$82,2,FALSE)),(HLOOKUP(E$64*10+$A66,$87:$94,4,FALSE)*$G66+$B$25)/HLOOKUP(E$64*10+$A66,$87:$94,5,FALSE)*$E66,HLOOKUP(F$64*10+$A66,$81:$82,2,FALSE))</f>
        <v>0.7</v>
      </c>
      <c r="G66" s="101">
        <f>MIN(130%,SUM($B$57:$D$57)/SUM($B$58:$D$58)*$G$69/HLOOKUP(E$64*10+$A66,$145:$146,2,FALSE))</f>
        <v>0.99444138467952303</v>
      </c>
      <c r="H66" s="204">
        <v>2</v>
      </c>
      <c r="I66" s="208">
        <f t="shared" si="6"/>
        <v>2.6600000000000002E-2</v>
      </c>
      <c r="J66" s="208">
        <f t="shared" si="6"/>
        <v>0.13650000000000001</v>
      </c>
      <c r="K66" s="208">
        <f t="shared" si="6"/>
        <v>0.1164</v>
      </c>
      <c r="L66" s="208">
        <f t="shared" si="6"/>
        <v>6.9000000000000006E-2</v>
      </c>
      <c r="M66" s="209">
        <f t="shared" si="6"/>
        <v>0.11310000000000001</v>
      </c>
      <c r="N66" s="256">
        <f t="shared" si="7"/>
        <v>7884</v>
      </c>
      <c r="O66" s="256">
        <f t="shared" si="7"/>
        <v>2900</v>
      </c>
      <c r="P66" s="210"/>
    </row>
    <row r="67" spans="1:72" x14ac:dyDescent="0.25">
      <c r="A67" s="204">
        <v>3</v>
      </c>
      <c r="B67" s="205">
        <f t="shared" si="5"/>
        <v>0.47</v>
      </c>
      <c r="C67" s="205">
        <f t="shared" si="5"/>
        <v>1.25</v>
      </c>
      <c r="D67" s="205">
        <f t="shared" si="5"/>
        <v>1.39</v>
      </c>
      <c r="E67" s="205">
        <f t="shared" si="5"/>
        <v>0.67</v>
      </c>
      <c r="F67" s="206">
        <f>IF(ISNA(HLOOKUP(F$64*10+$A67,$81:$82,2,FALSE)),(HLOOKUP(E$64*10+$A67,$87:$94,4,FALSE)*$G67+$B$25)/HLOOKUP(E$64*10+$A67,$87:$94,5,FALSE)*$E67,HLOOKUP(F$64*10+$A67,$81:$82,2,FALSE))</f>
        <v>0.79</v>
      </c>
      <c r="G67" s="101">
        <f>MIN(130%,SUM($B$57:$D$57)/SUM($B$58:$D$58)*$G$69/HLOOKUP(E$64*10+$A67,$145:$146,2,FALSE))</f>
        <v>0.95641303344894857</v>
      </c>
      <c r="H67" s="204">
        <v>3</v>
      </c>
      <c r="I67" s="208">
        <f t="shared" si="6"/>
        <v>0.1305</v>
      </c>
      <c r="J67" s="208">
        <f t="shared" si="6"/>
        <v>0.1862</v>
      </c>
      <c r="K67" s="208">
        <f t="shared" si="6"/>
        <v>0.14119999999999999</v>
      </c>
      <c r="L67" s="208">
        <f t="shared" si="6"/>
        <v>0.13650000000000001</v>
      </c>
      <c r="M67" s="209">
        <f t="shared" si="6"/>
        <v>0.12240000000000001</v>
      </c>
      <c r="N67" s="256">
        <f t="shared" si="7"/>
        <v>-13494</v>
      </c>
      <c r="O67" s="256">
        <f t="shared" si="7"/>
        <v>-1815</v>
      </c>
      <c r="P67" s="210"/>
    </row>
    <row r="68" spans="1:72" x14ac:dyDescent="0.25">
      <c r="A68" s="204">
        <v>4</v>
      </c>
      <c r="B68" s="205">
        <f>HLOOKUP(B$64*10+$A68,$81:$82,2,FALSE)</f>
        <v>0.54</v>
      </c>
      <c r="C68" s="205">
        <f>HLOOKUP(C$64*10+$A68,$81:$82,2,FALSE)</f>
        <v>1.1599999999999999</v>
      </c>
      <c r="D68" s="205">
        <f>HLOOKUP(D$64*10+$A68,$81:$82,2,FALSE)</f>
        <v>1.18</v>
      </c>
      <c r="E68" s="206">
        <f>IF(ISNA(HLOOKUP(E$64*10+$A68,$81:$82,2,FALSE)),D68*(1-$N68)*#REF!*(1+$B$25)/(1+$E$4),HLOOKUP(E$64*10+$A68,$81:$82,2,FALSE))</f>
        <v>1.26</v>
      </c>
      <c r="F68" s="206">
        <f>IF(ISNA(HLOOKUP(F$64*10+$A68,$81:$82,2,FALSE)),(HLOOKUP(E$64*10+$A68,$87:$94,4,FALSE)*$G68+$B$25)/HLOOKUP(E$64*10+$A68,$87:$94,5,FALSE)*$E68,HLOOKUP(F$64*10+$A68,$81:$82,2,FALSE))</f>
        <v>0.96886219152651398</v>
      </c>
      <c r="G68" s="101">
        <f>MIN(130%,SUM($B$57:$D$57)/SUM($B$58:$D$58)*$G$69/HLOOKUP(E$64*10+$A68,$145:$146,2,FALSE))</f>
        <v>0.90359435237589691</v>
      </c>
      <c r="H68" s="204">
        <v>4</v>
      </c>
      <c r="I68" s="208">
        <f t="shared" si="6"/>
        <v>0.1182</v>
      </c>
      <c r="J68" s="208">
        <f t="shared" si="6"/>
        <v>0.14660000000000001</v>
      </c>
      <c r="K68" s="208">
        <f t="shared" si="6"/>
        <v>0.16769999999999999</v>
      </c>
      <c r="L68" s="208">
        <f t="shared" si="6"/>
        <v>0.152</v>
      </c>
      <c r="M68" s="209" t="str">
        <f t="shared" si="6"/>
        <v/>
      </c>
      <c r="N68" s="256">
        <f t="shared" si="7"/>
        <v>16837</v>
      </c>
      <c r="O68" s="256" t="e">
        <f t="shared" si="7"/>
        <v>#N/A</v>
      </c>
    </row>
    <row r="69" spans="1:72" x14ac:dyDescent="0.25">
      <c r="A69" s="212" t="s">
        <v>162</v>
      </c>
      <c r="B69" s="213">
        <f>SUM(B65:B68)</f>
        <v>2.02</v>
      </c>
      <c r="C69" s="213">
        <f>SUM(C65:C68)</f>
        <v>3.3099999999999996</v>
      </c>
      <c r="D69" s="213">
        <f>SUM(D65:D68)</f>
        <v>3.92</v>
      </c>
      <c r="E69" s="213">
        <f>SUM(E65:E68)</f>
        <v>2.5999999999999996</v>
      </c>
      <c r="F69" s="213">
        <f>SUM(F65:F68)</f>
        <v>2.7588621915265139</v>
      </c>
      <c r="G69" s="257">
        <f>_xlfn.FORECAST.ETS(23,B146:W146,{1,2,3,4,5,6,7,8,9,10,11,12,13,14,15,16,17,18,19,20,21,22})</f>
        <v>38.44909655561829</v>
      </c>
      <c r="H69" s="214" t="s">
        <v>19</v>
      </c>
      <c r="I69" s="215">
        <f>HLOOKUP(I64,151:155,3,FALSE)/100</f>
        <v>8.8499999999999995E-2</v>
      </c>
      <c r="J69" s="215">
        <f>HLOOKUP(J64,151:155,3,FALSE)/100</f>
        <v>0.13570000000000002</v>
      </c>
      <c r="K69" s="215">
        <f>HLOOKUP(K64,151:155,3,FALSE)/100</f>
        <v>0.1421</v>
      </c>
      <c r="L69" s="215">
        <f>IF(ISNA(HLOOKUP(L64,151:155,3,FALSE)/100),AVERAGE(L65:L68),HLOOKUP(L64,151:155,3,FALSE)/100)</f>
        <v>0.10869999999999999</v>
      </c>
      <c r="M69" s="215"/>
      <c r="N69" s="216"/>
    </row>
    <row r="70" spans="1:72" s="135" customFormat="1" x14ac:dyDescent="0.25">
      <c r="A70" s="217"/>
      <c r="B70" s="218"/>
      <c r="C70" s="218"/>
      <c r="D70" s="218"/>
      <c r="E70" s="218"/>
      <c r="F70" s="218"/>
    </row>
    <row r="71" spans="1:72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2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2.68</v>
      </c>
      <c r="C72" s="205">
        <f t="shared" si="8"/>
        <v>1.49</v>
      </c>
      <c r="D72" s="205">
        <f t="shared" si="8"/>
        <v>3.45</v>
      </c>
      <c r="E72" s="205">
        <f t="shared" si="8"/>
        <v>0.41</v>
      </c>
      <c r="F72" s="205">
        <f t="shared" si="8"/>
        <v>1.27</v>
      </c>
    </row>
    <row r="73" spans="1:72" s="135" customFormat="1" x14ac:dyDescent="0.25">
      <c r="A73" s="204">
        <v>2</v>
      </c>
      <c r="B73" s="205">
        <f t="shared" si="8"/>
        <v>3.58</v>
      </c>
      <c r="C73" s="205">
        <f t="shared" si="8"/>
        <v>3.58</v>
      </c>
      <c r="D73" s="205">
        <f t="shared" si="8"/>
        <v>2.68</v>
      </c>
      <c r="E73" s="205">
        <f t="shared" si="8"/>
        <v>2.4500000000000002</v>
      </c>
      <c r="F73" s="205">
        <f t="shared" si="8"/>
        <v>3.03</v>
      </c>
    </row>
    <row r="74" spans="1:72" s="135" customFormat="1" x14ac:dyDescent="0.25">
      <c r="A74" s="204">
        <v>3</v>
      </c>
      <c r="B74" s="205">
        <f t="shared" si="8"/>
        <v>2.87</v>
      </c>
      <c r="C74" s="205">
        <f t="shared" si="8"/>
        <v>6.73</v>
      </c>
      <c r="D74" s="205">
        <f t="shared" si="8"/>
        <v>6.2</v>
      </c>
      <c r="E74" s="205">
        <f t="shared" si="8"/>
        <v>3.08</v>
      </c>
      <c r="F74" s="205">
        <f t="shared" si="8"/>
        <v>3.42</v>
      </c>
    </row>
    <row r="75" spans="1:72" s="135" customFormat="1" x14ac:dyDescent="0.25">
      <c r="A75" s="204">
        <v>4</v>
      </c>
      <c r="B75" s="205">
        <f t="shared" si="8"/>
        <v>3.16</v>
      </c>
      <c r="C75" s="205">
        <f t="shared" si="8"/>
        <v>5.69</v>
      </c>
      <c r="D75" s="205">
        <f t="shared" si="8"/>
        <v>4.68</v>
      </c>
      <c r="E75" s="205">
        <f t="shared" si="8"/>
        <v>5.56</v>
      </c>
      <c r="F75" s="205" t="str">
        <f t="shared" si="8"/>
        <v/>
      </c>
    </row>
    <row r="76" spans="1:72" s="135" customFormat="1" x14ac:dyDescent="0.25">
      <c r="A76" s="212" t="s">
        <v>165</v>
      </c>
      <c r="B76" s="213">
        <f>SUM(B72:B75)</f>
        <v>12.29</v>
      </c>
      <c r="C76" s="213">
        <f>SUM(C72:C75)</f>
        <v>17.490000000000002</v>
      </c>
      <c r="D76" s="213">
        <f>SUM(D72:D75)</f>
        <v>17.010000000000002</v>
      </c>
      <c r="E76" s="213">
        <f>AVERAGE(E72:E75)*4</f>
        <v>11.5</v>
      </c>
      <c r="F76" s="213"/>
    </row>
    <row r="77" spans="1:72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2" s="135" customFormat="1" ht="14.25" thickBot="1" x14ac:dyDescent="0.3">
      <c r="A78" s="217"/>
      <c r="B78" s="69">
        <v>201301</v>
      </c>
      <c r="C78" s="70">
        <v>201302</v>
      </c>
      <c r="D78" s="70">
        <v>201303</v>
      </c>
      <c r="E78" s="70">
        <v>201304</v>
      </c>
      <c r="F78" s="70">
        <v>201305</v>
      </c>
      <c r="G78" s="70">
        <v>201306</v>
      </c>
      <c r="H78" s="70">
        <v>201307</v>
      </c>
      <c r="I78" s="70">
        <v>201308</v>
      </c>
      <c r="J78" s="70">
        <v>201309</v>
      </c>
      <c r="K78" s="70">
        <v>201310</v>
      </c>
      <c r="L78" s="70">
        <v>201311</v>
      </c>
      <c r="M78" s="70">
        <v>201312</v>
      </c>
      <c r="N78" s="70">
        <v>201401</v>
      </c>
      <c r="O78" s="70">
        <v>201402</v>
      </c>
      <c r="P78" s="70">
        <v>201403</v>
      </c>
      <c r="Q78" s="70">
        <v>201404</v>
      </c>
      <c r="R78" s="70">
        <v>201405</v>
      </c>
      <c r="S78" s="70">
        <v>201406</v>
      </c>
      <c r="T78" s="70">
        <v>201407</v>
      </c>
      <c r="U78" s="70">
        <v>201408</v>
      </c>
      <c r="V78" s="70">
        <v>201409</v>
      </c>
      <c r="W78" s="70">
        <v>201410</v>
      </c>
      <c r="X78" s="70">
        <v>201411</v>
      </c>
      <c r="Y78" s="70">
        <v>201412</v>
      </c>
      <c r="Z78" s="70">
        <v>201501</v>
      </c>
      <c r="AA78" s="70">
        <v>201502</v>
      </c>
      <c r="AB78" s="70">
        <v>201503</v>
      </c>
      <c r="AC78" s="70">
        <v>201504</v>
      </c>
      <c r="AD78" s="70">
        <v>201505</v>
      </c>
      <c r="AE78" s="70">
        <v>201506</v>
      </c>
      <c r="AF78" s="70">
        <v>201507</v>
      </c>
      <c r="AG78" s="70">
        <v>201508</v>
      </c>
      <c r="AH78" s="70">
        <v>201509</v>
      </c>
      <c r="AI78" s="70">
        <v>201510</v>
      </c>
      <c r="AJ78" s="70">
        <v>201511</v>
      </c>
      <c r="AK78" s="70">
        <v>201512</v>
      </c>
      <c r="AL78" s="70">
        <v>201601</v>
      </c>
      <c r="AM78" s="70">
        <v>201602</v>
      </c>
      <c r="AN78" s="70">
        <v>201603</v>
      </c>
      <c r="AO78" s="70">
        <v>201604</v>
      </c>
      <c r="AP78" s="70">
        <v>201605</v>
      </c>
      <c r="AQ78" s="70">
        <v>201606</v>
      </c>
      <c r="AR78" s="70">
        <v>201607</v>
      </c>
      <c r="AS78" s="70">
        <v>201608</v>
      </c>
      <c r="AT78" s="70">
        <v>201609</v>
      </c>
      <c r="AU78" s="70">
        <v>201610</v>
      </c>
      <c r="AV78" s="70">
        <v>201611</v>
      </c>
      <c r="AW78" s="70">
        <v>201612</v>
      </c>
      <c r="AX78" s="70">
        <v>201701</v>
      </c>
      <c r="AY78" s="70">
        <v>201702</v>
      </c>
      <c r="AZ78" s="70">
        <v>201703</v>
      </c>
      <c r="BA78" s="70">
        <v>201704</v>
      </c>
      <c r="BB78" s="70">
        <v>201705</v>
      </c>
      <c r="BC78" s="70">
        <v>201706</v>
      </c>
      <c r="BD78" s="70">
        <v>201707</v>
      </c>
      <c r="BE78" s="70">
        <v>201708</v>
      </c>
      <c r="BF78" s="70">
        <v>201709</v>
      </c>
      <c r="BG78" s="70">
        <v>201710</v>
      </c>
      <c r="BH78" s="70">
        <v>201711</v>
      </c>
      <c r="BI78" s="70">
        <v>201712</v>
      </c>
      <c r="BJ78" s="71">
        <v>201801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0">
        <v>201710</v>
      </c>
      <c r="BT78" s="71">
        <v>201711</v>
      </c>
    </row>
    <row r="79" spans="1:72" ht="14.25" thickBot="1" x14ac:dyDescent="0.3">
      <c r="A79" s="222" t="s">
        <v>9</v>
      </c>
      <c r="B79" s="270">
        <v>129888</v>
      </c>
      <c r="C79" s="270">
        <v>76211</v>
      </c>
      <c r="D79" s="270">
        <v>74029</v>
      </c>
      <c r="E79" s="270">
        <v>74775</v>
      </c>
      <c r="F79" s="270">
        <v>76168</v>
      </c>
      <c r="G79" s="270">
        <v>80885</v>
      </c>
      <c r="H79" s="270">
        <v>85961</v>
      </c>
      <c r="I79" s="270">
        <v>85464</v>
      </c>
      <c r="J79" s="270">
        <v>106036</v>
      </c>
      <c r="K79" s="270">
        <v>88297</v>
      </c>
      <c r="L79" s="270">
        <v>99351</v>
      </c>
      <c r="M79" s="270">
        <v>102085</v>
      </c>
      <c r="N79" s="270">
        <v>71755</v>
      </c>
      <c r="O79" s="270">
        <v>76515</v>
      </c>
      <c r="P79" s="270">
        <v>96198</v>
      </c>
      <c r="Q79" s="270">
        <v>141402</v>
      </c>
      <c r="R79" s="270">
        <v>110220</v>
      </c>
      <c r="S79" s="270">
        <v>115921</v>
      </c>
      <c r="T79" s="270">
        <v>129970</v>
      </c>
      <c r="U79" s="270">
        <v>140974</v>
      </c>
      <c r="V79" s="270">
        <v>135538</v>
      </c>
      <c r="W79" s="270">
        <v>130950</v>
      </c>
      <c r="X79" s="270">
        <v>139544</v>
      </c>
      <c r="Y79" s="270">
        <v>139493</v>
      </c>
      <c r="Z79" s="270">
        <v>133070</v>
      </c>
      <c r="AA79" s="270">
        <v>99966</v>
      </c>
      <c r="AB79" s="270">
        <v>152875</v>
      </c>
      <c r="AC79" s="270">
        <v>125645</v>
      </c>
      <c r="AD79" s="270">
        <v>132639</v>
      </c>
      <c r="AE79" s="270">
        <v>143867</v>
      </c>
      <c r="AF79" s="270">
        <v>151265</v>
      </c>
      <c r="AG79" s="270">
        <v>156323</v>
      </c>
      <c r="AH79" s="270">
        <v>155316</v>
      </c>
      <c r="AI79" s="270">
        <v>182608</v>
      </c>
      <c r="AJ79" s="270">
        <v>171642</v>
      </c>
      <c r="AK79" s="270">
        <v>161094</v>
      </c>
      <c r="AL79" s="270">
        <v>163088</v>
      </c>
      <c r="AM79" s="270">
        <v>70377</v>
      </c>
      <c r="AN79" s="270">
        <v>123846</v>
      </c>
      <c r="AO79" s="270">
        <v>152645</v>
      </c>
      <c r="AP79" s="270">
        <v>152809</v>
      </c>
      <c r="AQ79" s="270">
        <v>141568</v>
      </c>
      <c r="AR79" s="270">
        <v>167320</v>
      </c>
      <c r="AS79" s="270">
        <v>183692</v>
      </c>
      <c r="AT79" s="270">
        <v>176481</v>
      </c>
      <c r="AU79" s="270">
        <v>165897</v>
      </c>
      <c r="AV79" s="270">
        <v>203150</v>
      </c>
      <c r="AW79" s="270">
        <v>182456</v>
      </c>
      <c r="AX79" s="270">
        <v>157658</v>
      </c>
      <c r="AY79" s="270">
        <v>110672</v>
      </c>
      <c r="AZ79" s="270">
        <v>156825</v>
      </c>
      <c r="BA79" s="270">
        <v>124035</v>
      </c>
      <c r="BB79" s="270">
        <v>172251</v>
      </c>
      <c r="BC79" s="270">
        <v>174449</v>
      </c>
      <c r="BD79" s="270">
        <v>155474</v>
      </c>
      <c r="BE79" s="270">
        <v>162689</v>
      </c>
      <c r="BF79" s="270">
        <v>181857</v>
      </c>
      <c r="BG79" s="270">
        <v>139467</v>
      </c>
      <c r="BH79" s="270">
        <v>176577</v>
      </c>
      <c r="BI79" s="270">
        <v>178127</v>
      </c>
      <c r="BJ79" s="270">
        <v>140028</v>
      </c>
      <c r="BK79" s="270">
        <v>110672</v>
      </c>
      <c r="BL79" s="270">
        <v>156825</v>
      </c>
      <c r="BM79" s="270">
        <v>124035</v>
      </c>
      <c r="BN79" s="270">
        <v>172251</v>
      </c>
      <c r="BO79" s="270">
        <v>174449</v>
      </c>
      <c r="BP79" s="270">
        <v>155474</v>
      </c>
      <c r="BQ79" s="270">
        <v>162689</v>
      </c>
      <c r="BR79" s="270">
        <v>181857</v>
      </c>
      <c r="BS79" s="270">
        <v>139467</v>
      </c>
      <c r="BT79" s="270">
        <v>176577</v>
      </c>
    </row>
    <row r="80" spans="1:72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-0.28999999999999998</v>
      </c>
      <c r="C82" s="72">
        <v>0.78</v>
      </c>
      <c r="D82" s="72">
        <v>0.32</v>
      </c>
      <c r="E82" s="72">
        <v>0.52</v>
      </c>
      <c r="F82" s="72">
        <v>0.43</v>
      </c>
      <c r="G82" s="72">
        <v>0.57999999999999996</v>
      </c>
      <c r="H82" s="72">
        <v>0.47</v>
      </c>
      <c r="I82" s="72">
        <v>0.54</v>
      </c>
      <c r="J82" s="72">
        <v>0.26</v>
      </c>
      <c r="K82" s="72">
        <v>0.64</v>
      </c>
      <c r="L82" s="72">
        <v>1.25</v>
      </c>
      <c r="M82" s="72">
        <v>1.1599999999999999</v>
      </c>
      <c r="N82" s="72">
        <v>0.75</v>
      </c>
      <c r="O82" s="72">
        <v>0.6</v>
      </c>
      <c r="P82" s="72">
        <v>1.39</v>
      </c>
      <c r="Q82" s="72">
        <v>1.18</v>
      </c>
      <c r="R82" s="72">
        <v>0.1</v>
      </c>
      <c r="S82" s="72">
        <v>0.56999999999999995</v>
      </c>
      <c r="T82" s="72">
        <v>0.67</v>
      </c>
      <c r="U82" s="72">
        <v>1.26</v>
      </c>
      <c r="V82" s="72">
        <v>0.3</v>
      </c>
      <c r="W82" s="72">
        <v>0.7</v>
      </c>
      <c r="X82" s="72">
        <v>0.79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14.13</v>
      </c>
      <c r="C85" s="72">
        <v>14.99</v>
      </c>
      <c r="D85" s="72">
        <v>15</v>
      </c>
      <c r="E85" s="72">
        <v>15.7</v>
      </c>
      <c r="F85" s="72">
        <v>16.28</v>
      </c>
      <c r="G85" s="72">
        <v>16.37</v>
      </c>
      <c r="H85" s="72">
        <v>16.579999999999998</v>
      </c>
      <c r="I85" s="72">
        <v>17.440000000000001</v>
      </c>
      <c r="J85" s="72">
        <v>17.760000000000002</v>
      </c>
      <c r="K85" s="72">
        <v>17.91</v>
      </c>
      <c r="L85" s="72">
        <v>19.32</v>
      </c>
      <c r="M85" s="72">
        <v>20.79</v>
      </c>
      <c r="N85" s="72">
        <v>22.33</v>
      </c>
      <c r="O85" s="72">
        <v>21.7</v>
      </c>
      <c r="P85" s="72">
        <v>23.48</v>
      </c>
      <c r="Q85" s="72">
        <v>24.4</v>
      </c>
      <c r="R85" s="72">
        <v>24.46</v>
      </c>
      <c r="S85" s="72">
        <v>22.42</v>
      </c>
      <c r="T85" s="72">
        <v>21.95</v>
      </c>
      <c r="U85" s="72">
        <v>22.78</v>
      </c>
      <c r="V85" s="72">
        <v>22.76</v>
      </c>
      <c r="W85" s="72">
        <v>22</v>
      </c>
      <c r="X85" s="72">
        <v>22.79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220289</v>
      </c>
      <c r="C88" s="273">
        <v>312484</v>
      </c>
      <c r="D88" s="273">
        <v>331796</v>
      </c>
      <c r="E88" s="273">
        <v>330320</v>
      </c>
      <c r="F88" s="273">
        <v>281030</v>
      </c>
      <c r="G88" s="273">
        <v>237574</v>
      </c>
      <c r="H88" s="273">
        <v>265650</v>
      </c>
      <c r="I88" s="273">
        <v>286808</v>
      </c>
      <c r="J88" s="273">
        <v>244505</v>
      </c>
      <c r="K88" s="273">
        <v>366332</v>
      </c>
      <c r="L88" s="273">
        <v>405972</v>
      </c>
      <c r="M88" s="273">
        <v>410991</v>
      </c>
      <c r="N88" s="273">
        <v>385738</v>
      </c>
      <c r="O88" s="273">
        <v>397717</v>
      </c>
      <c r="P88" s="273">
        <v>467132</v>
      </c>
      <c r="Q88" s="273">
        <v>519430</v>
      </c>
      <c r="R88" s="273">
        <v>357116</v>
      </c>
      <c r="S88" s="273">
        <v>444961</v>
      </c>
      <c r="T88" s="273">
        <v>517587</v>
      </c>
      <c r="U88" s="273">
        <v>563889</v>
      </c>
      <c r="V88" s="273">
        <v>425155</v>
      </c>
      <c r="W88" s="273">
        <v>470736</v>
      </c>
      <c r="X88" s="273">
        <v>500018</v>
      </c>
    </row>
    <row r="89" spans="1:25" ht="14.25" thickBot="1" x14ac:dyDescent="0.3">
      <c r="A89" s="250" t="s">
        <v>4</v>
      </c>
      <c r="B89" s="275">
        <v>75371</v>
      </c>
      <c r="C89" s="275">
        <v>130720</v>
      </c>
      <c r="D89" s="275">
        <v>118407</v>
      </c>
      <c r="E89" s="275">
        <v>134190</v>
      </c>
      <c r="F89" s="275">
        <v>108819</v>
      </c>
      <c r="G89" s="275">
        <v>88525</v>
      </c>
      <c r="H89" s="275">
        <v>115171</v>
      </c>
      <c r="I89" s="275">
        <v>123861</v>
      </c>
      <c r="J89" s="275">
        <v>86322</v>
      </c>
      <c r="K89" s="275">
        <v>141522</v>
      </c>
      <c r="L89" s="275">
        <v>174833</v>
      </c>
      <c r="M89" s="275">
        <v>164984</v>
      </c>
      <c r="N89" s="275">
        <v>152189</v>
      </c>
      <c r="O89" s="275">
        <v>153212</v>
      </c>
      <c r="P89" s="275">
        <v>184334</v>
      </c>
      <c r="Q89" s="275">
        <v>208438</v>
      </c>
      <c r="R89" s="275">
        <v>129656</v>
      </c>
      <c r="S89" s="275">
        <v>156666</v>
      </c>
      <c r="T89" s="275">
        <v>189485</v>
      </c>
      <c r="U89" s="275">
        <v>218529</v>
      </c>
      <c r="V89" s="275">
        <v>160707</v>
      </c>
      <c r="W89" s="275">
        <v>181219</v>
      </c>
      <c r="X89" s="275">
        <v>190851</v>
      </c>
    </row>
    <row r="90" spans="1:25" ht="14.25" thickBot="1" x14ac:dyDescent="0.3">
      <c r="A90" s="251" t="s">
        <v>5</v>
      </c>
      <c r="B90" s="273">
        <v>-7603</v>
      </c>
      <c r="C90" s="273">
        <v>41831</v>
      </c>
      <c r="D90" s="273">
        <v>29484</v>
      </c>
      <c r="E90" s="273">
        <v>40595</v>
      </c>
      <c r="F90" s="273">
        <v>19963</v>
      </c>
      <c r="G90" s="273">
        <v>6325</v>
      </c>
      <c r="H90" s="273">
        <v>34654</v>
      </c>
      <c r="I90" s="273">
        <v>33893</v>
      </c>
      <c r="J90" s="273">
        <v>7923</v>
      </c>
      <c r="K90" s="273">
        <v>50016</v>
      </c>
      <c r="L90" s="273">
        <v>75572</v>
      </c>
      <c r="M90" s="273">
        <v>60271</v>
      </c>
      <c r="N90" s="273">
        <v>52128</v>
      </c>
      <c r="O90" s="273">
        <v>46297</v>
      </c>
      <c r="P90" s="273">
        <v>65973</v>
      </c>
      <c r="Q90" s="273">
        <v>87121</v>
      </c>
      <c r="R90" s="273">
        <v>17638</v>
      </c>
      <c r="S90" s="273">
        <v>30703</v>
      </c>
      <c r="T90" s="273">
        <v>70645</v>
      </c>
      <c r="U90" s="273">
        <v>85715</v>
      </c>
      <c r="V90" s="273">
        <v>49522</v>
      </c>
      <c r="W90" s="273">
        <v>53234</v>
      </c>
      <c r="X90" s="273">
        <v>61215</v>
      </c>
    </row>
    <row r="91" spans="1:25" ht="14.25" thickBot="1" x14ac:dyDescent="0.3">
      <c r="A91" s="250" t="s">
        <v>6</v>
      </c>
      <c r="B91" s="275">
        <v>-14521</v>
      </c>
      <c r="C91" s="275">
        <v>42547</v>
      </c>
      <c r="D91" s="275">
        <v>18254</v>
      </c>
      <c r="E91" s="275">
        <v>30895</v>
      </c>
      <c r="F91" s="275">
        <v>26782</v>
      </c>
      <c r="G91" s="275">
        <v>30468</v>
      </c>
      <c r="H91" s="275">
        <v>29644</v>
      </c>
      <c r="I91" s="275">
        <v>36856</v>
      </c>
      <c r="J91" s="275">
        <v>14813</v>
      </c>
      <c r="K91" s="275">
        <v>46457</v>
      </c>
      <c r="L91" s="275">
        <v>78999</v>
      </c>
      <c r="M91" s="275">
        <v>75675</v>
      </c>
      <c r="N91" s="275">
        <v>48562</v>
      </c>
      <c r="O91" s="275">
        <v>43843</v>
      </c>
      <c r="P91" s="275">
        <v>101312</v>
      </c>
      <c r="Q91" s="275">
        <v>90281</v>
      </c>
      <c r="R91" s="275">
        <v>6651</v>
      </c>
      <c r="S91" s="275">
        <v>38587</v>
      </c>
      <c r="T91" s="275">
        <v>57151</v>
      </c>
      <c r="U91" s="275">
        <v>102552</v>
      </c>
      <c r="V91" s="275">
        <v>24078</v>
      </c>
      <c r="W91" s="275">
        <v>56134</v>
      </c>
      <c r="X91" s="275">
        <v>59400</v>
      </c>
    </row>
    <row r="92" spans="1:25" ht="14.25" thickBot="1" x14ac:dyDescent="0.3">
      <c r="A92" s="251" t="s">
        <v>7</v>
      </c>
      <c r="B92" s="273">
        <v>-12923</v>
      </c>
      <c r="C92" s="273">
        <v>36762</v>
      </c>
      <c r="D92" s="273">
        <v>15058</v>
      </c>
      <c r="E92" s="273">
        <v>24635</v>
      </c>
      <c r="F92" s="273">
        <v>20581</v>
      </c>
      <c r="G92" s="273">
        <v>28097</v>
      </c>
      <c r="H92" s="273">
        <v>22965</v>
      </c>
      <c r="I92" s="273">
        <v>26272</v>
      </c>
      <c r="J92" s="273">
        <v>12836</v>
      </c>
      <c r="K92" s="273">
        <v>31594</v>
      </c>
      <c r="L92" s="273">
        <v>63055</v>
      </c>
      <c r="M92" s="273">
        <v>57970</v>
      </c>
      <c r="N92" s="273">
        <v>39147</v>
      </c>
      <c r="O92" s="273">
        <v>32823</v>
      </c>
      <c r="P92" s="273">
        <v>81223</v>
      </c>
      <c r="Q92" s="273">
        <v>66211</v>
      </c>
      <c r="R92" s="273">
        <v>5976</v>
      </c>
      <c r="S92" s="273">
        <v>34147</v>
      </c>
      <c r="T92" s="273">
        <v>41489</v>
      </c>
      <c r="U92" s="273">
        <v>77767</v>
      </c>
      <c r="V92" s="273">
        <v>18333</v>
      </c>
      <c r="W92" s="273">
        <v>43146</v>
      </c>
      <c r="X92" s="273">
        <v>49297</v>
      </c>
    </row>
    <row r="93" spans="1:25" ht="26.25" thickBot="1" x14ac:dyDescent="0.3">
      <c r="A93" s="252" t="s">
        <v>8</v>
      </c>
      <c r="B93" s="276">
        <v>-12923</v>
      </c>
      <c r="C93" s="276">
        <v>36762</v>
      </c>
      <c r="D93" s="276">
        <v>15058</v>
      </c>
      <c r="E93" s="276">
        <v>24635</v>
      </c>
      <c r="F93" s="276">
        <v>20581</v>
      </c>
      <c r="G93" s="276">
        <v>28097</v>
      </c>
      <c r="H93" s="276">
        <v>22965</v>
      </c>
      <c r="I93" s="276">
        <v>26272</v>
      </c>
      <c r="J93" s="276">
        <v>12836</v>
      </c>
      <c r="K93" s="276">
        <v>31594</v>
      </c>
      <c r="L93" s="276">
        <v>63055</v>
      </c>
      <c r="M93" s="276">
        <v>57970</v>
      </c>
      <c r="N93" s="276">
        <v>39147</v>
      </c>
      <c r="O93" s="276">
        <v>32823</v>
      </c>
      <c r="P93" s="276">
        <v>81223</v>
      </c>
      <c r="Q93" s="276">
        <v>66211</v>
      </c>
      <c r="R93" s="276">
        <v>5976</v>
      </c>
      <c r="S93" s="276">
        <v>34147</v>
      </c>
      <c r="T93" s="276">
        <v>41489</v>
      </c>
      <c r="U93" s="276">
        <v>77767</v>
      </c>
      <c r="V93" s="276">
        <v>18333</v>
      </c>
      <c r="W93" s="276">
        <v>43208</v>
      </c>
      <c r="X93" s="276">
        <v>49603</v>
      </c>
    </row>
    <row r="94" spans="1:25" x14ac:dyDescent="0.25">
      <c r="A94" s="233" t="s">
        <v>365</v>
      </c>
      <c r="B94" s="253">
        <f>IF(B91="","",B91-B90)</f>
        <v>-6918</v>
      </c>
      <c r="C94" s="253">
        <f>IF(C91="","",C91-C90)</f>
        <v>716</v>
      </c>
      <c r="D94" s="253">
        <f t="shared" ref="D94:X94" si="9">IF(D91="","",D91-D90)</f>
        <v>-11230</v>
      </c>
      <c r="E94" s="253">
        <f t="shared" si="9"/>
        <v>-9700</v>
      </c>
      <c r="F94" s="253">
        <f t="shared" si="9"/>
        <v>6819</v>
      </c>
      <c r="G94" s="253">
        <f t="shared" si="9"/>
        <v>24143</v>
      </c>
      <c r="H94" s="253">
        <f t="shared" si="9"/>
        <v>-5010</v>
      </c>
      <c r="I94" s="253">
        <f t="shared" si="9"/>
        <v>2963</v>
      </c>
      <c r="J94" s="253">
        <f t="shared" si="9"/>
        <v>6890</v>
      </c>
      <c r="K94" s="253">
        <f t="shared" si="9"/>
        <v>-3559</v>
      </c>
      <c r="L94" s="253">
        <f t="shared" si="9"/>
        <v>3427</v>
      </c>
      <c r="M94" s="253">
        <f t="shared" si="9"/>
        <v>15404</v>
      </c>
      <c r="N94" s="253">
        <f t="shared" si="9"/>
        <v>-3566</v>
      </c>
      <c r="O94" s="253">
        <f t="shared" si="9"/>
        <v>-2454</v>
      </c>
      <c r="P94" s="253">
        <f t="shared" si="9"/>
        <v>35339</v>
      </c>
      <c r="Q94" s="253">
        <f t="shared" si="9"/>
        <v>3160</v>
      </c>
      <c r="R94" s="253">
        <f t="shared" si="9"/>
        <v>-10987</v>
      </c>
      <c r="S94" s="253">
        <f t="shared" si="9"/>
        <v>7884</v>
      </c>
      <c r="T94" s="253">
        <f t="shared" si="9"/>
        <v>-13494</v>
      </c>
      <c r="U94" s="253">
        <f t="shared" si="9"/>
        <v>16837</v>
      </c>
      <c r="V94" s="253">
        <f t="shared" si="9"/>
        <v>-25444</v>
      </c>
      <c r="W94" s="253">
        <f t="shared" si="9"/>
        <v>2900</v>
      </c>
      <c r="X94" s="253">
        <f t="shared" si="9"/>
        <v>-1815</v>
      </c>
      <c r="Y94" s="253"/>
    </row>
    <row r="95" spans="1:25" s="93" customFormat="1" x14ac:dyDescent="0.25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238">
        <v>2012</v>
      </c>
      <c r="C96" s="239">
        <v>2013</v>
      </c>
      <c r="D96" s="239">
        <v>2014</v>
      </c>
      <c r="E96" s="239">
        <v>2015</v>
      </c>
      <c r="F96" s="240">
        <v>2016</v>
      </c>
    </row>
    <row r="97" spans="1:24" ht="14.25" thickBot="1" x14ac:dyDescent="0.3">
      <c r="A97" s="224" t="s">
        <v>3</v>
      </c>
      <c r="B97" s="242">
        <v>1194889</v>
      </c>
      <c r="C97" s="242">
        <v>1071062</v>
      </c>
      <c r="D97" s="242">
        <v>1427800</v>
      </c>
      <c r="E97" s="242">
        <v>1770017</v>
      </c>
      <c r="F97" s="242">
        <v>1883553</v>
      </c>
    </row>
    <row r="98" spans="1:24" ht="14.25" thickBot="1" x14ac:dyDescent="0.3">
      <c r="A98" s="225" t="s">
        <v>4</v>
      </c>
      <c r="B98" s="243">
        <v>458688</v>
      </c>
      <c r="C98" s="243">
        <v>436376</v>
      </c>
      <c r="D98" s="243">
        <v>567661</v>
      </c>
      <c r="E98" s="243">
        <v>698173</v>
      </c>
      <c r="F98" s="243">
        <v>694336</v>
      </c>
    </row>
    <row r="99" spans="1:24" ht="14.25" thickBot="1" x14ac:dyDescent="0.3">
      <c r="A99" s="224" t="s">
        <v>5</v>
      </c>
      <c r="B99" s="242">
        <v>104307</v>
      </c>
      <c r="C99" s="242">
        <v>94835</v>
      </c>
      <c r="D99" s="242">
        <v>193782</v>
      </c>
      <c r="E99" s="242">
        <v>251519</v>
      </c>
      <c r="F99" s="242">
        <v>204701</v>
      </c>
    </row>
    <row r="100" spans="1:24" ht="14.25" thickBot="1" x14ac:dyDescent="0.3">
      <c r="A100" s="225" t="s">
        <v>6</v>
      </c>
      <c r="B100" s="243">
        <v>77175</v>
      </c>
      <c r="C100" s="243">
        <v>123750</v>
      </c>
      <c r="D100" s="243">
        <v>215944</v>
      </c>
      <c r="E100" s="243">
        <v>283998</v>
      </c>
      <c r="F100" s="243">
        <v>204941</v>
      </c>
    </row>
    <row r="101" spans="1:24" ht="14.25" thickBot="1" x14ac:dyDescent="0.3">
      <c r="A101" s="224" t="s">
        <v>7</v>
      </c>
      <c r="B101" s="242">
        <v>63532</v>
      </c>
      <c r="C101" s="242">
        <v>97915</v>
      </c>
      <c r="D101" s="242">
        <v>165455</v>
      </c>
      <c r="E101" s="242">
        <v>219404</v>
      </c>
      <c r="F101" s="242">
        <v>159379</v>
      </c>
    </row>
    <row r="102" spans="1:24" x14ac:dyDescent="0.25">
      <c r="A102" s="227" t="s">
        <v>8</v>
      </c>
      <c r="B102" s="245">
        <v>63532</v>
      </c>
      <c r="C102" s="245">
        <v>97915</v>
      </c>
      <c r="D102" s="245">
        <v>165455</v>
      </c>
      <c r="E102" s="245">
        <v>219404</v>
      </c>
      <c r="F102" s="245">
        <v>159379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209020</v>
      </c>
      <c r="C106" s="273">
        <v>208275</v>
      </c>
      <c r="D106" s="273">
        <v>412730</v>
      </c>
      <c r="E106" s="273">
        <v>384417</v>
      </c>
      <c r="F106" s="273">
        <v>335144</v>
      </c>
      <c r="G106" s="273">
        <v>348695</v>
      </c>
      <c r="H106" s="273">
        <v>272818</v>
      </c>
      <c r="I106" s="273">
        <v>445725</v>
      </c>
      <c r="J106" s="273">
        <v>338812</v>
      </c>
      <c r="K106" s="273">
        <v>345183</v>
      </c>
      <c r="L106" s="273">
        <v>311861</v>
      </c>
      <c r="M106" s="273">
        <v>635780</v>
      </c>
      <c r="N106" s="273">
        <v>562384</v>
      </c>
      <c r="O106" s="273">
        <v>665775</v>
      </c>
      <c r="P106" s="273">
        <v>732697</v>
      </c>
      <c r="Q106" s="273">
        <v>665683</v>
      </c>
      <c r="R106" s="273">
        <v>727016</v>
      </c>
      <c r="S106" s="273">
        <v>672284</v>
      </c>
      <c r="T106" s="273">
        <v>500731</v>
      </c>
      <c r="U106" s="273">
        <v>603918</v>
      </c>
      <c r="V106" s="273">
        <v>651411</v>
      </c>
      <c r="W106" s="273">
        <v>734894</v>
      </c>
      <c r="X106" s="273">
        <v>501754</v>
      </c>
    </row>
    <row r="107" spans="1:24" ht="14.25" thickBot="1" x14ac:dyDescent="0.3">
      <c r="A107" s="225" t="s">
        <v>22</v>
      </c>
      <c r="B107" s="275">
        <v>12153</v>
      </c>
      <c r="C107" s="275">
        <v>12355</v>
      </c>
      <c r="D107" s="275">
        <v>12148</v>
      </c>
      <c r="E107" s="275">
        <v>25580</v>
      </c>
      <c r="F107" s="275">
        <v>65194</v>
      </c>
      <c r="G107" s="275">
        <v>83125</v>
      </c>
      <c r="H107" s="275">
        <v>196338</v>
      </c>
      <c r="I107" s="275">
        <v>78244</v>
      </c>
      <c r="J107" s="275">
        <v>144541</v>
      </c>
      <c r="K107" s="275">
        <v>142229</v>
      </c>
      <c r="L107" s="275">
        <v>107735</v>
      </c>
      <c r="M107" s="275">
        <v>3602</v>
      </c>
      <c r="N107" s="275">
        <v>53917</v>
      </c>
      <c r="O107" s="275">
        <v>53695</v>
      </c>
      <c r="P107" s="275">
        <v>3328</v>
      </c>
      <c r="Q107" s="275">
        <v>3351</v>
      </c>
      <c r="R107" s="275">
        <v>3351</v>
      </c>
      <c r="S107" s="274">
        <v>780</v>
      </c>
      <c r="T107" s="274">
        <v>780</v>
      </c>
      <c r="U107" s="274">
        <v>829</v>
      </c>
      <c r="V107" s="274">
        <v>922</v>
      </c>
      <c r="W107" s="275">
        <v>31070</v>
      </c>
      <c r="X107" s="275">
        <v>30515</v>
      </c>
    </row>
    <row r="108" spans="1:24" ht="14.25" thickBot="1" x14ac:dyDescent="0.3">
      <c r="A108" s="224" t="s">
        <v>263</v>
      </c>
      <c r="B108" s="273">
        <v>382959</v>
      </c>
      <c r="C108" s="273">
        <v>491761</v>
      </c>
      <c r="D108" s="273">
        <v>497559</v>
      </c>
      <c r="E108" s="273">
        <v>467921</v>
      </c>
      <c r="F108" s="273">
        <v>418950</v>
      </c>
      <c r="G108" s="273">
        <v>356574</v>
      </c>
      <c r="H108" s="273">
        <v>359854</v>
      </c>
      <c r="I108" s="273">
        <v>377210</v>
      </c>
      <c r="J108" s="273">
        <v>304279</v>
      </c>
      <c r="K108" s="273">
        <v>403106</v>
      </c>
      <c r="L108" s="273">
        <v>495272</v>
      </c>
      <c r="M108" s="273">
        <v>517922</v>
      </c>
      <c r="N108" s="273">
        <v>444789</v>
      </c>
      <c r="O108" s="273">
        <v>445038</v>
      </c>
      <c r="P108" s="273">
        <v>564380</v>
      </c>
      <c r="Q108" s="273">
        <v>616299</v>
      </c>
      <c r="R108" s="273">
        <v>513727</v>
      </c>
      <c r="S108" s="273">
        <v>582321</v>
      </c>
      <c r="T108" s="273">
        <v>677463</v>
      </c>
      <c r="U108" s="273">
        <v>748114</v>
      </c>
      <c r="V108" s="273">
        <v>651314</v>
      </c>
      <c r="W108" s="273">
        <v>623348</v>
      </c>
      <c r="X108" s="273">
        <v>647851</v>
      </c>
    </row>
    <row r="109" spans="1:24" ht="14.25" thickBot="1" x14ac:dyDescent="0.3">
      <c r="A109" s="225" t="s">
        <v>264</v>
      </c>
      <c r="B109" s="275">
        <v>123779</v>
      </c>
      <c r="C109" s="275">
        <v>107419</v>
      </c>
      <c r="D109" s="275">
        <v>156204</v>
      </c>
      <c r="E109" s="275">
        <v>132475</v>
      </c>
      <c r="F109" s="275">
        <v>136157</v>
      </c>
      <c r="G109" s="275">
        <v>132396</v>
      </c>
      <c r="H109" s="275">
        <v>138387</v>
      </c>
      <c r="I109" s="275">
        <v>135331</v>
      </c>
      <c r="J109" s="275">
        <v>132010</v>
      </c>
      <c r="K109" s="275">
        <v>142895</v>
      </c>
      <c r="L109" s="275">
        <v>132131</v>
      </c>
      <c r="M109" s="275">
        <v>141923</v>
      </c>
      <c r="N109" s="275">
        <v>171094</v>
      </c>
      <c r="O109" s="275">
        <v>168817</v>
      </c>
      <c r="P109" s="275">
        <v>193529</v>
      </c>
      <c r="Q109" s="275">
        <v>188449</v>
      </c>
      <c r="R109" s="275">
        <v>193721</v>
      </c>
      <c r="S109" s="275">
        <v>193883</v>
      </c>
      <c r="T109" s="275">
        <v>194271</v>
      </c>
      <c r="U109" s="275">
        <v>225923</v>
      </c>
      <c r="V109" s="275">
        <v>198516</v>
      </c>
      <c r="W109" s="275">
        <v>209459</v>
      </c>
      <c r="X109" s="275">
        <v>190647</v>
      </c>
    </row>
    <row r="110" spans="1:24" ht="14.25" thickBot="1" x14ac:dyDescent="0.3">
      <c r="A110" s="224" t="s">
        <v>23</v>
      </c>
      <c r="B110" s="273">
        <v>79188</v>
      </c>
      <c r="C110" s="273">
        <v>82347</v>
      </c>
      <c r="D110" s="273">
        <v>105357</v>
      </c>
      <c r="E110" s="273">
        <v>84040</v>
      </c>
      <c r="F110" s="273">
        <v>73977</v>
      </c>
      <c r="G110" s="273">
        <v>152457</v>
      </c>
      <c r="H110" s="273">
        <v>163547</v>
      </c>
      <c r="I110" s="273">
        <v>147152</v>
      </c>
      <c r="J110" s="273">
        <v>289604</v>
      </c>
      <c r="K110" s="273">
        <v>133815</v>
      </c>
      <c r="L110" s="273">
        <v>210331</v>
      </c>
      <c r="M110" s="273">
        <v>101045</v>
      </c>
      <c r="N110" s="273">
        <v>212712</v>
      </c>
      <c r="O110" s="273">
        <v>112081</v>
      </c>
      <c r="P110" s="273">
        <v>146646</v>
      </c>
      <c r="Q110" s="273">
        <v>200916</v>
      </c>
      <c r="R110" s="273">
        <v>170547</v>
      </c>
      <c r="S110" s="273">
        <v>165150</v>
      </c>
      <c r="T110" s="273">
        <v>175851</v>
      </c>
      <c r="U110" s="273">
        <v>104707</v>
      </c>
      <c r="V110" s="273">
        <v>98704</v>
      </c>
      <c r="W110" s="273">
        <v>103717</v>
      </c>
      <c r="X110" s="273">
        <v>304090</v>
      </c>
    </row>
    <row r="111" spans="1:24" ht="14.25" thickBot="1" x14ac:dyDescent="0.3">
      <c r="A111" s="225" t="s">
        <v>24</v>
      </c>
      <c r="B111" s="275">
        <v>807099</v>
      </c>
      <c r="C111" s="275">
        <v>902157</v>
      </c>
      <c r="D111" s="275">
        <v>1183998</v>
      </c>
      <c r="E111" s="275">
        <v>1094433</v>
      </c>
      <c r="F111" s="275">
        <v>1029422</v>
      </c>
      <c r="G111" s="275">
        <v>1073247</v>
      </c>
      <c r="H111" s="275">
        <v>1130944</v>
      </c>
      <c r="I111" s="275">
        <v>1183662</v>
      </c>
      <c r="J111" s="275">
        <v>1209246</v>
      </c>
      <c r="K111" s="275">
        <v>1167228</v>
      </c>
      <c r="L111" s="275">
        <v>1257330</v>
      </c>
      <c r="M111" s="275">
        <v>1400272</v>
      </c>
      <c r="N111" s="275">
        <v>1444896</v>
      </c>
      <c r="O111" s="275">
        <v>1445406</v>
      </c>
      <c r="P111" s="275">
        <v>1640580</v>
      </c>
      <c r="Q111" s="275">
        <v>1674698</v>
      </c>
      <c r="R111" s="275">
        <v>1608362</v>
      </c>
      <c r="S111" s="275">
        <v>1614418</v>
      </c>
      <c r="T111" s="275">
        <v>1549096</v>
      </c>
      <c r="U111" s="275">
        <v>1683491</v>
      </c>
      <c r="V111" s="275">
        <v>1600867</v>
      </c>
      <c r="W111" s="275">
        <v>1702488</v>
      </c>
      <c r="X111" s="275">
        <v>1674857</v>
      </c>
    </row>
    <row r="112" spans="1:24" ht="14.25" thickBot="1" x14ac:dyDescent="0.3">
      <c r="A112" s="224" t="s">
        <v>25</v>
      </c>
      <c r="B112" s="273">
        <v>86155</v>
      </c>
      <c r="C112" s="273">
        <v>81905</v>
      </c>
      <c r="D112" s="273">
        <v>76925</v>
      </c>
      <c r="E112" s="273">
        <v>74874</v>
      </c>
      <c r="F112" s="273">
        <v>74896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201197</v>
      </c>
      <c r="C113" s="275">
        <v>217575</v>
      </c>
      <c r="D113" s="275">
        <v>263669</v>
      </c>
      <c r="E113" s="275">
        <v>313465</v>
      </c>
      <c r="F113" s="275">
        <v>302274</v>
      </c>
      <c r="G113" s="275">
        <v>339951</v>
      </c>
      <c r="H113" s="275">
        <v>331424</v>
      </c>
      <c r="I113" s="275">
        <v>324658</v>
      </c>
      <c r="J113" s="275">
        <v>312751</v>
      </c>
      <c r="K113" s="275">
        <v>300124</v>
      </c>
      <c r="L113" s="275">
        <v>294943</v>
      </c>
      <c r="M113" s="275">
        <v>312404</v>
      </c>
      <c r="N113" s="275">
        <v>303155</v>
      </c>
      <c r="O113" s="275">
        <v>309902</v>
      </c>
      <c r="P113" s="275">
        <v>304376</v>
      </c>
      <c r="Q113" s="275">
        <v>290963</v>
      </c>
      <c r="R113" s="275">
        <v>291276</v>
      </c>
      <c r="S113" s="275">
        <v>285349</v>
      </c>
      <c r="T113" s="275">
        <v>280804</v>
      </c>
      <c r="U113" s="275">
        <v>286966</v>
      </c>
      <c r="V113" s="275">
        <v>270294</v>
      </c>
      <c r="W113" s="275">
        <v>292290</v>
      </c>
      <c r="X113" s="275">
        <v>285228</v>
      </c>
    </row>
    <row r="114" spans="1:24" ht="14.25" thickBot="1" x14ac:dyDescent="0.3">
      <c r="A114" s="224" t="s">
        <v>27</v>
      </c>
      <c r="B114" s="273">
        <v>86415</v>
      </c>
      <c r="C114" s="273">
        <v>96764</v>
      </c>
      <c r="D114" s="273">
        <v>103522</v>
      </c>
      <c r="E114" s="273">
        <v>95399</v>
      </c>
      <c r="F114" s="273">
        <v>166270</v>
      </c>
      <c r="G114" s="273">
        <v>92188</v>
      </c>
      <c r="H114" s="273">
        <v>86624</v>
      </c>
      <c r="I114" s="273">
        <v>72969</v>
      </c>
      <c r="J114" s="273">
        <v>71241</v>
      </c>
      <c r="K114" s="273">
        <v>74934</v>
      </c>
      <c r="L114" s="273">
        <v>76194</v>
      </c>
      <c r="M114" s="273">
        <v>60813</v>
      </c>
      <c r="N114" s="273">
        <v>63308</v>
      </c>
      <c r="O114" s="273">
        <v>51951</v>
      </c>
      <c r="P114" s="273">
        <v>56255</v>
      </c>
      <c r="Q114" s="273">
        <v>48432</v>
      </c>
      <c r="R114" s="273">
        <v>43511</v>
      </c>
      <c r="S114" s="273">
        <v>46454</v>
      </c>
      <c r="T114" s="273">
        <v>61735</v>
      </c>
      <c r="U114" s="273">
        <v>45663</v>
      </c>
      <c r="V114" s="273">
        <v>48736</v>
      </c>
      <c r="W114" s="273">
        <v>48818</v>
      </c>
      <c r="X114" s="273">
        <v>61016</v>
      </c>
    </row>
    <row r="115" spans="1:24" ht="14.25" thickBot="1" x14ac:dyDescent="0.3">
      <c r="A115" s="225" t="s">
        <v>265</v>
      </c>
      <c r="B115" s="276">
        <v>1180866</v>
      </c>
      <c r="C115" s="276">
        <v>1298401</v>
      </c>
      <c r="D115" s="276">
        <v>1628114</v>
      </c>
      <c r="E115" s="276">
        <v>1578171</v>
      </c>
      <c r="F115" s="276">
        <v>1572862</v>
      </c>
      <c r="G115" s="276">
        <v>1505386</v>
      </c>
      <c r="H115" s="276">
        <v>1548992</v>
      </c>
      <c r="I115" s="276">
        <v>1581289</v>
      </c>
      <c r="J115" s="276">
        <v>1593238</v>
      </c>
      <c r="K115" s="276">
        <v>1542286</v>
      </c>
      <c r="L115" s="276">
        <v>1628467</v>
      </c>
      <c r="M115" s="276">
        <v>1773489</v>
      </c>
      <c r="N115" s="276">
        <v>1811359</v>
      </c>
      <c r="O115" s="276">
        <v>1807259</v>
      </c>
      <c r="P115" s="276">
        <v>2001211</v>
      </c>
      <c r="Q115" s="276">
        <v>2014093</v>
      </c>
      <c r="R115" s="276">
        <v>1943149</v>
      </c>
      <c r="S115" s="276">
        <v>1946221</v>
      </c>
      <c r="T115" s="276">
        <v>1891635</v>
      </c>
      <c r="U115" s="276">
        <v>2016120</v>
      </c>
      <c r="V115" s="276">
        <v>1919897</v>
      </c>
      <c r="W115" s="276">
        <v>2043596</v>
      </c>
      <c r="X115" s="276">
        <v>2021101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102350</v>
      </c>
      <c r="C118" s="273">
        <v>142638</v>
      </c>
      <c r="D118" s="273">
        <v>169956</v>
      </c>
      <c r="E118" s="273">
        <v>109613</v>
      </c>
      <c r="F118" s="273">
        <v>94968</v>
      </c>
      <c r="G118" s="273">
        <v>44889</v>
      </c>
      <c r="H118" s="273">
        <v>51245</v>
      </c>
      <c r="I118" s="273">
        <v>44617</v>
      </c>
      <c r="J118" s="273">
        <v>45608</v>
      </c>
      <c r="K118" s="273">
        <v>44699</v>
      </c>
      <c r="L118" s="273">
        <v>37343</v>
      </c>
      <c r="M118" s="273">
        <v>33148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273">
        <v>32250</v>
      </c>
      <c r="V118" s="273">
        <v>30330</v>
      </c>
      <c r="W118" s="273">
        <v>30420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163907</v>
      </c>
      <c r="C120" s="273">
        <v>170238</v>
      </c>
      <c r="D120" s="273">
        <v>223882</v>
      </c>
      <c r="E120" s="273">
        <v>159041</v>
      </c>
      <c r="F120" s="273">
        <v>134628</v>
      </c>
      <c r="G120" s="273">
        <v>99460</v>
      </c>
      <c r="H120" s="273">
        <v>143918</v>
      </c>
      <c r="I120" s="273">
        <v>140288</v>
      </c>
      <c r="J120" s="273">
        <v>141022</v>
      </c>
      <c r="K120" s="273">
        <v>204252</v>
      </c>
      <c r="L120" s="273">
        <v>235738</v>
      </c>
      <c r="M120" s="273">
        <v>267324</v>
      </c>
      <c r="N120" s="273">
        <v>281330</v>
      </c>
      <c r="O120" s="273">
        <v>249393</v>
      </c>
      <c r="P120" s="273">
        <v>327014</v>
      </c>
      <c r="Q120" s="273">
        <v>342704</v>
      </c>
      <c r="R120" s="273">
        <v>266351</v>
      </c>
      <c r="S120" s="273">
        <v>266773</v>
      </c>
      <c r="T120" s="273">
        <v>317301</v>
      </c>
      <c r="U120" s="273">
        <v>305763</v>
      </c>
      <c r="V120" s="273">
        <v>241739</v>
      </c>
      <c r="W120" s="273">
        <v>276364</v>
      </c>
      <c r="X120" s="273">
        <v>320731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273">
        <v>192155</v>
      </c>
      <c r="F122" s="273">
        <v>193190</v>
      </c>
      <c r="G122" s="273">
        <v>194232</v>
      </c>
      <c r="H122" s="273">
        <v>425687</v>
      </c>
      <c r="I122" s="273">
        <v>428345</v>
      </c>
      <c r="J122" s="273">
        <v>426037</v>
      </c>
      <c r="K122" s="273">
        <v>234675</v>
      </c>
      <c r="L122" s="273">
        <v>231250</v>
      </c>
      <c r="M122" s="273">
        <v>231483</v>
      </c>
      <c r="N122" s="273">
        <v>136421</v>
      </c>
      <c r="O122" s="273">
        <v>38246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61971</v>
      </c>
      <c r="C123" s="275">
        <v>92597</v>
      </c>
      <c r="D123" s="275">
        <v>69563</v>
      </c>
      <c r="E123" s="275">
        <v>110810</v>
      </c>
      <c r="F123" s="275">
        <v>98972</v>
      </c>
      <c r="G123" s="275">
        <v>107953</v>
      </c>
      <c r="H123" s="275">
        <v>76581</v>
      </c>
      <c r="I123" s="275">
        <v>72951</v>
      </c>
      <c r="J123" s="275">
        <v>66815</v>
      </c>
      <c r="K123" s="275">
        <v>122539</v>
      </c>
      <c r="L123" s="275">
        <v>101058</v>
      </c>
      <c r="M123" s="275">
        <v>127987</v>
      </c>
      <c r="N123" s="275">
        <v>128422</v>
      </c>
      <c r="O123" s="275">
        <v>227419</v>
      </c>
      <c r="P123" s="275">
        <v>233881</v>
      </c>
      <c r="Q123" s="275">
        <v>157393</v>
      </c>
      <c r="R123" s="275">
        <v>162869</v>
      </c>
      <c r="S123" s="275">
        <v>290888</v>
      </c>
      <c r="T123" s="275">
        <v>160259</v>
      </c>
      <c r="U123" s="275">
        <v>176091</v>
      </c>
      <c r="V123" s="275">
        <v>147185</v>
      </c>
      <c r="W123" s="275">
        <v>263952</v>
      </c>
      <c r="X123" s="275">
        <v>149936</v>
      </c>
    </row>
    <row r="124" spans="1:24" ht="14.25" thickBot="1" x14ac:dyDescent="0.3">
      <c r="A124" s="224" t="s">
        <v>268</v>
      </c>
      <c r="B124" s="273">
        <v>328228</v>
      </c>
      <c r="C124" s="273">
        <v>405473</v>
      </c>
      <c r="D124" s="273">
        <v>463401</v>
      </c>
      <c r="E124" s="273">
        <v>571619</v>
      </c>
      <c r="F124" s="273">
        <v>521758</v>
      </c>
      <c r="G124" s="273">
        <v>446534</v>
      </c>
      <c r="H124" s="273">
        <v>697431</v>
      </c>
      <c r="I124" s="273">
        <v>686201</v>
      </c>
      <c r="J124" s="273">
        <v>679482</v>
      </c>
      <c r="K124" s="273">
        <v>606165</v>
      </c>
      <c r="L124" s="273">
        <v>605389</v>
      </c>
      <c r="M124" s="273">
        <v>659942</v>
      </c>
      <c r="N124" s="273">
        <v>546173</v>
      </c>
      <c r="O124" s="273">
        <v>515058</v>
      </c>
      <c r="P124" s="273">
        <v>560895</v>
      </c>
      <c r="Q124" s="273">
        <v>500097</v>
      </c>
      <c r="R124" s="273">
        <v>429220</v>
      </c>
      <c r="S124" s="273">
        <v>557661</v>
      </c>
      <c r="T124" s="273">
        <v>477560</v>
      </c>
      <c r="U124" s="273">
        <v>514104</v>
      </c>
      <c r="V124" s="273">
        <v>419254</v>
      </c>
      <c r="W124" s="273">
        <v>570736</v>
      </c>
      <c r="X124" s="273">
        <v>470667</v>
      </c>
    </row>
    <row r="125" spans="1:24" ht="14.25" thickBot="1" x14ac:dyDescent="0.3">
      <c r="A125" s="225" t="s">
        <v>32</v>
      </c>
      <c r="B125" s="275">
        <v>190893</v>
      </c>
      <c r="C125" s="275">
        <v>191922</v>
      </c>
      <c r="D125" s="275">
        <v>419361</v>
      </c>
      <c r="E125" s="275">
        <v>225660</v>
      </c>
      <c r="F125" s="275">
        <v>268065</v>
      </c>
      <c r="G125" s="275">
        <v>270059</v>
      </c>
      <c r="H125" s="275">
        <v>40598</v>
      </c>
      <c r="I125" s="275">
        <v>42368</v>
      </c>
      <c r="J125" s="275">
        <v>42035</v>
      </c>
      <c r="K125" s="275">
        <v>41031</v>
      </c>
      <c r="L125" s="275">
        <v>43541</v>
      </c>
      <c r="M125" s="275">
        <v>53794</v>
      </c>
      <c r="N125" s="275">
        <v>53015</v>
      </c>
      <c r="O125" s="275">
        <v>51617</v>
      </c>
      <c r="P125" s="275">
        <v>60655</v>
      </c>
      <c r="Q125" s="275">
        <v>63498</v>
      </c>
      <c r="R125" s="275">
        <v>59941</v>
      </c>
      <c r="S125" s="275">
        <v>55971</v>
      </c>
      <c r="T125" s="275">
        <v>56892</v>
      </c>
      <c r="U125" s="275">
        <v>61960</v>
      </c>
      <c r="V125" s="275">
        <v>61637</v>
      </c>
      <c r="W125" s="275">
        <v>62545</v>
      </c>
      <c r="X125" s="275">
        <v>75486</v>
      </c>
    </row>
    <row r="126" spans="1:24" ht="14.25" thickBot="1" x14ac:dyDescent="0.3">
      <c r="A126" s="224" t="s">
        <v>33</v>
      </c>
      <c r="B126" s="273">
        <v>23297</v>
      </c>
      <c r="C126" s="273">
        <v>24083</v>
      </c>
      <c r="D126" s="273">
        <v>25640</v>
      </c>
      <c r="E126" s="273">
        <v>25536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542418</v>
      </c>
      <c r="C127" s="275">
        <v>621478</v>
      </c>
      <c r="D127" s="275">
        <v>908402</v>
      </c>
      <c r="E127" s="275">
        <v>822815</v>
      </c>
      <c r="F127" s="275">
        <v>789823</v>
      </c>
      <c r="G127" s="275">
        <v>716593</v>
      </c>
      <c r="H127" s="275">
        <v>738029</v>
      </c>
      <c r="I127" s="275">
        <v>728569</v>
      </c>
      <c r="J127" s="275">
        <v>721517</v>
      </c>
      <c r="K127" s="275">
        <v>647196</v>
      </c>
      <c r="L127" s="275">
        <v>648930</v>
      </c>
      <c r="M127" s="275">
        <v>713736</v>
      </c>
      <c r="N127" s="275">
        <v>599188</v>
      </c>
      <c r="O127" s="275">
        <v>566675</v>
      </c>
      <c r="P127" s="275">
        <v>621550</v>
      </c>
      <c r="Q127" s="275">
        <v>563595</v>
      </c>
      <c r="R127" s="275">
        <v>489161</v>
      </c>
      <c r="S127" s="275">
        <v>613632</v>
      </c>
      <c r="T127" s="275">
        <v>534452</v>
      </c>
      <c r="U127" s="275">
        <v>576064</v>
      </c>
      <c r="V127" s="275">
        <v>480891</v>
      </c>
      <c r="W127" s="275">
        <v>633281</v>
      </c>
      <c r="X127" s="275">
        <v>546153</v>
      </c>
    </row>
    <row r="128" spans="1:24" ht="14.25" thickBot="1" x14ac:dyDescent="0.3">
      <c r="A128" s="224" t="s">
        <v>34</v>
      </c>
      <c r="B128" s="273">
        <v>638448</v>
      </c>
      <c r="C128" s="273">
        <v>676923</v>
      </c>
      <c r="D128" s="273">
        <v>719712</v>
      </c>
      <c r="E128" s="273">
        <v>755356</v>
      </c>
      <c r="F128" s="273">
        <v>783039</v>
      </c>
      <c r="G128" s="273">
        <v>788793</v>
      </c>
      <c r="H128" s="273">
        <v>810963</v>
      </c>
      <c r="I128" s="273">
        <v>852720</v>
      </c>
      <c r="J128" s="273">
        <v>871721</v>
      </c>
      <c r="K128" s="273">
        <v>895090</v>
      </c>
      <c r="L128" s="273">
        <v>979537</v>
      </c>
      <c r="M128" s="273">
        <v>1059753</v>
      </c>
      <c r="N128" s="273">
        <v>1212171</v>
      </c>
      <c r="O128" s="273">
        <v>1240584</v>
      </c>
      <c r="P128" s="273">
        <v>1379661</v>
      </c>
      <c r="Q128" s="273">
        <v>1450498</v>
      </c>
      <c r="R128" s="273">
        <v>1453988</v>
      </c>
      <c r="S128" s="273">
        <v>1332589</v>
      </c>
      <c r="T128" s="273">
        <v>1357183</v>
      </c>
      <c r="U128" s="273">
        <v>1440056</v>
      </c>
      <c r="V128" s="273">
        <v>1439006</v>
      </c>
      <c r="W128" s="273">
        <v>1410315</v>
      </c>
      <c r="X128" s="273">
        <v>1474948</v>
      </c>
    </row>
    <row r="129" spans="1:24" ht="14.25" thickBot="1" x14ac:dyDescent="0.3">
      <c r="A129" s="225" t="s">
        <v>35</v>
      </c>
      <c r="B129" s="276">
        <v>1180866</v>
      </c>
      <c r="C129" s="276">
        <v>1298401</v>
      </c>
      <c r="D129" s="276">
        <v>1628114</v>
      </c>
      <c r="E129" s="276">
        <v>1578171</v>
      </c>
      <c r="F129" s="276">
        <v>1572862</v>
      </c>
      <c r="G129" s="276">
        <v>1505386</v>
      </c>
      <c r="H129" s="276">
        <v>1548992</v>
      </c>
      <c r="I129" s="276">
        <v>1581289</v>
      </c>
      <c r="J129" s="276">
        <v>1593238</v>
      </c>
      <c r="K129" s="276">
        <v>1542286</v>
      </c>
      <c r="L129" s="276">
        <v>1628467</v>
      </c>
      <c r="M129" s="276">
        <v>1773489</v>
      </c>
      <c r="N129" s="276">
        <v>1811359</v>
      </c>
      <c r="O129" s="276">
        <v>1807259</v>
      </c>
      <c r="P129" s="276">
        <v>2001211</v>
      </c>
      <c r="Q129" s="276">
        <v>2014093</v>
      </c>
      <c r="R129" s="276">
        <v>1943149</v>
      </c>
      <c r="S129" s="276">
        <v>1946221</v>
      </c>
      <c r="T129" s="276">
        <v>1891635</v>
      </c>
      <c r="U129" s="276">
        <v>2016120</v>
      </c>
      <c r="V129" s="276">
        <v>1919897</v>
      </c>
      <c r="W129" s="276">
        <v>2043596</v>
      </c>
      <c r="X129" s="276">
        <v>2021101</v>
      </c>
    </row>
    <row r="130" spans="1:24" x14ac:dyDescent="0.25">
      <c r="F130" s="135"/>
    </row>
    <row r="131" spans="1:24" ht="14.25" thickBot="1" x14ac:dyDescent="0.3">
      <c r="B131" s="238">
        <v>2012</v>
      </c>
      <c r="C131" s="239">
        <v>2013</v>
      </c>
      <c r="D131" s="239">
        <v>2014</v>
      </c>
      <c r="E131" s="239">
        <v>2015</v>
      </c>
      <c r="F131" s="240">
        <v>2016</v>
      </c>
    </row>
    <row r="132" spans="1:24" ht="14.25" thickBot="1" x14ac:dyDescent="0.3">
      <c r="A132" s="224" t="s">
        <v>36</v>
      </c>
      <c r="B132" s="244">
        <v>2.38</v>
      </c>
      <c r="C132" s="244">
        <v>3.91</v>
      </c>
      <c r="D132" s="244">
        <v>7.25</v>
      </c>
      <c r="E132" s="244">
        <v>4.3</v>
      </c>
      <c r="F132" s="244">
        <v>0.79</v>
      </c>
    </row>
    <row r="133" spans="1:24" ht="14.25" thickBot="1" x14ac:dyDescent="0.3">
      <c r="A133" s="225" t="s">
        <v>37</v>
      </c>
      <c r="B133" s="246">
        <v>-3.67</v>
      </c>
      <c r="C133" s="246">
        <v>-0.56999999999999995</v>
      </c>
      <c r="D133" s="246">
        <v>0.12</v>
      </c>
      <c r="E133" s="246">
        <v>-2.11</v>
      </c>
      <c r="F133" s="246">
        <v>0.34</v>
      </c>
    </row>
    <row r="134" spans="1:24" ht="14.25" thickBot="1" x14ac:dyDescent="0.3">
      <c r="A134" s="224" t="s">
        <v>38</v>
      </c>
      <c r="B134" s="244">
        <v>5.57</v>
      </c>
      <c r="C134" s="244">
        <v>-1.94</v>
      </c>
      <c r="D134" s="244">
        <v>-3.92</v>
      </c>
      <c r="E134" s="244">
        <v>-1.52</v>
      </c>
      <c r="F134" s="244">
        <v>-1.56</v>
      </c>
    </row>
    <row r="135" spans="1:24" ht="14.25" thickBot="1" x14ac:dyDescent="0.3">
      <c r="A135" s="225" t="s">
        <v>270</v>
      </c>
      <c r="B135" s="246">
        <v>-1.29</v>
      </c>
      <c r="C135" s="246">
        <v>3.34</v>
      </c>
      <c r="D135" s="246">
        <v>7.36</v>
      </c>
      <c r="E135" s="246">
        <v>2.19</v>
      </c>
      <c r="F135" s="246">
        <v>1.1299999999999999</v>
      </c>
    </row>
    <row r="136" spans="1:24" x14ac:dyDescent="0.25">
      <c r="A136" s="229" t="s">
        <v>39</v>
      </c>
      <c r="B136" s="241">
        <v>4.28</v>
      </c>
      <c r="C136" s="241">
        <v>1.4</v>
      </c>
      <c r="D136" s="241">
        <v>3.44</v>
      </c>
      <c r="E136" s="241">
        <v>0.67</v>
      </c>
      <c r="F136" s="241">
        <v>-0.43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x14ac:dyDescent="0.25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238">
        <v>2012</v>
      </c>
      <c r="C139" s="239">
        <v>2013</v>
      </c>
      <c r="D139" s="239">
        <v>2014</v>
      </c>
      <c r="E139" s="239">
        <v>2015</v>
      </c>
      <c r="F139" s="240">
        <v>2016</v>
      </c>
    </row>
    <row r="140" spans="1:24" ht="14.25" thickBot="1" x14ac:dyDescent="0.3">
      <c r="A140" s="224" t="s">
        <v>0</v>
      </c>
      <c r="B140" s="244">
        <v>0.6</v>
      </c>
      <c r="C140" s="244">
        <v>0.7</v>
      </c>
      <c r="D140" s="244">
        <v>2</v>
      </c>
      <c r="E140" s="244">
        <v>2.4</v>
      </c>
      <c r="F140" s="244">
        <v>1.7</v>
      </c>
    </row>
    <row r="141" spans="1:24" x14ac:dyDescent="0.25">
      <c r="A141" s="227" t="s">
        <v>1</v>
      </c>
      <c r="B141" s="247">
        <v>0.1</v>
      </c>
      <c r="C141" s="247">
        <v>0.1</v>
      </c>
      <c r="D141" s="247">
        <v>0.1</v>
      </c>
      <c r="E141" s="247">
        <v>0.4</v>
      </c>
      <c r="F141" s="247">
        <v>0.1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0.45112781954887216</v>
      </c>
      <c r="C142" s="234">
        <f>IF(C140&lt;&gt;"無",IF(ISNA(HLOOKUP(C139,$B$64:$F$69,6,FALSE)),"",C140/HLOOKUP(C139,$B$64:$F$69,6,FALSE)),"")</f>
        <v>0.34653465346534651</v>
      </c>
      <c r="D142" s="234">
        <f>IF(D140&lt;&gt;"無",IF(ISNA(HLOOKUP(D139,$B$64:$F$69,6,FALSE)),"",D140/HLOOKUP(D139,$B$64:$F$69,6,FALSE)),"")</f>
        <v>0.60422960725075536</v>
      </c>
      <c r="E142" s="234">
        <f>IF(E140&lt;&gt;"無",IF(ISNA(HLOOKUP(E139,$B$64:$F$69,6,FALSE)),"",E140/HLOOKUP(E139,$B$64:$F$69,6,FALSE)),"")</f>
        <v>0.61224489795918369</v>
      </c>
      <c r="F142" s="234">
        <f>IF(F140&lt;&gt;"無",IF(ISNA(HLOOKUP(F139,$B$64:$F$69,6,FALSE)),"",F140/HLOOKUP(F139,$B$64:$F$69,6,FALSE)),"")</f>
        <v>0.65384615384615397</v>
      </c>
    </row>
    <row r="143" spans="1:24" x14ac:dyDescent="0.25">
      <c r="A143" s="233" t="s">
        <v>216</v>
      </c>
      <c r="B143" s="234">
        <f>IF(OR(B140=0,B140="無"),"",B135/B140)</f>
        <v>-2.1500000000000004</v>
      </c>
      <c r="C143" s="234">
        <f>IF(OR(C140=0,C140="無"),"",C135/C140)</f>
        <v>4.7714285714285714</v>
      </c>
      <c r="D143" s="234">
        <f>IF(OR(D140=0,D140="無"),"",D135/D140)</f>
        <v>3.68</v>
      </c>
      <c r="E143" s="234">
        <f>IF(OR(E140=0,E140="無"),"",E135/E140)</f>
        <v>0.91249999999999998</v>
      </c>
      <c r="F143" s="234">
        <f>IF(OR(F140=0,F140="無"),"",F135/F140)</f>
        <v>0.66470588235294115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34.21</v>
      </c>
      <c r="C146" s="68">
        <v>41.83</v>
      </c>
      <c r="D146" s="68">
        <v>35.69</v>
      </c>
      <c r="E146" s="68">
        <v>40.619999999999997</v>
      </c>
      <c r="F146" s="68">
        <v>38.72</v>
      </c>
      <c r="G146" s="68">
        <v>37.26</v>
      </c>
      <c r="H146" s="68">
        <v>43.35</v>
      </c>
      <c r="I146" s="68">
        <v>43.19</v>
      </c>
      <c r="J146" s="68">
        <v>35.299999999999997</v>
      </c>
      <c r="K146" s="68">
        <v>38.630000000000003</v>
      </c>
      <c r="L146" s="68">
        <v>43.07</v>
      </c>
      <c r="M146" s="68">
        <v>40.14</v>
      </c>
      <c r="N146" s="68">
        <v>39.450000000000003</v>
      </c>
      <c r="O146" s="68">
        <v>38.520000000000003</v>
      </c>
      <c r="P146" s="68">
        <v>39.46</v>
      </c>
      <c r="Q146" s="68">
        <v>40.130000000000003</v>
      </c>
      <c r="R146" s="68">
        <v>36.31</v>
      </c>
      <c r="S146" s="68">
        <v>35.21</v>
      </c>
      <c r="T146" s="68">
        <v>36.61</v>
      </c>
      <c r="U146" s="68">
        <v>38.75</v>
      </c>
      <c r="V146" s="68">
        <v>37.799999999999997</v>
      </c>
      <c r="W146" s="68">
        <v>38.5</v>
      </c>
      <c r="X146" s="68">
        <v>38.17</v>
      </c>
    </row>
    <row r="147" spans="1:24" s="93" customFormat="1" ht="14.25" thickBot="1" x14ac:dyDescent="0.3">
      <c r="A147" s="225" t="s">
        <v>19</v>
      </c>
      <c r="B147" s="274">
        <v>-3.45</v>
      </c>
      <c r="C147" s="274">
        <v>13.39</v>
      </c>
      <c r="D147" s="274">
        <v>8.89</v>
      </c>
      <c r="E147" s="274">
        <v>12.29</v>
      </c>
      <c r="F147" s="274">
        <v>7.1</v>
      </c>
      <c r="G147" s="274">
        <v>2.66</v>
      </c>
      <c r="H147" s="274">
        <v>13.05</v>
      </c>
      <c r="I147" s="274">
        <v>11.82</v>
      </c>
      <c r="J147" s="274">
        <v>3.24</v>
      </c>
      <c r="K147" s="274">
        <v>13.65</v>
      </c>
      <c r="L147" s="274">
        <v>18.62</v>
      </c>
      <c r="M147" s="274">
        <v>14.66</v>
      </c>
      <c r="N147" s="274">
        <v>13.51</v>
      </c>
      <c r="O147" s="274">
        <v>11.64</v>
      </c>
      <c r="P147" s="274">
        <v>14.12</v>
      </c>
      <c r="Q147" s="274">
        <v>16.77</v>
      </c>
      <c r="R147" s="274">
        <v>4.9400000000000004</v>
      </c>
      <c r="S147" s="274">
        <v>6.9</v>
      </c>
      <c r="T147" s="274">
        <v>13.65</v>
      </c>
      <c r="U147" s="274">
        <v>15.2</v>
      </c>
      <c r="V147" s="274">
        <v>11.65</v>
      </c>
      <c r="W147" s="274">
        <v>11.31</v>
      </c>
      <c r="X147" s="274">
        <v>12.24</v>
      </c>
    </row>
    <row r="148" spans="1:24" s="93" customFormat="1" ht="14.25" thickBot="1" x14ac:dyDescent="0.3">
      <c r="A148" s="224" t="s">
        <v>41</v>
      </c>
      <c r="B148" s="68">
        <v>-6.59</v>
      </c>
      <c r="C148" s="68">
        <v>13.62</v>
      </c>
      <c r="D148" s="68">
        <v>5.5</v>
      </c>
      <c r="E148" s="68">
        <v>9.35</v>
      </c>
      <c r="F148" s="68">
        <v>9.5299999999999994</v>
      </c>
      <c r="G148" s="68">
        <v>12.82</v>
      </c>
      <c r="H148" s="68">
        <v>11.16</v>
      </c>
      <c r="I148" s="68">
        <v>12.85</v>
      </c>
      <c r="J148" s="68">
        <v>6.06</v>
      </c>
      <c r="K148" s="68">
        <v>12.68</v>
      </c>
      <c r="L148" s="68">
        <v>19.46</v>
      </c>
      <c r="M148" s="68">
        <v>18.41</v>
      </c>
      <c r="N148" s="68">
        <v>12.59</v>
      </c>
      <c r="O148" s="68">
        <v>11.02</v>
      </c>
      <c r="P148" s="68">
        <v>21.69</v>
      </c>
      <c r="Q148" s="68">
        <v>17.38</v>
      </c>
      <c r="R148" s="68">
        <v>1.86</v>
      </c>
      <c r="S148" s="68">
        <v>8.67</v>
      </c>
      <c r="T148" s="68">
        <v>11.04</v>
      </c>
      <c r="U148" s="68">
        <v>18.190000000000001</v>
      </c>
      <c r="V148" s="68">
        <v>5.66</v>
      </c>
      <c r="W148" s="68">
        <v>11.92</v>
      </c>
      <c r="X148" s="68">
        <v>11.88</v>
      </c>
    </row>
    <row r="149" spans="1:24" s="93" customFormat="1" ht="14.25" thickBot="1" x14ac:dyDescent="0.3">
      <c r="A149" s="225" t="s">
        <v>13</v>
      </c>
      <c r="B149" s="73">
        <v>-5.87</v>
      </c>
      <c r="C149" s="73">
        <v>11.76</v>
      </c>
      <c r="D149" s="73">
        <v>4.54</v>
      </c>
      <c r="E149" s="73">
        <v>7.46</v>
      </c>
      <c r="F149" s="73">
        <v>7.32</v>
      </c>
      <c r="G149" s="73">
        <v>11.83</v>
      </c>
      <c r="H149" s="73">
        <v>8.64</v>
      </c>
      <c r="I149" s="73">
        <v>9.16</v>
      </c>
      <c r="J149" s="73">
        <v>5.25</v>
      </c>
      <c r="K149" s="73">
        <v>8.6199999999999992</v>
      </c>
      <c r="L149" s="73">
        <v>15.53</v>
      </c>
      <c r="M149" s="73">
        <v>14.1</v>
      </c>
      <c r="N149" s="73">
        <v>10.15</v>
      </c>
      <c r="O149" s="73">
        <v>8.25</v>
      </c>
      <c r="P149" s="73">
        <v>17.39</v>
      </c>
      <c r="Q149" s="73">
        <v>12.75</v>
      </c>
      <c r="R149" s="73">
        <v>1.67</v>
      </c>
      <c r="S149" s="73">
        <v>7.67</v>
      </c>
      <c r="T149" s="73">
        <v>8.02</v>
      </c>
      <c r="U149" s="73">
        <v>13.79</v>
      </c>
      <c r="V149" s="73">
        <v>4.3099999999999996</v>
      </c>
      <c r="W149" s="73">
        <v>9.17</v>
      </c>
      <c r="X149" s="73">
        <v>9.86</v>
      </c>
    </row>
    <row r="150" spans="1:24" s="93" customFormat="1" x14ac:dyDescent="0.25"/>
    <row r="151" spans="1:24" s="93" customFormat="1" ht="14.25" thickBot="1" x14ac:dyDescent="0.3">
      <c r="B151" s="238">
        <v>2012</v>
      </c>
      <c r="C151" s="239">
        <v>2013</v>
      </c>
      <c r="D151" s="239">
        <v>2014</v>
      </c>
      <c r="E151" s="239">
        <v>2015</v>
      </c>
      <c r="F151" s="240">
        <v>2016</v>
      </c>
    </row>
    <row r="152" spans="1:24" s="93" customFormat="1" ht="14.25" thickBot="1" x14ac:dyDescent="0.3">
      <c r="A152" s="224" t="s">
        <v>40</v>
      </c>
      <c r="B152" s="244">
        <v>38.39</v>
      </c>
      <c r="C152" s="244">
        <v>40.74</v>
      </c>
      <c r="D152" s="244">
        <v>39.76</v>
      </c>
      <c r="E152" s="244">
        <v>39.44</v>
      </c>
      <c r="F152" s="244">
        <v>36.86</v>
      </c>
    </row>
    <row r="153" spans="1:24" s="93" customFormat="1" ht="14.25" thickBot="1" x14ac:dyDescent="0.3">
      <c r="A153" s="225" t="s">
        <v>19</v>
      </c>
      <c r="B153" s="246">
        <v>8.73</v>
      </c>
      <c r="C153" s="246">
        <v>8.85</v>
      </c>
      <c r="D153" s="246">
        <v>13.57</v>
      </c>
      <c r="E153" s="246">
        <v>14.21</v>
      </c>
      <c r="F153" s="246">
        <v>10.87</v>
      </c>
    </row>
    <row r="154" spans="1:24" s="93" customFormat="1" ht="14.25" thickBot="1" x14ac:dyDescent="0.3">
      <c r="A154" s="224" t="s">
        <v>41</v>
      </c>
      <c r="B154" s="244">
        <v>6.46</v>
      </c>
      <c r="C154" s="244">
        <v>11.55</v>
      </c>
      <c r="D154" s="244">
        <v>15.12</v>
      </c>
      <c r="E154" s="244">
        <v>16.04</v>
      </c>
      <c r="F154" s="244">
        <v>10.88</v>
      </c>
    </row>
    <row r="155" spans="1:24" s="93" customFormat="1" ht="14.25" thickBot="1" x14ac:dyDescent="0.3">
      <c r="A155" s="225" t="s">
        <v>13</v>
      </c>
      <c r="B155" s="247">
        <v>5.32</v>
      </c>
      <c r="C155" s="247">
        <v>9.14</v>
      </c>
      <c r="D155" s="247">
        <v>11.59</v>
      </c>
      <c r="E155" s="247">
        <v>12.4</v>
      </c>
      <c r="F155" s="247">
        <v>8.4600000000000009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-0.97</v>
      </c>
      <c r="C158" s="68">
        <v>3.07</v>
      </c>
      <c r="D158" s="68">
        <v>1.1499999999999999</v>
      </c>
      <c r="E158" s="68">
        <v>1.7</v>
      </c>
      <c r="F158" s="68">
        <v>1.46</v>
      </c>
      <c r="G158" s="68">
        <v>1.99</v>
      </c>
      <c r="H158" s="68">
        <v>1.65</v>
      </c>
      <c r="I158" s="68">
        <v>1.81</v>
      </c>
      <c r="J158" s="68">
        <v>0.97</v>
      </c>
      <c r="K158" s="68">
        <v>2.12</v>
      </c>
      <c r="L158" s="68">
        <v>4.07</v>
      </c>
      <c r="M158" s="68">
        <v>3.48</v>
      </c>
      <c r="N158" s="68">
        <v>2.25</v>
      </c>
      <c r="O158" s="68">
        <v>1.86</v>
      </c>
      <c r="P158" s="68">
        <v>4.2699999999999996</v>
      </c>
      <c r="Q158" s="68">
        <v>3.3</v>
      </c>
      <c r="R158" s="68">
        <v>0.3</v>
      </c>
      <c r="S158" s="68">
        <v>1.76</v>
      </c>
      <c r="T158" s="68">
        <v>2.16</v>
      </c>
      <c r="U158" s="68">
        <v>3.98</v>
      </c>
      <c r="V158" s="68">
        <v>0.94</v>
      </c>
      <c r="W158" s="68">
        <v>2.1800000000000002</v>
      </c>
      <c r="X158" s="68">
        <v>2.4500000000000002</v>
      </c>
    </row>
    <row r="159" spans="1:24" s="93" customFormat="1" ht="14.25" thickBot="1" x14ac:dyDescent="0.3">
      <c r="A159" s="225" t="s">
        <v>45</v>
      </c>
      <c r="B159" s="73">
        <v>-2</v>
      </c>
      <c r="C159" s="73">
        <v>5.59</v>
      </c>
      <c r="D159" s="73">
        <v>2.16</v>
      </c>
      <c r="E159" s="73">
        <v>3.34</v>
      </c>
      <c r="F159" s="73">
        <v>2.68</v>
      </c>
      <c r="G159" s="73">
        <v>3.58</v>
      </c>
      <c r="H159" s="73">
        <v>2.87</v>
      </c>
      <c r="I159" s="73">
        <v>3.16</v>
      </c>
      <c r="J159" s="73">
        <v>1.49</v>
      </c>
      <c r="K159" s="73">
        <v>3.58</v>
      </c>
      <c r="L159" s="73">
        <v>6.73</v>
      </c>
      <c r="M159" s="73">
        <v>5.69</v>
      </c>
      <c r="N159" s="73">
        <v>3.45</v>
      </c>
      <c r="O159" s="73">
        <v>2.68</v>
      </c>
      <c r="P159" s="73">
        <v>6.2</v>
      </c>
      <c r="Q159" s="73">
        <v>4.68</v>
      </c>
      <c r="R159" s="73">
        <v>0.41</v>
      </c>
      <c r="S159" s="73">
        <v>2.4500000000000002</v>
      </c>
      <c r="T159" s="73">
        <v>3.08</v>
      </c>
      <c r="U159" s="73">
        <v>5.56</v>
      </c>
      <c r="V159" s="73">
        <v>1.27</v>
      </c>
      <c r="W159" s="73">
        <v>3.03</v>
      </c>
      <c r="X159" s="73">
        <v>3.42</v>
      </c>
    </row>
    <row r="160" spans="1:24" s="93" customFormat="1" x14ac:dyDescent="0.25"/>
    <row r="161" spans="1:72" s="93" customFormat="1" ht="14.25" thickBot="1" x14ac:dyDescent="0.3">
      <c r="B161" s="238">
        <v>2012</v>
      </c>
      <c r="C161" s="239">
        <v>2013</v>
      </c>
      <c r="D161" s="239">
        <v>2014</v>
      </c>
      <c r="E161" s="239">
        <v>2015</v>
      </c>
      <c r="F161" s="240">
        <v>2016</v>
      </c>
    </row>
    <row r="162" spans="1:72" s="93" customFormat="1" ht="14.25" thickBot="1" x14ac:dyDescent="0.3">
      <c r="A162" s="224" t="s">
        <v>13</v>
      </c>
      <c r="B162" s="244">
        <v>5.32</v>
      </c>
      <c r="C162" s="244">
        <v>9.14</v>
      </c>
      <c r="D162" s="244">
        <v>11.59</v>
      </c>
      <c r="E162" s="244">
        <v>12.4</v>
      </c>
      <c r="F162" s="244">
        <v>8.4600000000000009</v>
      </c>
    </row>
    <row r="163" spans="1:72" s="93" customFormat="1" ht="14.25" thickBot="1" x14ac:dyDescent="0.3">
      <c r="A163" s="225" t="s">
        <v>18</v>
      </c>
      <c r="B163" s="246">
        <v>0.76</v>
      </c>
      <c r="C163" s="246">
        <v>0.68</v>
      </c>
      <c r="D163" s="246">
        <v>0.81</v>
      </c>
      <c r="E163" s="246">
        <v>0.88</v>
      </c>
      <c r="F163" s="246">
        <v>0.93</v>
      </c>
    </row>
    <row r="164" spans="1:72" s="93" customFormat="1" ht="14.25" thickBot="1" x14ac:dyDescent="0.3">
      <c r="A164" s="224" t="s">
        <v>15</v>
      </c>
      <c r="B164" s="244">
        <v>2.09</v>
      </c>
      <c r="C164" s="244">
        <v>1.85</v>
      </c>
      <c r="D164" s="244">
        <v>1.67</v>
      </c>
      <c r="E164" s="244">
        <v>1.39</v>
      </c>
      <c r="F164" s="244">
        <v>1.4</v>
      </c>
    </row>
    <row r="165" spans="1:72" s="93" customFormat="1" ht="14.25" thickBot="1" x14ac:dyDescent="0.3">
      <c r="A165" s="225" t="s">
        <v>45</v>
      </c>
      <c r="B165" s="247">
        <v>9.02</v>
      </c>
      <c r="C165" s="247">
        <v>12.18</v>
      </c>
      <c r="D165" s="247">
        <v>17.3</v>
      </c>
      <c r="E165" s="247">
        <v>17.48</v>
      </c>
      <c r="F165" s="247">
        <v>11.03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173.08</v>
      </c>
      <c r="C168" s="68">
        <v>126.76</v>
      </c>
      <c r="D168" s="68">
        <v>134.33000000000001</v>
      </c>
      <c r="E168" s="68">
        <v>132.35</v>
      </c>
      <c r="F168" s="68">
        <v>142.86000000000001</v>
      </c>
      <c r="G168" s="68">
        <v>147.54</v>
      </c>
      <c r="H168" s="68">
        <v>121.62</v>
      </c>
      <c r="I168" s="68">
        <v>115.38</v>
      </c>
      <c r="J168" s="68">
        <v>125</v>
      </c>
      <c r="K168" s="68">
        <v>86.54</v>
      </c>
      <c r="L168" s="68">
        <v>100</v>
      </c>
      <c r="M168" s="68">
        <v>111.11</v>
      </c>
      <c r="N168" s="68">
        <v>112.5</v>
      </c>
      <c r="O168" s="68">
        <v>101.12</v>
      </c>
      <c r="P168" s="68">
        <v>96.77</v>
      </c>
      <c r="Q168" s="68">
        <v>102.27</v>
      </c>
      <c r="R168" s="68">
        <v>142.86000000000001</v>
      </c>
      <c r="S168" s="68">
        <v>111.11</v>
      </c>
      <c r="T168" s="68">
        <v>109.76</v>
      </c>
      <c r="U168" s="68">
        <v>113.92</v>
      </c>
      <c r="V168" s="68">
        <v>147.54</v>
      </c>
      <c r="W168" s="68">
        <v>121.62</v>
      </c>
      <c r="X168" s="68">
        <v>113.92</v>
      </c>
    </row>
    <row r="169" spans="1:72" s="93" customFormat="1" ht="14.25" thickBot="1" x14ac:dyDescent="0.3">
      <c r="A169" s="225" t="s">
        <v>17</v>
      </c>
      <c r="B169" s="274">
        <v>78.95</v>
      </c>
      <c r="C169" s="274">
        <v>57.32</v>
      </c>
      <c r="D169" s="274">
        <v>55.56</v>
      </c>
      <c r="E169" s="274">
        <v>66.180000000000007</v>
      </c>
      <c r="F169" s="274">
        <v>70.31</v>
      </c>
      <c r="G169" s="274">
        <v>81.08</v>
      </c>
      <c r="H169" s="274">
        <v>81.08</v>
      </c>
      <c r="I169" s="274">
        <v>75.63</v>
      </c>
      <c r="J169" s="274">
        <v>76.27</v>
      </c>
      <c r="K169" s="274">
        <v>54.88</v>
      </c>
      <c r="L169" s="274">
        <v>53.57</v>
      </c>
      <c r="M169" s="274">
        <v>50</v>
      </c>
      <c r="N169" s="274">
        <v>60.4</v>
      </c>
      <c r="O169" s="274">
        <v>62.5</v>
      </c>
      <c r="P169" s="274">
        <v>57.69</v>
      </c>
      <c r="Q169" s="274">
        <v>55.21</v>
      </c>
      <c r="R169" s="274">
        <v>75.63</v>
      </c>
      <c r="S169" s="274">
        <v>60.4</v>
      </c>
      <c r="T169" s="274">
        <v>53.25</v>
      </c>
      <c r="U169" s="274">
        <v>54.88</v>
      </c>
      <c r="V169" s="274">
        <v>72</v>
      </c>
      <c r="W169" s="274">
        <v>63.38</v>
      </c>
      <c r="X169" s="274">
        <v>58.06</v>
      </c>
    </row>
    <row r="170" spans="1:72" s="93" customFormat="1" ht="14.25" thickBot="1" x14ac:dyDescent="0.3">
      <c r="A170" s="224" t="s">
        <v>42</v>
      </c>
      <c r="B170" s="72">
        <v>252.02</v>
      </c>
      <c r="C170" s="72">
        <v>184.09</v>
      </c>
      <c r="D170" s="72">
        <v>189.88</v>
      </c>
      <c r="E170" s="72">
        <v>198.53</v>
      </c>
      <c r="F170" s="72">
        <v>213.17</v>
      </c>
      <c r="G170" s="72">
        <v>228.62</v>
      </c>
      <c r="H170" s="72">
        <v>202.7</v>
      </c>
      <c r="I170" s="72">
        <v>191.01</v>
      </c>
      <c r="J170" s="72">
        <v>201.27</v>
      </c>
      <c r="K170" s="72">
        <v>141.41999999999999</v>
      </c>
      <c r="L170" s="72">
        <v>153.57</v>
      </c>
      <c r="M170" s="72">
        <v>161.11000000000001</v>
      </c>
      <c r="N170" s="72">
        <v>172.9</v>
      </c>
      <c r="O170" s="72">
        <v>163.62</v>
      </c>
      <c r="P170" s="72">
        <v>154.47</v>
      </c>
      <c r="Q170" s="72">
        <v>157.49</v>
      </c>
      <c r="R170" s="72">
        <v>218.49</v>
      </c>
      <c r="S170" s="72">
        <v>171.51</v>
      </c>
      <c r="T170" s="72">
        <v>163.01</v>
      </c>
      <c r="U170" s="72">
        <v>168.8</v>
      </c>
      <c r="V170" s="72">
        <v>219.54</v>
      </c>
      <c r="W170" s="72">
        <v>185</v>
      </c>
      <c r="X170" s="72">
        <v>171.99</v>
      </c>
    </row>
    <row r="172" spans="1:72" x14ac:dyDescent="0.25">
      <c r="B172" s="238">
        <v>2012</v>
      </c>
      <c r="C172" s="239">
        <v>2013</v>
      </c>
      <c r="D172" s="239">
        <v>2014</v>
      </c>
      <c r="E172" s="239">
        <v>2015</v>
      </c>
      <c r="F172" s="240">
        <v>2016</v>
      </c>
    </row>
    <row r="173" spans="1:72" x14ac:dyDescent="0.25">
      <c r="A173" s="222" t="s">
        <v>12</v>
      </c>
      <c r="B173" s="241">
        <v>177.83</v>
      </c>
      <c r="C173" s="241">
        <v>194.64</v>
      </c>
      <c r="D173" s="241">
        <v>219.58</v>
      </c>
      <c r="E173" s="241">
        <v>110.3</v>
      </c>
      <c r="F173" s="241">
        <v>30.8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14.1</v>
      </c>
      <c r="C176" s="72">
        <v>21.98</v>
      </c>
      <c r="D176" s="72">
        <v>23.35</v>
      </c>
      <c r="E176" s="72">
        <v>27.47</v>
      </c>
      <c r="F176" s="72">
        <v>48.46</v>
      </c>
      <c r="G176" s="72">
        <v>48.69</v>
      </c>
      <c r="H176" s="72">
        <v>51.25</v>
      </c>
      <c r="I176" s="72">
        <v>27.37</v>
      </c>
      <c r="J176" s="72">
        <v>29.75</v>
      </c>
      <c r="K176" s="72">
        <v>28.08</v>
      </c>
      <c r="L176" s="72">
        <v>54.15</v>
      </c>
      <c r="M176" s="72">
        <v>49.54</v>
      </c>
      <c r="N176" s="72">
        <v>48.53</v>
      </c>
      <c r="O176" s="72">
        <v>48.79</v>
      </c>
      <c r="P176" s="72">
        <v>46.09</v>
      </c>
      <c r="Q176" s="72">
        <v>21.75</v>
      </c>
      <c r="R176" s="72">
        <v>14.64</v>
      </c>
      <c r="S176" s="72">
        <v>13.69</v>
      </c>
      <c r="T176" s="72">
        <v>12.22</v>
      </c>
      <c r="U176" s="72">
        <v>14.3</v>
      </c>
      <c r="V176" s="72">
        <v>14.6</v>
      </c>
      <c r="W176" s="72">
        <v>14.73</v>
      </c>
      <c r="X176" s="72">
        <v>13.08</v>
      </c>
      <c r="Y176" s="72">
        <v>13.57</v>
      </c>
      <c r="Z176" s="72">
        <v>18.690000000000001</v>
      </c>
      <c r="AA176" s="72">
        <v>18.260000000000002</v>
      </c>
      <c r="AB176" s="72">
        <v>19.61</v>
      </c>
      <c r="AC176" s="72">
        <v>19.350000000000001</v>
      </c>
      <c r="AD176" s="72">
        <v>23.47</v>
      </c>
      <c r="AE176" s="72">
        <v>24.03</v>
      </c>
      <c r="AF176" s="72">
        <v>22.33</v>
      </c>
      <c r="AG176" s="72">
        <v>19.940000000000001</v>
      </c>
      <c r="AH176" s="72">
        <v>20.43</v>
      </c>
      <c r="AI176" s="72">
        <v>18.29</v>
      </c>
      <c r="AJ176" s="72">
        <v>13.65</v>
      </c>
      <c r="AK176" s="72">
        <v>16.27</v>
      </c>
      <c r="AL176" s="72">
        <v>18.28</v>
      </c>
      <c r="AM176" s="72">
        <v>17.97</v>
      </c>
      <c r="AN176" s="72">
        <v>13.7</v>
      </c>
      <c r="AO176" s="72">
        <v>15.03</v>
      </c>
      <c r="AP176" s="72">
        <v>12.26</v>
      </c>
      <c r="AQ176" s="72">
        <v>12.05</v>
      </c>
      <c r="AR176" s="72">
        <v>13.7</v>
      </c>
      <c r="AS176" s="72">
        <v>12.51</v>
      </c>
      <c r="AT176" s="72">
        <v>12.7</v>
      </c>
      <c r="AU176" s="72">
        <v>13.45</v>
      </c>
      <c r="AV176" s="72">
        <v>13.31</v>
      </c>
      <c r="AW176" s="72">
        <v>13.17</v>
      </c>
      <c r="AX176" s="72">
        <v>11.19</v>
      </c>
      <c r="AY176" s="72">
        <v>11.96</v>
      </c>
      <c r="AZ176" s="72">
        <v>11.52</v>
      </c>
      <c r="BA176" s="72">
        <v>11.12</v>
      </c>
      <c r="BB176" s="72">
        <v>12.76</v>
      </c>
      <c r="BC176" s="72">
        <v>12.66</v>
      </c>
      <c r="BD176" s="72">
        <v>12.74</v>
      </c>
      <c r="BE176" s="72">
        <v>12.14</v>
      </c>
      <c r="BF176" s="72">
        <v>12.76</v>
      </c>
      <c r="BG176" s="72">
        <v>12.62</v>
      </c>
      <c r="BH176" s="72">
        <v>14.73</v>
      </c>
      <c r="BI176" s="72">
        <v>15.22</v>
      </c>
      <c r="BJ176" s="72">
        <v>15.22</v>
      </c>
      <c r="BK176" s="72">
        <v>15.62</v>
      </c>
      <c r="BL176" s="72">
        <v>14.85</v>
      </c>
      <c r="BM176" s="72">
        <v>14.44</v>
      </c>
      <c r="BN176" s="72">
        <v>12.33</v>
      </c>
      <c r="BO176" s="72">
        <v>12.65</v>
      </c>
      <c r="BP176" s="72">
        <v>12.89</v>
      </c>
      <c r="BQ176" s="72">
        <v>12.88</v>
      </c>
      <c r="BR176" s="72">
        <v>12.59</v>
      </c>
      <c r="BS176" s="72">
        <v>12.45</v>
      </c>
      <c r="BT176" s="72">
        <v>11.43</v>
      </c>
    </row>
  </sheetData>
  <phoneticPr fontId="3" type="noConversion"/>
  <conditionalFormatting sqref="E4">
    <cfRule type="cellIs" dxfId="2324" priority="207" operator="greaterThan">
      <formula>0.2</formula>
    </cfRule>
    <cfRule type="cellIs" dxfId="2323" priority="208" operator="greaterThan">
      <formula>0.1</formula>
    </cfRule>
  </conditionalFormatting>
  <conditionalFormatting sqref="B6">
    <cfRule type="iconSet" priority="206">
      <iconSet>
        <cfvo type="percent" val="0"/>
        <cfvo type="num" val="40"/>
        <cfvo type="num" val="70"/>
      </iconSet>
    </cfRule>
  </conditionalFormatting>
  <conditionalFormatting sqref="G59:M59">
    <cfRule type="cellIs" dxfId="2322" priority="202" operator="lessThanOrEqual">
      <formula>0</formula>
    </cfRule>
  </conditionalFormatting>
  <conditionalFormatting sqref="B30">
    <cfRule type="colorScale" priority="197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196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195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321" priority="194" operator="greaterThan">
      <formula>$B$19</formula>
    </cfRule>
  </conditionalFormatting>
  <conditionalFormatting sqref="D33:D34">
    <cfRule type="cellIs" dxfId="2320" priority="193" operator="lessThan">
      <formula>1</formula>
    </cfRule>
  </conditionalFormatting>
  <conditionalFormatting sqref="B3">
    <cfRule type="iconSet" priority="187">
      <iconSet>
        <cfvo type="percent" val="0"/>
        <cfvo type="num" val="70"/>
        <cfvo type="num" val="85"/>
      </iconSet>
    </cfRule>
  </conditionalFormatting>
  <conditionalFormatting sqref="B5">
    <cfRule type="iconSet" priority="188">
      <iconSet>
        <cfvo type="percent" val="0"/>
        <cfvo type="num" val="80"/>
        <cfvo type="num" val="90"/>
      </iconSet>
    </cfRule>
  </conditionalFormatting>
  <conditionalFormatting sqref="B4">
    <cfRule type="iconSet" priority="189">
      <iconSet>
        <cfvo type="percent" val="0"/>
        <cfvo type="num" val="70"/>
        <cfvo type="num" val="85"/>
      </iconSet>
    </cfRule>
  </conditionalFormatting>
  <conditionalFormatting sqref="G62">
    <cfRule type="cellIs" dxfId="2319" priority="163" operator="lessThan">
      <formula>$H$62</formula>
    </cfRule>
    <cfRule type="cellIs" dxfId="2318" priority="164" operator="greaterThan">
      <formula>$H$62</formula>
    </cfRule>
  </conditionalFormatting>
  <conditionalFormatting sqref="J62">
    <cfRule type="cellIs" dxfId="2317" priority="161" operator="lessThan">
      <formula>$K$62</formula>
    </cfRule>
    <cfRule type="cellIs" dxfId="2316" priority="162" operator="greaterThan">
      <formula>$K$62</formula>
    </cfRule>
  </conditionalFormatting>
  <conditionalFormatting sqref="M62">
    <cfRule type="cellIs" dxfId="2315" priority="159" operator="lessThan">
      <formula>$N$62</formula>
    </cfRule>
    <cfRule type="cellIs" dxfId="2314" priority="160" operator="greaterThan">
      <formula>$N$62</formula>
    </cfRule>
  </conditionalFormatting>
  <conditionalFormatting sqref="B44:E44">
    <cfRule type="cellIs" dxfId="2313" priority="134" operator="greaterThan">
      <formula>0</formula>
    </cfRule>
    <cfRule type="cellIs" dxfId="2312" priority="135" operator="lessThan">
      <formula>0</formula>
    </cfRule>
  </conditionalFormatting>
  <conditionalFormatting sqref="F72">
    <cfRule type="cellIs" dxfId="2311" priority="125" operator="lessThan">
      <formula>$E$72*90%</formula>
    </cfRule>
  </conditionalFormatting>
  <conditionalFormatting sqref="F73">
    <cfRule type="cellIs" dxfId="2310" priority="124" operator="lessThan">
      <formula>$E$73*90%</formula>
    </cfRule>
  </conditionalFormatting>
  <conditionalFormatting sqref="F74">
    <cfRule type="cellIs" dxfId="2309" priority="123" operator="lessThan">
      <formula>$E$74*90%</formula>
    </cfRule>
  </conditionalFormatting>
  <conditionalFormatting sqref="F75">
    <cfRule type="cellIs" dxfId="2308" priority="122" operator="lessThan">
      <formula>$E$75*90%</formula>
    </cfRule>
  </conditionalFormatting>
  <conditionalFormatting sqref="H44:K44">
    <cfRule type="cellIs" dxfId="2307" priority="109" operator="greaterThan">
      <formula>0</formula>
    </cfRule>
    <cfRule type="cellIs" dxfId="2306" priority="110" operator="lessThan">
      <formula>0</formula>
    </cfRule>
  </conditionalFormatting>
  <conditionalFormatting sqref="H51:K51">
    <cfRule type="cellIs" dxfId="2305" priority="107" operator="greaterThan">
      <formula>0</formula>
    </cfRule>
    <cfRule type="cellIs" dxfId="2304" priority="108" operator="lessThan">
      <formula>0</formula>
    </cfRule>
  </conditionalFormatting>
  <conditionalFormatting sqref="B51:E51">
    <cfRule type="cellIs" dxfId="2303" priority="104" operator="greaterThan">
      <formula>0</formula>
    </cfRule>
    <cfRule type="cellIs" dxfId="2302" priority="105" operator="lessThan">
      <formula>0</formula>
    </cfRule>
  </conditionalFormatting>
  <conditionalFormatting sqref="I20">
    <cfRule type="colorScale" priority="103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102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101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100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99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98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97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301" priority="86" operator="lessThan">
      <formula>0</formula>
    </cfRule>
  </conditionalFormatting>
  <conditionalFormatting sqref="D19:D20 D22">
    <cfRule type="colorScale" priority="93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92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91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90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300" priority="89" operator="lessThan">
      <formula>0</formula>
    </cfRule>
  </conditionalFormatting>
  <conditionalFormatting sqref="D21">
    <cfRule type="colorScale" priority="88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87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299" priority="84" operator="lessThan">
      <formula>0</formula>
    </cfRule>
  </conditionalFormatting>
  <conditionalFormatting sqref="A25 E25 C25">
    <cfRule type="cellIs" dxfId="2298" priority="85" operator="lessThan">
      <formula>0</formula>
    </cfRule>
  </conditionalFormatting>
  <conditionalFormatting sqref="F25">
    <cfRule type="cellIs" dxfId="2297" priority="83" operator="lessThan">
      <formula>0</formula>
    </cfRule>
  </conditionalFormatting>
  <conditionalFormatting sqref="E1">
    <cfRule type="containsText" dxfId="2296" priority="82" operator="containsText" text="本季業外損益/平均=-">
      <formula>NOT(ISERROR(SEARCH("本季業外損益/平均=-",E1)))</formula>
    </cfRule>
  </conditionalFormatting>
  <conditionalFormatting sqref="M65">
    <cfRule type="cellIs" dxfId="2295" priority="79" operator="lessThan">
      <formula>$L$65*90%</formula>
    </cfRule>
  </conditionalFormatting>
  <conditionalFormatting sqref="M66">
    <cfRule type="cellIs" dxfId="2294" priority="78" operator="lessThan">
      <formula>$L$66*90%</formula>
    </cfRule>
  </conditionalFormatting>
  <conditionalFormatting sqref="M67">
    <cfRule type="cellIs" dxfId="2293" priority="77" operator="lessThan">
      <formula>$L$67*90%</formula>
    </cfRule>
  </conditionalFormatting>
  <conditionalFormatting sqref="M68">
    <cfRule type="cellIs" dxfId="2292" priority="76" operator="lessThan">
      <formula>$L$68*90%</formula>
    </cfRule>
  </conditionalFormatting>
  <conditionalFormatting sqref="B60">
    <cfRule type="cellIs" dxfId="2291" priority="69" operator="lessThan">
      <formula>0</formula>
    </cfRule>
  </conditionalFormatting>
  <conditionalFormatting sqref="B59:F59">
    <cfRule type="cellIs" dxfId="2290" priority="68" operator="lessThanOrEqual">
      <formula>0</formula>
    </cfRule>
  </conditionalFormatting>
  <conditionalFormatting sqref="D62">
    <cfRule type="cellIs" dxfId="2289" priority="66" operator="lessThan">
      <formula>$E$62</formula>
    </cfRule>
    <cfRule type="cellIs" dxfId="2288" priority="67" operator="greaterThan">
      <formula>$E$62</formula>
    </cfRule>
  </conditionalFormatting>
  <conditionalFormatting sqref="F69">
    <cfRule type="cellIs" dxfId="2287" priority="64" operator="lessThan">
      <formula>0</formula>
    </cfRule>
  </conditionalFormatting>
  <conditionalFormatting sqref="B65:E67 B69:E69 B68:D68">
    <cfRule type="cellIs" dxfId="2286" priority="65" operator="lessThan">
      <formula>0</formula>
    </cfRule>
  </conditionalFormatting>
  <conditionalFormatting sqref="E68">
    <cfRule type="cellIs" dxfId="2285" priority="63" operator="lessThan">
      <formula>0</formula>
    </cfRule>
  </conditionalFormatting>
  <conditionalFormatting sqref="F65:F68">
    <cfRule type="cellIs" dxfId="2284" priority="62" operator="lessThan">
      <formula>0</formula>
    </cfRule>
  </conditionalFormatting>
  <conditionalFormatting sqref="F65:F68">
    <cfRule type="cellIs" dxfId="2283" priority="61" operator="lessThan">
      <formula>$E$65*0.9</formula>
    </cfRule>
  </conditionalFormatting>
  <conditionalFormatting sqref="F66">
    <cfRule type="cellIs" dxfId="2282" priority="60" operator="lessThan">
      <formula>$E$66*0.9</formula>
    </cfRule>
  </conditionalFormatting>
  <conditionalFormatting sqref="F67:F68">
    <cfRule type="cellIs" dxfId="2281" priority="59" operator="lessThan">
      <formula>$E$67*0.9</formula>
    </cfRule>
  </conditionalFormatting>
  <conditionalFormatting sqref="F68">
    <cfRule type="cellIs" dxfId="2280" priority="58" operator="lessThan">
      <formula>$E$68*0.9</formula>
    </cfRule>
  </conditionalFormatting>
  <conditionalFormatting sqref="B13:F13">
    <cfRule type="cellIs" dxfId="2279" priority="38" operator="greaterThan">
      <formula>$I$16</formula>
    </cfRule>
    <cfRule type="cellIs" dxfId="2278" priority="39" operator="lessThanOrEqual">
      <formula>$I$16</formula>
    </cfRule>
  </conditionalFormatting>
  <conditionalFormatting sqref="B10:F10">
    <cfRule type="cellIs" dxfId="2277" priority="40" operator="greaterThan">
      <formula>15</formula>
    </cfRule>
    <cfRule type="cellIs" dxfId="2276" priority="51" operator="lessThan">
      <formula>$I$9</formula>
    </cfRule>
    <cfRule type="cellIs" dxfId="2275" priority="52" operator="greaterThan">
      <formula>$I$9</formula>
    </cfRule>
  </conditionalFormatting>
  <conditionalFormatting sqref="B16:F16">
    <cfRule type="cellIs" dxfId="2274" priority="49" operator="greaterThan">
      <formula>$I$16</formula>
    </cfRule>
    <cfRule type="cellIs" dxfId="2273" priority="50" operator="lessThanOrEqual">
      <formula>$I$16</formula>
    </cfRule>
  </conditionalFormatting>
  <conditionalFormatting sqref="B15:F15">
    <cfRule type="cellIs" dxfId="2272" priority="47" operator="lessThanOrEqual">
      <formula>$I$16</formula>
    </cfRule>
    <cfRule type="cellIs" dxfId="2271" priority="48" operator="greaterThan">
      <formula>$I$16</formula>
    </cfRule>
  </conditionalFormatting>
  <conditionalFormatting sqref="B14:F14">
    <cfRule type="cellIs" dxfId="2270" priority="45" operator="greaterThan">
      <formula>$I$16</formula>
    </cfRule>
    <cfRule type="cellIs" dxfId="2269" priority="46" operator="lessThanOrEqual">
      <formula>$I$16</formula>
    </cfRule>
  </conditionalFormatting>
  <conditionalFormatting sqref="K6">
    <cfRule type="containsText" dxfId="2268" priority="29" operator="containsText" text="衰退">
      <formula>NOT(ISERROR(SEARCH("衰退",K6)))</formula>
    </cfRule>
    <cfRule type="containsText" dxfId="2267" priority="30" operator="containsText" text="成長">
      <formula>NOT(ISERROR(SEARCH("成長",K6)))</formula>
    </cfRule>
  </conditionalFormatting>
  <conditionalFormatting sqref="I4:K4">
    <cfRule type="cellIs" dxfId="2266" priority="27" operator="lessThan">
      <formula>0</formula>
    </cfRule>
    <cfRule type="cellIs" dxfId="2265" priority="28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264" priority="22" operator="lessThanOrEqual">
      <formula>$I$16</formula>
    </cfRule>
    <cfRule type="cellIs" dxfId="2263" priority="23" operator="greaterThan">
      <formula>$I$16</formula>
    </cfRule>
  </conditionalFormatting>
  <conditionalFormatting sqref="I6">
    <cfRule type="containsText" dxfId="2262" priority="20" operator="containsText" text="衰退">
      <formula>NOT(ISERROR(SEARCH("衰退",I6)))</formula>
    </cfRule>
    <cfRule type="containsText" dxfId="2261" priority="21" operator="containsText" text="成長">
      <formula>NOT(ISERROR(SEARCH("成長",I6)))</formula>
    </cfRule>
  </conditionalFormatting>
  <conditionalFormatting sqref="M9">
    <cfRule type="cellIs" dxfId="2260" priority="19" operator="lessThan">
      <formula>$I$9</formula>
    </cfRule>
  </conditionalFormatting>
  <conditionalFormatting sqref="M10">
    <cfRule type="cellIs" dxfId="2259" priority="18" operator="greaterThan">
      <formula>$I$9</formula>
    </cfRule>
  </conditionalFormatting>
  <conditionalFormatting sqref="M11">
    <cfRule type="cellIs" dxfId="225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257" priority="14" operator="lessThan">
      <formula>0</formula>
    </cfRule>
    <cfRule type="cellIs" dxfId="2256" priority="15" operator="greaterThan">
      <formula>0.5</formula>
    </cfRule>
  </conditionalFormatting>
  <conditionalFormatting sqref="N14">
    <cfRule type="cellIs" dxfId="225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254" priority="10" operator="lessThan">
      <formula>0.1</formula>
    </cfRule>
  </conditionalFormatting>
  <conditionalFormatting sqref="I14">
    <cfRule type="cellIs" dxfId="225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25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251" priority="1" operator="lessThan">
      <formula>$N$5*0.9</formula>
    </cfRule>
    <cfRule type="cellIs" dxfId="2250" priority="2" operator="greaterThan">
      <formula>$N$5*1.1</formula>
    </cfRule>
  </conditionalFormatting>
  <hyperlinks>
    <hyperlink ref="L1" location="儀表板!A1" display="(回首頁)" xr:uid="{00000000-0004-0000-4900-000000000000}"/>
  </hyperlink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16.71 ~ 30.24</v>
      </c>
      <c r="L1" s="83" t="s">
        <v>176</v>
      </c>
      <c r="M1" s="84" t="str">
        <f ca="1">VLOOKUP(_xlfn.NUMBERVALUE(N1),儀表板!A:B,2,FALSE)</f>
        <v>聚鼎</v>
      </c>
      <c r="N1" s="85" t="str">
        <f ca="1">MID(CELL("filename",L1),FIND("]",CELL("filename",L1))+1,255)</f>
        <v>6224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0.16165809687043739</v>
      </c>
    </row>
    <row r="3" spans="1:15" s="93" customFormat="1" x14ac:dyDescent="0.25">
      <c r="A3" s="81" t="s">
        <v>179</v>
      </c>
      <c r="B3" s="94">
        <f>SUM(F19:F22,F24:F27,J19)</f>
        <v>85.947779937624915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47.355782140465834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50.066520753883644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52.612972178609475</v>
      </c>
      <c r="L3" s="100"/>
      <c r="M3" s="79" t="s">
        <v>385</v>
      </c>
      <c r="N3" s="92">
        <f>(F69-E69)/E69</f>
        <v>-0.19338445718880309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8</v>
      </c>
      <c r="E4" s="82">
        <f>(D4-F4)/F4</f>
        <v>0</v>
      </c>
      <c r="F4" s="103">
        <v>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4.0814746466246561</v>
      </c>
    </row>
    <row r="5" spans="1:15" s="93" customFormat="1" x14ac:dyDescent="0.25">
      <c r="A5" s="81" t="s">
        <v>184</v>
      </c>
      <c r="B5" s="107">
        <f>SUM(F30:F34)*2</f>
        <v>98.99030067895248</v>
      </c>
      <c r="C5" s="87"/>
      <c r="D5" s="87"/>
      <c r="E5" s="87"/>
      <c r="F5" s="86"/>
      <c r="G5" s="88"/>
      <c r="M5" s="79" t="s">
        <v>386</v>
      </c>
      <c r="N5" s="152">
        <f>D62</f>
        <v>4.21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4.1505987155936062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17.46</v>
      </c>
      <c r="N9" s="129"/>
    </row>
    <row r="10" spans="1:15" s="93" customFormat="1" x14ac:dyDescent="0.25">
      <c r="A10" s="123" t="s">
        <v>194</v>
      </c>
      <c r="B10" s="126">
        <f>PERCENTILE(176:176,B9)</f>
        <v>11.07</v>
      </c>
      <c r="C10" s="126">
        <f>PERCENTILE(176:176,C9)</f>
        <v>11.530000000000001</v>
      </c>
      <c r="D10" s="126">
        <f>PERCENTILE(176:176,D9)</f>
        <v>12.19</v>
      </c>
      <c r="E10" s="126">
        <f>PERCENTILE(176:176,E9)</f>
        <v>12.809999999999999</v>
      </c>
      <c r="F10" s="126">
        <f>PERCENTILE(176:176,F9)</f>
        <v>13.4</v>
      </c>
      <c r="G10" s="95"/>
      <c r="H10" s="135"/>
      <c r="I10" s="135"/>
      <c r="J10" s="135"/>
      <c r="K10" s="135"/>
      <c r="L10" s="136" t="s">
        <v>374</v>
      </c>
      <c r="M10" s="130">
        <f>MIN(176:176)</f>
        <v>9.81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24.35</v>
      </c>
      <c r="L11" s="272" t="s">
        <v>193</v>
      </c>
      <c r="M11" s="128">
        <f>STDEV(176:176)</f>
        <v>1.5988698976771789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60.04901960784315</v>
      </c>
      <c r="C13" s="141">
        <f>$B$34/5.88%</f>
        <v>72.916666666666671</v>
      </c>
      <c r="D13" s="141">
        <f>$B$34/5%</f>
        <v>85.75</v>
      </c>
      <c r="E13" s="141">
        <f>$B$34/4.35%</f>
        <v>98.563218390804622</v>
      </c>
      <c r="F13" s="141">
        <f>$B$34/3.85%</f>
        <v>111.36363636363637</v>
      </c>
      <c r="G13" s="138" t="str">
        <f>"$"&amp;ROUND(B34,2)&amp;"/"&amp;IF(STDEV(C140:F140)/AVERAGE(C140:F140)&lt;15%,"高",IF(STDEV(C140:F140)/AVERAGE(C140:F140)&lt;30%,"中","低"))</f>
        <v>$4.29/高</v>
      </c>
      <c r="H13" s="142" t="s">
        <v>199</v>
      </c>
      <c r="I13" s="143">
        <f>MAX(0,1-J15)</f>
        <v>0.10079051383399207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57.065850000000005</v>
      </c>
      <c r="C14" s="141">
        <f>$B$33*C10</f>
        <v>59.43715000000001</v>
      </c>
      <c r="D14" s="141">
        <f>$B$33*D10</f>
        <v>62.839449999999999</v>
      </c>
      <c r="E14" s="141">
        <f>$B$33*E10</f>
        <v>66.035550000000001</v>
      </c>
      <c r="F14" s="141">
        <f>$B$33*F10</f>
        <v>69.076999999999998</v>
      </c>
      <c r="G14" s="138" t="str">
        <f>"$"&amp;ROUND(B33,2)&amp;"/"&amp;IF(STDEV(B69:E69)/AVERAGE(B69:E69)&lt;15%,"高",IF(STDEV(B69:E69)/AVERAGE(B69:E69)&lt;30%,"中","低"))</f>
        <v>$5.16/高</v>
      </c>
      <c r="H14" s="142" t="s">
        <v>203</v>
      </c>
      <c r="I14" s="145">
        <f>G62/100*I13</f>
        <v>1.6549802371541498E-2</v>
      </c>
      <c r="J14" s="76" t="s">
        <v>204</v>
      </c>
      <c r="K14" s="146"/>
      <c r="L14" s="147">
        <f>(HLOOKUP($C$1,$105:$106,2,FALSE)-HLOOKUP($C$1,$117:$127,9,FALSE))/(HLOOKUP($C$1,$117:$128,12,FALSE)/K11)</f>
        <v>8.7299236110219844</v>
      </c>
      <c r="M14" s="148">
        <f>E135/E69</f>
        <v>1.2707509881422925</v>
      </c>
      <c r="N14" s="149">
        <f>F173/100</f>
        <v>1.0438000000000001</v>
      </c>
    </row>
    <row r="15" spans="1:15" s="93" customFormat="1" x14ac:dyDescent="0.25">
      <c r="A15" s="140" t="s">
        <v>375</v>
      </c>
      <c r="B15" s="141">
        <f>$D$62*B10</f>
        <v>46.604700000000001</v>
      </c>
      <c r="C15" s="141">
        <f>$D$62*C10</f>
        <v>48.541300000000007</v>
      </c>
      <c r="D15" s="141">
        <f>$D$62*D10</f>
        <v>51.319899999999997</v>
      </c>
      <c r="E15" s="141">
        <f>$D$62*E10</f>
        <v>53.930099999999996</v>
      </c>
      <c r="F15" s="141">
        <f>$D$62*F10</f>
        <v>56.414000000000001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0.89920948616600793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45.181924338134941</v>
      </c>
      <c r="C16" s="141">
        <f>$F$69*C10</f>
        <v>47.059402675582291</v>
      </c>
      <c r="D16" s="141">
        <f>$F$69*D10</f>
        <v>49.753175942354552</v>
      </c>
      <c r="E16" s="141">
        <f>$F$69*E10</f>
        <v>52.283690223261843</v>
      </c>
      <c r="F16" s="141">
        <f>$F$69*F10</f>
        <v>54.691760264770394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139</v>
      </c>
      <c r="J17" s="92">
        <f ca="1">IF(I17&lt;=0,"",IF(I17&lt;=MIN($B$13:$F$16),(I17-MIN($B$13:$F$16))/MIN($B$13:$F$16),IF(I17&gt;=MAX($B$13:$F$16),I17/MAX($B$13:$F$16),PERCENTRANK($B$13:$F$16,I17))))</f>
        <v>1.2481632653061223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5.42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1.264139941690962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0.11155921040731194</v>
      </c>
      <c r="J20" s="171">
        <f>HLOOKUP($C$1,$117:$127,11,FALSE)/HLOOKUP($C$1,$105:$115,11,FALSE)</f>
        <v>0.16106638253228167</v>
      </c>
      <c r="K20" s="163"/>
    </row>
    <row r="21" spans="1:14" s="93" customFormat="1" x14ac:dyDescent="0.25">
      <c r="A21" s="151" t="s">
        <v>201</v>
      </c>
      <c r="B21" s="161">
        <f>AVERAGE(C173:F173)/100</f>
        <v>1.2812999999999999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4.1860816378199228</v>
      </c>
      <c r="J21" s="78"/>
      <c r="K21" s="164" t="s">
        <v>356</v>
      </c>
      <c r="L21" s="165">
        <f>HLOOKUP($C$1,$105:$115,7,FALSE)/HLOOKUP($C$1,$105:$115,11,FALSE)</f>
        <v>0.62664681515961451</v>
      </c>
      <c r="M21" s="123" t="s">
        <v>268</v>
      </c>
      <c r="N21" s="165">
        <f>HLOOKUP($C$1,$117:$127,8,FALSE)/HLOOKUP($C$1,$117:$127,11,FALSE)</f>
        <v>0.92941620028824989</v>
      </c>
    </row>
    <row r="22" spans="1:14" s="93" customFormat="1" x14ac:dyDescent="0.25">
      <c r="A22" s="140" t="s">
        <v>222</v>
      </c>
      <c r="B22" s="161">
        <f>(-1)*SUM(C133:F133)/SUM(C132:F132)</f>
        <v>0.1727688787185355</v>
      </c>
      <c r="C22" s="157"/>
      <c r="D22" s="166"/>
      <c r="E22" s="140"/>
      <c r="F22" s="159">
        <f>IF(B22&lt;=0,10,IF(B22&gt;=100%,0,(1-B22)*10))</f>
        <v>8.2723112128146443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3.444338634689744</v>
      </c>
      <c r="J22" s="78"/>
      <c r="K22" s="142" t="s">
        <v>357</v>
      </c>
      <c r="L22" s="165">
        <f>HLOOKUP($C$1,$105:$115,4,FALSE)/HLOOKUP($C$1,$105:$115,11,FALSE)</f>
        <v>0.18425207566542315</v>
      </c>
      <c r="M22" s="123" t="s">
        <v>353</v>
      </c>
      <c r="N22" s="165">
        <f>HLOOKUP($C$1,$117:$127,4,FALSE)/HLOOKUP($C$1,$117:$127,11,FALSE)</f>
        <v>0.30737123008922912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1.1919894246441727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0.11103722545184862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1.0057358553428641</v>
      </c>
      <c r="C24" s="169">
        <f>STDEV(C103:F103)</f>
        <v>1.1471710685728165E-2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92.78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5.9788380752709196E-2</v>
      </c>
      <c r="M24" s="123" t="s">
        <v>355</v>
      </c>
      <c r="N24" s="165">
        <f>HLOOKUP($C$1,$117:$127,9,FALSE)/HLOOKUP($C$1,$117:$127,11,FALSE)</f>
        <v>7.0583799711750064E-2</v>
      </c>
    </row>
    <row r="25" spans="1:14" s="93" customFormat="1" x14ac:dyDescent="0.25">
      <c r="A25" s="151" t="s">
        <v>366</v>
      </c>
      <c r="B25" s="255">
        <f>AVERAGE(94:94)</f>
        <v>6740.95652173913</v>
      </c>
      <c r="C25" s="254">
        <f>STDEV(94:94)/AVERAGE(94:94)</f>
        <v>1.3245312751897185</v>
      </c>
      <c r="D25" s="76" t="str">
        <f>IF(C25&lt;=1,"高",IF(C25&lt;=2,"中","低"))</f>
        <v>中</v>
      </c>
      <c r="E25" s="149"/>
      <c r="F25" s="160">
        <f>MAX(0,10-ABS(C25))</f>
        <v>8.6754687248102815</v>
      </c>
      <c r="G25" s="88" t="s">
        <v>213</v>
      </c>
      <c r="H25" s="123" t="s">
        <v>232</v>
      </c>
      <c r="I25" s="170">
        <f>IF(HLOOKUP(C1,167:170,3,FALSE)="無",0,HLOOKUP(C1,167:170,3,FALSE))</f>
        <v>108.43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95.265217391304361</v>
      </c>
      <c r="C26" s="172">
        <f>IF(COUNTIF(168:168,"&gt;0")=0,0,STDEV(168:168))</f>
        <v>6.9449359376358277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8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136.62260869565219</v>
      </c>
      <c r="C27" s="172">
        <f>IF(COUNTIF(169:169,"&gt;0")=0,0,STDEV(169:169))</f>
        <v>18.862919184423518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6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0.49517500000000003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0.25490000000000002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20.977499999999999</v>
      </c>
      <c r="C32" s="157" t="s">
        <v>217</v>
      </c>
      <c r="D32" s="174">
        <f>COUNTIF(159:159,"&gt;3")/COUNT(159:159)</f>
        <v>0.95652173913043481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5.1550000000000002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4.2875000000000005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9.4951503394762362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1608152</v>
      </c>
      <c r="C36" s="178">
        <f>STDEV(C97:F97)</f>
        <v>79864.94067277998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49.517500000000005</v>
      </c>
      <c r="C37" s="180">
        <f>STDEV(C152:F152)</f>
        <v>1.9182522427112303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28.324999999999999</v>
      </c>
      <c r="C38" s="180">
        <f>STDEV(C153:F153)</f>
        <v>1.5543594607854825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20.977499999999999</v>
      </c>
      <c r="C39" s="181">
        <f>STDEV(C165:F165)</f>
        <v>1.7641310419958411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5.1550000000000002</v>
      </c>
      <c r="C40" s="183">
        <f>STDEV(B69:E69)</f>
        <v>0.47233462714478197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-0.11764705882352951</v>
      </c>
      <c r="C44" s="186">
        <f>(C46-C49)/C49</f>
        <v>-0.29605263157894735</v>
      </c>
      <c r="D44" s="186">
        <f>(D46-D49)/D49</f>
        <v>-0.23076923076923075</v>
      </c>
      <c r="E44" s="186">
        <f>(E46-E49)/E49</f>
        <v>-0.13636363636363646</v>
      </c>
      <c r="G44" s="86" t="s">
        <v>175</v>
      </c>
      <c r="H44" s="186">
        <f>(H47-H50)/H50</f>
        <v>-7.167470709855267E-2</v>
      </c>
      <c r="I44" s="186">
        <f>(I47-I50)/I50</f>
        <v>-0.1359943482868243</v>
      </c>
      <c r="J44" s="186">
        <f>(J47-J50)/J50</f>
        <v>-5.27881040892191E-2</v>
      </c>
      <c r="K44" s="186">
        <f>(K47-K50)/K50</f>
        <v>1.197852127220151E-2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1.2</v>
      </c>
      <c r="C46" s="152">
        <f>HLOOKUP(C45,$81:$82,2,FALSE)</f>
        <v>1.07</v>
      </c>
      <c r="D46" s="152">
        <f>HLOOKUP(D45,$81:$82,2,FALSE)</f>
        <v>0.8</v>
      </c>
      <c r="E46" s="152">
        <f>HLOOKUP(E45,$81:$82,2,FALSE)</f>
        <v>1.1399999999999999</v>
      </c>
      <c r="G46" s="86" t="s">
        <v>164</v>
      </c>
      <c r="H46" s="145">
        <f>HLOOKUP(H45,$145:$147,2,FALSE)/100</f>
        <v>0.48210000000000003</v>
      </c>
      <c r="I46" s="145">
        <f>HLOOKUP(I45,$145:$147,2,FALSE)/100</f>
        <v>0.47570000000000001</v>
      </c>
      <c r="J46" s="145">
        <f>HLOOKUP(J45,$145:$147,2,FALSE)/100</f>
        <v>0.49680000000000002</v>
      </c>
      <c r="K46" s="145">
        <f>HLOOKUP(K45,$145:$147,2,FALSE)/100</f>
        <v>0.47060000000000002</v>
      </c>
    </row>
    <row r="47" spans="1:14" x14ac:dyDescent="0.25">
      <c r="A47" s="188" t="s">
        <v>165</v>
      </c>
      <c r="B47" s="189">
        <f>HLOOKUP(B45,$157:$159,3,FALSE)</f>
        <v>5.08</v>
      </c>
      <c r="C47" s="189">
        <f>HLOOKUP(C45,$157:$159,3,FALSE)</f>
        <v>4.3099999999999996</v>
      </c>
      <c r="D47" s="189">
        <f>HLOOKUP(D45,$157:$159,3,FALSE)</f>
        <v>2.9</v>
      </c>
      <c r="E47" s="189">
        <f>HLOOKUP(E45,$157:$159,3,FALSE)</f>
        <v>4.13</v>
      </c>
      <c r="G47" s="190" t="s">
        <v>166</v>
      </c>
      <c r="H47" s="145">
        <f>HLOOKUP(H45,$145:$147,3,FALSE)/100</f>
        <v>0.26940000000000003</v>
      </c>
      <c r="I47" s="145">
        <f>HLOOKUP(I45,$145:$147,3,FALSE)/100</f>
        <v>0.24460000000000001</v>
      </c>
      <c r="J47" s="145">
        <f>HLOOKUP(J45,$145:$147,3,FALSE)/100</f>
        <v>0.25480000000000003</v>
      </c>
      <c r="K47" s="145">
        <f>HLOOKUP(K45,$145:$147,3,FALSE)/100</f>
        <v>0.245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1.36</v>
      </c>
      <c r="C49" s="152">
        <f>HLOOKUP(C48,$81:$82,2,FALSE)</f>
        <v>1.52</v>
      </c>
      <c r="D49" s="152">
        <f>HLOOKUP(D48,$81:$82,2,FALSE)</f>
        <v>1.04</v>
      </c>
      <c r="E49" s="152">
        <f>HLOOKUP(E48,$81:$82,2,FALSE)</f>
        <v>1.32</v>
      </c>
      <c r="G49" s="86" t="s">
        <v>164</v>
      </c>
      <c r="H49" s="145">
        <f>HLOOKUP(H48,$145:$147,2,FALSE)/100</f>
        <v>0.51439999999999997</v>
      </c>
      <c r="I49" s="145">
        <f>HLOOKUP(I48,$145:$147,2,FALSE)/100</f>
        <v>0.49740000000000001</v>
      </c>
      <c r="J49" s="145">
        <f>HLOOKUP(J48,$145:$147,2,FALSE)/100</f>
        <v>0.4919</v>
      </c>
      <c r="K49" s="145">
        <f>HLOOKUP(K48,$145:$147,2,FALSE)/100</f>
        <v>0.47989999999999999</v>
      </c>
    </row>
    <row r="50" spans="1:15" x14ac:dyDescent="0.25">
      <c r="A50" s="188" t="s">
        <v>165</v>
      </c>
      <c r="B50" s="189">
        <f>HLOOKUP(B48,$157:$159,3,FALSE)</f>
        <v>5.36</v>
      </c>
      <c r="C50" s="189">
        <f>HLOOKUP(C48,$157:$159,3,FALSE)</f>
        <v>5.79</v>
      </c>
      <c r="D50" s="189">
        <f>HLOOKUP(D48,$157:$159,3,FALSE)</f>
        <v>3.93</v>
      </c>
      <c r="E50" s="189">
        <f>HLOOKUP(E48,$157:$159,3,FALSE)</f>
        <v>5.21</v>
      </c>
      <c r="G50" s="190" t="s">
        <v>166</v>
      </c>
      <c r="H50" s="145">
        <f>HLOOKUP(H48,$145:$147,3,FALSE)/100</f>
        <v>0.29020000000000001</v>
      </c>
      <c r="I50" s="145">
        <f>HLOOKUP(I48,$145:$147,3,FALSE)/100</f>
        <v>0.28309999999999996</v>
      </c>
      <c r="J50" s="145">
        <f>HLOOKUP(J48,$145:$147,3,FALSE)/100</f>
        <v>0.26899999999999996</v>
      </c>
      <c r="K50" s="145">
        <f>HLOOKUP(K48,$145:$147,3,FALSE)/100</f>
        <v>0.24210000000000001</v>
      </c>
    </row>
    <row r="51" spans="1:15" x14ac:dyDescent="0.25">
      <c r="A51" s="86" t="s">
        <v>351</v>
      </c>
      <c r="B51" s="186">
        <f>(B47-B50)/B50</f>
        <v>-5.22388059701493E-2</v>
      </c>
      <c r="C51" s="186">
        <f>(C47-C50)/C50</f>
        <v>-0.25561312607944742</v>
      </c>
      <c r="D51" s="186">
        <f>(D47-D50)/D50</f>
        <v>-0.26208651399491101</v>
      </c>
      <c r="E51" s="186">
        <f>(E47-E50)/E50</f>
        <v>-0.20729366602687141</v>
      </c>
      <c r="G51" s="235" t="s">
        <v>174</v>
      </c>
      <c r="H51" s="186">
        <f>(H46-H49)/H49</f>
        <v>-6.2791601866251837E-2</v>
      </c>
      <c r="I51" s="186">
        <f>(I46-I49)/I49</f>
        <v>-4.3626859670285477E-2</v>
      </c>
      <c r="J51" s="186">
        <f>(J46-J49)/J49</f>
        <v>9.96137426306163E-3</v>
      </c>
      <c r="K51" s="186">
        <f>(K46-K49)/K49</f>
        <v>-1.9379037299437331E-2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4.1505987155936062</v>
      </c>
      <c r="B53" s="193">
        <f>B46</f>
        <v>1.2</v>
      </c>
      <c r="C53" s="193">
        <f>E46/HLOOKUP(E45,$87:$94,5,FALSE)*HLOOKUP(E45,$87:$94,4,FALSE)*($B$25/HLOOKUP(E45,$87:$94,4,FALSE)+SUM($B$57:$D$57)/SUM($B58:$D$58)*$G$69/100/K46)</f>
        <v>1.0114746466246554</v>
      </c>
      <c r="D53" s="193">
        <f>D46/HLOOKUP(D45,$87:$94,5,FALSE)*HLOOKUP(D45,$87:$94,4,FALSE)*($B$25/HLOOKUP(D45,$87:$94,4,FALSE)+SUM($B$57:$D$57)/SUM($B58:$D$58)*$G$69/100/J46)</f>
        <v>0.9204881208743948</v>
      </c>
      <c r="E53" s="193">
        <f>C46/HLOOKUP(C45,$87:$94,5,FALSE)*HLOOKUP(C45,$87:$94,4,FALSE)*($B$25/HLOOKUP(C45,$87:$94,4,FALSE)+SUM($B$57:$D$57)/SUM($B58:$D$58)*$G$69/100/I46)</f>
        <v>1.0186359480945566</v>
      </c>
    </row>
    <row r="54" spans="1:15" x14ac:dyDescent="0.25">
      <c r="A54" s="278">
        <f>SUM(B54:E54)</f>
        <v>4.37</v>
      </c>
      <c r="B54" s="277">
        <f t="shared" ref="B54:D54" si="0">HLOOKUP(B52-10,81:82,2,FALSE)</f>
        <v>1.36</v>
      </c>
      <c r="C54" s="277">
        <f t="shared" si="0"/>
        <v>1.1399999999999999</v>
      </c>
      <c r="D54" s="277">
        <f t="shared" si="0"/>
        <v>0.8</v>
      </c>
      <c r="E54" s="277">
        <f>HLOOKUP(E52-10,81:82,2,FALSE)</f>
        <v>1.07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124850</v>
      </c>
      <c r="C57" s="196">
        <f>HLOOKUP(C56,78:79,2,FALSE)</f>
        <v>135798</v>
      </c>
      <c r="D57" s="196">
        <f>HLOOKUP(D56,78:79,2,FALSE)</f>
        <v>132358</v>
      </c>
      <c r="E57" s="196">
        <f>HLOOKUP(E56,78:79,2,FALSE)</f>
        <v>135240</v>
      </c>
      <c r="F57" s="196">
        <f>HLOOKUP(F56,78:79,2,FALSE)</f>
        <v>129859</v>
      </c>
      <c r="G57" s="196">
        <f t="shared" ref="G57:M57" si="2">HLOOKUP(G56,78:79,2,FALSE)</f>
        <v>131317</v>
      </c>
      <c r="H57" s="196">
        <f t="shared" si="2"/>
        <v>132893</v>
      </c>
      <c r="I57" s="196">
        <f t="shared" si="2"/>
        <v>131998</v>
      </c>
      <c r="J57" s="196">
        <f t="shared" si="2"/>
        <v>110496</v>
      </c>
      <c r="K57" s="196">
        <f t="shared" si="2"/>
        <v>109375</v>
      </c>
      <c r="L57" s="196">
        <f t="shared" si="2"/>
        <v>130006</v>
      </c>
      <c r="M57" s="196">
        <f t="shared" si="2"/>
        <v>137920</v>
      </c>
      <c r="N57" s="197"/>
    </row>
    <row r="58" spans="1:15" x14ac:dyDescent="0.25">
      <c r="A58" s="198" t="s">
        <v>253</v>
      </c>
      <c r="B58" s="196">
        <f>HLOOKUP(B56-100,78:79,2,FALSE)</f>
        <v>132356</v>
      </c>
      <c r="C58" s="196">
        <f>HLOOKUP(C56-100,78:79,2,FALSE)</f>
        <v>151955</v>
      </c>
      <c r="D58" s="196">
        <f>HLOOKUP(D56-100,78:79,2,FALSE)</f>
        <v>149036</v>
      </c>
      <c r="E58" s="196">
        <f>HLOOKUP(E56-100,78:79,2,FALSE)</f>
        <v>152597</v>
      </c>
      <c r="F58" s="196">
        <f>HLOOKUP(F56-100,78:79,2,FALSE)</f>
        <v>143766</v>
      </c>
      <c r="G58" s="196">
        <f t="shared" ref="G58:M58" si="3">HLOOKUP(G56-100,78:79,2,FALSE)</f>
        <v>143259</v>
      </c>
      <c r="H58" s="196">
        <f t="shared" si="3"/>
        <v>143297</v>
      </c>
      <c r="I58" s="196">
        <f t="shared" si="3"/>
        <v>130375</v>
      </c>
      <c r="J58" s="196">
        <f t="shared" si="3"/>
        <v>98781</v>
      </c>
      <c r="K58" s="196">
        <f t="shared" si="3"/>
        <v>142413</v>
      </c>
      <c r="L58" s="196">
        <f t="shared" si="3"/>
        <v>138567</v>
      </c>
      <c r="M58" s="196">
        <f t="shared" si="3"/>
        <v>140510</v>
      </c>
      <c r="N58" s="197"/>
    </row>
    <row r="59" spans="1:15" x14ac:dyDescent="0.25">
      <c r="A59" s="199" t="s">
        <v>254</v>
      </c>
      <c r="B59" s="165">
        <f>IF(B57&lt;&gt;"",(B57-B58)/B58,"")</f>
        <v>-5.6710689352957179E-2</v>
      </c>
      <c r="C59" s="165">
        <f>IF(C57&lt;&gt;"",(C57-C58)/C58,"")</f>
        <v>-0.10632753117699319</v>
      </c>
      <c r="D59" s="165">
        <f>IF(D57&lt;&gt;"",(D57-D58)/D58,"")</f>
        <v>-0.11190584825142919</v>
      </c>
      <c r="E59" s="165">
        <f>IF(E57&lt;&gt;"",(E57-E58)/E58,"")</f>
        <v>-0.11374404477152238</v>
      </c>
      <c r="F59" s="165">
        <f>IF(F57&lt;&gt;"",(F57-F58)/F58,"")</f>
        <v>-9.6733580957945556E-2</v>
      </c>
      <c r="G59" s="165">
        <f t="shared" ref="G59:M59" si="4">IF(G57&lt;&gt;"",(G57-G58)/G58,"")</f>
        <v>-8.33595096992161E-2</v>
      </c>
      <c r="H59" s="165">
        <f t="shared" si="4"/>
        <v>-7.260445089569216E-2</v>
      </c>
      <c r="I59" s="165">
        <f t="shared" si="4"/>
        <v>1.2448705656759347E-2</v>
      </c>
      <c r="J59" s="165">
        <f t="shared" si="4"/>
        <v>0.1185956813557263</v>
      </c>
      <c r="K59" s="165">
        <f t="shared" si="4"/>
        <v>-0.23198724835513612</v>
      </c>
      <c r="L59" s="165">
        <f t="shared" si="4"/>
        <v>-6.1782386859786244E-2</v>
      </c>
      <c r="M59" s="165">
        <f t="shared" si="4"/>
        <v>-1.8432851754323534E-2</v>
      </c>
    </row>
    <row r="60" spans="1:15" x14ac:dyDescent="0.25">
      <c r="A60" s="195" t="s">
        <v>255</v>
      </c>
      <c r="B60" s="196">
        <f>SUM(B57:M57)</f>
        <v>1542110</v>
      </c>
    </row>
    <row r="61" spans="1:15" x14ac:dyDescent="0.25">
      <c r="A61" s="198" t="s">
        <v>256</v>
      </c>
      <c r="B61" s="196">
        <f>SUM(B58:M58)</f>
        <v>1666912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0.92512982089036488</v>
      </c>
      <c r="D62" s="152">
        <f>SUM(B46:E46)</f>
        <v>4.21</v>
      </c>
      <c r="E62" s="152">
        <f>SUM(B49:E49)</f>
        <v>5.24</v>
      </c>
      <c r="G62" s="126">
        <f>SUM(B47:E47)</f>
        <v>16.420000000000002</v>
      </c>
      <c r="H62" s="126">
        <f>SUM(B50:E50)</f>
        <v>20.29</v>
      </c>
      <c r="J62" s="200">
        <f>AVERAGE(H46:K46)</f>
        <v>0.48130000000000006</v>
      </c>
      <c r="K62" s="200">
        <f>AVERAGE(H49:K49)</f>
        <v>0.49590000000000001</v>
      </c>
      <c r="M62" s="200">
        <f>AVERAGE(H47:K47)</f>
        <v>0.25345000000000001</v>
      </c>
      <c r="N62" s="200">
        <f>AVERAGE(H50:K50)</f>
        <v>0.27109999999999995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</v>
      </c>
      <c r="C65" s="205">
        <f t="shared" si="5"/>
        <v>1.07</v>
      </c>
      <c r="D65" s="205">
        <f t="shared" si="5"/>
        <v>1.24</v>
      </c>
      <c r="E65" s="205">
        <f t="shared" si="5"/>
        <v>1.04</v>
      </c>
      <c r="F65" s="206">
        <f>IF(ISNA(HLOOKUP(F$64*10+$A65,$81:$82,2,FALSE)),(HLOOKUP(E$64*10+$A65,$87:$94,4,FALSE)*$G65+$B$25)/HLOOKUP(E$64*10+$A65,$87:$94,5,FALSE)*$E65,HLOOKUP(F$64*10+$A65,$81:$82,2,FALSE))</f>
        <v>0.8</v>
      </c>
      <c r="G65" s="101">
        <f>MIN(130%,SUM($B$57:$D$57)/SUM($B$58:$D$58)*$G$69/HLOOKUP(E$64*10+$A65,$145:$146,2,FALSE))</f>
        <v>0.9189926194947019</v>
      </c>
      <c r="H65" s="204">
        <v>1</v>
      </c>
      <c r="I65" s="208">
        <f t="shared" ref="I65:M68" si="6">IF(ISNA(HLOOKUP(I$64*10+$H65,$145:$147,3,FALSE)),"",HLOOKUP(I$64*10+$H65,$145:$147,3,FALSE)/100)</f>
        <v>0.2802</v>
      </c>
      <c r="J65" s="208">
        <f t="shared" si="6"/>
        <v>0.2611</v>
      </c>
      <c r="K65" s="208">
        <f t="shared" si="6"/>
        <v>0.31079999999999997</v>
      </c>
      <c r="L65" s="208">
        <f t="shared" si="6"/>
        <v>0.26899999999999996</v>
      </c>
      <c r="M65" s="209">
        <f t="shared" si="6"/>
        <v>0.25480000000000003</v>
      </c>
      <c r="N65" s="256">
        <f t="shared" ref="N65:O68" si="7">HLOOKUP(E$64*10+$A65,$87:$94,8,FALSE)</f>
        <v>64</v>
      </c>
      <c r="O65" s="256">
        <f t="shared" si="7"/>
        <v>-12895</v>
      </c>
      <c r="P65" s="210"/>
    </row>
    <row r="66" spans="1:71" x14ac:dyDescent="0.25">
      <c r="A66" s="204">
        <v>2</v>
      </c>
      <c r="B66" s="205">
        <f t="shared" si="5"/>
        <v>1.3</v>
      </c>
      <c r="C66" s="205">
        <f t="shared" si="5"/>
        <v>1.5</v>
      </c>
      <c r="D66" s="205">
        <f t="shared" si="5"/>
        <v>1.67</v>
      </c>
      <c r="E66" s="205">
        <f t="shared" si="5"/>
        <v>1.52</v>
      </c>
      <c r="F66" s="206">
        <f>IF(ISNA(HLOOKUP(F$64*10+$A66,$81:$82,2,FALSE)),(HLOOKUP(E$64*10+$A66,$87:$94,4,FALSE)*$G66+$B$25)/HLOOKUP(E$64*10+$A66,$87:$94,5,FALSE)*$E66,HLOOKUP(F$64*10+$A66,$81:$82,2,FALSE))</f>
        <v>1.07</v>
      </c>
      <c r="G66" s="101">
        <f>MIN(130%,SUM($B$57:$D$57)/SUM($B$58:$D$58)*$G$69/HLOOKUP(E$64*10+$A66,$145:$146,2,FALSE))</f>
        <v>0.90883085952843556</v>
      </c>
      <c r="H66" s="204">
        <v>2</v>
      </c>
      <c r="I66" s="208">
        <f t="shared" si="6"/>
        <v>0.31440000000000001</v>
      </c>
      <c r="J66" s="208">
        <f t="shared" si="6"/>
        <v>0.32850000000000001</v>
      </c>
      <c r="K66" s="208">
        <f t="shared" si="6"/>
        <v>0.35850000000000004</v>
      </c>
      <c r="L66" s="208">
        <f t="shared" si="6"/>
        <v>0.28309999999999996</v>
      </c>
      <c r="M66" s="209">
        <f t="shared" si="6"/>
        <v>0.24460000000000001</v>
      </c>
      <c r="N66" s="256">
        <f t="shared" si="7"/>
        <v>8091</v>
      </c>
      <c r="O66" s="256">
        <f t="shared" si="7"/>
        <v>6908</v>
      </c>
      <c r="P66" s="210"/>
    </row>
    <row r="67" spans="1:71" x14ac:dyDescent="0.25">
      <c r="A67" s="204">
        <v>3</v>
      </c>
      <c r="B67" s="205">
        <f t="shared" si="5"/>
        <v>1.1499999999999999</v>
      </c>
      <c r="C67" s="205">
        <f t="shared" si="5"/>
        <v>1.19</v>
      </c>
      <c r="D67" s="205">
        <f t="shared" si="5"/>
        <v>1.6</v>
      </c>
      <c r="E67" s="205">
        <f t="shared" si="5"/>
        <v>1.36</v>
      </c>
      <c r="F67" s="206">
        <f>IF(ISNA(HLOOKUP(F$64*10+$A67,$81:$82,2,FALSE)),(HLOOKUP(E$64*10+$A67,$87:$94,4,FALSE)*$G67+$B$25)/HLOOKUP(E$64*10+$A67,$87:$94,5,FALSE)*$E67,HLOOKUP(F$64*10+$A67,$81:$82,2,FALSE))</f>
        <v>1.2</v>
      </c>
      <c r="G67" s="101">
        <f>MIN(130%,SUM($B$57:$D$57)/SUM($B$58:$D$58)*$G$69/HLOOKUP(E$64*10+$A67,$145:$146,2,FALSE))</f>
        <v>0.87879562505723929</v>
      </c>
      <c r="H67" s="204">
        <v>3</v>
      </c>
      <c r="I67" s="208">
        <f t="shared" si="6"/>
        <v>0.26739999999999997</v>
      </c>
      <c r="J67" s="208">
        <f t="shared" si="6"/>
        <v>0.248</v>
      </c>
      <c r="K67" s="208">
        <f t="shared" si="6"/>
        <v>0.30840000000000001</v>
      </c>
      <c r="L67" s="208">
        <f t="shared" si="6"/>
        <v>0.29020000000000001</v>
      </c>
      <c r="M67" s="209">
        <f t="shared" si="6"/>
        <v>0.26940000000000003</v>
      </c>
      <c r="N67" s="256">
        <f t="shared" si="7"/>
        <v>-2778</v>
      </c>
      <c r="O67" s="256">
        <f t="shared" si="7"/>
        <v>6496</v>
      </c>
      <c r="P67" s="210"/>
    </row>
    <row r="68" spans="1:71" x14ac:dyDescent="0.25">
      <c r="A68" s="204">
        <v>4</v>
      </c>
      <c r="B68" s="205">
        <f>HLOOKUP(B$64*10+$A68,$81:$82,2,FALSE)</f>
        <v>1.28</v>
      </c>
      <c r="C68" s="205">
        <f>HLOOKUP(C$64*10+$A68,$81:$82,2,FALSE)</f>
        <v>1.24</v>
      </c>
      <c r="D68" s="205">
        <f>HLOOKUP(D$64*10+$A68,$81:$82,2,FALSE)</f>
        <v>1.32</v>
      </c>
      <c r="E68" s="206">
        <f>IF(ISNA(HLOOKUP(E$64*10+$A68,$81:$82,2,FALSE)),D68*(1-$N68)*#REF!*(1+$B$25)/(1+$E$4),HLOOKUP(E$64*10+$A68,$81:$82,2,FALSE))</f>
        <v>1.1399999999999999</v>
      </c>
      <c r="F68" s="206">
        <f>IF(ISNA(HLOOKUP(F$64*10+$A68,$81:$82,2,FALSE)),(HLOOKUP(E$64*10+$A68,$87:$94,4,FALSE)*$G68+$B$25)/HLOOKUP(E$64*10+$A68,$87:$94,5,FALSE)*$E68,HLOOKUP(F$64*10+$A68,$81:$82,2,FALSE))</f>
        <v>1.0114746466246554</v>
      </c>
      <c r="G68" s="101">
        <f>MIN(130%,SUM($B$57:$D$57)/SUM($B$58:$D$58)*$G$69/HLOOKUP(E$64*10+$A68,$145:$146,2,FALSE))</f>
        <v>0.96058748306299158</v>
      </c>
      <c r="H68" s="204">
        <v>4</v>
      </c>
      <c r="I68" s="208">
        <f t="shared" si="6"/>
        <v>0.26899999999999996</v>
      </c>
      <c r="J68" s="208">
        <f t="shared" si="6"/>
        <v>0.24170000000000003</v>
      </c>
      <c r="K68" s="208">
        <f t="shared" si="6"/>
        <v>0.24210000000000001</v>
      </c>
      <c r="L68" s="208">
        <f t="shared" si="6"/>
        <v>0.245</v>
      </c>
      <c r="M68" s="209" t="str">
        <f t="shared" si="6"/>
        <v/>
      </c>
      <c r="N68" s="256">
        <f t="shared" si="7"/>
        <v>15704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4.7299999999999995</v>
      </c>
      <c r="C69" s="213">
        <f>SUM(C65:C68)</f>
        <v>5</v>
      </c>
      <c r="D69" s="213">
        <f>SUM(D65:D68)</f>
        <v>5.83</v>
      </c>
      <c r="E69" s="213">
        <f>SUM(E65:E68)</f>
        <v>5.0599999999999996</v>
      </c>
      <c r="F69" s="213">
        <f>SUM(F65:F68)</f>
        <v>4.0814746466246561</v>
      </c>
      <c r="G69" s="257">
        <f>_xlfn.FORECAST.ETS(23,B146:W146,{1,2,3,4,5,6,7,8,9,10,11,12,13,14,15,16,17,18,19,20,21,22})</f>
        <v>49.845442948244028</v>
      </c>
      <c r="H69" s="214" t="s">
        <v>19</v>
      </c>
      <c r="I69" s="215">
        <f>HLOOKUP(I64,151:155,3,FALSE)/100</f>
        <v>0.28239999999999998</v>
      </c>
      <c r="J69" s="215">
        <f>HLOOKUP(J64,151:155,3,FALSE)/100</f>
        <v>0.27239999999999998</v>
      </c>
      <c r="K69" s="215">
        <f>HLOOKUP(K64,151:155,3,FALSE)/100</f>
        <v>0.30549999999999999</v>
      </c>
      <c r="L69" s="215">
        <f>IF(ISNA(HLOOKUP(L64,151:155,3,FALSE)/100),AVERAGE(L65:L68),HLOOKUP(L64,151:155,3,FALSE)/100)</f>
        <v>0.2727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4.34</v>
      </c>
      <c r="C72" s="205">
        <f t="shared" si="8"/>
        <v>4.53</v>
      </c>
      <c r="D72" s="205">
        <f t="shared" si="8"/>
        <v>4.99</v>
      </c>
      <c r="E72" s="205">
        <f t="shared" si="8"/>
        <v>3.93</v>
      </c>
      <c r="F72" s="205">
        <f t="shared" si="8"/>
        <v>2.9</v>
      </c>
    </row>
    <row r="73" spans="1:71" s="135" customFormat="1" x14ac:dyDescent="0.25">
      <c r="A73" s="204">
        <v>2</v>
      </c>
      <c r="B73" s="205">
        <f t="shared" si="8"/>
        <v>5.89</v>
      </c>
      <c r="C73" s="205">
        <f t="shared" si="8"/>
        <v>6.55</v>
      </c>
      <c r="D73" s="205">
        <f t="shared" si="8"/>
        <v>6.89</v>
      </c>
      <c r="E73" s="205">
        <f t="shared" si="8"/>
        <v>5.79</v>
      </c>
      <c r="F73" s="205">
        <f t="shared" si="8"/>
        <v>4.3099999999999996</v>
      </c>
    </row>
    <row r="74" spans="1:71" s="135" customFormat="1" x14ac:dyDescent="0.25">
      <c r="A74" s="204">
        <v>3</v>
      </c>
      <c r="B74" s="205">
        <f t="shared" si="8"/>
        <v>5.4</v>
      </c>
      <c r="C74" s="205">
        <f t="shared" si="8"/>
        <v>5.37</v>
      </c>
      <c r="D74" s="205">
        <f t="shared" si="8"/>
        <v>6.74</v>
      </c>
      <c r="E74" s="205">
        <f t="shared" si="8"/>
        <v>5.36</v>
      </c>
      <c r="F74" s="205">
        <f t="shared" si="8"/>
        <v>5.08</v>
      </c>
    </row>
    <row r="75" spans="1:71" s="135" customFormat="1" x14ac:dyDescent="0.25">
      <c r="A75" s="204">
        <v>4</v>
      </c>
      <c r="B75" s="205">
        <f t="shared" si="8"/>
        <v>5.68</v>
      </c>
      <c r="C75" s="205">
        <f t="shared" si="8"/>
        <v>5.25</v>
      </c>
      <c r="D75" s="205">
        <f t="shared" si="8"/>
        <v>5.21</v>
      </c>
      <c r="E75" s="205">
        <f t="shared" si="8"/>
        <v>4.13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21.310000000000002</v>
      </c>
      <c r="C76" s="213">
        <f>SUM(C72:C75)</f>
        <v>21.7</v>
      </c>
      <c r="D76" s="213">
        <f>SUM(D72:D75)</f>
        <v>23.83</v>
      </c>
      <c r="E76" s="213">
        <f>AVERAGE(E72:E75)*4</f>
        <v>19.21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101041</v>
      </c>
      <c r="C79" s="270">
        <v>120680</v>
      </c>
      <c r="D79" s="270">
        <v>138692</v>
      </c>
      <c r="E79" s="270">
        <v>149185</v>
      </c>
      <c r="F79" s="270">
        <v>164000</v>
      </c>
      <c r="G79" s="270">
        <v>153190</v>
      </c>
      <c r="H79" s="270">
        <v>175828</v>
      </c>
      <c r="I79" s="270">
        <v>154497</v>
      </c>
      <c r="J79" s="270">
        <v>150570</v>
      </c>
      <c r="K79" s="270">
        <v>134519</v>
      </c>
      <c r="L79" s="270">
        <v>131674</v>
      </c>
      <c r="M79" s="270">
        <v>129821</v>
      </c>
      <c r="N79" s="270">
        <v>143145</v>
      </c>
      <c r="O79" s="270">
        <v>100926</v>
      </c>
      <c r="P79" s="270">
        <v>119519</v>
      </c>
      <c r="Q79" s="270">
        <v>123473</v>
      </c>
      <c r="R79" s="270">
        <v>128310</v>
      </c>
      <c r="S79" s="270">
        <v>114584</v>
      </c>
      <c r="T79" s="270">
        <v>123641</v>
      </c>
      <c r="U79" s="270">
        <v>132013</v>
      </c>
      <c r="V79" s="270">
        <v>131277</v>
      </c>
      <c r="W79" s="270">
        <v>119082</v>
      </c>
      <c r="X79" s="270">
        <v>134326</v>
      </c>
      <c r="Y79" s="270">
        <v>125878</v>
      </c>
      <c r="Z79" s="270">
        <v>123609</v>
      </c>
      <c r="AA79" s="270">
        <v>109876</v>
      </c>
      <c r="AB79" s="270">
        <v>131612</v>
      </c>
      <c r="AC79" s="270">
        <v>156693</v>
      </c>
      <c r="AD79" s="270">
        <v>158811</v>
      </c>
      <c r="AE79" s="270">
        <v>141209</v>
      </c>
      <c r="AF79" s="270">
        <v>141843</v>
      </c>
      <c r="AG79" s="270">
        <v>128992</v>
      </c>
      <c r="AH79" s="270">
        <v>132262</v>
      </c>
      <c r="AI79" s="270">
        <v>128101</v>
      </c>
      <c r="AJ79" s="270">
        <v>128010</v>
      </c>
      <c r="AK79" s="270">
        <v>125719</v>
      </c>
      <c r="AL79" s="270">
        <v>127239</v>
      </c>
      <c r="AM79" s="270">
        <v>105319</v>
      </c>
      <c r="AN79" s="270">
        <v>149376</v>
      </c>
      <c r="AO79" s="270">
        <v>153293</v>
      </c>
      <c r="AP79" s="270">
        <v>154727</v>
      </c>
      <c r="AQ79" s="270">
        <v>136800</v>
      </c>
      <c r="AR79" s="270">
        <v>141083</v>
      </c>
      <c r="AS79" s="270">
        <v>137727</v>
      </c>
      <c r="AT79" s="270">
        <v>145683</v>
      </c>
      <c r="AU79" s="270">
        <v>143612</v>
      </c>
      <c r="AV79" s="270">
        <v>140510</v>
      </c>
      <c r="AW79" s="270">
        <v>138567</v>
      </c>
      <c r="AX79" s="270">
        <v>142413</v>
      </c>
      <c r="AY79" s="270">
        <v>98781</v>
      </c>
      <c r="AZ79" s="270">
        <v>130375</v>
      </c>
      <c r="BA79" s="270">
        <v>143297</v>
      </c>
      <c r="BB79" s="270">
        <v>143259</v>
      </c>
      <c r="BC79" s="270">
        <v>143766</v>
      </c>
      <c r="BD79" s="270">
        <v>152597</v>
      </c>
      <c r="BE79" s="270">
        <v>149036</v>
      </c>
      <c r="BF79" s="270">
        <v>151955</v>
      </c>
      <c r="BG79" s="270">
        <v>132356</v>
      </c>
      <c r="BH79" s="270">
        <v>137920</v>
      </c>
      <c r="BI79" s="270">
        <v>130006</v>
      </c>
      <c r="BJ79" s="270">
        <v>109375</v>
      </c>
      <c r="BK79" s="270">
        <v>110496</v>
      </c>
      <c r="BL79" s="270">
        <v>131998</v>
      </c>
      <c r="BM79" s="270">
        <v>132893</v>
      </c>
      <c r="BN79" s="270">
        <v>131317</v>
      </c>
      <c r="BO79" s="270">
        <v>129859</v>
      </c>
      <c r="BP79" s="270">
        <v>135240</v>
      </c>
      <c r="BQ79" s="270">
        <v>132358</v>
      </c>
      <c r="BR79" s="270">
        <v>135798</v>
      </c>
      <c r="BS79" s="270">
        <v>124850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0.76</v>
      </c>
      <c r="C82" s="72">
        <v>1.44</v>
      </c>
      <c r="D82" s="72">
        <v>1.52</v>
      </c>
      <c r="E82" s="72">
        <v>1.24</v>
      </c>
      <c r="F82" s="72">
        <v>1</v>
      </c>
      <c r="G82" s="72">
        <v>1.3</v>
      </c>
      <c r="H82" s="72">
        <v>1.1499999999999999</v>
      </c>
      <c r="I82" s="72">
        <v>1.28</v>
      </c>
      <c r="J82" s="72">
        <v>1.07</v>
      </c>
      <c r="K82" s="72">
        <v>1.5</v>
      </c>
      <c r="L82" s="72">
        <v>1.19</v>
      </c>
      <c r="M82" s="72">
        <v>1.24</v>
      </c>
      <c r="N82" s="72">
        <v>1.24</v>
      </c>
      <c r="O82" s="72">
        <v>1.67</v>
      </c>
      <c r="P82" s="72">
        <v>1.6</v>
      </c>
      <c r="Q82" s="72">
        <v>1.32</v>
      </c>
      <c r="R82" s="72">
        <v>1.04</v>
      </c>
      <c r="S82" s="72">
        <v>1.52</v>
      </c>
      <c r="T82" s="72">
        <v>1.36</v>
      </c>
      <c r="U82" s="72">
        <v>1.1399999999999999</v>
      </c>
      <c r="V82" s="72">
        <v>0.8</v>
      </c>
      <c r="W82" s="72">
        <v>1.07</v>
      </c>
      <c r="X82" s="72">
        <v>1.2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21.57</v>
      </c>
      <c r="C85" s="72">
        <v>19.86</v>
      </c>
      <c r="D85" s="72">
        <v>21.26</v>
      </c>
      <c r="E85" s="72">
        <v>22.53</v>
      </c>
      <c r="F85" s="72">
        <v>23.41</v>
      </c>
      <c r="G85" s="72">
        <v>20.7</v>
      </c>
      <c r="H85" s="72">
        <v>21.78</v>
      </c>
      <c r="I85" s="72">
        <v>23.19</v>
      </c>
      <c r="J85" s="72">
        <v>24.25</v>
      </c>
      <c r="K85" s="72">
        <v>21.54</v>
      </c>
      <c r="L85" s="72">
        <v>22.9</v>
      </c>
      <c r="M85" s="72">
        <v>24.32</v>
      </c>
      <c r="N85" s="72">
        <v>25.5</v>
      </c>
      <c r="O85" s="72">
        <v>22.88</v>
      </c>
      <c r="P85" s="72">
        <v>24.74</v>
      </c>
      <c r="Q85" s="72">
        <v>25.89</v>
      </c>
      <c r="R85" s="72">
        <v>26.81</v>
      </c>
      <c r="S85" s="72">
        <v>23.84</v>
      </c>
      <c r="T85" s="72">
        <v>24.96</v>
      </c>
      <c r="U85" s="72">
        <v>25.98</v>
      </c>
      <c r="V85" s="72">
        <v>26.41</v>
      </c>
      <c r="W85" s="72">
        <v>23.04</v>
      </c>
      <c r="X85" s="72">
        <v>24.35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360413</v>
      </c>
      <c r="C88" s="273">
        <v>466375</v>
      </c>
      <c r="D88" s="273">
        <v>480895</v>
      </c>
      <c r="E88" s="273">
        <v>396014</v>
      </c>
      <c r="F88" s="273">
        <v>363591</v>
      </c>
      <c r="G88" s="273">
        <v>366366</v>
      </c>
      <c r="H88" s="273">
        <v>386931</v>
      </c>
      <c r="I88" s="273">
        <v>379286</v>
      </c>
      <c r="J88" s="273">
        <v>365097</v>
      </c>
      <c r="K88" s="273">
        <v>456713</v>
      </c>
      <c r="L88" s="273">
        <v>403097</v>
      </c>
      <c r="M88" s="273">
        <v>381830</v>
      </c>
      <c r="N88" s="273">
        <v>381934</v>
      </c>
      <c r="O88" s="273">
        <v>444819</v>
      </c>
      <c r="P88" s="273">
        <v>424494</v>
      </c>
      <c r="Q88" s="273">
        <v>422689</v>
      </c>
      <c r="R88" s="273">
        <v>371569</v>
      </c>
      <c r="S88" s="273">
        <v>430322</v>
      </c>
      <c r="T88" s="273">
        <v>453588</v>
      </c>
      <c r="U88" s="273">
        <v>400282</v>
      </c>
      <c r="V88" s="273">
        <v>351869</v>
      </c>
      <c r="W88" s="273">
        <v>394069</v>
      </c>
      <c r="X88" s="273">
        <v>403396</v>
      </c>
    </row>
    <row r="89" spans="1:25" ht="14.25" thickBot="1" x14ac:dyDescent="0.3">
      <c r="A89" s="250" t="s">
        <v>4</v>
      </c>
      <c r="B89" s="275">
        <v>143967</v>
      </c>
      <c r="C89" s="275">
        <v>224831</v>
      </c>
      <c r="D89" s="275">
        <v>223941</v>
      </c>
      <c r="E89" s="275">
        <v>184095</v>
      </c>
      <c r="F89" s="275">
        <v>175597</v>
      </c>
      <c r="G89" s="275">
        <v>188892</v>
      </c>
      <c r="H89" s="275">
        <v>184471</v>
      </c>
      <c r="I89" s="275">
        <v>181028</v>
      </c>
      <c r="J89" s="275">
        <v>179067</v>
      </c>
      <c r="K89" s="275">
        <v>236814</v>
      </c>
      <c r="L89" s="275">
        <v>178121</v>
      </c>
      <c r="M89" s="275">
        <v>171878</v>
      </c>
      <c r="N89" s="275">
        <v>204883</v>
      </c>
      <c r="O89" s="275">
        <v>246758</v>
      </c>
      <c r="P89" s="275">
        <v>219049</v>
      </c>
      <c r="Q89" s="275">
        <v>202835</v>
      </c>
      <c r="R89" s="275">
        <v>182762</v>
      </c>
      <c r="S89" s="275">
        <v>214038</v>
      </c>
      <c r="T89" s="275">
        <v>233321</v>
      </c>
      <c r="U89" s="275">
        <v>188353</v>
      </c>
      <c r="V89" s="275">
        <v>174814</v>
      </c>
      <c r="W89" s="275">
        <v>187475</v>
      </c>
      <c r="X89" s="275">
        <v>194488</v>
      </c>
    </row>
    <row r="90" spans="1:25" ht="14.25" thickBot="1" x14ac:dyDescent="0.3">
      <c r="A90" s="251" t="s">
        <v>5</v>
      </c>
      <c r="B90" s="273">
        <v>78528</v>
      </c>
      <c r="C90" s="273">
        <v>135336</v>
      </c>
      <c r="D90" s="273">
        <v>146242</v>
      </c>
      <c r="E90" s="273">
        <v>115915</v>
      </c>
      <c r="F90" s="273">
        <v>101869</v>
      </c>
      <c r="G90" s="273">
        <v>115191</v>
      </c>
      <c r="H90" s="273">
        <v>103456</v>
      </c>
      <c r="I90" s="273">
        <v>102031</v>
      </c>
      <c r="J90" s="273">
        <v>95341</v>
      </c>
      <c r="K90" s="273">
        <v>150008</v>
      </c>
      <c r="L90" s="273">
        <v>99980</v>
      </c>
      <c r="M90" s="273">
        <v>92298</v>
      </c>
      <c r="N90" s="273">
        <v>118710</v>
      </c>
      <c r="O90" s="273">
        <v>159483</v>
      </c>
      <c r="P90" s="273">
        <v>130910</v>
      </c>
      <c r="Q90" s="273">
        <v>102325</v>
      </c>
      <c r="R90" s="273">
        <v>99953</v>
      </c>
      <c r="S90" s="273">
        <v>121844</v>
      </c>
      <c r="T90" s="273">
        <v>131626</v>
      </c>
      <c r="U90" s="273">
        <v>98086</v>
      </c>
      <c r="V90" s="273">
        <v>89654</v>
      </c>
      <c r="W90" s="273">
        <v>96394</v>
      </c>
      <c r="X90" s="273">
        <v>108663</v>
      </c>
    </row>
    <row r="91" spans="1:25" ht="14.25" thickBot="1" x14ac:dyDescent="0.3">
      <c r="A91" s="250" t="s">
        <v>6</v>
      </c>
      <c r="B91" s="275">
        <v>73250</v>
      </c>
      <c r="C91" s="275">
        <v>141908</v>
      </c>
      <c r="D91" s="275">
        <v>146756</v>
      </c>
      <c r="E91" s="275">
        <v>115174</v>
      </c>
      <c r="F91" s="275">
        <v>109813</v>
      </c>
      <c r="G91" s="275">
        <v>129518</v>
      </c>
      <c r="H91" s="275">
        <v>110040</v>
      </c>
      <c r="I91" s="275">
        <v>117965</v>
      </c>
      <c r="J91" s="275">
        <v>104200</v>
      </c>
      <c r="K91" s="275">
        <v>149248</v>
      </c>
      <c r="L91" s="275">
        <v>115754</v>
      </c>
      <c r="M91" s="275">
        <v>114585</v>
      </c>
      <c r="N91" s="275">
        <v>123469</v>
      </c>
      <c r="O91" s="275">
        <v>163142</v>
      </c>
      <c r="P91" s="275">
        <v>156900</v>
      </c>
      <c r="Q91" s="275">
        <v>109353</v>
      </c>
      <c r="R91" s="275">
        <v>100017</v>
      </c>
      <c r="S91" s="275">
        <v>129935</v>
      </c>
      <c r="T91" s="275">
        <v>128848</v>
      </c>
      <c r="U91" s="275">
        <v>113790</v>
      </c>
      <c r="V91" s="275">
        <v>76759</v>
      </c>
      <c r="W91" s="275">
        <v>103302</v>
      </c>
      <c r="X91" s="275">
        <v>115159</v>
      </c>
    </row>
    <row r="92" spans="1:25" ht="14.25" thickBot="1" x14ac:dyDescent="0.3">
      <c r="A92" s="251" t="s">
        <v>7</v>
      </c>
      <c r="B92" s="273">
        <v>60215</v>
      </c>
      <c r="C92" s="273">
        <v>112826</v>
      </c>
      <c r="D92" s="273">
        <v>119694</v>
      </c>
      <c r="E92" s="273">
        <v>98187</v>
      </c>
      <c r="F92" s="273">
        <v>79608</v>
      </c>
      <c r="G92" s="273">
        <v>103819</v>
      </c>
      <c r="H92" s="273">
        <v>91701</v>
      </c>
      <c r="I92" s="273">
        <v>102157</v>
      </c>
      <c r="J92" s="273">
        <v>85940</v>
      </c>
      <c r="K92" s="273">
        <v>120041</v>
      </c>
      <c r="L92" s="273">
        <v>95442</v>
      </c>
      <c r="M92" s="273">
        <v>99259</v>
      </c>
      <c r="N92" s="273">
        <v>99441</v>
      </c>
      <c r="O92" s="273">
        <v>133272</v>
      </c>
      <c r="P92" s="273">
        <v>128368</v>
      </c>
      <c r="Q92" s="273">
        <v>105445</v>
      </c>
      <c r="R92" s="273">
        <v>83692</v>
      </c>
      <c r="S92" s="273">
        <v>119932</v>
      </c>
      <c r="T92" s="273">
        <v>106901</v>
      </c>
      <c r="U92" s="273">
        <v>85667</v>
      </c>
      <c r="V92" s="273">
        <v>61242</v>
      </c>
      <c r="W92" s="273">
        <v>85247</v>
      </c>
      <c r="X92" s="273">
        <v>96209</v>
      </c>
    </row>
    <row r="93" spans="1:25" ht="26.25" thickBot="1" x14ac:dyDescent="0.3">
      <c r="A93" s="252" t="s">
        <v>8</v>
      </c>
      <c r="B93" s="276">
        <v>60215</v>
      </c>
      <c r="C93" s="276">
        <v>112826</v>
      </c>
      <c r="D93" s="276">
        <v>119694</v>
      </c>
      <c r="E93" s="276">
        <v>98187</v>
      </c>
      <c r="F93" s="276">
        <v>79608</v>
      </c>
      <c r="G93" s="276">
        <v>103819</v>
      </c>
      <c r="H93" s="276">
        <v>91701</v>
      </c>
      <c r="I93" s="276">
        <v>102157</v>
      </c>
      <c r="J93" s="276">
        <v>85940</v>
      </c>
      <c r="K93" s="276">
        <v>120041</v>
      </c>
      <c r="L93" s="276">
        <v>95442</v>
      </c>
      <c r="M93" s="276">
        <v>99259</v>
      </c>
      <c r="N93" s="276">
        <v>99441</v>
      </c>
      <c r="O93" s="276">
        <v>133272</v>
      </c>
      <c r="P93" s="276">
        <v>128368</v>
      </c>
      <c r="Q93" s="276">
        <v>105445</v>
      </c>
      <c r="R93" s="276">
        <v>83453</v>
      </c>
      <c r="S93" s="276">
        <v>121406</v>
      </c>
      <c r="T93" s="276">
        <v>109047</v>
      </c>
      <c r="U93" s="276">
        <v>91376</v>
      </c>
      <c r="V93" s="276">
        <v>64062</v>
      </c>
      <c r="W93" s="276">
        <v>85217</v>
      </c>
      <c r="X93" s="276">
        <v>96226</v>
      </c>
    </row>
    <row r="94" spans="1:25" x14ac:dyDescent="0.25">
      <c r="A94" s="233" t="s">
        <v>365</v>
      </c>
      <c r="B94" s="253">
        <f>IF(B91="","",B91-B90)</f>
        <v>-5278</v>
      </c>
      <c r="C94" s="253">
        <f>IF(C91="","",C91-C90)</f>
        <v>6572</v>
      </c>
      <c r="D94" s="253">
        <f t="shared" ref="D94:Y94" si="9">IF(D91="","",D91-D90)</f>
        <v>514</v>
      </c>
      <c r="E94" s="253">
        <f t="shared" si="9"/>
        <v>-741</v>
      </c>
      <c r="F94" s="253">
        <f t="shared" si="9"/>
        <v>7944</v>
      </c>
      <c r="G94" s="253">
        <f t="shared" si="9"/>
        <v>14327</v>
      </c>
      <c r="H94" s="253">
        <f t="shared" si="9"/>
        <v>6584</v>
      </c>
      <c r="I94" s="253">
        <f t="shared" si="9"/>
        <v>15934</v>
      </c>
      <c r="J94" s="253">
        <f t="shared" si="9"/>
        <v>8859</v>
      </c>
      <c r="K94" s="253">
        <f t="shared" si="9"/>
        <v>-760</v>
      </c>
      <c r="L94" s="253">
        <f t="shared" si="9"/>
        <v>15774</v>
      </c>
      <c r="M94" s="253">
        <f t="shared" si="9"/>
        <v>22287</v>
      </c>
      <c r="N94" s="253">
        <f t="shared" si="9"/>
        <v>4759</v>
      </c>
      <c r="O94" s="253">
        <f t="shared" si="9"/>
        <v>3659</v>
      </c>
      <c r="P94" s="253">
        <f t="shared" si="9"/>
        <v>25990</v>
      </c>
      <c r="Q94" s="253">
        <f t="shared" si="9"/>
        <v>7028</v>
      </c>
      <c r="R94" s="253">
        <f t="shared" si="9"/>
        <v>64</v>
      </c>
      <c r="S94" s="253">
        <f t="shared" si="9"/>
        <v>8091</v>
      </c>
      <c r="T94" s="253">
        <f t="shared" si="9"/>
        <v>-2778</v>
      </c>
      <c r="U94" s="253">
        <f t="shared" si="9"/>
        <v>15704</v>
      </c>
      <c r="V94" s="253">
        <f t="shared" si="9"/>
        <v>-12895</v>
      </c>
      <c r="W94" s="253">
        <f t="shared" si="9"/>
        <v>6908</v>
      </c>
      <c r="X94" s="253">
        <f t="shared" si="9"/>
        <v>6496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1703697</v>
      </c>
      <c r="C97" s="273">
        <v>1496174</v>
      </c>
      <c r="D97" s="273">
        <v>1606737</v>
      </c>
      <c r="E97" s="273">
        <v>1673936</v>
      </c>
      <c r="F97" s="273">
        <v>1655761</v>
      </c>
    </row>
    <row r="98" spans="1:24" ht="14.25" thickBot="1" x14ac:dyDescent="0.3">
      <c r="A98" s="225" t="s">
        <v>4</v>
      </c>
      <c r="B98" s="275">
        <v>776834</v>
      </c>
      <c r="C98" s="275">
        <v>729988</v>
      </c>
      <c r="D98" s="275">
        <v>765880</v>
      </c>
      <c r="E98" s="275">
        <v>873525</v>
      </c>
      <c r="F98" s="275">
        <v>818474</v>
      </c>
    </row>
    <row r="99" spans="1:24" ht="14.25" thickBot="1" x14ac:dyDescent="0.3">
      <c r="A99" s="224" t="s">
        <v>5</v>
      </c>
      <c r="B99" s="273">
        <v>476021</v>
      </c>
      <c r="C99" s="273">
        <v>422547</v>
      </c>
      <c r="D99" s="273">
        <v>437626</v>
      </c>
      <c r="E99" s="273">
        <v>511428</v>
      </c>
      <c r="F99" s="273">
        <v>451509</v>
      </c>
    </row>
    <row r="100" spans="1:24" ht="14.25" thickBot="1" x14ac:dyDescent="0.3">
      <c r="A100" s="225" t="s">
        <v>6</v>
      </c>
      <c r="B100" s="275">
        <v>477088</v>
      </c>
      <c r="C100" s="275">
        <v>467336</v>
      </c>
      <c r="D100" s="275">
        <v>483786</v>
      </c>
      <c r="E100" s="275">
        <v>552864</v>
      </c>
      <c r="F100" s="275">
        <v>472590</v>
      </c>
    </row>
    <row r="101" spans="1:24" ht="14.25" thickBot="1" x14ac:dyDescent="0.3">
      <c r="A101" s="224" t="s">
        <v>7</v>
      </c>
      <c r="B101" s="273">
        <v>390922</v>
      </c>
      <c r="C101" s="273">
        <v>377285</v>
      </c>
      <c r="D101" s="273">
        <v>400681</v>
      </c>
      <c r="E101" s="273">
        <v>466526</v>
      </c>
      <c r="F101" s="273">
        <v>396192</v>
      </c>
    </row>
    <row r="102" spans="1:24" ht="14.25" thickBot="1" x14ac:dyDescent="0.3">
      <c r="A102" s="227" t="s">
        <v>8</v>
      </c>
      <c r="B102" s="276">
        <v>390922</v>
      </c>
      <c r="C102" s="276">
        <v>377285</v>
      </c>
      <c r="D102" s="276">
        <v>400681</v>
      </c>
      <c r="E102" s="276">
        <v>466526</v>
      </c>
      <c r="F102" s="276">
        <v>405282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1.0229434213714563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702734</v>
      </c>
      <c r="C106" s="273">
        <v>738731</v>
      </c>
      <c r="D106" s="273">
        <v>608050</v>
      </c>
      <c r="E106" s="273">
        <v>698106</v>
      </c>
      <c r="F106" s="273">
        <v>846984</v>
      </c>
      <c r="G106" s="273">
        <v>980824</v>
      </c>
      <c r="H106" s="273">
        <v>624800</v>
      </c>
      <c r="I106" s="273">
        <v>778155</v>
      </c>
      <c r="J106" s="273">
        <v>871164</v>
      </c>
      <c r="K106" s="273">
        <v>912716</v>
      </c>
      <c r="L106" s="273">
        <v>644187</v>
      </c>
      <c r="M106" s="273">
        <v>797260</v>
      </c>
      <c r="N106" s="273">
        <v>929142</v>
      </c>
      <c r="O106" s="273">
        <v>1021559</v>
      </c>
      <c r="P106" s="273">
        <v>807020</v>
      </c>
      <c r="Q106" s="273">
        <v>952878</v>
      </c>
      <c r="R106" s="273">
        <v>1006970</v>
      </c>
      <c r="S106" s="273">
        <v>1095915</v>
      </c>
      <c r="T106" s="273">
        <v>769715</v>
      </c>
      <c r="U106" s="273">
        <v>904914</v>
      </c>
      <c r="V106" s="273">
        <v>972866</v>
      </c>
      <c r="W106" s="273">
        <v>1054110</v>
      </c>
      <c r="X106" s="273">
        <v>724764</v>
      </c>
    </row>
    <row r="107" spans="1:24" ht="14.25" thickBot="1" x14ac:dyDescent="0.3">
      <c r="A107" s="225" t="s">
        <v>22</v>
      </c>
      <c r="B107" s="274">
        <v>381</v>
      </c>
      <c r="C107" s="274">
        <v>0</v>
      </c>
      <c r="D107" s="275">
        <v>2006</v>
      </c>
      <c r="E107" s="274">
        <v>0</v>
      </c>
      <c r="F107" s="274">
        <v>0</v>
      </c>
      <c r="G107" s="274">
        <v>0</v>
      </c>
      <c r="H107" s="274">
        <v>3</v>
      </c>
      <c r="I107" s="274">
        <v>0</v>
      </c>
      <c r="J107" s="274">
        <v>0</v>
      </c>
      <c r="K107" s="274">
        <v>243</v>
      </c>
      <c r="L107" s="274">
        <v>0</v>
      </c>
      <c r="M107" s="274">
        <v>0</v>
      </c>
      <c r="N107" s="274">
        <v>929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344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394844</v>
      </c>
      <c r="C108" s="273">
        <v>479980</v>
      </c>
      <c r="D108" s="273">
        <v>436495</v>
      </c>
      <c r="E108" s="273">
        <v>444519</v>
      </c>
      <c r="F108" s="273">
        <v>401912</v>
      </c>
      <c r="G108" s="273">
        <v>397697</v>
      </c>
      <c r="H108" s="273">
        <v>409819</v>
      </c>
      <c r="I108" s="273">
        <v>384907</v>
      </c>
      <c r="J108" s="273">
        <v>398685</v>
      </c>
      <c r="K108" s="273">
        <v>487782</v>
      </c>
      <c r="L108" s="273">
        <v>451101</v>
      </c>
      <c r="M108" s="273">
        <v>443053</v>
      </c>
      <c r="N108" s="273">
        <v>416212</v>
      </c>
      <c r="O108" s="273">
        <v>484008</v>
      </c>
      <c r="P108" s="273">
        <v>430096</v>
      </c>
      <c r="Q108" s="273">
        <v>404810</v>
      </c>
      <c r="R108" s="273">
        <v>387969</v>
      </c>
      <c r="S108" s="273">
        <v>434017</v>
      </c>
      <c r="T108" s="273">
        <v>443594</v>
      </c>
      <c r="U108" s="273">
        <v>451052</v>
      </c>
      <c r="V108" s="273">
        <v>372860</v>
      </c>
      <c r="W108" s="273">
        <v>406828</v>
      </c>
      <c r="X108" s="273">
        <v>427816</v>
      </c>
    </row>
    <row r="109" spans="1:24" ht="14.25" thickBot="1" x14ac:dyDescent="0.3">
      <c r="A109" s="225" t="s">
        <v>264</v>
      </c>
      <c r="B109" s="275">
        <v>315659</v>
      </c>
      <c r="C109" s="275">
        <v>429549</v>
      </c>
      <c r="D109" s="275">
        <v>398081</v>
      </c>
      <c r="E109" s="275">
        <v>377806</v>
      </c>
      <c r="F109" s="275">
        <v>371888</v>
      </c>
      <c r="G109" s="275">
        <v>336434</v>
      </c>
      <c r="H109" s="275">
        <v>308429</v>
      </c>
      <c r="I109" s="275">
        <v>288725</v>
      </c>
      <c r="J109" s="275">
        <v>308344</v>
      </c>
      <c r="K109" s="275">
        <v>328304</v>
      </c>
      <c r="L109" s="275">
        <v>315357</v>
      </c>
      <c r="M109" s="275">
        <v>290757</v>
      </c>
      <c r="N109" s="275">
        <v>296094</v>
      </c>
      <c r="O109" s="275">
        <v>295325</v>
      </c>
      <c r="P109" s="275">
        <v>292842</v>
      </c>
      <c r="Q109" s="275">
        <v>250909</v>
      </c>
      <c r="R109" s="275">
        <v>291958</v>
      </c>
      <c r="S109" s="275">
        <v>282610</v>
      </c>
      <c r="T109" s="275">
        <v>301804</v>
      </c>
      <c r="U109" s="275">
        <v>285975</v>
      </c>
      <c r="V109" s="275">
        <v>280475</v>
      </c>
      <c r="W109" s="275">
        <v>243345</v>
      </c>
      <c r="X109" s="275">
        <v>257818</v>
      </c>
    </row>
    <row r="110" spans="1:24" ht="14.25" thickBot="1" x14ac:dyDescent="0.3">
      <c r="A110" s="224" t="s">
        <v>23</v>
      </c>
      <c r="B110" s="273">
        <v>42247</v>
      </c>
      <c r="C110" s="273">
        <v>32384</v>
      </c>
      <c r="D110" s="273">
        <v>35551</v>
      </c>
      <c r="E110" s="273">
        <v>32613</v>
      </c>
      <c r="F110" s="273">
        <v>22410</v>
      </c>
      <c r="G110" s="273">
        <v>26459</v>
      </c>
      <c r="H110" s="273">
        <v>23900</v>
      </c>
      <c r="I110" s="273">
        <v>24107</v>
      </c>
      <c r="J110" s="273">
        <v>28867</v>
      </c>
      <c r="K110" s="273">
        <v>25769</v>
      </c>
      <c r="L110" s="273">
        <v>24531</v>
      </c>
      <c r="M110" s="273">
        <v>30420</v>
      </c>
      <c r="N110" s="273">
        <v>29026</v>
      </c>
      <c r="O110" s="273">
        <v>37161</v>
      </c>
      <c r="P110" s="273">
        <v>45685</v>
      </c>
      <c r="Q110" s="273">
        <v>31885</v>
      </c>
      <c r="R110" s="273">
        <v>47050</v>
      </c>
      <c r="S110" s="273">
        <v>39832</v>
      </c>
      <c r="T110" s="273">
        <v>46026</v>
      </c>
      <c r="U110" s="273">
        <v>35254</v>
      </c>
      <c r="V110" s="273">
        <v>29935</v>
      </c>
      <c r="W110" s="273">
        <v>34150</v>
      </c>
      <c r="X110" s="273">
        <v>44617</v>
      </c>
    </row>
    <row r="111" spans="1:24" ht="14.25" thickBot="1" x14ac:dyDescent="0.3">
      <c r="A111" s="225" t="s">
        <v>24</v>
      </c>
      <c r="B111" s="275">
        <v>1455865</v>
      </c>
      <c r="C111" s="275">
        <v>1680644</v>
      </c>
      <c r="D111" s="275">
        <v>1480183</v>
      </c>
      <c r="E111" s="275">
        <v>1553044</v>
      </c>
      <c r="F111" s="275">
        <v>1643194</v>
      </c>
      <c r="G111" s="275">
        <v>1741414</v>
      </c>
      <c r="H111" s="275">
        <v>1366951</v>
      </c>
      <c r="I111" s="275">
        <v>1475894</v>
      </c>
      <c r="J111" s="275">
        <v>1607060</v>
      </c>
      <c r="K111" s="275">
        <v>1754814</v>
      </c>
      <c r="L111" s="275">
        <v>1435176</v>
      </c>
      <c r="M111" s="275">
        <v>1561490</v>
      </c>
      <c r="N111" s="275">
        <v>1671403</v>
      </c>
      <c r="O111" s="275">
        <v>1838053</v>
      </c>
      <c r="P111" s="275">
        <v>1575643</v>
      </c>
      <c r="Q111" s="275">
        <v>1640482</v>
      </c>
      <c r="R111" s="275">
        <v>1733947</v>
      </c>
      <c r="S111" s="275">
        <v>1852374</v>
      </c>
      <c r="T111" s="275">
        <v>1561483</v>
      </c>
      <c r="U111" s="275">
        <v>1677195</v>
      </c>
      <c r="V111" s="275">
        <v>1656136</v>
      </c>
      <c r="W111" s="275">
        <v>1738433</v>
      </c>
      <c r="X111" s="275">
        <v>1455015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273">
        <v>3000</v>
      </c>
      <c r="O112" s="273">
        <v>3000</v>
      </c>
      <c r="P112" s="273">
        <v>3000</v>
      </c>
      <c r="Q112" s="273">
        <v>3000</v>
      </c>
      <c r="R112" s="273">
        <v>3000</v>
      </c>
      <c r="S112" s="273">
        <v>3000</v>
      </c>
      <c r="T112" s="273">
        <v>3000</v>
      </c>
      <c r="U112" s="273">
        <v>3000</v>
      </c>
      <c r="V112" s="273">
        <v>2100</v>
      </c>
      <c r="W112" s="273">
        <v>2100</v>
      </c>
      <c r="X112" s="68">
        <v>0</v>
      </c>
    </row>
    <row r="113" spans="1:24" ht="14.25" thickBot="1" x14ac:dyDescent="0.3">
      <c r="A113" s="225" t="s">
        <v>26</v>
      </c>
      <c r="B113" s="275">
        <v>679467</v>
      </c>
      <c r="C113" s="275">
        <v>772390</v>
      </c>
      <c r="D113" s="275">
        <v>809888</v>
      </c>
      <c r="E113" s="275">
        <v>838646</v>
      </c>
      <c r="F113" s="275">
        <v>839800</v>
      </c>
      <c r="G113" s="275">
        <v>850381</v>
      </c>
      <c r="H113" s="275">
        <v>862412</v>
      </c>
      <c r="I113" s="275">
        <v>808046</v>
      </c>
      <c r="J113" s="275">
        <v>795722</v>
      </c>
      <c r="K113" s="275">
        <v>782706</v>
      </c>
      <c r="L113" s="275">
        <v>775462</v>
      </c>
      <c r="M113" s="275">
        <v>780428</v>
      </c>
      <c r="N113" s="275">
        <v>740591</v>
      </c>
      <c r="O113" s="275">
        <v>733882</v>
      </c>
      <c r="P113" s="275">
        <v>747386</v>
      </c>
      <c r="Q113" s="275">
        <v>769209</v>
      </c>
      <c r="R113" s="275">
        <v>826965</v>
      </c>
      <c r="S113" s="275">
        <v>821626</v>
      </c>
      <c r="T113" s="275">
        <v>811614</v>
      </c>
      <c r="U113" s="275">
        <v>764135</v>
      </c>
      <c r="V113" s="275">
        <v>729612</v>
      </c>
      <c r="W113" s="275">
        <v>723913</v>
      </c>
      <c r="X113" s="275">
        <v>728068</v>
      </c>
    </row>
    <row r="114" spans="1:24" ht="14.25" thickBot="1" x14ac:dyDescent="0.3">
      <c r="A114" s="224" t="s">
        <v>27</v>
      </c>
      <c r="B114" s="273">
        <v>30972</v>
      </c>
      <c r="C114" s="273">
        <v>30339</v>
      </c>
      <c r="D114" s="273">
        <v>30208</v>
      </c>
      <c r="E114" s="273">
        <v>29532</v>
      </c>
      <c r="F114" s="273">
        <v>39999</v>
      </c>
      <c r="G114" s="273">
        <v>37214</v>
      </c>
      <c r="H114" s="273">
        <v>35074</v>
      </c>
      <c r="I114" s="273">
        <v>78011</v>
      </c>
      <c r="J114" s="273">
        <v>78066</v>
      </c>
      <c r="K114" s="273">
        <v>82679</v>
      </c>
      <c r="L114" s="273">
        <v>83921</v>
      </c>
      <c r="M114" s="273">
        <v>85667</v>
      </c>
      <c r="N114" s="273">
        <v>107699</v>
      </c>
      <c r="O114" s="273">
        <v>102292</v>
      </c>
      <c r="P114" s="273">
        <v>111890</v>
      </c>
      <c r="Q114" s="273">
        <v>102899</v>
      </c>
      <c r="R114" s="273">
        <v>100311</v>
      </c>
      <c r="S114" s="273">
        <v>100406</v>
      </c>
      <c r="T114" s="273">
        <v>99350</v>
      </c>
      <c r="U114" s="273">
        <v>140988</v>
      </c>
      <c r="V114" s="273">
        <v>139732</v>
      </c>
      <c r="W114" s="273">
        <v>135903</v>
      </c>
      <c r="X114" s="273">
        <v>138823</v>
      </c>
    </row>
    <row r="115" spans="1:24" ht="14.25" thickBot="1" x14ac:dyDescent="0.3">
      <c r="A115" s="225" t="s">
        <v>265</v>
      </c>
      <c r="B115" s="276">
        <v>2166304</v>
      </c>
      <c r="C115" s="276">
        <v>2483373</v>
      </c>
      <c r="D115" s="276">
        <v>2320279</v>
      </c>
      <c r="E115" s="276">
        <v>2421222</v>
      </c>
      <c r="F115" s="276">
        <v>2522993</v>
      </c>
      <c r="G115" s="276">
        <v>2629009</v>
      </c>
      <c r="H115" s="276">
        <v>2264437</v>
      </c>
      <c r="I115" s="276">
        <v>2361951</v>
      </c>
      <c r="J115" s="276">
        <v>2480848</v>
      </c>
      <c r="K115" s="276">
        <v>2620199</v>
      </c>
      <c r="L115" s="276">
        <v>2294559</v>
      </c>
      <c r="M115" s="276">
        <v>2427585</v>
      </c>
      <c r="N115" s="276">
        <v>2522693</v>
      </c>
      <c r="O115" s="276">
        <v>2677227</v>
      </c>
      <c r="P115" s="276">
        <v>2437919</v>
      </c>
      <c r="Q115" s="276">
        <v>2515590</v>
      </c>
      <c r="R115" s="276">
        <v>2664223</v>
      </c>
      <c r="S115" s="276">
        <v>2777406</v>
      </c>
      <c r="T115" s="276">
        <v>2475447</v>
      </c>
      <c r="U115" s="276">
        <v>2585318</v>
      </c>
      <c r="V115" s="276">
        <v>2527580</v>
      </c>
      <c r="W115" s="276">
        <v>2600349</v>
      </c>
      <c r="X115" s="276">
        <v>2321906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132566</v>
      </c>
      <c r="C118" s="273">
        <v>132667</v>
      </c>
      <c r="D118" s="273">
        <v>125675</v>
      </c>
      <c r="E118" s="273">
        <v>122514</v>
      </c>
      <c r="F118" s="273">
        <v>127769</v>
      </c>
      <c r="G118" s="273">
        <v>111179</v>
      </c>
      <c r="H118" s="273">
        <v>77234</v>
      </c>
      <c r="I118" s="273">
        <v>78086</v>
      </c>
      <c r="J118" s="273">
        <v>70081</v>
      </c>
      <c r="K118" s="273">
        <v>68689</v>
      </c>
      <c r="L118" s="273">
        <v>33462</v>
      </c>
      <c r="M118" s="273">
        <v>23738</v>
      </c>
      <c r="N118" s="273">
        <v>23475</v>
      </c>
      <c r="O118" s="273">
        <v>7715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106210</v>
      </c>
      <c r="C120" s="273">
        <v>140829</v>
      </c>
      <c r="D120" s="273">
        <v>107688</v>
      </c>
      <c r="E120" s="273">
        <v>101488</v>
      </c>
      <c r="F120" s="273">
        <v>112738</v>
      </c>
      <c r="G120" s="273">
        <v>104015</v>
      </c>
      <c r="H120" s="273">
        <v>112414</v>
      </c>
      <c r="I120" s="273">
        <v>108420</v>
      </c>
      <c r="J120" s="273">
        <v>122941</v>
      </c>
      <c r="K120" s="273">
        <v>130213</v>
      </c>
      <c r="L120" s="273">
        <v>99104</v>
      </c>
      <c r="M120" s="273">
        <v>119834</v>
      </c>
      <c r="N120" s="273">
        <v>131089</v>
      </c>
      <c r="O120" s="273">
        <v>139614</v>
      </c>
      <c r="P120" s="273">
        <v>117736</v>
      </c>
      <c r="Q120" s="273">
        <v>93222</v>
      </c>
      <c r="R120" s="273">
        <v>121352</v>
      </c>
      <c r="S120" s="273">
        <v>154386</v>
      </c>
      <c r="T120" s="273">
        <v>161450</v>
      </c>
      <c r="U120" s="273">
        <v>150548</v>
      </c>
      <c r="V120" s="273">
        <v>113990</v>
      </c>
      <c r="W120" s="273">
        <v>101655</v>
      </c>
      <c r="X120" s="273">
        <v>114951</v>
      </c>
    </row>
    <row r="121" spans="1:24" ht="14.25" thickBot="1" x14ac:dyDescent="0.3">
      <c r="A121" s="225" t="s">
        <v>267</v>
      </c>
      <c r="B121" s="275">
        <v>1633</v>
      </c>
      <c r="C121" s="275">
        <v>8067</v>
      </c>
      <c r="D121" s="275">
        <v>1780</v>
      </c>
      <c r="E121" s="275">
        <v>12265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234543</v>
      </c>
      <c r="C123" s="275">
        <v>608447</v>
      </c>
      <c r="D123" s="275">
        <v>268342</v>
      </c>
      <c r="E123" s="275">
        <v>266907</v>
      </c>
      <c r="F123" s="275">
        <v>271410</v>
      </c>
      <c r="G123" s="275">
        <v>618757</v>
      </c>
      <c r="H123" s="275">
        <v>248493</v>
      </c>
      <c r="I123" s="275">
        <v>291000</v>
      </c>
      <c r="J123" s="275">
        <v>318031</v>
      </c>
      <c r="K123" s="275">
        <v>668120</v>
      </c>
      <c r="L123" s="275">
        <v>300474</v>
      </c>
      <c r="M123" s="275">
        <v>308957</v>
      </c>
      <c r="N123" s="275">
        <v>297103</v>
      </c>
      <c r="O123" s="275">
        <v>668943</v>
      </c>
      <c r="P123" s="275">
        <v>310028</v>
      </c>
      <c r="Q123" s="275">
        <v>323122</v>
      </c>
      <c r="R123" s="275">
        <v>325930</v>
      </c>
      <c r="S123" s="275">
        <v>646062</v>
      </c>
      <c r="T123" s="275">
        <v>251658</v>
      </c>
      <c r="U123" s="275">
        <v>290187</v>
      </c>
      <c r="V123" s="275">
        <v>274094</v>
      </c>
      <c r="W123" s="275">
        <v>629148</v>
      </c>
      <c r="X123" s="275">
        <v>232633</v>
      </c>
    </row>
    <row r="124" spans="1:24" ht="14.25" thickBot="1" x14ac:dyDescent="0.3">
      <c r="A124" s="224" t="s">
        <v>268</v>
      </c>
      <c r="B124" s="273">
        <v>474952</v>
      </c>
      <c r="C124" s="273">
        <v>890010</v>
      </c>
      <c r="D124" s="273">
        <v>503485</v>
      </c>
      <c r="E124" s="273">
        <v>503174</v>
      </c>
      <c r="F124" s="273">
        <v>511917</v>
      </c>
      <c r="G124" s="273">
        <v>833951</v>
      </c>
      <c r="H124" s="273">
        <v>438141</v>
      </c>
      <c r="I124" s="273">
        <v>477506</v>
      </c>
      <c r="J124" s="273">
        <v>511053</v>
      </c>
      <c r="K124" s="273">
        <v>867022</v>
      </c>
      <c r="L124" s="273">
        <v>433040</v>
      </c>
      <c r="M124" s="273">
        <v>452529</v>
      </c>
      <c r="N124" s="273">
        <v>451667</v>
      </c>
      <c r="O124" s="273">
        <v>816272</v>
      </c>
      <c r="P124" s="273">
        <v>427764</v>
      </c>
      <c r="Q124" s="273">
        <v>416344</v>
      </c>
      <c r="R124" s="273">
        <v>447282</v>
      </c>
      <c r="S124" s="273">
        <v>800448</v>
      </c>
      <c r="T124" s="273">
        <v>413108</v>
      </c>
      <c r="U124" s="273">
        <v>440735</v>
      </c>
      <c r="V124" s="273">
        <v>388084</v>
      </c>
      <c r="W124" s="273">
        <v>730803</v>
      </c>
      <c r="X124" s="273">
        <v>347584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5">
        <v>110000</v>
      </c>
      <c r="E125" s="275">
        <v>110000</v>
      </c>
      <c r="F125" s="275">
        <v>141488</v>
      </c>
      <c r="G125" s="275">
        <v>141294</v>
      </c>
      <c r="H125" s="275">
        <v>86109</v>
      </c>
      <c r="I125" s="275">
        <v>29192</v>
      </c>
      <c r="J125" s="275">
        <v>29805</v>
      </c>
      <c r="K125" s="275">
        <v>29613</v>
      </c>
      <c r="L125" s="275">
        <v>29438</v>
      </c>
      <c r="M125" s="275">
        <v>29307</v>
      </c>
      <c r="N125" s="275">
        <v>31003</v>
      </c>
      <c r="O125" s="275">
        <v>30839</v>
      </c>
      <c r="P125" s="275">
        <v>30688</v>
      </c>
      <c r="Q125" s="275">
        <v>27797</v>
      </c>
      <c r="R125" s="275">
        <v>27058</v>
      </c>
      <c r="S125" s="275">
        <v>26865</v>
      </c>
      <c r="T125" s="275">
        <v>26664</v>
      </c>
      <c r="U125" s="275">
        <v>32761</v>
      </c>
      <c r="V125" s="275">
        <v>26799</v>
      </c>
      <c r="W125" s="275">
        <v>26604</v>
      </c>
      <c r="X125" s="275">
        <v>26397</v>
      </c>
    </row>
    <row r="126" spans="1:24" ht="14.25" thickBot="1" x14ac:dyDescent="0.3">
      <c r="A126" s="224" t="s">
        <v>33</v>
      </c>
      <c r="B126" s="273">
        <v>11137</v>
      </c>
      <c r="C126" s="273">
        <v>11072</v>
      </c>
      <c r="D126" s="273">
        <v>11098</v>
      </c>
      <c r="E126" s="273">
        <v>11117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486089</v>
      </c>
      <c r="C127" s="275">
        <v>901082</v>
      </c>
      <c r="D127" s="275">
        <v>624583</v>
      </c>
      <c r="E127" s="275">
        <v>624291</v>
      </c>
      <c r="F127" s="275">
        <v>653405</v>
      </c>
      <c r="G127" s="275">
        <v>975245</v>
      </c>
      <c r="H127" s="275">
        <v>524250</v>
      </c>
      <c r="I127" s="275">
        <v>506698</v>
      </c>
      <c r="J127" s="275">
        <v>540858</v>
      </c>
      <c r="K127" s="275">
        <v>896635</v>
      </c>
      <c r="L127" s="275">
        <v>462478</v>
      </c>
      <c r="M127" s="275">
        <v>481836</v>
      </c>
      <c r="N127" s="275">
        <v>482670</v>
      </c>
      <c r="O127" s="275">
        <v>847111</v>
      </c>
      <c r="P127" s="275">
        <v>458452</v>
      </c>
      <c r="Q127" s="275">
        <v>444141</v>
      </c>
      <c r="R127" s="275">
        <v>474340</v>
      </c>
      <c r="S127" s="275">
        <v>827313</v>
      </c>
      <c r="T127" s="275">
        <v>439772</v>
      </c>
      <c r="U127" s="275">
        <v>473496</v>
      </c>
      <c r="V127" s="275">
        <v>414883</v>
      </c>
      <c r="W127" s="275">
        <v>757407</v>
      </c>
      <c r="X127" s="275">
        <v>373981</v>
      </c>
    </row>
    <row r="128" spans="1:24" ht="14.25" thickBot="1" x14ac:dyDescent="0.3">
      <c r="A128" s="224" t="s">
        <v>34</v>
      </c>
      <c r="B128" s="273">
        <v>1680215</v>
      </c>
      <c r="C128" s="273">
        <v>1582291</v>
      </c>
      <c r="D128" s="273">
        <v>1695696</v>
      </c>
      <c r="E128" s="273">
        <v>1796931</v>
      </c>
      <c r="F128" s="273">
        <v>1869588</v>
      </c>
      <c r="G128" s="273">
        <v>1653764</v>
      </c>
      <c r="H128" s="273">
        <v>1740187</v>
      </c>
      <c r="I128" s="273">
        <v>1855253</v>
      </c>
      <c r="J128" s="273">
        <v>1939990</v>
      </c>
      <c r="K128" s="273">
        <v>1723564</v>
      </c>
      <c r="L128" s="273">
        <v>1832081</v>
      </c>
      <c r="M128" s="273">
        <v>1945749</v>
      </c>
      <c r="N128" s="273">
        <v>2040023</v>
      </c>
      <c r="O128" s="273">
        <v>1830116</v>
      </c>
      <c r="P128" s="273">
        <v>1979467</v>
      </c>
      <c r="Q128" s="273">
        <v>2071449</v>
      </c>
      <c r="R128" s="273">
        <v>2189883</v>
      </c>
      <c r="S128" s="273">
        <v>1950093</v>
      </c>
      <c r="T128" s="273">
        <v>2035675</v>
      </c>
      <c r="U128" s="273">
        <v>2111822</v>
      </c>
      <c r="V128" s="273">
        <v>2112697</v>
      </c>
      <c r="W128" s="273">
        <v>1842942</v>
      </c>
      <c r="X128" s="273">
        <v>1947925</v>
      </c>
    </row>
    <row r="129" spans="1:24" ht="14.25" thickBot="1" x14ac:dyDescent="0.3">
      <c r="A129" s="225" t="s">
        <v>35</v>
      </c>
      <c r="B129" s="276">
        <v>2166304</v>
      </c>
      <c r="C129" s="276">
        <v>2483373</v>
      </c>
      <c r="D129" s="276">
        <v>2320279</v>
      </c>
      <c r="E129" s="276">
        <v>2421222</v>
      </c>
      <c r="F129" s="276">
        <v>2522993</v>
      </c>
      <c r="G129" s="276">
        <v>2629009</v>
      </c>
      <c r="H129" s="276">
        <v>2264437</v>
      </c>
      <c r="I129" s="276">
        <v>2361951</v>
      </c>
      <c r="J129" s="276">
        <v>2480848</v>
      </c>
      <c r="K129" s="276">
        <v>2620199</v>
      </c>
      <c r="L129" s="276">
        <v>2294559</v>
      </c>
      <c r="M129" s="276">
        <v>2427585</v>
      </c>
      <c r="N129" s="276">
        <v>2522693</v>
      </c>
      <c r="O129" s="276">
        <v>2677227</v>
      </c>
      <c r="P129" s="276">
        <v>2437919</v>
      </c>
      <c r="Q129" s="276">
        <v>2515590</v>
      </c>
      <c r="R129" s="276">
        <v>2664223</v>
      </c>
      <c r="S129" s="276">
        <v>2777406</v>
      </c>
      <c r="T129" s="276">
        <v>2475447</v>
      </c>
      <c r="U129" s="276">
        <v>2585318</v>
      </c>
      <c r="V129" s="276">
        <v>2527580</v>
      </c>
      <c r="W129" s="276">
        <v>2600349</v>
      </c>
      <c r="X129" s="276">
        <v>2321906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6.29</v>
      </c>
      <c r="C132" s="68">
        <v>7.91</v>
      </c>
      <c r="D132" s="68">
        <v>5.53</v>
      </c>
      <c r="E132" s="68">
        <v>7.61</v>
      </c>
      <c r="F132" s="68">
        <v>5.17</v>
      </c>
    </row>
    <row r="133" spans="1:24" ht="14.25" thickBot="1" x14ac:dyDescent="0.3">
      <c r="A133" s="225" t="s">
        <v>37</v>
      </c>
      <c r="B133" s="274">
        <v>-4.07</v>
      </c>
      <c r="C133" s="274">
        <v>-0.91</v>
      </c>
      <c r="D133" s="274">
        <v>-0.56000000000000005</v>
      </c>
      <c r="E133" s="274">
        <v>-1.17</v>
      </c>
      <c r="F133" s="274">
        <v>-1.89</v>
      </c>
    </row>
    <row r="134" spans="1:24" ht="14.25" thickBot="1" x14ac:dyDescent="0.3">
      <c r="A134" s="224" t="s">
        <v>38</v>
      </c>
      <c r="B134" s="68">
        <v>-1.69</v>
      </c>
      <c r="C134" s="68">
        <v>-5.97</v>
      </c>
      <c r="D134" s="68">
        <v>-4.79</v>
      </c>
      <c r="E134" s="68">
        <v>-4.54</v>
      </c>
      <c r="F134" s="68">
        <v>-3.75</v>
      </c>
    </row>
    <row r="135" spans="1:24" ht="14.25" thickBot="1" x14ac:dyDescent="0.3">
      <c r="A135" s="225" t="s">
        <v>270</v>
      </c>
      <c r="B135" s="274">
        <v>2.2200000000000002</v>
      </c>
      <c r="C135" s="274">
        <v>7</v>
      </c>
      <c r="D135" s="274">
        <v>4.97</v>
      </c>
      <c r="E135" s="274">
        <v>6.43</v>
      </c>
      <c r="F135" s="274">
        <v>3.28</v>
      </c>
    </row>
    <row r="136" spans="1:24" ht="14.25" thickBot="1" x14ac:dyDescent="0.3">
      <c r="A136" s="229" t="s">
        <v>39</v>
      </c>
      <c r="B136" s="72">
        <v>0.52</v>
      </c>
      <c r="C136" s="72">
        <v>1.03</v>
      </c>
      <c r="D136" s="72">
        <v>0.18</v>
      </c>
      <c r="E136" s="72">
        <v>1.9</v>
      </c>
      <c r="F136" s="72">
        <v>-0.47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4.0999999999999996</v>
      </c>
      <c r="C140" s="68">
        <v>4.0999999999999996</v>
      </c>
      <c r="D140" s="68">
        <v>4.2</v>
      </c>
      <c r="E140" s="68">
        <v>4.3</v>
      </c>
      <c r="F140" s="68">
        <v>4.55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0.82661290322580638</v>
      </c>
      <c r="C142" s="234">
        <f>IF(C140&lt;&gt;"無",IF(ISNA(HLOOKUP(C139,$B$64:$F$69,6,FALSE)),"",C140/HLOOKUP(C139,$B$64:$F$69,6,FALSE)),"")</f>
        <v>0.86680761099365755</v>
      </c>
      <c r="D142" s="234">
        <f>IF(D140&lt;&gt;"無",IF(ISNA(HLOOKUP(D139,$B$64:$F$69,6,FALSE)),"",D140/HLOOKUP(D139,$B$64:$F$69,6,FALSE)),"")</f>
        <v>0.84000000000000008</v>
      </c>
      <c r="E142" s="234">
        <f>IF(E140&lt;&gt;"無",IF(ISNA(HLOOKUP(E139,$B$64:$F$69,6,FALSE)),"",E140/HLOOKUP(E139,$B$64:$F$69,6,FALSE)),"")</f>
        <v>0.73756432246998282</v>
      </c>
      <c r="F142" s="234">
        <f>IF(F140&lt;&gt;"無",IF(ISNA(HLOOKUP(F139,$B$64:$F$69,6,FALSE)),"",F140/HLOOKUP(F139,$B$64:$F$69,6,FALSE)),"")</f>
        <v>0.89920948616600793</v>
      </c>
    </row>
    <row r="143" spans="1:24" x14ac:dyDescent="0.25">
      <c r="A143" s="233" t="s">
        <v>216</v>
      </c>
      <c r="B143" s="234">
        <f>IF(OR(B140=0,B140="無"),"",B135/B140)</f>
        <v>0.54146341463414649</v>
      </c>
      <c r="C143" s="234">
        <f>IF(OR(C140=0,C140="無"),"",C135/C140)</f>
        <v>1.7073170731707319</v>
      </c>
      <c r="D143" s="234">
        <f>IF(OR(D140=0,D140="無"),"",D135/D140)</f>
        <v>1.1833333333333331</v>
      </c>
      <c r="E143" s="234">
        <f>IF(OR(E140=0,E140="無"),"",E135/E140)</f>
        <v>1.4953488372093022</v>
      </c>
      <c r="F143" s="234">
        <f>IF(OR(F140=0,F140="無"),"",F135/F140)</f>
        <v>0.72087912087912087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39.950000000000003</v>
      </c>
      <c r="C146" s="68">
        <v>48.21</v>
      </c>
      <c r="D146" s="68">
        <v>46.57</v>
      </c>
      <c r="E146" s="68">
        <v>46.49</v>
      </c>
      <c r="F146" s="68">
        <v>48.3</v>
      </c>
      <c r="G146" s="68">
        <v>51.56</v>
      </c>
      <c r="H146" s="68">
        <v>47.68</v>
      </c>
      <c r="I146" s="68">
        <v>47.73</v>
      </c>
      <c r="J146" s="68">
        <v>49.05</v>
      </c>
      <c r="K146" s="68">
        <v>51.85</v>
      </c>
      <c r="L146" s="68">
        <v>44.19</v>
      </c>
      <c r="M146" s="68">
        <v>45.01</v>
      </c>
      <c r="N146" s="68">
        <v>53.64</v>
      </c>
      <c r="O146" s="68">
        <v>55.47</v>
      </c>
      <c r="P146" s="68">
        <v>51.6</v>
      </c>
      <c r="Q146" s="68">
        <v>47.99</v>
      </c>
      <c r="R146" s="68">
        <v>49.19</v>
      </c>
      <c r="S146" s="68">
        <v>49.74</v>
      </c>
      <c r="T146" s="68">
        <v>51.44</v>
      </c>
      <c r="U146" s="68">
        <v>47.06</v>
      </c>
      <c r="V146" s="68">
        <v>49.68</v>
      </c>
      <c r="W146" s="68">
        <v>47.57</v>
      </c>
      <c r="X146" s="68">
        <v>48.21</v>
      </c>
    </row>
    <row r="147" spans="1:24" s="93" customFormat="1" ht="14.25" thickBot="1" x14ac:dyDescent="0.3">
      <c r="A147" s="225" t="s">
        <v>19</v>
      </c>
      <c r="B147" s="274">
        <v>21.79</v>
      </c>
      <c r="C147" s="274">
        <v>29.02</v>
      </c>
      <c r="D147" s="274">
        <v>30.41</v>
      </c>
      <c r="E147" s="274">
        <v>29.27</v>
      </c>
      <c r="F147" s="274">
        <v>28.02</v>
      </c>
      <c r="G147" s="274">
        <v>31.44</v>
      </c>
      <c r="H147" s="274">
        <v>26.74</v>
      </c>
      <c r="I147" s="274">
        <v>26.9</v>
      </c>
      <c r="J147" s="274">
        <v>26.11</v>
      </c>
      <c r="K147" s="274">
        <v>32.85</v>
      </c>
      <c r="L147" s="274">
        <v>24.8</v>
      </c>
      <c r="M147" s="274">
        <v>24.17</v>
      </c>
      <c r="N147" s="274">
        <v>31.08</v>
      </c>
      <c r="O147" s="274">
        <v>35.85</v>
      </c>
      <c r="P147" s="274">
        <v>30.84</v>
      </c>
      <c r="Q147" s="274">
        <v>24.21</v>
      </c>
      <c r="R147" s="274">
        <v>26.9</v>
      </c>
      <c r="S147" s="274">
        <v>28.31</v>
      </c>
      <c r="T147" s="274">
        <v>29.02</v>
      </c>
      <c r="U147" s="274">
        <v>24.5</v>
      </c>
      <c r="V147" s="274">
        <v>25.48</v>
      </c>
      <c r="W147" s="274">
        <v>24.46</v>
      </c>
      <c r="X147" s="274">
        <v>26.94</v>
      </c>
    </row>
    <row r="148" spans="1:24" s="93" customFormat="1" ht="14.25" thickBot="1" x14ac:dyDescent="0.3">
      <c r="A148" s="224" t="s">
        <v>41</v>
      </c>
      <c r="B148" s="68">
        <v>20.32</v>
      </c>
      <c r="C148" s="68">
        <v>30.43</v>
      </c>
      <c r="D148" s="68">
        <v>30.52</v>
      </c>
      <c r="E148" s="68">
        <v>29.08</v>
      </c>
      <c r="F148" s="68">
        <v>30.2</v>
      </c>
      <c r="G148" s="68">
        <v>35.35</v>
      </c>
      <c r="H148" s="68">
        <v>28.44</v>
      </c>
      <c r="I148" s="68">
        <v>31.1</v>
      </c>
      <c r="J148" s="68">
        <v>28.54</v>
      </c>
      <c r="K148" s="68">
        <v>32.68</v>
      </c>
      <c r="L148" s="68">
        <v>28.72</v>
      </c>
      <c r="M148" s="68">
        <v>30.01</v>
      </c>
      <c r="N148" s="68">
        <v>32.33</v>
      </c>
      <c r="O148" s="68">
        <v>36.68</v>
      </c>
      <c r="P148" s="68">
        <v>36.96</v>
      </c>
      <c r="Q148" s="68">
        <v>25.87</v>
      </c>
      <c r="R148" s="68">
        <v>26.92</v>
      </c>
      <c r="S148" s="68">
        <v>30.19</v>
      </c>
      <c r="T148" s="68">
        <v>28.41</v>
      </c>
      <c r="U148" s="68">
        <v>28.43</v>
      </c>
      <c r="V148" s="68">
        <v>21.81</v>
      </c>
      <c r="W148" s="68">
        <v>26.21</v>
      </c>
      <c r="X148" s="68">
        <v>28.55</v>
      </c>
    </row>
    <row r="149" spans="1:24" s="93" customFormat="1" ht="14.25" thickBot="1" x14ac:dyDescent="0.3">
      <c r="A149" s="225" t="s">
        <v>13</v>
      </c>
      <c r="B149" s="73">
        <v>16.71</v>
      </c>
      <c r="C149" s="73">
        <v>24.19</v>
      </c>
      <c r="D149" s="73">
        <v>24.89</v>
      </c>
      <c r="E149" s="73">
        <v>24.79</v>
      </c>
      <c r="F149" s="73">
        <v>21.89</v>
      </c>
      <c r="G149" s="73">
        <v>28.34</v>
      </c>
      <c r="H149" s="73">
        <v>23.7</v>
      </c>
      <c r="I149" s="73">
        <v>26.93</v>
      </c>
      <c r="J149" s="73">
        <v>23.54</v>
      </c>
      <c r="K149" s="73">
        <v>26.28</v>
      </c>
      <c r="L149" s="73">
        <v>23.68</v>
      </c>
      <c r="M149" s="73">
        <v>26</v>
      </c>
      <c r="N149" s="73">
        <v>26.04</v>
      </c>
      <c r="O149" s="73">
        <v>29.96</v>
      </c>
      <c r="P149" s="73">
        <v>30.24</v>
      </c>
      <c r="Q149" s="73">
        <v>24.95</v>
      </c>
      <c r="R149" s="73">
        <v>22.52</v>
      </c>
      <c r="S149" s="73">
        <v>27.87</v>
      </c>
      <c r="T149" s="73">
        <v>23.57</v>
      </c>
      <c r="U149" s="73">
        <v>21.4</v>
      </c>
      <c r="V149" s="73">
        <v>17.399999999999999</v>
      </c>
      <c r="W149" s="73">
        <v>21.63</v>
      </c>
      <c r="X149" s="73">
        <v>23.85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45.6</v>
      </c>
      <c r="C152" s="68">
        <v>48.79</v>
      </c>
      <c r="D152" s="68">
        <v>47.67</v>
      </c>
      <c r="E152" s="68">
        <v>52.18</v>
      </c>
      <c r="F152" s="68">
        <v>49.43</v>
      </c>
    </row>
    <row r="153" spans="1:24" s="93" customFormat="1" ht="14.25" thickBot="1" x14ac:dyDescent="0.3">
      <c r="A153" s="225" t="s">
        <v>19</v>
      </c>
      <c r="B153" s="274">
        <v>27.94</v>
      </c>
      <c r="C153" s="274">
        <v>28.24</v>
      </c>
      <c r="D153" s="274">
        <v>27.24</v>
      </c>
      <c r="E153" s="274">
        <v>30.55</v>
      </c>
      <c r="F153" s="274">
        <v>27.27</v>
      </c>
    </row>
    <row r="154" spans="1:24" s="93" customFormat="1" ht="14.25" thickBot="1" x14ac:dyDescent="0.3">
      <c r="A154" s="224" t="s">
        <v>41</v>
      </c>
      <c r="B154" s="68">
        <v>28</v>
      </c>
      <c r="C154" s="68">
        <v>31.24</v>
      </c>
      <c r="D154" s="68">
        <v>30.11</v>
      </c>
      <c r="E154" s="68">
        <v>33.03</v>
      </c>
      <c r="F154" s="68">
        <v>28.54</v>
      </c>
    </row>
    <row r="155" spans="1:24" s="93" customFormat="1" ht="14.25" thickBot="1" x14ac:dyDescent="0.3">
      <c r="A155" s="225" t="s">
        <v>13</v>
      </c>
      <c r="B155" s="73">
        <v>22.95</v>
      </c>
      <c r="C155" s="73">
        <v>25.22</v>
      </c>
      <c r="D155" s="73">
        <v>24.94</v>
      </c>
      <c r="E155" s="73">
        <v>27.87</v>
      </c>
      <c r="F155" s="73">
        <v>23.93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2.88</v>
      </c>
      <c r="C158" s="68">
        <v>4.8899999999999997</v>
      </c>
      <c r="D158" s="68">
        <v>5.0199999999999996</v>
      </c>
      <c r="E158" s="68">
        <v>4.21</v>
      </c>
      <c r="F158" s="68">
        <v>3.26</v>
      </c>
      <c r="G158" s="68">
        <v>4.07</v>
      </c>
      <c r="H158" s="68">
        <v>3.79</v>
      </c>
      <c r="I158" s="68">
        <v>4.43</v>
      </c>
      <c r="J158" s="68">
        <v>3.56</v>
      </c>
      <c r="K158" s="68">
        <v>4.72</v>
      </c>
      <c r="L158" s="68">
        <v>3.9</v>
      </c>
      <c r="M158" s="68">
        <v>4.18</v>
      </c>
      <c r="N158" s="68">
        <v>4.0199999999999996</v>
      </c>
      <c r="O158" s="68">
        <v>5.13</v>
      </c>
      <c r="P158" s="68">
        <v>5.0199999999999996</v>
      </c>
      <c r="Q158" s="68">
        <v>4.26</v>
      </c>
      <c r="R158" s="68">
        <v>3.23</v>
      </c>
      <c r="S158" s="68">
        <v>4.41</v>
      </c>
      <c r="T158" s="68">
        <v>4.07</v>
      </c>
      <c r="U158" s="68">
        <v>3.39</v>
      </c>
      <c r="V158" s="68">
        <v>2.4</v>
      </c>
      <c r="W158" s="68">
        <v>3.32</v>
      </c>
      <c r="X158" s="68">
        <v>3.91</v>
      </c>
    </row>
    <row r="159" spans="1:24" s="93" customFormat="1" ht="14.25" thickBot="1" x14ac:dyDescent="0.3">
      <c r="A159" s="225" t="s">
        <v>45</v>
      </c>
      <c r="B159" s="73">
        <v>3.63</v>
      </c>
      <c r="C159" s="73">
        <v>6.92</v>
      </c>
      <c r="D159" s="73">
        <v>7.3</v>
      </c>
      <c r="E159" s="73">
        <v>5.62</v>
      </c>
      <c r="F159" s="73">
        <v>4.34</v>
      </c>
      <c r="G159" s="73">
        <v>5.89</v>
      </c>
      <c r="H159" s="73">
        <v>5.4</v>
      </c>
      <c r="I159" s="73">
        <v>5.68</v>
      </c>
      <c r="J159" s="73">
        <v>4.53</v>
      </c>
      <c r="K159" s="73">
        <v>6.55</v>
      </c>
      <c r="L159" s="73">
        <v>5.37</v>
      </c>
      <c r="M159" s="73">
        <v>5.25</v>
      </c>
      <c r="N159" s="73">
        <v>4.99</v>
      </c>
      <c r="O159" s="73">
        <v>6.89</v>
      </c>
      <c r="P159" s="73">
        <v>6.74</v>
      </c>
      <c r="Q159" s="73">
        <v>5.21</v>
      </c>
      <c r="R159" s="73">
        <v>3.93</v>
      </c>
      <c r="S159" s="73">
        <v>5.79</v>
      </c>
      <c r="T159" s="73">
        <v>5.36</v>
      </c>
      <c r="U159" s="73">
        <v>4.13</v>
      </c>
      <c r="V159" s="73">
        <v>2.9</v>
      </c>
      <c r="W159" s="73">
        <v>4.3099999999999996</v>
      </c>
      <c r="X159" s="73">
        <v>5.08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22.95</v>
      </c>
      <c r="C162" s="68">
        <v>25.22</v>
      </c>
      <c r="D162" s="68">
        <v>24.94</v>
      </c>
      <c r="E162" s="68">
        <v>27.87</v>
      </c>
      <c r="F162" s="68">
        <v>23.93</v>
      </c>
    </row>
    <row r="163" spans="1:72" s="93" customFormat="1" ht="14.25" thickBot="1" x14ac:dyDescent="0.3">
      <c r="A163" s="225" t="s">
        <v>18</v>
      </c>
      <c r="B163" s="274">
        <v>0.7</v>
      </c>
      <c r="C163" s="274">
        <v>0.63</v>
      </c>
      <c r="D163" s="274">
        <v>0.66</v>
      </c>
      <c r="E163" s="274">
        <v>0.67</v>
      </c>
      <c r="F163" s="274">
        <v>0.64</v>
      </c>
    </row>
    <row r="164" spans="1:72" s="93" customFormat="1" ht="14.25" thickBot="1" x14ac:dyDescent="0.3">
      <c r="A164" s="224" t="s">
        <v>15</v>
      </c>
      <c r="B164" s="68">
        <v>1.35</v>
      </c>
      <c r="C164" s="68">
        <v>1.27</v>
      </c>
      <c r="D164" s="68">
        <v>1.25</v>
      </c>
      <c r="E164" s="68">
        <v>1.21</v>
      </c>
      <c r="F164" s="68">
        <v>1.22</v>
      </c>
    </row>
    <row r="165" spans="1:72" s="93" customFormat="1" ht="14.25" thickBot="1" x14ac:dyDescent="0.3">
      <c r="A165" s="225" t="s">
        <v>45</v>
      </c>
      <c r="B165" s="73">
        <v>22.78</v>
      </c>
      <c r="C165" s="73">
        <v>20.66</v>
      </c>
      <c r="D165" s="73">
        <v>21.08</v>
      </c>
      <c r="E165" s="73">
        <v>23.23</v>
      </c>
      <c r="F165" s="73">
        <v>18.940000000000001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100</v>
      </c>
      <c r="C168" s="68">
        <v>84.11</v>
      </c>
      <c r="D168" s="68">
        <v>85.71</v>
      </c>
      <c r="E168" s="68">
        <v>100</v>
      </c>
      <c r="F168" s="68">
        <v>104.65</v>
      </c>
      <c r="G168" s="68">
        <v>97.83</v>
      </c>
      <c r="H168" s="68">
        <v>93.75</v>
      </c>
      <c r="I168" s="68">
        <v>94.74</v>
      </c>
      <c r="J168" s="68">
        <v>96.77</v>
      </c>
      <c r="K168" s="68">
        <v>87.38</v>
      </c>
      <c r="L168" s="68">
        <v>104.65</v>
      </c>
      <c r="M168" s="68">
        <v>105.88</v>
      </c>
      <c r="N168" s="68">
        <v>101.12</v>
      </c>
      <c r="O168" s="68">
        <v>90.91</v>
      </c>
      <c r="P168" s="68">
        <v>96.77</v>
      </c>
      <c r="Q168" s="68">
        <v>89.11</v>
      </c>
      <c r="R168" s="68">
        <v>95.74</v>
      </c>
      <c r="S168" s="68">
        <v>85.71</v>
      </c>
      <c r="T168" s="68">
        <v>87.38</v>
      </c>
      <c r="U168" s="68">
        <v>101.12</v>
      </c>
      <c r="V168" s="68">
        <v>105.88</v>
      </c>
      <c r="W168" s="68">
        <v>89.11</v>
      </c>
      <c r="X168" s="68">
        <v>92.78</v>
      </c>
    </row>
    <row r="169" spans="1:72" s="93" customFormat="1" ht="14.25" thickBot="1" x14ac:dyDescent="0.3">
      <c r="A169" s="225" t="s">
        <v>17</v>
      </c>
      <c r="B169" s="274">
        <v>138.46</v>
      </c>
      <c r="C169" s="274">
        <v>138.46</v>
      </c>
      <c r="D169" s="274">
        <v>145.16</v>
      </c>
      <c r="E169" s="274">
        <v>163.63999999999999</v>
      </c>
      <c r="F169" s="274">
        <v>180</v>
      </c>
      <c r="G169" s="274">
        <v>180</v>
      </c>
      <c r="H169" s="274">
        <v>142.86000000000001</v>
      </c>
      <c r="I169" s="274">
        <v>136.36000000000001</v>
      </c>
      <c r="J169" s="274">
        <v>145.16</v>
      </c>
      <c r="K169" s="274">
        <v>130.43</v>
      </c>
      <c r="L169" s="274">
        <v>128.57</v>
      </c>
      <c r="M169" s="274">
        <v>130.43</v>
      </c>
      <c r="N169" s="274">
        <v>150</v>
      </c>
      <c r="O169" s="274">
        <v>134.33000000000001</v>
      </c>
      <c r="P169" s="274">
        <v>128.57</v>
      </c>
      <c r="Q169" s="274">
        <v>111.11</v>
      </c>
      <c r="R169" s="274">
        <v>128.57</v>
      </c>
      <c r="S169" s="274">
        <v>120</v>
      </c>
      <c r="T169" s="274">
        <v>120</v>
      </c>
      <c r="U169" s="274">
        <v>125</v>
      </c>
      <c r="V169" s="274">
        <v>142.86000000000001</v>
      </c>
      <c r="W169" s="274">
        <v>113.92</v>
      </c>
      <c r="X169" s="274">
        <v>108.43</v>
      </c>
    </row>
    <row r="170" spans="1:72" s="93" customFormat="1" ht="14.25" thickBot="1" x14ac:dyDescent="0.3">
      <c r="A170" s="224" t="s">
        <v>42</v>
      </c>
      <c r="B170" s="72">
        <v>238.46</v>
      </c>
      <c r="C170" s="72">
        <v>222.57</v>
      </c>
      <c r="D170" s="72">
        <v>230.88</v>
      </c>
      <c r="E170" s="72">
        <v>263.64</v>
      </c>
      <c r="F170" s="72">
        <v>284.64999999999998</v>
      </c>
      <c r="G170" s="72">
        <v>277.83</v>
      </c>
      <c r="H170" s="72">
        <v>236.61</v>
      </c>
      <c r="I170" s="72">
        <v>231.1</v>
      </c>
      <c r="J170" s="72">
        <v>241.94</v>
      </c>
      <c r="K170" s="72">
        <v>217.81</v>
      </c>
      <c r="L170" s="72">
        <v>233.22</v>
      </c>
      <c r="M170" s="72">
        <v>236.32</v>
      </c>
      <c r="N170" s="72">
        <v>251.12</v>
      </c>
      <c r="O170" s="72">
        <v>225.24</v>
      </c>
      <c r="P170" s="72">
        <v>225.35</v>
      </c>
      <c r="Q170" s="72">
        <v>200.22</v>
      </c>
      <c r="R170" s="72">
        <v>224.32</v>
      </c>
      <c r="S170" s="72">
        <v>205.71</v>
      </c>
      <c r="T170" s="72">
        <v>207.38</v>
      </c>
      <c r="U170" s="72">
        <v>226.12</v>
      </c>
      <c r="V170" s="72">
        <v>248.74</v>
      </c>
      <c r="W170" s="72">
        <v>203.03</v>
      </c>
      <c r="X170" s="72">
        <v>201.22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127.41</v>
      </c>
      <c r="C173" s="72">
        <v>167.35</v>
      </c>
      <c r="D173" s="72">
        <v>110.55</v>
      </c>
      <c r="E173" s="72">
        <v>130.24</v>
      </c>
      <c r="F173" s="72">
        <v>104.38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9.81</v>
      </c>
      <c r="C176" s="72">
        <v>11.63</v>
      </c>
      <c r="D176" s="72">
        <v>12.4</v>
      </c>
      <c r="E176" s="72">
        <v>11.64</v>
      </c>
      <c r="F176" s="72">
        <v>13.01</v>
      </c>
      <c r="G176" s="72">
        <v>12.75</v>
      </c>
      <c r="H176" s="72">
        <v>12.18</v>
      </c>
      <c r="I176" s="72">
        <v>12.78</v>
      </c>
      <c r="J176" s="72">
        <v>12.72</v>
      </c>
      <c r="K176" s="72">
        <v>12.13</v>
      </c>
      <c r="L176" s="72">
        <v>11.07</v>
      </c>
      <c r="M176" s="72">
        <v>11.34</v>
      </c>
      <c r="N176" s="72">
        <v>11.88</v>
      </c>
      <c r="O176" s="72">
        <v>12.61</v>
      </c>
      <c r="P176" s="72">
        <v>12.84</v>
      </c>
      <c r="Q176" s="72">
        <v>11.76</v>
      </c>
      <c r="R176" s="72">
        <v>11.21</v>
      </c>
      <c r="S176" s="72">
        <v>11.4</v>
      </c>
      <c r="T176" s="72">
        <v>10.7</v>
      </c>
      <c r="U176" s="72">
        <v>10.69</v>
      </c>
      <c r="V176" s="72">
        <v>11.01</v>
      </c>
      <c r="W176" s="72">
        <v>11.64</v>
      </c>
      <c r="X176" s="72">
        <v>12.36</v>
      </c>
      <c r="Y176" s="72">
        <v>13.2</v>
      </c>
      <c r="Z176" s="72">
        <v>14.63</v>
      </c>
      <c r="AA176" s="72">
        <v>15.21</v>
      </c>
      <c r="AB176" s="72">
        <v>15.78</v>
      </c>
      <c r="AC176" s="72">
        <v>15.8</v>
      </c>
      <c r="AD176" s="72">
        <v>15.77</v>
      </c>
      <c r="AE176" s="72">
        <v>17.46</v>
      </c>
      <c r="AF176" s="72">
        <v>15.9</v>
      </c>
      <c r="AG176" s="72">
        <v>14.51</v>
      </c>
      <c r="AH176" s="72">
        <v>14.24</v>
      </c>
      <c r="AI176" s="72">
        <v>13.4</v>
      </c>
      <c r="AJ176" s="72">
        <v>13.13</v>
      </c>
      <c r="AK176" s="72">
        <v>13.16</v>
      </c>
      <c r="AL176" s="72">
        <v>13.2</v>
      </c>
      <c r="AM176" s="72">
        <v>13.43</v>
      </c>
      <c r="AN176" s="72">
        <v>13.92</v>
      </c>
      <c r="AO176" s="72">
        <v>13.86</v>
      </c>
      <c r="AP176" s="72">
        <v>13.96</v>
      </c>
      <c r="AQ176" s="72">
        <v>15.18</v>
      </c>
      <c r="AR176" s="72">
        <v>13.07</v>
      </c>
      <c r="AS176" s="72">
        <v>11.43</v>
      </c>
      <c r="AT176" s="72">
        <v>11.86</v>
      </c>
      <c r="AU176" s="72">
        <v>12.19</v>
      </c>
      <c r="AV176" s="72">
        <v>11.33</v>
      </c>
      <c r="AW176" s="72">
        <v>11.41</v>
      </c>
      <c r="AX176" s="72">
        <v>10.8</v>
      </c>
      <c r="AY176" s="72">
        <v>11.11</v>
      </c>
      <c r="AZ176" s="72">
        <v>11.02</v>
      </c>
      <c r="BA176" s="72">
        <v>10.33</v>
      </c>
      <c r="BB176" s="72">
        <v>10.29</v>
      </c>
      <c r="BC176" s="72">
        <v>10.25</v>
      </c>
      <c r="BD176" s="72">
        <v>10.11</v>
      </c>
      <c r="BE176" s="72">
        <v>10.71</v>
      </c>
      <c r="BF176" s="72">
        <v>10.89</v>
      </c>
      <c r="BG176" s="72">
        <v>11.02</v>
      </c>
      <c r="BH176" s="72">
        <v>11.02</v>
      </c>
      <c r="BI176" s="72">
        <v>11.13</v>
      </c>
      <c r="BJ176" s="72">
        <v>11.16</v>
      </c>
      <c r="BK176" s="72">
        <v>11.33</v>
      </c>
      <c r="BL176" s="72">
        <v>11.89</v>
      </c>
      <c r="BM176" s="72">
        <v>12.05</v>
      </c>
      <c r="BN176" s="72">
        <v>12.86</v>
      </c>
      <c r="BO176" s="72">
        <v>13.06</v>
      </c>
      <c r="BP176" s="72">
        <v>12.78</v>
      </c>
      <c r="BQ176" s="72">
        <v>12.64</v>
      </c>
      <c r="BR176" s="72">
        <v>12.67</v>
      </c>
      <c r="BS176" s="72">
        <v>12.63</v>
      </c>
      <c r="BT176" s="72">
        <v>13.21</v>
      </c>
    </row>
  </sheetData>
  <phoneticPr fontId="3" type="noConversion"/>
  <conditionalFormatting sqref="E4">
    <cfRule type="cellIs" dxfId="2249" priority="103" operator="greaterThan">
      <formula>0.2</formula>
    </cfRule>
    <cfRule type="cellIs" dxfId="224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224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246" priority="97" operator="greaterThan">
      <formula>$B$19</formula>
    </cfRule>
  </conditionalFormatting>
  <conditionalFormatting sqref="D33:D34">
    <cfRule type="cellIs" dxfId="224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2244" priority="91" operator="lessThan">
      <formula>$H$62</formula>
    </cfRule>
    <cfRule type="cellIs" dxfId="2243" priority="92" operator="greaterThan">
      <formula>$H$62</formula>
    </cfRule>
  </conditionalFormatting>
  <conditionalFormatting sqref="J62">
    <cfRule type="cellIs" dxfId="2242" priority="89" operator="lessThan">
      <formula>$K$62</formula>
    </cfRule>
    <cfRule type="cellIs" dxfId="2241" priority="90" operator="greaterThan">
      <formula>$K$62</formula>
    </cfRule>
  </conditionalFormatting>
  <conditionalFormatting sqref="M62">
    <cfRule type="cellIs" dxfId="2240" priority="87" operator="lessThan">
      <formula>$N$62</formula>
    </cfRule>
    <cfRule type="cellIs" dxfId="2239" priority="88" operator="greaterThan">
      <formula>$N$62</formula>
    </cfRule>
  </conditionalFormatting>
  <conditionalFormatting sqref="B44:E44">
    <cfRule type="cellIs" dxfId="2238" priority="85" operator="greaterThan">
      <formula>0</formula>
    </cfRule>
    <cfRule type="cellIs" dxfId="2237" priority="86" operator="lessThan">
      <formula>0</formula>
    </cfRule>
  </conditionalFormatting>
  <conditionalFormatting sqref="F72">
    <cfRule type="cellIs" dxfId="2236" priority="84" operator="lessThan">
      <formula>$E$72*90%</formula>
    </cfRule>
  </conditionalFormatting>
  <conditionalFormatting sqref="F73">
    <cfRule type="cellIs" dxfId="2235" priority="83" operator="lessThan">
      <formula>$E$73*90%</formula>
    </cfRule>
  </conditionalFormatting>
  <conditionalFormatting sqref="F74">
    <cfRule type="cellIs" dxfId="2234" priority="82" operator="lessThan">
      <formula>$E$74*90%</formula>
    </cfRule>
  </conditionalFormatting>
  <conditionalFormatting sqref="F75">
    <cfRule type="cellIs" dxfId="2233" priority="81" operator="lessThan">
      <formula>$E$75*90%</formula>
    </cfRule>
  </conditionalFormatting>
  <conditionalFormatting sqref="H44:K44">
    <cfRule type="cellIs" dxfId="2232" priority="79" operator="greaterThan">
      <formula>0</formula>
    </cfRule>
    <cfRule type="cellIs" dxfId="2231" priority="80" operator="lessThan">
      <formula>0</formula>
    </cfRule>
  </conditionalFormatting>
  <conditionalFormatting sqref="H51:K51">
    <cfRule type="cellIs" dxfId="2230" priority="77" operator="greaterThan">
      <formula>0</formula>
    </cfRule>
    <cfRule type="cellIs" dxfId="2229" priority="78" operator="lessThan">
      <formula>0</formula>
    </cfRule>
  </conditionalFormatting>
  <conditionalFormatting sqref="B51:E51">
    <cfRule type="cellIs" dxfId="2228" priority="75" operator="greaterThan">
      <formula>0</formula>
    </cfRule>
    <cfRule type="cellIs" dxfId="222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22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22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224" priority="58" operator="lessThan">
      <formula>0</formula>
    </cfRule>
  </conditionalFormatting>
  <conditionalFormatting sqref="A25 E25 C25">
    <cfRule type="cellIs" dxfId="2223" priority="59" operator="lessThan">
      <formula>0</formula>
    </cfRule>
  </conditionalFormatting>
  <conditionalFormatting sqref="F25">
    <cfRule type="cellIs" dxfId="2222" priority="57" operator="lessThan">
      <formula>0</formula>
    </cfRule>
  </conditionalFormatting>
  <conditionalFormatting sqref="E1">
    <cfRule type="containsText" dxfId="2221" priority="56" operator="containsText" text="本季業外損益/平均=-">
      <formula>NOT(ISERROR(SEARCH("本季業外損益/平均=-",E1)))</formula>
    </cfRule>
  </conditionalFormatting>
  <conditionalFormatting sqref="M65">
    <cfRule type="cellIs" dxfId="2220" priority="55" operator="lessThan">
      <formula>$L$65*90%</formula>
    </cfRule>
  </conditionalFormatting>
  <conditionalFormatting sqref="M66">
    <cfRule type="cellIs" dxfId="2219" priority="54" operator="lessThan">
      <formula>$L$66*90%</formula>
    </cfRule>
  </conditionalFormatting>
  <conditionalFormatting sqref="M67">
    <cfRule type="cellIs" dxfId="2218" priority="53" operator="lessThan">
      <formula>$L$67*90%</formula>
    </cfRule>
  </conditionalFormatting>
  <conditionalFormatting sqref="M68">
    <cfRule type="cellIs" dxfId="2217" priority="52" operator="lessThan">
      <formula>$L$68*90%</formula>
    </cfRule>
  </conditionalFormatting>
  <conditionalFormatting sqref="B60">
    <cfRule type="cellIs" dxfId="2216" priority="51" operator="lessThan">
      <formula>0</formula>
    </cfRule>
  </conditionalFormatting>
  <conditionalFormatting sqref="B59:F59">
    <cfRule type="cellIs" dxfId="2215" priority="50" operator="lessThanOrEqual">
      <formula>0</formula>
    </cfRule>
  </conditionalFormatting>
  <conditionalFormatting sqref="D62">
    <cfRule type="cellIs" dxfId="2214" priority="48" operator="lessThan">
      <formula>$E$62</formula>
    </cfRule>
    <cfRule type="cellIs" dxfId="2213" priority="49" operator="greaterThan">
      <formula>$E$62</formula>
    </cfRule>
  </conditionalFormatting>
  <conditionalFormatting sqref="F69">
    <cfRule type="cellIs" dxfId="2212" priority="46" operator="lessThan">
      <formula>0</formula>
    </cfRule>
  </conditionalFormatting>
  <conditionalFormatting sqref="B65:E67 B69:E69 B68:D68">
    <cfRule type="cellIs" dxfId="2211" priority="47" operator="lessThan">
      <formula>0</formula>
    </cfRule>
  </conditionalFormatting>
  <conditionalFormatting sqref="E68">
    <cfRule type="cellIs" dxfId="2210" priority="45" operator="lessThan">
      <formula>0</formula>
    </cfRule>
  </conditionalFormatting>
  <conditionalFormatting sqref="F65:F68">
    <cfRule type="cellIs" dxfId="2209" priority="44" operator="lessThan">
      <formula>0</formula>
    </cfRule>
  </conditionalFormatting>
  <conditionalFormatting sqref="F65:F68">
    <cfRule type="cellIs" dxfId="2208" priority="43" operator="lessThan">
      <formula>$E$65*0.9</formula>
    </cfRule>
  </conditionalFormatting>
  <conditionalFormatting sqref="F66">
    <cfRule type="cellIs" dxfId="2207" priority="42" operator="lessThan">
      <formula>$E$66*0.9</formula>
    </cfRule>
  </conditionalFormatting>
  <conditionalFormatting sqref="F67:F68">
    <cfRule type="cellIs" dxfId="2206" priority="41" operator="lessThan">
      <formula>$E$67*0.9</formula>
    </cfRule>
  </conditionalFormatting>
  <conditionalFormatting sqref="F68">
    <cfRule type="cellIs" dxfId="2205" priority="40" operator="lessThan">
      <formula>$E$68*0.9</formula>
    </cfRule>
  </conditionalFormatting>
  <conditionalFormatting sqref="B13:F13">
    <cfRule type="cellIs" dxfId="2204" priority="29" operator="greaterThan">
      <formula>$I$16</formula>
    </cfRule>
    <cfRule type="cellIs" dxfId="2203" priority="30" operator="lessThanOrEqual">
      <formula>$I$16</formula>
    </cfRule>
  </conditionalFormatting>
  <conditionalFormatting sqref="B10:F10">
    <cfRule type="cellIs" dxfId="2202" priority="31" operator="greaterThan">
      <formula>15</formula>
    </cfRule>
    <cfRule type="cellIs" dxfId="2201" priority="38" operator="lessThan">
      <formula>$I$9</formula>
    </cfRule>
    <cfRule type="cellIs" dxfId="2200" priority="39" operator="greaterThan">
      <formula>$I$9</formula>
    </cfRule>
  </conditionalFormatting>
  <conditionalFormatting sqref="B16:F16">
    <cfRule type="cellIs" dxfId="2199" priority="36" operator="greaterThan">
      <formula>$I$16</formula>
    </cfRule>
    <cfRule type="cellIs" dxfId="2198" priority="37" operator="lessThanOrEqual">
      <formula>$I$16</formula>
    </cfRule>
  </conditionalFormatting>
  <conditionalFormatting sqref="B15:F15">
    <cfRule type="cellIs" dxfId="2197" priority="34" operator="lessThanOrEqual">
      <formula>$I$16</formula>
    </cfRule>
    <cfRule type="cellIs" dxfId="2196" priority="35" operator="greaterThan">
      <formula>$I$16</formula>
    </cfRule>
  </conditionalFormatting>
  <conditionalFormatting sqref="B14:F14">
    <cfRule type="cellIs" dxfId="2195" priority="32" operator="greaterThan">
      <formula>$I$16</formula>
    </cfRule>
    <cfRule type="cellIs" dxfId="2194" priority="33" operator="lessThanOrEqual">
      <formula>$I$16</formula>
    </cfRule>
  </conditionalFormatting>
  <conditionalFormatting sqref="K6">
    <cfRule type="containsText" dxfId="2193" priority="27" operator="containsText" text="衰退">
      <formula>NOT(ISERROR(SEARCH("衰退",K6)))</formula>
    </cfRule>
    <cfRule type="containsText" dxfId="2192" priority="28" operator="containsText" text="成長">
      <formula>NOT(ISERROR(SEARCH("成長",K6)))</formula>
    </cfRule>
  </conditionalFormatting>
  <conditionalFormatting sqref="I4:K4">
    <cfRule type="cellIs" dxfId="2191" priority="25" operator="lessThan">
      <formula>0</formula>
    </cfRule>
    <cfRule type="cellIs" dxfId="219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189" priority="22" operator="lessThanOrEqual">
      <formula>$I$16</formula>
    </cfRule>
    <cfRule type="cellIs" dxfId="2188" priority="23" operator="greaterThan">
      <formula>$I$16</formula>
    </cfRule>
  </conditionalFormatting>
  <conditionalFormatting sqref="I6">
    <cfRule type="containsText" dxfId="2187" priority="20" operator="containsText" text="衰退">
      <formula>NOT(ISERROR(SEARCH("衰退",I6)))</formula>
    </cfRule>
    <cfRule type="containsText" dxfId="2186" priority="21" operator="containsText" text="成長">
      <formula>NOT(ISERROR(SEARCH("成長",I6)))</formula>
    </cfRule>
  </conditionalFormatting>
  <conditionalFormatting sqref="M9">
    <cfRule type="cellIs" dxfId="2185" priority="19" operator="lessThan">
      <formula>$I$9</formula>
    </cfRule>
  </conditionalFormatting>
  <conditionalFormatting sqref="M10">
    <cfRule type="cellIs" dxfId="2184" priority="18" operator="greaterThan">
      <formula>$I$9</formula>
    </cfRule>
  </conditionalFormatting>
  <conditionalFormatting sqref="M11">
    <cfRule type="cellIs" dxfId="218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182" priority="14" operator="lessThan">
      <formula>0</formula>
    </cfRule>
    <cfRule type="cellIs" dxfId="2181" priority="15" operator="greaterThan">
      <formula>0.5</formula>
    </cfRule>
  </conditionalFormatting>
  <conditionalFormatting sqref="N14">
    <cfRule type="cellIs" dxfId="218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179" priority="10" operator="lessThan">
      <formula>0.1</formula>
    </cfRule>
  </conditionalFormatting>
  <conditionalFormatting sqref="I14">
    <cfRule type="cellIs" dxfId="217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17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176" priority="1" operator="lessThan">
      <formula>$N$5*0.9</formula>
    </cfRule>
    <cfRule type="cellIs" dxfId="2175" priority="2" operator="greaterThan">
      <formula>$N$5*1.1</formula>
    </cfRule>
  </conditionalFormatting>
  <hyperlinks>
    <hyperlink ref="L1" location="儀表板!A1" display="(回首頁)" xr:uid="{00000000-0004-0000-4A00-000000000000}"/>
  </hyperlink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2.3 ~ 15.57</v>
      </c>
      <c r="L1" s="83" t="s">
        <v>176</v>
      </c>
      <c r="M1" s="84" t="str">
        <f ca="1">VLOOKUP(_xlfn.NUMBERVALUE(N1),儀表板!A:B,2,FALSE)</f>
        <v>超眾</v>
      </c>
      <c r="N1" s="85" t="str">
        <f ca="1">MID(CELL("filename",L1),FIND("]",CELL("filename",L1))+1,255)</f>
        <v>6230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0.26087979207074347</v>
      </c>
    </row>
    <row r="3" spans="1:15" s="93" customFormat="1" x14ac:dyDescent="0.25">
      <c r="A3" s="81" t="s">
        <v>179</v>
      </c>
      <c r="B3" s="94">
        <f>SUM(F19:F22,F24:F27,J19)</f>
        <v>89.907839335737151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77.822892465985277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84.115233582841242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90.016341055125821</v>
      </c>
      <c r="L3" s="100"/>
      <c r="M3" s="79" t="s">
        <v>385</v>
      </c>
      <c r="N3" s="92">
        <f>(F69-E69)/E69</f>
        <v>-0.4160770428355241</v>
      </c>
    </row>
    <row r="4" spans="1:15" s="93" customFormat="1" x14ac:dyDescent="0.25">
      <c r="A4" s="81" t="s">
        <v>182</v>
      </c>
      <c r="B4" s="96">
        <f>SUM(G36:G40)*2</f>
        <v>84</v>
      </c>
      <c r="C4" s="101"/>
      <c r="D4" s="102">
        <f>F4*(1+F141/10)</f>
        <v>8.6300000000000008</v>
      </c>
      <c r="E4" s="82">
        <f>(D4-F4)/F4</f>
        <v>0</v>
      </c>
      <c r="F4" s="103">
        <v>8.6300000000000008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6.3939563809510105</v>
      </c>
    </row>
    <row r="5" spans="1:15" s="93" customFormat="1" x14ac:dyDescent="0.25">
      <c r="A5" s="81" t="s">
        <v>184</v>
      </c>
      <c r="B5" s="107">
        <f>SUM(F30:F34)*2</f>
        <v>97.012739378566906</v>
      </c>
      <c r="C5" s="87"/>
      <c r="D5" s="87"/>
      <c r="E5" s="87"/>
      <c r="F5" s="86"/>
      <c r="G5" s="88"/>
      <c r="M5" s="79" t="s">
        <v>386</v>
      </c>
      <c r="N5" s="152">
        <f>D62</f>
        <v>7.66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6.7468618092322181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22.68</v>
      </c>
      <c r="N9" s="129"/>
    </row>
    <row r="10" spans="1:15" s="93" customFormat="1" x14ac:dyDescent="0.25">
      <c r="A10" s="123" t="s">
        <v>194</v>
      </c>
      <c r="B10" s="126">
        <f>PERCENTILE(176:176,B9)</f>
        <v>10.88</v>
      </c>
      <c r="C10" s="126">
        <f>PERCENTILE(176:176,C9)</f>
        <v>11.934999999999999</v>
      </c>
      <c r="D10" s="126">
        <f>PERCENTILE(176:176,D9)</f>
        <v>12.9</v>
      </c>
      <c r="E10" s="126">
        <f>PERCENTILE(176:176,E9)</f>
        <v>13.805</v>
      </c>
      <c r="F10" s="126">
        <f>PERCENTILE(176:176,F9)</f>
        <v>15.75</v>
      </c>
      <c r="G10" s="95"/>
      <c r="H10" s="135"/>
      <c r="I10" s="135"/>
      <c r="J10" s="135"/>
      <c r="K10" s="135"/>
      <c r="L10" s="136" t="s">
        <v>374</v>
      </c>
      <c r="M10" s="130">
        <f>MIN(176:176)</f>
        <v>7.59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40.28</v>
      </c>
      <c r="L11" s="272" t="s">
        <v>193</v>
      </c>
      <c r="M11" s="128">
        <f>STDEV(176:176)</f>
        <v>2.6757865915090968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70.728291316526622</v>
      </c>
      <c r="C13" s="141">
        <f>$B$34/5.88%</f>
        <v>85.884353741496597</v>
      </c>
      <c r="D13" s="141">
        <f>$B$34/5%</f>
        <v>100.99999999999999</v>
      </c>
      <c r="E13" s="141">
        <f>$B$34/4.35%</f>
        <v>116.0919540229885</v>
      </c>
      <c r="F13" s="141">
        <f>$B$34/3.85%</f>
        <v>131.16883116883116</v>
      </c>
      <c r="G13" s="138" t="str">
        <f>"$"&amp;ROUND(B34,2)&amp;"/"&amp;IF(STDEV(C140:F140)/AVERAGE(C140:F140)&lt;15%,"高",IF(STDEV(C140:F140)/AVERAGE(C140:F140)&lt;30%,"中","低"))</f>
        <v>$5.05/低</v>
      </c>
      <c r="H13" s="142" t="s">
        <v>199</v>
      </c>
      <c r="I13" s="143">
        <f>MAX(0,1-J15)</f>
        <v>0.31506849315068486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85.788800000000009</v>
      </c>
      <c r="C14" s="141">
        <f>$B$33*C10</f>
        <v>94.107474999999994</v>
      </c>
      <c r="D14" s="141">
        <f>$B$33*D10</f>
        <v>101.7165</v>
      </c>
      <c r="E14" s="141">
        <f>$B$33*E10</f>
        <v>108.852425</v>
      </c>
      <c r="F14" s="141">
        <f>$B$33*F10</f>
        <v>124.18875</v>
      </c>
      <c r="G14" s="138" t="str">
        <f>"$"&amp;ROUND(B33,2)&amp;"/"&amp;IF(STDEV(B69:E69)/AVERAGE(B69:E69)&lt;15%,"高",IF(STDEV(B69:E69)/AVERAGE(B69:E69)&lt;30%,"中","低"))</f>
        <v>$7.89/中</v>
      </c>
      <c r="H14" s="142" t="s">
        <v>203</v>
      </c>
      <c r="I14" s="145">
        <f>G62/100*I13</f>
        <v>5.8287671232876696E-2</v>
      </c>
      <c r="J14" s="76" t="s">
        <v>204</v>
      </c>
      <c r="K14" s="146"/>
      <c r="L14" s="147">
        <f>(HLOOKUP($C$1,$105:$106,2,FALSE)-HLOOKUP($C$1,$117:$127,9,FALSE))/(HLOOKUP($C$1,$117:$128,12,FALSE)/K11)</f>
        <v>17.80772335411028</v>
      </c>
      <c r="M14" s="148">
        <f>E135/E69</f>
        <v>0.83287671232876714</v>
      </c>
      <c r="N14" s="149">
        <f>F173/100</f>
        <v>1.2765</v>
      </c>
    </row>
    <row r="15" spans="1:15" s="93" customFormat="1" x14ac:dyDescent="0.25">
      <c r="A15" s="140" t="s">
        <v>375</v>
      </c>
      <c r="B15" s="141">
        <f>$D$62*B10</f>
        <v>83.340800000000002</v>
      </c>
      <c r="C15" s="141">
        <f>$D$62*C10</f>
        <v>91.422099999999986</v>
      </c>
      <c r="D15" s="141">
        <f>$D$62*D10</f>
        <v>98.814000000000007</v>
      </c>
      <c r="E15" s="141">
        <f>$D$62*E10</f>
        <v>105.74630000000001</v>
      </c>
      <c r="F15" s="141">
        <f>$D$62*F10</f>
        <v>120.645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0.68493150684931514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69.566245424746995</v>
      </c>
      <c r="C16" s="141">
        <f>$F$69*C10</f>
        <v>76.311869406650302</v>
      </c>
      <c r="D16" s="141">
        <f>$F$69*D10</f>
        <v>82.482037314268041</v>
      </c>
      <c r="E16" s="141">
        <f>$F$69*E10</f>
        <v>88.268567839028691</v>
      </c>
      <c r="F16" s="141">
        <f>$F$69*F10</f>
        <v>100.70481299997842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597</v>
      </c>
      <c r="J17" s="92">
        <f ca="1">IF(I17&lt;=0,"",IF(I17&lt;=MIN($B$13:$F$16),(I17-MIN($B$13:$F$16))/MIN($B$13:$F$16),IF(I17&gt;=MAX($B$13:$F$16),I17/MAX($B$13:$F$16),PERCENTRANK($B$13:$F$16,I17))))</f>
        <v>4.5513861386138617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7.0225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18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1.3905940594059407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0.21771810088802793</v>
      </c>
      <c r="J20" s="171">
        <f>HLOOKUP($C$1,$117:$127,11,FALSE)/HLOOKUP($C$1,$105:$115,11,FALSE)</f>
        <v>0.48909236622099989</v>
      </c>
      <c r="K20" s="163"/>
    </row>
    <row r="21" spans="1:14" s="93" customFormat="1" x14ac:dyDescent="0.25">
      <c r="A21" s="151" t="s">
        <v>201</v>
      </c>
      <c r="B21" s="161">
        <f>AVERAGE(C173:F173)/100</f>
        <v>1.2572000000000001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1.7291779769118352</v>
      </c>
      <c r="J21" s="78"/>
      <c r="K21" s="164" t="s">
        <v>356</v>
      </c>
      <c r="L21" s="165">
        <f>HLOOKUP($C$1,$105:$115,7,FALSE)/HLOOKUP($C$1,$105:$115,11,FALSE)</f>
        <v>0.76555429943195297</v>
      </c>
      <c r="M21" s="123" t="s">
        <v>268</v>
      </c>
      <c r="N21" s="165">
        <f>HLOOKUP($C$1,$117:$127,8,FALSE)/HLOOKUP($C$1,$117:$127,11,FALSE)</f>
        <v>0.90520182284430872</v>
      </c>
    </row>
    <row r="22" spans="1:14" s="93" customFormat="1" x14ac:dyDescent="0.25">
      <c r="A22" s="140" t="s">
        <v>222</v>
      </c>
      <c r="B22" s="161">
        <f>(-1)*SUM(C133:F133)/SUM(C132:F132)</f>
        <v>0.29538615847542632</v>
      </c>
      <c r="C22" s="157"/>
      <c r="D22" s="166"/>
      <c r="E22" s="140"/>
      <c r="F22" s="159">
        <f>IF(B22&lt;=0,10,IF(B22&gt;=100%,0,(1-B22)*10))</f>
        <v>7.0461384152457374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1.4051343092996431</v>
      </c>
      <c r="J22" s="78"/>
      <c r="K22" s="142" t="s">
        <v>357</v>
      </c>
      <c r="L22" s="165">
        <f>HLOOKUP($C$1,$105:$115,4,FALSE)/HLOOKUP($C$1,$105:$115,11,FALSE)</f>
        <v>0.31174695940957781</v>
      </c>
      <c r="M22" s="123" t="s">
        <v>353</v>
      </c>
      <c r="N22" s="165">
        <f>HLOOKUP($C$1,$117:$127,4,FALSE)/HLOOKUP($C$1,$117:$127,11,FALSE)</f>
        <v>0.55485279279609434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1.9573009559543268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0.1434629785114715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90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3.1364892153341102E-2</v>
      </c>
      <c r="M24" s="123" t="s">
        <v>355</v>
      </c>
      <c r="N24" s="165">
        <f>HLOOKUP($C$1,$117:$127,9,FALSE)/HLOOKUP($C$1,$117:$127,11,FALSE)</f>
        <v>9.4798177155691221E-2</v>
      </c>
    </row>
    <row r="25" spans="1:14" s="93" customFormat="1" x14ac:dyDescent="0.25">
      <c r="A25" s="151" t="s">
        <v>366</v>
      </c>
      <c r="B25" s="255">
        <f>AVERAGE(94:94)</f>
        <v>15024.304347826086</v>
      </c>
      <c r="C25" s="254">
        <f>STDEV(94:94)/AVERAGE(94:94)</f>
        <v>2.138299079508577</v>
      </c>
      <c r="D25" s="76" t="str">
        <f>IF(C25&lt;=1,"高",IF(C25&lt;=2,"中","低"))</f>
        <v>低</v>
      </c>
      <c r="E25" s="149"/>
      <c r="F25" s="160">
        <f>MAX(0,10-ABS(C25))</f>
        <v>7.8617009204914226</v>
      </c>
      <c r="G25" s="88" t="s">
        <v>213</v>
      </c>
      <c r="H25" s="123" t="s">
        <v>232</v>
      </c>
      <c r="I25" s="170">
        <f>IF(HLOOKUP(C1,167:170,3,FALSE)="無",0,HLOOKUP(C1,167:170,3,FALSE))</f>
        <v>54.22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98.505217391304356</v>
      </c>
      <c r="C26" s="172">
        <f>IF(COUNTIF(168:168,"&gt;0")=0,0,STDEV(168:168))</f>
        <v>9.5935707019977325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54.440000000000012</v>
      </c>
      <c r="C27" s="172">
        <f>IF(COUNTIF(169:169,"&gt;0")=0,0,STDEV(169:169))</f>
        <v>6.4243896066614594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0.23962499999999998</v>
      </c>
      <c r="C30" s="157" t="s">
        <v>217</v>
      </c>
      <c r="D30" s="174">
        <f>COUNTIF(146:146,"&gt;20")/COUNT(146:146)</f>
        <v>0.86956521739130432</v>
      </c>
      <c r="E30" s="140" t="s">
        <v>239</v>
      </c>
      <c r="F30" s="159">
        <f>MIN(B30/25%*10,10)</f>
        <v>9.5849999999999991</v>
      </c>
      <c r="G30" s="175"/>
      <c r="H30" s="176"/>
    </row>
    <row r="31" spans="1:14" x14ac:dyDescent="0.25">
      <c r="A31" s="164" t="s">
        <v>240</v>
      </c>
      <c r="B31" s="173">
        <f>AVERAGE(C155:F155)/100</f>
        <v>0.10640000000000001</v>
      </c>
      <c r="C31" s="157" t="s">
        <v>217</v>
      </c>
      <c r="D31" s="174">
        <f>COUNTIF(149:149,"&gt;8")/COUNT(149:149)</f>
        <v>0.78260869565217395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21.234999999999999</v>
      </c>
      <c r="C32" s="157" t="s">
        <v>217</v>
      </c>
      <c r="D32" s="174">
        <f>COUNTIF(159:159,"&gt;3")/COUNT(159:159)</f>
        <v>0.86956521739130432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7.8849999999999998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5.05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8.9213696892834502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6325549.25</v>
      </c>
      <c r="C36" s="178">
        <f>STDEV(C97:F97)</f>
        <v>649120.833299099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23.962499999999999</v>
      </c>
      <c r="C37" s="180">
        <f>STDEV(C152:F152)</f>
        <v>2.1333287760367994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13.315</v>
      </c>
      <c r="C38" s="180">
        <f>STDEV(C153:F153)</f>
        <v>2.2309116223343879</v>
      </c>
      <c r="D38" s="76" t="str">
        <f>IF(C38/B38&lt;15%,"高",IF(C38/B38&lt;30%,"中","低"))</f>
        <v>中</v>
      </c>
      <c r="E38" s="107">
        <f>IF(F153&gt;E153,1,0)+IF(E153&gt;D153,1,0)+IF(D153&gt;C153,1,0)</f>
        <v>3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21.234999999999999</v>
      </c>
      <c r="C39" s="181">
        <f>STDEV(C165:F165)</f>
        <v>3.2237917633329554</v>
      </c>
      <c r="D39" s="76" t="str">
        <f>IF(C39/B39&lt;15%,"高",IF(C39/B39&lt;30%,"中","低"))</f>
        <v>中</v>
      </c>
      <c r="E39" s="107">
        <f>IF(F165&gt;E165,1,0)+IF(E165&gt;D165,1,0)+IF(D165&gt;C165,1,0)</f>
        <v>2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7.8849999999999998</v>
      </c>
      <c r="C40" s="183">
        <f>STDEV(B69:E69)</f>
        <v>2.1477662815120264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7.216494845360831E-2</v>
      </c>
      <c r="C44" s="186">
        <f>(C46-C49)/C49</f>
        <v>-0.67791411042944794</v>
      </c>
      <c r="D44" s="186">
        <f>(D46-D49)/D49</f>
        <v>-0.48412698412698413</v>
      </c>
      <c r="E44" s="186">
        <f>(E46-E49)/E49</f>
        <v>0.28685258964143434</v>
      </c>
      <c r="G44" s="86" t="s">
        <v>175</v>
      </c>
      <c r="H44" s="186">
        <f>(H47-H50)/H50</f>
        <v>-3.7124802527646099E-2</v>
      </c>
      <c r="I44" s="186">
        <f>(I47-I50)/I50</f>
        <v>-0.56974358974358974</v>
      </c>
      <c r="J44" s="186">
        <f>(J47-J50)/J50</f>
        <v>-0.27058823529411785</v>
      </c>
      <c r="K44" s="186">
        <f>(K47-K50)/K50</f>
        <v>-4.69226081657525E-2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2.08</v>
      </c>
      <c r="C46" s="152">
        <f>HLOOKUP(C45,$81:$82,2,FALSE)</f>
        <v>1.05</v>
      </c>
      <c r="D46" s="152">
        <f>HLOOKUP(D45,$81:$82,2,FALSE)</f>
        <v>1.3</v>
      </c>
      <c r="E46" s="152">
        <f>HLOOKUP(E45,$81:$82,2,FALSE)</f>
        <v>3.23</v>
      </c>
      <c r="G46" s="86" t="s">
        <v>164</v>
      </c>
      <c r="H46" s="145">
        <f>HLOOKUP(H45,$145:$147,2,FALSE)/100</f>
        <v>0.22120000000000001</v>
      </c>
      <c r="I46" s="145">
        <f>HLOOKUP(I45,$145:$147,2,FALSE)/100</f>
        <v>0.18920000000000001</v>
      </c>
      <c r="J46" s="145">
        <f>HLOOKUP(J45,$145:$147,2,FALSE)/100</f>
        <v>0.23829999999999998</v>
      </c>
      <c r="K46" s="145">
        <f>HLOOKUP(K45,$145:$147,2,FALSE)/100</f>
        <v>0.2576</v>
      </c>
    </row>
    <row r="47" spans="1:14" x14ac:dyDescent="0.25">
      <c r="A47" s="188" t="s">
        <v>165</v>
      </c>
      <c r="B47" s="189">
        <f>HLOOKUP(B45,$157:$159,3,FALSE)</f>
        <v>5.33</v>
      </c>
      <c r="C47" s="189">
        <f>HLOOKUP(C45,$157:$159,3,FALSE)</f>
        <v>2.58</v>
      </c>
      <c r="D47" s="189">
        <f>HLOOKUP(D45,$157:$159,3,FALSE)</f>
        <v>2.96</v>
      </c>
      <c r="E47" s="189">
        <f>HLOOKUP(E45,$157:$159,3,FALSE)</f>
        <v>7.63</v>
      </c>
      <c r="G47" s="190" t="s">
        <v>166</v>
      </c>
      <c r="H47" s="145">
        <f>HLOOKUP(H45,$145:$147,3,FALSE)/100</f>
        <v>0.12189999999999999</v>
      </c>
      <c r="I47" s="145">
        <f>HLOOKUP(I45,$145:$147,3,FALSE)/100</f>
        <v>8.3900000000000002E-2</v>
      </c>
      <c r="J47" s="145">
        <f>HLOOKUP(J45,$145:$147,3,FALSE)/100</f>
        <v>0.13019999999999998</v>
      </c>
      <c r="K47" s="145">
        <f>HLOOKUP(K45,$145:$147,3,FALSE)/100</f>
        <v>0.15640000000000001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1.94</v>
      </c>
      <c r="C49" s="152">
        <f>HLOOKUP(C48,$81:$82,2,FALSE)</f>
        <v>3.26</v>
      </c>
      <c r="D49" s="152">
        <f>HLOOKUP(D48,$81:$82,2,FALSE)</f>
        <v>2.52</v>
      </c>
      <c r="E49" s="152">
        <f>HLOOKUP(E48,$81:$82,2,FALSE)</f>
        <v>2.5099999999999998</v>
      </c>
      <c r="G49" s="86" t="s">
        <v>164</v>
      </c>
      <c r="H49" s="145">
        <f>HLOOKUP(H48,$145:$147,2,FALSE)/100</f>
        <v>0.23480000000000001</v>
      </c>
      <c r="I49" s="145">
        <f>HLOOKUP(I48,$145:$147,2,FALSE)/100</f>
        <v>0.29220000000000002</v>
      </c>
      <c r="J49" s="145">
        <f>HLOOKUP(J48,$145:$147,2,FALSE)/100</f>
        <v>0.26289999999999997</v>
      </c>
      <c r="K49" s="145">
        <f>HLOOKUP(K48,$145:$147,2,FALSE)/100</f>
        <v>0.27029999999999998</v>
      </c>
    </row>
    <row r="50" spans="1:15" x14ac:dyDescent="0.25">
      <c r="A50" s="188" t="s">
        <v>165</v>
      </c>
      <c r="B50" s="189">
        <f>HLOOKUP(B48,$157:$159,3,FALSE)</f>
        <v>4.79</v>
      </c>
      <c r="C50" s="189">
        <f>HLOOKUP(C48,$157:$159,3,FALSE)</f>
        <v>7.87</v>
      </c>
      <c r="D50" s="189">
        <f>HLOOKUP(D48,$157:$159,3,FALSE)</f>
        <v>6.05</v>
      </c>
      <c r="E50" s="189">
        <f>HLOOKUP(E48,$157:$159,3,FALSE)</f>
        <v>6.34</v>
      </c>
      <c r="G50" s="190" t="s">
        <v>166</v>
      </c>
      <c r="H50" s="145">
        <f>HLOOKUP(H48,$145:$147,3,FALSE)/100</f>
        <v>0.12659999999999999</v>
      </c>
      <c r="I50" s="145">
        <f>HLOOKUP(I48,$145:$147,3,FALSE)/100</f>
        <v>0.19500000000000001</v>
      </c>
      <c r="J50" s="145">
        <f>HLOOKUP(J48,$145:$147,3,FALSE)/100</f>
        <v>0.17850000000000002</v>
      </c>
      <c r="K50" s="145">
        <f>HLOOKUP(K48,$145:$147,3,FALSE)/100</f>
        <v>0.1641</v>
      </c>
    </row>
    <row r="51" spans="1:15" x14ac:dyDescent="0.25">
      <c r="A51" s="86" t="s">
        <v>351</v>
      </c>
      <c r="B51" s="186">
        <f>(B47-B50)/B50</f>
        <v>0.11273486430062631</v>
      </c>
      <c r="C51" s="186">
        <f>(C47-C50)/C50</f>
        <v>-0.67217280813214741</v>
      </c>
      <c r="D51" s="186">
        <f>(D47-D50)/D50</f>
        <v>-0.51074380165289257</v>
      </c>
      <c r="E51" s="186">
        <f>(E47-E50)/E50</f>
        <v>0.20347003154574134</v>
      </c>
      <c r="G51" s="235" t="s">
        <v>174</v>
      </c>
      <c r="H51" s="186">
        <f>(H46-H49)/H49</f>
        <v>-5.7921635434412269E-2</v>
      </c>
      <c r="I51" s="186">
        <f>(I46-I49)/I49</f>
        <v>-0.35249828884325807</v>
      </c>
      <c r="J51" s="186">
        <f>(J46-J49)/J49</f>
        <v>-9.3571700266260882E-2</v>
      </c>
      <c r="K51" s="186">
        <f>(K46-K49)/K49</f>
        <v>-4.6984831668516427E-2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6.7468618092322181</v>
      </c>
      <c r="B53" s="193">
        <f>B46</f>
        <v>2.08</v>
      </c>
      <c r="C53" s="193">
        <f>E46/HLOOKUP(E45,$87:$94,5,FALSE)*HLOOKUP(E45,$87:$94,4,FALSE)*($B$25/HLOOKUP(E45,$87:$94,4,FALSE)+SUM($B$57:$D$57)/SUM($B58:$D$58)*$G$69/100/K46)</f>
        <v>1.963956380951011</v>
      </c>
      <c r="D53" s="193">
        <f>D46/HLOOKUP(D45,$87:$94,5,FALSE)*HLOOKUP(D45,$87:$94,4,FALSE)*($B$25/HLOOKUP(D45,$87:$94,4,FALSE)+SUM($B$57:$D$57)/SUM($B58:$D$58)*$G$69/100/J46)</f>
        <v>1.4865633222913119</v>
      </c>
      <c r="E53" s="193">
        <f>C46/HLOOKUP(C45,$87:$94,5,FALSE)*HLOOKUP(C45,$87:$94,4,FALSE)*($B$25/HLOOKUP(C45,$87:$94,4,FALSE)+SUM($B$57:$D$57)/SUM($B58:$D$58)*$G$69/100/I46)</f>
        <v>1.2163421059898953</v>
      </c>
    </row>
    <row r="54" spans="1:15" x14ac:dyDescent="0.25">
      <c r="A54" s="278">
        <f>SUM(B54:E54)</f>
        <v>7.52</v>
      </c>
      <c r="B54" s="277">
        <f t="shared" ref="B54:D54" si="0">HLOOKUP(B52-10,81:82,2,FALSE)</f>
        <v>1.94</v>
      </c>
      <c r="C54" s="277">
        <f t="shared" si="0"/>
        <v>3.23</v>
      </c>
      <c r="D54" s="277">
        <f t="shared" si="0"/>
        <v>1.3</v>
      </c>
      <c r="E54" s="277">
        <f>HLOOKUP(E52-10,81:82,2,FALSE)</f>
        <v>1.05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573696</v>
      </c>
      <c r="C57" s="196">
        <f>HLOOKUP(C56,78:79,2,FALSE)</f>
        <v>702229</v>
      </c>
      <c r="D57" s="196">
        <f>HLOOKUP(D56,78:79,2,FALSE)</f>
        <v>619429</v>
      </c>
      <c r="E57" s="196">
        <f>HLOOKUP(E56,78:79,2,FALSE)</f>
        <v>641201</v>
      </c>
      <c r="F57" s="196">
        <f>HLOOKUP(F56,78:79,2,FALSE)</f>
        <v>594879</v>
      </c>
      <c r="G57" s="196">
        <f t="shared" ref="G57:M57" si="2">HLOOKUP(G56,78:79,2,FALSE)</f>
        <v>572701</v>
      </c>
      <c r="H57" s="196">
        <f t="shared" si="2"/>
        <v>547635</v>
      </c>
      <c r="I57" s="196">
        <f t="shared" si="2"/>
        <v>542751</v>
      </c>
      <c r="J57" s="196">
        <f t="shared" si="2"/>
        <v>449386</v>
      </c>
      <c r="K57" s="196">
        <f t="shared" si="2"/>
        <v>520402</v>
      </c>
      <c r="L57" s="196">
        <f t="shared" si="2"/>
        <v>614102</v>
      </c>
      <c r="M57" s="196">
        <f t="shared" si="2"/>
        <v>645178</v>
      </c>
      <c r="N57" s="197"/>
    </row>
    <row r="58" spans="1:15" x14ac:dyDescent="0.25">
      <c r="A58" s="198" t="s">
        <v>253</v>
      </c>
      <c r="B58" s="196">
        <f>HLOOKUP(B56-100,78:79,2,FALSE)</f>
        <v>627966</v>
      </c>
      <c r="C58" s="196">
        <f>HLOOKUP(C56-100,78:79,2,FALSE)</f>
        <v>655765</v>
      </c>
      <c r="D58" s="196">
        <f>HLOOKUP(D56-100,78:79,2,FALSE)</f>
        <v>621840</v>
      </c>
      <c r="E58" s="196">
        <f>HLOOKUP(E56-100,78:79,2,FALSE)</f>
        <v>584189</v>
      </c>
      <c r="F58" s="196">
        <f>HLOOKUP(F56-100,78:79,2,FALSE)</f>
        <v>595547</v>
      </c>
      <c r="G58" s="196">
        <f t="shared" ref="G58:M58" si="3">HLOOKUP(G56-100,78:79,2,FALSE)</f>
        <v>611327</v>
      </c>
      <c r="H58" s="196">
        <f t="shared" si="3"/>
        <v>599269</v>
      </c>
      <c r="I58" s="196">
        <f t="shared" si="3"/>
        <v>647327</v>
      </c>
      <c r="J58" s="196">
        <f t="shared" si="3"/>
        <v>440590</v>
      </c>
      <c r="K58" s="196">
        <f t="shared" si="3"/>
        <v>654216</v>
      </c>
      <c r="L58" s="196">
        <f t="shared" si="3"/>
        <v>631940</v>
      </c>
      <c r="M58" s="196">
        <f t="shared" si="3"/>
        <v>551943</v>
      </c>
      <c r="N58" s="197"/>
    </row>
    <row r="59" spans="1:15" x14ac:dyDescent="0.25">
      <c r="A59" s="199" t="s">
        <v>254</v>
      </c>
      <c r="B59" s="165">
        <f>IF(B57&lt;&gt;"",(B57-B58)/B58,"")</f>
        <v>-8.6421876343623694E-2</v>
      </c>
      <c r="C59" s="165">
        <f>IF(C57&lt;&gt;"",(C57-C58)/C58,"")</f>
        <v>7.0854650675165651E-2</v>
      </c>
      <c r="D59" s="165">
        <f>IF(D57&lt;&gt;"",(D57-D58)/D58,"")</f>
        <v>-3.8772031390711436E-3</v>
      </c>
      <c r="E59" s="165">
        <f>IF(E57&lt;&gt;"",(E57-E58)/E58,"")</f>
        <v>9.7591704054680928E-2</v>
      </c>
      <c r="F59" s="165">
        <f>IF(F57&lt;&gt;"",(F57-F58)/F58,"")</f>
        <v>-1.1216579044139253E-3</v>
      </c>
      <c r="G59" s="165">
        <f t="shared" ref="G59:M59" si="4">IF(G57&lt;&gt;"",(G57-G58)/G58,"")</f>
        <v>-6.3183860683398568E-2</v>
      </c>
      <c r="H59" s="165">
        <f t="shared" si="4"/>
        <v>-8.6161640265056266E-2</v>
      </c>
      <c r="I59" s="165">
        <f t="shared" si="4"/>
        <v>-0.16155049920673786</v>
      </c>
      <c r="J59" s="165">
        <f t="shared" si="4"/>
        <v>1.9964138995437936E-2</v>
      </c>
      <c r="K59" s="165">
        <f t="shared" si="4"/>
        <v>-0.20454100786284651</v>
      </c>
      <c r="L59" s="165">
        <f t="shared" si="4"/>
        <v>-2.8227363357280755E-2</v>
      </c>
      <c r="M59" s="165">
        <f t="shared" si="4"/>
        <v>0.16892142848083952</v>
      </c>
    </row>
    <row r="60" spans="1:15" x14ac:dyDescent="0.25">
      <c r="A60" s="195" t="s">
        <v>255</v>
      </c>
      <c r="B60" s="196">
        <f>SUM(B57:M57)</f>
        <v>7023589</v>
      </c>
    </row>
    <row r="61" spans="1:15" x14ac:dyDescent="0.25">
      <c r="A61" s="198" t="s">
        <v>256</v>
      </c>
      <c r="B61" s="196">
        <f>SUM(B58:M58)</f>
        <v>7221919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0.97253777008576248</v>
      </c>
      <c r="D62" s="152">
        <f>SUM(B46:E46)</f>
        <v>7.66</v>
      </c>
      <c r="E62" s="152">
        <f>SUM(B49:E49)</f>
        <v>10.229999999999999</v>
      </c>
      <c r="G62" s="126">
        <f>SUM(B47:E47)</f>
        <v>18.5</v>
      </c>
      <c r="H62" s="126">
        <f>SUM(B50:E50)</f>
        <v>25.05</v>
      </c>
      <c r="J62" s="200">
        <f>AVERAGE(H46:K46)</f>
        <v>0.22657499999999997</v>
      </c>
      <c r="K62" s="200">
        <f>AVERAGE(H49:K49)</f>
        <v>0.26505000000000001</v>
      </c>
      <c r="M62" s="200">
        <f>AVERAGE(H47:K47)</f>
        <v>0.12309999999999999</v>
      </c>
      <c r="N62" s="200">
        <f>AVERAGE(H50:K50)</f>
        <v>0.16605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1.68</v>
      </c>
      <c r="C65" s="205">
        <f t="shared" si="5"/>
        <v>1.24</v>
      </c>
      <c r="D65" s="205">
        <f t="shared" si="5"/>
        <v>1.52</v>
      </c>
      <c r="E65" s="205">
        <f t="shared" si="5"/>
        <v>2.52</v>
      </c>
      <c r="F65" s="206">
        <f>IF(ISNA(HLOOKUP(F$64*10+$A65,$81:$82,2,FALSE)),(HLOOKUP(E$64*10+$A65,$87:$94,4,FALSE)*$G65+$B$25)/HLOOKUP(E$64*10+$A65,$87:$94,5,FALSE)*$E65,HLOOKUP(F$64*10+$A65,$81:$82,2,FALSE))</f>
        <v>1.3</v>
      </c>
      <c r="G65" s="101">
        <f>MIN(130%,SUM($B$57:$D$57)/SUM($B$58:$D$58)*$G$69/HLOOKUP(E$64*10+$A65,$145:$146,2,FALSE))</f>
        <v>0.7274155965461766</v>
      </c>
      <c r="H65" s="204">
        <v>1</v>
      </c>
      <c r="I65" s="208">
        <f t="shared" ref="I65:M68" si="6">IF(ISNA(HLOOKUP(I$64*10+$H65,$145:$147,3,FALSE)),"",HLOOKUP(I$64*10+$H65,$145:$147,3,FALSE)/100)</f>
        <v>0.1091</v>
      </c>
      <c r="J65" s="208">
        <f t="shared" si="6"/>
        <v>9.4700000000000006E-2</v>
      </c>
      <c r="K65" s="208">
        <f t="shared" si="6"/>
        <v>0.1173</v>
      </c>
      <c r="L65" s="208">
        <f t="shared" si="6"/>
        <v>0.17850000000000002</v>
      </c>
      <c r="M65" s="209">
        <f t="shared" si="6"/>
        <v>0.13019999999999998</v>
      </c>
      <c r="N65" s="256">
        <f t="shared" ref="N65:O68" si="7">HLOOKUP(E$64*10+$A65,$87:$94,8,FALSE)</f>
        <v>-34980</v>
      </c>
      <c r="O65" s="256">
        <f t="shared" si="7"/>
        <v>-45625</v>
      </c>
      <c r="P65" s="210"/>
    </row>
    <row r="66" spans="1:71" x14ac:dyDescent="0.25">
      <c r="A66" s="204">
        <v>2</v>
      </c>
      <c r="B66" s="205">
        <f t="shared" si="5"/>
        <v>1.48</v>
      </c>
      <c r="C66" s="205">
        <f t="shared" si="5"/>
        <v>1.99</v>
      </c>
      <c r="D66" s="205">
        <f t="shared" si="5"/>
        <v>1.18</v>
      </c>
      <c r="E66" s="205">
        <f t="shared" si="5"/>
        <v>3.26</v>
      </c>
      <c r="F66" s="206">
        <f>IF(ISNA(HLOOKUP(F$64*10+$A66,$81:$82,2,FALSE)),(HLOOKUP(E$64*10+$A66,$87:$94,4,FALSE)*$G66+$B$25)/HLOOKUP(E$64*10+$A66,$87:$94,5,FALSE)*$E66,HLOOKUP(F$64*10+$A66,$81:$82,2,FALSE))</f>
        <v>1.05</v>
      </c>
      <c r="G66" s="101">
        <f>MIN(130%,SUM($B$57:$D$57)/SUM($B$58:$D$58)*$G$69/HLOOKUP(E$64*10+$A66,$145:$146,2,FALSE))</f>
        <v>0.65447488135520138</v>
      </c>
      <c r="H66" s="204">
        <v>2</v>
      </c>
      <c r="I66" s="208">
        <f t="shared" si="6"/>
        <v>8.4399999999999989E-2</v>
      </c>
      <c r="J66" s="208">
        <f t="shared" si="6"/>
        <v>0.15190000000000001</v>
      </c>
      <c r="K66" s="208">
        <f t="shared" si="6"/>
        <v>0.1056</v>
      </c>
      <c r="L66" s="208">
        <f t="shared" si="6"/>
        <v>0.19500000000000001</v>
      </c>
      <c r="M66" s="209">
        <f t="shared" si="6"/>
        <v>8.3900000000000002E-2</v>
      </c>
      <c r="N66" s="256">
        <f t="shared" si="7"/>
        <v>40988</v>
      </c>
      <c r="O66" s="256">
        <f t="shared" si="7"/>
        <v>-5377</v>
      </c>
      <c r="P66" s="210"/>
    </row>
    <row r="67" spans="1:71" x14ac:dyDescent="0.25">
      <c r="A67" s="204">
        <v>3</v>
      </c>
      <c r="B67" s="205">
        <f t="shared" si="5"/>
        <v>1.53</v>
      </c>
      <c r="C67" s="205">
        <f t="shared" si="5"/>
        <v>1.88</v>
      </c>
      <c r="D67" s="205">
        <f t="shared" si="5"/>
        <v>2.56</v>
      </c>
      <c r="E67" s="205">
        <f t="shared" si="5"/>
        <v>1.94</v>
      </c>
      <c r="F67" s="206">
        <f>IF(ISNA(HLOOKUP(F$64*10+$A67,$81:$82,2,FALSE)),(HLOOKUP(E$64*10+$A67,$87:$94,4,FALSE)*$G67+$B$25)/HLOOKUP(E$64*10+$A67,$87:$94,5,FALSE)*$E67,HLOOKUP(F$64*10+$A67,$81:$82,2,FALSE))</f>
        <v>2.08</v>
      </c>
      <c r="G67" s="101">
        <f>MIN(130%,SUM($B$57:$D$57)/SUM($B$58:$D$58)*$G$69/HLOOKUP(E$64*10+$A67,$145:$146,2,FALSE))</f>
        <v>0.81447001844970113</v>
      </c>
      <c r="H67" s="204">
        <v>3</v>
      </c>
      <c r="I67" s="208">
        <f t="shared" si="6"/>
        <v>0.1201</v>
      </c>
      <c r="J67" s="208">
        <f t="shared" si="6"/>
        <v>0.1207</v>
      </c>
      <c r="K67" s="208">
        <f t="shared" si="6"/>
        <v>0.13470000000000001</v>
      </c>
      <c r="L67" s="208">
        <f t="shared" si="6"/>
        <v>0.12659999999999999</v>
      </c>
      <c r="M67" s="209">
        <f t="shared" si="6"/>
        <v>0.12189999999999999</v>
      </c>
      <c r="N67" s="256">
        <f t="shared" si="7"/>
        <v>-10208</v>
      </c>
      <c r="O67" s="256">
        <f t="shared" si="7"/>
        <v>-20044</v>
      </c>
      <c r="P67" s="210"/>
    </row>
    <row r="68" spans="1:71" x14ac:dyDescent="0.25">
      <c r="A68" s="204">
        <v>4</v>
      </c>
      <c r="B68" s="205">
        <f>HLOOKUP(B$64*10+$A68,$81:$82,2,FALSE)</f>
        <v>1.52</v>
      </c>
      <c r="C68" s="205">
        <f>HLOOKUP(C$64*10+$A68,$81:$82,2,FALSE)</f>
        <v>1.5</v>
      </c>
      <c r="D68" s="205">
        <f>HLOOKUP(D$64*10+$A68,$81:$82,2,FALSE)</f>
        <v>2.5099999999999998</v>
      </c>
      <c r="E68" s="206">
        <f>IF(ISNA(HLOOKUP(E$64*10+$A68,$81:$82,2,FALSE)),D68*(1-$N68)*#REF!*(1+$B$25)/(1+$E$4),HLOOKUP(E$64*10+$A68,$81:$82,2,FALSE))</f>
        <v>3.23</v>
      </c>
      <c r="F68" s="206">
        <f>IF(ISNA(HLOOKUP(F$64*10+$A68,$81:$82,2,FALSE)),(HLOOKUP(E$64*10+$A68,$87:$94,4,FALSE)*$G68+$B$25)/HLOOKUP(E$64*10+$A68,$87:$94,5,FALSE)*$E68,HLOOKUP(F$64*10+$A68,$81:$82,2,FALSE))</f>
        <v>1.9639563809510108</v>
      </c>
      <c r="G68" s="101">
        <f>MIN(130%,SUM($B$57:$D$57)/SUM($B$58:$D$58)*$G$69/HLOOKUP(E$64*10+$A68,$145:$146,2,FALSE))</f>
        <v>0.74238183358691701</v>
      </c>
      <c r="H68" s="204">
        <v>4</v>
      </c>
      <c r="I68" s="208">
        <f t="shared" si="6"/>
        <v>9.4800000000000009E-2</v>
      </c>
      <c r="J68" s="208">
        <f t="shared" si="6"/>
        <v>0.12970000000000001</v>
      </c>
      <c r="K68" s="208">
        <f t="shared" si="6"/>
        <v>0.1641</v>
      </c>
      <c r="L68" s="208">
        <f t="shared" si="6"/>
        <v>0.15640000000000001</v>
      </c>
      <c r="M68" s="209" t="str">
        <f t="shared" si="6"/>
        <v/>
      </c>
      <c r="N68" s="256">
        <f t="shared" si="7"/>
        <v>89897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6.2100000000000009</v>
      </c>
      <c r="C69" s="213">
        <f>SUM(C65:C68)</f>
        <v>6.6099999999999994</v>
      </c>
      <c r="D69" s="213">
        <f>SUM(D65:D68)</f>
        <v>7.77</v>
      </c>
      <c r="E69" s="213">
        <f>SUM(E65:E68)</f>
        <v>10.95</v>
      </c>
      <c r="F69" s="213">
        <f>SUM(F65:F68)</f>
        <v>6.3939563809510105</v>
      </c>
      <c r="G69" s="257">
        <f>_xlfn.FORECAST.ETS(23,B146:W146,{1,2,3,4,5,6,7,8,9,10,11,12,13,14,15,16,17,18,19,20,21,22})</f>
        <v>19.226843591191418</v>
      </c>
      <c r="H69" s="214" t="s">
        <v>19</v>
      </c>
      <c r="I69" s="215">
        <f>HLOOKUP(I64,151:155,3,FALSE)/100</f>
        <v>0.1105</v>
      </c>
      <c r="J69" s="215">
        <f>HLOOKUP(J64,151:155,3,FALSE)/100</f>
        <v>0.12590000000000001</v>
      </c>
      <c r="K69" s="215">
        <f>HLOOKUP(K64,151:155,3,FALSE)/100</f>
        <v>0.1326</v>
      </c>
      <c r="L69" s="215">
        <f>IF(ISNA(HLOOKUP(L64,151:155,3,FALSE)/100),AVERAGE(L65:L68),HLOOKUP(L64,151:155,3,FALSE)/100)</f>
        <v>0.1636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5.59</v>
      </c>
      <c r="C72" s="205">
        <f t="shared" si="8"/>
        <v>3.7</v>
      </c>
      <c r="D72" s="205">
        <f t="shared" si="8"/>
        <v>4.03</v>
      </c>
      <c r="E72" s="205">
        <f t="shared" si="8"/>
        <v>6.05</v>
      </c>
      <c r="F72" s="205">
        <f t="shared" si="8"/>
        <v>2.96</v>
      </c>
    </row>
    <row r="73" spans="1:71" s="135" customFormat="1" x14ac:dyDescent="0.25">
      <c r="A73" s="204">
        <v>2</v>
      </c>
      <c r="B73" s="205">
        <f t="shared" si="8"/>
        <v>4.8600000000000003</v>
      </c>
      <c r="C73" s="205">
        <f t="shared" si="8"/>
        <v>5.96</v>
      </c>
      <c r="D73" s="205">
        <f t="shared" si="8"/>
        <v>3.21</v>
      </c>
      <c r="E73" s="205">
        <f t="shared" si="8"/>
        <v>7.87</v>
      </c>
      <c r="F73" s="205">
        <f t="shared" si="8"/>
        <v>2.58</v>
      </c>
    </row>
    <row r="74" spans="1:71" s="135" customFormat="1" x14ac:dyDescent="0.25">
      <c r="A74" s="204">
        <v>3</v>
      </c>
      <c r="B74" s="205">
        <f t="shared" si="8"/>
        <v>5.03</v>
      </c>
      <c r="C74" s="205">
        <f t="shared" si="8"/>
        <v>5.57</v>
      </c>
      <c r="D74" s="205">
        <f t="shared" si="8"/>
        <v>6.9</v>
      </c>
      <c r="E74" s="205">
        <f t="shared" si="8"/>
        <v>4.79</v>
      </c>
      <c r="F74" s="205">
        <f t="shared" si="8"/>
        <v>5.33</v>
      </c>
    </row>
    <row r="75" spans="1:71" s="135" customFormat="1" x14ac:dyDescent="0.25">
      <c r="A75" s="204">
        <v>4</v>
      </c>
      <c r="B75" s="205">
        <f t="shared" si="8"/>
        <v>4.75</v>
      </c>
      <c r="C75" s="205">
        <f t="shared" si="8"/>
        <v>4.17</v>
      </c>
      <c r="D75" s="205">
        <f t="shared" si="8"/>
        <v>6.34</v>
      </c>
      <c r="E75" s="205">
        <f t="shared" si="8"/>
        <v>7.63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20.23</v>
      </c>
      <c r="C76" s="213">
        <f>SUM(C72:C75)</f>
        <v>19.399999999999999</v>
      </c>
      <c r="D76" s="213">
        <f>SUM(D72:D75)</f>
        <v>20.48</v>
      </c>
      <c r="E76" s="213">
        <f>AVERAGE(E72:E75)*4</f>
        <v>26.34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306730</v>
      </c>
      <c r="C79" s="270">
        <v>324308</v>
      </c>
      <c r="D79" s="270">
        <v>365602</v>
      </c>
      <c r="E79" s="270">
        <v>417239</v>
      </c>
      <c r="F79" s="270">
        <v>455264</v>
      </c>
      <c r="G79" s="270">
        <v>474723</v>
      </c>
      <c r="H79" s="270">
        <v>436979</v>
      </c>
      <c r="I79" s="270">
        <v>451165</v>
      </c>
      <c r="J79" s="270">
        <v>542613</v>
      </c>
      <c r="K79" s="270">
        <v>523619</v>
      </c>
      <c r="L79" s="270">
        <v>517981</v>
      </c>
      <c r="M79" s="270">
        <v>522942</v>
      </c>
      <c r="N79" s="270">
        <v>550115</v>
      </c>
      <c r="O79" s="270">
        <v>389798</v>
      </c>
      <c r="P79" s="270">
        <v>494589</v>
      </c>
      <c r="Q79" s="270">
        <v>524718</v>
      </c>
      <c r="R79" s="270">
        <v>542326</v>
      </c>
      <c r="S79" s="270">
        <v>494415</v>
      </c>
      <c r="T79" s="270">
        <v>522371</v>
      </c>
      <c r="U79" s="270">
        <v>491292</v>
      </c>
      <c r="V79" s="270">
        <v>507072</v>
      </c>
      <c r="W79" s="270">
        <v>447951</v>
      </c>
      <c r="X79" s="270">
        <v>504311</v>
      </c>
      <c r="Y79" s="270">
        <v>551695</v>
      </c>
      <c r="Z79" s="270">
        <v>443973</v>
      </c>
      <c r="AA79" s="270">
        <v>369880</v>
      </c>
      <c r="AB79" s="270">
        <v>455328</v>
      </c>
      <c r="AC79" s="270">
        <v>577084</v>
      </c>
      <c r="AD79" s="270">
        <v>520694</v>
      </c>
      <c r="AE79" s="270">
        <v>514198</v>
      </c>
      <c r="AF79" s="270">
        <v>536045</v>
      </c>
      <c r="AG79" s="270">
        <v>469887</v>
      </c>
      <c r="AH79" s="270">
        <v>529028</v>
      </c>
      <c r="AI79" s="270">
        <v>475586</v>
      </c>
      <c r="AJ79" s="270">
        <v>456844</v>
      </c>
      <c r="AK79" s="270">
        <v>591549</v>
      </c>
      <c r="AL79" s="270">
        <v>488397</v>
      </c>
      <c r="AM79" s="270">
        <v>392921</v>
      </c>
      <c r="AN79" s="270">
        <v>431567</v>
      </c>
      <c r="AO79" s="270">
        <v>469642</v>
      </c>
      <c r="AP79" s="270">
        <v>451522</v>
      </c>
      <c r="AQ79" s="270">
        <v>514576</v>
      </c>
      <c r="AR79" s="270">
        <v>479282</v>
      </c>
      <c r="AS79" s="270">
        <v>476610</v>
      </c>
      <c r="AT79" s="270">
        <v>574783</v>
      </c>
      <c r="AU79" s="270">
        <v>579657</v>
      </c>
      <c r="AV79" s="270">
        <v>551943</v>
      </c>
      <c r="AW79" s="270">
        <v>631940</v>
      </c>
      <c r="AX79" s="270">
        <v>654216</v>
      </c>
      <c r="AY79" s="270">
        <v>440590</v>
      </c>
      <c r="AZ79" s="270">
        <v>647327</v>
      </c>
      <c r="BA79" s="270">
        <v>599269</v>
      </c>
      <c r="BB79" s="270">
        <v>611327</v>
      </c>
      <c r="BC79" s="270">
        <v>595547</v>
      </c>
      <c r="BD79" s="270">
        <v>584189</v>
      </c>
      <c r="BE79" s="270">
        <v>621840</v>
      </c>
      <c r="BF79" s="270">
        <v>655765</v>
      </c>
      <c r="BG79" s="270">
        <v>627966</v>
      </c>
      <c r="BH79" s="270">
        <v>645178</v>
      </c>
      <c r="BI79" s="270">
        <v>614102</v>
      </c>
      <c r="BJ79" s="270">
        <v>520402</v>
      </c>
      <c r="BK79" s="270">
        <v>449386</v>
      </c>
      <c r="BL79" s="270">
        <v>542751</v>
      </c>
      <c r="BM79" s="270">
        <v>547635</v>
      </c>
      <c r="BN79" s="270">
        <v>572701</v>
      </c>
      <c r="BO79" s="270">
        <v>594879</v>
      </c>
      <c r="BP79" s="270">
        <v>641201</v>
      </c>
      <c r="BQ79" s="270">
        <v>619429</v>
      </c>
      <c r="BR79" s="270">
        <v>702229</v>
      </c>
      <c r="BS79" s="270">
        <v>573696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0.26</v>
      </c>
      <c r="C82" s="72">
        <v>1.57</v>
      </c>
      <c r="D82" s="72">
        <v>1.52</v>
      </c>
      <c r="E82" s="72">
        <v>1.44</v>
      </c>
      <c r="F82" s="72">
        <v>1.68</v>
      </c>
      <c r="G82" s="72">
        <v>1.48</v>
      </c>
      <c r="H82" s="72">
        <v>1.53</v>
      </c>
      <c r="I82" s="72">
        <v>1.52</v>
      </c>
      <c r="J82" s="72">
        <v>1.24</v>
      </c>
      <c r="K82" s="72">
        <v>1.99</v>
      </c>
      <c r="L82" s="72">
        <v>1.88</v>
      </c>
      <c r="M82" s="72">
        <v>1.5</v>
      </c>
      <c r="N82" s="72">
        <v>1.52</v>
      </c>
      <c r="O82" s="72">
        <v>1.18</v>
      </c>
      <c r="P82" s="72">
        <v>2.56</v>
      </c>
      <c r="Q82" s="72">
        <v>2.5099999999999998</v>
      </c>
      <c r="R82" s="72">
        <v>2.52</v>
      </c>
      <c r="S82" s="72">
        <v>3.26</v>
      </c>
      <c r="T82" s="72">
        <v>1.94</v>
      </c>
      <c r="U82" s="72">
        <v>3.23</v>
      </c>
      <c r="V82" s="72">
        <v>1.3</v>
      </c>
      <c r="W82" s="72">
        <v>1.05</v>
      </c>
      <c r="X82" s="72">
        <v>2.08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26.09</v>
      </c>
      <c r="C85" s="72">
        <v>26.2</v>
      </c>
      <c r="D85" s="72">
        <v>27.58</v>
      </c>
      <c r="E85" s="72">
        <v>29.02</v>
      </c>
      <c r="F85" s="72">
        <v>31.06</v>
      </c>
      <c r="G85" s="72">
        <v>29.73</v>
      </c>
      <c r="H85" s="72">
        <v>31.05</v>
      </c>
      <c r="I85" s="72">
        <v>32.92</v>
      </c>
      <c r="J85" s="72">
        <v>34.090000000000003</v>
      </c>
      <c r="K85" s="72">
        <v>32.49</v>
      </c>
      <c r="L85" s="72">
        <v>34.909999999999997</v>
      </c>
      <c r="M85" s="72">
        <v>37.090000000000003</v>
      </c>
      <c r="N85" s="72">
        <v>38.39</v>
      </c>
      <c r="O85" s="72">
        <v>35.26</v>
      </c>
      <c r="P85" s="72">
        <v>38.79</v>
      </c>
      <c r="Q85" s="72">
        <v>40.47</v>
      </c>
      <c r="R85" s="72">
        <v>42.86</v>
      </c>
      <c r="S85" s="72">
        <v>39.950000000000003</v>
      </c>
      <c r="T85" s="72">
        <v>41.05</v>
      </c>
      <c r="U85" s="72">
        <v>43.8</v>
      </c>
      <c r="V85" s="72">
        <v>43.82</v>
      </c>
      <c r="W85" s="72">
        <v>37.840000000000003</v>
      </c>
      <c r="X85" s="72">
        <v>40.28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988962</v>
      </c>
      <c r="C88" s="273">
        <v>1372138</v>
      </c>
      <c r="D88" s="273">
        <v>1426858</v>
      </c>
      <c r="E88" s="273">
        <v>1558028</v>
      </c>
      <c r="F88" s="273">
        <v>1433450</v>
      </c>
      <c r="G88" s="273">
        <v>1561770</v>
      </c>
      <c r="H88" s="273">
        <v>1527142</v>
      </c>
      <c r="I88" s="273">
        <v>1499021</v>
      </c>
      <c r="J88" s="273">
        <v>1269189</v>
      </c>
      <c r="K88" s="273">
        <v>1611991</v>
      </c>
      <c r="L88" s="273">
        <v>1536285</v>
      </c>
      <c r="M88" s="273">
        <v>1522608</v>
      </c>
      <c r="N88" s="273">
        <v>1314361</v>
      </c>
      <c r="O88" s="273">
        <v>1434264</v>
      </c>
      <c r="P88" s="273">
        <v>1530334</v>
      </c>
      <c r="Q88" s="273">
        <v>1764849</v>
      </c>
      <c r="R88" s="273">
        <v>1741261</v>
      </c>
      <c r="S88" s="273">
        <v>1806917</v>
      </c>
      <c r="T88" s="273">
        <v>1861865</v>
      </c>
      <c r="U88" s="273">
        <v>1886890</v>
      </c>
      <c r="V88" s="273">
        <v>1513068</v>
      </c>
      <c r="W88" s="273">
        <v>1714927</v>
      </c>
      <c r="X88" s="273">
        <v>1965680</v>
      </c>
    </row>
    <row r="89" spans="1:25" ht="14.25" thickBot="1" x14ac:dyDescent="0.3">
      <c r="A89" s="250" t="s">
        <v>4</v>
      </c>
      <c r="B89" s="275">
        <v>145510</v>
      </c>
      <c r="C89" s="275">
        <v>295863</v>
      </c>
      <c r="D89" s="275">
        <v>297993</v>
      </c>
      <c r="E89" s="275">
        <v>313015</v>
      </c>
      <c r="F89" s="275">
        <v>289543</v>
      </c>
      <c r="G89" s="275">
        <v>272853</v>
      </c>
      <c r="H89" s="275">
        <v>340565</v>
      </c>
      <c r="I89" s="275">
        <v>313076</v>
      </c>
      <c r="J89" s="275">
        <v>287734</v>
      </c>
      <c r="K89" s="275">
        <v>412201</v>
      </c>
      <c r="L89" s="275">
        <v>354960</v>
      </c>
      <c r="M89" s="275">
        <v>373229</v>
      </c>
      <c r="N89" s="275">
        <v>307592</v>
      </c>
      <c r="O89" s="275">
        <v>320598</v>
      </c>
      <c r="P89" s="275">
        <v>380727</v>
      </c>
      <c r="Q89" s="275">
        <v>476997</v>
      </c>
      <c r="R89" s="275">
        <v>457815</v>
      </c>
      <c r="S89" s="275">
        <v>527900</v>
      </c>
      <c r="T89" s="275">
        <v>437151</v>
      </c>
      <c r="U89" s="275">
        <v>486023</v>
      </c>
      <c r="V89" s="275">
        <v>360601</v>
      </c>
      <c r="W89" s="275">
        <v>324454</v>
      </c>
      <c r="X89" s="275">
        <v>434757</v>
      </c>
    </row>
    <row r="90" spans="1:25" ht="14.25" thickBot="1" x14ac:dyDescent="0.3">
      <c r="A90" s="251" t="s">
        <v>5</v>
      </c>
      <c r="B90" s="273">
        <v>44240</v>
      </c>
      <c r="C90" s="273">
        <v>149637</v>
      </c>
      <c r="D90" s="273">
        <v>149707</v>
      </c>
      <c r="E90" s="273">
        <v>145624</v>
      </c>
      <c r="F90" s="273">
        <v>156403</v>
      </c>
      <c r="G90" s="273">
        <v>131773</v>
      </c>
      <c r="H90" s="273">
        <v>183395</v>
      </c>
      <c r="I90" s="273">
        <v>142059</v>
      </c>
      <c r="J90" s="273">
        <v>120225</v>
      </c>
      <c r="K90" s="273">
        <v>244892</v>
      </c>
      <c r="L90" s="273">
        <v>185477</v>
      </c>
      <c r="M90" s="273">
        <v>197415</v>
      </c>
      <c r="N90" s="273">
        <v>154197</v>
      </c>
      <c r="O90" s="273">
        <v>151405</v>
      </c>
      <c r="P90" s="273">
        <v>206176</v>
      </c>
      <c r="Q90" s="273">
        <v>289558</v>
      </c>
      <c r="R90" s="273">
        <v>310802</v>
      </c>
      <c r="S90" s="273">
        <v>352342</v>
      </c>
      <c r="T90" s="273">
        <v>235793</v>
      </c>
      <c r="U90" s="273">
        <v>295032</v>
      </c>
      <c r="V90" s="273">
        <v>197057</v>
      </c>
      <c r="W90" s="273">
        <v>143941</v>
      </c>
      <c r="X90" s="273">
        <v>239710</v>
      </c>
    </row>
    <row r="91" spans="1:25" ht="14.25" thickBot="1" x14ac:dyDescent="0.3">
      <c r="A91" s="250" t="s">
        <v>6</v>
      </c>
      <c r="B91" s="275">
        <v>40899</v>
      </c>
      <c r="C91" s="275">
        <v>190551</v>
      </c>
      <c r="D91" s="275">
        <v>181853</v>
      </c>
      <c r="E91" s="275">
        <v>152597</v>
      </c>
      <c r="F91" s="275">
        <v>187279</v>
      </c>
      <c r="G91" s="275">
        <v>165960</v>
      </c>
      <c r="H91" s="275">
        <v>173929</v>
      </c>
      <c r="I91" s="275">
        <v>158317</v>
      </c>
      <c r="J91" s="275">
        <v>132872</v>
      </c>
      <c r="K91" s="275">
        <v>255564</v>
      </c>
      <c r="L91" s="275">
        <v>218561</v>
      </c>
      <c r="M91" s="275">
        <v>183531</v>
      </c>
      <c r="N91" s="275">
        <v>189780</v>
      </c>
      <c r="O91" s="275">
        <v>158419</v>
      </c>
      <c r="P91" s="275">
        <v>281712</v>
      </c>
      <c r="Q91" s="275">
        <v>311267</v>
      </c>
      <c r="R91" s="275">
        <v>275822</v>
      </c>
      <c r="S91" s="275">
        <v>393330</v>
      </c>
      <c r="T91" s="275">
        <v>225585</v>
      </c>
      <c r="U91" s="275">
        <v>384929</v>
      </c>
      <c r="V91" s="275">
        <v>151432</v>
      </c>
      <c r="W91" s="275">
        <v>138564</v>
      </c>
      <c r="X91" s="275">
        <v>219666</v>
      </c>
    </row>
    <row r="92" spans="1:25" ht="14.25" thickBot="1" x14ac:dyDescent="0.3">
      <c r="A92" s="251" t="s">
        <v>7</v>
      </c>
      <c r="B92" s="273">
        <v>22794</v>
      </c>
      <c r="C92" s="273">
        <v>135198</v>
      </c>
      <c r="D92" s="273">
        <v>131205</v>
      </c>
      <c r="E92" s="273">
        <v>124327</v>
      </c>
      <c r="F92" s="273">
        <v>145044</v>
      </c>
      <c r="G92" s="273">
        <v>127452</v>
      </c>
      <c r="H92" s="273">
        <v>132077</v>
      </c>
      <c r="I92" s="273">
        <v>131059</v>
      </c>
      <c r="J92" s="273">
        <v>106979</v>
      </c>
      <c r="K92" s="273">
        <v>171415</v>
      </c>
      <c r="L92" s="273">
        <v>162079</v>
      </c>
      <c r="M92" s="273">
        <v>129720</v>
      </c>
      <c r="N92" s="273">
        <v>131273</v>
      </c>
      <c r="O92" s="273">
        <v>102041</v>
      </c>
      <c r="P92" s="273">
        <v>220714</v>
      </c>
      <c r="Q92" s="273">
        <v>216903</v>
      </c>
      <c r="R92" s="273">
        <v>217782</v>
      </c>
      <c r="S92" s="273">
        <v>281299</v>
      </c>
      <c r="T92" s="273">
        <v>167358</v>
      </c>
      <c r="U92" s="273">
        <v>279388</v>
      </c>
      <c r="V92" s="273">
        <v>111895</v>
      </c>
      <c r="W92" s="273">
        <v>90802</v>
      </c>
      <c r="X92" s="273">
        <v>179661</v>
      </c>
    </row>
    <row r="93" spans="1:25" ht="26.25" thickBot="1" x14ac:dyDescent="0.3">
      <c r="A93" s="252" t="s">
        <v>8</v>
      </c>
      <c r="B93" s="276">
        <v>22794</v>
      </c>
      <c r="C93" s="276">
        <v>135198</v>
      </c>
      <c r="D93" s="276">
        <v>131205</v>
      </c>
      <c r="E93" s="276">
        <v>124327</v>
      </c>
      <c r="F93" s="276">
        <v>145044</v>
      </c>
      <c r="G93" s="276">
        <v>127452</v>
      </c>
      <c r="H93" s="276">
        <v>132077</v>
      </c>
      <c r="I93" s="276">
        <v>131059</v>
      </c>
      <c r="J93" s="276">
        <v>106979</v>
      </c>
      <c r="K93" s="276">
        <v>171415</v>
      </c>
      <c r="L93" s="276">
        <v>162079</v>
      </c>
      <c r="M93" s="276">
        <v>129720</v>
      </c>
      <c r="N93" s="276">
        <v>131273</v>
      </c>
      <c r="O93" s="276">
        <v>102041</v>
      </c>
      <c r="P93" s="276">
        <v>220714</v>
      </c>
      <c r="Q93" s="276">
        <v>216903</v>
      </c>
      <c r="R93" s="276">
        <v>217782</v>
      </c>
      <c r="S93" s="276">
        <v>281299</v>
      </c>
      <c r="T93" s="276">
        <v>167358</v>
      </c>
      <c r="U93" s="276">
        <v>279388</v>
      </c>
      <c r="V93" s="276">
        <v>111895</v>
      </c>
      <c r="W93" s="276">
        <v>90802</v>
      </c>
      <c r="X93" s="276">
        <v>179661</v>
      </c>
    </row>
    <row r="94" spans="1:25" x14ac:dyDescent="0.25">
      <c r="A94" s="233" t="s">
        <v>365</v>
      </c>
      <c r="B94" s="253">
        <f>IF(B91="","",B91-B90)</f>
        <v>-3341</v>
      </c>
      <c r="C94" s="253">
        <f>IF(C91="","",C91-C90)</f>
        <v>40914</v>
      </c>
      <c r="D94" s="253">
        <f t="shared" ref="D94:Y94" si="9">IF(D91="","",D91-D90)</f>
        <v>32146</v>
      </c>
      <c r="E94" s="253">
        <f t="shared" si="9"/>
        <v>6973</v>
      </c>
      <c r="F94" s="253">
        <f t="shared" si="9"/>
        <v>30876</v>
      </c>
      <c r="G94" s="253">
        <f t="shared" si="9"/>
        <v>34187</v>
      </c>
      <c r="H94" s="253">
        <f t="shared" si="9"/>
        <v>-9466</v>
      </c>
      <c r="I94" s="253">
        <f t="shared" si="9"/>
        <v>16258</v>
      </c>
      <c r="J94" s="253">
        <f t="shared" si="9"/>
        <v>12647</v>
      </c>
      <c r="K94" s="253">
        <f t="shared" si="9"/>
        <v>10672</v>
      </c>
      <c r="L94" s="253">
        <f t="shared" si="9"/>
        <v>33084</v>
      </c>
      <c r="M94" s="253">
        <f t="shared" si="9"/>
        <v>-13884</v>
      </c>
      <c r="N94" s="253">
        <f t="shared" si="9"/>
        <v>35583</v>
      </c>
      <c r="O94" s="253">
        <f t="shared" si="9"/>
        <v>7014</v>
      </c>
      <c r="P94" s="253">
        <f t="shared" si="9"/>
        <v>75536</v>
      </c>
      <c r="Q94" s="253">
        <f t="shared" si="9"/>
        <v>21709</v>
      </c>
      <c r="R94" s="253">
        <f t="shared" si="9"/>
        <v>-34980</v>
      </c>
      <c r="S94" s="253">
        <f t="shared" si="9"/>
        <v>40988</v>
      </c>
      <c r="T94" s="253">
        <f t="shared" si="9"/>
        <v>-10208</v>
      </c>
      <c r="U94" s="253">
        <f t="shared" si="9"/>
        <v>89897</v>
      </c>
      <c r="V94" s="253">
        <f t="shared" si="9"/>
        <v>-45625</v>
      </c>
      <c r="W94" s="253">
        <f t="shared" si="9"/>
        <v>-5377</v>
      </c>
      <c r="X94" s="253">
        <f t="shared" si="9"/>
        <v>-20044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5345986</v>
      </c>
      <c r="C97" s="273">
        <v>6021383</v>
      </c>
      <c r="D97" s="273">
        <v>5940073</v>
      </c>
      <c r="E97" s="273">
        <v>6043808</v>
      </c>
      <c r="F97" s="273">
        <v>7296933</v>
      </c>
    </row>
    <row r="98" spans="1:24" ht="14.25" thickBot="1" x14ac:dyDescent="0.3">
      <c r="A98" s="225" t="s">
        <v>4</v>
      </c>
      <c r="B98" s="275">
        <v>1052381</v>
      </c>
      <c r="C98" s="275">
        <v>1267830</v>
      </c>
      <c r="D98" s="275">
        <v>1428124</v>
      </c>
      <c r="E98" s="275">
        <v>1485914</v>
      </c>
      <c r="F98" s="275">
        <v>1908889</v>
      </c>
    </row>
    <row r="99" spans="1:24" ht="14.25" thickBot="1" x14ac:dyDescent="0.3">
      <c r="A99" s="224" t="s">
        <v>5</v>
      </c>
      <c r="B99" s="273">
        <v>489208</v>
      </c>
      <c r="C99" s="273">
        <v>665423</v>
      </c>
      <c r="D99" s="273">
        <v>748009</v>
      </c>
      <c r="E99" s="273">
        <v>801336</v>
      </c>
      <c r="F99" s="273">
        <v>1193969</v>
      </c>
    </row>
    <row r="100" spans="1:24" ht="14.25" thickBot="1" x14ac:dyDescent="0.3">
      <c r="A100" s="225" t="s">
        <v>6</v>
      </c>
      <c r="B100" s="275">
        <v>565900</v>
      </c>
      <c r="C100" s="275">
        <v>685485</v>
      </c>
      <c r="D100" s="275">
        <v>790528</v>
      </c>
      <c r="E100" s="275">
        <v>941178</v>
      </c>
      <c r="F100" s="275">
        <v>1279666</v>
      </c>
    </row>
    <row r="101" spans="1:24" ht="14.25" thickBot="1" x14ac:dyDescent="0.3">
      <c r="A101" s="224" t="s">
        <v>7</v>
      </c>
      <c r="B101" s="273">
        <v>413524</v>
      </c>
      <c r="C101" s="273">
        <v>535632</v>
      </c>
      <c r="D101" s="273">
        <v>570193</v>
      </c>
      <c r="E101" s="273">
        <v>670931</v>
      </c>
      <c r="F101" s="273">
        <v>945827</v>
      </c>
    </row>
    <row r="102" spans="1:24" ht="14.25" thickBot="1" x14ac:dyDescent="0.3">
      <c r="A102" s="227" t="s">
        <v>8</v>
      </c>
      <c r="B102" s="276">
        <v>413524</v>
      </c>
      <c r="C102" s="276">
        <v>535632</v>
      </c>
      <c r="D102" s="276">
        <v>570193</v>
      </c>
      <c r="E102" s="276">
        <v>670931</v>
      </c>
      <c r="F102" s="276">
        <v>945827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1315858</v>
      </c>
      <c r="C106" s="273">
        <v>1162830</v>
      </c>
      <c r="D106" s="273">
        <v>1063963</v>
      </c>
      <c r="E106" s="273">
        <v>1142697</v>
      </c>
      <c r="F106" s="273">
        <v>1624058</v>
      </c>
      <c r="G106" s="273">
        <v>1757404</v>
      </c>
      <c r="H106" s="273">
        <v>1752990</v>
      </c>
      <c r="I106" s="273">
        <v>1841708</v>
      </c>
      <c r="J106" s="273">
        <v>1819447</v>
      </c>
      <c r="K106" s="273">
        <v>1708987</v>
      </c>
      <c r="L106" s="273">
        <v>1569068</v>
      </c>
      <c r="M106" s="273">
        <v>1621362</v>
      </c>
      <c r="N106" s="273">
        <v>2188172</v>
      </c>
      <c r="O106" s="273">
        <v>2008867</v>
      </c>
      <c r="P106" s="273">
        <v>1992208</v>
      </c>
      <c r="Q106" s="273">
        <v>2127039</v>
      </c>
      <c r="R106" s="273">
        <v>2118155</v>
      </c>
      <c r="S106" s="273">
        <v>2223177</v>
      </c>
      <c r="T106" s="273">
        <v>2032103</v>
      </c>
      <c r="U106" s="273">
        <v>2132595</v>
      </c>
      <c r="V106" s="273">
        <v>2208720</v>
      </c>
      <c r="W106" s="273">
        <v>2356702</v>
      </c>
      <c r="X106" s="273">
        <v>1853020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1215588</v>
      </c>
      <c r="C108" s="273">
        <v>1499813</v>
      </c>
      <c r="D108" s="273">
        <v>1561439</v>
      </c>
      <c r="E108" s="273">
        <v>1643081</v>
      </c>
      <c r="F108" s="273">
        <v>1540260</v>
      </c>
      <c r="G108" s="273">
        <v>1536263</v>
      </c>
      <c r="H108" s="273">
        <v>1560451</v>
      </c>
      <c r="I108" s="273">
        <v>1734912</v>
      </c>
      <c r="J108" s="273">
        <v>1522124</v>
      </c>
      <c r="K108" s="273">
        <v>1757111</v>
      </c>
      <c r="L108" s="273">
        <v>1784356</v>
      </c>
      <c r="M108" s="273">
        <v>1819466</v>
      </c>
      <c r="N108" s="273">
        <v>1544754</v>
      </c>
      <c r="O108" s="273">
        <v>1503213</v>
      </c>
      <c r="P108" s="273">
        <v>1721838</v>
      </c>
      <c r="Q108" s="273">
        <v>1848423</v>
      </c>
      <c r="R108" s="273">
        <v>1817079</v>
      </c>
      <c r="S108" s="273">
        <v>1877820</v>
      </c>
      <c r="T108" s="273">
        <v>1910072</v>
      </c>
      <c r="U108" s="273">
        <v>2208969</v>
      </c>
      <c r="V108" s="273">
        <v>1724032</v>
      </c>
      <c r="W108" s="273">
        <v>1814772</v>
      </c>
      <c r="X108" s="273">
        <v>2121954</v>
      </c>
    </row>
    <row r="109" spans="1:24" ht="14.25" thickBot="1" x14ac:dyDescent="0.3">
      <c r="A109" s="225" t="s">
        <v>264</v>
      </c>
      <c r="B109" s="275">
        <v>535368</v>
      </c>
      <c r="C109" s="275">
        <v>610588</v>
      </c>
      <c r="D109" s="275">
        <v>639321</v>
      </c>
      <c r="E109" s="275">
        <v>660551</v>
      </c>
      <c r="F109" s="275">
        <v>611115</v>
      </c>
      <c r="G109" s="275">
        <v>644763</v>
      </c>
      <c r="H109" s="275">
        <v>652272</v>
      </c>
      <c r="I109" s="275">
        <v>727702</v>
      </c>
      <c r="J109" s="275">
        <v>697257</v>
      </c>
      <c r="K109" s="275">
        <v>694502</v>
      </c>
      <c r="L109" s="275">
        <v>741142</v>
      </c>
      <c r="M109" s="275">
        <v>773034</v>
      </c>
      <c r="N109" s="275">
        <v>817538</v>
      </c>
      <c r="O109" s="275">
        <v>670222</v>
      </c>
      <c r="P109" s="275">
        <v>839718</v>
      </c>
      <c r="Q109" s="275">
        <v>879203</v>
      </c>
      <c r="R109" s="275">
        <v>766193</v>
      </c>
      <c r="S109" s="275">
        <v>757863</v>
      </c>
      <c r="T109" s="275">
        <v>755076</v>
      </c>
      <c r="U109" s="275">
        <v>758738</v>
      </c>
      <c r="V109" s="275">
        <v>790703</v>
      </c>
      <c r="W109" s="275">
        <v>863530</v>
      </c>
      <c r="X109" s="275">
        <v>976503</v>
      </c>
    </row>
    <row r="110" spans="1:24" ht="14.25" thickBot="1" x14ac:dyDescent="0.3">
      <c r="A110" s="224" t="s">
        <v>23</v>
      </c>
      <c r="B110" s="273">
        <v>85910</v>
      </c>
      <c r="C110" s="273">
        <v>87996</v>
      </c>
      <c r="D110" s="273">
        <v>84474</v>
      </c>
      <c r="E110" s="273">
        <v>228447</v>
      </c>
      <c r="F110" s="273">
        <v>320656</v>
      </c>
      <c r="G110" s="273">
        <v>205218</v>
      </c>
      <c r="H110" s="273">
        <v>122831</v>
      </c>
      <c r="I110" s="273">
        <v>87835</v>
      </c>
      <c r="J110" s="273">
        <v>68115</v>
      </c>
      <c r="K110" s="273">
        <v>94927</v>
      </c>
      <c r="L110" s="273">
        <v>97652</v>
      </c>
      <c r="M110" s="273">
        <v>81991</v>
      </c>
      <c r="N110" s="273">
        <v>78752</v>
      </c>
      <c r="O110" s="273">
        <v>77519</v>
      </c>
      <c r="P110" s="273">
        <v>75194</v>
      </c>
      <c r="Q110" s="273">
        <v>80406</v>
      </c>
      <c r="R110" s="273">
        <v>56160</v>
      </c>
      <c r="S110" s="273">
        <v>66347</v>
      </c>
      <c r="T110" s="273">
        <v>274702</v>
      </c>
      <c r="U110" s="273">
        <v>69042</v>
      </c>
      <c r="V110" s="273">
        <v>58874</v>
      </c>
      <c r="W110" s="273">
        <v>83953</v>
      </c>
      <c r="X110" s="273">
        <v>259387</v>
      </c>
    </row>
    <row r="111" spans="1:24" ht="14.25" thickBot="1" x14ac:dyDescent="0.3">
      <c r="A111" s="225" t="s">
        <v>24</v>
      </c>
      <c r="B111" s="275">
        <v>3152724</v>
      </c>
      <c r="C111" s="275">
        <v>3361227</v>
      </c>
      <c r="D111" s="275">
        <v>3349197</v>
      </c>
      <c r="E111" s="275">
        <v>3674776</v>
      </c>
      <c r="F111" s="275">
        <v>4096089</v>
      </c>
      <c r="G111" s="275">
        <v>4143648</v>
      </c>
      <c r="H111" s="275">
        <v>4088544</v>
      </c>
      <c r="I111" s="275">
        <v>4392157</v>
      </c>
      <c r="J111" s="275">
        <v>4106943</v>
      </c>
      <c r="K111" s="275">
        <v>4255527</v>
      </c>
      <c r="L111" s="275">
        <v>4192218</v>
      </c>
      <c r="M111" s="275">
        <v>4295853</v>
      </c>
      <c r="N111" s="275">
        <v>4629216</v>
      </c>
      <c r="O111" s="275">
        <v>4259821</v>
      </c>
      <c r="P111" s="275">
        <v>4628958</v>
      </c>
      <c r="Q111" s="275">
        <v>4935071</v>
      </c>
      <c r="R111" s="275">
        <v>4757587</v>
      </c>
      <c r="S111" s="275">
        <v>4925207</v>
      </c>
      <c r="T111" s="275">
        <v>4971953</v>
      </c>
      <c r="U111" s="275">
        <v>5169344</v>
      </c>
      <c r="V111" s="275">
        <v>4782329</v>
      </c>
      <c r="W111" s="275">
        <v>5118957</v>
      </c>
      <c r="X111" s="275">
        <v>5210864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273">
        <v>19998</v>
      </c>
      <c r="H112" s="273">
        <v>19998</v>
      </c>
      <c r="I112" s="273">
        <v>19998</v>
      </c>
      <c r="J112" s="273">
        <v>60498</v>
      </c>
      <c r="K112" s="273">
        <v>60498</v>
      </c>
      <c r="L112" s="273">
        <v>60498</v>
      </c>
      <c r="M112" s="273">
        <v>43682</v>
      </c>
      <c r="N112" s="273">
        <v>43682</v>
      </c>
      <c r="O112" s="273">
        <v>43682</v>
      </c>
      <c r="P112" s="273">
        <v>43682</v>
      </c>
      <c r="Q112" s="273">
        <v>19998</v>
      </c>
      <c r="R112" s="273">
        <v>19998</v>
      </c>
      <c r="S112" s="273">
        <v>19998</v>
      </c>
      <c r="T112" s="273">
        <v>19998</v>
      </c>
      <c r="U112" s="273">
        <v>19998</v>
      </c>
      <c r="V112" s="273">
        <v>19998</v>
      </c>
      <c r="W112" s="273">
        <v>19998</v>
      </c>
      <c r="X112" s="273">
        <v>19998</v>
      </c>
    </row>
    <row r="113" spans="1:24" ht="14.25" thickBot="1" x14ac:dyDescent="0.3">
      <c r="A113" s="225" t="s">
        <v>26</v>
      </c>
      <c r="B113" s="275">
        <v>808581</v>
      </c>
      <c r="C113" s="275">
        <v>819770</v>
      </c>
      <c r="D113" s="275">
        <v>817681</v>
      </c>
      <c r="E113" s="275">
        <v>810021</v>
      </c>
      <c r="F113" s="275">
        <v>873952</v>
      </c>
      <c r="G113" s="275">
        <v>876892</v>
      </c>
      <c r="H113" s="275">
        <v>887067</v>
      </c>
      <c r="I113" s="275">
        <v>887689</v>
      </c>
      <c r="J113" s="275">
        <v>980410</v>
      </c>
      <c r="K113" s="275">
        <v>979954</v>
      </c>
      <c r="L113" s="275">
        <v>998782</v>
      </c>
      <c r="M113" s="275">
        <v>983736</v>
      </c>
      <c r="N113" s="275">
        <v>966150</v>
      </c>
      <c r="O113" s="275">
        <v>950253</v>
      </c>
      <c r="P113" s="275">
        <v>1000098</v>
      </c>
      <c r="Q113" s="275">
        <v>1037103</v>
      </c>
      <c r="R113" s="275">
        <v>1131308</v>
      </c>
      <c r="S113" s="275">
        <v>1182297</v>
      </c>
      <c r="T113" s="275">
        <v>1249901</v>
      </c>
      <c r="U113" s="275">
        <v>1323167</v>
      </c>
      <c r="V113" s="275">
        <v>1297327</v>
      </c>
      <c r="W113" s="275">
        <v>1346907</v>
      </c>
      <c r="X113" s="275">
        <v>1362303</v>
      </c>
    </row>
    <row r="114" spans="1:24" ht="14.25" thickBot="1" x14ac:dyDescent="0.3">
      <c r="A114" s="224" t="s">
        <v>27</v>
      </c>
      <c r="B114" s="273">
        <v>118960</v>
      </c>
      <c r="C114" s="273">
        <v>117386</v>
      </c>
      <c r="D114" s="273">
        <v>115776</v>
      </c>
      <c r="E114" s="273">
        <v>200059</v>
      </c>
      <c r="F114" s="273">
        <v>203861</v>
      </c>
      <c r="G114" s="273">
        <v>210524</v>
      </c>
      <c r="H114" s="273">
        <v>206055</v>
      </c>
      <c r="I114" s="273">
        <v>211467</v>
      </c>
      <c r="J114" s="273">
        <v>207722</v>
      </c>
      <c r="K114" s="273">
        <v>206314</v>
      </c>
      <c r="L114" s="273">
        <v>208741</v>
      </c>
      <c r="M114" s="273">
        <v>212473</v>
      </c>
      <c r="N114" s="273">
        <v>210994</v>
      </c>
      <c r="O114" s="273">
        <v>220687</v>
      </c>
      <c r="P114" s="273">
        <v>231641</v>
      </c>
      <c r="Q114" s="273">
        <v>223087</v>
      </c>
      <c r="R114" s="273">
        <v>230390</v>
      </c>
      <c r="S114" s="273">
        <v>212183</v>
      </c>
      <c r="T114" s="273">
        <v>210552</v>
      </c>
      <c r="U114" s="273">
        <v>217671</v>
      </c>
      <c r="V114" s="273">
        <v>204521</v>
      </c>
      <c r="W114" s="273">
        <v>211719</v>
      </c>
      <c r="X114" s="273">
        <v>213490</v>
      </c>
    </row>
    <row r="115" spans="1:24" ht="14.25" thickBot="1" x14ac:dyDescent="0.3">
      <c r="A115" s="225" t="s">
        <v>265</v>
      </c>
      <c r="B115" s="276">
        <v>4080265</v>
      </c>
      <c r="C115" s="276">
        <v>4298383</v>
      </c>
      <c r="D115" s="276">
        <v>4282654</v>
      </c>
      <c r="E115" s="276">
        <v>4684856</v>
      </c>
      <c r="F115" s="276">
        <v>5173902</v>
      </c>
      <c r="G115" s="276">
        <v>5251062</v>
      </c>
      <c r="H115" s="276">
        <v>5201664</v>
      </c>
      <c r="I115" s="276">
        <v>5511311</v>
      </c>
      <c r="J115" s="276">
        <v>5355573</v>
      </c>
      <c r="K115" s="276">
        <v>5502293</v>
      </c>
      <c r="L115" s="276">
        <v>5460239</v>
      </c>
      <c r="M115" s="276">
        <v>5535744</v>
      </c>
      <c r="N115" s="276">
        <v>5850042</v>
      </c>
      <c r="O115" s="276">
        <v>5474443</v>
      </c>
      <c r="P115" s="276">
        <v>5904379</v>
      </c>
      <c r="Q115" s="276">
        <v>6215259</v>
      </c>
      <c r="R115" s="276">
        <v>6139283</v>
      </c>
      <c r="S115" s="276">
        <v>6339685</v>
      </c>
      <c r="T115" s="276">
        <v>6452404</v>
      </c>
      <c r="U115" s="276">
        <v>6730180</v>
      </c>
      <c r="V115" s="276">
        <v>6304175</v>
      </c>
      <c r="W115" s="276">
        <v>6697581</v>
      </c>
      <c r="X115" s="276">
        <v>6806655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288346</v>
      </c>
      <c r="C118" s="273">
        <v>194691</v>
      </c>
      <c r="D118" s="273">
        <v>158857</v>
      </c>
      <c r="E118" s="273">
        <v>298484</v>
      </c>
      <c r="F118" s="273">
        <v>568251</v>
      </c>
      <c r="G118" s="273">
        <v>412417</v>
      </c>
      <c r="H118" s="273">
        <v>527508</v>
      </c>
      <c r="I118" s="273">
        <v>578026</v>
      </c>
      <c r="J118" s="273">
        <v>608706</v>
      </c>
      <c r="K118" s="273">
        <v>503246</v>
      </c>
      <c r="L118" s="273">
        <v>387554</v>
      </c>
      <c r="M118" s="273">
        <v>300741</v>
      </c>
      <c r="N118" s="273">
        <v>563778</v>
      </c>
      <c r="O118" s="273">
        <v>343172</v>
      </c>
      <c r="P118" s="273">
        <v>412714</v>
      </c>
      <c r="Q118" s="273">
        <v>394234</v>
      </c>
      <c r="R118" s="273">
        <v>272648</v>
      </c>
      <c r="S118" s="273">
        <v>181825</v>
      </c>
      <c r="T118" s="273">
        <v>476120</v>
      </c>
      <c r="U118" s="273">
        <v>280750</v>
      </c>
      <c r="V118" s="273">
        <v>292310</v>
      </c>
      <c r="W118" s="273">
        <v>322310</v>
      </c>
      <c r="X118" s="273">
        <v>515000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1172420</v>
      </c>
      <c r="C120" s="273">
        <v>1336858</v>
      </c>
      <c r="D120" s="273">
        <v>1369147</v>
      </c>
      <c r="E120" s="273">
        <v>1443246</v>
      </c>
      <c r="F120" s="273">
        <v>1396766</v>
      </c>
      <c r="G120" s="273">
        <v>1509879</v>
      </c>
      <c r="H120" s="273">
        <v>1435865</v>
      </c>
      <c r="I120" s="273">
        <v>1506352</v>
      </c>
      <c r="J120" s="273">
        <v>1245321</v>
      </c>
      <c r="K120" s="273">
        <v>1303506</v>
      </c>
      <c r="L120" s="273">
        <v>1391623</v>
      </c>
      <c r="M120" s="273">
        <v>1356995</v>
      </c>
      <c r="N120" s="273">
        <v>1291857</v>
      </c>
      <c r="O120" s="273">
        <v>1109106</v>
      </c>
      <c r="P120" s="273">
        <v>1453353</v>
      </c>
      <c r="Q120" s="273">
        <v>1584252</v>
      </c>
      <c r="R120" s="273">
        <v>1396424</v>
      </c>
      <c r="S120" s="273">
        <v>1453505</v>
      </c>
      <c r="T120" s="273">
        <v>1633397</v>
      </c>
      <c r="U120" s="273">
        <v>1761054</v>
      </c>
      <c r="V120" s="273">
        <v>1434966</v>
      </c>
      <c r="W120" s="273">
        <v>1632165</v>
      </c>
      <c r="X120" s="273">
        <v>1847151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298768</v>
      </c>
      <c r="C123" s="275">
        <v>413437</v>
      </c>
      <c r="D123" s="275">
        <v>265715</v>
      </c>
      <c r="E123" s="275">
        <v>316227</v>
      </c>
      <c r="F123" s="275">
        <v>397780</v>
      </c>
      <c r="G123" s="275">
        <v>599590</v>
      </c>
      <c r="H123" s="275">
        <v>388354</v>
      </c>
      <c r="I123" s="275">
        <v>394024</v>
      </c>
      <c r="J123" s="275">
        <v>361704</v>
      </c>
      <c r="K123" s="275">
        <v>690364</v>
      </c>
      <c r="L123" s="275">
        <v>448425</v>
      </c>
      <c r="M123" s="275">
        <v>430438</v>
      </c>
      <c r="N123" s="275">
        <v>426604</v>
      </c>
      <c r="O123" s="275">
        <v>727421</v>
      </c>
      <c r="P123" s="275">
        <v>429795</v>
      </c>
      <c r="Q123" s="275">
        <v>476891</v>
      </c>
      <c r="R123" s="275">
        <v>494431</v>
      </c>
      <c r="S123" s="275">
        <v>971734</v>
      </c>
      <c r="T123" s="275">
        <v>520157</v>
      </c>
      <c r="U123" s="275">
        <v>595099</v>
      </c>
      <c r="V123" s="275">
        <v>505581</v>
      </c>
      <c r="W123" s="275">
        <v>1172078</v>
      </c>
      <c r="X123" s="275">
        <v>651341</v>
      </c>
    </row>
    <row r="124" spans="1:24" ht="14.25" thickBot="1" x14ac:dyDescent="0.3">
      <c r="A124" s="224" t="s">
        <v>268</v>
      </c>
      <c r="B124" s="273">
        <v>1759534</v>
      </c>
      <c r="C124" s="273">
        <v>1944986</v>
      </c>
      <c r="D124" s="273">
        <v>1793719</v>
      </c>
      <c r="E124" s="273">
        <v>2057957</v>
      </c>
      <c r="F124" s="273">
        <v>2362797</v>
      </c>
      <c r="G124" s="273">
        <v>2521886</v>
      </c>
      <c r="H124" s="273">
        <v>2351727</v>
      </c>
      <c r="I124" s="273">
        <v>2478402</v>
      </c>
      <c r="J124" s="273">
        <v>2215731</v>
      </c>
      <c r="K124" s="273">
        <v>2497116</v>
      </c>
      <c r="L124" s="273">
        <v>2227602</v>
      </c>
      <c r="M124" s="273">
        <v>2088174</v>
      </c>
      <c r="N124" s="273">
        <v>2282239</v>
      </c>
      <c r="O124" s="273">
        <v>2179699</v>
      </c>
      <c r="P124" s="273">
        <v>2295862</v>
      </c>
      <c r="Q124" s="273">
        <v>2455377</v>
      </c>
      <c r="R124" s="273">
        <v>2163503</v>
      </c>
      <c r="S124" s="273">
        <v>2607064</v>
      </c>
      <c r="T124" s="273">
        <v>2629674</v>
      </c>
      <c r="U124" s="273">
        <v>2636903</v>
      </c>
      <c r="V124" s="273">
        <v>2232857</v>
      </c>
      <c r="W124" s="273">
        <v>3126553</v>
      </c>
      <c r="X124" s="273">
        <v>3013492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129024</v>
      </c>
      <c r="G125" s="275">
        <v>162353</v>
      </c>
      <c r="H125" s="275">
        <v>169405</v>
      </c>
      <c r="I125" s="275">
        <v>190841</v>
      </c>
      <c r="J125" s="275">
        <v>196477</v>
      </c>
      <c r="K125" s="275">
        <v>199587</v>
      </c>
      <c r="L125" s="275">
        <v>218755</v>
      </c>
      <c r="M125" s="275">
        <v>244775</v>
      </c>
      <c r="N125" s="275">
        <v>252967</v>
      </c>
      <c r="O125" s="275">
        <v>250299</v>
      </c>
      <c r="P125" s="275">
        <v>259075</v>
      </c>
      <c r="Q125" s="275">
        <v>265538</v>
      </c>
      <c r="R125" s="275">
        <v>275082</v>
      </c>
      <c r="S125" s="275">
        <v>283140</v>
      </c>
      <c r="T125" s="275">
        <v>278089</v>
      </c>
      <c r="U125" s="275">
        <v>311247</v>
      </c>
      <c r="V125" s="275">
        <v>287424</v>
      </c>
      <c r="W125" s="275">
        <v>303974</v>
      </c>
      <c r="X125" s="275">
        <v>315591</v>
      </c>
    </row>
    <row r="126" spans="1:24" ht="14.25" thickBot="1" x14ac:dyDescent="0.3">
      <c r="A126" s="224" t="s">
        <v>33</v>
      </c>
      <c r="B126" s="273">
        <v>68270</v>
      </c>
      <c r="C126" s="273">
        <v>91201</v>
      </c>
      <c r="D126" s="273">
        <v>107534</v>
      </c>
      <c r="E126" s="273">
        <v>121494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1827804</v>
      </c>
      <c r="C127" s="275">
        <v>2036187</v>
      </c>
      <c r="D127" s="275">
        <v>1901253</v>
      </c>
      <c r="E127" s="275">
        <v>2179451</v>
      </c>
      <c r="F127" s="275">
        <v>2491821</v>
      </c>
      <c r="G127" s="275">
        <v>2684239</v>
      </c>
      <c r="H127" s="275">
        <v>2521132</v>
      </c>
      <c r="I127" s="275">
        <v>2669243</v>
      </c>
      <c r="J127" s="275">
        <v>2412208</v>
      </c>
      <c r="K127" s="275">
        <v>2696703</v>
      </c>
      <c r="L127" s="275">
        <v>2446357</v>
      </c>
      <c r="M127" s="275">
        <v>2332949</v>
      </c>
      <c r="N127" s="275">
        <v>2535206</v>
      </c>
      <c r="O127" s="275">
        <v>2429998</v>
      </c>
      <c r="P127" s="275">
        <v>2554937</v>
      </c>
      <c r="Q127" s="275">
        <v>2720915</v>
      </c>
      <c r="R127" s="275">
        <v>2438585</v>
      </c>
      <c r="S127" s="275">
        <v>2890204</v>
      </c>
      <c r="T127" s="275">
        <v>2907763</v>
      </c>
      <c r="U127" s="275">
        <v>2948150</v>
      </c>
      <c r="V127" s="275">
        <v>2520281</v>
      </c>
      <c r="W127" s="275">
        <v>3430527</v>
      </c>
      <c r="X127" s="275">
        <v>3329083</v>
      </c>
    </row>
    <row r="128" spans="1:24" ht="14.25" thickBot="1" x14ac:dyDescent="0.3">
      <c r="A128" s="224" t="s">
        <v>34</v>
      </c>
      <c r="B128" s="273">
        <v>2252461</v>
      </c>
      <c r="C128" s="273">
        <v>2262196</v>
      </c>
      <c r="D128" s="273">
        <v>2381401</v>
      </c>
      <c r="E128" s="273">
        <v>2505405</v>
      </c>
      <c r="F128" s="273">
        <v>2682081</v>
      </c>
      <c r="G128" s="273">
        <v>2566823</v>
      </c>
      <c r="H128" s="273">
        <v>2680532</v>
      </c>
      <c r="I128" s="273">
        <v>2842068</v>
      </c>
      <c r="J128" s="273">
        <v>2943365</v>
      </c>
      <c r="K128" s="273">
        <v>2805590</v>
      </c>
      <c r="L128" s="273">
        <v>3013882</v>
      </c>
      <c r="M128" s="273">
        <v>3202795</v>
      </c>
      <c r="N128" s="273">
        <v>3314836</v>
      </c>
      <c r="O128" s="273">
        <v>3044445</v>
      </c>
      <c r="P128" s="273">
        <v>3349442</v>
      </c>
      <c r="Q128" s="273">
        <v>3494344</v>
      </c>
      <c r="R128" s="273">
        <v>3700698</v>
      </c>
      <c r="S128" s="273">
        <v>3449481</v>
      </c>
      <c r="T128" s="273">
        <v>3544641</v>
      </c>
      <c r="U128" s="273">
        <v>3782030</v>
      </c>
      <c r="V128" s="273">
        <v>3783894</v>
      </c>
      <c r="W128" s="273">
        <v>3267054</v>
      </c>
      <c r="X128" s="273">
        <v>3477572</v>
      </c>
    </row>
    <row r="129" spans="1:24" ht="14.25" thickBot="1" x14ac:dyDescent="0.3">
      <c r="A129" s="225" t="s">
        <v>35</v>
      </c>
      <c r="B129" s="276">
        <v>4080265</v>
      </c>
      <c r="C129" s="276">
        <v>4298383</v>
      </c>
      <c r="D129" s="276">
        <v>4282654</v>
      </c>
      <c r="E129" s="276">
        <v>4684856</v>
      </c>
      <c r="F129" s="276">
        <v>5173902</v>
      </c>
      <c r="G129" s="276">
        <v>5251062</v>
      </c>
      <c r="H129" s="276">
        <v>5201664</v>
      </c>
      <c r="I129" s="276">
        <v>5511311</v>
      </c>
      <c r="J129" s="276">
        <v>5355573</v>
      </c>
      <c r="K129" s="276">
        <v>5502293</v>
      </c>
      <c r="L129" s="276">
        <v>5460239</v>
      </c>
      <c r="M129" s="276">
        <v>5535744</v>
      </c>
      <c r="N129" s="276">
        <v>5850042</v>
      </c>
      <c r="O129" s="276">
        <v>5474443</v>
      </c>
      <c r="P129" s="276">
        <v>5904379</v>
      </c>
      <c r="Q129" s="276">
        <v>6215259</v>
      </c>
      <c r="R129" s="276">
        <v>6139283</v>
      </c>
      <c r="S129" s="276">
        <v>6339685</v>
      </c>
      <c r="T129" s="276">
        <v>6452404</v>
      </c>
      <c r="U129" s="276">
        <v>6730180</v>
      </c>
      <c r="V129" s="276">
        <v>6304175</v>
      </c>
      <c r="W129" s="276">
        <v>6697581</v>
      </c>
      <c r="X129" s="276">
        <v>6806655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4.7699999999999996</v>
      </c>
      <c r="C132" s="68">
        <v>8.77</v>
      </c>
      <c r="D132" s="68">
        <v>5.85</v>
      </c>
      <c r="E132" s="68">
        <v>11.28</v>
      </c>
      <c r="F132" s="68">
        <v>13.98</v>
      </c>
    </row>
    <row r="133" spans="1:24" ht="14.25" thickBot="1" x14ac:dyDescent="0.3">
      <c r="A133" s="225" t="s">
        <v>37</v>
      </c>
      <c r="B133" s="274">
        <v>-1.71</v>
      </c>
      <c r="C133" s="274">
        <v>-1.78</v>
      </c>
      <c r="D133" s="274">
        <v>-2.78</v>
      </c>
      <c r="E133" s="274">
        <v>-2.16</v>
      </c>
      <c r="F133" s="274">
        <v>-5.0599999999999996</v>
      </c>
    </row>
    <row r="134" spans="1:24" ht="14.25" thickBot="1" x14ac:dyDescent="0.3">
      <c r="A134" s="224" t="s">
        <v>38</v>
      </c>
      <c r="B134" s="68">
        <v>-1.56</v>
      </c>
      <c r="C134" s="68">
        <v>0.27</v>
      </c>
      <c r="D134" s="68">
        <v>-6.4</v>
      </c>
      <c r="E134" s="68">
        <v>-2.91</v>
      </c>
      <c r="F134" s="68">
        <v>-6.76</v>
      </c>
    </row>
    <row r="135" spans="1:24" ht="14.25" thickBot="1" x14ac:dyDescent="0.3">
      <c r="A135" s="225" t="s">
        <v>270</v>
      </c>
      <c r="B135" s="274">
        <v>3.06</v>
      </c>
      <c r="C135" s="274">
        <v>6.99</v>
      </c>
      <c r="D135" s="274">
        <v>3.07</v>
      </c>
      <c r="E135" s="274">
        <v>9.1199999999999992</v>
      </c>
      <c r="F135" s="274">
        <v>8.91</v>
      </c>
    </row>
    <row r="136" spans="1:24" ht="14.25" thickBot="1" x14ac:dyDescent="0.3">
      <c r="A136" s="229" t="s">
        <v>39</v>
      </c>
      <c r="B136" s="72">
        <v>1.5</v>
      </c>
      <c r="C136" s="72">
        <v>7.26</v>
      </c>
      <c r="D136" s="72">
        <v>-3.33</v>
      </c>
      <c r="E136" s="72">
        <v>6.21</v>
      </c>
      <c r="F136" s="72">
        <v>2.15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</v>
      </c>
      <c r="C140" s="68">
        <v>3.2</v>
      </c>
      <c r="D140" s="68">
        <v>4</v>
      </c>
      <c r="E140" s="68">
        <v>5.5</v>
      </c>
      <c r="F140" s="68">
        <v>7.5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0.62630480167014613</v>
      </c>
      <c r="C142" s="234">
        <f>IF(C140&lt;&gt;"無",IF(ISNA(HLOOKUP(C139,$B$64:$F$69,6,FALSE)),"",C140/HLOOKUP(C139,$B$64:$F$69,6,FALSE)),"")</f>
        <v>0.51529790660225439</v>
      </c>
      <c r="D142" s="234">
        <f>IF(D140&lt;&gt;"無",IF(ISNA(HLOOKUP(D139,$B$64:$F$69,6,FALSE)),"",D140/HLOOKUP(D139,$B$64:$F$69,6,FALSE)),"")</f>
        <v>0.60514372163388808</v>
      </c>
      <c r="E142" s="234">
        <f>IF(E140&lt;&gt;"無",IF(ISNA(HLOOKUP(E139,$B$64:$F$69,6,FALSE)),"",E140/HLOOKUP(E139,$B$64:$F$69,6,FALSE)),"")</f>
        <v>0.70785070785070792</v>
      </c>
      <c r="F142" s="234">
        <f>IF(F140&lt;&gt;"無",IF(ISNA(HLOOKUP(F139,$B$64:$F$69,6,FALSE)),"",F140/HLOOKUP(F139,$B$64:$F$69,6,FALSE)),"")</f>
        <v>0.68493150684931514</v>
      </c>
    </row>
    <row r="143" spans="1:24" x14ac:dyDescent="0.25">
      <c r="A143" s="233" t="s">
        <v>216</v>
      </c>
      <c r="B143" s="234">
        <f>IF(OR(B140=0,B140="無"),"",B135/B140)</f>
        <v>1.02</v>
      </c>
      <c r="C143" s="234">
        <f>IF(OR(C140=0,C140="無"),"",C135/C140)</f>
        <v>2.1843749999999997</v>
      </c>
      <c r="D143" s="234">
        <f>IF(OR(D140=0,D140="無"),"",D135/D140)</f>
        <v>0.76749999999999996</v>
      </c>
      <c r="E143" s="234">
        <f>IF(OR(E140=0,E140="無"),"",E135/E140)</f>
        <v>1.658181818181818</v>
      </c>
      <c r="F143" s="234">
        <f>IF(OR(F140=0,F140="無"),"",F135/F140)</f>
        <v>1.1879999999999999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14.71</v>
      </c>
      <c r="C146" s="68">
        <v>21.56</v>
      </c>
      <c r="D146" s="68">
        <v>20.88</v>
      </c>
      <c r="E146" s="68">
        <v>20.09</v>
      </c>
      <c r="F146" s="68">
        <v>20.2</v>
      </c>
      <c r="G146" s="68">
        <v>17.47</v>
      </c>
      <c r="H146" s="68">
        <v>22.3</v>
      </c>
      <c r="I146" s="68">
        <v>20.89</v>
      </c>
      <c r="J146" s="68">
        <v>22.67</v>
      </c>
      <c r="K146" s="68">
        <v>25.57</v>
      </c>
      <c r="L146" s="68">
        <v>23.11</v>
      </c>
      <c r="M146" s="68">
        <v>24.51</v>
      </c>
      <c r="N146" s="68">
        <v>23.4</v>
      </c>
      <c r="O146" s="68">
        <v>22.35</v>
      </c>
      <c r="P146" s="68">
        <v>24.88</v>
      </c>
      <c r="Q146" s="68">
        <v>27.03</v>
      </c>
      <c r="R146" s="68">
        <v>26.29</v>
      </c>
      <c r="S146" s="68">
        <v>29.22</v>
      </c>
      <c r="T146" s="68">
        <v>23.48</v>
      </c>
      <c r="U146" s="68">
        <v>25.76</v>
      </c>
      <c r="V146" s="68">
        <v>23.83</v>
      </c>
      <c r="W146" s="68">
        <v>18.920000000000002</v>
      </c>
      <c r="X146" s="68">
        <v>22.12</v>
      </c>
    </row>
    <row r="147" spans="1:24" s="93" customFormat="1" ht="14.25" thickBot="1" x14ac:dyDescent="0.3">
      <c r="A147" s="225" t="s">
        <v>19</v>
      </c>
      <c r="B147" s="274">
        <v>4.47</v>
      </c>
      <c r="C147" s="274">
        <v>10.91</v>
      </c>
      <c r="D147" s="274">
        <v>10.49</v>
      </c>
      <c r="E147" s="274">
        <v>9.35</v>
      </c>
      <c r="F147" s="274">
        <v>10.91</v>
      </c>
      <c r="G147" s="274">
        <v>8.44</v>
      </c>
      <c r="H147" s="274">
        <v>12.01</v>
      </c>
      <c r="I147" s="274">
        <v>9.48</v>
      </c>
      <c r="J147" s="274">
        <v>9.4700000000000006</v>
      </c>
      <c r="K147" s="274">
        <v>15.19</v>
      </c>
      <c r="L147" s="274">
        <v>12.07</v>
      </c>
      <c r="M147" s="274">
        <v>12.97</v>
      </c>
      <c r="N147" s="274">
        <v>11.73</v>
      </c>
      <c r="O147" s="274">
        <v>10.56</v>
      </c>
      <c r="P147" s="274">
        <v>13.47</v>
      </c>
      <c r="Q147" s="274">
        <v>16.41</v>
      </c>
      <c r="R147" s="274">
        <v>17.850000000000001</v>
      </c>
      <c r="S147" s="274">
        <v>19.5</v>
      </c>
      <c r="T147" s="274">
        <v>12.66</v>
      </c>
      <c r="U147" s="274">
        <v>15.64</v>
      </c>
      <c r="V147" s="274">
        <v>13.02</v>
      </c>
      <c r="W147" s="274">
        <v>8.39</v>
      </c>
      <c r="X147" s="274">
        <v>12.19</v>
      </c>
    </row>
    <row r="148" spans="1:24" s="93" customFormat="1" ht="14.25" thickBot="1" x14ac:dyDescent="0.3">
      <c r="A148" s="224" t="s">
        <v>41</v>
      </c>
      <c r="B148" s="68">
        <v>4.1399999999999997</v>
      </c>
      <c r="C148" s="68">
        <v>13.89</v>
      </c>
      <c r="D148" s="68">
        <v>12.75</v>
      </c>
      <c r="E148" s="68">
        <v>9.7899999999999991</v>
      </c>
      <c r="F148" s="68">
        <v>13.06</v>
      </c>
      <c r="G148" s="68">
        <v>10.63</v>
      </c>
      <c r="H148" s="68">
        <v>11.39</v>
      </c>
      <c r="I148" s="68">
        <v>10.56</v>
      </c>
      <c r="J148" s="68">
        <v>10.47</v>
      </c>
      <c r="K148" s="68">
        <v>15.85</v>
      </c>
      <c r="L148" s="68">
        <v>14.23</v>
      </c>
      <c r="M148" s="68">
        <v>12.05</v>
      </c>
      <c r="N148" s="68">
        <v>14.44</v>
      </c>
      <c r="O148" s="68">
        <v>11.05</v>
      </c>
      <c r="P148" s="68">
        <v>18.41</v>
      </c>
      <c r="Q148" s="68">
        <v>17.64</v>
      </c>
      <c r="R148" s="68">
        <v>15.84</v>
      </c>
      <c r="S148" s="68">
        <v>21.77</v>
      </c>
      <c r="T148" s="68">
        <v>12.12</v>
      </c>
      <c r="U148" s="68">
        <v>20.399999999999999</v>
      </c>
      <c r="V148" s="68">
        <v>10.01</v>
      </c>
      <c r="W148" s="68">
        <v>8.08</v>
      </c>
      <c r="X148" s="68">
        <v>11.18</v>
      </c>
    </row>
    <row r="149" spans="1:24" s="93" customFormat="1" ht="14.25" thickBot="1" x14ac:dyDescent="0.3">
      <c r="A149" s="225" t="s">
        <v>13</v>
      </c>
      <c r="B149" s="73">
        <v>2.2999999999999998</v>
      </c>
      <c r="C149" s="73">
        <v>9.85</v>
      </c>
      <c r="D149" s="73">
        <v>9.1999999999999993</v>
      </c>
      <c r="E149" s="73">
        <v>7.98</v>
      </c>
      <c r="F149" s="73">
        <v>10.119999999999999</v>
      </c>
      <c r="G149" s="73">
        <v>8.16</v>
      </c>
      <c r="H149" s="73">
        <v>8.65</v>
      </c>
      <c r="I149" s="73">
        <v>8.74</v>
      </c>
      <c r="J149" s="73">
        <v>8.43</v>
      </c>
      <c r="K149" s="73">
        <v>10.63</v>
      </c>
      <c r="L149" s="73">
        <v>10.55</v>
      </c>
      <c r="M149" s="73">
        <v>8.52</v>
      </c>
      <c r="N149" s="73">
        <v>9.99</v>
      </c>
      <c r="O149" s="73">
        <v>7.11</v>
      </c>
      <c r="P149" s="73">
        <v>14.42</v>
      </c>
      <c r="Q149" s="73">
        <v>12.29</v>
      </c>
      <c r="R149" s="73">
        <v>12.51</v>
      </c>
      <c r="S149" s="73">
        <v>15.57</v>
      </c>
      <c r="T149" s="73">
        <v>8.99</v>
      </c>
      <c r="U149" s="73">
        <v>14.81</v>
      </c>
      <c r="V149" s="73">
        <v>7.4</v>
      </c>
      <c r="W149" s="73">
        <v>5.29</v>
      </c>
      <c r="X149" s="73">
        <v>9.14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19.690000000000001</v>
      </c>
      <c r="C152" s="68">
        <v>21.06</v>
      </c>
      <c r="D152" s="68">
        <v>24.04</v>
      </c>
      <c r="E152" s="68">
        <v>24.59</v>
      </c>
      <c r="F152" s="68">
        <v>26.16</v>
      </c>
    </row>
    <row r="153" spans="1:24" s="93" customFormat="1" ht="14.25" thickBot="1" x14ac:dyDescent="0.3">
      <c r="A153" s="225" t="s">
        <v>19</v>
      </c>
      <c r="B153" s="274">
        <v>9.15</v>
      </c>
      <c r="C153" s="274">
        <v>11.05</v>
      </c>
      <c r="D153" s="274">
        <v>12.59</v>
      </c>
      <c r="E153" s="274">
        <v>13.26</v>
      </c>
      <c r="F153" s="274">
        <v>16.36</v>
      </c>
    </row>
    <row r="154" spans="1:24" s="93" customFormat="1" ht="14.25" thickBot="1" x14ac:dyDescent="0.3">
      <c r="A154" s="224" t="s">
        <v>41</v>
      </c>
      <c r="B154" s="68">
        <v>10.59</v>
      </c>
      <c r="C154" s="68">
        <v>11.38</v>
      </c>
      <c r="D154" s="68">
        <v>13.31</v>
      </c>
      <c r="E154" s="68">
        <v>15.57</v>
      </c>
      <c r="F154" s="68">
        <v>17.54</v>
      </c>
    </row>
    <row r="155" spans="1:24" s="93" customFormat="1" ht="14.25" thickBot="1" x14ac:dyDescent="0.3">
      <c r="A155" s="225" t="s">
        <v>13</v>
      </c>
      <c r="B155" s="73">
        <v>7.74</v>
      </c>
      <c r="C155" s="73">
        <v>8.9</v>
      </c>
      <c r="D155" s="73">
        <v>9.6</v>
      </c>
      <c r="E155" s="73">
        <v>11.1</v>
      </c>
      <c r="F155" s="73">
        <v>12.96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0.6</v>
      </c>
      <c r="C158" s="68">
        <v>3.18</v>
      </c>
      <c r="D158" s="68">
        <v>3.08</v>
      </c>
      <c r="E158" s="68">
        <v>2.77</v>
      </c>
      <c r="F158" s="68">
        <v>2.96</v>
      </c>
      <c r="G158" s="68">
        <v>2.48</v>
      </c>
      <c r="H158" s="68">
        <v>2.5499999999999998</v>
      </c>
      <c r="I158" s="68">
        <v>2.48</v>
      </c>
      <c r="J158" s="68">
        <v>2.04</v>
      </c>
      <c r="K158" s="68">
        <v>3.18</v>
      </c>
      <c r="L158" s="68">
        <v>2.98</v>
      </c>
      <c r="M158" s="68">
        <v>2.37</v>
      </c>
      <c r="N158" s="68">
        <v>2.3199999999999998</v>
      </c>
      <c r="O158" s="68">
        <v>1.82</v>
      </c>
      <c r="P158" s="68">
        <v>3.89</v>
      </c>
      <c r="Q158" s="68">
        <v>3.59</v>
      </c>
      <c r="R158" s="68">
        <v>3.54</v>
      </c>
      <c r="S158" s="68">
        <v>4.5199999999999996</v>
      </c>
      <c r="T158" s="68">
        <v>2.63</v>
      </c>
      <c r="U158" s="68">
        <v>4.25</v>
      </c>
      <c r="V158" s="68">
        <v>1.73</v>
      </c>
      <c r="W158" s="68">
        <v>1.41</v>
      </c>
      <c r="X158" s="68">
        <v>2.68</v>
      </c>
    </row>
    <row r="159" spans="1:24" s="93" customFormat="1" ht="14.25" thickBot="1" x14ac:dyDescent="0.3">
      <c r="A159" s="225" t="s">
        <v>45</v>
      </c>
      <c r="B159" s="73">
        <v>1.01</v>
      </c>
      <c r="C159" s="73">
        <v>5.99</v>
      </c>
      <c r="D159" s="73">
        <v>5.65</v>
      </c>
      <c r="E159" s="73">
        <v>5.09</v>
      </c>
      <c r="F159" s="73">
        <v>5.59</v>
      </c>
      <c r="G159" s="73">
        <v>4.8600000000000003</v>
      </c>
      <c r="H159" s="73">
        <v>5.03</v>
      </c>
      <c r="I159" s="73">
        <v>4.75</v>
      </c>
      <c r="J159" s="73">
        <v>3.7</v>
      </c>
      <c r="K159" s="73">
        <v>5.96</v>
      </c>
      <c r="L159" s="73">
        <v>5.57</v>
      </c>
      <c r="M159" s="73">
        <v>4.17</v>
      </c>
      <c r="N159" s="73">
        <v>4.03</v>
      </c>
      <c r="O159" s="73">
        <v>3.21</v>
      </c>
      <c r="P159" s="73">
        <v>6.9</v>
      </c>
      <c r="Q159" s="73">
        <v>6.34</v>
      </c>
      <c r="R159" s="73">
        <v>6.05</v>
      </c>
      <c r="S159" s="73">
        <v>7.87</v>
      </c>
      <c r="T159" s="73">
        <v>4.79</v>
      </c>
      <c r="U159" s="73">
        <v>7.63</v>
      </c>
      <c r="V159" s="73">
        <v>2.96</v>
      </c>
      <c r="W159" s="73">
        <v>2.58</v>
      </c>
      <c r="X159" s="73">
        <v>5.33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7.74</v>
      </c>
      <c r="C162" s="68">
        <v>8.9</v>
      </c>
      <c r="D162" s="68">
        <v>9.6</v>
      </c>
      <c r="E162" s="68">
        <v>11.1</v>
      </c>
      <c r="F162" s="68">
        <v>12.96</v>
      </c>
    </row>
    <row r="163" spans="1:72" s="93" customFormat="1" ht="14.25" thickBot="1" x14ac:dyDescent="0.3">
      <c r="A163" s="225" t="s">
        <v>18</v>
      </c>
      <c r="B163" s="274">
        <v>1.1399999999999999</v>
      </c>
      <c r="C163" s="274">
        <v>1.0900000000000001</v>
      </c>
      <c r="D163" s="274">
        <v>1.07</v>
      </c>
      <c r="E163" s="274">
        <v>0.97</v>
      </c>
      <c r="F163" s="274">
        <v>1.08</v>
      </c>
    </row>
    <row r="164" spans="1:72" s="93" customFormat="1" ht="14.25" thickBot="1" x14ac:dyDescent="0.3">
      <c r="A164" s="224" t="s">
        <v>15</v>
      </c>
      <c r="B164" s="68">
        <v>1.87</v>
      </c>
      <c r="C164" s="68">
        <v>1.94</v>
      </c>
      <c r="D164" s="68">
        <v>1.73</v>
      </c>
      <c r="E164" s="68">
        <v>1.78</v>
      </c>
      <c r="F164" s="68">
        <v>1.78</v>
      </c>
    </row>
    <row r="165" spans="1:72" s="93" customFormat="1" ht="14.25" thickBot="1" x14ac:dyDescent="0.3">
      <c r="A165" s="225" t="s">
        <v>45</v>
      </c>
      <c r="B165" s="73">
        <v>17.37</v>
      </c>
      <c r="C165" s="73">
        <v>20.03</v>
      </c>
      <c r="D165" s="73">
        <v>18.87</v>
      </c>
      <c r="E165" s="73">
        <v>20.04</v>
      </c>
      <c r="F165" s="73">
        <v>26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118.42</v>
      </c>
      <c r="C168" s="68">
        <v>89.11</v>
      </c>
      <c r="D168" s="68">
        <v>96.77</v>
      </c>
      <c r="E168" s="68">
        <v>92.78</v>
      </c>
      <c r="F168" s="68">
        <v>100</v>
      </c>
      <c r="G168" s="68">
        <v>88.24</v>
      </c>
      <c r="H168" s="68">
        <v>90.91</v>
      </c>
      <c r="I168" s="68">
        <v>98.9</v>
      </c>
      <c r="J168" s="68">
        <v>115.38</v>
      </c>
      <c r="K168" s="68">
        <v>91.84</v>
      </c>
      <c r="L168" s="68">
        <v>103.45</v>
      </c>
      <c r="M168" s="68">
        <v>107.14</v>
      </c>
      <c r="N168" s="68">
        <v>115.38</v>
      </c>
      <c r="O168" s="68">
        <v>95.74</v>
      </c>
      <c r="P168" s="68">
        <v>94.74</v>
      </c>
      <c r="Q168" s="68">
        <v>90.91</v>
      </c>
      <c r="R168" s="68">
        <v>94.74</v>
      </c>
      <c r="S168" s="68">
        <v>91.84</v>
      </c>
      <c r="T168" s="68">
        <v>91.84</v>
      </c>
      <c r="U168" s="68">
        <v>97.83</v>
      </c>
      <c r="V168" s="68">
        <v>116.88</v>
      </c>
      <c r="W168" s="68">
        <v>92.78</v>
      </c>
      <c r="X168" s="68">
        <v>90</v>
      </c>
    </row>
    <row r="169" spans="1:72" s="93" customFormat="1" ht="14.25" thickBot="1" x14ac:dyDescent="0.3">
      <c r="A169" s="225" t="s">
        <v>17</v>
      </c>
      <c r="B169" s="274">
        <v>54.88</v>
      </c>
      <c r="C169" s="274">
        <v>47.87</v>
      </c>
      <c r="D169" s="274">
        <v>49.72</v>
      </c>
      <c r="E169" s="274">
        <v>46.88</v>
      </c>
      <c r="F169" s="274">
        <v>50</v>
      </c>
      <c r="G169" s="274">
        <v>43.9</v>
      </c>
      <c r="H169" s="274">
        <v>49.18</v>
      </c>
      <c r="I169" s="274">
        <v>52.33</v>
      </c>
      <c r="J169" s="274">
        <v>65.22</v>
      </c>
      <c r="K169" s="274">
        <v>52.33</v>
      </c>
      <c r="L169" s="274">
        <v>54.55</v>
      </c>
      <c r="M169" s="274">
        <v>59.21</v>
      </c>
      <c r="N169" s="274">
        <v>70.87</v>
      </c>
      <c r="O169" s="274">
        <v>60</v>
      </c>
      <c r="P169" s="274">
        <v>59.21</v>
      </c>
      <c r="Q169" s="274">
        <v>60</v>
      </c>
      <c r="R169" s="274">
        <v>57.69</v>
      </c>
      <c r="S169" s="274">
        <v>53.57</v>
      </c>
      <c r="T169" s="274">
        <v>47.87</v>
      </c>
      <c r="U169" s="274">
        <v>48.65</v>
      </c>
      <c r="V169" s="274">
        <v>60.4</v>
      </c>
      <c r="W169" s="274">
        <v>53.57</v>
      </c>
      <c r="X169" s="274">
        <v>54.22</v>
      </c>
    </row>
    <row r="170" spans="1:72" s="93" customFormat="1" ht="14.25" thickBot="1" x14ac:dyDescent="0.3">
      <c r="A170" s="224" t="s">
        <v>42</v>
      </c>
      <c r="B170" s="72">
        <v>173.3</v>
      </c>
      <c r="C170" s="72">
        <v>136.97999999999999</v>
      </c>
      <c r="D170" s="72">
        <v>146.5</v>
      </c>
      <c r="E170" s="72">
        <v>139.66</v>
      </c>
      <c r="F170" s="72">
        <v>150</v>
      </c>
      <c r="G170" s="72">
        <v>132.13999999999999</v>
      </c>
      <c r="H170" s="72">
        <v>140.09</v>
      </c>
      <c r="I170" s="72">
        <v>151.22999999999999</v>
      </c>
      <c r="J170" s="72">
        <v>180.6</v>
      </c>
      <c r="K170" s="72">
        <v>144.16</v>
      </c>
      <c r="L170" s="72">
        <v>157.99</v>
      </c>
      <c r="M170" s="72">
        <v>166.35</v>
      </c>
      <c r="N170" s="72">
        <v>186.25</v>
      </c>
      <c r="O170" s="72">
        <v>155.74</v>
      </c>
      <c r="P170" s="72">
        <v>153.94999999999999</v>
      </c>
      <c r="Q170" s="72">
        <v>150.91</v>
      </c>
      <c r="R170" s="72">
        <v>152.43</v>
      </c>
      <c r="S170" s="72">
        <v>145.41</v>
      </c>
      <c r="T170" s="72">
        <v>139.71</v>
      </c>
      <c r="U170" s="72">
        <v>146.47</v>
      </c>
      <c r="V170" s="72">
        <v>177.29</v>
      </c>
      <c r="W170" s="72">
        <v>146.35</v>
      </c>
      <c r="X170" s="72">
        <v>144.22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99.68</v>
      </c>
      <c r="C173" s="72">
        <v>141.16</v>
      </c>
      <c r="D173" s="72">
        <v>88.77</v>
      </c>
      <c r="E173" s="72">
        <v>145.30000000000001</v>
      </c>
      <c r="F173" s="72">
        <v>127.65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10.029999999999999</v>
      </c>
      <c r="C176" s="72">
        <v>11.71</v>
      </c>
      <c r="D176" s="72">
        <v>12.7</v>
      </c>
      <c r="E176" s="72">
        <v>10.88</v>
      </c>
      <c r="F176" s="72">
        <v>11</v>
      </c>
      <c r="G176" s="72">
        <v>10.11</v>
      </c>
      <c r="H176" s="72">
        <v>10.32</v>
      </c>
      <c r="I176" s="72">
        <v>7.59</v>
      </c>
      <c r="J176" s="72">
        <v>10</v>
      </c>
      <c r="K176" s="72">
        <v>10.9</v>
      </c>
      <c r="L176" s="72">
        <v>9.56</v>
      </c>
      <c r="M176" s="72">
        <v>10.28</v>
      </c>
      <c r="N176" s="72">
        <v>11.95</v>
      </c>
      <c r="O176" s="72">
        <v>13.98</v>
      </c>
      <c r="P176" s="72">
        <v>13.44</v>
      </c>
      <c r="Q176" s="72">
        <v>12.38</v>
      </c>
      <c r="R176" s="72">
        <v>11.54</v>
      </c>
      <c r="S176" s="72">
        <v>12.2</v>
      </c>
      <c r="T176" s="72">
        <v>11.78</v>
      </c>
      <c r="U176" s="72">
        <v>10.5</v>
      </c>
      <c r="V176" s="72">
        <v>10.119999999999999</v>
      </c>
      <c r="W176" s="72">
        <v>9.5</v>
      </c>
      <c r="X176" s="72">
        <v>9.83</v>
      </c>
      <c r="Y176" s="72">
        <v>12.78</v>
      </c>
      <c r="Z176" s="72">
        <v>16.920000000000002</v>
      </c>
      <c r="AA176" s="72">
        <v>16.329999999999998</v>
      </c>
      <c r="AB176" s="72">
        <v>16.32</v>
      </c>
      <c r="AC176" s="72">
        <v>13.9</v>
      </c>
      <c r="AD176" s="72">
        <v>15.79</v>
      </c>
      <c r="AE176" s="72">
        <v>15.78</v>
      </c>
      <c r="AF176" s="72">
        <v>15.9</v>
      </c>
      <c r="AG176" s="72">
        <v>16.940000000000001</v>
      </c>
      <c r="AH176" s="72">
        <v>14.86</v>
      </c>
      <c r="AI176" s="72">
        <v>13.71</v>
      </c>
      <c r="AJ176" s="72">
        <v>12.8</v>
      </c>
      <c r="AK176" s="72">
        <v>12.9</v>
      </c>
      <c r="AL176" s="72">
        <v>13.12</v>
      </c>
      <c r="AM176" s="72">
        <v>13.19</v>
      </c>
      <c r="AN176" s="72">
        <v>15.06</v>
      </c>
      <c r="AO176" s="72">
        <v>14.54</v>
      </c>
      <c r="AP176" s="72">
        <v>13</v>
      </c>
      <c r="AQ176" s="72">
        <v>11.9</v>
      </c>
      <c r="AR176" s="72">
        <v>10.38</v>
      </c>
      <c r="AS176" s="72">
        <v>9.42</v>
      </c>
      <c r="AT176" s="72">
        <v>9.6199999999999992</v>
      </c>
      <c r="AU176" s="72">
        <v>11.72</v>
      </c>
      <c r="AV176" s="72">
        <v>11.64</v>
      </c>
      <c r="AW176" s="72">
        <v>17.52</v>
      </c>
      <c r="AX176" s="72">
        <v>19.690000000000001</v>
      </c>
      <c r="AY176" s="72">
        <v>22.68</v>
      </c>
      <c r="AZ176" s="72">
        <v>18.2</v>
      </c>
      <c r="BA176" s="72">
        <v>15.98</v>
      </c>
      <c r="BB176" s="72">
        <v>12.91</v>
      </c>
      <c r="BC176" s="72">
        <v>14.19</v>
      </c>
      <c r="BD176" s="72">
        <v>16</v>
      </c>
      <c r="BE176" s="72">
        <v>16.73</v>
      </c>
      <c r="BF176" s="72">
        <v>15.75</v>
      </c>
      <c r="BG176" s="72">
        <v>13.97</v>
      </c>
      <c r="BH176" s="72">
        <v>11.92</v>
      </c>
      <c r="BI176" s="72">
        <v>12.36</v>
      </c>
      <c r="BJ176" s="72">
        <v>14.26</v>
      </c>
      <c r="BK176" s="72">
        <v>14.45</v>
      </c>
      <c r="BL176" s="72">
        <v>12.99</v>
      </c>
      <c r="BM176" s="72">
        <v>11.45</v>
      </c>
      <c r="BN176" s="72">
        <v>12.54</v>
      </c>
      <c r="BO176" s="72">
        <v>12.7</v>
      </c>
      <c r="BP176" s="72">
        <v>13.37</v>
      </c>
      <c r="BQ176" s="72">
        <v>14.5</v>
      </c>
      <c r="BR176" s="72">
        <v>13.22</v>
      </c>
      <c r="BS176" s="72">
        <v>13.3</v>
      </c>
      <c r="BT176" s="72">
        <v>12.52</v>
      </c>
    </row>
  </sheetData>
  <phoneticPr fontId="3" type="noConversion"/>
  <conditionalFormatting sqref="E4">
    <cfRule type="cellIs" dxfId="2174" priority="103" operator="greaterThan">
      <formula>0.2</formula>
    </cfRule>
    <cfRule type="cellIs" dxfId="217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217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171" priority="97" operator="greaterThan">
      <formula>$B$19</formula>
    </cfRule>
  </conditionalFormatting>
  <conditionalFormatting sqref="D33:D34">
    <cfRule type="cellIs" dxfId="217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2169" priority="91" operator="lessThan">
      <formula>$H$62</formula>
    </cfRule>
    <cfRule type="cellIs" dxfId="2168" priority="92" operator="greaterThan">
      <formula>$H$62</formula>
    </cfRule>
  </conditionalFormatting>
  <conditionalFormatting sqref="J62">
    <cfRule type="cellIs" dxfId="2167" priority="89" operator="lessThan">
      <formula>$K$62</formula>
    </cfRule>
    <cfRule type="cellIs" dxfId="2166" priority="90" operator="greaterThan">
      <formula>$K$62</formula>
    </cfRule>
  </conditionalFormatting>
  <conditionalFormatting sqref="M62">
    <cfRule type="cellIs" dxfId="2165" priority="87" operator="lessThan">
      <formula>$N$62</formula>
    </cfRule>
    <cfRule type="cellIs" dxfId="2164" priority="88" operator="greaterThan">
      <formula>$N$62</formula>
    </cfRule>
  </conditionalFormatting>
  <conditionalFormatting sqref="B44:E44">
    <cfRule type="cellIs" dxfId="2163" priority="85" operator="greaterThan">
      <formula>0</formula>
    </cfRule>
    <cfRule type="cellIs" dxfId="2162" priority="86" operator="lessThan">
      <formula>0</formula>
    </cfRule>
  </conditionalFormatting>
  <conditionalFormatting sqref="F72">
    <cfRule type="cellIs" dxfId="2161" priority="84" operator="lessThan">
      <formula>$E$72*90%</formula>
    </cfRule>
  </conditionalFormatting>
  <conditionalFormatting sqref="F73">
    <cfRule type="cellIs" dxfId="2160" priority="83" operator="lessThan">
      <formula>$E$73*90%</formula>
    </cfRule>
  </conditionalFormatting>
  <conditionalFormatting sqref="F74">
    <cfRule type="cellIs" dxfId="2159" priority="82" operator="lessThan">
      <formula>$E$74*90%</formula>
    </cfRule>
  </conditionalFormatting>
  <conditionalFormatting sqref="F75">
    <cfRule type="cellIs" dxfId="2158" priority="81" operator="lessThan">
      <formula>$E$75*90%</formula>
    </cfRule>
  </conditionalFormatting>
  <conditionalFormatting sqref="H44:K44">
    <cfRule type="cellIs" dxfId="2157" priority="79" operator="greaterThan">
      <formula>0</formula>
    </cfRule>
    <cfRule type="cellIs" dxfId="2156" priority="80" operator="lessThan">
      <formula>0</formula>
    </cfRule>
  </conditionalFormatting>
  <conditionalFormatting sqref="H51:K51">
    <cfRule type="cellIs" dxfId="2155" priority="77" operator="greaterThan">
      <formula>0</formula>
    </cfRule>
    <cfRule type="cellIs" dxfId="2154" priority="78" operator="lessThan">
      <formula>0</formula>
    </cfRule>
  </conditionalFormatting>
  <conditionalFormatting sqref="B51:E51">
    <cfRule type="cellIs" dxfId="2153" priority="75" operator="greaterThan">
      <formula>0</formula>
    </cfRule>
    <cfRule type="cellIs" dxfId="215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15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15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149" priority="58" operator="lessThan">
      <formula>0</formula>
    </cfRule>
  </conditionalFormatting>
  <conditionalFormatting sqref="A25 E25 C25">
    <cfRule type="cellIs" dxfId="2148" priority="59" operator="lessThan">
      <formula>0</formula>
    </cfRule>
  </conditionalFormatting>
  <conditionalFormatting sqref="F25">
    <cfRule type="cellIs" dxfId="2147" priority="57" operator="lessThan">
      <formula>0</formula>
    </cfRule>
  </conditionalFormatting>
  <conditionalFormatting sqref="E1">
    <cfRule type="containsText" dxfId="2146" priority="56" operator="containsText" text="本季業外損益/平均=-">
      <formula>NOT(ISERROR(SEARCH("本季業外損益/平均=-",E1)))</formula>
    </cfRule>
  </conditionalFormatting>
  <conditionalFormatting sqref="M65">
    <cfRule type="cellIs" dxfId="2145" priority="55" operator="lessThan">
      <formula>$L$65*90%</formula>
    </cfRule>
  </conditionalFormatting>
  <conditionalFormatting sqref="M66">
    <cfRule type="cellIs" dxfId="2144" priority="54" operator="lessThan">
      <formula>$L$66*90%</formula>
    </cfRule>
  </conditionalFormatting>
  <conditionalFormatting sqref="M67">
    <cfRule type="cellIs" dxfId="2143" priority="53" operator="lessThan">
      <formula>$L$67*90%</formula>
    </cfRule>
  </conditionalFormatting>
  <conditionalFormatting sqref="M68">
    <cfRule type="cellIs" dxfId="2142" priority="52" operator="lessThan">
      <formula>$L$68*90%</formula>
    </cfRule>
  </conditionalFormatting>
  <conditionalFormatting sqref="B60">
    <cfRule type="cellIs" dxfId="2141" priority="51" operator="lessThan">
      <formula>0</formula>
    </cfRule>
  </conditionalFormatting>
  <conditionalFormatting sqref="B59:F59">
    <cfRule type="cellIs" dxfId="2140" priority="50" operator="lessThanOrEqual">
      <formula>0</formula>
    </cfRule>
  </conditionalFormatting>
  <conditionalFormatting sqref="D62">
    <cfRule type="cellIs" dxfId="2139" priority="48" operator="lessThan">
      <formula>$E$62</formula>
    </cfRule>
    <cfRule type="cellIs" dxfId="2138" priority="49" operator="greaterThan">
      <formula>$E$62</formula>
    </cfRule>
  </conditionalFormatting>
  <conditionalFormatting sqref="F69">
    <cfRule type="cellIs" dxfId="2137" priority="46" operator="lessThan">
      <formula>0</formula>
    </cfRule>
  </conditionalFormatting>
  <conditionalFormatting sqref="B65:E67 B69:E69 B68:D68">
    <cfRule type="cellIs" dxfId="2136" priority="47" operator="lessThan">
      <formula>0</formula>
    </cfRule>
  </conditionalFormatting>
  <conditionalFormatting sqref="E68">
    <cfRule type="cellIs" dxfId="2135" priority="45" operator="lessThan">
      <formula>0</formula>
    </cfRule>
  </conditionalFormatting>
  <conditionalFormatting sqref="F65:F68">
    <cfRule type="cellIs" dxfId="2134" priority="44" operator="lessThan">
      <formula>0</formula>
    </cfRule>
  </conditionalFormatting>
  <conditionalFormatting sqref="F65:F68">
    <cfRule type="cellIs" dxfId="2133" priority="43" operator="lessThan">
      <formula>$E$65*0.9</formula>
    </cfRule>
  </conditionalFormatting>
  <conditionalFormatting sqref="F66">
    <cfRule type="cellIs" dxfId="2132" priority="42" operator="lessThan">
      <formula>$E$66*0.9</formula>
    </cfRule>
  </conditionalFormatting>
  <conditionalFormatting sqref="F67:F68">
    <cfRule type="cellIs" dxfId="2131" priority="41" operator="lessThan">
      <formula>$E$67*0.9</formula>
    </cfRule>
  </conditionalFormatting>
  <conditionalFormatting sqref="F68">
    <cfRule type="cellIs" dxfId="2130" priority="40" operator="lessThan">
      <formula>$E$68*0.9</formula>
    </cfRule>
  </conditionalFormatting>
  <conditionalFormatting sqref="B13:F13">
    <cfRule type="cellIs" dxfId="2129" priority="29" operator="greaterThan">
      <formula>$I$16</formula>
    </cfRule>
    <cfRule type="cellIs" dxfId="2128" priority="30" operator="lessThanOrEqual">
      <formula>$I$16</formula>
    </cfRule>
  </conditionalFormatting>
  <conditionalFormatting sqref="B10:F10">
    <cfRule type="cellIs" dxfId="2127" priority="31" operator="greaterThan">
      <formula>15</formula>
    </cfRule>
    <cfRule type="cellIs" dxfId="2126" priority="38" operator="lessThan">
      <formula>$I$9</formula>
    </cfRule>
    <cfRule type="cellIs" dxfId="2125" priority="39" operator="greaterThan">
      <formula>$I$9</formula>
    </cfRule>
  </conditionalFormatting>
  <conditionalFormatting sqref="B16:F16">
    <cfRule type="cellIs" dxfId="2124" priority="36" operator="greaterThan">
      <formula>$I$16</formula>
    </cfRule>
    <cfRule type="cellIs" dxfId="2123" priority="37" operator="lessThanOrEqual">
      <formula>$I$16</formula>
    </cfRule>
  </conditionalFormatting>
  <conditionalFormatting sqref="B15:F15">
    <cfRule type="cellIs" dxfId="2122" priority="34" operator="lessThanOrEqual">
      <formula>$I$16</formula>
    </cfRule>
    <cfRule type="cellIs" dxfId="2121" priority="35" operator="greaterThan">
      <formula>$I$16</formula>
    </cfRule>
  </conditionalFormatting>
  <conditionalFormatting sqref="B14:F14">
    <cfRule type="cellIs" dxfId="2120" priority="32" operator="greaterThan">
      <formula>$I$16</formula>
    </cfRule>
    <cfRule type="cellIs" dxfId="2119" priority="33" operator="lessThanOrEqual">
      <formula>$I$16</formula>
    </cfRule>
  </conditionalFormatting>
  <conditionalFormatting sqref="K6">
    <cfRule type="containsText" dxfId="2118" priority="27" operator="containsText" text="衰退">
      <formula>NOT(ISERROR(SEARCH("衰退",K6)))</formula>
    </cfRule>
    <cfRule type="containsText" dxfId="2117" priority="28" operator="containsText" text="成長">
      <formula>NOT(ISERROR(SEARCH("成長",K6)))</formula>
    </cfRule>
  </conditionalFormatting>
  <conditionalFormatting sqref="I4:K4">
    <cfRule type="cellIs" dxfId="2116" priority="25" operator="lessThan">
      <formula>0</formula>
    </cfRule>
    <cfRule type="cellIs" dxfId="211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114" priority="22" operator="lessThanOrEqual">
      <formula>$I$16</formula>
    </cfRule>
    <cfRule type="cellIs" dxfId="2113" priority="23" operator="greaterThan">
      <formula>$I$16</formula>
    </cfRule>
  </conditionalFormatting>
  <conditionalFormatting sqref="I6">
    <cfRule type="containsText" dxfId="2112" priority="20" operator="containsText" text="衰退">
      <formula>NOT(ISERROR(SEARCH("衰退",I6)))</formula>
    </cfRule>
    <cfRule type="containsText" dxfId="2111" priority="21" operator="containsText" text="成長">
      <formula>NOT(ISERROR(SEARCH("成長",I6)))</formula>
    </cfRule>
  </conditionalFormatting>
  <conditionalFormatting sqref="M9">
    <cfRule type="cellIs" dxfId="2110" priority="19" operator="lessThan">
      <formula>$I$9</formula>
    </cfRule>
  </conditionalFormatting>
  <conditionalFormatting sqref="M10">
    <cfRule type="cellIs" dxfId="2109" priority="18" operator="greaterThan">
      <formula>$I$9</formula>
    </cfRule>
  </conditionalFormatting>
  <conditionalFormatting sqref="M11">
    <cfRule type="cellIs" dxfId="210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107" priority="14" operator="lessThan">
      <formula>0</formula>
    </cfRule>
    <cfRule type="cellIs" dxfId="2106" priority="15" operator="greaterThan">
      <formula>0.5</formula>
    </cfRule>
  </conditionalFormatting>
  <conditionalFormatting sqref="N14">
    <cfRule type="cellIs" dxfId="210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104" priority="10" operator="lessThan">
      <formula>0.1</formula>
    </cfRule>
  </conditionalFormatting>
  <conditionalFormatting sqref="I14">
    <cfRule type="cellIs" dxfId="210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10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101" priority="1" operator="lessThan">
      <formula>$N$5*0.9</formula>
    </cfRule>
    <cfRule type="cellIs" dxfId="2100" priority="2" operator="greaterThan">
      <formula>$N$5*1.1</formula>
    </cfRule>
  </conditionalFormatting>
  <hyperlinks>
    <hyperlink ref="L1" location="儀表板!A1" display="(回首頁)" xr:uid="{00000000-0004-0000-4B00-000000000000}"/>
  </hyperlink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2.44 ~ 9.95</v>
      </c>
      <c r="L1" s="83" t="s">
        <v>176</v>
      </c>
      <c r="M1" s="84" t="str">
        <f ca="1">VLOOKUP(_xlfn.NUMBERVALUE(N1),儀表板!A:B,2,FALSE)</f>
        <v>立端</v>
      </c>
      <c r="N1" s="85" t="str">
        <f ca="1">MID(CELL("filename",L1),FIND("]",CELL("filename",L1))+1,255)</f>
        <v>6245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0.17124775458327693</v>
      </c>
    </row>
    <row r="3" spans="1:15" s="93" customFormat="1" x14ac:dyDescent="0.25">
      <c r="A3" s="81" t="s">
        <v>179</v>
      </c>
      <c r="B3" s="94">
        <f>SUM(F19:F22,F24:F27,J19)</f>
        <v>73.296348483092459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40.250534831108169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42.083189874008539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44.357039649459004</v>
      </c>
      <c r="L3" s="100"/>
      <c r="M3" s="79" t="s">
        <v>385</v>
      </c>
      <c r="N3" s="92">
        <f>(F69-E69)/E69</f>
        <v>-0.10414852597313135</v>
      </c>
    </row>
    <row r="4" spans="1:15" s="93" customFormat="1" x14ac:dyDescent="0.25">
      <c r="A4" s="81" t="s">
        <v>182</v>
      </c>
      <c r="B4" s="96">
        <f>SUM(G36:G40)*2</f>
        <v>82</v>
      </c>
      <c r="C4" s="101"/>
      <c r="D4" s="102">
        <f>F4*(1+F141/10)</f>
        <v>10.4</v>
      </c>
      <c r="E4" s="82">
        <f>(D4-F4)/F4</f>
        <v>0</v>
      </c>
      <c r="F4" s="103">
        <v>10.4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3.4490281750034444</v>
      </c>
    </row>
    <row r="5" spans="1:15" s="93" customFormat="1" x14ac:dyDescent="0.25">
      <c r="A5" s="81" t="s">
        <v>184</v>
      </c>
      <c r="B5" s="107">
        <f>SUM(F30:F34)*2</f>
        <v>90.881673511293627</v>
      </c>
      <c r="C5" s="87"/>
      <c r="D5" s="87"/>
      <c r="E5" s="87"/>
      <c r="F5" s="86"/>
      <c r="G5" s="88"/>
      <c r="M5" s="79" t="s">
        <v>386</v>
      </c>
      <c r="N5" s="152">
        <f>D62</f>
        <v>3.38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4.2038182838346057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22.85</v>
      </c>
      <c r="N9" s="129"/>
    </row>
    <row r="10" spans="1:15" s="93" customFormat="1" x14ac:dyDescent="0.25">
      <c r="A10" s="123" t="s">
        <v>194</v>
      </c>
      <c r="B10" s="126">
        <f>PERCENTILE(176:176,B9)</f>
        <v>10.8</v>
      </c>
      <c r="C10" s="126">
        <f>PERCENTILE(176:176,C9)</f>
        <v>11.86</v>
      </c>
      <c r="D10" s="126">
        <f>PERCENTILE(176:176,D9)</f>
        <v>12.4</v>
      </c>
      <c r="E10" s="126">
        <f>PERCENTILE(176:176,E9)</f>
        <v>13.07</v>
      </c>
      <c r="F10" s="126">
        <f>PERCENTILE(176:176,F9)</f>
        <v>14.15</v>
      </c>
      <c r="G10" s="95"/>
      <c r="H10" s="135"/>
      <c r="I10" s="135"/>
      <c r="J10" s="135"/>
      <c r="K10" s="135"/>
      <c r="L10" s="136" t="s">
        <v>374</v>
      </c>
      <c r="M10" s="130">
        <f>MIN(176:176)</f>
        <v>9.67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24.24</v>
      </c>
      <c r="L11" s="272" t="s">
        <v>193</v>
      </c>
      <c r="M11" s="128">
        <f>STDEV(176:176)</f>
        <v>2.2230106473042945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27.766106442577033</v>
      </c>
      <c r="C13" s="141">
        <f>$B$34/5.88%</f>
        <v>33.715986394557824</v>
      </c>
      <c r="D13" s="141">
        <f>$B$34/5%</f>
        <v>39.65</v>
      </c>
      <c r="E13" s="141">
        <f>$B$34/4.35%</f>
        <v>45.574712643678161</v>
      </c>
      <c r="F13" s="141">
        <f>$B$34/3.85%</f>
        <v>51.493506493506494</v>
      </c>
      <c r="G13" s="138" t="str">
        <f>"$"&amp;ROUND(B34,2)&amp;"/"&amp;IF(STDEV(C140:F140)/AVERAGE(C140:F140)&lt;15%,"高",IF(STDEV(C140:F140)/AVERAGE(C140:F140)&lt;30%,"中","低"))</f>
        <v>$1.98/低</v>
      </c>
      <c r="H13" s="142" t="s">
        <v>199</v>
      </c>
      <c r="I13" s="143">
        <f>MAX(0,1-J15)</f>
        <v>0.22077922077922074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39.447000000000003</v>
      </c>
      <c r="C14" s="141">
        <f>$B$33*C10</f>
        <v>43.318649999999998</v>
      </c>
      <c r="D14" s="141">
        <f>$B$33*D10</f>
        <v>45.290999999999997</v>
      </c>
      <c r="E14" s="141">
        <f>$B$33*E10</f>
        <v>47.738174999999998</v>
      </c>
      <c r="F14" s="141">
        <f>$B$33*F10</f>
        <v>51.682875000000003</v>
      </c>
      <c r="G14" s="138" t="str">
        <f>"$"&amp;ROUND(B33,2)&amp;"/"&amp;IF(STDEV(B69:E69)/AVERAGE(B69:E69)&lt;15%,"高",IF(STDEV(B69:E69)/AVERAGE(B69:E69)&lt;30%,"中","低"))</f>
        <v>$3.65/高</v>
      </c>
      <c r="H14" s="142" t="s">
        <v>203</v>
      </c>
      <c r="I14" s="145">
        <f>G62/100*I13</f>
        <v>3.2388311688311681E-2</v>
      </c>
      <c r="J14" s="76" t="s">
        <v>204</v>
      </c>
      <c r="K14" s="146"/>
      <c r="L14" s="147">
        <f>(HLOOKUP($C$1,$105:$106,2,FALSE)-HLOOKUP($C$1,$117:$127,9,FALSE))/(HLOOKUP($C$1,$117:$128,12,FALSE)/K11)</f>
        <v>2.361256801143063</v>
      </c>
      <c r="M14" s="148">
        <f>E135/E69</f>
        <v>0.40259740259740262</v>
      </c>
      <c r="N14" s="149">
        <f>F173/100</f>
        <v>1.8137000000000001</v>
      </c>
    </row>
    <row r="15" spans="1:15" s="93" customFormat="1" x14ac:dyDescent="0.25">
      <c r="A15" s="140" t="s">
        <v>375</v>
      </c>
      <c r="B15" s="141">
        <f>$D$62*B10</f>
        <v>36.503999999999998</v>
      </c>
      <c r="C15" s="141">
        <f>$D$62*C10</f>
        <v>40.086799999999997</v>
      </c>
      <c r="D15" s="141">
        <f>$D$62*D10</f>
        <v>41.911999999999999</v>
      </c>
      <c r="E15" s="141">
        <f>$D$62*E10</f>
        <v>44.176600000000001</v>
      </c>
      <c r="F15" s="141">
        <f>$D$62*F10</f>
        <v>47.826999999999998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0.77922077922077926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37.249504290037201</v>
      </c>
      <c r="C16" s="141">
        <f>$F$69*C10</f>
        <v>40.905474155540851</v>
      </c>
      <c r="D16" s="141">
        <f>$F$69*D10</f>
        <v>42.767949370042714</v>
      </c>
      <c r="E16" s="141">
        <f>$F$69*E10</f>
        <v>45.078798247295019</v>
      </c>
      <c r="F16" s="141">
        <f>$F$69*F10</f>
        <v>48.803748676298738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470</v>
      </c>
      <c r="J17" s="92">
        <f ca="1">IF(I17&lt;=0,"",IF(I17&lt;=MIN($B$13:$F$16),(I17-MIN($B$13:$F$16))/MIN($B$13:$F$16),IF(I17&gt;=MAX($B$13:$F$16),I17/MAX($B$13:$F$16),PERCENTRANK($B$13:$F$16,I17))))</f>
        <v>9.0939213424175804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1.8199999999999998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15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0.91803278688524581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0.19865105489311577</v>
      </c>
      <c r="J20" s="171">
        <f>HLOOKUP($C$1,$117:$127,11,FALSE)/HLOOKUP($C$1,$105:$115,11,FALSE)</f>
        <v>0.44141961865435847</v>
      </c>
      <c r="K20" s="163"/>
    </row>
    <row r="21" spans="1:14" s="93" customFormat="1" x14ac:dyDescent="0.25">
      <c r="A21" s="151" t="s">
        <v>201</v>
      </c>
      <c r="B21" s="161">
        <f>AVERAGE(C173:F173)/100</f>
        <v>1.0742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9.5</v>
      </c>
      <c r="G21" s="88" t="s">
        <v>220</v>
      </c>
      <c r="H21" s="123" t="s">
        <v>221</v>
      </c>
      <c r="I21" s="162">
        <f>HLOOKUP($C$1,$105:$115,7,FALSE)/HLOOKUP($C$1,$117:$127,8,FALSE)</f>
        <v>1.8647055536493822</v>
      </c>
      <c r="J21" s="78"/>
      <c r="K21" s="164" t="s">
        <v>356</v>
      </c>
      <c r="L21" s="165">
        <f>HLOOKUP($C$1,$105:$115,7,FALSE)/HLOOKUP($C$1,$105:$115,11,FALSE)</f>
        <v>0.74561720221375849</v>
      </c>
      <c r="M21" s="123" t="s">
        <v>268</v>
      </c>
      <c r="N21" s="165">
        <f>HLOOKUP($C$1,$117:$127,8,FALSE)/HLOOKUP($C$1,$117:$127,11,FALSE)</f>
        <v>0.90584527554082317</v>
      </c>
    </row>
    <row r="22" spans="1:14" s="93" customFormat="1" x14ac:dyDescent="0.25">
      <c r="A22" s="140" t="s">
        <v>222</v>
      </c>
      <c r="B22" s="161">
        <f>(-1)*SUM(C133:F133)/SUM(C132:F132)</f>
        <v>0.54760423148724335</v>
      </c>
      <c r="C22" s="157"/>
      <c r="D22" s="166"/>
      <c r="E22" s="140"/>
      <c r="F22" s="159">
        <f>IF(B22&lt;=0,10,IF(B22&gt;=100%,0,(1-B22)*10))</f>
        <v>4.5239576851275665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0.92465340283293929</v>
      </c>
      <c r="J22" s="78"/>
      <c r="K22" s="142" t="s">
        <v>357</v>
      </c>
      <c r="L22" s="165">
        <f>HLOOKUP($C$1,$105:$115,4,FALSE)/HLOOKUP($C$1,$105:$115,11,FALSE)</f>
        <v>0.22335505564153202</v>
      </c>
      <c r="M22" s="123" t="s">
        <v>353</v>
      </c>
      <c r="N22" s="165">
        <f>HLOOKUP($C$1,$117:$127,4,FALSE)/HLOOKUP($C$1,$117:$127,11,FALSE)</f>
        <v>0.54997230186847668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1.7902526357817323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0.37588725643843662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0.96420318234260671</v>
      </c>
      <c r="C24" s="169">
        <f>STDEV(C103:F103)</f>
        <v>2.5046999540214322E-2</v>
      </c>
      <c r="D24" s="76" t="str">
        <f>IF(C24/B24&lt;15%,"高",IF(C24/B24&lt;30%,"中","低"))</f>
        <v>高</v>
      </c>
      <c r="E24" s="149"/>
      <c r="F24" s="160">
        <f>MIN(100%,B24)*5</f>
        <v>4.8210159117130331</v>
      </c>
      <c r="G24" s="88" t="s">
        <v>229</v>
      </c>
      <c r="H24" s="123" t="s">
        <v>16</v>
      </c>
      <c r="I24" s="170">
        <f>HLOOKUP(C1,167:170,2,FALSE)</f>
        <v>57.32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3.1324686313567614E-2</v>
      </c>
      <c r="M24" s="123" t="s">
        <v>355</v>
      </c>
      <c r="N24" s="165">
        <f>HLOOKUP($C$1,$117:$127,9,FALSE)/HLOOKUP($C$1,$117:$127,11,FALSE)</f>
        <v>9.4154724459176831E-2</v>
      </c>
    </row>
    <row r="25" spans="1:14" s="93" customFormat="1" x14ac:dyDescent="0.25">
      <c r="A25" s="151" t="s">
        <v>366</v>
      </c>
      <c r="B25" s="255">
        <f>AVERAGE(94:94)</f>
        <v>13946.95652173913</v>
      </c>
      <c r="C25" s="254">
        <f>STDEV(94:94)/AVERAGE(94:94)</f>
        <v>1.5486251137481359</v>
      </c>
      <c r="D25" s="76" t="str">
        <f>IF(C25&lt;=1,"高",IF(C25&lt;=2,"中","低"))</f>
        <v>中</v>
      </c>
      <c r="E25" s="149"/>
      <c r="F25" s="160">
        <f>MAX(0,10-ABS(C25))</f>
        <v>8.4513748862518643</v>
      </c>
      <c r="G25" s="88" t="s">
        <v>213</v>
      </c>
      <c r="H25" s="123" t="s">
        <v>232</v>
      </c>
      <c r="I25" s="170">
        <f>IF(HLOOKUP(C1,167:170,3,FALSE)="無",0,HLOOKUP(C1,167:170,3,FALSE))</f>
        <v>125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57.01565217391304</v>
      </c>
      <c r="C26" s="172">
        <f>IF(COUNTIF(168:168,"&gt;0")=0,0,STDEV(168:168))</f>
        <v>5.3007107808867202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115.8282608695652</v>
      </c>
      <c r="C27" s="172">
        <f>IF(COUNTIF(169:169,"&gt;0")=0,0,STDEV(169:169))</f>
        <v>9.0587971568444878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7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0.28722500000000001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6.8125000000000005E-2</v>
      </c>
      <c r="C31" s="157" t="s">
        <v>217</v>
      </c>
      <c r="D31" s="174">
        <f>COUNTIF(149:149,"&gt;8")/COUNT(149:149)</f>
        <v>0.2608695652173913</v>
      </c>
      <c r="E31" s="140" t="s">
        <v>241</v>
      </c>
      <c r="F31" s="159">
        <f>MIN(B31/10%*10,10)</f>
        <v>6.8125</v>
      </c>
      <c r="G31" s="175"/>
    </row>
    <row r="32" spans="1:14" x14ac:dyDescent="0.25">
      <c r="A32" s="155" t="s">
        <v>47</v>
      </c>
      <c r="B32" s="177">
        <f>AVERAGE(C165:F165)</f>
        <v>17.094999999999999</v>
      </c>
      <c r="C32" s="157" t="s">
        <v>217</v>
      </c>
      <c r="D32" s="174">
        <f>COUNTIF(159:159,"&gt;3")/COUNT(159:159)</f>
        <v>0.78260869565217395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3.6524999999999999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1.9824999999999999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8.6283367556468171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5000040</v>
      </c>
      <c r="C36" s="178">
        <f>STDEV(C97:F97)</f>
        <v>976842.50972235366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28.7225</v>
      </c>
      <c r="C37" s="180">
        <f>STDEV(C152:F152)</f>
        <v>0.78986813245418752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6.7575000000000003</v>
      </c>
      <c r="C38" s="180">
        <f>STDEV(C153:F153)</f>
        <v>0.73404700121994892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17.094999999999999</v>
      </c>
      <c r="C39" s="181">
        <f>STDEV(C165:F165)</f>
        <v>2.1072019362178023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3.6524999999999999</v>
      </c>
      <c r="C40" s="183">
        <f>STDEV(B69:E69)</f>
        <v>0.2728094573140748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1.9607843137254919E-2</v>
      </c>
      <c r="C44" s="186">
        <f>(C46-C49)/C49</f>
        <v>-0.39999999999999997</v>
      </c>
      <c r="D44" s="186">
        <f>(D46-D49)/D49</f>
        <v>-0.23076923076923078</v>
      </c>
      <c r="E44" s="186">
        <f>(E46-E49)/E49</f>
        <v>0.20909090909090905</v>
      </c>
      <c r="G44" s="86" t="s">
        <v>175</v>
      </c>
      <c r="H44" s="186">
        <f>(H47-H50)/H50</f>
        <v>0.1108071135430916</v>
      </c>
      <c r="I44" s="186">
        <f>(I47-I50)/I50</f>
        <v>2.9535864978902773E-2</v>
      </c>
      <c r="J44" s="186">
        <f>(J47-J50)/J50</f>
        <v>2.9085872576177157E-2</v>
      </c>
      <c r="K44" s="186">
        <f>(K47-K50)/K50</f>
        <v>0.46503496503496522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1.04</v>
      </c>
      <c r="C46" s="152">
        <f>HLOOKUP(C45,$81:$82,2,FALSE)</f>
        <v>0.51</v>
      </c>
      <c r="D46" s="152">
        <f>HLOOKUP(D45,$81:$82,2,FALSE)</f>
        <v>0.5</v>
      </c>
      <c r="E46" s="152">
        <f>HLOOKUP(E45,$81:$82,2,FALSE)</f>
        <v>1.33</v>
      </c>
      <c r="G46" s="86" t="s">
        <v>164</v>
      </c>
      <c r="H46" s="145">
        <f>HLOOKUP(H45,$145:$147,2,FALSE)/100</f>
        <v>0.28660000000000002</v>
      </c>
      <c r="I46" s="145">
        <f>HLOOKUP(I45,$145:$147,2,FALSE)/100</f>
        <v>0.25679999999999997</v>
      </c>
      <c r="J46" s="145">
        <f>HLOOKUP(J45,$145:$147,2,FALSE)/100</f>
        <v>0.27250000000000002</v>
      </c>
      <c r="K46" s="145">
        <f>HLOOKUP(K45,$145:$147,2,FALSE)/100</f>
        <v>0.28110000000000002</v>
      </c>
    </row>
    <row r="47" spans="1:14" x14ac:dyDescent="0.25">
      <c r="A47" s="188" t="s">
        <v>165</v>
      </c>
      <c r="B47" s="189">
        <f>HLOOKUP(B45,$157:$159,3,FALSE)</f>
        <v>4.49</v>
      </c>
      <c r="C47" s="189">
        <f>HLOOKUP(C45,$157:$159,3,FALSE)</f>
        <v>2.4</v>
      </c>
      <c r="D47" s="189">
        <f>HLOOKUP(D45,$157:$159,3,FALSE)</f>
        <v>2.2000000000000002</v>
      </c>
      <c r="E47" s="189">
        <f>HLOOKUP(E45,$157:$159,3,FALSE)</f>
        <v>5.58</v>
      </c>
      <c r="G47" s="190" t="s">
        <v>166</v>
      </c>
      <c r="H47" s="145">
        <f>HLOOKUP(H45,$145:$147,3,FALSE)/100</f>
        <v>8.1199999999999994E-2</v>
      </c>
      <c r="I47" s="145">
        <f>HLOOKUP(I45,$145:$147,3,FALSE)/100</f>
        <v>4.8799999999999996E-2</v>
      </c>
      <c r="J47" s="145">
        <f>HLOOKUP(J45,$145:$147,3,FALSE)/100</f>
        <v>7.4299999999999991E-2</v>
      </c>
      <c r="K47" s="145">
        <f>HLOOKUP(K45,$145:$147,3,FALSE)/100</f>
        <v>8.3800000000000013E-2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1.02</v>
      </c>
      <c r="C49" s="152">
        <f>HLOOKUP(C48,$81:$82,2,FALSE)</f>
        <v>0.85</v>
      </c>
      <c r="D49" s="152">
        <f>HLOOKUP(D48,$81:$82,2,FALSE)</f>
        <v>0.65</v>
      </c>
      <c r="E49" s="152">
        <f>HLOOKUP(E48,$81:$82,2,FALSE)</f>
        <v>1.1000000000000001</v>
      </c>
      <c r="G49" s="86" t="s">
        <v>164</v>
      </c>
      <c r="H49" s="145">
        <f>HLOOKUP(H48,$145:$147,2,FALSE)/100</f>
        <v>0.29410000000000003</v>
      </c>
      <c r="I49" s="145">
        <f>HLOOKUP(I48,$145:$147,2,FALSE)/100</f>
        <v>0.2621</v>
      </c>
      <c r="J49" s="145">
        <f>HLOOKUP(J48,$145:$147,2,FALSE)/100</f>
        <v>0.29049999999999998</v>
      </c>
      <c r="K49" s="145">
        <f>HLOOKUP(K48,$145:$147,2,FALSE)/100</f>
        <v>0.28720000000000001</v>
      </c>
    </row>
    <row r="50" spans="1:15" x14ac:dyDescent="0.25">
      <c r="A50" s="188" t="s">
        <v>165</v>
      </c>
      <c r="B50" s="189">
        <f>HLOOKUP(B48,$157:$159,3,FALSE)</f>
        <v>4.59</v>
      </c>
      <c r="C50" s="189">
        <f>HLOOKUP(C48,$157:$159,3,FALSE)</f>
        <v>3.71</v>
      </c>
      <c r="D50" s="189">
        <f>HLOOKUP(D48,$157:$159,3,FALSE)</f>
        <v>2.85</v>
      </c>
      <c r="E50" s="189">
        <f>HLOOKUP(E48,$157:$159,3,FALSE)</f>
        <v>4.84</v>
      </c>
      <c r="G50" s="190" t="s">
        <v>166</v>
      </c>
      <c r="H50" s="145">
        <f>HLOOKUP(H48,$145:$147,3,FALSE)/100</f>
        <v>7.3099999999999998E-2</v>
      </c>
      <c r="I50" s="145">
        <f>HLOOKUP(I48,$145:$147,3,FALSE)/100</f>
        <v>4.7400000000000005E-2</v>
      </c>
      <c r="J50" s="145">
        <f>HLOOKUP(J48,$145:$147,3,FALSE)/100</f>
        <v>7.22E-2</v>
      </c>
      <c r="K50" s="145">
        <f>HLOOKUP(K48,$145:$147,3,FALSE)/100</f>
        <v>5.7200000000000001E-2</v>
      </c>
    </row>
    <row r="51" spans="1:15" x14ac:dyDescent="0.25">
      <c r="A51" s="86" t="s">
        <v>351</v>
      </c>
      <c r="B51" s="186">
        <f>(B47-B50)/B50</f>
        <v>-2.1786492374727594E-2</v>
      </c>
      <c r="C51" s="186">
        <f>(C47-C50)/C50</f>
        <v>-0.35309973045822102</v>
      </c>
      <c r="D51" s="186">
        <f>(D47-D50)/D50</f>
        <v>-0.22807017543859645</v>
      </c>
      <c r="E51" s="186">
        <f>(E47-E50)/E50</f>
        <v>0.15289256198347112</v>
      </c>
      <c r="G51" s="235" t="s">
        <v>174</v>
      </c>
      <c r="H51" s="186">
        <f>(H46-H49)/H49</f>
        <v>-2.550153009180553E-2</v>
      </c>
      <c r="I51" s="186">
        <f>(I46-I49)/I49</f>
        <v>-2.0221289584128298E-2</v>
      </c>
      <c r="J51" s="186">
        <f>(J46-J49)/J49</f>
        <v>-6.1962134251290747E-2</v>
      </c>
      <c r="K51" s="186">
        <f>(K46-K49)/K49</f>
        <v>-2.1239554317548724E-2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4.2038182838346057</v>
      </c>
      <c r="B53" s="193">
        <f>B46</f>
        <v>1.04</v>
      </c>
      <c r="C53" s="193">
        <f>E46/HLOOKUP(E45,$87:$94,5,FALSE)*HLOOKUP(E45,$87:$94,4,FALSE)*($B$25/HLOOKUP(E45,$87:$94,4,FALSE)+SUM($B$57:$D$57)/SUM($B58:$D$58)*$G$69/100/K46)</f>
        <v>1.3990281750034448</v>
      </c>
      <c r="D53" s="193">
        <f>D46/HLOOKUP(D45,$87:$94,5,FALSE)*HLOOKUP(D45,$87:$94,4,FALSE)*($B$25/HLOOKUP(D45,$87:$94,4,FALSE)+SUM($B$57:$D$57)/SUM($B58:$D$58)*$G$69/100/J46)</f>
        <v>1.0199232894573196</v>
      </c>
      <c r="E53" s="193">
        <f>C46/HLOOKUP(C45,$87:$94,5,FALSE)*HLOOKUP(C45,$87:$94,4,FALSE)*($B$25/HLOOKUP(C45,$87:$94,4,FALSE)+SUM($B$57:$D$57)/SUM($B58:$D$58)*$G$69/100/I46)</f>
        <v>0.74486681937384114</v>
      </c>
    </row>
    <row r="54" spans="1:15" x14ac:dyDescent="0.25">
      <c r="A54" s="278">
        <f>SUM(B54:E54)</f>
        <v>3.3600000000000003</v>
      </c>
      <c r="B54" s="277">
        <f t="shared" ref="B54:D54" si="0">HLOOKUP(B52-10,81:82,2,FALSE)</f>
        <v>1.02</v>
      </c>
      <c r="C54" s="277">
        <f t="shared" si="0"/>
        <v>1.33</v>
      </c>
      <c r="D54" s="277">
        <f t="shared" si="0"/>
        <v>0.5</v>
      </c>
      <c r="E54" s="277">
        <f>HLOOKUP(E52-10,81:82,2,FALSE)</f>
        <v>0.51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622147</v>
      </c>
      <c r="C57" s="196">
        <f>HLOOKUP(C56,78:79,2,FALSE)</f>
        <v>705269</v>
      </c>
      <c r="D57" s="196">
        <f>HLOOKUP(D56,78:79,2,FALSE)</f>
        <v>525711</v>
      </c>
      <c r="E57" s="196">
        <f>HLOOKUP(E56,78:79,2,FALSE)</f>
        <v>403632</v>
      </c>
      <c r="F57" s="196">
        <f>HLOOKUP(F56,78:79,2,FALSE)</f>
        <v>724725</v>
      </c>
      <c r="G57" s="196">
        <f t="shared" ref="G57:M57" si="2">HLOOKUP(G56,78:79,2,FALSE)</f>
        <v>420231</v>
      </c>
      <c r="H57" s="196">
        <f t="shared" si="2"/>
        <v>372939</v>
      </c>
      <c r="I57" s="196">
        <f t="shared" si="2"/>
        <v>655947</v>
      </c>
      <c r="J57" s="196">
        <f t="shared" si="2"/>
        <v>379733</v>
      </c>
      <c r="K57" s="196">
        <f t="shared" si="2"/>
        <v>365720</v>
      </c>
      <c r="L57" s="196">
        <f t="shared" si="2"/>
        <v>811529</v>
      </c>
      <c r="M57" s="196">
        <f t="shared" si="2"/>
        <v>480244</v>
      </c>
      <c r="N57" s="197"/>
    </row>
    <row r="58" spans="1:15" x14ac:dyDescent="0.25">
      <c r="A58" s="198" t="s">
        <v>253</v>
      </c>
      <c r="B58" s="196">
        <f>HLOOKUP(B56-100,78:79,2,FALSE)</f>
        <v>395601</v>
      </c>
      <c r="C58" s="196">
        <f>HLOOKUP(C56-100,78:79,2,FALSE)</f>
        <v>584111</v>
      </c>
      <c r="D58" s="196">
        <f>HLOOKUP(D56-100,78:79,2,FALSE)</f>
        <v>434825</v>
      </c>
      <c r="E58" s="196">
        <f>HLOOKUP(E56-100,78:79,2,FALSE)</f>
        <v>429214</v>
      </c>
      <c r="F58" s="196">
        <f>HLOOKUP(F56-100,78:79,2,FALSE)</f>
        <v>619181</v>
      </c>
      <c r="G58" s="196">
        <f t="shared" ref="G58:M58" si="3">HLOOKUP(G56-100,78:79,2,FALSE)</f>
        <v>428966</v>
      </c>
      <c r="H58" s="196">
        <f t="shared" si="3"/>
        <v>531084</v>
      </c>
      <c r="I58" s="196">
        <f t="shared" si="3"/>
        <v>613163</v>
      </c>
      <c r="J58" s="196">
        <f t="shared" si="3"/>
        <v>351993</v>
      </c>
      <c r="K58" s="196">
        <f t="shared" si="3"/>
        <v>438736</v>
      </c>
      <c r="L58" s="196">
        <f t="shared" si="3"/>
        <v>673593</v>
      </c>
      <c r="M58" s="196">
        <f t="shared" si="3"/>
        <v>513070</v>
      </c>
      <c r="N58" s="197"/>
    </row>
    <row r="59" spans="1:15" x14ac:dyDescent="0.25">
      <c r="A59" s="199" t="s">
        <v>254</v>
      </c>
      <c r="B59" s="165">
        <f>IF(B57&lt;&gt;"",(B57-B58)/B58,"")</f>
        <v>0.57266285980065779</v>
      </c>
      <c r="C59" s="165">
        <f>IF(C57&lt;&gt;"",(C57-C58)/C58,"")</f>
        <v>0.20742290420827547</v>
      </c>
      <c r="D59" s="165">
        <f>IF(D57&lt;&gt;"",(D57-D58)/D58,"")</f>
        <v>0.20901742080147184</v>
      </c>
      <c r="E59" s="165">
        <f>IF(E57&lt;&gt;"",(E57-E58)/E58,"")</f>
        <v>-5.9601970112810862E-2</v>
      </c>
      <c r="F59" s="165">
        <f>IF(F57&lt;&gt;"",(F57-F58)/F58,"")</f>
        <v>0.17045742682672757</v>
      </c>
      <c r="G59" s="165">
        <f t="shared" ref="G59:M59" si="4">IF(G57&lt;&gt;"",(G57-G58)/G58,"")</f>
        <v>-2.0362919205717936E-2</v>
      </c>
      <c r="H59" s="165">
        <f t="shared" si="4"/>
        <v>-0.29777775267189371</v>
      </c>
      <c r="I59" s="165">
        <f t="shared" si="4"/>
        <v>6.9775899719976581E-2</v>
      </c>
      <c r="J59" s="165">
        <f t="shared" si="4"/>
        <v>7.8808385394027722E-2</v>
      </c>
      <c r="K59" s="165">
        <f t="shared" si="4"/>
        <v>-0.16642354399912476</v>
      </c>
      <c r="L59" s="165">
        <f t="shared" si="4"/>
        <v>0.20477647481491049</v>
      </c>
      <c r="M59" s="165">
        <f t="shared" si="4"/>
        <v>-6.3979573937279516E-2</v>
      </c>
    </row>
    <row r="60" spans="1:15" x14ac:dyDescent="0.25">
      <c r="A60" s="195" t="s">
        <v>255</v>
      </c>
      <c r="B60" s="196">
        <f>SUM(B57:M57)</f>
        <v>6467827</v>
      </c>
    </row>
    <row r="61" spans="1:15" x14ac:dyDescent="0.25">
      <c r="A61" s="198" t="s">
        <v>256</v>
      </c>
      <c r="B61" s="196">
        <f>SUM(B58:M58)</f>
        <v>6013537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1.075544558884397</v>
      </c>
      <c r="D62" s="152">
        <f>SUM(B46:E46)</f>
        <v>3.38</v>
      </c>
      <c r="E62" s="152">
        <f>SUM(B49:E49)</f>
        <v>3.62</v>
      </c>
      <c r="G62" s="126">
        <f>SUM(B47:E47)</f>
        <v>14.67</v>
      </c>
      <c r="H62" s="126">
        <f>SUM(B50:E50)</f>
        <v>15.99</v>
      </c>
      <c r="J62" s="200">
        <f>AVERAGE(H46:K46)</f>
        <v>0.27424999999999999</v>
      </c>
      <c r="K62" s="200">
        <f>AVERAGE(H49:K49)</f>
        <v>0.28347500000000003</v>
      </c>
      <c r="M62" s="200">
        <f>AVERAGE(H47:K47)</f>
        <v>7.2025000000000006E-2</v>
      </c>
      <c r="N62" s="200">
        <f>AVERAGE(H50:K50)</f>
        <v>6.2474999999999996E-2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0.94</v>
      </c>
      <c r="C65" s="205">
        <f t="shared" si="5"/>
        <v>0.87</v>
      </c>
      <c r="D65" s="205">
        <f t="shared" si="5"/>
        <v>0.67</v>
      </c>
      <c r="E65" s="205">
        <f t="shared" si="5"/>
        <v>0.65</v>
      </c>
      <c r="F65" s="206">
        <f>IF(ISNA(HLOOKUP(F$64*10+$A65,$81:$82,2,FALSE)),(HLOOKUP(E$64*10+$A65,$87:$94,4,FALSE)*$G65+$B$25)/HLOOKUP(E$64*10+$A65,$87:$94,5,FALSE)*$E65,HLOOKUP(F$64*10+$A65,$81:$82,2,FALSE))</f>
        <v>0.5</v>
      </c>
      <c r="G65" s="101">
        <f>MIN(130%,SUM($B$57:$D$57)/SUM($B$58:$D$58)*$G$69/HLOOKUP(E$64*10+$A65,$145:$146,2,FALSE))</f>
        <v>1.1933793691608081</v>
      </c>
      <c r="H65" s="204">
        <v>1</v>
      </c>
      <c r="I65" s="208">
        <f t="shared" ref="I65:M68" si="6">IF(ISNA(HLOOKUP(I$64*10+$H65,$145:$147,3,FALSE)),"",HLOOKUP(I$64*10+$H65,$145:$147,3,FALSE)/100)</f>
        <v>8.1000000000000003E-2</v>
      </c>
      <c r="J65" s="208">
        <f t="shared" si="6"/>
        <v>6.9800000000000001E-2</v>
      </c>
      <c r="K65" s="208">
        <f t="shared" si="6"/>
        <v>7.4200000000000002E-2</v>
      </c>
      <c r="L65" s="208">
        <f t="shared" si="6"/>
        <v>7.22E-2</v>
      </c>
      <c r="M65" s="209">
        <f t="shared" si="6"/>
        <v>7.4299999999999991E-2</v>
      </c>
      <c r="N65" s="256">
        <f t="shared" ref="N65:O68" si="7">HLOOKUP(E$64*10+$A65,$87:$94,8,FALSE)</f>
        <v>-13883</v>
      </c>
      <c r="O65" s="256">
        <f t="shared" si="7"/>
        <v>-32351</v>
      </c>
      <c r="P65" s="210"/>
    </row>
    <row r="66" spans="1:71" x14ac:dyDescent="0.25">
      <c r="A66" s="204">
        <v>2</v>
      </c>
      <c r="B66" s="205">
        <f t="shared" si="5"/>
        <v>0.95</v>
      </c>
      <c r="C66" s="205">
        <f t="shared" si="5"/>
        <v>0.37</v>
      </c>
      <c r="D66" s="205">
        <f t="shared" si="5"/>
        <v>0.33</v>
      </c>
      <c r="E66" s="205">
        <f t="shared" si="5"/>
        <v>0.85</v>
      </c>
      <c r="F66" s="206">
        <f>IF(ISNA(HLOOKUP(F$64*10+$A66,$81:$82,2,FALSE)),(HLOOKUP(E$64*10+$A66,$87:$94,4,FALSE)*$G66+$B$25)/HLOOKUP(E$64*10+$A66,$87:$94,5,FALSE)*$E66,HLOOKUP(F$64*10+$A66,$81:$82,2,FALSE))</f>
        <v>0.51</v>
      </c>
      <c r="G66" s="101">
        <f>MIN(130%,SUM($B$57:$D$57)/SUM($B$58:$D$58)*$G$69/HLOOKUP(E$64*10+$A66,$145:$146,2,FALSE))</f>
        <v>1.3</v>
      </c>
      <c r="H66" s="204">
        <v>2</v>
      </c>
      <c r="I66" s="208">
        <f t="shared" si="6"/>
        <v>7.2999999999999995E-2</v>
      </c>
      <c r="J66" s="208">
        <f t="shared" si="6"/>
        <v>4.5199999999999997E-2</v>
      </c>
      <c r="K66" s="208">
        <f t="shared" si="6"/>
        <v>3.7900000000000003E-2</v>
      </c>
      <c r="L66" s="208">
        <f t="shared" si="6"/>
        <v>4.7400000000000005E-2</v>
      </c>
      <c r="M66" s="209">
        <f t="shared" si="6"/>
        <v>4.8799999999999996E-2</v>
      </c>
      <c r="N66" s="256">
        <f t="shared" si="7"/>
        <v>38114</v>
      </c>
      <c r="O66" s="256">
        <f t="shared" si="7"/>
        <v>3931</v>
      </c>
      <c r="P66" s="210"/>
    </row>
    <row r="67" spans="1:71" x14ac:dyDescent="0.25">
      <c r="A67" s="204">
        <v>3</v>
      </c>
      <c r="B67" s="205">
        <f t="shared" si="5"/>
        <v>0.9</v>
      </c>
      <c r="C67" s="205">
        <f t="shared" si="5"/>
        <v>0.77</v>
      </c>
      <c r="D67" s="205">
        <f t="shared" si="5"/>
        <v>1.24</v>
      </c>
      <c r="E67" s="205">
        <f t="shared" si="5"/>
        <v>1.02</v>
      </c>
      <c r="F67" s="206">
        <f>IF(ISNA(HLOOKUP(F$64*10+$A67,$81:$82,2,FALSE)),(HLOOKUP(E$64*10+$A67,$87:$94,4,FALSE)*$G67+$B$25)/HLOOKUP(E$64*10+$A67,$87:$94,5,FALSE)*$E67,HLOOKUP(F$64*10+$A67,$81:$82,2,FALSE))</f>
        <v>1.04</v>
      </c>
      <c r="G67" s="101">
        <f>MIN(130%,SUM($B$57:$D$57)/SUM($B$58:$D$58)*$G$69/HLOOKUP(E$64*10+$A67,$145:$146,2,FALSE))</f>
        <v>1.1787715292118828</v>
      </c>
      <c r="H67" s="204">
        <v>3</v>
      </c>
      <c r="I67" s="208">
        <f t="shared" si="6"/>
        <v>8.929999999999999E-2</v>
      </c>
      <c r="J67" s="208">
        <f t="shared" si="6"/>
        <v>5.5999999999999994E-2</v>
      </c>
      <c r="K67" s="208">
        <f t="shared" si="6"/>
        <v>8.3199999999999996E-2</v>
      </c>
      <c r="L67" s="208">
        <f t="shared" si="6"/>
        <v>7.3099999999999998E-2</v>
      </c>
      <c r="M67" s="209">
        <f t="shared" si="6"/>
        <v>8.1199999999999994E-2</v>
      </c>
      <c r="N67" s="256">
        <f t="shared" si="7"/>
        <v>8894</v>
      </c>
      <c r="O67" s="256">
        <f t="shared" si="7"/>
        <v>20191</v>
      </c>
      <c r="P67" s="210"/>
    </row>
    <row r="68" spans="1:71" x14ac:dyDescent="0.25">
      <c r="A68" s="204">
        <v>4</v>
      </c>
      <c r="B68" s="205">
        <f>HLOOKUP(B$64*10+$A68,$81:$82,2,FALSE)</f>
        <v>1.1200000000000001</v>
      </c>
      <c r="C68" s="205">
        <f>HLOOKUP(C$64*10+$A68,$81:$82,2,FALSE)</f>
        <v>1.5</v>
      </c>
      <c r="D68" s="205">
        <f>HLOOKUP(D$64*10+$A68,$81:$82,2,FALSE)</f>
        <v>1.1000000000000001</v>
      </c>
      <c r="E68" s="206">
        <f>IF(ISNA(HLOOKUP(E$64*10+$A68,$81:$82,2,FALSE)),D68*(1-$N68)*#REF!*(1+$B$25)/(1+$E$4),HLOOKUP(E$64*10+$A68,$81:$82,2,FALSE))</f>
        <v>1.33</v>
      </c>
      <c r="F68" s="206">
        <f>IF(ISNA(HLOOKUP(F$64*10+$A68,$81:$82,2,FALSE)),(HLOOKUP(E$64*10+$A68,$87:$94,4,FALSE)*$G68+$B$25)/HLOOKUP(E$64*10+$A68,$87:$94,5,FALSE)*$E68,HLOOKUP(F$64*10+$A68,$81:$82,2,FALSE))</f>
        <v>1.3990281750034446</v>
      </c>
      <c r="G68" s="101">
        <f>MIN(130%,SUM($B$57:$D$57)/SUM($B$58:$D$58)*$G$69/HLOOKUP(E$64*10+$A68,$145:$146,2,FALSE))</f>
        <v>1.2332860431917991</v>
      </c>
      <c r="H68" s="204">
        <v>4</v>
      </c>
      <c r="I68" s="208">
        <f t="shared" si="6"/>
        <v>6.7099999999999993E-2</v>
      </c>
      <c r="J68" s="208">
        <f t="shared" si="6"/>
        <v>7.0599999999999996E-2</v>
      </c>
      <c r="K68" s="208">
        <f t="shared" si="6"/>
        <v>5.7200000000000001E-2</v>
      </c>
      <c r="L68" s="208">
        <f t="shared" si="6"/>
        <v>8.3800000000000013E-2</v>
      </c>
      <c r="M68" s="209" t="str">
        <f t="shared" si="6"/>
        <v/>
      </c>
      <c r="N68" s="256">
        <f t="shared" si="7"/>
        <v>37919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3.91</v>
      </c>
      <c r="C69" s="213">
        <f>SUM(C65:C68)</f>
        <v>3.51</v>
      </c>
      <c r="D69" s="213">
        <f>SUM(D65:D68)</f>
        <v>3.3400000000000003</v>
      </c>
      <c r="E69" s="213">
        <f>SUM(E65:E68)</f>
        <v>3.85</v>
      </c>
      <c r="F69" s="213">
        <f>SUM(F65:F68)</f>
        <v>3.4490281750034444</v>
      </c>
      <c r="G69" s="257">
        <f>_xlfn.FORECAST.ETS(23,B146:W146,{1,2,3,4,5,6,7,8,9,10,11,12,13,14,15,16,17,18,19,20,21,22})</f>
        <v>26.462677880339431</v>
      </c>
      <c r="H69" s="214" t="s">
        <v>19</v>
      </c>
      <c r="I69" s="215">
        <f>HLOOKUP(I64,151:155,3,FALSE)/100</f>
        <v>7.7199999999999991E-2</v>
      </c>
      <c r="J69" s="215">
        <f>HLOOKUP(J64,151:155,3,FALSE)/100</f>
        <v>6.0999999999999999E-2</v>
      </c>
      <c r="K69" s="215">
        <f>HLOOKUP(K64,151:155,3,FALSE)/100</f>
        <v>6.2800000000000009E-2</v>
      </c>
      <c r="L69" s="215">
        <f>IF(ISNA(HLOOKUP(L64,151:155,3,FALSE)/100),AVERAGE(L65:L68),HLOOKUP(L64,151:155,3,FALSE)/100)</f>
        <v>6.93E-2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5.07</v>
      </c>
      <c r="C72" s="205">
        <f t="shared" si="8"/>
        <v>4.1900000000000004</v>
      </c>
      <c r="D72" s="205">
        <f t="shared" si="8"/>
        <v>3.09</v>
      </c>
      <c r="E72" s="205">
        <f t="shared" si="8"/>
        <v>2.85</v>
      </c>
      <c r="F72" s="205">
        <f t="shared" si="8"/>
        <v>2.2000000000000002</v>
      </c>
    </row>
    <row r="73" spans="1:71" s="135" customFormat="1" x14ac:dyDescent="0.25">
      <c r="A73" s="204">
        <v>2</v>
      </c>
      <c r="B73" s="205">
        <f t="shared" si="8"/>
        <v>4.9400000000000004</v>
      </c>
      <c r="C73" s="205">
        <f t="shared" si="8"/>
        <v>1.76</v>
      </c>
      <c r="D73" s="205">
        <f t="shared" si="8"/>
        <v>1.51</v>
      </c>
      <c r="E73" s="205">
        <f t="shared" si="8"/>
        <v>3.71</v>
      </c>
      <c r="F73" s="205">
        <f t="shared" si="8"/>
        <v>2.4</v>
      </c>
    </row>
    <row r="74" spans="1:71" s="135" customFormat="1" x14ac:dyDescent="0.25">
      <c r="A74" s="204">
        <v>3</v>
      </c>
      <c r="B74" s="205">
        <f t="shared" si="8"/>
        <v>4.96</v>
      </c>
      <c r="C74" s="205">
        <f t="shared" si="8"/>
        <v>3.88</v>
      </c>
      <c r="D74" s="205">
        <f t="shared" si="8"/>
        <v>5.74</v>
      </c>
      <c r="E74" s="205">
        <f t="shared" si="8"/>
        <v>4.59</v>
      </c>
      <c r="F74" s="205">
        <f t="shared" si="8"/>
        <v>4.49</v>
      </c>
    </row>
    <row r="75" spans="1:71" s="135" customFormat="1" x14ac:dyDescent="0.25">
      <c r="A75" s="204">
        <v>4</v>
      </c>
      <c r="B75" s="205">
        <f t="shared" si="8"/>
        <v>5.61</v>
      </c>
      <c r="C75" s="205">
        <f t="shared" si="8"/>
        <v>6.95</v>
      </c>
      <c r="D75" s="205">
        <f t="shared" si="8"/>
        <v>4.84</v>
      </c>
      <c r="E75" s="205">
        <f t="shared" si="8"/>
        <v>5.58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20.580000000000002</v>
      </c>
      <c r="C76" s="213">
        <f>SUM(C72:C75)</f>
        <v>16.78</v>
      </c>
      <c r="D76" s="213">
        <f>SUM(D72:D75)</f>
        <v>15.18</v>
      </c>
      <c r="E76" s="213">
        <f>AVERAGE(E72:E75)*4</f>
        <v>16.73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196755</v>
      </c>
      <c r="C79" s="270">
        <v>210083</v>
      </c>
      <c r="D79" s="270">
        <v>233846</v>
      </c>
      <c r="E79" s="270">
        <v>223640</v>
      </c>
      <c r="F79" s="270">
        <v>200219</v>
      </c>
      <c r="G79" s="270">
        <v>201827</v>
      </c>
      <c r="H79" s="270">
        <v>210974</v>
      </c>
      <c r="I79" s="270">
        <v>222176</v>
      </c>
      <c r="J79" s="270">
        <v>246394</v>
      </c>
      <c r="K79" s="270">
        <v>253555</v>
      </c>
      <c r="L79" s="270">
        <v>275975</v>
      </c>
      <c r="M79" s="270">
        <v>296941</v>
      </c>
      <c r="N79" s="270">
        <v>294309</v>
      </c>
      <c r="O79" s="270">
        <v>190979</v>
      </c>
      <c r="P79" s="270">
        <v>336084</v>
      </c>
      <c r="Q79" s="270">
        <v>250223</v>
      </c>
      <c r="R79" s="270">
        <v>272958</v>
      </c>
      <c r="S79" s="270">
        <v>391254</v>
      </c>
      <c r="T79" s="270">
        <v>305009</v>
      </c>
      <c r="U79" s="270">
        <v>314217</v>
      </c>
      <c r="V79" s="270">
        <v>407286</v>
      </c>
      <c r="W79" s="270">
        <v>333262</v>
      </c>
      <c r="X79" s="270">
        <v>365986</v>
      </c>
      <c r="Y79" s="270">
        <v>448691</v>
      </c>
      <c r="Z79" s="270">
        <v>328963</v>
      </c>
      <c r="AA79" s="270">
        <v>310776</v>
      </c>
      <c r="AB79" s="270">
        <v>369695</v>
      </c>
      <c r="AC79" s="270">
        <v>307318</v>
      </c>
      <c r="AD79" s="270">
        <v>298165</v>
      </c>
      <c r="AE79" s="270">
        <v>448890</v>
      </c>
      <c r="AF79" s="270">
        <v>287213</v>
      </c>
      <c r="AG79" s="270">
        <v>313007</v>
      </c>
      <c r="AH79" s="270">
        <v>504603</v>
      </c>
      <c r="AI79" s="270">
        <v>359510</v>
      </c>
      <c r="AJ79" s="270">
        <v>420676</v>
      </c>
      <c r="AK79" s="270">
        <v>591000</v>
      </c>
      <c r="AL79" s="270">
        <v>433514</v>
      </c>
      <c r="AM79" s="270">
        <v>284522</v>
      </c>
      <c r="AN79" s="270">
        <v>453599</v>
      </c>
      <c r="AO79" s="270">
        <v>333639</v>
      </c>
      <c r="AP79" s="270">
        <v>407568</v>
      </c>
      <c r="AQ79" s="270">
        <v>562915</v>
      </c>
      <c r="AR79" s="270">
        <v>490855</v>
      </c>
      <c r="AS79" s="270">
        <v>363637</v>
      </c>
      <c r="AT79" s="270">
        <v>507444</v>
      </c>
      <c r="AU79" s="270">
        <v>415200</v>
      </c>
      <c r="AV79" s="270">
        <v>513070</v>
      </c>
      <c r="AW79" s="270">
        <v>673593</v>
      </c>
      <c r="AX79" s="270">
        <v>438736</v>
      </c>
      <c r="AY79" s="270">
        <v>351993</v>
      </c>
      <c r="AZ79" s="270">
        <v>613163</v>
      </c>
      <c r="BA79" s="270">
        <v>531084</v>
      </c>
      <c r="BB79" s="270">
        <v>428966</v>
      </c>
      <c r="BC79" s="270">
        <v>619181</v>
      </c>
      <c r="BD79" s="270">
        <v>429214</v>
      </c>
      <c r="BE79" s="270">
        <v>434825</v>
      </c>
      <c r="BF79" s="270">
        <v>584111</v>
      </c>
      <c r="BG79" s="270">
        <v>395601</v>
      </c>
      <c r="BH79" s="270">
        <v>480244</v>
      </c>
      <c r="BI79" s="270">
        <v>811529</v>
      </c>
      <c r="BJ79" s="270">
        <v>365720</v>
      </c>
      <c r="BK79" s="270">
        <v>379733</v>
      </c>
      <c r="BL79" s="270">
        <v>655947</v>
      </c>
      <c r="BM79" s="270">
        <v>372939</v>
      </c>
      <c r="BN79" s="270">
        <v>420231</v>
      </c>
      <c r="BO79" s="270">
        <v>724725</v>
      </c>
      <c r="BP79" s="270">
        <v>403632</v>
      </c>
      <c r="BQ79" s="270">
        <v>525711</v>
      </c>
      <c r="BR79" s="270">
        <v>705269</v>
      </c>
      <c r="BS79" s="270">
        <v>622147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0.8</v>
      </c>
      <c r="C82" s="72">
        <v>0.9</v>
      </c>
      <c r="D82" s="72">
        <v>0.96</v>
      </c>
      <c r="E82" s="72">
        <v>0.9</v>
      </c>
      <c r="F82" s="72">
        <v>0.94</v>
      </c>
      <c r="G82" s="72">
        <v>0.95</v>
      </c>
      <c r="H82" s="72">
        <v>0.9</v>
      </c>
      <c r="I82" s="72">
        <v>1.1200000000000001</v>
      </c>
      <c r="J82" s="72">
        <v>0.87</v>
      </c>
      <c r="K82" s="72">
        <v>0.37</v>
      </c>
      <c r="L82" s="72">
        <v>0.77</v>
      </c>
      <c r="M82" s="72">
        <v>1.5</v>
      </c>
      <c r="N82" s="72">
        <v>0.67</v>
      </c>
      <c r="O82" s="72">
        <v>0.33</v>
      </c>
      <c r="P82" s="72">
        <v>1.24</v>
      </c>
      <c r="Q82" s="72">
        <v>1.1000000000000001</v>
      </c>
      <c r="R82" s="72">
        <v>0.65</v>
      </c>
      <c r="S82" s="72">
        <v>0.85</v>
      </c>
      <c r="T82" s="72">
        <v>1.02</v>
      </c>
      <c r="U82" s="72">
        <v>1.33</v>
      </c>
      <c r="V82" s="72">
        <v>0.5</v>
      </c>
      <c r="W82" s="72">
        <v>0.51</v>
      </c>
      <c r="X82" s="72">
        <v>1.04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16.89</v>
      </c>
      <c r="C85" s="72">
        <v>17.649999999999999</v>
      </c>
      <c r="D85" s="72">
        <v>17.190000000000001</v>
      </c>
      <c r="E85" s="72">
        <v>18.059999999999999</v>
      </c>
      <c r="F85" s="72">
        <v>18.920000000000002</v>
      </c>
      <c r="G85" s="72">
        <v>19.61</v>
      </c>
      <c r="H85" s="72">
        <v>18.420000000000002</v>
      </c>
      <c r="I85" s="72">
        <v>20.09</v>
      </c>
      <c r="J85" s="72">
        <v>21.57</v>
      </c>
      <c r="K85" s="72">
        <v>21.09</v>
      </c>
      <c r="L85" s="72">
        <v>20.25</v>
      </c>
      <c r="M85" s="72">
        <v>22</v>
      </c>
      <c r="N85" s="72">
        <v>22.58</v>
      </c>
      <c r="O85" s="72">
        <v>22.12</v>
      </c>
      <c r="P85" s="72">
        <v>22.23</v>
      </c>
      <c r="Q85" s="72">
        <v>23.09</v>
      </c>
      <c r="R85" s="72">
        <v>23.84</v>
      </c>
      <c r="S85" s="72">
        <v>22.57</v>
      </c>
      <c r="T85" s="72">
        <v>23.78</v>
      </c>
      <c r="U85" s="72">
        <v>25.32</v>
      </c>
      <c r="V85" s="72">
        <v>25.44</v>
      </c>
      <c r="W85" s="72">
        <v>23.1</v>
      </c>
      <c r="X85" s="72">
        <v>24.24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770448</v>
      </c>
      <c r="C88" s="273">
        <v>734180</v>
      </c>
      <c r="D88" s="273">
        <v>800070</v>
      </c>
      <c r="E88" s="273">
        <v>949318</v>
      </c>
      <c r="F88" s="273">
        <v>818434</v>
      </c>
      <c r="G88" s="273">
        <v>916236</v>
      </c>
      <c r="H88" s="273">
        <v>1023551</v>
      </c>
      <c r="I88" s="273">
        <v>1146528</v>
      </c>
      <c r="J88" s="273">
        <v>1009898</v>
      </c>
      <c r="K88" s="273">
        <v>1053891</v>
      </c>
      <c r="L88" s="273">
        <v>1104421</v>
      </c>
      <c r="M88" s="273">
        <v>1367654</v>
      </c>
      <c r="N88" s="273">
        <v>1176820</v>
      </c>
      <c r="O88" s="273">
        <v>1298787</v>
      </c>
      <c r="P88" s="273">
        <v>1362087</v>
      </c>
      <c r="Q88" s="273">
        <v>1601805</v>
      </c>
      <c r="R88" s="273">
        <v>1387070</v>
      </c>
      <c r="S88" s="273">
        <v>1579286</v>
      </c>
      <c r="T88" s="273">
        <v>1446510</v>
      </c>
      <c r="U88" s="273">
        <v>1707182</v>
      </c>
      <c r="V88" s="273">
        <v>1401093</v>
      </c>
      <c r="W88" s="273">
        <v>1519738</v>
      </c>
      <c r="X88" s="273">
        <v>1635828</v>
      </c>
    </row>
    <row r="89" spans="1:25" ht="14.25" thickBot="1" x14ac:dyDescent="0.3">
      <c r="A89" s="250" t="s">
        <v>4</v>
      </c>
      <c r="B89" s="275">
        <v>237580</v>
      </c>
      <c r="C89" s="275">
        <v>222948</v>
      </c>
      <c r="D89" s="275">
        <v>257416</v>
      </c>
      <c r="E89" s="275">
        <v>305116</v>
      </c>
      <c r="F89" s="275">
        <v>254669</v>
      </c>
      <c r="G89" s="275">
        <v>279280</v>
      </c>
      <c r="H89" s="275">
        <v>316686</v>
      </c>
      <c r="I89" s="275">
        <v>318460</v>
      </c>
      <c r="J89" s="275">
        <v>290446</v>
      </c>
      <c r="K89" s="275">
        <v>282170</v>
      </c>
      <c r="L89" s="275">
        <v>292500</v>
      </c>
      <c r="M89" s="275">
        <v>413329</v>
      </c>
      <c r="N89" s="275">
        <v>354460</v>
      </c>
      <c r="O89" s="275">
        <v>327125</v>
      </c>
      <c r="P89" s="275">
        <v>420556</v>
      </c>
      <c r="Q89" s="275">
        <v>459975</v>
      </c>
      <c r="R89" s="275">
        <v>402896</v>
      </c>
      <c r="S89" s="275">
        <v>413943</v>
      </c>
      <c r="T89" s="275">
        <v>425414</v>
      </c>
      <c r="U89" s="275">
        <v>479930</v>
      </c>
      <c r="V89" s="275">
        <v>381781</v>
      </c>
      <c r="W89" s="275">
        <v>390220</v>
      </c>
      <c r="X89" s="275">
        <v>468874</v>
      </c>
    </row>
    <row r="90" spans="1:25" ht="14.25" thickBot="1" x14ac:dyDescent="0.3">
      <c r="A90" s="251" t="s">
        <v>5</v>
      </c>
      <c r="B90" s="273">
        <v>76830</v>
      </c>
      <c r="C90" s="273">
        <v>60900</v>
      </c>
      <c r="D90" s="273">
        <v>85690</v>
      </c>
      <c r="E90" s="273">
        <v>73923</v>
      </c>
      <c r="F90" s="273">
        <v>66322</v>
      </c>
      <c r="G90" s="273">
        <v>66915</v>
      </c>
      <c r="H90" s="273">
        <v>91391</v>
      </c>
      <c r="I90" s="273">
        <v>76945</v>
      </c>
      <c r="J90" s="273">
        <v>70496</v>
      </c>
      <c r="K90" s="273">
        <v>47663</v>
      </c>
      <c r="L90" s="273">
        <v>61806</v>
      </c>
      <c r="M90" s="273">
        <v>96540</v>
      </c>
      <c r="N90" s="273">
        <v>87320</v>
      </c>
      <c r="O90" s="273">
        <v>49207</v>
      </c>
      <c r="P90" s="273">
        <v>113257</v>
      </c>
      <c r="Q90" s="273">
        <v>91634</v>
      </c>
      <c r="R90" s="273">
        <v>100154</v>
      </c>
      <c r="S90" s="273">
        <v>74882</v>
      </c>
      <c r="T90" s="273">
        <v>105806</v>
      </c>
      <c r="U90" s="273">
        <v>143011</v>
      </c>
      <c r="V90" s="273">
        <v>104135</v>
      </c>
      <c r="W90" s="273">
        <v>74235</v>
      </c>
      <c r="X90" s="273">
        <v>132749</v>
      </c>
    </row>
    <row r="91" spans="1:25" ht="14.25" thickBot="1" x14ac:dyDescent="0.3">
      <c r="A91" s="250" t="s">
        <v>6</v>
      </c>
      <c r="B91" s="275">
        <v>72179</v>
      </c>
      <c r="C91" s="275">
        <v>76637</v>
      </c>
      <c r="D91" s="275">
        <v>84253</v>
      </c>
      <c r="E91" s="275">
        <v>84839</v>
      </c>
      <c r="F91" s="275">
        <v>83739</v>
      </c>
      <c r="G91" s="275">
        <v>77495</v>
      </c>
      <c r="H91" s="275">
        <v>91793</v>
      </c>
      <c r="I91" s="275">
        <v>99871</v>
      </c>
      <c r="J91" s="275">
        <v>89958</v>
      </c>
      <c r="K91" s="275">
        <v>42219</v>
      </c>
      <c r="L91" s="275">
        <v>81492</v>
      </c>
      <c r="M91" s="275">
        <v>162382</v>
      </c>
      <c r="N91" s="275">
        <v>87163</v>
      </c>
      <c r="O91" s="275">
        <v>51798</v>
      </c>
      <c r="P91" s="275">
        <v>148254</v>
      </c>
      <c r="Q91" s="275">
        <v>140732</v>
      </c>
      <c r="R91" s="275">
        <v>86271</v>
      </c>
      <c r="S91" s="275">
        <v>112996</v>
      </c>
      <c r="T91" s="275">
        <v>114700</v>
      </c>
      <c r="U91" s="275">
        <v>180930</v>
      </c>
      <c r="V91" s="275">
        <v>71784</v>
      </c>
      <c r="W91" s="275">
        <v>78166</v>
      </c>
      <c r="X91" s="275">
        <v>152940</v>
      </c>
    </row>
    <row r="92" spans="1:25" ht="14.25" thickBot="1" x14ac:dyDescent="0.3">
      <c r="A92" s="251" t="s">
        <v>7</v>
      </c>
      <c r="B92" s="273">
        <v>52358</v>
      </c>
      <c r="C92" s="273">
        <v>63146</v>
      </c>
      <c r="D92" s="273">
        <v>67919</v>
      </c>
      <c r="E92" s="273">
        <v>63831</v>
      </c>
      <c r="F92" s="273">
        <v>67636</v>
      </c>
      <c r="G92" s="273">
        <v>68923</v>
      </c>
      <c r="H92" s="273">
        <v>72378</v>
      </c>
      <c r="I92" s="273">
        <v>88491</v>
      </c>
      <c r="J92" s="273">
        <v>72983</v>
      </c>
      <c r="K92" s="273">
        <v>31722</v>
      </c>
      <c r="L92" s="273">
        <v>71193</v>
      </c>
      <c r="M92" s="273">
        <v>136136</v>
      </c>
      <c r="N92" s="273">
        <v>63879</v>
      </c>
      <c r="O92" s="273">
        <v>31738</v>
      </c>
      <c r="P92" s="273">
        <v>123885</v>
      </c>
      <c r="Q92" s="273">
        <v>109614</v>
      </c>
      <c r="R92" s="273">
        <v>67132</v>
      </c>
      <c r="S92" s="273">
        <v>87130</v>
      </c>
      <c r="T92" s="273">
        <v>110019</v>
      </c>
      <c r="U92" s="273">
        <v>145866</v>
      </c>
      <c r="V92" s="273">
        <v>60524</v>
      </c>
      <c r="W92" s="273">
        <v>63809</v>
      </c>
      <c r="X92" s="273">
        <v>117156</v>
      </c>
    </row>
    <row r="93" spans="1:25" ht="26.25" thickBot="1" x14ac:dyDescent="0.3">
      <c r="A93" s="252" t="s">
        <v>8</v>
      </c>
      <c r="B93" s="276">
        <v>51578</v>
      </c>
      <c r="C93" s="276">
        <v>62451</v>
      </c>
      <c r="D93" s="276">
        <v>67405</v>
      </c>
      <c r="E93" s="276">
        <v>62945</v>
      </c>
      <c r="F93" s="276">
        <v>66279</v>
      </c>
      <c r="G93" s="276">
        <v>67824</v>
      </c>
      <c r="H93" s="276">
        <v>71219</v>
      </c>
      <c r="I93" s="276">
        <v>88316</v>
      </c>
      <c r="J93" s="276">
        <v>71448</v>
      </c>
      <c r="K93" s="276">
        <v>30156</v>
      </c>
      <c r="L93" s="276">
        <v>68397</v>
      </c>
      <c r="M93" s="276">
        <v>133716</v>
      </c>
      <c r="N93" s="276">
        <v>60472</v>
      </c>
      <c r="O93" s="276">
        <v>29982</v>
      </c>
      <c r="P93" s="276">
        <v>121583</v>
      </c>
      <c r="Q93" s="276">
        <v>106367</v>
      </c>
      <c r="R93" s="276">
        <v>63088</v>
      </c>
      <c r="S93" s="276">
        <v>83369</v>
      </c>
      <c r="T93" s="276">
        <v>101845</v>
      </c>
      <c r="U93" s="276">
        <v>132625</v>
      </c>
      <c r="V93" s="276">
        <v>52154</v>
      </c>
      <c r="W93" s="276">
        <v>53700</v>
      </c>
      <c r="X93" s="276">
        <v>108358</v>
      </c>
    </row>
    <row r="94" spans="1:25" x14ac:dyDescent="0.25">
      <c r="A94" s="233" t="s">
        <v>365</v>
      </c>
      <c r="B94" s="253">
        <f>IF(B91="","",B91-B90)</f>
        <v>-4651</v>
      </c>
      <c r="C94" s="253">
        <f>IF(C91="","",C91-C90)</f>
        <v>15737</v>
      </c>
      <c r="D94" s="253">
        <f t="shared" ref="D94:Y94" si="9">IF(D91="","",D91-D90)</f>
        <v>-1437</v>
      </c>
      <c r="E94" s="253">
        <f t="shared" si="9"/>
        <v>10916</v>
      </c>
      <c r="F94" s="253">
        <f t="shared" si="9"/>
        <v>17417</v>
      </c>
      <c r="G94" s="253">
        <f t="shared" si="9"/>
        <v>10580</v>
      </c>
      <c r="H94" s="253">
        <f t="shared" si="9"/>
        <v>402</v>
      </c>
      <c r="I94" s="253">
        <f t="shared" si="9"/>
        <v>22926</v>
      </c>
      <c r="J94" s="253">
        <f t="shared" si="9"/>
        <v>19462</v>
      </c>
      <c r="K94" s="253">
        <f t="shared" si="9"/>
        <v>-5444</v>
      </c>
      <c r="L94" s="253">
        <f t="shared" si="9"/>
        <v>19686</v>
      </c>
      <c r="M94" s="253">
        <f t="shared" si="9"/>
        <v>65842</v>
      </c>
      <c r="N94" s="253">
        <f t="shared" si="9"/>
        <v>-157</v>
      </c>
      <c r="O94" s="253">
        <f t="shared" si="9"/>
        <v>2591</v>
      </c>
      <c r="P94" s="253">
        <f t="shared" si="9"/>
        <v>34997</v>
      </c>
      <c r="Q94" s="253">
        <f t="shared" si="9"/>
        <v>49098</v>
      </c>
      <c r="R94" s="253">
        <f t="shared" si="9"/>
        <v>-13883</v>
      </c>
      <c r="S94" s="253">
        <f t="shared" si="9"/>
        <v>38114</v>
      </c>
      <c r="T94" s="253">
        <f t="shared" si="9"/>
        <v>8894</v>
      </c>
      <c r="U94" s="253">
        <f t="shared" si="9"/>
        <v>37919</v>
      </c>
      <c r="V94" s="253">
        <f t="shared" si="9"/>
        <v>-32351</v>
      </c>
      <c r="W94" s="253">
        <f t="shared" si="9"/>
        <v>3931</v>
      </c>
      <c r="X94" s="253">
        <f t="shared" si="9"/>
        <v>20191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3254016</v>
      </c>
      <c r="C97" s="273">
        <v>3904749</v>
      </c>
      <c r="D97" s="273">
        <v>4535864</v>
      </c>
      <c r="E97" s="273">
        <v>5439499</v>
      </c>
      <c r="F97" s="273">
        <v>6120048</v>
      </c>
    </row>
    <row r="98" spans="1:24" ht="14.25" thickBot="1" x14ac:dyDescent="0.3">
      <c r="A98" s="225" t="s">
        <v>4</v>
      </c>
      <c r="B98" s="275">
        <v>1023060</v>
      </c>
      <c r="C98" s="275">
        <v>1165240</v>
      </c>
      <c r="D98" s="275">
        <v>1278445</v>
      </c>
      <c r="E98" s="275">
        <v>1562116</v>
      </c>
      <c r="F98" s="275">
        <v>1722183</v>
      </c>
    </row>
    <row r="99" spans="1:24" ht="14.25" thickBot="1" x14ac:dyDescent="0.3">
      <c r="A99" s="224" t="s">
        <v>5</v>
      </c>
      <c r="B99" s="273">
        <v>297343</v>
      </c>
      <c r="C99" s="273">
        <v>301573</v>
      </c>
      <c r="D99" s="273">
        <v>276505</v>
      </c>
      <c r="E99" s="273">
        <v>341418</v>
      </c>
      <c r="F99" s="273">
        <v>423853</v>
      </c>
    </row>
    <row r="100" spans="1:24" ht="14.25" thickBot="1" x14ac:dyDescent="0.3">
      <c r="A100" s="225" t="s">
        <v>6</v>
      </c>
      <c r="B100" s="275">
        <v>317908</v>
      </c>
      <c r="C100" s="275">
        <v>352898</v>
      </c>
      <c r="D100" s="275">
        <v>376051</v>
      </c>
      <c r="E100" s="275">
        <v>427947</v>
      </c>
      <c r="F100" s="275">
        <v>494897</v>
      </c>
    </row>
    <row r="101" spans="1:24" ht="14.25" thickBot="1" x14ac:dyDescent="0.3">
      <c r="A101" s="224" t="s">
        <v>7</v>
      </c>
      <c r="B101" s="273">
        <v>247254</v>
      </c>
      <c r="C101" s="273">
        <v>297428</v>
      </c>
      <c r="D101" s="273">
        <v>312034</v>
      </c>
      <c r="E101" s="273">
        <v>329116</v>
      </c>
      <c r="F101" s="273">
        <v>410147</v>
      </c>
    </row>
    <row r="102" spans="1:24" ht="14.25" thickBot="1" x14ac:dyDescent="0.3">
      <c r="A102" s="227" t="s">
        <v>8</v>
      </c>
      <c r="B102" s="276">
        <v>244379</v>
      </c>
      <c r="C102" s="276">
        <v>293638</v>
      </c>
      <c r="D102" s="276">
        <v>303717</v>
      </c>
      <c r="E102" s="276">
        <v>318404</v>
      </c>
      <c r="F102" s="276">
        <v>380927</v>
      </c>
    </row>
    <row r="103" spans="1:24" x14ac:dyDescent="0.25">
      <c r="A103" s="233" t="s">
        <v>262</v>
      </c>
      <c r="B103" s="234">
        <f>IF(OR(B102="",B102="無"),"",B102/B101)</f>
        <v>0.98837228113599784</v>
      </c>
      <c r="C103" s="234">
        <f>IF(OR(C102="",C102="無"),"",C102/C101)</f>
        <v>0.98725742028322816</v>
      </c>
      <c r="D103" s="234">
        <f>IF(OR(D102="",D102="無"),"",D102/D101)</f>
        <v>0.97334585333649537</v>
      </c>
      <c r="E103" s="234">
        <f>IF(OR(E102="",E102="無"),"",E102/E101)</f>
        <v>0.96745220530147424</v>
      </c>
      <c r="F103" s="234">
        <f>IF(OR(F102="",F102="無"),"",F102/F101)</f>
        <v>0.92875725044922919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419009</v>
      </c>
      <c r="C106" s="273">
        <v>424143</v>
      </c>
      <c r="D106" s="273">
        <v>431505</v>
      </c>
      <c r="E106" s="273">
        <v>401248</v>
      </c>
      <c r="F106" s="273">
        <v>472825</v>
      </c>
      <c r="G106" s="273">
        <v>439953</v>
      </c>
      <c r="H106" s="273">
        <v>312658</v>
      </c>
      <c r="I106" s="273">
        <v>330309</v>
      </c>
      <c r="J106" s="273">
        <v>463836</v>
      </c>
      <c r="K106" s="273">
        <v>306467</v>
      </c>
      <c r="L106" s="273">
        <v>270821</v>
      </c>
      <c r="M106" s="273">
        <v>481720</v>
      </c>
      <c r="N106" s="273">
        <v>458693</v>
      </c>
      <c r="O106" s="273">
        <v>523311</v>
      </c>
      <c r="P106" s="273">
        <v>484239</v>
      </c>
      <c r="Q106" s="273">
        <v>412427</v>
      </c>
      <c r="R106" s="273">
        <v>582407</v>
      </c>
      <c r="S106" s="273">
        <v>626210</v>
      </c>
      <c r="T106" s="273">
        <v>468578</v>
      </c>
      <c r="U106" s="273">
        <v>761323</v>
      </c>
      <c r="V106" s="273">
        <v>545637</v>
      </c>
      <c r="W106" s="273">
        <v>427026</v>
      </c>
      <c r="X106" s="273">
        <v>459598</v>
      </c>
    </row>
    <row r="107" spans="1:24" ht="14.25" thickBot="1" x14ac:dyDescent="0.3">
      <c r="A107" s="225" t="s">
        <v>22</v>
      </c>
      <c r="B107" s="275">
        <v>10971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5">
        <v>100958</v>
      </c>
      <c r="T107" s="275">
        <v>1003</v>
      </c>
      <c r="U107" s="275">
        <v>50009</v>
      </c>
      <c r="V107" s="275">
        <v>50248</v>
      </c>
      <c r="W107" s="275">
        <v>300138</v>
      </c>
      <c r="X107" s="274">
        <v>0</v>
      </c>
    </row>
    <row r="108" spans="1:24" ht="14.25" thickBot="1" x14ac:dyDescent="0.3">
      <c r="A108" s="224" t="s">
        <v>263</v>
      </c>
      <c r="B108" s="273">
        <v>431003</v>
      </c>
      <c r="C108" s="273">
        <v>407427</v>
      </c>
      <c r="D108" s="273">
        <v>449569</v>
      </c>
      <c r="E108" s="273">
        <v>532092</v>
      </c>
      <c r="F108" s="273">
        <v>495797</v>
      </c>
      <c r="G108" s="273">
        <v>594734</v>
      </c>
      <c r="H108" s="273">
        <v>659614</v>
      </c>
      <c r="I108" s="273">
        <v>823757</v>
      </c>
      <c r="J108" s="273">
        <v>632787</v>
      </c>
      <c r="K108" s="273">
        <v>724050</v>
      </c>
      <c r="L108" s="273">
        <v>869435</v>
      </c>
      <c r="M108" s="273">
        <v>970512</v>
      </c>
      <c r="N108" s="273">
        <v>761023</v>
      </c>
      <c r="O108" s="273">
        <v>873616</v>
      </c>
      <c r="P108" s="273">
        <v>843020</v>
      </c>
      <c r="Q108" s="273">
        <v>1074147</v>
      </c>
      <c r="R108" s="273">
        <v>904908</v>
      </c>
      <c r="S108" s="273">
        <v>987960</v>
      </c>
      <c r="T108" s="273">
        <v>931362</v>
      </c>
      <c r="U108" s="273">
        <v>1111804</v>
      </c>
      <c r="V108" s="273">
        <v>878029</v>
      </c>
      <c r="W108" s="273">
        <v>1020339</v>
      </c>
      <c r="X108" s="273">
        <v>1069598</v>
      </c>
    </row>
    <row r="109" spans="1:24" ht="14.25" thickBot="1" x14ac:dyDescent="0.3">
      <c r="A109" s="225" t="s">
        <v>264</v>
      </c>
      <c r="B109" s="275">
        <v>742595</v>
      </c>
      <c r="C109" s="275">
        <v>716444</v>
      </c>
      <c r="D109" s="275">
        <v>760828</v>
      </c>
      <c r="E109" s="275">
        <v>691518</v>
      </c>
      <c r="F109" s="275">
        <v>783393</v>
      </c>
      <c r="G109" s="275">
        <v>860211</v>
      </c>
      <c r="H109" s="275">
        <v>1111685</v>
      </c>
      <c r="I109" s="275">
        <v>931546</v>
      </c>
      <c r="J109" s="275">
        <v>971109</v>
      </c>
      <c r="K109" s="275">
        <v>936771</v>
      </c>
      <c r="L109" s="275">
        <v>1046260</v>
      </c>
      <c r="M109" s="275">
        <v>1028738</v>
      </c>
      <c r="N109" s="275">
        <v>1130313</v>
      </c>
      <c r="O109" s="275">
        <v>1157430</v>
      </c>
      <c r="P109" s="275">
        <v>1387738</v>
      </c>
      <c r="Q109" s="275">
        <v>1415992</v>
      </c>
      <c r="R109" s="275">
        <v>1433595</v>
      </c>
      <c r="S109" s="275">
        <v>1415652</v>
      </c>
      <c r="T109" s="275">
        <v>1370857</v>
      </c>
      <c r="U109" s="275">
        <v>1385524</v>
      </c>
      <c r="V109" s="275">
        <v>1411394</v>
      </c>
      <c r="W109" s="275">
        <v>1424532</v>
      </c>
      <c r="X109" s="275">
        <v>1800041</v>
      </c>
    </row>
    <row r="110" spans="1:24" ht="14.25" thickBot="1" x14ac:dyDescent="0.3">
      <c r="A110" s="224" t="s">
        <v>23</v>
      </c>
      <c r="B110" s="273">
        <v>113750</v>
      </c>
      <c r="C110" s="273">
        <v>123075</v>
      </c>
      <c r="D110" s="273">
        <v>137423</v>
      </c>
      <c r="E110" s="273">
        <v>99509</v>
      </c>
      <c r="F110" s="273">
        <v>79385</v>
      </c>
      <c r="G110" s="273">
        <v>108696</v>
      </c>
      <c r="H110" s="273">
        <v>82606</v>
      </c>
      <c r="I110" s="273">
        <v>60344</v>
      </c>
      <c r="J110" s="273">
        <v>77581</v>
      </c>
      <c r="K110" s="273">
        <v>86647</v>
      </c>
      <c r="L110" s="273">
        <v>115671</v>
      </c>
      <c r="M110" s="273">
        <v>107616</v>
      </c>
      <c r="N110" s="273">
        <v>152811</v>
      </c>
      <c r="O110" s="273">
        <v>129124</v>
      </c>
      <c r="P110" s="273">
        <v>155770</v>
      </c>
      <c r="Q110" s="273">
        <v>145639</v>
      </c>
      <c r="R110" s="273">
        <v>113422</v>
      </c>
      <c r="S110" s="273">
        <v>165798</v>
      </c>
      <c r="T110" s="273">
        <v>302183</v>
      </c>
      <c r="U110" s="273">
        <v>261238</v>
      </c>
      <c r="V110" s="273">
        <v>272979</v>
      </c>
      <c r="W110" s="273">
        <v>218423</v>
      </c>
      <c r="X110" s="273">
        <v>241359</v>
      </c>
    </row>
    <row r="111" spans="1:24" ht="14.25" thickBot="1" x14ac:dyDescent="0.3">
      <c r="A111" s="225" t="s">
        <v>24</v>
      </c>
      <c r="B111" s="275">
        <v>1717328</v>
      </c>
      <c r="C111" s="275">
        <v>1671089</v>
      </c>
      <c r="D111" s="275">
        <v>1779325</v>
      </c>
      <c r="E111" s="275">
        <v>1724367</v>
      </c>
      <c r="F111" s="275">
        <v>1831400</v>
      </c>
      <c r="G111" s="275">
        <v>2003594</v>
      </c>
      <c r="H111" s="275">
        <v>2166563</v>
      </c>
      <c r="I111" s="275">
        <v>2145956</v>
      </c>
      <c r="J111" s="275">
        <v>2145313</v>
      </c>
      <c r="K111" s="275">
        <v>2053935</v>
      </c>
      <c r="L111" s="275">
        <v>2302187</v>
      </c>
      <c r="M111" s="275">
        <v>2588586</v>
      </c>
      <c r="N111" s="275">
        <v>2502840</v>
      </c>
      <c r="O111" s="275">
        <v>2683481</v>
      </c>
      <c r="P111" s="275">
        <v>2870767</v>
      </c>
      <c r="Q111" s="275">
        <v>3048205</v>
      </c>
      <c r="R111" s="275">
        <v>3034332</v>
      </c>
      <c r="S111" s="275">
        <v>3296578</v>
      </c>
      <c r="T111" s="275">
        <v>3073983</v>
      </c>
      <c r="U111" s="275">
        <v>3569898</v>
      </c>
      <c r="V111" s="275">
        <v>3158287</v>
      </c>
      <c r="W111" s="275">
        <v>3390458</v>
      </c>
      <c r="X111" s="275">
        <v>3570596</v>
      </c>
    </row>
    <row r="112" spans="1:24" ht="14.25" thickBot="1" x14ac:dyDescent="0.3">
      <c r="A112" s="224" t="s">
        <v>25</v>
      </c>
      <c r="B112" s="273">
        <v>3714</v>
      </c>
      <c r="C112" s="273">
        <v>1000</v>
      </c>
      <c r="D112" s="273">
        <v>1000</v>
      </c>
      <c r="E112" s="273">
        <v>1000</v>
      </c>
      <c r="F112" s="273">
        <v>12868</v>
      </c>
      <c r="G112" s="273">
        <v>13069</v>
      </c>
      <c r="H112" s="273">
        <v>12950</v>
      </c>
      <c r="I112" s="273">
        <v>1000</v>
      </c>
      <c r="J112" s="273">
        <v>1191</v>
      </c>
      <c r="K112" s="273">
        <v>1000</v>
      </c>
      <c r="L112" s="273">
        <v>1000</v>
      </c>
      <c r="M112" s="273">
        <v>1000</v>
      </c>
      <c r="N112" s="273">
        <v>1000</v>
      </c>
      <c r="O112" s="273">
        <v>1000</v>
      </c>
      <c r="P112" s="273">
        <v>1000</v>
      </c>
      <c r="Q112" s="273">
        <v>1000</v>
      </c>
      <c r="R112" s="273">
        <v>1000</v>
      </c>
      <c r="S112" s="273">
        <v>1000</v>
      </c>
      <c r="T112" s="68">
        <v>500</v>
      </c>
      <c r="U112" s="68">
        <v>500</v>
      </c>
      <c r="V112" s="68">
        <v>500</v>
      </c>
      <c r="W112" s="68">
        <v>500</v>
      </c>
      <c r="X112" s="68">
        <v>500</v>
      </c>
    </row>
    <row r="113" spans="1:24" ht="14.25" thickBot="1" x14ac:dyDescent="0.3">
      <c r="A113" s="225" t="s">
        <v>26</v>
      </c>
      <c r="B113" s="275">
        <v>835210</v>
      </c>
      <c r="C113" s="275">
        <v>825285</v>
      </c>
      <c r="D113" s="275">
        <v>814366</v>
      </c>
      <c r="E113" s="275">
        <v>813450</v>
      </c>
      <c r="F113" s="275">
        <v>803104</v>
      </c>
      <c r="G113" s="275">
        <v>807915</v>
      </c>
      <c r="H113" s="275">
        <v>1072797</v>
      </c>
      <c r="I113" s="275">
        <v>1087238</v>
      </c>
      <c r="J113" s="275">
        <v>1096685</v>
      </c>
      <c r="K113" s="275">
        <v>1095435</v>
      </c>
      <c r="L113" s="275">
        <v>1093256</v>
      </c>
      <c r="M113" s="275">
        <v>1103385</v>
      </c>
      <c r="N113" s="275">
        <v>1091351</v>
      </c>
      <c r="O113" s="275">
        <v>1084591</v>
      </c>
      <c r="P113" s="275">
        <v>1110591</v>
      </c>
      <c r="Q113" s="275">
        <v>1157649</v>
      </c>
      <c r="R113" s="275">
        <v>1145718</v>
      </c>
      <c r="S113" s="275">
        <v>1144738</v>
      </c>
      <c r="T113" s="275">
        <v>1127187</v>
      </c>
      <c r="U113" s="275">
        <v>1114550</v>
      </c>
      <c r="V113" s="275">
        <v>1097951</v>
      </c>
      <c r="W113" s="275">
        <v>1072874</v>
      </c>
      <c r="X113" s="275">
        <v>1067676</v>
      </c>
    </row>
    <row r="114" spans="1:24" ht="14.25" thickBot="1" x14ac:dyDescent="0.3">
      <c r="A114" s="224" t="s">
        <v>27</v>
      </c>
      <c r="B114" s="273">
        <v>11194</v>
      </c>
      <c r="C114" s="273">
        <v>2752</v>
      </c>
      <c r="D114" s="273">
        <v>9834</v>
      </c>
      <c r="E114" s="273">
        <v>9408</v>
      </c>
      <c r="F114" s="273">
        <v>35842</v>
      </c>
      <c r="G114" s="273">
        <v>97986</v>
      </c>
      <c r="H114" s="273">
        <v>40990</v>
      </c>
      <c r="I114" s="273">
        <v>53176</v>
      </c>
      <c r="J114" s="273">
        <v>51393</v>
      </c>
      <c r="K114" s="273">
        <v>50421</v>
      </c>
      <c r="L114" s="273">
        <v>56034</v>
      </c>
      <c r="M114" s="273">
        <v>53456</v>
      </c>
      <c r="N114" s="273">
        <v>60634</v>
      </c>
      <c r="O114" s="273">
        <v>110458</v>
      </c>
      <c r="P114" s="273">
        <v>109586</v>
      </c>
      <c r="Q114" s="273">
        <v>80725</v>
      </c>
      <c r="R114" s="273">
        <v>88432</v>
      </c>
      <c r="S114" s="273">
        <v>74759</v>
      </c>
      <c r="T114" s="273">
        <v>72971</v>
      </c>
      <c r="U114" s="273">
        <v>135033</v>
      </c>
      <c r="V114" s="273">
        <v>130900</v>
      </c>
      <c r="W114" s="273">
        <v>147689</v>
      </c>
      <c r="X114" s="273">
        <v>150007</v>
      </c>
    </row>
    <row r="115" spans="1:24" ht="14.25" thickBot="1" x14ac:dyDescent="0.3">
      <c r="A115" s="225" t="s">
        <v>265</v>
      </c>
      <c r="B115" s="276">
        <v>2567446</v>
      </c>
      <c r="C115" s="276">
        <v>2500126</v>
      </c>
      <c r="D115" s="276">
        <v>2604525</v>
      </c>
      <c r="E115" s="276">
        <v>2548225</v>
      </c>
      <c r="F115" s="276">
        <v>2683214</v>
      </c>
      <c r="G115" s="276">
        <v>2922564</v>
      </c>
      <c r="H115" s="276">
        <v>3293300</v>
      </c>
      <c r="I115" s="276">
        <v>3287370</v>
      </c>
      <c r="J115" s="276">
        <v>3294582</v>
      </c>
      <c r="K115" s="276">
        <v>3200791</v>
      </c>
      <c r="L115" s="276">
        <v>3452477</v>
      </c>
      <c r="M115" s="276">
        <v>3746427</v>
      </c>
      <c r="N115" s="276">
        <v>3655825</v>
      </c>
      <c r="O115" s="276">
        <v>3879530</v>
      </c>
      <c r="P115" s="276">
        <v>4091944</v>
      </c>
      <c r="Q115" s="276">
        <v>4287579</v>
      </c>
      <c r="R115" s="276">
        <v>4269482</v>
      </c>
      <c r="S115" s="276">
        <v>4517075</v>
      </c>
      <c r="T115" s="276">
        <v>4274641</v>
      </c>
      <c r="U115" s="276">
        <v>4819981</v>
      </c>
      <c r="V115" s="276">
        <v>4387638</v>
      </c>
      <c r="W115" s="276">
        <v>4611521</v>
      </c>
      <c r="X115" s="276">
        <v>4788779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361896</v>
      </c>
      <c r="C118" s="273">
        <v>340000</v>
      </c>
      <c r="D118" s="273">
        <v>290000</v>
      </c>
      <c r="E118" s="273">
        <v>140000</v>
      </c>
      <c r="F118" s="273">
        <v>140000</v>
      </c>
      <c r="G118" s="273">
        <v>140000</v>
      </c>
      <c r="H118" s="273">
        <v>248370</v>
      </c>
      <c r="I118" s="273">
        <v>248753</v>
      </c>
      <c r="J118" s="273">
        <v>139553</v>
      </c>
      <c r="K118" s="273">
        <v>38750</v>
      </c>
      <c r="L118" s="273">
        <v>139538</v>
      </c>
      <c r="M118" s="273">
        <v>101252</v>
      </c>
      <c r="N118" s="273">
        <v>50685</v>
      </c>
      <c r="O118" s="273">
        <v>50090</v>
      </c>
      <c r="P118" s="273">
        <v>53157</v>
      </c>
      <c r="Q118" s="273">
        <v>42604</v>
      </c>
      <c r="R118" s="273">
        <v>131829</v>
      </c>
      <c r="S118" s="273">
        <v>56373</v>
      </c>
      <c r="T118" s="273">
        <v>54719</v>
      </c>
      <c r="U118" s="273">
        <v>55659</v>
      </c>
      <c r="V118" s="273">
        <v>52510</v>
      </c>
      <c r="W118" s="273">
        <v>39494</v>
      </c>
      <c r="X118" s="273">
        <v>140375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498066</v>
      </c>
      <c r="C120" s="273">
        <v>362340</v>
      </c>
      <c r="D120" s="273">
        <v>471924</v>
      </c>
      <c r="E120" s="273">
        <v>437307</v>
      </c>
      <c r="F120" s="273">
        <v>485201</v>
      </c>
      <c r="G120" s="273">
        <v>586097</v>
      </c>
      <c r="H120" s="273">
        <v>668615</v>
      </c>
      <c r="I120" s="273">
        <v>386168</v>
      </c>
      <c r="J120" s="273">
        <v>492113</v>
      </c>
      <c r="K120" s="273">
        <v>422271</v>
      </c>
      <c r="L120" s="273">
        <v>594935</v>
      </c>
      <c r="M120" s="273">
        <v>623795</v>
      </c>
      <c r="N120" s="273">
        <v>607104</v>
      </c>
      <c r="O120" s="273">
        <v>672323</v>
      </c>
      <c r="P120" s="273">
        <v>818573</v>
      </c>
      <c r="Q120" s="273">
        <v>835610</v>
      </c>
      <c r="R120" s="273">
        <v>661517</v>
      </c>
      <c r="S120" s="273">
        <v>891596</v>
      </c>
      <c r="T120" s="273">
        <v>716315</v>
      </c>
      <c r="U120" s="273">
        <v>1029496</v>
      </c>
      <c r="V120" s="273">
        <v>748660</v>
      </c>
      <c r="W120" s="273">
        <v>888010</v>
      </c>
      <c r="X120" s="273">
        <v>1162565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273">
        <v>6502</v>
      </c>
      <c r="I122" s="273">
        <v>1789</v>
      </c>
      <c r="J122" s="273">
        <v>1826</v>
      </c>
      <c r="K122" s="273">
        <v>1788</v>
      </c>
      <c r="L122" s="273">
        <v>1825</v>
      </c>
      <c r="M122" s="273">
        <v>257140</v>
      </c>
      <c r="N122" s="273">
        <v>253334</v>
      </c>
      <c r="O122" s="273">
        <v>222880</v>
      </c>
      <c r="P122" s="273">
        <v>224238</v>
      </c>
      <c r="Q122" s="273">
        <v>225471</v>
      </c>
      <c r="R122" s="273">
        <v>226685</v>
      </c>
      <c r="S122" s="273">
        <v>224969</v>
      </c>
      <c r="T122" s="273">
        <v>121755</v>
      </c>
      <c r="U122" s="273">
        <v>1932</v>
      </c>
      <c r="V122" s="273">
        <v>1817</v>
      </c>
      <c r="W122" s="273">
        <v>1823</v>
      </c>
      <c r="X122" s="273">
        <v>1814</v>
      </c>
    </row>
    <row r="123" spans="1:24" ht="14.25" thickBot="1" x14ac:dyDescent="0.3">
      <c r="A123" s="225" t="s">
        <v>31</v>
      </c>
      <c r="B123" s="275">
        <v>303677</v>
      </c>
      <c r="C123" s="275">
        <v>337145</v>
      </c>
      <c r="D123" s="275">
        <v>310188</v>
      </c>
      <c r="E123" s="275">
        <v>361371</v>
      </c>
      <c r="F123" s="275">
        <v>361062</v>
      </c>
      <c r="G123" s="275">
        <v>435958</v>
      </c>
      <c r="H123" s="275">
        <v>498278</v>
      </c>
      <c r="I123" s="275">
        <v>503668</v>
      </c>
      <c r="J123" s="275">
        <v>434931</v>
      </c>
      <c r="K123" s="275">
        <v>555093</v>
      </c>
      <c r="L123" s="275">
        <v>446803</v>
      </c>
      <c r="M123" s="275">
        <v>571326</v>
      </c>
      <c r="N123" s="275">
        <v>496768</v>
      </c>
      <c r="O123" s="275">
        <v>722050</v>
      </c>
      <c r="P123" s="275">
        <v>624996</v>
      </c>
      <c r="Q123" s="275">
        <v>707090</v>
      </c>
      <c r="R123" s="275">
        <v>666833</v>
      </c>
      <c r="S123" s="275">
        <v>880823</v>
      </c>
      <c r="T123" s="275">
        <v>711647</v>
      </c>
      <c r="U123" s="275">
        <v>802738</v>
      </c>
      <c r="V123" s="275">
        <v>616662</v>
      </c>
      <c r="W123" s="275">
        <v>945251</v>
      </c>
      <c r="X123" s="275">
        <v>610077</v>
      </c>
    </row>
    <row r="124" spans="1:24" ht="14.25" thickBot="1" x14ac:dyDescent="0.3">
      <c r="A124" s="224" t="s">
        <v>268</v>
      </c>
      <c r="B124" s="273">
        <v>1163639</v>
      </c>
      <c r="C124" s="273">
        <v>1039485</v>
      </c>
      <c r="D124" s="273">
        <v>1072112</v>
      </c>
      <c r="E124" s="273">
        <v>938678</v>
      </c>
      <c r="F124" s="273">
        <v>986263</v>
      </c>
      <c r="G124" s="273">
        <v>1162055</v>
      </c>
      <c r="H124" s="273">
        <v>1421765</v>
      </c>
      <c r="I124" s="273">
        <v>1140378</v>
      </c>
      <c r="J124" s="273">
        <v>1068423</v>
      </c>
      <c r="K124" s="273">
        <v>1017902</v>
      </c>
      <c r="L124" s="273">
        <v>1183101</v>
      </c>
      <c r="M124" s="273">
        <v>1553513</v>
      </c>
      <c r="N124" s="273">
        <v>1407891</v>
      </c>
      <c r="O124" s="273">
        <v>1667343</v>
      </c>
      <c r="P124" s="273">
        <v>1720964</v>
      </c>
      <c r="Q124" s="273">
        <v>1810775</v>
      </c>
      <c r="R124" s="273">
        <v>1686864</v>
      </c>
      <c r="S124" s="273">
        <v>2053761</v>
      </c>
      <c r="T124" s="273">
        <v>1604436</v>
      </c>
      <c r="U124" s="273">
        <v>1889825</v>
      </c>
      <c r="V124" s="273">
        <v>1419649</v>
      </c>
      <c r="W124" s="273">
        <v>1874578</v>
      </c>
      <c r="X124" s="273">
        <v>1914831</v>
      </c>
    </row>
    <row r="125" spans="1:24" ht="14.25" thickBot="1" x14ac:dyDescent="0.3">
      <c r="A125" s="225" t="s">
        <v>32</v>
      </c>
      <c r="B125" s="275">
        <v>258000</v>
      </c>
      <c r="C125" s="275">
        <v>258000</v>
      </c>
      <c r="D125" s="275">
        <v>258000</v>
      </c>
      <c r="E125" s="275">
        <v>258000</v>
      </c>
      <c r="F125" s="275">
        <v>330652</v>
      </c>
      <c r="G125" s="275">
        <v>335456</v>
      </c>
      <c r="H125" s="275">
        <v>377525</v>
      </c>
      <c r="I125" s="275">
        <v>486050</v>
      </c>
      <c r="J125" s="275">
        <v>401521</v>
      </c>
      <c r="K125" s="275">
        <v>393715</v>
      </c>
      <c r="L125" s="275">
        <v>391642</v>
      </c>
      <c r="M125" s="275">
        <v>152322</v>
      </c>
      <c r="N125" s="275">
        <v>148515</v>
      </c>
      <c r="O125" s="275">
        <v>120547</v>
      </c>
      <c r="P125" s="275">
        <v>148756</v>
      </c>
      <c r="Q125" s="275">
        <v>173305</v>
      </c>
      <c r="R125" s="275">
        <v>170959</v>
      </c>
      <c r="S125" s="275">
        <v>171839</v>
      </c>
      <c r="T125" s="275">
        <v>171377</v>
      </c>
      <c r="U125" s="275">
        <v>200578</v>
      </c>
      <c r="V125" s="275">
        <v>197167</v>
      </c>
      <c r="W125" s="275">
        <v>198422</v>
      </c>
      <c r="X125" s="275">
        <v>199030</v>
      </c>
    </row>
    <row r="126" spans="1:24" ht="14.25" thickBot="1" x14ac:dyDescent="0.3">
      <c r="A126" s="224" t="s">
        <v>33</v>
      </c>
      <c r="B126" s="273">
        <v>20594</v>
      </c>
      <c r="C126" s="273">
        <v>26987</v>
      </c>
      <c r="D126" s="273">
        <v>34039</v>
      </c>
      <c r="E126" s="273">
        <v>48868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1442233</v>
      </c>
      <c r="C127" s="275">
        <v>1324472</v>
      </c>
      <c r="D127" s="275">
        <v>1364151</v>
      </c>
      <c r="E127" s="275">
        <v>1245546</v>
      </c>
      <c r="F127" s="275">
        <v>1316915</v>
      </c>
      <c r="G127" s="275">
        <v>1497511</v>
      </c>
      <c r="H127" s="275">
        <v>1799290</v>
      </c>
      <c r="I127" s="275">
        <v>1626428</v>
      </c>
      <c r="J127" s="275">
        <v>1469944</v>
      </c>
      <c r="K127" s="275">
        <v>1411617</v>
      </c>
      <c r="L127" s="275">
        <v>1574743</v>
      </c>
      <c r="M127" s="275">
        <v>1705835</v>
      </c>
      <c r="N127" s="275">
        <v>1556406</v>
      </c>
      <c r="O127" s="275">
        <v>1787890</v>
      </c>
      <c r="P127" s="275">
        <v>1869720</v>
      </c>
      <c r="Q127" s="275">
        <v>1984080</v>
      </c>
      <c r="R127" s="275">
        <v>1857823</v>
      </c>
      <c r="S127" s="275">
        <v>2225600</v>
      </c>
      <c r="T127" s="275">
        <v>1775813</v>
      </c>
      <c r="U127" s="275">
        <v>2090403</v>
      </c>
      <c r="V127" s="275">
        <v>1616816</v>
      </c>
      <c r="W127" s="275">
        <v>2073000</v>
      </c>
      <c r="X127" s="275">
        <v>2113861</v>
      </c>
    </row>
    <row r="128" spans="1:24" ht="14.25" thickBot="1" x14ac:dyDescent="0.3">
      <c r="A128" s="224" t="s">
        <v>34</v>
      </c>
      <c r="B128" s="273">
        <v>1125213</v>
      </c>
      <c r="C128" s="273">
        <v>1175654</v>
      </c>
      <c r="D128" s="273">
        <v>1240374</v>
      </c>
      <c r="E128" s="273">
        <v>1302679</v>
      </c>
      <c r="F128" s="273">
        <v>1366299</v>
      </c>
      <c r="G128" s="273">
        <v>1425053</v>
      </c>
      <c r="H128" s="273">
        <v>1494010</v>
      </c>
      <c r="I128" s="273">
        <v>1660942</v>
      </c>
      <c r="J128" s="273">
        <v>1824638</v>
      </c>
      <c r="K128" s="273">
        <v>1789174</v>
      </c>
      <c r="L128" s="273">
        <v>1877734</v>
      </c>
      <c r="M128" s="273">
        <v>2040592</v>
      </c>
      <c r="N128" s="273">
        <v>2099419</v>
      </c>
      <c r="O128" s="273">
        <v>2091640</v>
      </c>
      <c r="P128" s="273">
        <v>2222224</v>
      </c>
      <c r="Q128" s="273">
        <v>2303499</v>
      </c>
      <c r="R128" s="273">
        <v>2411659</v>
      </c>
      <c r="S128" s="273">
        <v>2291475</v>
      </c>
      <c r="T128" s="273">
        <v>2498828</v>
      </c>
      <c r="U128" s="273">
        <v>2729578</v>
      </c>
      <c r="V128" s="273">
        <v>2770822</v>
      </c>
      <c r="W128" s="273">
        <v>2538521</v>
      </c>
      <c r="X128" s="273">
        <v>2674918</v>
      </c>
    </row>
    <row r="129" spans="1:24" ht="14.25" thickBot="1" x14ac:dyDescent="0.3">
      <c r="A129" s="225" t="s">
        <v>35</v>
      </c>
      <c r="B129" s="276">
        <v>2567446</v>
      </c>
      <c r="C129" s="276">
        <v>2500126</v>
      </c>
      <c r="D129" s="276">
        <v>2604525</v>
      </c>
      <c r="E129" s="276">
        <v>2548225</v>
      </c>
      <c r="F129" s="276">
        <v>2683214</v>
      </c>
      <c r="G129" s="276">
        <v>2922564</v>
      </c>
      <c r="H129" s="276">
        <v>3293300</v>
      </c>
      <c r="I129" s="276">
        <v>3287370</v>
      </c>
      <c r="J129" s="276">
        <v>3294582</v>
      </c>
      <c r="K129" s="276">
        <v>3200791</v>
      </c>
      <c r="L129" s="276">
        <v>3452477</v>
      </c>
      <c r="M129" s="276">
        <v>3746427</v>
      </c>
      <c r="N129" s="276">
        <v>3655825</v>
      </c>
      <c r="O129" s="276">
        <v>3879530</v>
      </c>
      <c r="P129" s="276">
        <v>4091944</v>
      </c>
      <c r="Q129" s="276">
        <v>4287579</v>
      </c>
      <c r="R129" s="276">
        <v>4269482</v>
      </c>
      <c r="S129" s="276">
        <v>4517075</v>
      </c>
      <c r="T129" s="276">
        <v>4274641</v>
      </c>
      <c r="U129" s="276">
        <v>4819981</v>
      </c>
      <c r="V129" s="276">
        <v>4387638</v>
      </c>
      <c r="W129" s="276">
        <v>4611521</v>
      </c>
      <c r="X129" s="276">
        <v>4788779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6.2</v>
      </c>
      <c r="C132" s="68">
        <v>-0.03</v>
      </c>
      <c r="D132" s="68">
        <v>5.31</v>
      </c>
      <c r="E132" s="68">
        <v>3.31</v>
      </c>
      <c r="F132" s="68">
        <v>7.48</v>
      </c>
    </row>
    <row r="133" spans="1:24" ht="14.25" thickBot="1" x14ac:dyDescent="0.3">
      <c r="A133" s="225" t="s">
        <v>37</v>
      </c>
      <c r="B133" s="274">
        <v>-1.71</v>
      </c>
      <c r="C133" s="274">
        <v>-4.41</v>
      </c>
      <c r="D133" s="274">
        <v>-0.96</v>
      </c>
      <c r="E133" s="274">
        <v>-1.76</v>
      </c>
      <c r="F133" s="274">
        <v>-1.67</v>
      </c>
    </row>
    <row r="134" spans="1:24" ht="14.25" thickBot="1" x14ac:dyDescent="0.3">
      <c r="A134" s="224" t="s">
        <v>38</v>
      </c>
      <c r="B134" s="68">
        <v>-3.11</v>
      </c>
      <c r="C134" s="68">
        <v>3.2</v>
      </c>
      <c r="D134" s="68">
        <v>-2.85</v>
      </c>
      <c r="E134" s="68">
        <v>-2.0499999999999998</v>
      </c>
      <c r="F134" s="68">
        <v>-1.92</v>
      </c>
    </row>
    <row r="135" spans="1:24" ht="14.25" thickBot="1" x14ac:dyDescent="0.3">
      <c r="A135" s="225" t="s">
        <v>270</v>
      </c>
      <c r="B135" s="274">
        <v>4.49</v>
      </c>
      <c r="C135" s="274">
        <v>-4.4400000000000004</v>
      </c>
      <c r="D135" s="274">
        <v>4.3600000000000003</v>
      </c>
      <c r="E135" s="274">
        <v>1.55</v>
      </c>
      <c r="F135" s="274">
        <v>5.81</v>
      </c>
    </row>
    <row r="136" spans="1:24" ht="14.25" thickBot="1" x14ac:dyDescent="0.3">
      <c r="A136" s="229" t="s">
        <v>39</v>
      </c>
      <c r="B136" s="72">
        <v>1.39</v>
      </c>
      <c r="C136" s="72">
        <v>-1.24</v>
      </c>
      <c r="D136" s="72">
        <v>1.5</v>
      </c>
      <c r="E136" s="72">
        <v>-0.5</v>
      </c>
      <c r="F136" s="72">
        <v>3.89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借錢配息?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0.99</v>
      </c>
      <c r="C140" s="68">
        <v>1.46</v>
      </c>
      <c r="D140" s="68">
        <v>1.5</v>
      </c>
      <c r="E140" s="68">
        <v>1.97</v>
      </c>
      <c r="F140" s="68">
        <v>3</v>
      </c>
    </row>
    <row r="141" spans="1:24" ht="14.25" thickBot="1" x14ac:dyDescent="0.3">
      <c r="A141" s="227" t="s">
        <v>1</v>
      </c>
      <c r="B141" s="73">
        <v>0.99</v>
      </c>
      <c r="C141" s="73">
        <v>0.68</v>
      </c>
      <c r="D141" s="73">
        <v>0.5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0.27808988764044945</v>
      </c>
      <c r="C142" s="234">
        <f>IF(C140&lt;&gt;"無",IF(ISNA(HLOOKUP(C139,$B$64:$F$69,6,FALSE)),"",C140/HLOOKUP(C139,$B$64:$F$69,6,FALSE)),"")</f>
        <v>0.37340153452685421</v>
      </c>
      <c r="D142" s="234">
        <f>IF(D140&lt;&gt;"無",IF(ISNA(HLOOKUP(D139,$B$64:$F$69,6,FALSE)),"",D140/HLOOKUP(D139,$B$64:$F$69,6,FALSE)),"")</f>
        <v>0.42735042735042739</v>
      </c>
      <c r="E142" s="234">
        <f>IF(E140&lt;&gt;"無",IF(ISNA(HLOOKUP(E139,$B$64:$F$69,6,FALSE)),"",E140/HLOOKUP(E139,$B$64:$F$69,6,FALSE)),"")</f>
        <v>0.58982035928143706</v>
      </c>
      <c r="F142" s="234">
        <f>IF(F140&lt;&gt;"無",IF(ISNA(HLOOKUP(F139,$B$64:$F$69,6,FALSE)),"",F140/HLOOKUP(F139,$B$64:$F$69,6,FALSE)),"")</f>
        <v>0.77922077922077926</v>
      </c>
    </row>
    <row r="143" spans="1:24" x14ac:dyDescent="0.25">
      <c r="A143" s="233" t="s">
        <v>216</v>
      </c>
      <c r="B143" s="234">
        <f>IF(OR(B140=0,B140="無"),"",B135/B140)</f>
        <v>4.5353535353535355</v>
      </c>
      <c r="C143" s="234">
        <f>IF(OR(C140=0,C140="無"),"",C135/C140)</f>
        <v>-3.0410958904109591</v>
      </c>
      <c r="D143" s="234">
        <f>IF(OR(D140=0,D140="無"),"",D135/D140)</f>
        <v>2.9066666666666667</v>
      </c>
      <c r="E143" s="234">
        <f>IF(OR(E140=0,E140="無"),"",E135/E140)</f>
        <v>0.78680203045685282</v>
      </c>
      <c r="F143" s="234">
        <f>IF(OR(F140=0,F140="無"),"",F135/F140)</f>
        <v>1.9366666666666665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30.84</v>
      </c>
      <c r="C146" s="68">
        <v>30.37</v>
      </c>
      <c r="D146" s="68">
        <v>32.17</v>
      </c>
      <c r="E146" s="68">
        <v>32.14</v>
      </c>
      <c r="F146" s="68">
        <v>31.12</v>
      </c>
      <c r="G146" s="68">
        <v>30.48</v>
      </c>
      <c r="H146" s="68">
        <v>30.94</v>
      </c>
      <c r="I146" s="68">
        <v>27.78</v>
      </c>
      <c r="J146" s="68">
        <v>28.76</v>
      </c>
      <c r="K146" s="68">
        <v>26.77</v>
      </c>
      <c r="L146" s="68">
        <v>26.48</v>
      </c>
      <c r="M146" s="68">
        <v>30.22</v>
      </c>
      <c r="N146" s="68">
        <v>30.12</v>
      </c>
      <c r="O146" s="68">
        <v>25.19</v>
      </c>
      <c r="P146" s="68">
        <v>30.88</v>
      </c>
      <c r="Q146" s="68">
        <v>28.72</v>
      </c>
      <c r="R146" s="68">
        <v>29.05</v>
      </c>
      <c r="S146" s="68">
        <v>26.21</v>
      </c>
      <c r="T146" s="68">
        <v>29.41</v>
      </c>
      <c r="U146" s="68">
        <v>28.11</v>
      </c>
      <c r="V146" s="68">
        <v>27.25</v>
      </c>
      <c r="W146" s="68">
        <v>25.68</v>
      </c>
      <c r="X146" s="68">
        <v>28.66</v>
      </c>
    </row>
    <row r="147" spans="1:24" s="93" customFormat="1" ht="14.25" thickBot="1" x14ac:dyDescent="0.3">
      <c r="A147" s="225" t="s">
        <v>19</v>
      </c>
      <c r="B147" s="274">
        <v>9.9700000000000006</v>
      </c>
      <c r="C147" s="274">
        <v>8.3000000000000007</v>
      </c>
      <c r="D147" s="274">
        <v>10.71</v>
      </c>
      <c r="E147" s="274">
        <v>7.79</v>
      </c>
      <c r="F147" s="274">
        <v>8.1</v>
      </c>
      <c r="G147" s="274">
        <v>7.3</v>
      </c>
      <c r="H147" s="274">
        <v>8.93</v>
      </c>
      <c r="I147" s="274">
        <v>6.71</v>
      </c>
      <c r="J147" s="274">
        <v>6.98</v>
      </c>
      <c r="K147" s="274">
        <v>4.5199999999999996</v>
      </c>
      <c r="L147" s="274">
        <v>5.6</v>
      </c>
      <c r="M147" s="274">
        <v>7.06</v>
      </c>
      <c r="N147" s="274">
        <v>7.42</v>
      </c>
      <c r="O147" s="274">
        <v>3.79</v>
      </c>
      <c r="P147" s="274">
        <v>8.32</v>
      </c>
      <c r="Q147" s="274">
        <v>5.72</v>
      </c>
      <c r="R147" s="274">
        <v>7.22</v>
      </c>
      <c r="S147" s="274">
        <v>4.74</v>
      </c>
      <c r="T147" s="274">
        <v>7.31</v>
      </c>
      <c r="U147" s="274">
        <v>8.3800000000000008</v>
      </c>
      <c r="V147" s="274">
        <v>7.43</v>
      </c>
      <c r="W147" s="274">
        <v>4.88</v>
      </c>
      <c r="X147" s="274">
        <v>8.1199999999999992</v>
      </c>
    </row>
    <row r="148" spans="1:24" s="93" customFormat="1" ht="14.25" thickBot="1" x14ac:dyDescent="0.3">
      <c r="A148" s="224" t="s">
        <v>41</v>
      </c>
      <c r="B148" s="68">
        <v>9.3699999999999992</v>
      </c>
      <c r="C148" s="68">
        <v>10.44</v>
      </c>
      <c r="D148" s="68">
        <v>10.53</v>
      </c>
      <c r="E148" s="68">
        <v>8.94</v>
      </c>
      <c r="F148" s="68">
        <v>10.23</v>
      </c>
      <c r="G148" s="68">
        <v>8.4600000000000009</v>
      </c>
      <c r="H148" s="68">
        <v>8.9700000000000006</v>
      </c>
      <c r="I148" s="68">
        <v>8.7100000000000009</v>
      </c>
      <c r="J148" s="68">
        <v>8.91</v>
      </c>
      <c r="K148" s="68">
        <v>4.01</v>
      </c>
      <c r="L148" s="68">
        <v>7.38</v>
      </c>
      <c r="M148" s="68">
        <v>11.87</v>
      </c>
      <c r="N148" s="68">
        <v>7.41</v>
      </c>
      <c r="O148" s="68">
        <v>3.99</v>
      </c>
      <c r="P148" s="68">
        <v>10.88</v>
      </c>
      <c r="Q148" s="68">
        <v>8.7899999999999991</v>
      </c>
      <c r="R148" s="68">
        <v>6.22</v>
      </c>
      <c r="S148" s="68">
        <v>7.15</v>
      </c>
      <c r="T148" s="68">
        <v>7.93</v>
      </c>
      <c r="U148" s="68">
        <v>10.6</v>
      </c>
      <c r="V148" s="68">
        <v>5.12</v>
      </c>
      <c r="W148" s="68">
        <v>5.14</v>
      </c>
      <c r="X148" s="68">
        <v>9.35</v>
      </c>
    </row>
    <row r="149" spans="1:24" s="93" customFormat="1" ht="14.25" thickBot="1" x14ac:dyDescent="0.3">
      <c r="A149" s="225" t="s">
        <v>13</v>
      </c>
      <c r="B149" s="73">
        <v>6.8</v>
      </c>
      <c r="C149" s="73">
        <v>8.6</v>
      </c>
      <c r="D149" s="73">
        <v>8.49</v>
      </c>
      <c r="E149" s="73">
        <v>6.72</v>
      </c>
      <c r="F149" s="73">
        <v>8.26</v>
      </c>
      <c r="G149" s="73">
        <v>7.52</v>
      </c>
      <c r="H149" s="73">
        <v>7.07</v>
      </c>
      <c r="I149" s="73">
        <v>7.72</v>
      </c>
      <c r="J149" s="73">
        <v>7.23</v>
      </c>
      <c r="K149" s="73">
        <v>3.01</v>
      </c>
      <c r="L149" s="73">
        <v>6.45</v>
      </c>
      <c r="M149" s="73">
        <v>9.9499999999999993</v>
      </c>
      <c r="N149" s="73">
        <v>5.43</v>
      </c>
      <c r="O149" s="73">
        <v>2.44</v>
      </c>
      <c r="P149" s="73">
        <v>9.1</v>
      </c>
      <c r="Q149" s="73">
        <v>6.84</v>
      </c>
      <c r="R149" s="73">
        <v>4.84</v>
      </c>
      <c r="S149" s="73">
        <v>5.52</v>
      </c>
      <c r="T149" s="73">
        <v>7.61</v>
      </c>
      <c r="U149" s="73">
        <v>8.5399999999999991</v>
      </c>
      <c r="V149" s="73">
        <v>4.32</v>
      </c>
      <c r="W149" s="73">
        <v>4.2</v>
      </c>
      <c r="X149" s="73">
        <v>7.16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31.44</v>
      </c>
      <c r="C152" s="68">
        <v>29.84</v>
      </c>
      <c r="D152" s="68">
        <v>28.19</v>
      </c>
      <c r="E152" s="68">
        <v>28.72</v>
      </c>
      <c r="F152" s="68">
        <v>28.14</v>
      </c>
    </row>
    <row r="153" spans="1:24" s="93" customFormat="1" ht="14.25" thickBot="1" x14ac:dyDescent="0.3">
      <c r="A153" s="225" t="s">
        <v>19</v>
      </c>
      <c r="B153" s="274">
        <v>9.14</v>
      </c>
      <c r="C153" s="274">
        <v>7.72</v>
      </c>
      <c r="D153" s="274">
        <v>6.1</v>
      </c>
      <c r="E153" s="274">
        <v>6.28</v>
      </c>
      <c r="F153" s="274">
        <v>6.93</v>
      </c>
    </row>
    <row r="154" spans="1:24" s="93" customFormat="1" ht="14.25" thickBot="1" x14ac:dyDescent="0.3">
      <c r="A154" s="224" t="s">
        <v>41</v>
      </c>
      <c r="B154" s="68">
        <v>9.77</v>
      </c>
      <c r="C154" s="68">
        <v>9.0399999999999991</v>
      </c>
      <c r="D154" s="68">
        <v>8.2899999999999991</v>
      </c>
      <c r="E154" s="68">
        <v>7.87</v>
      </c>
      <c r="F154" s="68">
        <v>8.09</v>
      </c>
    </row>
    <row r="155" spans="1:24" s="93" customFormat="1" ht="14.25" thickBot="1" x14ac:dyDescent="0.3">
      <c r="A155" s="225" t="s">
        <v>13</v>
      </c>
      <c r="B155" s="73">
        <v>7.6</v>
      </c>
      <c r="C155" s="73">
        <v>7.62</v>
      </c>
      <c r="D155" s="73">
        <v>6.88</v>
      </c>
      <c r="E155" s="73">
        <v>6.05</v>
      </c>
      <c r="F155" s="73">
        <v>6.7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2.16</v>
      </c>
      <c r="C158" s="68">
        <v>2.56</v>
      </c>
      <c r="D158" s="68">
        <v>2.73</v>
      </c>
      <c r="E158" s="68">
        <v>2.5299999999999998</v>
      </c>
      <c r="F158" s="68">
        <v>2.63</v>
      </c>
      <c r="G158" s="68">
        <v>2.5099999999999998</v>
      </c>
      <c r="H158" s="68">
        <v>2.39</v>
      </c>
      <c r="I158" s="68">
        <v>2.76</v>
      </c>
      <c r="J158" s="68">
        <v>2.29</v>
      </c>
      <c r="K158" s="68">
        <v>1.02</v>
      </c>
      <c r="L158" s="68">
        <v>2.19</v>
      </c>
      <c r="M158" s="68">
        <v>3.83</v>
      </c>
      <c r="N158" s="68">
        <v>1.77</v>
      </c>
      <c r="O158" s="68">
        <v>0.87</v>
      </c>
      <c r="P158" s="68">
        <v>3.15</v>
      </c>
      <c r="Q158" s="68">
        <v>2.66</v>
      </c>
      <c r="R158" s="68">
        <v>1.61</v>
      </c>
      <c r="S158" s="68">
        <v>2.02</v>
      </c>
      <c r="T158" s="68">
        <v>2.5499999999999998</v>
      </c>
      <c r="U158" s="68">
        <v>3.23</v>
      </c>
      <c r="V158" s="68">
        <v>1.33</v>
      </c>
      <c r="W158" s="68">
        <v>1.44</v>
      </c>
      <c r="X158" s="68">
        <v>2.5099999999999998</v>
      </c>
    </row>
    <row r="159" spans="1:24" s="93" customFormat="1" ht="14.25" thickBot="1" x14ac:dyDescent="0.3">
      <c r="A159" s="225" t="s">
        <v>45</v>
      </c>
      <c r="B159" s="73">
        <v>4.78</v>
      </c>
      <c r="C159" s="73">
        <v>5.49</v>
      </c>
      <c r="D159" s="73">
        <v>5.62</v>
      </c>
      <c r="E159" s="73">
        <v>5.0199999999999996</v>
      </c>
      <c r="F159" s="73">
        <v>5.07</v>
      </c>
      <c r="G159" s="73">
        <v>4.9400000000000004</v>
      </c>
      <c r="H159" s="73">
        <v>4.96</v>
      </c>
      <c r="I159" s="73">
        <v>5.61</v>
      </c>
      <c r="J159" s="73">
        <v>4.1900000000000004</v>
      </c>
      <c r="K159" s="73">
        <v>1.76</v>
      </c>
      <c r="L159" s="73">
        <v>3.88</v>
      </c>
      <c r="M159" s="73">
        <v>6.95</v>
      </c>
      <c r="N159" s="73">
        <v>3.09</v>
      </c>
      <c r="O159" s="73">
        <v>1.51</v>
      </c>
      <c r="P159" s="73">
        <v>5.74</v>
      </c>
      <c r="Q159" s="73">
        <v>4.84</v>
      </c>
      <c r="R159" s="73">
        <v>2.85</v>
      </c>
      <c r="S159" s="73">
        <v>3.71</v>
      </c>
      <c r="T159" s="73">
        <v>4.59</v>
      </c>
      <c r="U159" s="73">
        <v>5.58</v>
      </c>
      <c r="V159" s="73">
        <v>2.2000000000000002</v>
      </c>
      <c r="W159" s="73">
        <v>2.4</v>
      </c>
      <c r="X159" s="73">
        <v>4.49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7.6</v>
      </c>
      <c r="C162" s="68">
        <v>7.62</v>
      </c>
      <c r="D162" s="68">
        <v>6.88</v>
      </c>
      <c r="E162" s="68">
        <v>6.05</v>
      </c>
      <c r="F162" s="68">
        <v>6.7</v>
      </c>
    </row>
    <row r="163" spans="1:72" s="93" customFormat="1" ht="14.25" thickBot="1" x14ac:dyDescent="0.3">
      <c r="A163" s="225" t="s">
        <v>18</v>
      </c>
      <c r="B163" s="274">
        <v>1.28</v>
      </c>
      <c r="C163" s="274">
        <v>1.19</v>
      </c>
      <c r="D163" s="274">
        <v>1.21</v>
      </c>
      <c r="E163" s="274">
        <v>1.27</v>
      </c>
      <c r="F163" s="274">
        <v>1.27</v>
      </c>
    </row>
    <row r="164" spans="1:72" s="93" customFormat="1" ht="14.25" thickBot="1" x14ac:dyDescent="0.3">
      <c r="A164" s="224" t="s">
        <v>15</v>
      </c>
      <c r="B164" s="68">
        <v>1.96</v>
      </c>
      <c r="C164" s="68">
        <v>1.98</v>
      </c>
      <c r="D164" s="68">
        <v>1.84</v>
      </c>
      <c r="E164" s="68">
        <v>1.86</v>
      </c>
      <c r="F164" s="68">
        <v>1.77</v>
      </c>
    </row>
    <row r="165" spans="1:72" s="93" customFormat="1" ht="14.25" thickBot="1" x14ac:dyDescent="0.3">
      <c r="A165" s="225" t="s">
        <v>45</v>
      </c>
      <c r="B165" s="73">
        <v>20.86</v>
      </c>
      <c r="C165" s="73">
        <v>20.07</v>
      </c>
      <c r="D165" s="73">
        <v>16.86</v>
      </c>
      <c r="E165" s="73">
        <v>15.15</v>
      </c>
      <c r="F165" s="73">
        <v>16.3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51.43</v>
      </c>
      <c r="C168" s="68">
        <v>51.43</v>
      </c>
      <c r="D168" s="68">
        <v>48.13</v>
      </c>
      <c r="E168" s="68">
        <v>46.63</v>
      </c>
      <c r="F168" s="68">
        <v>56.6</v>
      </c>
      <c r="G168" s="68">
        <v>53.57</v>
      </c>
      <c r="H168" s="68">
        <v>55.21</v>
      </c>
      <c r="I168" s="68">
        <v>58.06</v>
      </c>
      <c r="J168" s="68">
        <v>64.75</v>
      </c>
      <c r="K168" s="68">
        <v>58.06</v>
      </c>
      <c r="L168" s="68">
        <v>64.75</v>
      </c>
      <c r="M168" s="68">
        <v>60.4</v>
      </c>
      <c r="N168" s="68">
        <v>66.180000000000007</v>
      </c>
      <c r="O168" s="68">
        <v>56.6</v>
      </c>
      <c r="P168" s="68">
        <v>56.6</v>
      </c>
      <c r="Q168" s="68">
        <v>53.89</v>
      </c>
      <c r="R168" s="68">
        <v>64.290000000000006</v>
      </c>
      <c r="S168" s="68">
        <v>53.89</v>
      </c>
      <c r="T168" s="68">
        <v>59.6</v>
      </c>
      <c r="U168" s="68">
        <v>53.89</v>
      </c>
      <c r="V168" s="68">
        <v>63.83</v>
      </c>
      <c r="W168" s="68">
        <v>56.25</v>
      </c>
      <c r="X168" s="68">
        <v>57.32</v>
      </c>
    </row>
    <row r="169" spans="1:72" s="93" customFormat="1" ht="14.25" thickBot="1" x14ac:dyDescent="0.3">
      <c r="A169" s="225" t="s">
        <v>17</v>
      </c>
      <c r="B169" s="274">
        <v>121.62</v>
      </c>
      <c r="C169" s="274">
        <v>128.57</v>
      </c>
      <c r="D169" s="274">
        <v>123.29</v>
      </c>
      <c r="E169" s="274">
        <v>101.12</v>
      </c>
      <c r="F169" s="274">
        <v>118.42</v>
      </c>
      <c r="G169" s="274">
        <v>115.38</v>
      </c>
      <c r="H169" s="274">
        <v>125</v>
      </c>
      <c r="I169" s="274">
        <v>111.11</v>
      </c>
      <c r="J169" s="274">
        <v>118.42</v>
      </c>
      <c r="K169" s="274">
        <v>111.11</v>
      </c>
      <c r="L169" s="274">
        <v>109.76</v>
      </c>
      <c r="M169" s="274">
        <v>97.83</v>
      </c>
      <c r="N169" s="274">
        <v>118.42</v>
      </c>
      <c r="O169" s="274">
        <v>105.88</v>
      </c>
      <c r="P169" s="274">
        <v>121.62</v>
      </c>
      <c r="Q169" s="274">
        <v>111.11</v>
      </c>
      <c r="R169" s="274">
        <v>130.43</v>
      </c>
      <c r="S169" s="274">
        <v>109.76</v>
      </c>
      <c r="T169" s="274">
        <v>123.29</v>
      </c>
      <c r="U169" s="274">
        <v>101.12</v>
      </c>
      <c r="V169" s="274">
        <v>123.29</v>
      </c>
      <c r="W169" s="274">
        <v>112.5</v>
      </c>
      <c r="X169" s="274">
        <v>125</v>
      </c>
    </row>
    <row r="170" spans="1:72" s="93" customFormat="1" ht="14.25" thickBot="1" x14ac:dyDescent="0.3">
      <c r="A170" s="224" t="s">
        <v>42</v>
      </c>
      <c r="B170" s="72">
        <v>173.05</v>
      </c>
      <c r="C170" s="72">
        <v>180</v>
      </c>
      <c r="D170" s="72">
        <v>171.42</v>
      </c>
      <c r="E170" s="72">
        <v>147.76</v>
      </c>
      <c r="F170" s="72">
        <v>175.02</v>
      </c>
      <c r="G170" s="72">
        <v>168.96</v>
      </c>
      <c r="H170" s="72">
        <v>180.21</v>
      </c>
      <c r="I170" s="72">
        <v>169.18</v>
      </c>
      <c r="J170" s="72">
        <v>183.17</v>
      </c>
      <c r="K170" s="72">
        <v>169.18</v>
      </c>
      <c r="L170" s="72">
        <v>174.5</v>
      </c>
      <c r="M170" s="72">
        <v>158.22999999999999</v>
      </c>
      <c r="N170" s="72">
        <v>184.6</v>
      </c>
      <c r="O170" s="72">
        <v>162.49</v>
      </c>
      <c r="P170" s="72">
        <v>178.23</v>
      </c>
      <c r="Q170" s="72">
        <v>165</v>
      </c>
      <c r="R170" s="72">
        <v>194.72</v>
      </c>
      <c r="S170" s="72">
        <v>163.65</v>
      </c>
      <c r="T170" s="72">
        <v>182.89</v>
      </c>
      <c r="U170" s="72">
        <v>155.02000000000001</v>
      </c>
      <c r="V170" s="72">
        <v>187.12</v>
      </c>
      <c r="W170" s="72">
        <v>168.75</v>
      </c>
      <c r="X170" s="72">
        <v>182.32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175.51</v>
      </c>
      <c r="C173" s="72">
        <v>-0.67</v>
      </c>
      <c r="D173" s="72">
        <v>151.78</v>
      </c>
      <c r="E173" s="72">
        <v>97.2</v>
      </c>
      <c r="F173" s="72">
        <v>181.37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15.58</v>
      </c>
      <c r="C176" s="72">
        <v>18.59</v>
      </c>
      <c r="D176" s="72">
        <v>22.85</v>
      </c>
      <c r="E176" s="72">
        <v>15.46</v>
      </c>
      <c r="F176" s="72">
        <v>11.74</v>
      </c>
      <c r="G176" s="72">
        <v>9.9600000000000009</v>
      </c>
      <c r="H176" s="72">
        <v>10.74</v>
      </c>
      <c r="I176" s="72">
        <v>10.99</v>
      </c>
      <c r="J176" s="72">
        <v>10.79</v>
      </c>
      <c r="K176" s="72">
        <v>10.61</v>
      </c>
      <c r="L176" s="72">
        <v>9.74</v>
      </c>
      <c r="M176" s="72">
        <v>10.63</v>
      </c>
      <c r="N176" s="72">
        <v>10.8</v>
      </c>
      <c r="O176" s="72">
        <v>10.59</v>
      </c>
      <c r="P176" s="72">
        <v>10.32</v>
      </c>
      <c r="Q176" s="72">
        <v>9.67</v>
      </c>
      <c r="R176" s="72">
        <v>9.76</v>
      </c>
      <c r="S176" s="72">
        <v>10.54</v>
      </c>
      <c r="T176" s="72">
        <v>11.94</v>
      </c>
      <c r="U176" s="72">
        <v>13.56</v>
      </c>
      <c r="V176" s="72">
        <v>12.69</v>
      </c>
      <c r="W176" s="72">
        <v>13.69</v>
      </c>
      <c r="X176" s="72">
        <v>15.03</v>
      </c>
      <c r="Y176" s="72">
        <v>16.690000000000001</v>
      </c>
      <c r="Z176" s="72">
        <v>15.66</v>
      </c>
      <c r="AA176" s="72">
        <v>16.04</v>
      </c>
      <c r="AB176" s="72">
        <v>15.99</v>
      </c>
      <c r="AC176" s="72">
        <v>14.51</v>
      </c>
      <c r="AD176" s="72">
        <v>13.22</v>
      </c>
      <c r="AE176" s="72">
        <v>13.34</v>
      </c>
      <c r="AF176" s="72">
        <v>12.65</v>
      </c>
      <c r="AG176" s="72">
        <v>11.33</v>
      </c>
      <c r="AH176" s="72">
        <v>10.68</v>
      </c>
      <c r="AI176" s="72">
        <v>11.37</v>
      </c>
      <c r="AJ176" s="72">
        <v>12.58</v>
      </c>
      <c r="AK176" s="72">
        <v>14.38</v>
      </c>
      <c r="AL176" s="72">
        <v>15.26</v>
      </c>
      <c r="AM176" s="72">
        <v>15.55</v>
      </c>
      <c r="AN176" s="72">
        <v>14.15</v>
      </c>
      <c r="AO176" s="72">
        <v>14.22</v>
      </c>
      <c r="AP176" s="72">
        <v>13.13</v>
      </c>
      <c r="AQ176" s="72">
        <v>14.13</v>
      </c>
      <c r="AR176" s="72">
        <v>12.58</v>
      </c>
      <c r="AS176" s="72">
        <v>9.9600000000000009</v>
      </c>
      <c r="AT176" s="72">
        <v>11.18</v>
      </c>
      <c r="AU176" s="72">
        <v>12.46</v>
      </c>
      <c r="AV176" s="72">
        <v>12.01</v>
      </c>
      <c r="AW176" s="72">
        <v>11.88</v>
      </c>
      <c r="AX176" s="72">
        <v>10.75</v>
      </c>
      <c r="AY176" s="72">
        <v>11.1</v>
      </c>
      <c r="AZ176" s="72">
        <v>12.28</v>
      </c>
      <c r="BA176" s="72">
        <v>12.02</v>
      </c>
      <c r="BB176" s="72">
        <v>11.84</v>
      </c>
      <c r="BC176" s="72">
        <v>13.1</v>
      </c>
      <c r="BD176" s="72">
        <v>14.12</v>
      </c>
      <c r="BE176" s="72">
        <v>11.27</v>
      </c>
      <c r="BF176" s="72">
        <v>11.16</v>
      </c>
      <c r="BG176" s="72">
        <v>11.56</v>
      </c>
      <c r="BH176" s="72">
        <v>12.18</v>
      </c>
      <c r="BI176" s="72">
        <v>11.97</v>
      </c>
      <c r="BJ176" s="72">
        <v>12.15</v>
      </c>
      <c r="BK176" s="72">
        <v>12.4</v>
      </c>
      <c r="BL176" s="72">
        <v>11.88</v>
      </c>
      <c r="BM176" s="72">
        <v>12.38</v>
      </c>
      <c r="BN176" s="72">
        <v>12.56</v>
      </c>
      <c r="BO176" s="72">
        <v>12.58</v>
      </c>
      <c r="BP176" s="72">
        <v>12.54</v>
      </c>
      <c r="BQ176" s="72">
        <v>12.92</v>
      </c>
      <c r="BR176" s="72">
        <v>13.04</v>
      </c>
      <c r="BS176" s="72">
        <v>13.43</v>
      </c>
      <c r="BT176" s="72">
        <v>13.2</v>
      </c>
    </row>
  </sheetData>
  <phoneticPr fontId="3" type="noConversion"/>
  <conditionalFormatting sqref="E4">
    <cfRule type="cellIs" dxfId="2099" priority="103" operator="greaterThan">
      <formula>0.2</formula>
    </cfRule>
    <cfRule type="cellIs" dxfId="209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209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096" priority="97" operator="greaterThan">
      <formula>$B$19</formula>
    </cfRule>
  </conditionalFormatting>
  <conditionalFormatting sqref="D33:D34">
    <cfRule type="cellIs" dxfId="209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2094" priority="91" operator="lessThan">
      <formula>$H$62</formula>
    </cfRule>
    <cfRule type="cellIs" dxfId="2093" priority="92" operator="greaterThan">
      <formula>$H$62</formula>
    </cfRule>
  </conditionalFormatting>
  <conditionalFormatting sqref="J62">
    <cfRule type="cellIs" dxfId="2092" priority="89" operator="lessThan">
      <formula>$K$62</formula>
    </cfRule>
    <cfRule type="cellIs" dxfId="2091" priority="90" operator="greaterThan">
      <formula>$K$62</formula>
    </cfRule>
  </conditionalFormatting>
  <conditionalFormatting sqref="M62">
    <cfRule type="cellIs" dxfId="2090" priority="87" operator="lessThan">
      <formula>$N$62</formula>
    </cfRule>
    <cfRule type="cellIs" dxfId="2089" priority="88" operator="greaterThan">
      <formula>$N$62</formula>
    </cfRule>
  </conditionalFormatting>
  <conditionalFormatting sqref="B44:E44">
    <cfRule type="cellIs" dxfId="2088" priority="85" operator="greaterThan">
      <formula>0</formula>
    </cfRule>
    <cfRule type="cellIs" dxfId="2087" priority="86" operator="lessThan">
      <formula>0</formula>
    </cfRule>
  </conditionalFormatting>
  <conditionalFormatting sqref="F72">
    <cfRule type="cellIs" dxfId="2086" priority="84" operator="lessThan">
      <formula>$E$72*90%</formula>
    </cfRule>
  </conditionalFormatting>
  <conditionalFormatting sqref="F73">
    <cfRule type="cellIs" dxfId="2085" priority="83" operator="lessThan">
      <formula>$E$73*90%</formula>
    </cfRule>
  </conditionalFormatting>
  <conditionalFormatting sqref="F74">
    <cfRule type="cellIs" dxfId="2084" priority="82" operator="lessThan">
      <formula>$E$74*90%</formula>
    </cfRule>
  </conditionalFormatting>
  <conditionalFormatting sqref="F75">
    <cfRule type="cellIs" dxfId="2083" priority="81" operator="lessThan">
      <formula>$E$75*90%</formula>
    </cfRule>
  </conditionalFormatting>
  <conditionalFormatting sqref="H44:K44">
    <cfRule type="cellIs" dxfId="2082" priority="79" operator="greaterThan">
      <formula>0</formula>
    </cfRule>
    <cfRule type="cellIs" dxfId="2081" priority="80" operator="lessThan">
      <formula>0</formula>
    </cfRule>
  </conditionalFormatting>
  <conditionalFormatting sqref="H51:K51">
    <cfRule type="cellIs" dxfId="2080" priority="77" operator="greaterThan">
      <formula>0</formula>
    </cfRule>
    <cfRule type="cellIs" dxfId="2079" priority="78" operator="lessThan">
      <formula>0</formula>
    </cfRule>
  </conditionalFormatting>
  <conditionalFormatting sqref="B51:E51">
    <cfRule type="cellIs" dxfId="2078" priority="75" operator="greaterThan">
      <formula>0</formula>
    </cfRule>
    <cfRule type="cellIs" dxfId="207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07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07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074" priority="58" operator="lessThan">
      <formula>0</formula>
    </cfRule>
  </conditionalFormatting>
  <conditionalFormatting sqref="A25 E25 C25">
    <cfRule type="cellIs" dxfId="2073" priority="59" operator="lessThan">
      <formula>0</formula>
    </cfRule>
  </conditionalFormatting>
  <conditionalFormatting sqref="F25">
    <cfRule type="cellIs" dxfId="2072" priority="57" operator="lessThan">
      <formula>0</formula>
    </cfRule>
  </conditionalFormatting>
  <conditionalFormatting sqref="E1">
    <cfRule type="containsText" dxfId="2071" priority="56" operator="containsText" text="本季業外損益/平均=-">
      <formula>NOT(ISERROR(SEARCH("本季業外損益/平均=-",E1)))</formula>
    </cfRule>
  </conditionalFormatting>
  <conditionalFormatting sqref="M65">
    <cfRule type="cellIs" dxfId="2070" priority="55" operator="lessThan">
      <formula>$L$65*90%</formula>
    </cfRule>
  </conditionalFormatting>
  <conditionalFormatting sqref="M66">
    <cfRule type="cellIs" dxfId="2069" priority="54" operator="lessThan">
      <formula>$L$66*90%</formula>
    </cfRule>
  </conditionalFormatting>
  <conditionalFormatting sqref="M67">
    <cfRule type="cellIs" dxfId="2068" priority="53" operator="lessThan">
      <formula>$L$67*90%</formula>
    </cfRule>
  </conditionalFormatting>
  <conditionalFormatting sqref="M68">
    <cfRule type="cellIs" dxfId="2067" priority="52" operator="lessThan">
      <formula>$L$68*90%</formula>
    </cfRule>
  </conditionalFormatting>
  <conditionalFormatting sqref="B60">
    <cfRule type="cellIs" dxfId="2066" priority="51" operator="lessThan">
      <formula>0</formula>
    </cfRule>
  </conditionalFormatting>
  <conditionalFormatting sqref="B59:F59">
    <cfRule type="cellIs" dxfId="2065" priority="50" operator="lessThanOrEqual">
      <formula>0</formula>
    </cfRule>
  </conditionalFormatting>
  <conditionalFormatting sqref="D62">
    <cfRule type="cellIs" dxfId="2064" priority="48" operator="lessThan">
      <formula>$E$62</formula>
    </cfRule>
    <cfRule type="cellIs" dxfId="2063" priority="49" operator="greaterThan">
      <formula>$E$62</formula>
    </cfRule>
  </conditionalFormatting>
  <conditionalFormatting sqref="F69">
    <cfRule type="cellIs" dxfId="2062" priority="46" operator="lessThan">
      <formula>0</formula>
    </cfRule>
  </conditionalFormatting>
  <conditionalFormatting sqref="B65:E67 B69:E69 B68:D68">
    <cfRule type="cellIs" dxfId="2061" priority="47" operator="lessThan">
      <formula>0</formula>
    </cfRule>
  </conditionalFormatting>
  <conditionalFormatting sqref="E68">
    <cfRule type="cellIs" dxfId="2060" priority="45" operator="lessThan">
      <formula>0</formula>
    </cfRule>
  </conditionalFormatting>
  <conditionalFormatting sqref="F65:F68">
    <cfRule type="cellIs" dxfId="2059" priority="44" operator="lessThan">
      <formula>0</formula>
    </cfRule>
  </conditionalFormatting>
  <conditionalFormatting sqref="F65:F68">
    <cfRule type="cellIs" dxfId="2058" priority="43" operator="lessThan">
      <formula>$E$65*0.9</formula>
    </cfRule>
  </conditionalFormatting>
  <conditionalFormatting sqref="F66">
    <cfRule type="cellIs" dxfId="2057" priority="42" operator="lessThan">
      <formula>$E$66*0.9</formula>
    </cfRule>
  </conditionalFormatting>
  <conditionalFormatting sqref="F67:F68">
    <cfRule type="cellIs" dxfId="2056" priority="41" operator="lessThan">
      <formula>$E$67*0.9</formula>
    </cfRule>
  </conditionalFormatting>
  <conditionalFormatting sqref="F68">
    <cfRule type="cellIs" dxfId="2055" priority="40" operator="lessThan">
      <formula>$E$68*0.9</formula>
    </cfRule>
  </conditionalFormatting>
  <conditionalFormatting sqref="B13:F13">
    <cfRule type="cellIs" dxfId="2054" priority="29" operator="greaterThan">
      <formula>$I$16</formula>
    </cfRule>
    <cfRule type="cellIs" dxfId="2053" priority="30" operator="lessThanOrEqual">
      <formula>$I$16</formula>
    </cfRule>
  </conditionalFormatting>
  <conditionalFormatting sqref="B10:F10">
    <cfRule type="cellIs" dxfId="2052" priority="31" operator="greaterThan">
      <formula>15</formula>
    </cfRule>
    <cfRule type="cellIs" dxfId="2051" priority="38" operator="lessThan">
      <formula>$I$9</formula>
    </cfRule>
    <cfRule type="cellIs" dxfId="2050" priority="39" operator="greaterThan">
      <formula>$I$9</formula>
    </cfRule>
  </conditionalFormatting>
  <conditionalFormatting sqref="B16:F16">
    <cfRule type="cellIs" dxfId="2049" priority="36" operator="greaterThan">
      <formula>$I$16</formula>
    </cfRule>
    <cfRule type="cellIs" dxfId="2048" priority="37" operator="lessThanOrEqual">
      <formula>$I$16</formula>
    </cfRule>
  </conditionalFormatting>
  <conditionalFormatting sqref="B15:F15">
    <cfRule type="cellIs" dxfId="2047" priority="34" operator="lessThanOrEqual">
      <formula>$I$16</formula>
    </cfRule>
    <cfRule type="cellIs" dxfId="2046" priority="35" operator="greaterThan">
      <formula>$I$16</formula>
    </cfRule>
  </conditionalFormatting>
  <conditionalFormatting sqref="B14:F14">
    <cfRule type="cellIs" dxfId="2045" priority="32" operator="greaterThan">
      <formula>$I$16</formula>
    </cfRule>
    <cfRule type="cellIs" dxfId="2044" priority="33" operator="lessThanOrEqual">
      <formula>$I$16</formula>
    </cfRule>
  </conditionalFormatting>
  <conditionalFormatting sqref="K6">
    <cfRule type="containsText" dxfId="2043" priority="27" operator="containsText" text="衰退">
      <formula>NOT(ISERROR(SEARCH("衰退",K6)))</formula>
    </cfRule>
    <cfRule type="containsText" dxfId="2042" priority="28" operator="containsText" text="成長">
      <formula>NOT(ISERROR(SEARCH("成長",K6)))</formula>
    </cfRule>
  </conditionalFormatting>
  <conditionalFormatting sqref="I4:K4">
    <cfRule type="cellIs" dxfId="2041" priority="25" operator="lessThan">
      <formula>0</formula>
    </cfRule>
    <cfRule type="cellIs" dxfId="204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039" priority="22" operator="lessThanOrEqual">
      <formula>$I$16</formula>
    </cfRule>
    <cfRule type="cellIs" dxfId="2038" priority="23" operator="greaterThan">
      <formula>$I$16</formula>
    </cfRule>
  </conditionalFormatting>
  <conditionalFormatting sqref="I6">
    <cfRule type="containsText" dxfId="2037" priority="20" operator="containsText" text="衰退">
      <formula>NOT(ISERROR(SEARCH("衰退",I6)))</formula>
    </cfRule>
    <cfRule type="containsText" dxfId="2036" priority="21" operator="containsText" text="成長">
      <formula>NOT(ISERROR(SEARCH("成長",I6)))</formula>
    </cfRule>
  </conditionalFormatting>
  <conditionalFormatting sqref="M9">
    <cfRule type="cellIs" dxfId="2035" priority="19" operator="lessThan">
      <formula>$I$9</formula>
    </cfRule>
  </conditionalFormatting>
  <conditionalFormatting sqref="M10">
    <cfRule type="cellIs" dxfId="2034" priority="18" operator="greaterThan">
      <formula>$I$9</formula>
    </cfRule>
  </conditionalFormatting>
  <conditionalFormatting sqref="M11">
    <cfRule type="cellIs" dxfId="203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032" priority="14" operator="lessThan">
      <formula>0</formula>
    </cfRule>
    <cfRule type="cellIs" dxfId="2031" priority="15" operator="greaterThan">
      <formula>0.5</formula>
    </cfRule>
  </conditionalFormatting>
  <conditionalFormatting sqref="N14">
    <cfRule type="cellIs" dxfId="203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029" priority="10" operator="lessThan">
      <formula>0.1</formula>
    </cfRule>
  </conditionalFormatting>
  <conditionalFormatting sqref="I14">
    <cfRule type="cellIs" dxfId="202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02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026" priority="1" operator="lessThan">
      <formula>$N$5*0.9</formula>
    </cfRule>
    <cfRule type="cellIs" dxfId="2025" priority="2" operator="greaterThan">
      <formula>$N$5*1.1</formula>
    </cfRule>
  </conditionalFormatting>
  <hyperlinks>
    <hyperlink ref="L1" location="儀表板!A1" display="(回首頁)" xr:uid="{00000000-0004-0000-4C00-000000000000}"/>
  </hyperlink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T176"/>
  <sheetViews>
    <sheetView workbookViewId="0">
      <selection activeCell="G10" sqref="G10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9.94 ~ 21.47</v>
      </c>
      <c r="L1" s="83" t="s">
        <v>176</v>
      </c>
      <c r="M1" s="84" t="str">
        <f ca="1">VLOOKUP(_xlfn.NUMBERVALUE(N1),儀表板!A:B,2,FALSE)</f>
        <v>矽格</v>
      </c>
      <c r="N1" s="85" t="str">
        <f ca="1">MID(CELL("filename",L1),FIND("]",CELL("filename",L1))+1,255)</f>
        <v>6257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0.19180979991397398</v>
      </c>
    </row>
    <row r="3" spans="1:15" s="93" customFormat="1" x14ac:dyDescent="0.25">
      <c r="A3" s="81" t="s">
        <v>179</v>
      </c>
      <c r="B3" s="94">
        <f>SUM(F19:F22,F24:F27,J19)</f>
        <v>80.180008500518042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22.550146239662183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23.270632552517387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24.743865759400418</v>
      </c>
      <c r="L3" s="100"/>
      <c r="M3" s="79" t="s">
        <v>385</v>
      </c>
      <c r="N3" s="92">
        <f>(F69-E69)/E69</f>
        <v>-1.4819192390110055E-2</v>
      </c>
    </row>
    <row r="4" spans="1:15" s="93" customFormat="1" x14ac:dyDescent="0.25">
      <c r="A4" s="81" t="s">
        <v>182</v>
      </c>
      <c r="B4" s="96">
        <f>SUM(G36:G40)*2</f>
        <v>84</v>
      </c>
      <c r="C4" s="101"/>
      <c r="D4" s="102">
        <f>F4*(1+F141/10)</f>
        <v>36</v>
      </c>
      <c r="E4" s="82">
        <f>(D4-F4)/F4</f>
        <v>0</v>
      </c>
      <c r="F4" s="103">
        <v>36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2.1378423525134611</v>
      </c>
    </row>
    <row r="5" spans="1:15" s="93" customFormat="1" x14ac:dyDescent="0.25">
      <c r="A5" s="81" t="s">
        <v>184</v>
      </c>
      <c r="B5" s="107">
        <f>SUM(F30:F34)*2</f>
        <v>92.906126126126111</v>
      </c>
      <c r="C5" s="87"/>
      <c r="D5" s="87"/>
      <c r="E5" s="87"/>
      <c r="F5" s="86"/>
      <c r="G5" s="88"/>
      <c r="M5" s="79" t="s">
        <v>375</v>
      </c>
      <c r="N5" s="152">
        <f>D62</f>
        <v>2.17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2.4594666707119792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14.34</v>
      </c>
      <c r="N9" s="129"/>
    </row>
    <row r="10" spans="1:15" s="93" customFormat="1" x14ac:dyDescent="0.25">
      <c r="A10" s="123" t="s">
        <v>194</v>
      </c>
      <c r="B10" s="126">
        <f>PERCENTILE(176:176,B9)</f>
        <v>10.029999999999999</v>
      </c>
      <c r="C10" s="126">
        <f>PERCENTILE(176:176,C9)</f>
        <v>10.484999999999999</v>
      </c>
      <c r="D10" s="126">
        <f>PERCENTILE(176:176,D9)</f>
        <v>10.82</v>
      </c>
      <c r="E10" s="126">
        <f>PERCENTILE(176:176,E9)</f>
        <v>11.504999999999999</v>
      </c>
      <c r="F10" s="126">
        <f>PERCENTILE(176:176,F9)</f>
        <v>11.96</v>
      </c>
      <c r="G10" s="95"/>
      <c r="H10" s="135"/>
      <c r="I10" s="135"/>
      <c r="J10" s="135"/>
      <c r="K10" s="135"/>
      <c r="L10" s="136" t="s">
        <v>374</v>
      </c>
      <c r="M10" s="130">
        <f>MIN(176:176)</f>
        <v>8.49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22.4</v>
      </c>
      <c r="L11" s="272" t="s">
        <v>193</v>
      </c>
      <c r="M11" s="128">
        <f>STDEV(176:176)</f>
        <v>1.1830345151278687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25.035014005602246</v>
      </c>
      <c r="C13" s="141">
        <f>$B$34/5.88%</f>
        <v>30.39965986394558</v>
      </c>
      <c r="D13" s="141">
        <f>$B$34/5%</f>
        <v>35.75</v>
      </c>
      <c r="E13" s="141">
        <f>$B$34/4.35%</f>
        <v>41.09195402298851</v>
      </c>
      <c r="F13" s="141">
        <f>$B$34/3.85%</f>
        <v>46.428571428571431</v>
      </c>
      <c r="G13" s="138" t="str">
        <f>"$"&amp;ROUND(B34,2)&amp;"/"&amp;IF(STDEV(C140:F140)/AVERAGE(C140:F140)&lt;15%,"高",IF(STDEV(C140:F140)/AVERAGE(C140:F140)&lt;30%,"中","低"))</f>
        <v>$1.79/高</v>
      </c>
      <c r="H13" s="142" t="s">
        <v>199</v>
      </c>
      <c r="I13" s="143">
        <f>MAX(0,1-J15)</f>
        <v>0.23963133640552992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24.122149999999998</v>
      </c>
      <c r="C14" s="141">
        <f>$B$33*C10</f>
        <v>25.216424999999997</v>
      </c>
      <c r="D14" s="141">
        <f>$B$33*D10</f>
        <v>26.022099999999998</v>
      </c>
      <c r="E14" s="141">
        <f>$B$33*E10</f>
        <v>27.669524999999997</v>
      </c>
      <c r="F14" s="141">
        <f>$B$33*F10</f>
        <v>28.7638</v>
      </c>
      <c r="G14" s="138" t="str">
        <f>"$"&amp;ROUND(B33,2)&amp;"/"&amp;IF(STDEV(B69:E69)/AVERAGE(B69:E69)&lt;15%,"高",IF(STDEV(B69:E69)/AVERAGE(B69:E69)&lt;30%,"中","低"))</f>
        <v>$2.41/中</v>
      </c>
      <c r="H14" s="142" t="s">
        <v>203</v>
      </c>
      <c r="I14" s="145">
        <f>G62/100*I13</f>
        <v>2.3220276497695851E-2</v>
      </c>
      <c r="J14" s="76" t="s">
        <v>204</v>
      </c>
      <c r="K14" s="146"/>
      <c r="L14" s="147">
        <f>(HLOOKUP($C$1,$105:$106,2,FALSE)-HLOOKUP($C$1,$117:$127,9,FALSE))/(HLOOKUP($C$1,$117:$128,12,FALSE)/K11)</f>
        <v>2.4531101139543376</v>
      </c>
      <c r="M14" s="148">
        <f>E135/E69</f>
        <v>-1.0046082949308757</v>
      </c>
      <c r="N14" s="149">
        <f>F173/100</f>
        <v>3.0802999999999998</v>
      </c>
    </row>
    <row r="15" spans="1:15" s="93" customFormat="1" x14ac:dyDescent="0.25">
      <c r="A15" s="140" t="s">
        <v>375</v>
      </c>
      <c r="B15" s="141">
        <f>$D$62*B10</f>
        <v>21.765099999999997</v>
      </c>
      <c r="C15" s="141">
        <f>$D$62*C10</f>
        <v>22.75245</v>
      </c>
      <c r="D15" s="141">
        <f>$D$62*D10</f>
        <v>23.479399999999998</v>
      </c>
      <c r="E15" s="141">
        <f>$D$62*E10</f>
        <v>24.965849999999996</v>
      </c>
      <c r="F15" s="141">
        <f>$D$62*F10</f>
        <v>25.953200000000002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0.76036866359447008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21.442558795710013</v>
      </c>
      <c r="C16" s="141">
        <f>$F$69*C10</f>
        <v>22.415277066103638</v>
      </c>
      <c r="D16" s="141">
        <f>$F$69*D10</f>
        <v>23.131454254195649</v>
      </c>
      <c r="E16" s="141">
        <f>$F$69*E10</f>
        <v>24.595876265667368</v>
      </c>
      <c r="F16" s="141">
        <f>$F$69*F10</f>
        <v>25.568594536060996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7643</v>
      </c>
      <c r="J17" s="92">
        <f ca="1">IF(I17&lt;=0,"",IF(I17&lt;=MIN($B$13:$F$16),(I17-MIN($B$13:$F$16))/MIN($B$13:$F$16),IF(I17&gt;=MAX($B$13:$F$16),I17/MAX($B$13:$F$16),PERCENTRANK($B$13:$F$16,I17))))</f>
        <v>164.61846153846153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1.7949999999999999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16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1.0041958041958041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0.43425472301411372</v>
      </c>
      <c r="J20" s="171">
        <f>HLOOKUP($C$1,$117:$127,11,FALSE)/HLOOKUP($C$1,$105:$115,11,FALSE)</f>
        <v>0.44346674493628258</v>
      </c>
      <c r="K20" s="163"/>
    </row>
    <row r="21" spans="1:14" s="93" customFormat="1" x14ac:dyDescent="0.25">
      <c r="A21" s="151" t="s">
        <v>201</v>
      </c>
      <c r="B21" s="161">
        <f>AVERAGE(C173:F173)/100</f>
        <v>2.5638000000000001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2.2224673245034925</v>
      </c>
      <c r="J21" s="78"/>
      <c r="K21" s="164" t="s">
        <v>356</v>
      </c>
      <c r="L21" s="165">
        <f>HLOOKUP($C$1,$105:$115,7,FALSE)/HLOOKUP($C$1,$105:$115,11,FALSE)</f>
        <v>0.47857221788521542</v>
      </c>
      <c r="M21" s="123" t="s">
        <v>268</v>
      </c>
      <c r="N21" s="165">
        <f>HLOOKUP($C$1,$117:$127,8,FALSE)/HLOOKUP($C$1,$117:$127,11,FALSE)</f>
        <v>0.48556909858605068</v>
      </c>
    </row>
    <row r="22" spans="1:14" s="93" customFormat="1" x14ac:dyDescent="0.25">
      <c r="A22" s="140" t="s">
        <v>222</v>
      </c>
      <c r="B22" s="161">
        <f>(-1)*SUM(C133:F133)/SUM(C132:F132)</f>
        <v>0.69852631578947377</v>
      </c>
      <c r="C22" s="157"/>
      <c r="D22" s="166"/>
      <c r="E22" s="140"/>
      <c r="F22" s="159">
        <f>IF(B22&lt;=0,10,IF(B22&gt;=100%,0,(1-B22)*10))</f>
        <v>3.014736842105262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2.1987857721470441</v>
      </c>
      <c r="J22" s="78"/>
      <c r="K22" s="142" t="s">
        <v>357</v>
      </c>
      <c r="L22" s="165">
        <f>HLOOKUP($C$1,$105:$115,4,FALSE)/HLOOKUP($C$1,$105:$115,11,FALSE)</f>
        <v>0.10752128435336372</v>
      </c>
      <c r="M22" s="123" t="s">
        <v>353</v>
      </c>
      <c r="N22" s="165">
        <f>HLOOKUP($C$1,$117:$127,4,FALSE)/HLOOKUP($C$1,$117:$127,11,FALSE)</f>
        <v>2.0772745707217492E-2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1.796837818587337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5.0994374177008089E-3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1.0147356685966749</v>
      </c>
      <c r="C24" s="169">
        <f>STDEV(C103:F103)</f>
        <v>3.4365812981946006E-2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85.71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9.3471508746307188E-3</v>
      </c>
      <c r="M24" s="123" t="s">
        <v>355</v>
      </c>
      <c r="N24" s="165">
        <f>HLOOKUP($C$1,$117:$127,9,FALSE)/HLOOKUP($C$1,$117:$127,11,FALSE)</f>
        <v>0.51443090141394932</v>
      </c>
    </row>
    <row r="25" spans="1:14" s="93" customFormat="1" x14ac:dyDescent="0.25">
      <c r="A25" s="151" t="s">
        <v>366</v>
      </c>
      <c r="B25" s="255">
        <f>AVERAGE(94:94)</f>
        <v>13602.608695652174</v>
      </c>
      <c r="C25" s="254">
        <f>STDEV(94:94)/AVERAGE(94:94)</f>
        <v>1.8347283415872249</v>
      </c>
      <c r="D25" s="76" t="str">
        <f>IF(C25&lt;=1,"高",IF(C25&lt;=2,"中","低"))</f>
        <v>中</v>
      </c>
      <c r="E25" s="149"/>
      <c r="F25" s="160">
        <f>MAX(0,10-ABS(C25))</f>
        <v>8.1652716584127756</v>
      </c>
      <c r="G25" s="88" t="s">
        <v>213</v>
      </c>
      <c r="H25" s="123" t="s">
        <v>232</v>
      </c>
      <c r="I25" s="170">
        <f>IF(HLOOKUP(C1,167:170,3,FALSE)="無",0,HLOOKUP(C1,167:170,3,FALSE))</f>
        <v>6.11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90.315652173913037</v>
      </c>
      <c r="C26" s="172">
        <f>IF(COUNTIF(168:168,"&gt;0")=0,0,STDEV(168:168))</f>
        <v>3.3435022820212672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10.10304347826087</v>
      </c>
      <c r="C27" s="172">
        <f>IF(COUNTIF(169:169,"&gt;0")=0,0,STDEV(169:169))</f>
        <v>4.1173208795643328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0.28807500000000003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0.16062499999999999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10.835000000000001</v>
      </c>
      <c r="C32" s="157" t="s">
        <v>217</v>
      </c>
      <c r="D32" s="174">
        <f>COUNTIF(159:159,"&gt;3")/COUNT(159:159)</f>
        <v>0.34782608695652173</v>
      </c>
      <c r="E32" s="140" t="s">
        <v>242</v>
      </c>
      <c r="F32" s="159">
        <f>MIN(B32/15*10,10)</f>
        <v>7.2233333333333336</v>
      </c>
      <c r="G32" s="135"/>
    </row>
    <row r="33" spans="1:14" x14ac:dyDescent="0.25">
      <c r="A33" s="155" t="s">
        <v>14</v>
      </c>
      <c r="B33" s="156">
        <f>AVERAGE(B69:E69)</f>
        <v>2.4049999999999998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1.7875000000000001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9.2297297297297298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5329449.75</v>
      </c>
      <c r="C36" s="178">
        <f>STDEV(C97:F97)</f>
        <v>322094.36710108729</v>
      </c>
      <c r="D36" s="76" t="str">
        <f>IF(C36/B36&lt;15%,"高",IF(C36/B36&lt;30%,"中","低"))</f>
        <v>高</v>
      </c>
      <c r="E36" s="107">
        <f>IF(F97&gt;E97,1,0)+IF(E97&gt;D97,1,0)+IF(D97&gt;C97,1,0)</f>
        <v>1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28.807500000000001</v>
      </c>
      <c r="C37" s="180">
        <f>STDEV(C152:F152)</f>
        <v>2.6147832924865249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18.122500000000002</v>
      </c>
      <c r="C38" s="180">
        <f>STDEV(C153:F153)</f>
        <v>2.5947687758256945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10.835000000000001</v>
      </c>
      <c r="C39" s="181">
        <f>STDEV(C165:F165)</f>
        <v>1.5530722241200834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2.4049999999999998</v>
      </c>
      <c r="C40" s="183">
        <f>STDEV(B69:E69)</f>
        <v>0.36719658676699884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-0.14285714285714282</v>
      </c>
      <c r="C44" s="186">
        <f>(C46-C49)/C49</f>
        <v>1.8867924528301903E-2</v>
      </c>
      <c r="D44" s="186">
        <f>(D46-D49)/D49</f>
        <v>0.26470588235294107</v>
      </c>
      <c r="E44" s="186">
        <f>(E46-E49)/E49</f>
        <v>0.27659574468085107</v>
      </c>
      <c r="G44" s="86" t="s">
        <v>175</v>
      </c>
      <c r="H44" s="186">
        <f>(H47-H50)/H50</f>
        <v>-0.16922361692236176</v>
      </c>
      <c r="I44" s="186">
        <f>(I47-I50)/I50</f>
        <v>-8.9473684210526358E-2</v>
      </c>
      <c r="J44" s="186">
        <f>(J47-J50)/J50</f>
        <v>0.23088235294117634</v>
      </c>
      <c r="K44" s="186">
        <f>(K47-K50)/K50</f>
        <v>1.0534236267870672E-2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0.6</v>
      </c>
      <c r="C46" s="152">
        <f>HLOOKUP(C45,$81:$82,2,FALSE)</f>
        <v>0.54</v>
      </c>
      <c r="D46" s="152">
        <f>HLOOKUP(D45,$81:$82,2,FALSE)</f>
        <v>0.43</v>
      </c>
      <c r="E46" s="152">
        <f>HLOOKUP(E45,$81:$82,2,FALSE)</f>
        <v>0.6</v>
      </c>
      <c r="G46" s="86" t="s">
        <v>164</v>
      </c>
      <c r="H46" s="145">
        <f>HLOOKUP(H45,$145:$147,2,FALSE)/100</f>
        <v>0.28820000000000001</v>
      </c>
      <c r="I46" s="145">
        <f>HLOOKUP(I45,$145:$147,2,FALSE)/100</f>
        <v>0.26269999999999999</v>
      </c>
      <c r="J46" s="145">
        <f>HLOOKUP(J45,$145:$147,2,FALSE)/100</f>
        <v>0.26789999999999997</v>
      </c>
      <c r="K46" s="145">
        <f>HLOOKUP(K45,$145:$147,2,FALSE)/100</f>
        <v>0.27279999999999999</v>
      </c>
    </row>
    <row r="47" spans="1:14" x14ac:dyDescent="0.25">
      <c r="A47" s="188" t="s">
        <v>165</v>
      </c>
      <c r="B47" s="189">
        <f>HLOOKUP(B45,$157:$159,3,FALSE)</f>
        <v>2.67</v>
      </c>
      <c r="C47" s="189">
        <f>HLOOKUP(C45,$157:$159,3,FALSE)</f>
        <v>2.39</v>
      </c>
      <c r="D47" s="189">
        <f>HLOOKUP(D45,$157:$159,3,FALSE)</f>
        <v>1.84</v>
      </c>
      <c r="E47" s="189">
        <f>HLOOKUP(E45,$157:$159,3,FALSE)</f>
        <v>2.79</v>
      </c>
      <c r="G47" s="190" t="s">
        <v>166</v>
      </c>
      <c r="H47" s="145">
        <f>HLOOKUP(H45,$145:$147,3,FALSE)/100</f>
        <v>0.1787</v>
      </c>
      <c r="I47" s="145">
        <f>HLOOKUP(I45,$145:$147,3,FALSE)/100</f>
        <v>0.15570000000000001</v>
      </c>
      <c r="J47" s="145">
        <f>HLOOKUP(J45,$145:$147,3,FALSE)/100</f>
        <v>0.16739999999999999</v>
      </c>
      <c r="K47" s="145">
        <f>HLOOKUP(K45,$145:$147,3,FALSE)/100</f>
        <v>0.1343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0.7</v>
      </c>
      <c r="C49" s="152">
        <f>HLOOKUP(C48,$81:$82,2,FALSE)</f>
        <v>0.53</v>
      </c>
      <c r="D49" s="152">
        <f>HLOOKUP(D48,$81:$82,2,FALSE)</f>
        <v>0.34</v>
      </c>
      <c r="E49" s="152">
        <f>HLOOKUP(E48,$81:$82,2,FALSE)</f>
        <v>0.47</v>
      </c>
      <c r="G49" s="86" t="s">
        <v>164</v>
      </c>
      <c r="H49" s="145">
        <f>HLOOKUP(H48,$145:$147,2,FALSE)/100</f>
        <v>0.31329999999999997</v>
      </c>
      <c r="I49" s="145">
        <f>HLOOKUP(I48,$145:$147,2,FALSE)/100</f>
        <v>0.2752</v>
      </c>
      <c r="J49" s="145">
        <f>HLOOKUP(J48,$145:$147,2,FALSE)/100</f>
        <v>0.2404</v>
      </c>
      <c r="K49" s="145">
        <f>HLOOKUP(K48,$145:$147,2,FALSE)/100</f>
        <v>0.24160000000000001</v>
      </c>
    </row>
    <row r="50" spans="1:15" x14ac:dyDescent="0.25">
      <c r="A50" s="188" t="s">
        <v>165</v>
      </c>
      <c r="B50" s="189">
        <f>HLOOKUP(B48,$157:$159,3,FALSE)</f>
        <v>3.31</v>
      </c>
      <c r="C50" s="189">
        <f>HLOOKUP(C48,$157:$159,3,FALSE)</f>
        <v>2.39</v>
      </c>
      <c r="D50" s="189">
        <f>HLOOKUP(D48,$157:$159,3,FALSE)</f>
        <v>1.51</v>
      </c>
      <c r="E50" s="189">
        <f>HLOOKUP(E48,$157:$159,3,FALSE)</f>
        <v>2.1800000000000002</v>
      </c>
      <c r="G50" s="190" t="s">
        <v>166</v>
      </c>
      <c r="H50" s="145">
        <f>HLOOKUP(H48,$145:$147,3,FALSE)/100</f>
        <v>0.21510000000000001</v>
      </c>
      <c r="I50" s="145">
        <f>HLOOKUP(I48,$145:$147,3,FALSE)/100</f>
        <v>0.17100000000000001</v>
      </c>
      <c r="J50" s="145">
        <f>HLOOKUP(J48,$145:$147,3,FALSE)/100</f>
        <v>0.13600000000000001</v>
      </c>
      <c r="K50" s="145">
        <f>HLOOKUP(K48,$145:$147,3,FALSE)/100</f>
        <v>0.13289999999999999</v>
      </c>
    </row>
    <row r="51" spans="1:15" x14ac:dyDescent="0.25">
      <c r="A51" s="86" t="s">
        <v>351</v>
      </c>
      <c r="B51" s="186">
        <f>(B47-B50)/B50</f>
        <v>-0.19335347432024172</v>
      </c>
      <c r="C51" s="186">
        <f>(C47-C50)/C50</f>
        <v>0</v>
      </c>
      <c r="D51" s="186">
        <f>(D47-D50)/D50</f>
        <v>0.21854304635761593</v>
      </c>
      <c r="E51" s="186">
        <f>(E47-E50)/E50</f>
        <v>0.27981651376146782</v>
      </c>
      <c r="G51" s="235" t="s">
        <v>174</v>
      </c>
      <c r="H51" s="186">
        <f>(H46-H49)/H49</f>
        <v>-8.0114905841046788E-2</v>
      </c>
      <c r="I51" s="186">
        <f>(I46-I49)/I49</f>
        <v>-4.5421511627907016E-2</v>
      </c>
      <c r="J51" s="186">
        <f>(J46-J49)/J49</f>
        <v>0.11439267886855228</v>
      </c>
      <c r="K51" s="186">
        <f>(K46-K49)/K49</f>
        <v>0.12913907284768203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2.4594666707119792</v>
      </c>
      <c r="B53" s="193">
        <f>B46</f>
        <v>0.6</v>
      </c>
      <c r="C53" s="193">
        <f>E46/HLOOKUP(E45,$87:$94,5,FALSE)*HLOOKUP(E45,$87:$94,4,FALSE)*($B$25/HLOOKUP(E45,$87:$94,4,FALSE)+SUM($B$57:$D$57)/SUM($B58:$D$58)*$G$69/100/K46)</f>
        <v>0.56784235251346138</v>
      </c>
      <c r="D53" s="193">
        <f>D46/HLOOKUP(D45,$87:$94,5,FALSE)*HLOOKUP(D45,$87:$94,4,FALSE)*($B$25/HLOOKUP(D45,$87:$94,4,FALSE)+SUM($B$57:$D$57)/SUM($B58:$D$58)*$G$69/100/J46)</f>
        <v>0.66147385293754291</v>
      </c>
      <c r="E53" s="193">
        <f>C46/HLOOKUP(C45,$87:$94,5,FALSE)*HLOOKUP(C45,$87:$94,4,FALSE)*($B$25/HLOOKUP(C45,$87:$94,4,FALSE)+SUM($B$57:$D$57)/SUM($B58:$D$58)*$G$69/100/I46)</f>
        <v>0.63015046526097485</v>
      </c>
    </row>
    <row r="54" spans="1:15" x14ac:dyDescent="0.25">
      <c r="A54" s="278">
        <f>SUM(B54:E54)</f>
        <v>2.2699999999999996</v>
      </c>
      <c r="B54" s="277">
        <f t="shared" ref="B54:D54" si="0">HLOOKUP(B52-10,81:82,2,FALSE)</f>
        <v>0.7</v>
      </c>
      <c r="C54" s="277">
        <f t="shared" si="0"/>
        <v>0.6</v>
      </c>
      <c r="D54" s="277">
        <f t="shared" si="0"/>
        <v>0.43</v>
      </c>
      <c r="E54" s="277">
        <f>HLOOKUP(E52-10,81:82,2,FALSE)</f>
        <v>0.54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754368</v>
      </c>
      <c r="C57" s="196">
        <f>HLOOKUP(C56,78:79,2,FALSE)</f>
        <v>550091</v>
      </c>
      <c r="D57" s="196">
        <f>HLOOKUP(D56,78:79,2,FALSE)</f>
        <v>536407</v>
      </c>
      <c r="E57" s="196">
        <f>HLOOKUP(E56,78:79,2,FALSE)</f>
        <v>501206</v>
      </c>
      <c r="F57" s="196">
        <f>HLOOKUP(F56,78:79,2,FALSE)</f>
        <v>513286</v>
      </c>
      <c r="G57" s="196">
        <f t="shared" ref="G57:M57" si="2">HLOOKUP(G56,78:79,2,FALSE)</f>
        <v>494527</v>
      </c>
      <c r="H57" s="196">
        <f t="shared" si="2"/>
        <v>455500</v>
      </c>
      <c r="I57" s="196">
        <f t="shared" si="2"/>
        <v>492892</v>
      </c>
      <c r="J57" s="196">
        <f t="shared" si="2"/>
        <v>458056</v>
      </c>
      <c r="K57" s="196">
        <f t="shared" si="2"/>
        <v>507534</v>
      </c>
      <c r="L57" s="196">
        <f t="shared" si="2"/>
        <v>526627</v>
      </c>
      <c r="M57" s="196">
        <f t="shared" si="2"/>
        <v>506681</v>
      </c>
      <c r="N57" s="197"/>
    </row>
    <row r="58" spans="1:15" x14ac:dyDescent="0.25">
      <c r="A58" s="198" t="s">
        <v>253</v>
      </c>
      <c r="B58" s="196">
        <f>HLOOKUP(B56-100,78:79,2,FALSE)</f>
        <v>529193</v>
      </c>
      <c r="C58" s="196">
        <f>HLOOKUP(C56-100,78:79,2,FALSE)</f>
        <v>544134</v>
      </c>
      <c r="D58" s="196">
        <f>HLOOKUP(D56-100,78:79,2,FALSE)</f>
        <v>535555</v>
      </c>
      <c r="E58" s="196">
        <f>HLOOKUP(E56-100,78:79,2,FALSE)</f>
        <v>509849</v>
      </c>
      <c r="F58" s="196">
        <f>HLOOKUP(F56-100,78:79,2,FALSE)</f>
        <v>489894</v>
      </c>
      <c r="G58" s="196">
        <f t="shared" ref="G58:M58" si="3">HLOOKUP(G56-100,78:79,2,FALSE)</f>
        <v>465881</v>
      </c>
      <c r="H58" s="196">
        <f t="shared" si="3"/>
        <v>445221</v>
      </c>
      <c r="I58" s="196">
        <f t="shared" si="3"/>
        <v>467397</v>
      </c>
      <c r="J58" s="196">
        <f t="shared" si="3"/>
        <v>386226</v>
      </c>
      <c r="K58" s="196">
        <f t="shared" si="3"/>
        <v>389515</v>
      </c>
      <c r="L58" s="196">
        <f t="shared" si="3"/>
        <v>423618</v>
      </c>
      <c r="M58" s="196">
        <f t="shared" si="3"/>
        <v>430409</v>
      </c>
      <c r="N58" s="197"/>
    </row>
    <row r="59" spans="1:15" x14ac:dyDescent="0.25">
      <c r="A59" s="199" t="s">
        <v>254</v>
      </c>
      <c r="B59" s="165">
        <f>IF(B57&lt;&gt;"",(B57-B58)/B58,"")</f>
        <v>0.42550638424922477</v>
      </c>
      <c r="C59" s="165">
        <f>IF(C57&lt;&gt;"",(C57-C58)/C58,"")</f>
        <v>1.0947670978104658E-2</v>
      </c>
      <c r="D59" s="165">
        <f>IF(D57&lt;&gt;"",(D57-D58)/D58,"")</f>
        <v>1.5908730195778212E-3</v>
      </c>
      <c r="E59" s="165">
        <f>IF(E57&lt;&gt;"",(E57-E58)/E58,"")</f>
        <v>-1.6952077968182735E-2</v>
      </c>
      <c r="F59" s="165">
        <f>IF(F57&lt;&gt;"",(F57-F58)/F58,"")</f>
        <v>4.7749104908408758E-2</v>
      </c>
      <c r="G59" s="165">
        <f t="shared" ref="G59:M59" si="4">IF(G57&lt;&gt;"",(G57-G58)/G58,"")</f>
        <v>6.1487804825695831E-2</v>
      </c>
      <c r="H59" s="165">
        <f t="shared" si="4"/>
        <v>2.3087410521965494E-2</v>
      </c>
      <c r="I59" s="165">
        <f t="shared" si="4"/>
        <v>5.4546777150901699E-2</v>
      </c>
      <c r="J59" s="165">
        <f t="shared" si="4"/>
        <v>0.18597919352917722</v>
      </c>
      <c r="K59" s="165">
        <f t="shared" si="4"/>
        <v>0.30298961529081037</v>
      </c>
      <c r="L59" s="165">
        <f t="shared" si="4"/>
        <v>0.24316483246698678</v>
      </c>
      <c r="M59" s="165">
        <f t="shared" si="4"/>
        <v>0.17720819034917951</v>
      </c>
    </row>
    <row r="60" spans="1:15" x14ac:dyDescent="0.25">
      <c r="A60" s="195" t="s">
        <v>255</v>
      </c>
      <c r="B60" s="196">
        <f>SUM(B57:M57)</f>
        <v>6297175</v>
      </c>
    </row>
    <row r="61" spans="1:15" x14ac:dyDescent="0.25">
      <c r="A61" s="198" t="s">
        <v>256</v>
      </c>
      <c r="B61" s="196">
        <f>SUM(B58:M58)</f>
        <v>5616892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1.1211137760882708</v>
      </c>
      <c r="D62" s="152">
        <f>SUM(B46:E46)</f>
        <v>2.17</v>
      </c>
      <c r="E62" s="152">
        <f>SUM(B49:E49)</f>
        <v>2.04</v>
      </c>
      <c r="G62" s="126">
        <f>SUM(B47:E47)</f>
        <v>9.6900000000000013</v>
      </c>
      <c r="H62" s="126">
        <f>SUM(B50:E50)</f>
        <v>9.39</v>
      </c>
      <c r="J62" s="200">
        <f>AVERAGE(H46:K46)</f>
        <v>0.27289999999999998</v>
      </c>
      <c r="K62" s="200">
        <f>AVERAGE(H49:K49)</f>
        <v>0.267625</v>
      </c>
      <c r="M62" s="200">
        <f>AVERAGE(H47:K47)</f>
        <v>0.159025</v>
      </c>
      <c r="N62" s="200">
        <f>AVERAGE(H50:K50)</f>
        <v>0.16375000000000001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0.44</v>
      </c>
      <c r="C65" s="205">
        <f t="shared" si="5"/>
        <v>0.65</v>
      </c>
      <c r="D65" s="205">
        <f t="shared" si="5"/>
        <v>0.43</v>
      </c>
      <c r="E65" s="205">
        <f t="shared" si="5"/>
        <v>0.34</v>
      </c>
      <c r="F65" s="206">
        <f>IF(ISNA(HLOOKUP(F$64*10+$A65,$81:$82,2,FALSE)),(HLOOKUP(E$64*10+$A65,$87:$94,4,FALSE)*$G65+$B$25)/HLOOKUP(E$64*10+$A65,$87:$94,5,FALSE)*$E65,HLOOKUP(F$64*10+$A65,$81:$82,2,FALSE))</f>
        <v>0.43</v>
      </c>
      <c r="G65" s="101">
        <f>MIN(130%,SUM($B$57:$D$57)/SUM($B$58:$D$58)*$G$69/HLOOKUP(E$64*10+$A65,$145:$146,2,FALSE))</f>
        <v>1.2778718307043813</v>
      </c>
      <c r="H65" s="204">
        <v>1</v>
      </c>
      <c r="I65" s="208">
        <f t="shared" ref="I65:M68" si="6">IF(ISNA(HLOOKUP(I$64*10+$H65,$145:$147,3,FALSE)),"",HLOOKUP(I$64*10+$H65,$145:$147,3,FALSE)/100)</f>
        <v>0.1016</v>
      </c>
      <c r="J65" s="208">
        <f t="shared" si="6"/>
        <v>0.20379999999999998</v>
      </c>
      <c r="K65" s="208">
        <f t="shared" si="6"/>
        <v>0.1512</v>
      </c>
      <c r="L65" s="208">
        <f t="shared" si="6"/>
        <v>0.13600000000000001</v>
      </c>
      <c r="M65" s="209">
        <f t="shared" si="6"/>
        <v>0.16739999999999999</v>
      </c>
      <c r="N65" s="256">
        <f t="shared" ref="N65:O68" si="7">HLOOKUP(E$64*10+$A65,$87:$94,8,FALSE)</f>
        <v>-14253</v>
      </c>
      <c r="O65" s="256">
        <f t="shared" si="7"/>
        <v>-53308</v>
      </c>
      <c r="P65" s="210"/>
    </row>
    <row r="66" spans="1:71" x14ac:dyDescent="0.25">
      <c r="A66" s="204">
        <v>2</v>
      </c>
      <c r="B66" s="205">
        <f t="shared" si="5"/>
        <v>0.72</v>
      </c>
      <c r="C66" s="205">
        <f t="shared" si="5"/>
        <v>0.83</v>
      </c>
      <c r="D66" s="205">
        <f t="shared" si="5"/>
        <v>0.61</v>
      </c>
      <c r="E66" s="205">
        <f t="shared" si="5"/>
        <v>0.53</v>
      </c>
      <c r="F66" s="206">
        <f>IF(ISNA(HLOOKUP(F$64*10+$A66,$81:$82,2,FALSE)),(HLOOKUP(E$64*10+$A66,$87:$94,4,FALSE)*$G66+$B$25)/HLOOKUP(E$64*10+$A66,$87:$94,5,FALSE)*$E66,HLOOKUP(F$64*10+$A66,$81:$82,2,FALSE))</f>
        <v>0.54</v>
      </c>
      <c r="G66" s="101">
        <f>MIN(130%,SUM($B$57:$D$57)/SUM($B$58:$D$58)*$G$69/HLOOKUP(E$64*10+$A66,$145:$146,2,FALSE))</f>
        <v>1.1162804800193795</v>
      </c>
      <c r="H66" s="204">
        <v>2</v>
      </c>
      <c r="I66" s="208">
        <f t="shared" si="6"/>
        <v>0.19920000000000002</v>
      </c>
      <c r="J66" s="208">
        <f t="shared" si="6"/>
        <v>0.25559999999999999</v>
      </c>
      <c r="K66" s="208">
        <f t="shared" si="6"/>
        <v>0.2024</v>
      </c>
      <c r="L66" s="208">
        <f t="shared" si="6"/>
        <v>0.17100000000000001</v>
      </c>
      <c r="M66" s="209">
        <f t="shared" si="6"/>
        <v>0.15570000000000001</v>
      </c>
      <c r="N66" s="256">
        <f t="shared" si="7"/>
        <v>8847</v>
      </c>
      <c r="O66" s="256">
        <f t="shared" si="7"/>
        <v>12135</v>
      </c>
      <c r="P66" s="210"/>
    </row>
    <row r="67" spans="1:71" x14ac:dyDescent="0.25">
      <c r="A67" s="204">
        <v>3</v>
      </c>
      <c r="B67" s="205">
        <f t="shared" si="5"/>
        <v>0.74</v>
      </c>
      <c r="C67" s="205">
        <f t="shared" si="5"/>
        <v>0.81</v>
      </c>
      <c r="D67" s="205">
        <f t="shared" si="5"/>
        <v>0.59</v>
      </c>
      <c r="E67" s="205">
        <f t="shared" si="5"/>
        <v>0.7</v>
      </c>
      <c r="F67" s="206">
        <f>IF(ISNA(HLOOKUP(F$64*10+$A67,$81:$82,2,FALSE)),(HLOOKUP(E$64*10+$A67,$87:$94,4,FALSE)*$G67+$B$25)/HLOOKUP(E$64*10+$A67,$87:$94,5,FALSE)*$E67,HLOOKUP(F$64*10+$A67,$81:$82,2,FALSE))</f>
        <v>0.6</v>
      </c>
      <c r="G67" s="101">
        <f>MIN(130%,SUM($B$57:$D$57)/SUM($B$58:$D$58)*$G$69/HLOOKUP(E$64*10+$A67,$145:$146,2,FALSE))</f>
        <v>0.98053108235344166</v>
      </c>
      <c r="H67" s="204">
        <v>3</v>
      </c>
      <c r="I67" s="208">
        <f t="shared" si="6"/>
        <v>0.22800000000000001</v>
      </c>
      <c r="J67" s="208">
        <f t="shared" si="6"/>
        <v>0.2369</v>
      </c>
      <c r="K67" s="208">
        <f t="shared" si="6"/>
        <v>0.16829999999999998</v>
      </c>
      <c r="L67" s="208">
        <f t="shared" si="6"/>
        <v>0.21510000000000001</v>
      </c>
      <c r="M67" s="209">
        <f t="shared" si="6"/>
        <v>0.1787</v>
      </c>
      <c r="N67" s="256">
        <f t="shared" si="7"/>
        <v>-16288</v>
      </c>
      <c r="O67" s="256">
        <f t="shared" si="7"/>
        <v>-20500</v>
      </c>
      <c r="P67" s="210"/>
    </row>
    <row r="68" spans="1:71" x14ac:dyDescent="0.25">
      <c r="A68" s="204">
        <v>4</v>
      </c>
      <c r="B68" s="205">
        <f>HLOOKUP(B$64*10+$A68,$81:$82,2,FALSE)</f>
        <v>0.54</v>
      </c>
      <c r="C68" s="205">
        <f>HLOOKUP(C$64*10+$A68,$81:$82,2,FALSE)</f>
        <v>0.62</v>
      </c>
      <c r="D68" s="205">
        <f>HLOOKUP(D$64*10+$A68,$81:$82,2,FALSE)</f>
        <v>0.47</v>
      </c>
      <c r="E68" s="206">
        <f>IF(ISNA(HLOOKUP(E$64*10+$A68,$81:$82,2,FALSE)),D68*(1-$N68)*#REF!*(1+$B$25)/(1+$E$4),HLOOKUP(E$64*10+$A68,$81:$82,2,FALSE))</f>
        <v>0.6</v>
      </c>
      <c r="F68" s="206">
        <f>IF(ISNA(HLOOKUP(F$64*10+$A68,$81:$82,2,FALSE)),(HLOOKUP(E$64*10+$A68,$87:$94,4,FALSE)*$G68+$B$25)/HLOOKUP(E$64*10+$A68,$87:$94,5,FALSE)*$E68,HLOOKUP(F$64*10+$A68,$81:$82,2,FALSE))</f>
        <v>0.56784235251346127</v>
      </c>
      <c r="G68" s="101">
        <f>MIN(130%,SUM($B$57:$D$57)/SUM($B$58:$D$58)*$G$69/HLOOKUP(E$64*10+$A68,$145:$146,2,FALSE))</f>
        <v>1.1261011294037142</v>
      </c>
      <c r="H68" s="204">
        <v>4</v>
      </c>
      <c r="I68" s="208">
        <f t="shared" si="6"/>
        <v>0.1628</v>
      </c>
      <c r="J68" s="208">
        <f t="shared" si="6"/>
        <v>0.17760000000000001</v>
      </c>
      <c r="K68" s="208">
        <f t="shared" si="6"/>
        <v>0.13289999999999999</v>
      </c>
      <c r="L68" s="208">
        <f t="shared" si="6"/>
        <v>0.1343</v>
      </c>
      <c r="M68" s="209" t="str">
        <f t="shared" si="6"/>
        <v/>
      </c>
      <c r="N68" s="256">
        <f t="shared" si="7"/>
        <v>54198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2.44</v>
      </c>
      <c r="C69" s="213">
        <f>SUM(C65:C68)</f>
        <v>2.91</v>
      </c>
      <c r="D69" s="213">
        <f>SUM(D65:D68)</f>
        <v>2.0999999999999996</v>
      </c>
      <c r="E69" s="213">
        <f>SUM(E65:E68)</f>
        <v>2.17</v>
      </c>
      <c r="F69" s="213">
        <f>SUM(F65:F68)</f>
        <v>2.1378423525134611</v>
      </c>
      <c r="G69" s="257">
        <f>_xlfn.FORECAST.ETS(23,B146:W146,{1,2,3,4,5,6,7,8,9,10,11,12,13,14,15,16,17,18,19,20,21,22})</f>
        <v>26.84873178217476</v>
      </c>
      <c r="H69" s="214" t="s">
        <v>19</v>
      </c>
      <c r="I69" s="215">
        <f>HLOOKUP(I64,151:155,3,FALSE)/100</f>
        <v>0.17559999999999998</v>
      </c>
      <c r="J69" s="215">
        <f>HLOOKUP(J64,151:155,3,FALSE)/100</f>
        <v>0.21940000000000001</v>
      </c>
      <c r="K69" s="215">
        <f>HLOOKUP(K64,151:155,3,FALSE)/100</f>
        <v>0.16420000000000001</v>
      </c>
      <c r="L69" s="215">
        <f>IF(ISNA(HLOOKUP(L64,151:155,3,FALSE)/100),AVERAGE(L65:L68),HLOOKUP(L64,151:155,3,FALSE)/100)</f>
        <v>0.16570000000000001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1.9</v>
      </c>
      <c r="C72" s="205">
        <f t="shared" si="8"/>
        <v>3</v>
      </c>
      <c r="D72" s="205">
        <f t="shared" si="8"/>
        <v>1.87</v>
      </c>
      <c r="E72" s="205">
        <f t="shared" si="8"/>
        <v>1.51</v>
      </c>
      <c r="F72" s="205">
        <f t="shared" si="8"/>
        <v>1.84</v>
      </c>
    </row>
    <row r="73" spans="1:71" s="135" customFormat="1" x14ac:dyDescent="0.25">
      <c r="A73" s="204">
        <v>2</v>
      </c>
      <c r="B73" s="205">
        <f t="shared" si="8"/>
        <v>3.34</v>
      </c>
      <c r="C73" s="205">
        <f t="shared" si="8"/>
        <v>3.73</v>
      </c>
      <c r="D73" s="205">
        <f t="shared" si="8"/>
        <v>2.74</v>
      </c>
      <c r="E73" s="205">
        <f t="shared" si="8"/>
        <v>2.39</v>
      </c>
      <c r="F73" s="205">
        <f t="shared" si="8"/>
        <v>2.39</v>
      </c>
    </row>
    <row r="74" spans="1:71" s="135" customFormat="1" x14ac:dyDescent="0.25">
      <c r="A74" s="204">
        <v>3</v>
      </c>
      <c r="B74" s="205">
        <f t="shared" si="8"/>
        <v>3.61</v>
      </c>
      <c r="C74" s="205">
        <f t="shared" si="8"/>
        <v>3.69</v>
      </c>
      <c r="D74" s="205">
        <f t="shared" si="8"/>
        <v>2.77</v>
      </c>
      <c r="E74" s="205">
        <f t="shared" si="8"/>
        <v>3.31</v>
      </c>
      <c r="F74" s="205">
        <f t="shared" si="8"/>
        <v>2.67</v>
      </c>
    </row>
    <row r="75" spans="1:71" s="135" customFormat="1" x14ac:dyDescent="0.25">
      <c r="A75" s="204">
        <v>4</v>
      </c>
      <c r="B75" s="205">
        <f t="shared" si="8"/>
        <v>2.41</v>
      </c>
      <c r="C75" s="205">
        <f t="shared" si="8"/>
        <v>2.66</v>
      </c>
      <c r="D75" s="205">
        <f t="shared" si="8"/>
        <v>2.1800000000000002</v>
      </c>
      <c r="E75" s="205">
        <f t="shared" si="8"/>
        <v>2.79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11.26</v>
      </c>
      <c r="C76" s="213">
        <f>SUM(C72:C75)</f>
        <v>13.08</v>
      </c>
      <c r="D76" s="213">
        <f>SUM(D72:D75)</f>
        <v>9.56</v>
      </c>
      <c r="E76" s="213">
        <f>AVERAGE(E72:E75)*4</f>
        <v>10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344610</v>
      </c>
      <c r="C79" s="270">
        <v>338078</v>
      </c>
      <c r="D79" s="270">
        <v>355169</v>
      </c>
      <c r="E79" s="270">
        <v>382533</v>
      </c>
      <c r="F79" s="270">
        <v>390630</v>
      </c>
      <c r="G79" s="270">
        <v>395311</v>
      </c>
      <c r="H79" s="270">
        <v>426978</v>
      </c>
      <c r="I79" s="270">
        <v>444985</v>
      </c>
      <c r="J79" s="270">
        <v>442269</v>
      </c>
      <c r="K79" s="270">
        <v>445901</v>
      </c>
      <c r="L79" s="270">
        <v>464825</v>
      </c>
      <c r="M79" s="270">
        <v>429390</v>
      </c>
      <c r="N79" s="270">
        <v>432603</v>
      </c>
      <c r="O79" s="270">
        <v>346275</v>
      </c>
      <c r="P79" s="270">
        <v>427691</v>
      </c>
      <c r="Q79" s="270">
        <v>449936</v>
      </c>
      <c r="R79" s="270">
        <v>461672</v>
      </c>
      <c r="S79" s="270">
        <v>453839</v>
      </c>
      <c r="T79" s="270">
        <v>470995</v>
      </c>
      <c r="U79" s="270">
        <v>475714</v>
      </c>
      <c r="V79" s="270">
        <v>445319</v>
      </c>
      <c r="W79" s="270">
        <v>441867</v>
      </c>
      <c r="X79" s="270">
        <v>400280</v>
      </c>
      <c r="Y79" s="270">
        <v>417654</v>
      </c>
      <c r="Z79" s="270">
        <v>406959</v>
      </c>
      <c r="AA79" s="270">
        <v>381003</v>
      </c>
      <c r="AB79" s="270">
        <v>438288</v>
      </c>
      <c r="AC79" s="270">
        <v>439275</v>
      </c>
      <c r="AD79" s="270">
        <v>457393</v>
      </c>
      <c r="AE79" s="270">
        <v>451673</v>
      </c>
      <c r="AF79" s="270">
        <v>451821</v>
      </c>
      <c r="AG79" s="270">
        <v>458722</v>
      </c>
      <c r="AH79" s="270">
        <v>462076</v>
      </c>
      <c r="AI79" s="270">
        <v>448579</v>
      </c>
      <c r="AJ79" s="270">
        <v>436810</v>
      </c>
      <c r="AK79" s="270">
        <v>400689</v>
      </c>
      <c r="AL79" s="270">
        <v>381034</v>
      </c>
      <c r="AM79" s="270">
        <v>342224</v>
      </c>
      <c r="AN79" s="270">
        <v>428002</v>
      </c>
      <c r="AO79" s="270">
        <v>422667</v>
      </c>
      <c r="AP79" s="270">
        <v>431385</v>
      </c>
      <c r="AQ79" s="270">
        <v>451438</v>
      </c>
      <c r="AR79" s="270">
        <v>442727</v>
      </c>
      <c r="AS79" s="270">
        <v>447970</v>
      </c>
      <c r="AT79" s="270">
        <v>426041</v>
      </c>
      <c r="AU79" s="270">
        <v>426768</v>
      </c>
      <c r="AV79" s="270">
        <v>430409</v>
      </c>
      <c r="AW79" s="270">
        <v>423618</v>
      </c>
      <c r="AX79" s="270">
        <v>389515</v>
      </c>
      <c r="AY79" s="270">
        <v>386226</v>
      </c>
      <c r="AZ79" s="270">
        <v>467397</v>
      </c>
      <c r="BA79" s="270">
        <v>445221</v>
      </c>
      <c r="BB79" s="270">
        <v>465881</v>
      </c>
      <c r="BC79" s="270">
        <v>489894</v>
      </c>
      <c r="BD79" s="270">
        <v>509849</v>
      </c>
      <c r="BE79" s="270">
        <v>535555</v>
      </c>
      <c r="BF79" s="270">
        <v>544134</v>
      </c>
      <c r="BG79" s="270">
        <v>529193</v>
      </c>
      <c r="BH79" s="270">
        <v>506681</v>
      </c>
      <c r="BI79" s="270">
        <v>526627</v>
      </c>
      <c r="BJ79" s="270">
        <v>507534</v>
      </c>
      <c r="BK79" s="270">
        <v>458056</v>
      </c>
      <c r="BL79" s="270">
        <v>492892</v>
      </c>
      <c r="BM79" s="270">
        <v>455500</v>
      </c>
      <c r="BN79" s="270">
        <v>494527</v>
      </c>
      <c r="BO79" s="270">
        <v>513286</v>
      </c>
      <c r="BP79" s="270">
        <v>501206</v>
      </c>
      <c r="BQ79" s="270">
        <v>536407</v>
      </c>
      <c r="BR79" s="270">
        <v>550091</v>
      </c>
      <c r="BS79" s="270">
        <v>754368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0.47</v>
      </c>
      <c r="C82" s="72">
        <v>0.68</v>
      </c>
      <c r="D82" s="72">
        <v>0.77</v>
      </c>
      <c r="E82" s="72">
        <v>0.86</v>
      </c>
      <c r="F82" s="72">
        <v>0.44</v>
      </c>
      <c r="G82" s="72">
        <v>0.72</v>
      </c>
      <c r="H82" s="72">
        <v>0.74</v>
      </c>
      <c r="I82" s="72">
        <v>0.54</v>
      </c>
      <c r="J82" s="72">
        <v>0.65</v>
      </c>
      <c r="K82" s="72">
        <v>0.83</v>
      </c>
      <c r="L82" s="72">
        <v>0.81</v>
      </c>
      <c r="M82" s="72">
        <v>0.62</v>
      </c>
      <c r="N82" s="72">
        <v>0.43</v>
      </c>
      <c r="O82" s="72">
        <v>0.61</v>
      </c>
      <c r="P82" s="72">
        <v>0.59</v>
      </c>
      <c r="Q82" s="72">
        <v>0.47</v>
      </c>
      <c r="R82" s="72">
        <v>0.34</v>
      </c>
      <c r="S82" s="72">
        <v>0.53</v>
      </c>
      <c r="T82" s="72">
        <v>0.7</v>
      </c>
      <c r="U82" s="72">
        <v>0.6</v>
      </c>
      <c r="V82" s="72">
        <v>0.43</v>
      </c>
      <c r="W82" s="72">
        <v>0.54</v>
      </c>
      <c r="X82" s="72">
        <v>0.6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20.03</v>
      </c>
      <c r="C85" s="72">
        <v>19.07</v>
      </c>
      <c r="D85" s="72">
        <v>19.78</v>
      </c>
      <c r="E85" s="72">
        <v>20.64</v>
      </c>
      <c r="F85" s="72">
        <v>20.93</v>
      </c>
      <c r="G85" s="72">
        <v>19.48</v>
      </c>
      <c r="H85" s="72">
        <v>20.21</v>
      </c>
      <c r="I85" s="72">
        <v>20.86</v>
      </c>
      <c r="J85" s="72">
        <v>21.51</v>
      </c>
      <c r="K85" s="72">
        <v>20.59</v>
      </c>
      <c r="L85" s="72">
        <v>21.38</v>
      </c>
      <c r="M85" s="72">
        <v>21.95</v>
      </c>
      <c r="N85" s="72">
        <v>22.38</v>
      </c>
      <c r="O85" s="72">
        <v>20.81</v>
      </c>
      <c r="P85" s="72">
        <v>21.39</v>
      </c>
      <c r="Q85" s="72">
        <v>21.86</v>
      </c>
      <c r="R85" s="72">
        <v>22.2</v>
      </c>
      <c r="S85" s="72">
        <v>21.1</v>
      </c>
      <c r="T85" s="72">
        <v>21.71</v>
      </c>
      <c r="U85" s="72">
        <v>22.34</v>
      </c>
      <c r="V85" s="72">
        <v>22.75</v>
      </c>
      <c r="W85" s="72">
        <v>21.78</v>
      </c>
      <c r="X85" s="72">
        <v>22.4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1038799</v>
      </c>
      <c r="C88" s="273">
        <v>1170048</v>
      </c>
      <c r="D88" s="273">
        <v>1314346</v>
      </c>
      <c r="E88" s="273">
        <v>1369902</v>
      </c>
      <c r="F88" s="273">
        <v>1206213</v>
      </c>
      <c r="G88" s="273">
        <v>1366771</v>
      </c>
      <c r="H88" s="273">
        <v>1393901</v>
      </c>
      <c r="I88" s="273">
        <v>1272341</v>
      </c>
      <c r="J88" s="273">
        <v>1226660</v>
      </c>
      <c r="K88" s="273">
        <v>1349150</v>
      </c>
      <c r="L88" s="273">
        <v>1371441</v>
      </c>
      <c r="M88" s="273">
        <v>1281196</v>
      </c>
      <c r="N88" s="273">
        <v>1154533</v>
      </c>
      <c r="O88" s="273">
        <v>1301831</v>
      </c>
      <c r="P88" s="273">
        <v>1316979</v>
      </c>
      <c r="Q88" s="273">
        <v>1281174</v>
      </c>
      <c r="R88" s="273">
        <v>1240338</v>
      </c>
      <c r="S88" s="273">
        <v>1403796</v>
      </c>
      <c r="T88" s="273">
        <v>1589417</v>
      </c>
      <c r="U88" s="273">
        <v>1562058</v>
      </c>
      <c r="V88" s="273">
        <v>1458483</v>
      </c>
      <c r="W88" s="273">
        <v>1463270</v>
      </c>
      <c r="X88" s="273">
        <v>1587748</v>
      </c>
    </row>
    <row r="89" spans="1:25" ht="14.25" thickBot="1" x14ac:dyDescent="0.3">
      <c r="A89" s="250" t="s">
        <v>4</v>
      </c>
      <c r="B89" s="275">
        <v>283336</v>
      </c>
      <c r="C89" s="275">
        <v>364935</v>
      </c>
      <c r="D89" s="275">
        <v>450126</v>
      </c>
      <c r="E89" s="275">
        <v>368699</v>
      </c>
      <c r="F89" s="275">
        <v>258741</v>
      </c>
      <c r="G89" s="275">
        <v>401497</v>
      </c>
      <c r="H89" s="275">
        <v>456195</v>
      </c>
      <c r="I89" s="275">
        <v>356385</v>
      </c>
      <c r="J89" s="275">
        <v>385995</v>
      </c>
      <c r="K89" s="275">
        <v>475930</v>
      </c>
      <c r="L89" s="275">
        <v>483152</v>
      </c>
      <c r="M89" s="275">
        <v>361071</v>
      </c>
      <c r="N89" s="275">
        <v>305986</v>
      </c>
      <c r="O89" s="275">
        <v>371517</v>
      </c>
      <c r="P89" s="275">
        <v>364222</v>
      </c>
      <c r="Q89" s="275">
        <v>309557</v>
      </c>
      <c r="R89" s="275">
        <v>298237</v>
      </c>
      <c r="S89" s="275">
        <v>386258</v>
      </c>
      <c r="T89" s="275">
        <v>497919</v>
      </c>
      <c r="U89" s="275">
        <v>426207</v>
      </c>
      <c r="V89" s="275">
        <v>390672</v>
      </c>
      <c r="W89" s="275">
        <v>384452</v>
      </c>
      <c r="X89" s="275">
        <v>457622</v>
      </c>
    </row>
    <row r="90" spans="1:25" ht="14.25" thickBot="1" x14ac:dyDescent="0.3">
      <c r="A90" s="251" t="s">
        <v>5</v>
      </c>
      <c r="B90" s="273">
        <v>163884</v>
      </c>
      <c r="C90" s="273">
        <v>245443</v>
      </c>
      <c r="D90" s="273">
        <v>307936</v>
      </c>
      <c r="E90" s="273">
        <v>256147</v>
      </c>
      <c r="F90" s="273">
        <v>122521</v>
      </c>
      <c r="G90" s="273">
        <v>272288</v>
      </c>
      <c r="H90" s="273">
        <v>317841</v>
      </c>
      <c r="I90" s="273">
        <v>207120</v>
      </c>
      <c r="J90" s="273">
        <v>249957</v>
      </c>
      <c r="K90" s="273">
        <v>344886</v>
      </c>
      <c r="L90" s="273">
        <v>324954</v>
      </c>
      <c r="M90" s="273">
        <v>227492</v>
      </c>
      <c r="N90" s="273">
        <v>174511</v>
      </c>
      <c r="O90" s="273">
        <v>263527</v>
      </c>
      <c r="P90" s="273">
        <v>221604</v>
      </c>
      <c r="Q90" s="273">
        <v>170209</v>
      </c>
      <c r="R90" s="273">
        <v>168629</v>
      </c>
      <c r="S90" s="273">
        <v>240036</v>
      </c>
      <c r="T90" s="273">
        <v>341809</v>
      </c>
      <c r="U90" s="273">
        <v>209745</v>
      </c>
      <c r="V90" s="273">
        <v>244136</v>
      </c>
      <c r="W90" s="273">
        <v>227781</v>
      </c>
      <c r="X90" s="273">
        <v>283705</v>
      </c>
    </row>
    <row r="91" spans="1:25" ht="14.25" thickBot="1" x14ac:dyDescent="0.3">
      <c r="A91" s="250" t="s">
        <v>6</v>
      </c>
      <c r="B91" s="275">
        <v>190054</v>
      </c>
      <c r="C91" s="275">
        <v>286121</v>
      </c>
      <c r="D91" s="275">
        <v>302876</v>
      </c>
      <c r="E91" s="275">
        <v>290990</v>
      </c>
      <c r="F91" s="275">
        <v>157464</v>
      </c>
      <c r="G91" s="275">
        <v>301116</v>
      </c>
      <c r="H91" s="275">
        <v>318734</v>
      </c>
      <c r="I91" s="275">
        <v>212340</v>
      </c>
      <c r="J91" s="275">
        <v>281582</v>
      </c>
      <c r="K91" s="275">
        <v>386051</v>
      </c>
      <c r="L91" s="275">
        <v>331027</v>
      </c>
      <c r="M91" s="275">
        <v>241688</v>
      </c>
      <c r="N91" s="275">
        <v>183521</v>
      </c>
      <c r="O91" s="275">
        <v>268500</v>
      </c>
      <c r="P91" s="275">
        <v>259203</v>
      </c>
      <c r="Q91" s="275">
        <v>201082</v>
      </c>
      <c r="R91" s="275">
        <v>154376</v>
      </c>
      <c r="S91" s="275">
        <v>248883</v>
      </c>
      <c r="T91" s="275">
        <v>325521</v>
      </c>
      <c r="U91" s="275">
        <v>263943</v>
      </c>
      <c r="V91" s="275">
        <v>190828</v>
      </c>
      <c r="W91" s="275">
        <v>239916</v>
      </c>
      <c r="X91" s="275">
        <v>263205</v>
      </c>
    </row>
    <row r="92" spans="1:25" ht="14.25" thickBot="1" x14ac:dyDescent="0.3">
      <c r="A92" s="251" t="s">
        <v>7</v>
      </c>
      <c r="B92" s="273">
        <v>162894</v>
      </c>
      <c r="C92" s="273">
        <v>236957</v>
      </c>
      <c r="D92" s="273">
        <v>270576</v>
      </c>
      <c r="E92" s="273">
        <v>285641</v>
      </c>
      <c r="F92" s="273">
        <v>145353</v>
      </c>
      <c r="G92" s="273">
        <v>247962</v>
      </c>
      <c r="H92" s="273">
        <v>262844</v>
      </c>
      <c r="I92" s="273">
        <v>182437</v>
      </c>
      <c r="J92" s="273">
        <v>234871</v>
      </c>
      <c r="K92" s="273">
        <v>289728</v>
      </c>
      <c r="L92" s="273">
        <v>285062</v>
      </c>
      <c r="M92" s="273">
        <v>212036</v>
      </c>
      <c r="N92" s="273">
        <v>152071</v>
      </c>
      <c r="O92" s="273">
        <v>216647</v>
      </c>
      <c r="P92" s="273">
        <v>212063</v>
      </c>
      <c r="Q92" s="273">
        <v>170369</v>
      </c>
      <c r="R92" s="273">
        <v>123236</v>
      </c>
      <c r="S92" s="273">
        <v>195705</v>
      </c>
      <c r="T92" s="273">
        <v>261418</v>
      </c>
      <c r="U92" s="273">
        <v>221950</v>
      </c>
      <c r="V92" s="273">
        <v>150251</v>
      </c>
      <c r="W92" s="273">
        <v>192752</v>
      </c>
      <c r="X92" s="273">
        <v>213416</v>
      </c>
    </row>
    <row r="93" spans="1:25" ht="26.25" thickBot="1" x14ac:dyDescent="0.3">
      <c r="A93" s="252" t="s">
        <v>8</v>
      </c>
      <c r="B93" s="276">
        <v>166932</v>
      </c>
      <c r="C93" s="276">
        <v>242574</v>
      </c>
      <c r="D93" s="276">
        <v>275301</v>
      </c>
      <c r="E93" s="276">
        <v>308661</v>
      </c>
      <c r="F93" s="276">
        <v>156591</v>
      </c>
      <c r="G93" s="276">
        <v>258906</v>
      </c>
      <c r="H93" s="276">
        <v>267885</v>
      </c>
      <c r="I93" s="276">
        <v>194527</v>
      </c>
      <c r="J93" s="276">
        <v>235124</v>
      </c>
      <c r="K93" s="276">
        <v>302017</v>
      </c>
      <c r="L93" s="276">
        <v>293305</v>
      </c>
      <c r="M93" s="276">
        <v>223670</v>
      </c>
      <c r="N93" s="276">
        <v>156356</v>
      </c>
      <c r="O93" s="276">
        <v>220881</v>
      </c>
      <c r="P93" s="276">
        <v>213021</v>
      </c>
      <c r="Q93" s="276">
        <v>170416</v>
      </c>
      <c r="R93" s="276">
        <v>120518</v>
      </c>
      <c r="S93" s="276">
        <v>188430</v>
      </c>
      <c r="T93" s="276">
        <v>251765</v>
      </c>
      <c r="U93" s="276">
        <v>215644</v>
      </c>
      <c r="V93" s="276">
        <v>152974</v>
      </c>
      <c r="W93" s="276">
        <v>192968</v>
      </c>
      <c r="X93" s="276">
        <v>214329</v>
      </c>
    </row>
    <row r="94" spans="1:25" x14ac:dyDescent="0.25">
      <c r="A94" s="233" t="s">
        <v>365</v>
      </c>
      <c r="B94" s="253">
        <f>IF(B91="","",B91-B90)</f>
        <v>26170</v>
      </c>
      <c r="C94" s="253">
        <f>IF(C91="","",C91-C90)</f>
        <v>40678</v>
      </c>
      <c r="D94" s="253">
        <f t="shared" ref="D94:Y94" si="9">IF(D91="","",D91-D90)</f>
        <v>-5060</v>
      </c>
      <c r="E94" s="253">
        <f t="shared" si="9"/>
        <v>34843</v>
      </c>
      <c r="F94" s="253">
        <f t="shared" si="9"/>
        <v>34943</v>
      </c>
      <c r="G94" s="253">
        <f t="shared" si="9"/>
        <v>28828</v>
      </c>
      <c r="H94" s="253">
        <f t="shared" si="9"/>
        <v>893</v>
      </c>
      <c r="I94" s="253">
        <f t="shared" si="9"/>
        <v>5220</v>
      </c>
      <c r="J94" s="253">
        <f t="shared" si="9"/>
        <v>31625</v>
      </c>
      <c r="K94" s="253">
        <f t="shared" si="9"/>
        <v>41165</v>
      </c>
      <c r="L94" s="253">
        <f t="shared" si="9"/>
        <v>6073</v>
      </c>
      <c r="M94" s="253">
        <f t="shared" si="9"/>
        <v>14196</v>
      </c>
      <c r="N94" s="253">
        <f t="shared" si="9"/>
        <v>9010</v>
      </c>
      <c r="O94" s="253">
        <f t="shared" si="9"/>
        <v>4973</v>
      </c>
      <c r="P94" s="253">
        <f t="shared" si="9"/>
        <v>37599</v>
      </c>
      <c r="Q94" s="253">
        <f t="shared" si="9"/>
        <v>30873</v>
      </c>
      <c r="R94" s="253">
        <f t="shared" si="9"/>
        <v>-14253</v>
      </c>
      <c r="S94" s="253">
        <f t="shared" si="9"/>
        <v>8847</v>
      </c>
      <c r="T94" s="253">
        <f t="shared" si="9"/>
        <v>-16288</v>
      </c>
      <c r="U94" s="253">
        <f t="shared" si="9"/>
        <v>54198</v>
      </c>
      <c r="V94" s="253">
        <f t="shared" si="9"/>
        <v>-53308</v>
      </c>
      <c r="W94" s="253">
        <f t="shared" si="9"/>
        <v>12135</v>
      </c>
      <c r="X94" s="253">
        <f t="shared" si="9"/>
        <v>-20500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4893095</v>
      </c>
      <c r="C97" s="273">
        <v>5239226</v>
      </c>
      <c r="D97" s="273">
        <v>5228447</v>
      </c>
      <c r="E97" s="273">
        <v>5054517</v>
      </c>
      <c r="F97" s="273">
        <v>5795609</v>
      </c>
    </row>
    <row r="98" spans="1:24" ht="14.25" thickBot="1" x14ac:dyDescent="0.3">
      <c r="A98" s="225" t="s">
        <v>4</v>
      </c>
      <c r="B98" s="275">
        <v>1467096</v>
      </c>
      <c r="C98" s="275">
        <v>1472818</v>
      </c>
      <c r="D98" s="275">
        <v>1706148</v>
      </c>
      <c r="E98" s="275">
        <v>1351282</v>
      </c>
      <c r="F98" s="275">
        <v>1608621</v>
      </c>
    </row>
    <row r="99" spans="1:24" ht="14.25" thickBot="1" x14ac:dyDescent="0.3">
      <c r="A99" s="224" t="s">
        <v>5</v>
      </c>
      <c r="B99" s="273">
        <v>973410</v>
      </c>
      <c r="C99" s="273">
        <v>919770</v>
      </c>
      <c r="D99" s="273">
        <v>1147289</v>
      </c>
      <c r="E99" s="273">
        <v>829851</v>
      </c>
      <c r="F99" s="273">
        <v>960219</v>
      </c>
    </row>
    <row r="100" spans="1:24" ht="14.25" thickBot="1" x14ac:dyDescent="0.3">
      <c r="A100" s="225" t="s">
        <v>6</v>
      </c>
      <c r="B100" s="275">
        <v>1070041</v>
      </c>
      <c r="C100" s="275">
        <v>989654</v>
      </c>
      <c r="D100" s="275">
        <v>1240348</v>
      </c>
      <c r="E100" s="275">
        <v>912306</v>
      </c>
      <c r="F100" s="275">
        <v>992723</v>
      </c>
    </row>
    <row r="101" spans="1:24" ht="14.25" thickBot="1" x14ac:dyDescent="0.3">
      <c r="A101" s="224" t="s">
        <v>7</v>
      </c>
      <c r="B101" s="273">
        <v>956068</v>
      </c>
      <c r="C101" s="273">
        <v>838596</v>
      </c>
      <c r="D101" s="273">
        <v>1021697</v>
      </c>
      <c r="E101" s="273">
        <v>751150</v>
      </c>
      <c r="F101" s="273">
        <v>802309</v>
      </c>
    </row>
    <row r="102" spans="1:24" ht="14.25" thickBot="1" x14ac:dyDescent="0.3">
      <c r="A102" s="227" t="s">
        <v>8</v>
      </c>
      <c r="B102" s="276">
        <v>993468</v>
      </c>
      <c r="C102" s="276">
        <v>877909</v>
      </c>
      <c r="D102" s="276">
        <v>1054116</v>
      </c>
      <c r="E102" s="276">
        <v>760674</v>
      </c>
      <c r="F102" s="276">
        <v>776357</v>
      </c>
    </row>
    <row r="103" spans="1:24" x14ac:dyDescent="0.25">
      <c r="A103" s="233" t="s">
        <v>262</v>
      </c>
      <c r="B103" s="234">
        <f>IF(OR(B102="",B102="無"),"",B102/B101)</f>
        <v>1.0391185564206731</v>
      </c>
      <c r="C103" s="234">
        <f>IF(OR(C102="",C102="無"),"",C102/C101)</f>
        <v>1.0468795462892739</v>
      </c>
      <c r="D103" s="234">
        <f>IF(OR(D102="",D102="無"),"",D102/D101)</f>
        <v>1.0317305424210896</v>
      </c>
      <c r="E103" s="234">
        <f>IF(OR(E102="",E102="無"),"",E102/E101)</f>
        <v>1.012679225188045</v>
      </c>
      <c r="F103" s="234">
        <f>IF(OR(F102="",F102="無"),"",F102/F101)</f>
        <v>0.96765336048829065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3156330</v>
      </c>
      <c r="C106" s="273">
        <v>3139136</v>
      </c>
      <c r="D106" s="273">
        <v>3264017</v>
      </c>
      <c r="E106" s="273">
        <v>3636890</v>
      </c>
      <c r="F106" s="273">
        <v>2345072</v>
      </c>
      <c r="G106" s="273">
        <v>3247053</v>
      </c>
      <c r="H106" s="273">
        <v>3599059</v>
      </c>
      <c r="I106" s="273">
        <v>4147114</v>
      </c>
      <c r="J106" s="273">
        <v>4453368</v>
      </c>
      <c r="K106" s="273">
        <v>4678080</v>
      </c>
      <c r="L106" s="273">
        <v>4086752</v>
      </c>
      <c r="M106" s="273">
        <v>3981222</v>
      </c>
      <c r="N106" s="273">
        <v>4194211</v>
      </c>
      <c r="O106" s="273">
        <v>3787287</v>
      </c>
      <c r="P106" s="273">
        <v>2980830</v>
      </c>
      <c r="Q106" s="273">
        <v>3205228</v>
      </c>
      <c r="R106" s="273">
        <v>3657057</v>
      </c>
      <c r="S106" s="273">
        <v>4006609</v>
      </c>
      <c r="T106" s="273">
        <v>3670041</v>
      </c>
      <c r="U106" s="273">
        <v>3559599</v>
      </c>
      <c r="V106" s="273">
        <v>3881018</v>
      </c>
      <c r="W106" s="273">
        <v>4831257</v>
      </c>
      <c r="X106" s="273">
        <v>4214417</v>
      </c>
    </row>
    <row r="107" spans="1:24" ht="14.25" thickBot="1" x14ac:dyDescent="0.3">
      <c r="A107" s="225" t="s">
        <v>22</v>
      </c>
      <c r="B107" s="275">
        <v>615689</v>
      </c>
      <c r="C107" s="275">
        <v>462639</v>
      </c>
      <c r="D107" s="275">
        <v>411502</v>
      </c>
      <c r="E107" s="275">
        <v>485300</v>
      </c>
      <c r="F107" s="275">
        <v>1887907</v>
      </c>
      <c r="G107" s="275">
        <v>1117670</v>
      </c>
      <c r="H107" s="275">
        <v>821577</v>
      </c>
      <c r="I107" s="275">
        <v>702250</v>
      </c>
      <c r="J107" s="275">
        <v>709442</v>
      </c>
      <c r="K107" s="275">
        <v>789629</v>
      </c>
      <c r="L107" s="275">
        <v>963926</v>
      </c>
      <c r="M107" s="275">
        <v>1089950</v>
      </c>
      <c r="N107" s="275">
        <v>1038891</v>
      </c>
      <c r="O107" s="275">
        <v>1100901</v>
      </c>
      <c r="P107" s="275">
        <v>1400734</v>
      </c>
      <c r="Q107" s="275">
        <v>1088504</v>
      </c>
      <c r="R107" s="275">
        <v>661174</v>
      </c>
      <c r="S107" s="275">
        <v>667207</v>
      </c>
      <c r="T107" s="275">
        <v>708746</v>
      </c>
      <c r="U107" s="275">
        <v>713216</v>
      </c>
      <c r="V107" s="275">
        <v>640699</v>
      </c>
      <c r="W107" s="275">
        <v>935448</v>
      </c>
      <c r="X107" s="275">
        <v>934508</v>
      </c>
    </row>
    <row r="108" spans="1:24" ht="14.25" thickBot="1" x14ac:dyDescent="0.3">
      <c r="A108" s="224" t="s">
        <v>263</v>
      </c>
      <c r="B108" s="273">
        <v>1073057</v>
      </c>
      <c r="C108" s="273">
        <v>1223209</v>
      </c>
      <c r="D108" s="273">
        <v>1377259</v>
      </c>
      <c r="E108" s="273">
        <v>1331693</v>
      </c>
      <c r="F108" s="273">
        <v>1243067</v>
      </c>
      <c r="G108" s="273">
        <v>1328796</v>
      </c>
      <c r="H108" s="273">
        <v>1400446</v>
      </c>
      <c r="I108" s="273">
        <v>1257017</v>
      </c>
      <c r="J108" s="273">
        <v>1282398</v>
      </c>
      <c r="K108" s="273">
        <v>1390437</v>
      </c>
      <c r="L108" s="273">
        <v>1398173</v>
      </c>
      <c r="M108" s="273">
        <v>1254763</v>
      </c>
      <c r="N108" s="273">
        <v>1134672</v>
      </c>
      <c r="O108" s="273">
        <v>1293179</v>
      </c>
      <c r="P108" s="273">
        <v>1391586</v>
      </c>
      <c r="Q108" s="273">
        <v>1273338</v>
      </c>
      <c r="R108" s="273">
        <v>1261919</v>
      </c>
      <c r="S108" s="273">
        <v>1449909</v>
      </c>
      <c r="T108" s="273">
        <v>1593133</v>
      </c>
      <c r="U108" s="273">
        <v>1575527</v>
      </c>
      <c r="V108" s="273">
        <v>1444292</v>
      </c>
      <c r="W108" s="273">
        <v>1449393</v>
      </c>
      <c r="X108" s="273">
        <v>1567517</v>
      </c>
    </row>
    <row r="109" spans="1:24" ht="14.25" thickBot="1" x14ac:dyDescent="0.3">
      <c r="A109" s="225" t="s">
        <v>264</v>
      </c>
      <c r="B109" s="275">
        <v>86786</v>
      </c>
      <c r="C109" s="275">
        <v>159187</v>
      </c>
      <c r="D109" s="275">
        <v>124825</v>
      </c>
      <c r="E109" s="275">
        <v>109799</v>
      </c>
      <c r="F109" s="275">
        <v>171812</v>
      </c>
      <c r="G109" s="275">
        <v>149343</v>
      </c>
      <c r="H109" s="275">
        <v>168031</v>
      </c>
      <c r="I109" s="275">
        <v>170970</v>
      </c>
      <c r="J109" s="275">
        <v>164235</v>
      </c>
      <c r="K109" s="275">
        <v>118404</v>
      </c>
      <c r="L109" s="275">
        <v>99533</v>
      </c>
      <c r="M109" s="275">
        <v>58153</v>
      </c>
      <c r="N109" s="275">
        <v>63357</v>
      </c>
      <c r="O109" s="275">
        <v>74491</v>
      </c>
      <c r="P109" s="275">
        <v>60516</v>
      </c>
      <c r="Q109" s="275">
        <v>64127</v>
      </c>
      <c r="R109" s="275">
        <v>85476</v>
      </c>
      <c r="S109" s="275">
        <v>74964</v>
      </c>
      <c r="T109" s="275">
        <v>78315</v>
      </c>
      <c r="U109" s="275">
        <v>76271</v>
      </c>
      <c r="V109" s="275">
        <v>80261</v>
      </c>
      <c r="W109" s="275">
        <v>79065</v>
      </c>
      <c r="X109" s="275">
        <v>74343</v>
      </c>
    </row>
    <row r="110" spans="1:24" ht="14.25" thickBot="1" x14ac:dyDescent="0.3">
      <c r="A110" s="224" t="s">
        <v>23</v>
      </c>
      <c r="B110" s="273">
        <v>143258</v>
      </c>
      <c r="C110" s="273">
        <v>182599</v>
      </c>
      <c r="D110" s="273">
        <v>136731</v>
      </c>
      <c r="E110" s="273">
        <v>182098</v>
      </c>
      <c r="F110" s="273">
        <v>123885</v>
      </c>
      <c r="G110" s="273">
        <v>157236</v>
      </c>
      <c r="H110" s="273">
        <v>125300</v>
      </c>
      <c r="I110" s="273">
        <v>174667</v>
      </c>
      <c r="J110" s="273">
        <v>206711</v>
      </c>
      <c r="K110" s="273">
        <v>203163</v>
      </c>
      <c r="L110" s="273">
        <v>161940</v>
      </c>
      <c r="M110" s="273">
        <v>169875</v>
      </c>
      <c r="N110" s="273">
        <v>166028</v>
      </c>
      <c r="O110" s="273">
        <v>205828</v>
      </c>
      <c r="P110" s="273">
        <v>165566</v>
      </c>
      <c r="Q110" s="273">
        <v>172960</v>
      </c>
      <c r="R110" s="273">
        <v>138109</v>
      </c>
      <c r="S110" s="273">
        <v>165572</v>
      </c>
      <c r="T110" s="273">
        <v>153733</v>
      </c>
      <c r="U110" s="273">
        <v>154658</v>
      </c>
      <c r="V110" s="273">
        <v>189857</v>
      </c>
      <c r="W110" s="273">
        <v>146681</v>
      </c>
      <c r="X110" s="273">
        <v>186160</v>
      </c>
    </row>
    <row r="111" spans="1:24" ht="14.25" thickBot="1" x14ac:dyDescent="0.3">
      <c r="A111" s="225" t="s">
        <v>24</v>
      </c>
      <c r="B111" s="275">
        <v>5075120</v>
      </c>
      <c r="C111" s="275">
        <v>5166770</v>
      </c>
      <c r="D111" s="275">
        <v>5314334</v>
      </c>
      <c r="E111" s="275">
        <v>5745780</v>
      </c>
      <c r="F111" s="275">
        <v>5771743</v>
      </c>
      <c r="G111" s="275">
        <v>6000098</v>
      </c>
      <c r="H111" s="275">
        <v>6114413</v>
      </c>
      <c r="I111" s="275">
        <v>6452018</v>
      </c>
      <c r="J111" s="275">
        <v>6816154</v>
      </c>
      <c r="K111" s="275">
        <v>7179713</v>
      </c>
      <c r="L111" s="275">
        <v>6710324</v>
      </c>
      <c r="M111" s="275">
        <v>6553963</v>
      </c>
      <c r="N111" s="275">
        <v>6597159</v>
      </c>
      <c r="O111" s="275">
        <v>6461686</v>
      </c>
      <c r="P111" s="275">
        <v>5999232</v>
      </c>
      <c r="Q111" s="275">
        <v>5804157</v>
      </c>
      <c r="R111" s="275">
        <v>5803735</v>
      </c>
      <c r="S111" s="275">
        <v>6364261</v>
      </c>
      <c r="T111" s="275">
        <v>6203968</v>
      </c>
      <c r="U111" s="275">
        <v>6079271</v>
      </c>
      <c r="V111" s="275">
        <v>6236127</v>
      </c>
      <c r="W111" s="275">
        <v>7441844</v>
      </c>
      <c r="X111" s="275">
        <v>6976945</v>
      </c>
    </row>
    <row r="112" spans="1:24" ht="14.25" thickBot="1" x14ac:dyDescent="0.3">
      <c r="A112" s="224" t="s">
        <v>25</v>
      </c>
      <c r="B112" s="273">
        <v>31784</v>
      </c>
      <c r="C112" s="273">
        <v>23610</v>
      </c>
      <c r="D112" s="273">
        <v>22463</v>
      </c>
      <c r="E112" s="273">
        <v>18821</v>
      </c>
      <c r="F112" s="273">
        <v>67156</v>
      </c>
      <c r="G112" s="273">
        <v>67426</v>
      </c>
      <c r="H112" s="273">
        <v>65777</v>
      </c>
      <c r="I112" s="273">
        <v>67736</v>
      </c>
      <c r="J112" s="273">
        <v>70706</v>
      </c>
      <c r="K112" s="273">
        <v>91659</v>
      </c>
      <c r="L112" s="273">
        <v>93006</v>
      </c>
      <c r="M112" s="273">
        <v>85402</v>
      </c>
      <c r="N112" s="273">
        <v>87945</v>
      </c>
      <c r="O112" s="273">
        <v>78855</v>
      </c>
      <c r="P112" s="273">
        <v>72247</v>
      </c>
      <c r="Q112" s="273">
        <v>573305</v>
      </c>
      <c r="R112" s="273">
        <v>529805</v>
      </c>
      <c r="S112" s="273">
        <v>527539</v>
      </c>
      <c r="T112" s="273">
        <v>528363</v>
      </c>
      <c r="U112" s="273">
        <v>524860</v>
      </c>
      <c r="V112" s="273">
        <v>525547</v>
      </c>
      <c r="W112" s="273">
        <v>524379</v>
      </c>
      <c r="X112" s="273">
        <v>530836</v>
      </c>
    </row>
    <row r="113" spans="1:24" ht="14.25" thickBot="1" x14ac:dyDescent="0.3">
      <c r="A113" s="225" t="s">
        <v>26</v>
      </c>
      <c r="B113" s="275">
        <v>4454721</v>
      </c>
      <c r="C113" s="275">
        <v>4428691</v>
      </c>
      <c r="D113" s="275">
        <v>4510114</v>
      </c>
      <c r="E113" s="275">
        <v>4679458</v>
      </c>
      <c r="F113" s="275">
        <v>4647355</v>
      </c>
      <c r="G113" s="275">
        <v>4590317</v>
      </c>
      <c r="H113" s="275">
        <v>4717003</v>
      </c>
      <c r="I113" s="275">
        <v>4663190</v>
      </c>
      <c r="J113" s="275">
        <v>4644097</v>
      </c>
      <c r="K113" s="275">
        <v>4619359</v>
      </c>
      <c r="L113" s="275">
        <v>5063699</v>
      </c>
      <c r="M113" s="275">
        <v>5107090</v>
      </c>
      <c r="N113" s="275">
        <v>5558514</v>
      </c>
      <c r="O113" s="275">
        <v>6099498</v>
      </c>
      <c r="P113" s="275">
        <v>6142270</v>
      </c>
      <c r="Q113" s="275">
        <v>6105746</v>
      </c>
      <c r="R113" s="275">
        <v>6368893</v>
      </c>
      <c r="S113" s="275">
        <v>6496751</v>
      </c>
      <c r="T113" s="275">
        <v>6437210</v>
      </c>
      <c r="U113" s="275">
        <v>6666486</v>
      </c>
      <c r="V113" s="275">
        <v>6589348</v>
      </c>
      <c r="W113" s="275">
        <v>6718772</v>
      </c>
      <c r="X113" s="275">
        <v>6934617</v>
      </c>
    </row>
    <row r="114" spans="1:24" ht="14.25" thickBot="1" x14ac:dyDescent="0.3">
      <c r="A114" s="224" t="s">
        <v>27</v>
      </c>
      <c r="B114" s="273">
        <v>97579</v>
      </c>
      <c r="C114" s="273">
        <v>77600</v>
      </c>
      <c r="D114" s="273">
        <v>60521</v>
      </c>
      <c r="E114" s="273">
        <v>63596</v>
      </c>
      <c r="F114" s="273">
        <v>60628</v>
      </c>
      <c r="G114" s="273">
        <v>69738</v>
      </c>
      <c r="H114" s="273">
        <v>66377</v>
      </c>
      <c r="I114" s="273">
        <v>69329</v>
      </c>
      <c r="J114" s="273">
        <v>66617</v>
      </c>
      <c r="K114" s="273">
        <v>54382</v>
      </c>
      <c r="L114" s="273">
        <v>51686</v>
      </c>
      <c r="M114" s="273">
        <v>51234</v>
      </c>
      <c r="N114" s="273">
        <v>42909</v>
      </c>
      <c r="O114" s="273">
        <v>77139</v>
      </c>
      <c r="P114" s="273">
        <v>54007</v>
      </c>
      <c r="Q114" s="273">
        <v>51586</v>
      </c>
      <c r="R114" s="273">
        <v>194994</v>
      </c>
      <c r="S114" s="273">
        <v>196840</v>
      </c>
      <c r="T114" s="273">
        <v>189640</v>
      </c>
      <c r="U114" s="273">
        <v>183344</v>
      </c>
      <c r="V114" s="273">
        <v>145198</v>
      </c>
      <c r="W114" s="273">
        <v>193391</v>
      </c>
      <c r="X114" s="273">
        <v>136269</v>
      </c>
    </row>
    <row r="115" spans="1:24" ht="14.25" thickBot="1" x14ac:dyDescent="0.3">
      <c r="A115" s="225" t="s">
        <v>265</v>
      </c>
      <c r="B115" s="276">
        <v>9659204</v>
      </c>
      <c r="C115" s="276">
        <v>9696671</v>
      </c>
      <c r="D115" s="276">
        <v>9907432</v>
      </c>
      <c r="E115" s="276">
        <v>10507655</v>
      </c>
      <c r="F115" s="276">
        <v>10546882</v>
      </c>
      <c r="G115" s="276">
        <v>10727579</v>
      </c>
      <c r="H115" s="276">
        <v>10963570</v>
      </c>
      <c r="I115" s="276">
        <v>11252273</v>
      </c>
      <c r="J115" s="276">
        <v>11597574</v>
      </c>
      <c r="K115" s="276">
        <v>11945113</v>
      </c>
      <c r="L115" s="276">
        <v>11918715</v>
      </c>
      <c r="M115" s="276">
        <v>11797689</v>
      </c>
      <c r="N115" s="276">
        <v>12286527</v>
      </c>
      <c r="O115" s="276">
        <v>12717178</v>
      </c>
      <c r="P115" s="276">
        <v>12267756</v>
      </c>
      <c r="Q115" s="276">
        <v>12534794</v>
      </c>
      <c r="R115" s="276">
        <v>12897427</v>
      </c>
      <c r="S115" s="276">
        <v>13585391</v>
      </c>
      <c r="T115" s="276">
        <v>13359181</v>
      </c>
      <c r="U115" s="276">
        <v>13453961</v>
      </c>
      <c r="V115" s="276">
        <v>13496220</v>
      </c>
      <c r="W115" s="276">
        <v>14878386</v>
      </c>
      <c r="X115" s="276">
        <v>14578667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527436</v>
      </c>
      <c r="C118" s="273">
        <v>266572</v>
      </c>
      <c r="D118" s="273">
        <v>443722</v>
      </c>
      <c r="E118" s="273">
        <v>673955</v>
      </c>
      <c r="F118" s="273">
        <v>546674</v>
      </c>
      <c r="G118" s="273">
        <v>645027</v>
      </c>
      <c r="H118" s="273">
        <v>657872</v>
      </c>
      <c r="I118" s="273">
        <v>507723</v>
      </c>
      <c r="J118" s="273">
        <v>551084</v>
      </c>
      <c r="K118" s="273">
        <v>408052</v>
      </c>
      <c r="L118" s="273">
        <v>658259</v>
      </c>
      <c r="M118" s="273">
        <v>345432</v>
      </c>
      <c r="N118" s="273">
        <v>551400</v>
      </c>
      <c r="O118" s="273">
        <v>909625</v>
      </c>
      <c r="P118" s="273">
        <v>1061239</v>
      </c>
      <c r="Q118" s="273">
        <v>886655</v>
      </c>
      <c r="R118" s="273">
        <v>591329</v>
      </c>
      <c r="S118" s="273">
        <v>514613</v>
      </c>
      <c r="T118" s="273">
        <v>487348</v>
      </c>
      <c r="U118" s="273">
        <v>397318</v>
      </c>
      <c r="V118" s="273">
        <v>462261</v>
      </c>
      <c r="W118" s="273">
        <v>332990</v>
      </c>
      <c r="X118" s="273">
        <v>331842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5">
        <v>149707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114254</v>
      </c>
      <c r="C120" s="273">
        <v>197096</v>
      </c>
      <c r="D120" s="273">
        <v>139835</v>
      </c>
      <c r="E120" s="273">
        <v>176759</v>
      </c>
      <c r="F120" s="273">
        <v>224705</v>
      </c>
      <c r="G120" s="273">
        <v>204838</v>
      </c>
      <c r="H120" s="273">
        <v>241150</v>
      </c>
      <c r="I120" s="273">
        <v>177262</v>
      </c>
      <c r="J120" s="273">
        <v>270580</v>
      </c>
      <c r="K120" s="273">
        <v>182726</v>
      </c>
      <c r="L120" s="273">
        <v>145383</v>
      </c>
      <c r="M120" s="273">
        <v>123350</v>
      </c>
      <c r="N120" s="273">
        <v>119729</v>
      </c>
      <c r="O120" s="273">
        <v>106574</v>
      </c>
      <c r="P120" s="273">
        <v>117757</v>
      </c>
      <c r="Q120" s="273">
        <v>96413</v>
      </c>
      <c r="R120" s="273">
        <v>110238</v>
      </c>
      <c r="S120" s="273">
        <v>113794</v>
      </c>
      <c r="T120" s="273">
        <v>118320</v>
      </c>
      <c r="U120" s="273">
        <v>127607</v>
      </c>
      <c r="V120" s="273">
        <v>103501</v>
      </c>
      <c r="W120" s="273">
        <v>101849</v>
      </c>
      <c r="X120" s="273">
        <v>134299</v>
      </c>
    </row>
    <row r="121" spans="1:24" ht="14.25" thickBot="1" x14ac:dyDescent="0.3">
      <c r="A121" s="225" t="s">
        <v>267</v>
      </c>
      <c r="B121" s="275">
        <v>10479</v>
      </c>
      <c r="C121" s="275">
        <v>10560</v>
      </c>
      <c r="D121" s="275">
        <v>12722</v>
      </c>
      <c r="E121" s="275">
        <v>10043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437723</v>
      </c>
      <c r="C122" s="273">
        <v>453027</v>
      </c>
      <c r="D122" s="273">
        <v>723771</v>
      </c>
      <c r="E122" s="273">
        <v>500669</v>
      </c>
      <c r="F122" s="273">
        <v>866991</v>
      </c>
      <c r="G122" s="273">
        <v>659254</v>
      </c>
      <c r="H122" s="273">
        <v>629595</v>
      </c>
      <c r="I122" s="273">
        <v>717721</v>
      </c>
      <c r="J122" s="273">
        <v>494492</v>
      </c>
      <c r="K122" s="273">
        <v>517880</v>
      </c>
      <c r="L122" s="273">
        <v>774359</v>
      </c>
      <c r="M122" s="273">
        <v>882636</v>
      </c>
      <c r="N122" s="273">
        <v>1025027</v>
      </c>
      <c r="O122" s="273">
        <v>1692766</v>
      </c>
      <c r="P122" s="273">
        <v>1087721</v>
      </c>
      <c r="Q122" s="273">
        <v>870000</v>
      </c>
      <c r="R122" s="273">
        <v>1244500</v>
      </c>
      <c r="S122" s="273">
        <v>1056000</v>
      </c>
      <c r="T122" s="273">
        <v>1238750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582949</v>
      </c>
      <c r="C123" s="275">
        <v>1304034</v>
      </c>
      <c r="D123" s="275">
        <v>682906</v>
      </c>
      <c r="E123" s="275">
        <v>844107</v>
      </c>
      <c r="F123" s="275">
        <v>721704</v>
      </c>
      <c r="G123" s="275">
        <v>1533611</v>
      </c>
      <c r="H123" s="275">
        <v>791907</v>
      </c>
      <c r="I123" s="275">
        <v>974599</v>
      </c>
      <c r="J123" s="275">
        <v>967675</v>
      </c>
      <c r="K123" s="275">
        <v>1633856</v>
      </c>
      <c r="L123" s="275">
        <v>1106153</v>
      </c>
      <c r="M123" s="275">
        <v>952544</v>
      </c>
      <c r="N123" s="275">
        <v>1000498</v>
      </c>
      <c r="O123" s="275">
        <v>1781849</v>
      </c>
      <c r="P123" s="275">
        <v>748451</v>
      </c>
      <c r="Q123" s="275">
        <v>962340</v>
      </c>
      <c r="R123" s="275">
        <v>894747</v>
      </c>
      <c r="S123" s="275">
        <v>1556644</v>
      </c>
      <c r="T123" s="275">
        <v>815915</v>
      </c>
      <c r="U123" s="275">
        <v>2002812</v>
      </c>
      <c r="V123" s="275">
        <v>2075260</v>
      </c>
      <c r="W123" s="275">
        <v>2905066</v>
      </c>
      <c r="X123" s="275">
        <v>2673138</v>
      </c>
    </row>
    <row r="124" spans="1:24" ht="14.25" thickBot="1" x14ac:dyDescent="0.3">
      <c r="A124" s="224" t="s">
        <v>268</v>
      </c>
      <c r="B124" s="273">
        <v>1672841</v>
      </c>
      <c r="C124" s="273">
        <v>2231289</v>
      </c>
      <c r="D124" s="273">
        <v>2002956</v>
      </c>
      <c r="E124" s="273">
        <v>2205533</v>
      </c>
      <c r="F124" s="273">
        <v>2360074</v>
      </c>
      <c r="G124" s="273">
        <v>3042730</v>
      </c>
      <c r="H124" s="273">
        <v>2320524</v>
      </c>
      <c r="I124" s="273">
        <v>2377305</v>
      </c>
      <c r="J124" s="273">
        <v>2283831</v>
      </c>
      <c r="K124" s="273">
        <v>2742514</v>
      </c>
      <c r="L124" s="273">
        <v>2684154</v>
      </c>
      <c r="M124" s="273">
        <v>2303962</v>
      </c>
      <c r="N124" s="273">
        <v>2696654</v>
      </c>
      <c r="O124" s="273">
        <v>4490814</v>
      </c>
      <c r="P124" s="273">
        <v>3015168</v>
      </c>
      <c r="Q124" s="273">
        <v>2815408</v>
      </c>
      <c r="R124" s="273">
        <v>2840814</v>
      </c>
      <c r="S124" s="273">
        <v>3241051</v>
      </c>
      <c r="T124" s="273">
        <v>2810040</v>
      </c>
      <c r="U124" s="273">
        <v>2527737</v>
      </c>
      <c r="V124" s="273">
        <v>2641022</v>
      </c>
      <c r="W124" s="273">
        <v>3339905</v>
      </c>
      <c r="X124" s="273">
        <v>3139279</v>
      </c>
    </row>
    <row r="125" spans="1:24" ht="14.25" thickBot="1" x14ac:dyDescent="0.3">
      <c r="A125" s="225" t="s">
        <v>32</v>
      </c>
      <c r="B125" s="275">
        <v>594906</v>
      </c>
      <c r="C125" s="275">
        <v>417024</v>
      </c>
      <c r="D125" s="275">
        <v>585564</v>
      </c>
      <c r="E125" s="275">
        <v>632499</v>
      </c>
      <c r="F125" s="275">
        <v>479060</v>
      </c>
      <c r="G125" s="275">
        <v>532748</v>
      </c>
      <c r="H125" s="275">
        <v>1234700</v>
      </c>
      <c r="I125" s="275">
        <v>1172845</v>
      </c>
      <c r="J125" s="275">
        <v>1375146</v>
      </c>
      <c r="K125" s="275">
        <v>1613465</v>
      </c>
      <c r="L125" s="275">
        <v>1363552</v>
      </c>
      <c r="M125" s="275">
        <v>1424405</v>
      </c>
      <c r="N125" s="275">
        <v>1370140</v>
      </c>
      <c r="O125" s="275">
        <v>641515</v>
      </c>
      <c r="P125" s="275">
        <v>1506642</v>
      </c>
      <c r="Q125" s="275">
        <v>1807223</v>
      </c>
      <c r="R125" s="275">
        <v>1670540</v>
      </c>
      <c r="S125" s="275">
        <v>2382673</v>
      </c>
      <c r="T125" s="275">
        <v>2699857</v>
      </c>
      <c r="U125" s="275">
        <v>2836705</v>
      </c>
      <c r="V125" s="275">
        <v>2615979</v>
      </c>
      <c r="W125" s="275">
        <v>3647717</v>
      </c>
      <c r="X125" s="275">
        <v>3325875</v>
      </c>
    </row>
    <row r="126" spans="1:24" ht="14.25" thickBot="1" x14ac:dyDescent="0.3">
      <c r="A126" s="224" t="s">
        <v>33</v>
      </c>
      <c r="B126" s="273">
        <v>51386</v>
      </c>
      <c r="C126" s="273">
        <v>52380</v>
      </c>
      <c r="D126" s="273">
        <v>53037</v>
      </c>
      <c r="E126" s="273">
        <v>58818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2319133</v>
      </c>
      <c r="C127" s="275">
        <v>2700693</v>
      </c>
      <c r="D127" s="275">
        <v>2641557</v>
      </c>
      <c r="E127" s="275">
        <v>2896850</v>
      </c>
      <c r="F127" s="275">
        <v>2839134</v>
      </c>
      <c r="G127" s="275">
        <v>3575478</v>
      </c>
      <c r="H127" s="275">
        <v>3555224</v>
      </c>
      <c r="I127" s="275">
        <v>3550150</v>
      </c>
      <c r="J127" s="275">
        <v>3658977</v>
      </c>
      <c r="K127" s="275">
        <v>4355979</v>
      </c>
      <c r="L127" s="275">
        <v>4047706</v>
      </c>
      <c r="M127" s="275">
        <v>3728367</v>
      </c>
      <c r="N127" s="275">
        <v>4066794</v>
      </c>
      <c r="O127" s="275">
        <v>5132329</v>
      </c>
      <c r="P127" s="275">
        <v>4521810</v>
      </c>
      <c r="Q127" s="275">
        <v>4622631</v>
      </c>
      <c r="R127" s="275">
        <v>4511354</v>
      </c>
      <c r="S127" s="275">
        <v>5623724</v>
      </c>
      <c r="T127" s="275">
        <v>5509897</v>
      </c>
      <c r="U127" s="275">
        <v>5364442</v>
      </c>
      <c r="V127" s="275">
        <v>5257001</v>
      </c>
      <c r="W127" s="275">
        <v>6987622</v>
      </c>
      <c r="X127" s="275">
        <v>6465154</v>
      </c>
    </row>
    <row r="128" spans="1:24" ht="14.25" thickBot="1" x14ac:dyDescent="0.3">
      <c r="A128" s="224" t="s">
        <v>34</v>
      </c>
      <c r="B128" s="273">
        <v>7340071</v>
      </c>
      <c r="C128" s="273">
        <v>6995978</v>
      </c>
      <c r="D128" s="273">
        <v>7265875</v>
      </c>
      <c r="E128" s="273">
        <v>7610805</v>
      </c>
      <c r="F128" s="273">
        <v>7707748</v>
      </c>
      <c r="G128" s="273">
        <v>7152101</v>
      </c>
      <c r="H128" s="273">
        <v>7408346</v>
      </c>
      <c r="I128" s="273">
        <v>7702123</v>
      </c>
      <c r="J128" s="273">
        <v>7938597</v>
      </c>
      <c r="K128" s="273">
        <v>7589134</v>
      </c>
      <c r="L128" s="273">
        <v>7871009</v>
      </c>
      <c r="M128" s="273">
        <v>8069322</v>
      </c>
      <c r="N128" s="273">
        <v>8219733</v>
      </c>
      <c r="O128" s="273">
        <v>7584849</v>
      </c>
      <c r="P128" s="273">
        <v>7745946</v>
      </c>
      <c r="Q128" s="273">
        <v>7912163</v>
      </c>
      <c r="R128" s="273">
        <v>8386073</v>
      </c>
      <c r="S128" s="273">
        <v>7961667</v>
      </c>
      <c r="T128" s="273">
        <v>7849284</v>
      </c>
      <c r="U128" s="273">
        <v>8089519</v>
      </c>
      <c r="V128" s="273">
        <v>8239219</v>
      </c>
      <c r="W128" s="273">
        <v>7890764</v>
      </c>
      <c r="X128" s="273">
        <v>8113513</v>
      </c>
    </row>
    <row r="129" spans="1:24" ht="14.25" thickBot="1" x14ac:dyDescent="0.3">
      <c r="A129" s="225" t="s">
        <v>35</v>
      </c>
      <c r="B129" s="276">
        <v>9659204</v>
      </c>
      <c r="C129" s="276">
        <v>9696671</v>
      </c>
      <c r="D129" s="276">
        <v>9907432</v>
      </c>
      <c r="E129" s="276">
        <v>10507655</v>
      </c>
      <c r="F129" s="276">
        <v>10546882</v>
      </c>
      <c r="G129" s="276">
        <v>10727579</v>
      </c>
      <c r="H129" s="276">
        <v>10963570</v>
      </c>
      <c r="I129" s="276">
        <v>11252273</v>
      </c>
      <c r="J129" s="276">
        <v>11597574</v>
      </c>
      <c r="K129" s="276">
        <v>11945113</v>
      </c>
      <c r="L129" s="276">
        <v>11918715</v>
      </c>
      <c r="M129" s="276">
        <v>11797689</v>
      </c>
      <c r="N129" s="276">
        <v>12286527</v>
      </c>
      <c r="O129" s="276">
        <v>12717178</v>
      </c>
      <c r="P129" s="276">
        <v>12267756</v>
      </c>
      <c r="Q129" s="276">
        <v>12534794</v>
      </c>
      <c r="R129" s="276">
        <v>12897427</v>
      </c>
      <c r="S129" s="276">
        <v>13585391</v>
      </c>
      <c r="T129" s="276">
        <v>13359181</v>
      </c>
      <c r="U129" s="276">
        <v>13453961</v>
      </c>
      <c r="V129" s="276">
        <v>13496220</v>
      </c>
      <c r="W129" s="276">
        <v>14878386</v>
      </c>
      <c r="X129" s="276">
        <v>14578667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5.79</v>
      </c>
      <c r="C132" s="68">
        <v>5.77</v>
      </c>
      <c r="D132" s="68">
        <v>5.03</v>
      </c>
      <c r="E132" s="68">
        <v>6.04</v>
      </c>
      <c r="F132" s="68">
        <v>6.91</v>
      </c>
    </row>
    <row r="133" spans="1:24" ht="14.25" thickBot="1" x14ac:dyDescent="0.3">
      <c r="A133" s="225" t="s">
        <v>37</v>
      </c>
      <c r="B133" s="274">
        <v>-3.09</v>
      </c>
      <c r="C133" s="274">
        <v>0.54</v>
      </c>
      <c r="D133" s="274">
        <v>-4.32</v>
      </c>
      <c r="E133" s="274">
        <v>-8.23</v>
      </c>
      <c r="F133" s="274">
        <v>-4.58</v>
      </c>
    </row>
    <row r="134" spans="1:24" ht="14.25" thickBot="1" x14ac:dyDescent="0.3">
      <c r="A134" s="224" t="s">
        <v>38</v>
      </c>
      <c r="B134" s="68">
        <v>-1</v>
      </c>
      <c r="C134" s="68">
        <v>-0.73</v>
      </c>
      <c r="D134" s="68">
        <v>-1.19</v>
      </c>
      <c r="E134" s="68">
        <v>0.05</v>
      </c>
      <c r="F134" s="68">
        <v>-1.31</v>
      </c>
    </row>
    <row r="135" spans="1:24" ht="14.25" thickBot="1" x14ac:dyDescent="0.3">
      <c r="A135" s="225" t="s">
        <v>270</v>
      </c>
      <c r="B135" s="274">
        <v>2.7</v>
      </c>
      <c r="C135" s="274">
        <v>6.31</v>
      </c>
      <c r="D135" s="274">
        <v>0.72</v>
      </c>
      <c r="E135" s="274">
        <v>-2.1800000000000002</v>
      </c>
      <c r="F135" s="274">
        <v>2.33</v>
      </c>
    </row>
    <row r="136" spans="1:24" ht="14.25" thickBot="1" x14ac:dyDescent="0.3">
      <c r="A136" s="229" t="s">
        <v>39</v>
      </c>
      <c r="B136" s="72">
        <v>1.7</v>
      </c>
      <c r="C136" s="72">
        <v>5.59</v>
      </c>
      <c r="D136" s="72">
        <v>-0.47</v>
      </c>
      <c r="E136" s="72">
        <v>-2.14</v>
      </c>
      <c r="F136" s="72">
        <v>1.02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2.1</v>
      </c>
      <c r="C140" s="68">
        <v>1.8</v>
      </c>
      <c r="D140" s="68">
        <v>2.1</v>
      </c>
      <c r="E140" s="68">
        <v>1.6</v>
      </c>
      <c r="F140" s="68">
        <v>1.65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0.75539568345323749</v>
      </c>
      <c r="C142" s="234">
        <f>IF(C140&lt;&gt;"無",IF(ISNA(HLOOKUP(C139,$B$64:$F$69,6,FALSE)),"",C140/HLOOKUP(C139,$B$64:$F$69,6,FALSE)),"")</f>
        <v>0.73770491803278693</v>
      </c>
      <c r="D142" s="234">
        <f>IF(D140&lt;&gt;"無",IF(ISNA(HLOOKUP(D139,$B$64:$F$69,6,FALSE)),"",D140/HLOOKUP(D139,$B$64:$F$69,6,FALSE)),"")</f>
        <v>0.72164948453608246</v>
      </c>
      <c r="E142" s="234">
        <f>IF(E140&lt;&gt;"無",IF(ISNA(HLOOKUP(E139,$B$64:$F$69,6,FALSE)),"",E140/HLOOKUP(E139,$B$64:$F$69,6,FALSE)),"")</f>
        <v>0.76190476190476208</v>
      </c>
      <c r="F142" s="234">
        <f>IF(F140&lt;&gt;"無",IF(ISNA(HLOOKUP(F139,$B$64:$F$69,6,FALSE)),"",F140/HLOOKUP(F139,$B$64:$F$69,6,FALSE)),"")</f>
        <v>0.76036866359447008</v>
      </c>
    </row>
    <row r="143" spans="1:24" x14ac:dyDescent="0.25">
      <c r="A143" s="233" t="s">
        <v>216</v>
      </c>
      <c r="B143" s="234">
        <f>IF(OR(B140=0,B140="無"),"",B135/B140)</f>
        <v>1.2857142857142858</v>
      </c>
      <c r="C143" s="234">
        <f>IF(OR(C140=0,C140="無"),"",C135/C140)</f>
        <v>3.5055555555555551</v>
      </c>
      <c r="D143" s="234">
        <f>IF(OR(D140=0,D140="無"),"",D135/D140)</f>
        <v>0.3428571428571428</v>
      </c>
      <c r="E143" s="234">
        <f>IF(OR(E140=0,E140="無"),"",E135/E140)</f>
        <v>-1.3625</v>
      </c>
      <c r="F143" s="234">
        <f>IF(OR(F140=0,F140="無"),"",F135/F140)</f>
        <v>1.4121212121212123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27.28</v>
      </c>
      <c r="C146" s="68">
        <v>31.19</v>
      </c>
      <c r="D146" s="68">
        <v>34.25</v>
      </c>
      <c r="E146" s="68">
        <v>26.91</v>
      </c>
      <c r="F146" s="68">
        <v>21.45</v>
      </c>
      <c r="G146" s="68">
        <v>29.38</v>
      </c>
      <c r="H146" s="68">
        <v>32.729999999999997</v>
      </c>
      <c r="I146" s="68">
        <v>28.01</v>
      </c>
      <c r="J146" s="68">
        <v>31.47</v>
      </c>
      <c r="K146" s="68">
        <v>35.28</v>
      </c>
      <c r="L146" s="68">
        <v>35.229999999999997</v>
      </c>
      <c r="M146" s="68">
        <v>28.18</v>
      </c>
      <c r="N146" s="68">
        <v>26.5</v>
      </c>
      <c r="O146" s="68">
        <v>28.54</v>
      </c>
      <c r="P146" s="68">
        <v>27.66</v>
      </c>
      <c r="Q146" s="68">
        <v>24.16</v>
      </c>
      <c r="R146" s="68">
        <v>24.04</v>
      </c>
      <c r="S146" s="68">
        <v>27.52</v>
      </c>
      <c r="T146" s="68">
        <v>31.33</v>
      </c>
      <c r="U146" s="68">
        <v>27.28</v>
      </c>
      <c r="V146" s="68">
        <v>26.79</v>
      </c>
      <c r="W146" s="68">
        <v>26.27</v>
      </c>
      <c r="X146" s="68">
        <v>28.82</v>
      </c>
    </row>
    <row r="147" spans="1:24" s="93" customFormat="1" ht="14.25" thickBot="1" x14ac:dyDescent="0.3">
      <c r="A147" s="225" t="s">
        <v>19</v>
      </c>
      <c r="B147" s="274">
        <v>15.78</v>
      </c>
      <c r="C147" s="274">
        <v>20.98</v>
      </c>
      <c r="D147" s="274">
        <v>23.43</v>
      </c>
      <c r="E147" s="274">
        <v>18.7</v>
      </c>
      <c r="F147" s="274">
        <v>10.16</v>
      </c>
      <c r="G147" s="274">
        <v>19.920000000000002</v>
      </c>
      <c r="H147" s="274">
        <v>22.8</v>
      </c>
      <c r="I147" s="274">
        <v>16.28</v>
      </c>
      <c r="J147" s="274">
        <v>20.38</v>
      </c>
      <c r="K147" s="274">
        <v>25.56</v>
      </c>
      <c r="L147" s="274">
        <v>23.69</v>
      </c>
      <c r="M147" s="274">
        <v>17.760000000000002</v>
      </c>
      <c r="N147" s="274">
        <v>15.12</v>
      </c>
      <c r="O147" s="274">
        <v>20.239999999999998</v>
      </c>
      <c r="P147" s="274">
        <v>16.829999999999998</v>
      </c>
      <c r="Q147" s="274">
        <v>13.29</v>
      </c>
      <c r="R147" s="274">
        <v>13.6</v>
      </c>
      <c r="S147" s="274">
        <v>17.100000000000001</v>
      </c>
      <c r="T147" s="274">
        <v>21.51</v>
      </c>
      <c r="U147" s="274">
        <v>13.43</v>
      </c>
      <c r="V147" s="274">
        <v>16.739999999999998</v>
      </c>
      <c r="W147" s="274">
        <v>15.57</v>
      </c>
      <c r="X147" s="274">
        <v>17.87</v>
      </c>
    </row>
    <row r="148" spans="1:24" s="93" customFormat="1" ht="14.25" thickBot="1" x14ac:dyDescent="0.3">
      <c r="A148" s="224" t="s">
        <v>41</v>
      </c>
      <c r="B148" s="68">
        <v>18.3</v>
      </c>
      <c r="C148" s="68">
        <v>24.45</v>
      </c>
      <c r="D148" s="68">
        <v>23.04</v>
      </c>
      <c r="E148" s="68">
        <v>21.24</v>
      </c>
      <c r="F148" s="68">
        <v>13.05</v>
      </c>
      <c r="G148" s="68">
        <v>22.03</v>
      </c>
      <c r="H148" s="68">
        <v>22.87</v>
      </c>
      <c r="I148" s="68">
        <v>16.690000000000001</v>
      </c>
      <c r="J148" s="68">
        <v>22.96</v>
      </c>
      <c r="K148" s="68">
        <v>28.61</v>
      </c>
      <c r="L148" s="68">
        <v>24.14</v>
      </c>
      <c r="M148" s="68">
        <v>18.86</v>
      </c>
      <c r="N148" s="68">
        <v>15.9</v>
      </c>
      <c r="O148" s="68">
        <v>20.62</v>
      </c>
      <c r="P148" s="68">
        <v>19.68</v>
      </c>
      <c r="Q148" s="68">
        <v>15.7</v>
      </c>
      <c r="R148" s="68">
        <v>12.45</v>
      </c>
      <c r="S148" s="68">
        <v>17.73</v>
      </c>
      <c r="T148" s="68">
        <v>20.48</v>
      </c>
      <c r="U148" s="68">
        <v>16.899999999999999</v>
      </c>
      <c r="V148" s="68">
        <v>13.08</v>
      </c>
      <c r="W148" s="68">
        <v>16.399999999999999</v>
      </c>
      <c r="X148" s="68">
        <v>16.579999999999998</v>
      </c>
    </row>
    <row r="149" spans="1:24" s="93" customFormat="1" ht="14.25" thickBot="1" x14ac:dyDescent="0.3">
      <c r="A149" s="225" t="s">
        <v>13</v>
      </c>
      <c r="B149" s="73">
        <v>15.68</v>
      </c>
      <c r="C149" s="73">
        <v>20.25</v>
      </c>
      <c r="D149" s="73">
        <v>20.59</v>
      </c>
      <c r="E149" s="73">
        <v>20.85</v>
      </c>
      <c r="F149" s="73">
        <v>12.05</v>
      </c>
      <c r="G149" s="73">
        <v>18.14</v>
      </c>
      <c r="H149" s="73">
        <v>18.86</v>
      </c>
      <c r="I149" s="73">
        <v>14.34</v>
      </c>
      <c r="J149" s="73">
        <v>19.149999999999999</v>
      </c>
      <c r="K149" s="73">
        <v>21.47</v>
      </c>
      <c r="L149" s="73">
        <v>20.79</v>
      </c>
      <c r="M149" s="73">
        <v>16.55</v>
      </c>
      <c r="N149" s="73">
        <v>13.17</v>
      </c>
      <c r="O149" s="73">
        <v>16.64</v>
      </c>
      <c r="P149" s="73">
        <v>16.100000000000001</v>
      </c>
      <c r="Q149" s="73">
        <v>13.3</v>
      </c>
      <c r="R149" s="73">
        <v>9.94</v>
      </c>
      <c r="S149" s="73">
        <v>13.94</v>
      </c>
      <c r="T149" s="73">
        <v>16.45</v>
      </c>
      <c r="U149" s="73">
        <v>14.21</v>
      </c>
      <c r="V149" s="73">
        <v>10.3</v>
      </c>
      <c r="W149" s="73">
        <v>13.17</v>
      </c>
      <c r="X149" s="73">
        <v>13.44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29.98</v>
      </c>
      <c r="C152" s="68">
        <v>28.11</v>
      </c>
      <c r="D152" s="68">
        <v>32.630000000000003</v>
      </c>
      <c r="E152" s="68">
        <v>26.73</v>
      </c>
      <c r="F152" s="68">
        <v>27.76</v>
      </c>
    </row>
    <row r="153" spans="1:24" s="93" customFormat="1" ht="14.25" thickBot="1" x14ac:dyDescent="0.3">
      <c r="A153" s="225" t="s">
        <v>19</v>
      </c>
      <c r="B153" s="274">
        <v>19.89</v>
      </c>
      <c r="C153" s="274">
        <v>17.559999999999999</v>
      </c>
      <c r="D153" s="274">
        <v>21.94</v>
      </c>
      <c r="E153" s="274">
        <v>16.420000000000002</v>
      </c>
      <c r="F153" s="274">
        <v>16.57</v>
      </c>
    </row>
    <row r="154" spans="1:24" s="93" customFormat="1" ht="14.25" thickBot="1" x14ac:dyDescent="0.3">
      <c r="A154" s="224" t="s">
        <v>41</v>
      </c>
      <c r="B154" s="68">
        <v>21.87</v>
      </c>
      <c r="C154" s="68">
        <v>18.89</v>
      </c>
      <c r="D154" s="68">
        <v>23.72</v>
      </c>
      <c r="E154" s="68">
        <v>18.05</v>
      </c>
      <c r="F154" s="68">
        <v>17.13</v>
      </c>
    </row>
    <row r="155" spans="1:24" s="93" customFormat="1" ht="14.25" thickBot="1" x14ac:dyDescent="0.3">
      <c r="A155" s="225" t="s">
        <v>13</v>
      </c>
      <c r="B155" s="73">
        <v>19.54</v>
      </c>
      <c r="C155" s="73">
        <v>16.010000000000002</v>
      </c>
      <c r="D155" s="73">
        <v>19.54</v>
      </c>
      <c r="E155" s="73">
        <v>14.86</v>
      </c>
      <c r="F155" s="73">
        <v>13.84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1.74</v>
      </c>
      <c r="C158" s="68">
        <v>2.48</v>
      </c>
      <c r="D158" s="68">
        <v>2.8</v>
      </c>
      <c r="E158" s="68">
        <v>2.85</v>
      </c>
      <c r="F158" s="68">
        <v>1.45</v>
      </c>
      <c r="G158" s="68">
        <v>2.38</v>
      </c>
      <c r="H158" s="68">
        <v>2.4500000000000002</v>
      </c>
      <c r="I158" s="68">
        <v>1.71</v>
      </c>
      <c r="J158" s="68">
        <v>2.12</v>
      </c>
      <c r="K158" s="68">
        <v>2.52</v>
      </c>
      <c r="L158" s="68">
        <v>2.46</v>
      </c>
      <c r="M158" s="68">
        <v>1.79</v>
      </c>
      <c r="N158" s="68">
        <v>1.3</v>
      </c>
      <c r="O158" s="68">
        <v>1.83</v>
      </c>
      <c r="P158" s="68">
        <v>1.68</v>
      </c>
      <c r="Q158" s="68">
        <v>1.42</v>
      </c>
      <c r="R158" s="68">
        <v>1.02</v>
      </c>
      <c r="S158" s="68">
        <v>1.55</v>
      </c>
      <c r="T158" s="68">
        <v>2.02</v>
      </c>
      <c r="U158" s="68">
        <v>1.74</v>
      </c>
      <c r="V158" s="68">
        <v>1.19</v>
      </c>
      <c r="W158" s="68">
        <v>1.45</v>
      </c>
      <c r="X158" s="68">
        <v>1.54</v>
      </c>
    </row>
    <row r="159" spans="1:24" s="93" customFormat="1" ht="14.25" thickBot="1" x14ac:dyDescent="0.3">
      <c r="A159" s="225" t="s">
        <v>45</v>
      </c>
      <c r="B159" s="73">
        <v>2.25</v>
      </c>
      <c r="C159" s="73">
        <v>3.31</v>
      </c>
      <c r="D159" s="73">
        <v>3.79</v>
      </c>
      <c r="E159" s="73">
        <v>3.84</v>
      </c>
      <c r="F159" s="73">
        <v>1.9</v>
      </c>
      <c r="G159" s="73">
        <v>3.34</v>
      </c>
      <c r="H159" s="73">
        <v>3.61</v>
      </c>
      <c r="I159" s="73">
        <v>2.41</v>
      </c>
      <c r="J159" s="73">
        <v>3</v>
      </c>
      <c r="K159" s="73">
        <v>3.73</v>
      </c>
      <c r="L159" s="73">
        <v>3.69</v>
      </c>
      <c r="M159" s="73">
        <v>2.66</v>
      </c>
      <c r="N159" s="73">
        <v>1.87</v>
      </c>
      <c r="O159" s="73">
        <v>2.74</v>
      </c>
      <c r="P159" s="73">
        <v>2.77</v>
      </c>
      <c r="Q159" s="73">
        <v>2.1800000000000002</v>
      </c>
      <c r="R159" s="73">
        <v>1.51</v>
      </c>
      <c r="S159" s="73">
        <v>2.39</v>
      </c>
      <c r="T159" s="73">
        <v>3.31</v>
      </c>
      <c r="U159" s="73">
        <v>2.79</v>
      </c>
      <c r="V159" s="73">
        <v>1.84</v>
      </c>
      <c r="W159" s="73">
        <v>2.39</v>
      </c>
      <c r="X159" s="73">
        <v>2.67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19.54</v>
      </c>
      <c r="C162" s="68">
        <v>16.010000000000002</v>
      </c>
      <c r="D162" s="68">
        <v>19.54</v>
      </c>
      <c r="E162" s="68">
        <v>14.86</v>
      </c>
      <c r="F162" s="68">
        <v>13.84</v>
      </c>
    </row>
    <row r="163" spans="1:72" s="93" customFormat="1" ht="14.25" thickBot="1" x14ac:dyDescent="0.3">
      <c r="A163" s="225" t="s">
        <v>18</v>
      </c>
      <c r="B163" s="274">
        <v>0.47</v>
      </c>
      <c r="C163" s="274">
        <v>0.47</v>
      </c>
      <c r="D163" s="274">
        <v>0.44</v>
      </c>
      <c r="E163" s="274">
        <v>0.4</v>
      </c>
      <c r="F163" s="274">
        <v>0.43</v>
      </c>
    </row>
    <row r="164" spans="1:72" s="93" customFormat="1" ht="14.25" thickBot="1" x14ac:dyDescent="0.3">
      <c r="A164" s="224" t="s">
        <v>15</v>
      </c>
      <c r="B164" s="68">
        <v>1.38</v>
      </c>
      <c r="C164" s="68">
        <v>1.46</v>
      </c>
      <c r="D164" s="68">
        <v>1.46</v>
      </c>
      <c r="E164" s="68">
        <v>1.58</v>
      </c>
      <c r="F164" s="68">
        <v>1.66</v>
      </c>
    </row>
    <row r="165" spans="1:72" s="93" customFormat="1" ht="14.25" thickBot="1" x14ac:dyDescent="0.3">
      <c r="A165" s="225" t="s">
        <v>45</v>
      </c>
      <c r="B165" s="73">
        <v>12.98</v>
      </c>
      <c r="C165" s="73">
        <v>10.95</v>
      </c>
      <c r="D165" s="73">
        <v>12.96</v>
      </c>
      <c r="E165" s="73">
        <v>9.4</v>
      </c>
      <c r="F165" s="73">
        <v>10.029999999999999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95.74</v>
      </c>
      <c r="C168" s="68">
        <v>88.24</v>
      </c>
      <c r="D168" s="68">
        <v>89.11</v>
      </c>
      <c r="E168" s="68">
        <v>89.11</v>
      </c>
      <c r="F168" s="68">
        <v>95.74</v>
      </c>
      <c r="G168" s="68">
        <v>84.91</v>
      </c>
      <c r="H168" s="68">
        <v>88.24</v>
      </c>
      <c r="I168" s="68">
        <v>93.75</v>
      </c>
      <c r="J168" s="68">
        <v>92.78</v>
      </c>
      <c r="K168" s="68">
        <v>89.11</v>
      </c>
      <c r="L168" s="68">
        <v>91.84</v>
      </c>
      <c r="M168" s="68">
        <v>92.78</v>
      </c>
      <c r="N168" s="68">
        <v>92.78</v>
      </c>
      <c r="O168" s="68">
        <v>84.11</v>
      </c>
      <c r="P168" s="68">
        <v>91.84</v>
      </c>
      <c r="Q168" s="68">
        <v>93.75</v>
      </c>
      <c r="R168" s="68">
        <v>91.84</v>
      </c>
      <c r="S168" s="68">
        <v>86.54</v>
      </c>
      <c r="T168" s="68">
        <v>86.54</v>
      </c>
      <c r="U168" s="68">
        <v>90.91</v>
      </c>
      <c r="V168" s="68">
        <v>92.78</v>
      </c>
      <c r="W168" s="68">
        <v>89.11</v>
      </c>
      <c r="X168" s="68">
        <v>85.71</v>
      </c>
    </row>
    <row r="169" spans="1:72" s="93" customFormat="1" ht="14.25" thickBot="1" x14ac:dyDescent="0.3">
      <c r="A169" s="225" t="s">
        <v>17</v>
      </c>
      <c r="B169" s="274">
        <v>10.5</v>
      </c>
      <c r="C169" s="274">
        <v>13.74</v>
      </c>
      <c r="D169" s="274">
        <v>14.78</v>
      </c>
      <c r="E169" s="274">
        <v>10.55</v>
      </c>
      <c r="F169" s="274">
        <v>13.37</v>
      </c>
      <c r="G169" s="274">
        <v>14.98</v>
      </c>
      <c r="H169" s="274">
        <v>15.23</v>
      </c>
      <c r="I169" s="274">
        <v>16.670000000000002</v>
      </c>
      <c r="J169" s="274">
        <v>17.93</v>
      </c>
      <c r="K169" s="274">
        <v>14.56</v>
      </c>
      <c r="L169" s="274">
        <v>11.04</v>
      </c>
      <c r="M169" s="274">
        <v>7.71</v>
      </c>
      <c r="N169" s="274">
        <v>6.44</v>
      </c>
      <c r="O169" s="274">
        <v>6.67</v>
      </c>
      <c r="P169" s="274">
        <v>6.38</v>
      </c>
      <c r="Q169" s="274">
        <v>5.77</v>
      </c>
      <c r="R169" s="274">
        <v>7.15</v>
      </c>
      <c r="S169" s="274">
        <v>7.1</v>
      </c>
      <c r="T169" s="274">
        <v>6.32</v>
      </c>
      <c r="U169" s="274">
        <v>6.12</v>
      </c>
      <c r="V169" s="274">
        <v>6.6</v>
      </c>
      <c r="W169" s="274">
        <v>6.65</v>
      </c>
      <c r="X169" s="274">
        <v>6.11</v>
      </c>
    </row>
    <row r="170" spans="1:72" s="93" customFormat="1" ht="14.25" thickBot="1" x14ac:dyDescent="0.3">
      <c r="A170" s="224" t="s">
        <v>42</v>
      </c>
      <c r="B170" s="72">
        <v>106.25</v>
      </c>
      <c r="C170" s="72">
        <v>101.98</v>
      </c>
      <c r="D170" s="72">
        <v>103.89</v>
      </c>
      <c r="E170" s="72">
        <v>99.66</v>
      </c>
      <c r="F170" s="72">
        <v>109.12</v>
      </c>
      <c r="G170" s="72">
        <v>99.88</v>
      </c>
      <c r="H170" s="72">
        <v>103.46</v>
      </c>
      <c r="I170" s="72">
        <v>110.42</v>
      </c>
      <c r="J170" s="72">
        <v>110.71</v>
      </c>
      <c r="K170" s="72">
        <v>103.67</v>
      </c>
      <c r="L170" s="72">
        <v>102.88</v>
      </c>
      <c r="M170" s="72">
        <v>100.5</v>
      </c>
      <c r="N170" s="72">
        <v>99.23</v>
      </c>
      <c r="O170" s="72">
        <v>90.78</v>
      </c>
      <c r="P170" s="72">
        <v>98.22</v>
      </c>
      <c r="Q170" s="72">
        <v>99.52</v>
      </c>
      <c r="R170" s="72">
        <v>98.99</v>
      </c>
      <c r="S170" s="72">
        <v>93.64</v>
      </c>
      <c r="T170" s="72">
        <v>92.86</v>
      </c>
      <c r="U170" s="72">
        <v>97.03</v>
      </c>
      <c r="V170" s="72">
        <v>99.38</v>
      </c>
      <c r="W170" s="72">
        <v>95.76</v>
      </c>
      <c r="X170" s="72">
        <v>91.82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217.24</v>
      </c>
      <c r="C173" s="72">
        <v>248.02</v>
      </c>
      <c r="D173" s="72">
        <v>177.69</v>
      </c>
      <c r="E173" s="72">
        <v>291.77999999999997</v>
      </c>
      <c r="F173" s="72">
        <v>308.02999999999997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8.85</v>
      </c>
      <c r="C176" s="72">
        <v>9.94</v>
      </c>
      <c r="D176" s="72">
        <v>11.08</v>
      </c>
      <c r="E176" s="72">
        <v>10.41</v>
      </c>
      <c r="F176" s="72">
        <v>10.71</v>
      </c>
      <c r="G176" s="72">
        <v>10.46</v>
      </c>
      <c r="H176" s="72">
        <v>10.59</v>
      </c>
      <c r="I176" s="72">
        <v>11.08</v>
      </c>
      <c r="J176" s="72">
        <v>11.66</v>
      </c>
      <c r="K176" s="72">
        <v>11.27</v>
      </c>
      <c r="L176" s="72">
        <v>9.68</v>
      </c>
      <c r="M176" s="72">
        <v>10.48</v>
      </c>
      <c r="N176" s="72">
        <v>10.82</v>
      </c>
      <c r="O176" s="72">
        <v>11.06</v>
      </c>
      <c r="P176" s="72">
        <v>12.05</v>
      </c>
      <c r="Q176" s="72">
        <v>11.13</v>
      </c>
      <c r="R176" s="72">
        <v>10.71</v>
      </c>
      <c r="S176" s="72">
        <v>9.4600000000000009</v>
      </c>
      <c r="T176" s="72">
        <v>9.01</v>
      </c>
      <c r="U176" s="72">
        <v>9.65</v>
      </c>
      <c r="V176" s="72">
        <v>10.31</v>
      </c>
      <c r="W176" s="72">
        <v>10.34</v>
      </c>
      <c r="X176" s="72">
        <v>10.71</v>
      </c>
      <c r="Y176" s="72">
        <v>10.32</v>
      </c>
      <c r="Z176" s="72">
        <v>10.57</v>
      </c>
      <c r="AA176" s="72">
        <v>10.49</v>
      </c>
      <c r="AB176" s="72">
        <v>12.01</v>
      </c>
      <c r="AC176" s="72">
        <v>12.47</v>
      </c>
      <c r="AD176" s="72">
        <v>11.65</v>
      </c>
      <c r="AE176" s="72">
        <v>13.22</v>
      </c>
      <c r="AF176" s="72">
        <v>13.79</v>
      </c>
      <c r="AG176" s="72">
        <v>12.28</v>
      </c>
      <c r="AH176" s="72">
        <v>11.74</v>
      </c>
      <c r="AI176" s="72">
        <v>10.59</v>
      </c>
      <c r="AJ176" s="72">
        <v>10.199999999999999</v>
      </c>
      <c r="AK176" s="72">
        <v>10.48</v>
      </c>
      <c r="AL176" s="72">
        <v>10.79</v>
      </c>
      <c r="AM176" s="72">
        <v>10.67</v>
      </c>
      <c r="AN176" s="72">
        <v>10.62</v>
      </c>
      <c r="AO176" s="72">
        <v>10.029999999999999</v>
      </c>
      <c r="AP176" s="72">
        <v>10.48</v>
      </c>
      <c r="AQ176" s="72">
        <v>10.14</v>
      </c>
      <c r="AR176" s="72">
        <v>9.6</v>
      </c>
      <c r="AS176" s="72">
        <v>8.7200000000000006</v>
      </c>
      <c r="AT176" s="72">
        <v>8.49</v>
      </c>
      <c r="AU176" s="72">
        <v>8.74</v>
      </c>
      <c r="AV176" s="72">
        <v>10.01</v>
      </c>
      <c r="AW176" s="72">
        <v>9.69</v>
      </c>
      <c r="AX176" s="72">
        <v>9.19</v>
      </c>
      <c r="AY176" s="72">
        <v>9.92</v>
      </c>
      <c r="AZ176" s="72">
        <v>11.48</v>
      </c>
      <c r="BA176" s="72">
        <v>11.51</v>
      </c>
      <c r="BB176" s="72">
        <v>11.09</v>
      </c>
      <c r="BC176" s="72">
        <v>11.53</v>
      </c>
      <c r="BD176" s="72">
        <v>11.79</v>
      </c>
      <c r="BE176" s="72">
        <v>12.25</v>
      </c>
      <c r="BF176" s="72">
        <v>12.22</v>
      </c>
      <c r="BG176" s="72">
        <v>12.24</v>
      </c>
      <c r="BH176" s="72">
        <v>11.48</v>
      </c>
      <c r="BI176" s="72">
        <v>11.52</v>
      </c>
      <c r="BJ176" s="72">
        <v>11.71</v>
      </c>
      <c r="BK176" s="72">
        <v>12.83</v>
      </c>
      <c r="BL176" s="72">
        <v>12.66</v>
      </c>
      <c r="BM176" s="72">
        <v>12.37</v>
      </c>
      <c r="BN176" s="72">
        <v>11.77</v>
      </c>
      <c r="BO176" s="72">
        <v>11.96</v>
      </c>
      <c r="BP176" s="72">
        <v>12.23</v>
      </c>
      <c r="BQ176" s="72">
        <v>11.63</v>
      </c>
      <c r="BR176" s="72">
        <v>11.42</v>
      </c>
      <c r="BS176" s="72">
        <v>11.5</v>
      </c>
      <c r="BT176" s="72">
        <v>14.34</v>
      </c>
    </row>
  </sheetData>
  <phoneticPr fontId="3" type="noConversion"/>
  <conditionalFormatting sqref="E4">
    <cfRule type="cellIs" dxfId="2024" priority="101" operator="greaterThan">
      <formula>0.2</formula>
    </cfRule>
    <cfRule type="cellIs" dxfId="202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202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021" priority="95" operator="greaterThan">
      <formula>$B$19</formula>
    </cfRule>
  </conditionalFormatting>
  <conditionalFormatting sqref="D33:D34">
    <cfRule type="cellIs" dxfId="202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2019" priority="89" operator="lessThan">
      <formula>$H$62</formula>
    </cfRule>
    <cfRule type="cellIs" dxfId="2018" priority="90" operator="greaterThan">
      <formula>$H$62</formula>
    </cfRule>
  </conditionalFormatting>
  <conditionalFormatting sqref="J62">
    <cfRule type="cellIs" dxfId="2017" priority="87" operator="lessThan">
      <formula>$K$62</formula>
    </cfRule>
    <cfRule type="cellIs" dxfId="2016" priority="88" operator="greaterThan">
      <formula>$K$62</formula>
    </cfRule>
  </conditionalFormatting>
  <conditionalFormatting sqref="M62">
    <cfRule type="cellIs" dxfId="2015" priority="85" operator="lessThan">
      <formula>$N$62</formula>
    </cfRule>
    <cfRule type="cellIs" dxfId="2014" priority="86" operator="greaterThan">
      <formula>$N$62</formula>
    </cfRule>
  </conditionalFormatting>
  <conditionalFormatting sqref="B44:E44">
    <cfRule type="cellIs" dxfId="2013" priority="83" operator="greaterThan">
      <formula>0</formula>
    </cfRule>
    <cfRule type="cellIs" dxfId="2012" priority="84" operator="lessThan">
      <formula>0</formula>
    </cfRule>
  </conditionalFormatting>
  <conditionalFormatting sqref="F72">
    <cfRule type="cellIs" dxfId="2011" priority="82" operator="lessThan">
      <formula>$E$72*90%</formula>
    </cfRule>
  </conditionalFormatting>
  <conditionalFormatting sqref="F73">
    <cfRule type="cellIs" dxfId="2010" priority="81" operator="lessThan">
      <formula>$E$73*90%</formula>
    </cfRule>
  </conditionalFormatting>
  <conditionalFormatting sqref="F74">
    <cfRule type="cellIs" dxfId="2009" priority="80" operator="lessThan">
      <formula>$E$74*90%</formula>
    </cfRule>
  </conditionalFormatting>
  <conditionalFormatting sqref="F75">
    <cfRule type="cellIs" dxfId="2008" priority="79" operator="lessThan">
      <formula>$E$75*90%</formula>
    </cfRule>
  </conditionalFormatting>
  <conditionalFormatting sqref="H44:K44">
    <cfRule type="cellIs" dxfId="2007" priority="77" operator="greaterThan">
      <formula>0</formula>
    </cfRule>
    <cfRule type="cellIs" dxfId="2006" priority="78" operator="lessThan">
      <formula>0</formula>
    </cfRule>
  </conditionalFormatting>
  <conditionalFormatting sqref="H51:K51">
    <cfRule type="cellIs" dxfId="2005" priority="75" operator="greaterThan">
      <formula>0</formula>
    </cfRule>
    <cfRule type="cellIs" dxfId="2004" priority="76" operator="lessThan">
      <formula>0</formula>
    </cfRule>
  </conditionalFormatting>
  <conditionalFormatting sqref="B51:E51">
    <cfRule type="cellIs" dxfId="2003" priority="73" operator="greaterThan">
      <formula>0</formula>
    </cfRule>
    <cfRule type="cellIs" dxfId="200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00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00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999" priority="56" operator="lessThan">
      <formula>0</formula>
    </cfRule>
  </conditionalFormatting>
  <conditionalFormatting sqref="A25 E25 C25">
    <cfRule type="cellIs" dxfId="1998" priority="57" operator="lessThan">
      <formula>0</formula>
    </cfRule>
  </conditionalFormatting>
  <conditionalFormatting sqref="F25">
    <cfRule type="cellIs" dxfId="1997" priority="55" operator="lessThan">
      <formula>0</formula>
    </cfRule>
  </conditionalFormatting>
  <conditionalFormatting sqref="E1">
    <cfRule type="containsText" dxfId="1996" priority="54" operator="containsText" text="本季業外損益/平均=-">
      <formula>NOT(ISERROR(SEARCH("本季業外損益/平均=-",E1)))</formula>
    </cfRule>
  </conditionalFormatting>
  <conditionalFormatting sqref="M65">
    <cfRule type="cellIs" dxfId="1995" priority="53" operator="lessThan">
      <formula>$L$65*90%</formula>
    </cfRule>
  </conditionalFormatting>
  <conditionalFormatting sqref="M66">
    <cfRule type="cellIs" dxfId="1994" priority="52" operator="lessThan">
      <formula>$L$66*90%</formula>
    </cfRule>
  </conditionalFormatting>
  <conditionalFormatting sqref="M67">
    <cfRule type="cellIs" dxfId="1993" priority="51" operator="lessThan">
      <formula>$L$67*90%</formula>
    </cfRule>
  </conditionalFormatting>
  <conditionalFormatting sqref="M68">
    <cfRule type="cellIs" dxfId="1992" priority="50" operator="lessThan">
      <formula>$L$68*90%</formula>
    </cfRule>
  </conditionalFormatting>
  <conditionalFormatting sqref="B60">
    <cfRule type="cellIs" dxfId="1991" priority="49" operator="lessThan">
      <formula>0</formula>
    </cfRule>
  </conditionalFormatting>
  <conditionalFormatting sqref="B59:F59">
    <cfRule type="cellIs" dxfId="1990" priority="48" operator="lessThanOrEqual">
      <formula>0</formula>
    </cfRule>
  </conditionalFormatting>
  <conditionalFormatting sqref="D62">
    <cfRule type="cellIs" dxfId="1989" priority="46" operator="lessThan">
      <formula>$E$62</formula>
    </cfRule>
    <cfRule type="cellIs" dxfId="1988" priority="47" operator="greaterThan">
      <formula>$E$62</formula>
    </cfRule>
  </conditionalFormatting>
  <conditionalFormatting sqref="F69">
    <cfRule type="cellIs" dxfId="1987" priority="44" operator="lessThan">
      <formula>0</formula>
    </cfRule>
  </conditionalFormatting>
  <conditionalFormatting sqref="B65:E67 B69:E69 B68:D68">
    <cfRule type="cellIs" dxfId="1986" priority="45" operator="lessThan">
      <formula>0</formula>
    </cfRule>
  </conditionalFormatting>
  <conditionalFormatting sqref="E68">
    <cfRule type="cellIs" dxfId="1985" priority="43" operator="lessThan">
      <formula>0</formula>
    </cfRule>
  </conditionalFormatting>
  <conditionalFormatting sqref="F65:F68">
    <cfRule type="cellIs" dxfId="1984" priority="42" operator="lessThan">
      <formula>0</formula>
    </cfRule>
  </conditionalFormatting>
  <conditionalFormatting sqref="F65:F68">
    <cfRule type="cellIs" dxfId="1983" priority="41" operator="lessThan">
      <formula>$E$65*0.9</formula>
    </cfRule>
  </conditionalFormatting>
  <conditionalFormatting sqref="F66">
    <cfRule type="cellIs" dxfId="1982" priority="40" operator="lessThan">
      <formula>$E$66*0.9</formula>
    </cfRule>
  </conditionalFormatting>
  <conditionalFormatting sqref="F67:F68">
    <cfRule type="cellIs" dxfId="1981" priority="39" operator="lessThan">
      <formula>$E$67*0.9</formula>
    </cfRule>
  </conditionalFormatting>
  <conditionalFormatting sqref="F68">
    <cfRule type="cellIs" dxfId="1980" priority="38" operator="lessThan">
      <formula>$E$68*0.9</formula>
    </cfRule>
  </conditionalFormatting>
  <conditionalFormatting sqref="B13:F13">
    <cfRule type="cellIs" dxfId="1979" priority="27" operator="greaterThan">
      <formula>$I$16</formula>
    </cfRule>
    <cfRule type="cellIs" dxfId="1978" priority="28" operator="lessThanOrEqual">
      <formula>$I$16</formula>
    </cfRule>
  </conditionalFormatting>
  <conditionalFormatting sqref="B10:F10">
    <cfRule type="cellIs" dxfId="1977" priority="29" operator="greaterThan">
      <formula>15</formula>
    </cfRule>
    <cfRule type="cellIs" dxfId="1976" priority="36" operator="lessThan">
      <formula>$I$9</formula>
    </cfRule>
    <cfRule type="cellIs" dxfId="1975" priority="37" operator="greaterThan">
      <formula>$I$9</formula>
    </cfRule>
  </conditionalFormatting>
  <conditionalFormatting sqref="B16:F16">
    <cfRule type="cellIs" dxfId="1974" priority="34" operator="greaterThan">
      <formula>$I$16</formula>
    </cfRule>
    <cfRule type="cellIs" dxfId="1973" priority="35" operator="lessThanOrEqual">
      <formula>$I$16</formula>
    </cfRule>
  </conditionalFormatting>
  <conditionalFormatting sqref="B15:F15">
    <cfRule type="cellIs" dxfId="1972" priority="32" operator="lessThanOrEqual">
      <formula>$I$16</formula>
    </cfRule>
    <cfRule type="cellIs" dxfId="1971" priority="33" operator="greaterThan">
      <formula>$I$16</formula>
    </cfRule>
  </conditionalFormatting>
  <conditionalFormatting sqref="B14:F14">
    <cfRule type="cellIs" dxfId="1970" priority="30" operator="greaterThan">
      <formula>$I$16</formula>
    </cfRule>
    <cfRule type="cellIs" dxfId="1969" priority="31" operator="lessThanOrEqual">
      <formula>$I$16</formula>
    </cfRule>
  </conditionalFormatting>
  <conditionalFormatting sqref="K6">
    <cfRule type="containsText" dxfId="1968" priority="25" operator="containsText" text="衰退">
      <formula>NOT(ISERROR(SEARCH("衰退",K6)))</formula>
    </cfRule>
    <cfRule type="containsText" dxfId="1967" priority="26" operator="containsText" text="成長">
      <formula>NOT(ISERROR(SEARCH("成長",K6)))</formula>
    </cfRule>
  </conditionalFormatting>
  <conditionalFormatting sqref="I4:K4">
    <cfRule type="cellIs" dxfId="1966" priority="23" operator="lessThan">
      <formula>0</formula>
    </cfRule>
    <cfRule type="cellIs" dxfId="196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964" priority="20" operator="lessThanOrEqual">
      <formula>$I$16</formula>
    </cfRule>
    <cfRule type="cellIs" dxfId="1963" priority="21" operator="greaterThan">
      <formula>$I$16</formula>
    </cfRule>
  </conditionalFormatting>
  <conditionalFormatting sqref="I6">
    <cfRule type="containsText" dxfId="1962" priority="18" operator="containsText" text="衰退">
      <formula>NOT(ISERROR(SEARCH("衰退",I6)))</formula>
    </cfRule>
    <cfRule type="containsText" dxfId="1961" priority="19" operator="containsText" text="成長">
      <formula>NOT(ISERROR(SEARCH("成長",I6)))</formula>
    </cfRule>
  </conditionalFormatting>
  <conditionalFormatting sqref="M9">
    <cfRule type="cellIs" dxfId="1960" priority="17" operator="lessThan">
      <formula>$I$9</formula>
    </cfRule>
  </conditionalFormatting>
  <conditionalFormatting sqref="M10">
    <cfRule type="cellIs" dxfId="1959" priority="16" operator="greaterThan">
      <formula>$I$9</formula>
    </cfRule>
  </conditionalFormatting>
  <conditionalFormatting sqref="M11">
    <cfRule type="cellIs" dxfId="195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957" priority="12" operator="lessThan">
      <formula>0</formula>
    </cfRule>
    <cfRule type="cellIs" dxfId="1956" priority="13" operator="greaterThan">
      <formula>0.5</formula>
    </cfRule>
  </conditionalFormatting>
  <conditionalFormatting sqref="N14">
    <cfRule type="cellIs" dxfId="195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954" priority="8" operator="lessThan">
      <formula>0.1</formula>
    </cfRule>
  </conditionalFormatting>
  <conditionalFormatting sqref="I14">
    <cfRule type="cellIs" dxfId="195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95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951" priority="1" operator="lessThan">
      <formula>$N$5*0.9</formula>
    </cfRule>
    <cfRule type="cellIs" dxfId="1950" priority="2" operator="greaterThan">
      <formula>$N$5*1.1</formula>
    </cfRule>
  </conditionalFormatting>
  <hyperlinks>
    <hyperlink ref="L1" location="儀表板!A1" display="(回首頁)" xr:uid="{00000000-0004-0000-4D00-000000000000}"/>
  </hyperlink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14.35 ~ 23.08</v>
      </c>
      <c r="L1" s="83" t="s">
        <v>176</v>
      </c>
      <c r="M1" s="84" t="str">
        <f ca="1">VLOOKUP(_xlfn.NUMBERVALUE(N1),儀表板!A:B,2,FALSE)</f>
        <v>普萊德</v>
      </c>
      <c r="N1" s="85" t="str">
        <f ca="1">MID(CELL("filename",L1),FIND("]",CELL("filename",L1))+1,255)</f>
        <v>6263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0.15104626488855846</v>
      </c>
    </row>
    <row r="3" spans="1:15" s="93" customFormat="1" x14ac:dyDescent="0.25">
      <c r="A3" s="81" t="s">
        <v>179</v>
      </c>
      <c r="B3" s="94">
        <f>SUM(F19:F22,F24:F27,J19)</f>
        <v>97.326668075881656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53.701985109968589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56.588675557905596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59.189082655633982</v>
      </c>
      <c r="L3" s="100"/>
      <c r="M3" s="79" t="s">
        <v>385</v>
      </c>
      <c r="N3" s="92">
        <f>(F69-E69)/E69</f>
        <v>0.10221434120802715</v>
      </c>
    </row>
    <row r="4" spans="1:15" s="93" customFormat="1" x14ac:dyDescent="0.25">
      <c r="A4" s="81" t="s">
        <v>182</v>
      </c>
      <c r="B4" s="96">
        <f>SUM(G36:G40)*2</f>
        <v>96</v>
      </c>
      <c r="C4" s="101"/>
      <c r="D4" s="102">
        <f>F4*(1+F141/10)</f>
        <v>6.25</v>
      </c>
      <c r="E4" s="82">
        <f>(D4-F4)/F4</f>
        <v>0</v>
      </c>
      <c r="F4" s="103">
        <v>6.25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4.8276988144911588</v>
      </c>
    </row>
    <row r="5" spans="1:15" s="93" customFormat="1" x14ac:dyDescent="0.25">
      <c r="A5" s="81" t="s">
        <v>184</v>
      </c>
      <c r="B5" s="107">
        <f>SUM(F30:F34)*2</f>
        <v>99.112781954887225</v>
      </c>
      <c r="C5" s="87"/>
      <c r="D5" s="87"/>
      <c r="E5" s="87"/>
      <c r="F5" s="86"/>
      <c r="G5" s="88"/>
      <c r="M5" s="79" t="s">
        <v>375</v>
      </c>
      <c r="N5" s="152">
        <f>D62</f>
        <v>4.6400000000000006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5.363419836100114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19.41</v>
      </c>
      <c r="N9" s="129"/>
    </row>
    <row r="10" spans="1:15" s="93" customFormat="1" x14ac:dyDescent="0.25">
      <c r="A10" s="123" t="s">
        <v>194</v>
      </c>
      <c r="B10" s="126">
        <f>PERCENTILE(176:176,B9)</f>
        <v>10.7</v>
      </c>
      <c r="C10" s="126">
        <f>PERCENTILE(176:176,C9)</f>
        <v>11.254999999999999</v>
      </c>
      <c r="D10" s="126">
        <f>PERCENTILE(176:176,D9)</f>
        <v>11.86</v>
      </c>
      <c r="E10" s="126">
        <f>PERCENTILE(176:176,E9)</f>
        <v>12.405000000000001</v>
      </c>
      <c r="F10" s="126">
        <f>PERCENTILE(176:176,F9)</f>
        <v>13.52</v>
      </c>
      <c r="G10" s="95"/>
      <c r="H10" s="135"/>
      <c r="I10" s="135"/>
      <c r="J10" s="135"/>
      <c r="K10" s="135"/>
      <c r="L10" s="136" t="s">
        <v>374</v>
      </c>
      <c r="M10" s="130">
        <f>MIN(176:176)</f>
        <v>9.36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18.87</v>
      </c>
      <c r="L11" s="272" t="s">
        <v>193</v>
      </c>
      <c r="M11" s="128">
        <f>STDEV(176:176)</f>
        <v>1.8580678071198331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47.61904761904762</v>
      </c>
      <c r="C13" s="141">
        <f>$B$34/5.88%</f>
        <v>57.823129251700678</v>
      </c>
      <c r="D13" s="141">
        <f>$B$34/5%</f>
        <v>68</v>
      </c>
      <c r="E13" s="141">
        <f>$B$34/4.35%</f>
        <v>78.160919540229884</v>
      </c>
      <c r="F13" s="141">
        <f>$B$34/3.85%</f>
        <v>88.311688311688314</v>
      </c>
      <c r="G13" s="138" t="str">
        <f>"$"&amp;ROUND(B34,2)&amp;"/"&amp;IF(STDEV(C140:F140)/AVERAGE(C140:F140)&lt;15%,"高",IF(STDEV(C140:F140)/AVERAGE(C140:F140)&lt;30%,"中","低"))</f>
        <v>$3.4/中</v>
      </c>
      <c r="H13" s="142" t="s">
        <v>199</v>
      </c>
      <c r="I13" s="143">
        <f>MAX(0,1-J15)</f>
        <v>0.1095890410958904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42.692999999999998</v>
      </c>
      <c r="C14" s="141">
        <f>$B$33*C10</f>
        <v>44.907449999999997</v>
      </c>
      <c r="D14" s="141">
        <f>$B$33*D10</f>
        <v>47.321399999999997</v>
      </c>
      <c r="E14" s="141">
        <f>$B$33*E10</f>
        <v>49.495950000000008</v>
      </c>
      <c r="F14" s="141">
        <f>$B$33*F10</f>
        <v>53.944800000000001</v>
      </c>
      <c r="G14" s="138" t="str">
        <f>"$"&amp;ROUND(B33,2)&amp;"/"&amp;IF(STDEV(B69:E69)/AVERAGE(B69:E69)&lt;15%,"高",IF(STDEV(B69:E69)/AVERAGE(B69:E69)&lt;30%,"中","低"))</f>
        <v>$3.99/高</v>
      </c>
      <c r="H14" s="142" t="s">
        <v>203</v>
      </c>
      <c r="I14" s="145">
        <f>G62/100*I13</f>
        <v>2.7002739726027392E-2</v>
      </c>
      <c r="J14" s="76" t="s">
        <v>204</v>
      </c>
      <c r="K14" s="146"/>
      <c r="L14" s="147">
        <f>(HLOOKUP($C$1,$105:$106,2,FALSE)-HLOOKUP($C$1,$117:$127,9,FALSE))/(HLOOKUP($C$1,$117:$128,12,FALSE)/K11)</f>
        <v>17.725419933171636</v>
      </c>
      <c r="M14" s="148">
        <f>E135/E69</f>
        <v>0.89726027397260277</v>
      </c>
      <c r="N14" s="149">
        <f>F173/100</f>
        <v>1.1657999999999999</v>
      </c>
    </row>
    <row r="15" spans="1:15" s="93" customFormat="1" x14ac:dyDescent="0.25">
      <c r="A15" s="140" t="s">
        <v>375</v>
      </c>
      <c r="B15" s="141">
        <f>$D$62*B10</f>
        <v>49.648000000000003</v>
      </c>
      <c r="C15" s="141">
        <f>$D$62*C10</f>
        <v>52.223199999999999</v>
      </c>
      <c r="D15" s="141">
        <f>$D$62*D10</f>
        <v>55.030400000000007</v>
      </c>
      <c r="E15" s="141">
        <f>$D$62*E10</f>
        <v>57.559200000000011</v>
      </c>
      <c r="F15" s="141">
        <f>$D$62*F10</f>
        <v>62.732800000000005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0.8904109589041096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51.656377315055394</v>
      </c>
      <c r="C16" s="141">
        <f>$F$69*C10</f>
        <v>54.335750157097991</v>
      </c>
      <c r="D16" s="141">
        <f>$F$69*D10</f>
        <v>57.256507939865138</v>
      </c>
      <c r="E16" s="141">
        <f>$F$69*E10</f>
        <v>59.887603793762828</v>
      </c>
      <c r="F16" s="141">
        <f>$F$69*F10</f>
        <v>65.27048797192046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252</v>
      </c>
      <c r="J17" s="92">
        <f ca="1">IF(I17&lt;=0,"",IF(I17&lt;=MIN($B$13:$F$16),(I17-MIN($B$13:$F$16))/MIN($B$13:$F$16),IF(I17&gt;=MAX($B$13:$F$16),I17/MAX($B$13:$F$16),PERCENTRANK($B$13:$F$16,I17))))</f>
        <v>2.8535294117647059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3.9375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20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1.1580882352941178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8.2740608986746567E-2</v>
      </c>
      <c r="J20" s="171">
        <f>HLOOKUP($C$1,$117:$127,11,FALSE)/HLOOKUP($C$1,$105:$115,11,FALSE)</f>
        <v>0.20466004434218896</v>
      </c>
      <c r="K20" s="163"/>
    </row>
    <row r="21" spans="1:14" s="93" customFormat="1" x14ac:dyDescent="0.25">
      <c r="A21" s="151" t="s">
        <v>201</v>
      </c>
      <c r="B21" s="161">
        <f>AVERAGE(C173:F173)/100</f>
        <v>0.98774999999999991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14.889749999999999</v>
      </c>
      <c r="G21" s="88" t="s">
        <v>220</v>
      </c>
      <c r="H21" s="123" t="s">
        <v>221</v>
      </c>
      <c r="I21" s="162">
        <f>HLOOKUP($C$1,$105:$115,7,FALSE)/HLOOKUP($C$1,$117:$127,8,FALSE)</f>
        <v>4.9108193630916315</v>
      </c>
      <c r="J21" s="78"/>
      <c r="K21" s="164" t="s">
        <v>356</v>
      </c>
      <c r="L21" s="165">
        <f>HLOOKUP($C$1,$105:$115,7,FALSE)/HLOOKUP($C$1,$105:$115,11,FALSE)</f>
        <v>0.98397839953971544</v>
      </c>
      <c r="M21" s="123" t="s">
        <v>268</v>
      </c>
      <c r="N21" s="165">
        <f>HLOOKUP($C$1,$117:$127,8,FALSE)/HLOOKUP($C$1,$117:$127,11,FALSE)</f>
        <v>0.97903572923429827</v>
      </c>
    </row>
    <row r="22" spans="1:14" s="93" customFormat="1" x14ac:dyDescent="0.25">
      <c r="A22" s="140" t="s">
        <v>222</v>
      </c>
      <c r="B22" s="161">
        <f>(-1)*SUM(C133:F133)/SUM(C132:F132)</f>
        <v>-6.3897763578274766E-3</v>
      </c>
      <c r="C22" s="157"/>
      <c r="D22" s="166"/>
      <c r="E22" s="140"/>
      <c r="F22" s="159">
        <f>IF(B22&lt;=0,10,IF(B22&gt;=100%,0,(1-B22)*10))</f>
        <v>10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4.0613041136470747</v>
      </c>
      <c r="J22" s="78"/>
      <c r="K22" s="142" t="s">
        <v>357</v>
      </c>
      <c r="L22" s="165">
        <f>HLOOKUP($C$1,$105:$115,4,FALSE)/HLOOKUP($C$1,$105:$115,11,FALSE)</f>
        <v>4.1933519092974929E-2</v>
      </c>
      <c r="M22" s="123" t="s">
        <v>353</v>
      </c>
      <c r="N22" s="165">
        <f>HLOOKUP($C$1,$117:$127,4,FALSE)/HLOOKUP($C$1,$117:$127,11,FALSE)</f>
        <v>0.59571684227525457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1.2573239818851027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0.17021694216966451</v>
      </c>
      <c r="M23" s="123" t="s">
        <v>354</v>
      </c>
      <c r="N23" s="165">
        <f>IF(HLOOKUP($C$1,$117:$127,5,FALSE)="無",0,HLOOKUP($C$1,$117:$127,5,FALSE))/HLOOKUP($C$1,$117:$127,11,FALSE)</f>
        <v>9.4011291242201436E-2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15.71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8.0246276544438978E-3</v>
      </c>
      <c r="M24" s="123" t="s">
        <v>355</v>
      </c>
      <c r="N24" s="165">
        <f>HLOOKUP($C$1,$117:$127,9,FALSE)/HLOOKUP($C$1,$117:$127,11,FALSE)</f>
        <v>2.096427076570178E-2</v>
      </c>
    </row>
    <row r="25" spans="1:14" s="93" customFormat="1" x14ac:dyDescent="0.25">
      <c r="A25" s="151" t="s">
        <v>366</v>
      </c>
      <c r="B25" s="255">
        <f>AVERAGE(94:94)</f>
        <v>3850.391304347826</v>
      </c>
      <c r="C25" s="254">
        <f>STDEV(94:94)/AVERAGE(94:94)</f>
        <v>0.56308192411833613</v>
      </c>
      <c r="D25" s="76" t="str">
        <f>IF(C25&lt;=1,"高",IF(C25&lt;=2,"中","低"))</f>
        <v>高</v>
      </c>
      <c r="E25" s="149"/>
      <c r="F25" s="160">
        <f>MAX(0,10-ABS(C25))</f>
        <v>9.436918075881664</v>
      </c>
      <c r="G25" s="88" t="s">
        <v>213</v>
      </c>
      <c r="H25" s="123" t="s">
        <v>232</v>
      </c>
      <c r="I25" s="170">
        <f>IF(HLOOKUP(C1,167:170,3,FALSE)="無",0,HLOOKUP(C1,167:170,3,FALSE))</f>
        <v>101.12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18.056956521739128</v>
      </c>
      <c r="C26" s="172">
        <f>IF(COUNTIF(168:168,"&gt;0")=0,0,STDEV(168:168))</f>
        <v>2.1579228960499384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86.711304347826086</v>
      </c>
      <c r="C27" s="172">
        <f>IF(COUNTIF(169:169,"&gt;0")=0,0,STDEV(169:169))</f>
        <v>13.071901268246998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0.35590000000000005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0.19842500000000002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22.225000000000001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3.99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3.4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9.5563909774436091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1223811</v>
      </c>
      <c r="C36" s="178">
        <f>STDEV(C97:F97)</f>
        <v>103201.19828761679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35.590000000000003</v>
      </c>
      <c r="C37" s="180">
        <f>STDEV(C152:F152)</f>
        <v>3.0657353658353044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22.24</v>
      </c>
      <c r="C38" s="180">
        <f>STDEV(C153:F153)</f>
        <v>2.4947277740600615</v>
      </c>
      <c r="D38" s="76" t="str">
        <f>IF(C38/B38&lt;15%,"高",IF(C38/B38&lt;30%,"中","低"))</f>
        <v>高</v>
      </c>
      <c r="E38" s="107">
        <f>IF(F153&gt;E153,1,0)+IF(E153&gt;D153,1,0)+IF(D153&gt;C153,1,0)</f>
        <v>3</v>
      </c>
      <c r="F38" s="179"/>
      <c r="G38" s="160">
        <f>IF(D38="高",6,IF(D38="中",4,2))+E38+1</f>
        <v>10</v>
      </c>
    </row>
    <row r="39" spans="1:14" x14ac:dyDescent="0.25">
      <c r="A39" s="142" t="s">
        <v>46</v>
      </c>
      <c r="B39" s="181">
        <f>AVERAGE(C165:F165)</f>
        <v>22.225000000000001</v>
      </c>
      <c r="C39" s="181">
        <f>STDEV(C165:F165)</f>
        <v>1.8425435318240568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3.99</v>
      </c>
      <c r="C40" s="183">
        <f>STDEV(B69:E69)</f>
        <v>0.52744667976962201</v>
      </c>
      <c r="D40" s="76" t="str">
        <f>IF(C40/B40&lt;15%,"高",IF(C40/B40&lt;30%,"中","低"))</f>
        <v>高</v>
      </c>
      <c r="E40" s="107">
        <f>IF(E69&gt;D69,1,0)+IF(D69&gt;C69,1,0)+IF(C69&gt;B69,1,0)</f>
        <v>3</v>
      </c>
      <c r="G40" s="160">
        <f>IF(D40="高",6,IF(D40="中",4,2))+E40+1</f>
        <v>10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0.31914893617021284</v>
      </c>
      <c r="C44" s="186">
        <f>(C46-C49)/C49</f>
        <v>-5.691056910569111E-2</v>
      </c>
      <c r="D44" s="186">
        <f>(D46-D49)/D49</f>
        <v>2.9411764705882377E-2</v>
      </c>
      <c r="E44" s="186">
        <f>(E46-E49)/E49</f>
        <v>7.2072072072071933E-2</v>
      </c>
      <c r="G44" s="86" t="s">
        <v>175</v>
      </c>
      <c r="H44" s="186">
        <f>(H47-H50)/H50</f>
        <v>9.0635738831615145E-2</v>
      </c>
      <c r="I44" s="186">
        <f>(I47-I50)/I50</f>
        <v>-5.179744878237328E-2</v>
      </c>
      <c r="J44" s="186">
        <f>(J47-J50)/J50</f>
        <v>2.4203307785399153E-3</v>
      </c>
      <c r="K44" s="186">
        <f>(K47-K50)/K50</f>
        <v>-1.9702452754322537E-2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1.24</v>
      </c>
      <c r="C46" s="152">
        <f>HLOOKUP(C45,$81:$82,2,FALSE)</f>
        <v>1.1599999999999999</v>
      </c>
      <c r="D46" s="152">
        <f>HLOOKUP(D45,$81:$82,2,FALSE)</f>
        <v>1.05</v>
      </c>
      <c r="E46" s="152">
        <f>HLOOKUP(E45,$81:$82,2,FALSE)</f>
        <v>1.19</v>
      </c>
      <c r="G46" s="86" t="s">
        <v>164</v>
      </c>
      <c r="H46" s="145">
        <f>HLOOKUP(H45,$145:$147,2,FALSE)/100</f>
        <v>0.3836</v>
      </c>
      <c r="I46" s="145">
        <f>HLOOKUP(I45,$145:$147,2,FALSE)/100</f>
        <v>0.37819999999999998</v>
      </c>
      <c r="J46" s="145">
        <f>HLOOKUP(J45,$145:$147,2,FALSE)/100</f>
        <v>0.38219999999999998</v>
      </c>
      <c r="K46" s="145">
        <f>HLOOKUP(K45,$145:$147,2,FALSE)/100</f>
        <v>0.39390000000000003</v>
      </c>
    </row>
    <row r="47" spans="1:14" x14ac:dyDescent="0.25">
      <c r="A47" s="188" t="s">
        <v>165</v>
      </c>
      <c r="B47" s="189">
        <f>HLOOKUP(B45,$157:$159,3,FALSE)</f>
        <v>6.81</v>
      </c>
      <c r="C47" s="189">
        <f>HLOOKUP(C45,$157:$159,3,FALSE)</f>
        <v>6.13</v>
      </c>
      <c r="D47" s="189">
        <f>HLOOKUP(D45,$157:$159,3,FALSE)</f>
        <v>5.32</v>
      </c>
      <c r="E47" s="189">
        <f>HLOOKUP(E45,$157:$159,3,FALSE)</f>
        <v>6.38</v>
      </c>
      <c r="G47" s="190" t="s">
        <v>166</v>
      </c>
      <c r="H47" s="145">
        <f>HLOOKUP(H45,$145:$147,3,FALSE)/100</f>
        <v>0.25390000000000001</v>
      </c>
      <c r="I47" s="145">
        <f>HLOOKUP(I45,$145:$147,3,FALSE)/100</f>
        <v>0.24530000000000002</v>
      </c>
      <c r="J47" s="145">
        <f>HLOOKUP(J45,$145:$147,3,FALSE)/100</f>
        <v>0.24850000000000003</v>
      </c>
      <c r="K47" s="145">
        <f>HLOOKUP(K45,$145:$147,3,FALSE)/100</f>
        <v>0.24379999999999999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0.94</v>
      </c>
      <c r="C49" s="152">
        <f>HLOOKUP(C48,$81:$82,2,FALSE)</f>
        <v>1.23</v>
      </c>
      <c r="D49" s="152">
        <f>HLOOKUP(D48,$81:$82,2,FALSE)</f>
        <v>1.02</v>
      </c>
      <c r="E49" s="152">
        <f>HLOOKUP(E48,$81:$82,2,FALSE)</f>
        <v>1.1100000000000001</v>
      </c>
      <c r="G49" s="86" t="s">
        <v>164</v>
      </c>
      <c r="H49" s="145">
        <f>HLOOKUP(H48,$145:$147,2,FALSE)/100</f>
        <v>0.38090000000000002</v>
      </c>
      <c r="I49" s="145">
        <f>HLOOKUP(I48,$145:$147,2,FALSE)/100</f>
        <v>0.38880000000000003</v>
      </c>
      <c r="J49" s="145">
        <f>HLOOKUP(J48,$145:$147,2,FALSE)/100</f>
        <v>0.39810000000000001</v>
      </c>
      <c r="K49" s="145">
        <f>HLOOKUP(K48,$145:$147,2,FALSE)/100</f>
        <v>0.39030000000000004</v>
      </c>
    </row>
    <row r="50" spans="1:15" x14ac:dyDescent="0.25">
      <c r="A50" s="188" t="s">
        <v>165</v>
      </c>
      <c r="B50" s="189">
        <f>HLOOKUP(B48,$157:$159,3,FALSE)</f>
        <v>5.33</v>
      </c>
      <c r="C50" s="189">
        <f>HLOOKUP(C48,$157:$159,3,FALSE)</f>
        <v>6.68</v>
      </c>
      <c r="D50" s="189">
        <f>HLOOKUP(D48,$157:$159,3,FALSE)</f>
        <v>5.29</v>
      </c>
      <c r="E50" s="189">
        <f>HLOOKUP(E48,$157:$159,3,FALSE)</f>
        <v>6.09</v>
      </c>
      <c r="G50" s="190" t="s">
        <v>166</v>
      </c>
      <c r="H50" s="145">
        <f>HLOOKUP(H48,$145:$147,3,FALSE)/100</f>
        <v>0.23280000000000001</v>
      </c>
      <c r="I50" s="145">
        <f>HLOOKUP(I48,$145:$147,3,FALSE)/100</f>
        <v>0.25869999999999999</v>
      </c>
      <c r="J50" s="145">
        <f>HLOOKUP(J48,$145:$147,3,FALSE)/100</f>
        <v>0.24789999999999998</v>
      </c>
      <c r="K50" s="145">
        <f>HLOOKUP(K48,$145:$147,3,FALSE)/100</f>
        <v>0.2487</v>
      </c>
    </row>
    <row r="51" spans="1:15" x14ac:dyDescent="0.25">
      <c r="A51" s="86" t="s">
        <v>351</v>
      </c>
      <c r="B51" s="186">
        <f>(B47-B50)/B50</f>
        <v>0.27767354596622879</v>
      </c>
      <c r="C51" s="186">
        <f>(C47-C50)/C50</f>
        <v>-8.2335329341317348E-2</v>
      </c>
      <c r="D51" s="186">
        <f>(D47-D50)/D50</f>
        <v>5.6710775047259451E-3</v>
      </c>
      <c r="E51" s="186">
        <f>(E47-E50)/E50</f>
        <v>4.7619047619047623E-2</v>
      </c>
      <c r="G51" s="235" t="s">
        <v>174</v>
      </c>
      <c r="H51" s="186">
        <f>(H46-H49)/H49</f>
        <v>7.0884746652664218E-3</v>
      </c>
      <c r="I51" s="186">
        <f>(I46-I49)/I49</f>
        <v>-2.7263374485596844E-2</v>
      </c>
      <c r="J51" s="186">
        <f>(J46-J49)/J49</f>
        <v>-3.9939713639789057E-2</v>
      </c>
      <c r="K51" s="186">
        <f>(K46-K49)/K49</f>
        <v>9.2236740968485564E-3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5.363419836100114</v>
      </c>
      <c r="B53" s="193">
        <f>B46</f>
        <v>1.24</v>
      </c>
      <c r="C53" s="193">
        <f>E46/HLOOKUP(E45,$87:$94,5,FALSE)*HLOOKUP(E45,$87:$94,4,FALSE)*($B$25/HLOOKUP(E45,$87:$94,4,FALSE)+SUM($B$57:$D$57)/SUM($B58:$D$58)*$G$69/100/K46)</f>
        <v>1.3776988144911579</v>
      </c>
      <c r="D53" s="193">
        <f>D46/HLOOKUP(D45,$87:$94,5,FALSE)*HLOOKUP(D45,$87:$94,4,FALSE)*($B$25/HLOOKUP(D45,$87:$94,4,FALSE)+SUM($B$57:$D$57)/SUM($B58:$D$58)*$G$69/100/J46)</f>
        <v>1.3455901884148955</v>
      </c>
      <c r="E53" s="193">
        <f>C46/HLOOKUP(C45,$87:$94,5,FALSE)*HLOOKUP(C45,$87:$94,4,FALSE)*($B$25/HLOOKUP(C45,$87:$94,4,FALSE)+SUM($B$57:$D$57)/SUM($B58:$D$58)*$G$69/100/I46)</f>
        <v>1.4001308331940603</v>
      </c>
    </row>
    <row r="54" spans="1:15" x14ac:dyDescent="0.25">
      <c r="A54" s="278">
        <f>SUM(B54:E54)</f>
        <v>4.34</v>
      </c>
      <c r="B54" s="277">
        <f t="shared" ref="B54:D54" si="0">HLOOKUP(B52-10,81:82,2,FALSE)</f>
        <v>0.94</v>
      </c>
      <c r="C54" s="277">
        <f t="shared" si="0"/>
        <v>1.19</v>
      </c>
      <c r="D54" s="277">
        <f t="shared" si="0"/>
        <v>1.05</v>
      </c>
      <c r="E54" s="277">
        <f>HLOOKUP(E52-10,81:82,2,FALSE)</f>
        <v>1.1599999999999999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120193</v>
      </c>
      <c r="C57" s="196">
        <f>HLOOKUP(C56,78:79,2,FALSE)</f>
        <v>116447</v>
      </c>
      <c r="D57" s="196">
        <f>HLOOKUP(D56,78:79,2,FALSE)</f>
        <v>110349</v>
      </c>
      <c r="E57" s="196">
        <f>HLOOKUP(E56,78:79,2,FALSE)</f>
        <v>121304</v>
      </c>
      <c r="F57" s="196">
        <f>HLOOKUP(F56,78:79,2,FALSE)</f>
        <v>111642</v>
      </c>
      <c r="G57" s="196">
        <f t="shared" ref="G57:M57" si="2">HLOOKUP(G56,78:79,2,FALSE)</f>
        <v>106238</v>
      </c>
      <c r="H57" s="196">
        <f t="shared" si="2"/>
        <v>103354</v>
      </c>
      <c r="I57" s="196">
        <f t="shared" si="2"/>
        <v>114057</v>
      </c>
      <c r="J57" s="196">
        <f t="shared" si="2"/>
        <v>98153</v>
      </c>
      <c r="K57" s="196">
        <f t="shared" si="2"/>
        <v>112276</v>
      </c>
      <c r="L57" s="196">
        <f t="shared" si="2"/>
        <v>123614</v>
      </c>
      <c r="M57" s="196">
        <f t="shared" si="2"/>
        <v>116028</v>
      </c>
      <c r="N57" s="197"/>
    </row>
    <row r="58" spans="1:15" x14ac:dyDescent="0.25">
      <c r="A58" s="198" t="s">
        <v>253</v>
      </c>
      <c r="B58" s="196">
        <f>HLOOKUP(B56-100,78:79,2,FALSE)</f>
        <v>103083</v>
      </c>
      <c r="C58" s="196">
        <f>HLOOKUP(C56-100,78:79,2,FALSE)</f>
        <v>100017</v>
      </c>
      <c r="D58" s="196">
        <f>HLOOKUP(D56-100,78:79,2,FALSE)</f>
        <v>102345</v>
      </c>
      <c r="E58" s="196">
        <f>HLOOKUP(E56-100,78:79,2,FALSE)</f>
        <v>100145</v>
      </c>
      <c r="F58" s="196">
        <f>HLOOKUP(F56-100,78:79,2,FALSE)</f>
        <v>111453</v>
      </c>
      <c r="G58" s="196">
        <f t="shared" ref="G58:M58" si="3">HLOOKUP(G56-100,78:79,2,FALSE)</f>
        <v>120377</v>
      </c>
      <c r="H58" s="196">
        <f t="shared" si="3"/>
        <v>102264</v>
      </c>
      <c r="I58" s="196">
        <f t="shared" si="3"/>
        <v>105862</v>
      </c>
      <c r="J58" s="196">
        <f t="shared" si="3"/>
        <v>89211</v>
      </c>
      <c r="K58" s="196">
        <f t="shared" si="3"/>
        <v>105132</v>
      </c>
      <c r="L58" s="196">
        <f t="shared" si="3"/>
        <v>102210</v>
      </c>
      <c r="M58" s="196">
        <f t="shared" si="3"/>
        <v>107519</v>
      </c>
      <c r="N58" s="197"/>
    </row>
    <row r="59" spans="1:15" x14ac:dyDescent="0.25">
      <c r="A59" s="199" t="s">
        <v>254</v>
      </c>
      <c r="B59" s="165">
        <f>IF(B57&lt;&gt;"",(B57-B58)/B58,"")</f>
        <v>0.16598275176314231</v>
      </c>
      <c r="C59" s="165">
        <f>IF(C57&lt;&gt;"",(C57-C58)/C58,"")</f>
        <v>0.16427207374746294</v>
      </c>
      <c r="D59" s="165">
        <f>IF(D57&lt;&gt;"",(D57-D58)/D58,"")</f>
        <v>7.8206067712150079E-2</v>
      </c>
      <c r="E59" s="165">
        <f>IF(E57&lt;&gt;"",(E57-E58)/E58,"")</f>
        <v>0.21128363872385042</v>
      </c>
      <c r="F59" s="165">
        <f>IF(F57&lt;&gt;"",(F57-F58)/F58,"")</f>
        <v>1.6957820785443191E-3</v>
      </c>
      <c r="G59" s="165">
        <f t="shared" ref="G59:M59" si="4">IF(G57&lt;&gt;"",(G57-G58)/G58,"")</f>
        <v>-0.11745599242380189</v>
      </c>
      <c r="H59" s="165">
        <f t="shared" si="4"/>
        <v>1.0658687319095674E-2</v>
      </c>
      <c r="I59" s="165">
        <f t="shared" si="4"/>
        <v>7.7412102548601008E-2</v>
      </c>
      <c r="J59" s="165">
        <f t="shared" si="4"/>
        <v>0.10023427604219211</v>
      </c>
      <c r="K59" s="165">
        <f t="shared" si="4"/>
        <v>6.79526690256059E-2</v>
      </c>
      <c r="L59" s="165">
        <f t="shared" si="4"/>
        <v>0.20941199491243517</v>
      </c>
      <c r="M59" s="165">
        <f t="shared" si="4"/>
        <v>7.9139500925417827E-2</v>
      </c>
    </row>
    <row r="60" spans="1:15" x14ac:dyDescent="0.25">
      <c r="A60" s="195" t="s">
        <v>255</v>
      </c>
      <c r="B60" s="196">
        <f>SUM(B57:M57)</f>
        <v>1353655</v>
      </c>
    </row>
    <row r="61" spans="1:15" x14ac:dyDescent="0.25">
      <c r="A61" s="198" t="s">
        <v>256</v>
      </c>
      <c r="B61" s="196">
        <f>SUM(B58:M58)</f>
        <v>1249618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1.0832550427410617</v>
      </c>
      <c r="D62" s="152">
        <f>SUM(B46:E46)</f>
        <v>4.6400000000000006</v>
      </c>
      <c r="E62" s="152">
        <f>SUM(B49:E49)</f>
        <v>4.3</v>
      </c>
      <c r="G62" s="126">
        <f>SUM(B47:E47)</f>
        <v>24.639999999999997</v>
      </c>
      <c r="H62" s="126">
        <f>SUM(B50:E50)</f>
        <v>23.39</v>
      </c>
      <c r="J62" s="200">
        <f>AVERAGE(H46:K46)</f>
        <v>0.38447500000000001</v>
      </c>
      <c r="K62" s="200">
        <f>AVERAGE(H49:K49)</f>
        <v>0.38952500000000007</v>
      </c>
      <c r="M62" s="200">
        <f>AVERAGE(H47:K47)</f>
        <v>0.24787500000000001</v>
      </c>
      <c r="N62" s="200">
        <f>AVERAGE(H50:K50)</f>
        <v>0.24702499999999999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0.61</v>
      </c>
      <c r="C65" s="205">
        <f t="shared" si="5"/>
        <v>0.89</v>
      </c>
      <c r="D65" s="205">
        <f t="shared" si="5"/>
        <v>1.03</v>
      </c>
      <c r="E65" s="205">
        <f t="shared" si="5"/>
        <v>1.02</v>
      </c>
      <c r="F65" s="206">
        <f>IF(ISNA(HLOOKUP(F$64*10+$A65,$81:$82,2,FALSE)),(HLOOKUP(E$64*10+$A65,$87:$94,4,FALSE)*$G65+$B$25)/HLOOKUP(E$64*10+$A65,$87:$94,5,FALSE)*$E65,HLOOKUP(F$64*10+$A65,$81:$82,2,FALSE))</f>
        <v>1.05</v>
      </c>
      <c r="G65" s="101">
        <f>MIN(130%,SUM($B$57:$D$57)/SUM($B$58:$D$58)*$G$69/HLOOKUP(E$64*10+$A65,$145:$146,2,FALSE))</f>
        <v>1.1579797494279962</v>
      </c>
      <c r="H65" s="204">
        <v>1</v>
      </c>
      <c r="I65" s="208">
        <f t="shared" ref="I65:M68" si="6">IF(ISNA(HLOOKUP(I$64*10+$H65,$145:$147,3,FALSE)),"",HLOOKUP(I$64*10+$H65,$145:$147,3,FALSE)/100)</f>
        <v>0.16219999999999998</v>
      </c>
      <c r="J65" s="208">
        <f t="shared" si="6"/>
        <v>0.21510000000000001</v>
      </c>
      <c r="K65" s="208">
        <f t="shared" si="6"/>
        <v>0.2336</v>
      </c>
      <c r="L65" s="208">
        <f t="shared" si="6"/>
        <v>0.24789999999999998</v>
      </c>
      <c r="M65" s="209">
        <f t="shared" si="6"/>
        <v>0.24850000000000003</v>
      </c>
      <c r="N65" s="256">
        <f t="shared" ref="N65:O68" si="7">HLOOKUP(E$64*10+$A65,$87:$94,8,FALSE)</f>
        <v>1921</v>
      </c>
      <c r="O65" s="256">
        <f t="shared" si="7"/>
        <v>-1737</v>
      </c>
      <c r="P65" s="210"/>
    </row>
    <row r="66" spans="1:71" x14ac:dyDescent="0.25">
      <c r="A66" s="204">
        <v>2</v>
      </c>
      <c r="B66" s="205">
        <f t="shared" si="5"/>
        <v>0.86</v>
      </c>
      <c r="C66" s="205">
        <f t="shared" si="5"/>
        <v>1.02</v>
      </c>
      <c r="D66" s="205">
        <f t="shared" si="5"/>
        <v>1.1000000000000001</v>
      </c>
      <c r="E66" s="205">
        <f t="shared" si="5"/>
        <v>1.23</v>
      </c>
      <c r="F66" s="206">
        <f>IF(ISNA(HLOOKUP(F$64*10+$A66,$81:$82,2,FALSE)),(HLOOKUP(E$64*10+$A66,$87:$94,4,FALSE)*$G66+$B$25)/HLOOKUP(E$64*10+$A66,$87:$94,5,FALSE)*$E66,HLOOKUP(F$64*10+$A66,$81:$82,2,FALSE))</f>
        <v>1.1599999999999999</v>
      </c>
      <c r="G66" s="101">
        <f>MIN(130%,SUM($B$57:$D$57)/SUM($B$58:$D$58)*$G$69/HLOOKUP(E$64*10+$A66,$145:$146,2,FALSE))</f>
        <v>1.185678339113388</v>
      </c>
      <c r="H66" s="204">
        <v>2</v>
      </c>
      <c r="I66" s="208">
        <f t="shared" si="6"/>
        <v>0.18909999999999999</v>
      </c>
      <c r="J66" s="208">
        <f t="shared" si="6"/>
        <v>0.21870000000000001</v>
      </c>
      <c r="K66" s="208">
        <f t="shared" si="6"/>
        <v>0.22850000000000001</v>
      </c>
      <c r="L66" s="208">
        <f t="shared" si="6"/>
        <v>0.25869999999999999</v>
      </c>
      <c r="M66" s="209">
        <f t="shared" si="6"/>
        <v>0.24530000000000002</v>
      </c>
      <c r="N66" s="256">
        <f t="shared" si="7"/>
        <v>1907</v>
      </c>
      <c r="O66" s="256">
        <f t="shared" si="7"/>
        <v>3967</v>
      </c>
      <c r="P66" s="210"/>
    </row>
    <row r="67" spans="1:71" x14ac:dyDescent="0.25">
      <c r="A67" s="204">
        <v>3</v>
      </c>
      <c r="B67" s="205">
        <f t="shared" si="5"/>
        <v>0.79</v>
      </c>
      <c r="C67" s="205">
        <f t="shared" si="5"/>
        <v>0.91</v>
      </c>
      <c r="D67" s="205">
        <f t="shared" si="5"/>
        <v>1.07</v>
      </c>
      <c r="E67" s="205">
        <f t="shared" si="5"/>
        <v>0.94</v>
      </c>
      <c r="F67" s="206">
        <f>IF(ISNA(HLOOKUP(F$64*10+$A67,$81:$82,2,FALSE)),(HLOOKUP(E$64*10+$A67,$87:$94,4,FALSE)*$G67+$B$25)/HLOOKUP(E$64*10+$A67,$87:$94,5,FALSE)*$E67,HLOOKUP(F$64*10+$A67,$81:$82,2,FALSE))</f>
        <v>1.24</v>
      </c>
      <c r="G67" s="101">
        <f>MIN(130%,SUM($B$57:$D$57)/SUM($B$58:$D$58)*$G$69/HLOOKUP(E$64*10+$A67,$145:$146,2,FALSE))</f>
        <v>1.2102697249863095</v>
      </c>
      <c r="H67" s="204">
        <v>3</v>
      </c>
      <c r="I67" s="208">
        <f t="shared" si="6"/>
        <v>0.19390000000000002</v>
      </c>
      <c r="J67" s="208">
        <f t="shared" si="6"/>
        <v>0.19920000000000002</v>
      </c>
      <c r="K67" s="208">
        <f t="shared" si="6"/>
        <v>0.23199999999999998</v>
      </c>
      <c r="L67" s="208">
        <f t="shared" si="6"/>
        <v>0.23280000000000001</v>
      </c>
      <c r="M67" s="209">
        <f t="shared" si="6"/>
        <v>0.25390000000000001</v>
      </c>
      <c r="N67" s="256">
        <f t="shared" si="7"/>
        <v>-82</v>
      </c>
      <c r="O67" s="256">
        <f t="shared" si="7"/>
        <v>4566</v>
      </c>
      <c r="P67" s="210"/>
    </row>
    <row r="68" spans="1:71" x14ac:dyDescent="0.25">
      <c r="A68" s="204">
        <v>4</v>
      </c>
      <c r="B68" s="205">
        <f>HLOOKUP(B$64*10+$A68,$81:$82,2,FALSE)</f>
        <v>0.97</v>
      </c>
      <c r="C68" s="205">
        <f>HLOOKUP(C$64*10+$A68,$81:$82,2,FALSE)</f>
        <v>1.22</v>
      </c>
      <c r="D68" s="205">
        <f>HLOOKUP(D$64*10+$A68,$81:$82,2,FALSE)</f>
        <v>1.1100000000000001</v>
      </c>
      <c r="E68" s="206">
        <f>IF(ISNA(HLOOKUP(E$64*10+$A68,$81:$82,2,FALSE)),D68*(1-$N68)*#REF!*(1+$B$25)/(1+$E$4),HLOOKUP(E$64*10+$A68,$81:$82,2,FALSE))</f>
        <v>1.19</v>
      </c>
      <c r="F68" s="206">
        <f>IF(ISNA(HLOOKUP(F$64*10+$A68,$81:$82,2,FALSE)),(HLOOKUP(E$64*10+$A68,$87:$94,4,FALSE)*$G68+$B$25)/HLOOKUP(E$64*10+$A68,$87:$94,5,FALSE)*$E68,HLOOKUP(F$64*10+$A68,$81:$82,2,FALSE))</f>
        <v>1.3776988144911582</v>
      </c>
      <c r="G68" s="101">
        <f>MIN(130%,SUM($B$57:$D$57)/SUM($B$58:$D$58)*$G$69/HLOOKUP(E$64*10+$A68,$145:$146,2,FALSE))</f>
        <v>1.17032682977224</v>
      </c>
      <c r="H68" s="204">
        <v>4</v>
      </c>
      <c r="I68" s="208">
        <f t="shared" si="6"/>
        <v>0.20280000000000001</v>
      </c>
      <c r="J68" s="208">
        <f t="shared" si="6"/>
        <v>0.23899999999999999</v>
      </c>
      <c r="K68" s="208">
        <f t="shared" si="6"/>
        <v>0.2487</v>
      </c>
      <c r="L68" s="208">
        <f t="shared" si="6"/>
        <v>0.24379999999999999</v>
      </c>
      <c r="M68" s="209" t="str">
        <f t="shared" si="6"/>
        <v/>
      </c>
      <c r="N68" s="256">
        <f t="shared" si="7"/>
        <v>4235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3.2299999999999995</v>
      </c>
      <c r="C69" s="213">
        <f>SUM(C65:C68)</f>
        <v>4.04</v>
      </c>
      <c r="D69" s="213">
        <f>SUM(D65:D68)</f>
        <v>4.3100000000000005</v>
      </c>
      <c r="E69" s="213">
        <f>SUM(E65:E68)</f>
        <v>4.38</v>
      </c>
      <c r="F69" s="213">
        <f>SUM(F65:F68)</f>
        <v>4.8276988144911588</v>
      </c>
      <c r="G69" s="257">
        <f>_xlfn.FORECAST.ETS(23,B146:W146,{1,2,3,4,5,6,7,8,9,10,11,12,13,14,15,16,17,18,19,20,21,22})</f>
        <v>40.579851663580705</v>
      </c>
      <c r="H69" s="214" t="s">
        <v>19</v>
      </c>
      <c r="I69" s="215">
        <f>HLOOKUP(I64,151:155,3,FALSE)/100</f>
        <v>0.18899999999999997</v>
      </c>
      <c r="J69" s="215">
        <f>HLOOKUP(J64,151:155,3,FALSE)/100</f>
        <v>0.21879999999999999</v>
      </c>
      <c r="K69" s="215">
        <f>HLOOKUP(K64,151:155,3,FALSE)/100</f>
        <v>0.23569999999999999</v>
      </c>
      <c r="L69" s="215">
        <f>IF(ISNA(HLOOKUP(L64,151:155,3,FALSE)/100),AVERAGE(L65:L68),HLOOKUP(L64,151:155,3,FALSE)/100)</f>
        <v>0.24609999999999999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3.71</v>
      </c>
      <c r="C72" s="205">
        <f t="shared" si="8"/>
        <v>5.08</v>
      </c>
      <c r="D72" s="205">
        <f t="shared" si="8"/>
        <v>5.53</v>
      </c>
      <c r="E72" s="205">
        <f t="shared" si="8"/>
        <v>5.29</v>
      </c>
      <c r="F72" s="205">
        <f t="shared" si="8"/>
        <v>5.32</v>
      </c>
    </row>
    <row r="73" spans="1:71" s="135" customFormat="1" x14ac:dyDescent="0.25">
      <c r="A73" s="204">
        <v>2</v>
      </c>
      <c r="B73" s="205">
        <f t="shared" si="8"/>
        <v>5.37</v>
      </c>
      <c r="C73" s="205">
        <f t="shared" si="8"/>
        <v>5.96</v>
      </c>
      <c r="D73" s="205">
        <f t="shared" si="8"/>
        <v>6.08</v>
      </c>
      <c r="E73" s="205">
        <f t="shared" si="8"/>
        <v>6.68</v>
      </c>
      <c r="F73" s="205">
        <f t="shared" si="8"/>
        <v>6.13</v>
      </c>
    </row>
    <row r="74" spans="1:71" s="135" customFormat="1" x14ac:dyDescent="0.25">
      <c r="A74" s="204">
        <v>3</v>
      </c>
      <c r="B74" s="205">
        <f t="shared" si="8"/>
        <v>5.09</v>
      </c>
      <c r="C74" s="205">
        <f t="shared" si="8"/>
        <v>5.54</v>
      </c>
      <c r="D74" s="205">
        <f t="shared" si="8"/>
        <v>6.24</v>
      </c>
      <c r="E74" s="205">
        <f t="shared" si="8"/>
        <v>5.33</v>
      </c>
      <c r="F74" s="205">
        <f t="shared" si="8"/>
        <v>6.81</v>
      </c>
    </row>
    <row r="75" spans="1:71" s="135" customFormat="1" x14ac:dyDescent="0.25">
      <c r="A75" s="204">
        <v>4</v>
      </c>
      <c r="B75" s="205">
        <f t="shared" si="8"/>
        <v>5.85</v>
      </c>
      <c r="C75" s="205">
        <f t="shared" si="8"/>
        <v>7.01</v>
      </c>
      <c r="D75" s="205">
        <f t="shared" si="8"/>
        <v>6.09</v>
      </c>
      <c r="E75" s="205">
        <f t="shared" si="8"/>
        <v>6.38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20.02</v>
      </c>
      <c r="C76" s="213">
        <f>SUM(C72:C75)</f>
        <v>23.589999999999996</v>
      </c>
      <c r="D76" s="213">
        <f>SUM(D72:D75)</f>
        <v>23.94</v>
      </c>
      <c r="E76" s="213">
        <f>AVERAGE(E72:E75)*4</f>
        <v>23.679999999999996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55881</v>
      </c>
      <c r="C79" s="270">
        <v>71099</v>
      </c>
      <c r="D79" s="270">
        <v>78883</v>
      </c>
      <c r="E79" s="270">
        <v>84388</v>
      </c>
      <c r="F79" s="270">
        <v>91322</v>
      </c>
      <c r="G79" s="270">
        <v>89470</v>
      </c>
      <c r="H79" s="270">
        <v>85158</v>
      </c>
      <c r="I79" s="270">
        <v>91326</v>
      </c>
      <c r="J79" s="270">
        <v>88913</v>
      </c>
      <c r="K79" s="270">
        <v>83283</v>
      </c>
      <c r="L79" s="270">
        <v>90378</v>
      </c>
      <c r="M79" s="270">
        <v>90844</v>
      </c>
      <c r="N79" s="270">
        <v>70294</v>
      </c>
      <c r="O79" s="270">
        <v>60379</v>
      </c>
      <c r="P79" s="270">
        <v>81615</v>
      </c>
      <c r="Q79" s="270">
        <v>81784</v>
      </c>
      <c r="R79" s="270">
        <v>92069</v>
      </c>
      <c r="S79" s="270">
        <v>92175</v>
      </c>
      <c r="T79" s="270">
        <v>95571</v>
      </c>
      <c r="U79" s="270">
        <v>96514</v>
      </c>
      <c r="V79" s="270">
        <v>92092</v>
      </c>
      <c r="W79" s="270">
        <v>90017</v>
      </c>
      <c r="X79" s="270">
        <v>95646</v>
      </c>
      <c r="Y79" s="270">
        <v>121207</v>
      </c>
      <c r="Z79" s="270">
        <v>102045</v>
      </c>
      <c r="AA79" s="270">
        <v>91205</v>
      </c>
      <c r="AB79" s="270">
        <v>106812</v>
      </c>
      <c r="AC79" s="270">
        <v>100308</v>
      </c>
      <c r="AD79" s="270">
        <v>101562</v>
      </c>
      <c r="AE79" s="270">
        <v>113667</v>
      </c>
      <c r="AF79" s="270">
        <v>100577</v>
      </c>
      <c r="AG79" s="270">
        <v>100671</v>
      </c>
      <c r="AH79" s="270">
        <v>108152</v>
      </c>
      <c r="AI79" s="270">
        <v>108618</v>
      </c>
      <c r="AJ79" s="270">
        <v>110198</v>
      </c>
      <c r="AK79" s="270">
        <v>137072</v>
      </c>
      <c r="AL79" s="270">
        <v>104068</v>
      </c>
      <c r="AM79" s="270">
        <v>84178</v>
      </c>
      <c r="AN79" s="270">
        <v>117422</v>
      </c>
      <c r="AO79" s="270">
        <v>126537</v>
      </c>
      <c r="AP79" s="270">
        <v>108064</v>
      </c>
      <c r="AQ79" s="270">
        <v>101643</v>
      </c>
      <c r="AR79" s="270">
        <v>101962</v>
      </c>
      <c r="AS79" s="270">
        <v>93420</v>
      </c>
      <c r="AT79" s="270">
        <v>108421</v>
      </c>
      <c r="AU79" s="270">
        <v>110019</v>
      </c>
      <c r="AV79" s="270">
        <v>107519</v>
      </c>
      <c r="AW79" s="270">
        <v>102210</v>
      </c>
      <c r="AX79" s="270">
        <v>105132</v>
      </c>
      <c r="AY79" s="270">
        <v>89211</v>
      </c>
      <c r="AZ79" s="270">
        <v>105862</v>
      </c>
      <c r="BA79" s="270">
        <v>102264</v>
      </c>
      <c r="BB79" s="270">
        <v>120377</v>
      </c>
      <c r="BC79" s="270">
        <v>111453</v>
      </c>
      <c r="BD79" s="270">
        <v>100145</v>
      </c>
      <c r="BE79" s="270">
        <v>102345</v>
      </c>
      <c r="BF79" s="270">
        <v>100017</v>
      </c>
      <c r="BG79" s="270">
        <v>103083</v>
      </c>
      <c r="BH79" s="270">
        <v>116028</v>
      </c>
      <c r="BI79" s="270">
        <v>123614</v>
      </c>
      <c r="BJ79" s="270">
        <v>112276</v>
      </c>
      <c r="BK79" s="270">
        <v>98153</v>
      </c>
      <c r="BL79" s="270">
        <v>114057</v>
      </c>
      <c r="BM79" s="270">
        <v>103354</v>
      </c>
      <c r="BN79" s="270">
        <v>106238</v>
      </c>
      <c r="BO79" s="270">
        <v>111642</v>
      </c>
      <c r="BP79" s="270">
        <v>121304</v>
      </c>
      <c r="BQ79" s="270">
        <v>110349</v>
      </c>
      <c r="BR79" s="270">
        <v>116447</v>
      </c>
      <c r="BS79" s="270">
        <v>120193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0.55000000000000004</v>
      </c>
      <c r="C82" s="72">
        <v>0.67</v>
      </c>
      <c r="D82" s="72">
        <v>0.65</v>
      </c>
      <c r="E82" s="72">
        <v>0.76</v>
      </c>
      <c r="F82" s="72">
        <v>0.61</v>
      </c>
      <c r="G82" s="72">
        <v>0.86</v>
      </c>
      <c r="H82" s="72">
        <v>0.79</v>
      </c>
      <c r="I82" s="72">
        <v>0.97</v>
      </c>
      <c r="J82" s="72">
        <v>0.89</v>
      </c>
      <c r="K82" s="72">
        <v>1.02</v>
      </c>
      <c r="L82" s="72">
        <v>0.91</v>
      </c>
      <c r="M82" s="72">
        <v>1.22</v>
      </c>
      <c r="N82" s="72">
        <v>1.03</v>
      </c>
      <c r="O82" s="72">
        <v>1.1000000000000001</v>
      </c>
      <c r="P82" s="72">
        <v>1.07</v>
      </c>
      <c r="Q82" s="72">
        <v>1.1100000000000001</v>
      </c>
      <c r="R82" s="72">
        <v>1.02</v>
      </c>
      <c r="S82" s="72">
        <v>1.23</v>
      </c>
      <c r="T82" s="72">
        <v>0.94</v>
      </c>
      <c r="U82" s="72">
        <v>1.19</v>
      </c>
      <c r="V82" s="72">
        <v>1.05</v>
      </c>
      <c r="W82" s="72">
        <v>1.1599999999999999</v>
      </c>
      <c r="X82" s="72">
        <v>1.24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15.44</v>
      </c>
      <c r="C85" s="72">
        <v>14.71</v>
      </c>
      <c r="D85" s="72">
        <v>15.36</v>
      </c>
      <c r="E85" s="72">
        <v>16.11</v>
      </c>
      <c r="F85" s="72">
        <v>16.66</v>
      </c>
      <c r="G85" s="72">
        <v>15.43</v>
      </c>
      <c r="H85" s="72">
        <v>15.97</v>
      </c>
      <c r="I85" s="72">
        <v>16.96</v>
      </c>
      <c r="J85" s="72">
        <v>17.850000000000001</v>
      </c>
      <c r="K85" s="72">
        <v>16.27</v>
      </c>
      <c r="L85" s="72">
        <v>16.86</v>
      </c>
      <c r="M85" s="72">
        <v>18.079999999999998</v>
      </c>
      <c r="N85" s="72">
        <v>19.11</v>
      </c>
      <c r="O85" s="72">
        <v>16.91</v>
      </c>
      <c r="P85" s="72">
        <v>17.64</v>
      </c>
      <c r="Q85" s="72">
        <v>18.73</v>
      </c>
      <c r="R85" s="72">
        <v>19.739999999999998</v>
      </c>
      <c r="S85" s="72">
        <v>17.18</v>
      </c>
      <c r="T85" s="72">
        <v>18.12</v>
      </c>
      <c r="U85" s="72">
        <v>19.3</v>
      </c>
      <c r="V85" s="72">
        <v>20.36</v>
      </c>
      <c r="W85" s="72">
        <v>17.62</v>
      </c>
      <c r="X85" s="72">
        <v>18.87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205868</v>
      </c>
      <c r="C88" s="273">
        <v>265273</v>
      </c>
      <c r="D88" s="273">
        <v>265427</v>
      </c>
      <c r="E88" s="273">
        <v>264512</v>
      </c>
      <c r="F88" s="273">
        <v>212288</v>
      </c>
      <c r="G88" s="273">
        <v>266028</v>
      </c>
      <c r="H88" s="273">
        <v>284177</v>
      </c>
      <c r="I88" s="273">
        <v>306870</v>
      </c>
      <c r="J88" s="273">
        <v>300062</v>
      </c>
      <c r="K88" s="273">
        <v>315537</v>
      </c>
      <c r="L88" s="273">
        <v>309400</v>
      </c>
      <c r="M88" s="273">
        <v>355888</v>
      </c>
      <c r="N88" s="273">
        <v>305668</v>
      </c>
      <c r="O88" s="273">
        <v>336244</v>
      </c>
      <c r="P88" s="273">
        <v>303803</v>
      </c>
      <c r="Q88" s="273">
        <v>319748</v>
      </c>
      <c r="R88" s="273">
        <v>300205</v>
      </c>
      <c r="S88" s="273">
        <v>334094</v>
      </c>
      <c r="T88" s="273">
        <v>302507</v>
      </c>
      <c r="U88" s="273">
        <v>342725</v>
      </c>
      <c r="V88" s="273">
        <v>324486</v>
      </c>
      <c r="W88" s="273">
        <v>321234</v>
      </c>
      <c r="X88" s="273">
        <v>348100</v>
      </c>
    </row>
    <row r="89" spans="1:25" ht="14.25" thickBot="1" x14ac:dyDescent="0.3">
      <c r="A89" s="250" t="s">
        <v>4</v>
      </c>
      <c r="B89" s="275">
        <v>61500</v>
      </c>
      <c r="C89" s="275">
        <v>76420</v>
      </c>
      <c r="D89" s="275">
        <v>79758</v>
      </c>
      <c r="E89" s="275">
        <v>78126</v>
      </c>
      <c r="F89" s="275">
        <v>66134</v>
      </c>
      <c r="G89" s="275">
        <v>86165</v>
      </c>
      <c r="H89" s="275">
        <v>91740</v>
      </c>
      <c r="I89" s="275">
        <v>98574</v>
      </c>
      <c r="J89" s="275">
        <v>102120</v>
      </c>
      <c r="K89" s="275">
        <v>106515</v>
      </c>
      <c r="L89" s="275">
        <v>103184</v>
      </c>
      <c r="M89" s="275">
        <v>127451</v>
      </c>
      <c r="N89" s="275">
        <v>112407</v>
      </c>
      <c r="O89" s="275">
        <v>118140</v>
      </c>
      <c r="P89" s="275">
        <v>112637</v>
      </c>
      <c r="Q89" s="275">
        <v>124797</v>
      </c>
      <c r="R89" s="275">
        <v>119500</v>
      </c>
      <c r="S89" s="275">
        <v>129892</v>
      </c>
      <c r="T89" s="275">
        <v>115230</v>
      </c>
      <c r="U89" s="275">
        <v>135011</v>
      </c>
      <c r="V89" s="275">
        <v>124010</v>
      </c>
      <c r="W89" s="275">
        <v>121501</v>
      </c>
      <c r="X89" s="275">
        <v>133548</v>
      </c>
    </row>
    <row r="90" spans="1:25" ht="14.25" thickBot="1" x14ac:dyDescent="0.3">
      <c r="A90" s="251" t="s">
        <v>5</v>
      </c>
      <c r="B90" s="273">
        <v>31976</v>
      </c>
      <c r="C90" s="273">
        <v>37452</v>
      </c>
      <c r="D90" s="273">
        <v>46051</v>
      </c>
      <c r="E90" s="273">
        <v>44384</v>
      </c>
      <c r="F90" s="273">
        <v>34441</v>
      </c>
      <c r="G90" s="273">
        <v>50304</v>
      </c>
      <c r="H90" s="273">
        <v>55110</v>
      </c>
      <c r="I90" s="273">
        <v>62222</v>
      </c>
      <c r="J90" s="273">
        <v>64544</v>
      </c>
      <c r="K90" s="273">
        <v>68998</v>
      </c>
      <c r="L90" s="273">
        <v>61629</v>
      </c>
      <c r="M90" s="273">
        <v>85048</v>
      </c>
      <c r="N90" s="273">
        <v>71406</v>
      </c>
      <c r="O90" s="273">
        <v>76825</v>
      </c>
      <c r="P90" s="273">
        <v>70481</v>
      </c>
      <c r="Q90" s="273">
        <v>79537</v>
      </c>
      <c r="R90" s="273">
        <v>74407</v>
      </c>
      <c r="S90" s="273">
        <v>86433</v>
      </c>
      <c r="T90" s="273">
        <v>70433</v>
      </c>
      <c r="U90" s="273">
        <v>83561</v>
      </c>
      <c r="V90" s="273">
        <v>80630</v>
      </c>
      <c r="W90" s="273">
        <v>78804</v>
      </c>
      <c r="X90" s="273">
        <v>88385</v>
      </c>
    </row>
    <row r="91" spans="1:25" ht="14.25" thickBot="1" x14ac:dyDescent="0.3">
      <c r="A91" s="250" t="s">
        <v>6</v>
      </c>
      <c r="B91" s="275">
        <v>34291</v>
      </c>
      <c r="C91" s="275">
        <v>40950</v>
      </c>
      <c r="D91" s="275">
        <v>48992</v>
      </c>
      <c r="E91" s="275">
        <v>48479</v>
      </c>
      <c r="F91" s="275">
        <v>38653</v>
      </c>
      <c r="G91" s="275">
        <v>55945</v>
      </c>
      <c r="H91" s="275">
        <v>59303</v>
      </c>
      <c r="I91" s="275">
        <v>67889</v>
      </c>
      <c r="J91" s="275">
        <v>70385</v>
      </c>
      <c r="K91" s="275">
        <v>73063</v>
      </c>
      <c r="L91" s="275">
        <v>66118</v>
      </c>
      <c r="M91" s="275">
        <v>91660</v>
      </c>
      <c r="N91" s="275">
        <v>74906</v>
      </c>
      <c r="O91" s="275">
        <v>80559</v>
      </c>
      <c r="P91" s="275">
        <v>79453</v>
      </c>
      <c r="Q91" s="275">
        <v>83544</v>
      </c>
      <c r="R91" s="275">
        <v>76328</v>
      </c>
      <c r="S91" s="275">
        <v>88340</v>
      </c>
      <c r="T91" s="275">
        <v>70351</v>
      </c>
      <c r="U91" s="275">
        <v>87796</v>
      </c>
      <c r="V91" s="275">
        <v>78893</v>
      </c>
      <c r="W91" s="275">
        <v>82771</v>
      </c>
      <c r="X91" s="275">
        <v>92951</v>
      </c>
    </row>
    <row r="92" spans="1:25" ht="14.25" thickBot="1" x14ac:dyDescent="0.3">
      <c r="A92" s="251" t="s">
        <v>7</v>
      </c>
      <c r="B92" s="273">
        <v>31798</v>
      </c>
      <c r="C92" s="273">
        <v>38699</v>
      </c>
      <c r="D92" s="273">
        <v>38080</v>
      </c>
      <c r="E92" s="273">
        <v>43953</v>
      </c>
      <c r="F92" s="273">
        <v>35365</v>
      </c>
      <c r="G92" s="273">
        <v>50172</v>
      </c>
      <c r="H92" s="273">
        <v>47130</v>
      </c>
      <c r="I92" s="273">
        <v>57749</v>
      </c>
      <c r="J92" s="273">
        <v>53168</v>
      </c>
      <c r="K92" s="273">
        <v>61023</v>
      </c>
      <c r="L92" s="273">
        <v>55676</v>
      </c>
      <c r="M92" s="273">
        <v>75015</v>
      </c>
      <c r="N92" s="273">
        <v>62976</v>
      </c>
      <c r="O92" s="273">
        <v>67126</v>
      </c>
      <c r="P92" s="273">
        <v>66752</v>
      </c>
      <c r="Q92" s="273">
        <v>69181</v>
      </c>
      <c r="R92" s="273">
        <v>63616</v>
      </c>
      <c r="S92" s="273">
        <v>77095</v>
      </c>
      <c r="T92" s="273">
        <v>58743</v>
      </c>
      <c r="U92" s="273">
        <v>74601</v>
      </c>
      <c r="V92" s="273">
        <v>65876</v>
      </c>
      <c r="W92" s="273">
        <v>72724</v>
      </c>
      <c r="X92" s="273">
        <v>77622</v>
      </c>
    </row>
    <row r="93" spans="1:25" ht="26.25" thickBot="1" x14ac:dyDescent="0.3">
      <c r="A93" s="252" t="s">
        <v>8</v>
      </c>
      <c r="B93" s="276">
        <v>31798</v>
      </c>
      <c r="C93" s="276">
        <v>38699</v>
      </c>
      <c r="D93" s="276">
        <v>38080</v>
      </c>
      <c r="E93" s="276">
        <v>43953</v>
      </c>
      <c r="F93" s="276">
        <v>35365</v>
      </c>
      <c r="G93" s="276">
        <v>50172</v>
      </c>
      <c r="H93" s="276">
        <v>47130</v>
      </c>
      <c r="I93" s="276">
        <v>57749</v>
      </c>
      <c r="J93" s="276">
        <v>53168</v>
      </c>
      <c r="K93" s="276">
        <v>61023</v>
      </c>
      <c r="L93" s="276">
        <v>55676</v>
      </c>
      <c r="M93" s="276">
        <v>75015</v>
      </c>
      <c r="N93" s="276">
        <v>62976</v>
      </c>
      <c r="O93" s="276">
        <v>67126</v>
      </c>
      <c r="P93" s="276">
        <v>66752</v>
      </c>
      <c r="Q93" s="276">
        <v>69181</v>
      </c>
      <c r="R93" s="276">
        <v>63616</v>
      </c>
      <c r="S93" s="276">
        <v>77095</v>
      </c>
      <c r="T93" s="276">
        <v>58743</v>
      </c>
      <c r="U93" s="276">
        <v>74601</v>
      </c>
      <c r="V93" s="276">
        <v>65876</v>
      </c>
      <c r="W93" s="276">
        <v>72724</v>
      </c>
      <c r="X93" s="276">
        <v>77622</v>
      </c>
    </row>
    <row r="94" spans="1:25" x14ac:dyDescent="0.25">
      <c r="A94" s="233" t="s">
        <v>365</v>
      </c>
      <c r="B94" s="253">
        <f>IF(B91="","",B91-B90)</f>
        <v>2315</v>
      </c>
      <c r="C94" s="253">
        <f>IF(C91="","",C91-C90)</f>
        <v>3498</v>
      </c>
      <c r="D94" s="253">
        <f t="shared" ref="D94:Y94" si="9">IF(D91="","",D91-D90)</f>
        <v>2941</v>
      </c>
      <c r="E94" s="253">
        <f t="shared" si="9"/>
        <v>4095</v>
      </c>
      <c r="F94" s="253">
        <f t="shared" si="9"/>
        <v>4212</v>
      </c>
      <c r="G94" s="253">
        <f t="shared" si="9"/>
        <v>5641</v>
      </c>
      <c r="H94" s="253">
        <f t="shared" si="9"/>
        <v>4193</v>
      </c>
      <c r="I94" s="253">
        <f t="shared" si="9"/>
        <v>5667</v>
      </c>
      <c r="J94" s="253">
        <f t="shared" si="9"/>
        <v>5841</v>
      </c>
      <c r="K94" s="253">
        <f t="shared" si="9"/>
        <v>4065</v>
      </c>
      <c r="L94" s="253">
        <f t="shared" si="9"/>
        <v>4489</v>
      </c>
      <c r="M94" s="253">
        <f t="shared" si="9"/>
        <v>6612</v>
      </c>
      <c r="N94" s="253">
        <f t="shared" si="9"/>
        <v>3500</v>
      </c>
      <c r="O94" s="253">
        <f t="shared" si="9"/>
        <v>3734</v>
      </c>
      <c r="P94" s="253">
        <f t="shared" si="9"/>
        <v>8972</v>
      </c>
      <c r="Q94" s="253">
        <f t="shared" si="9"/>
        <v>4007</v>
      </c>
      <c r="R94" s="253">
        <f t="shared" si="9"/>
        <v>1921</v>
      </c>
      <c r="S94" s="253">
        <f t="shared" si="9"/>
        <v>1907</v>
      </c>
      <c r="T94" s="253">
        <f t="shared" si="9"/>
        <v>-82</v>
      </c>
      <c r="U94" s="253">
        <f t="shared" si="9"/>
        <v>4235</v>
      </c>
      <c r="V94" s="253">
        <f t="shared" si="9"/>
        <v>-1737</v>
      </c>
      <c r="W94" s="253">
        <f t="shared" si="9"/>
        <v>3967</v>
      </c>
      <c r="X94" s="253">
        <f t="shared" si="9"/>
        <v>4566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1001080</v>
      </c>
      <c r="C97" s="273">
        <v>1069363</v>
      </c>
      <c r="D97" s="273">
        <v>1280887</v>
      </c>
      <c r="E97" s="273">
        <v>1265463</v>
      </c>
      <c r="F97" s="273">
        <v>1279531</v>
      </c>
    </row>
    <row r="98" spans="1:24" ht="14.25" thickBot="1" x14ac:dyDescent="0.3">
      <c r="A98" s="225" t="s">
        <v>4</v>
      </c>
      <c r="B98" s="275">
        <v>295804</v>
      </c>
      <c r="C98" s="275">
        <v>342613</v>
      </c>
      <c r="D98" s="275">
        <v>439270</v>
      </c>
      <c r="E98" s="275">
        <v>467981</v>
      </c>
      <c r="F98" s="275">
        <v>499634</v>
      </c>
    </row>
    <row r="99" spans="1:24" ht="14.25" thickBot="1" x14ac:dyDescent="0.3">
      <c r="A99" s="224" t="s">
        <v>5</v>
      </c>
      <c r="B99" s="273">
        <v>159863</v>
      </c>
      <c r="C99" s="273">
        <v>202077</v>
      </c>
      <c r="D99" s="273">
        <v>280218</v>
      </c>
      <c r="E99" s="273">
        <v>298249</v>
      </c>
      <c r="F99" s="273">
        <v>314835</v>
      </c>
    </row>
    <row r="100" spans="1:24" ht="14.25" thickBot="1" x14ac:dyDescent="0.3">
      <c r="A100" s="225" t="s">
        <v>6</v>
      </c>
      <c r="B100" s="275">
        <v>172712</v>
      </c>
      <c r="C100" s="275">
        <v>221790</v>
      </c>
      <c r="D100" s="275">
        <v>301226</v>
      </c>
      <c r="E100" s="275">
        <v>318462</v>
      </c>
      <c r="F100" s="275">
        <v>322815</v>
      </c>
    </row>
    <row r="101" spans="1:24" ht="14.25" thickBot="1" x14ac:dyDescent="0.3">
      <c r="A101" s="224" t="s">
        <v>7</v>
      </c>
      <c r="B101" s="273">
        <v>152530</v>
      </c>
      <c r="C101" s="273">
        <v>190416</v>
      </c>
      <c r="D101" s="273">
        <v>244882</v>
      </c>
      <c r="E101" s="273">
        <v>266035</v>
      </c>
      <c r="F101" s="273">
        <v>274055</v>
      </c>
    </row>
    <row r="102" spans="1:24" ht="14.25" thickBot="1" x14ac:dyDescent="0.3">
      <c r="A102" s="227" t="s">
        <v>8</v>
      </c>
      <c r="B102" s="276">
        <v>152530</v>
      </c>
      <c r="C102" s="276">
        <v>190416</v>
      </c>
      <c r="D102" s="276">
        <v>244882</v>
      </c>
      <c r="E102" s="276">
        <v>266035</v>
      </c>
      <c r="F102" s="276">
        <v>274055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832150</v>
      </c>
      <c r="C106" s="273">
        <v>892373</v>
      </c>
      <c r="D106" s="273">
        <v>820645</v>
      </c>
      <c r="E106" s="273">
        <v>879832</v>
      </c>
      <c r="F106" s="273">
        <v>902320</v>
      </c>
      <c r="G106" s="273">
        <v>961577</v>
      </c>
      <c r="H106" s="273">
        <v>908388</v>
      </c>
      <c r="I106" s="273">
        <v>974127</v>
      </c>
      <c r="J106" s="273">
        <v>1010684</v>
      </c>
      <c r="K106" s="273">
        <v>1043192</v>
      </c>
      <c r="L106" s="273">
        <v>948267</v>
      </c>
      <c r="M106" s="273">
        <v>1021324</v>
      </c>
      <c r="N106" s="273">
        <v>1100374</v>
      </c>
      <c r="O106" s="273">
        <v>1159899</v>
      </c>
      <c r="P106" s="273">
        <v>985321</v>
      </c>
      <c r="Q106" s="273">
        <v>1064302</v>
      </c>
      <c r="R106" s="273">
        <v>1121704</v>
      </c>
      <c r="S106" s="273">
        <v>1199138</v>
      </c>
      <c r="T106" s="273">
        <v>1034620</v>
      </c>
      <c r="U106" s="273">
        <v>1150156</v>
      </c>
      <c r="V106" s="273">
        <v>1195845</v>
      </c>
      <c r="W106" s="273">
        <v>1268533</v>
      </c>
      <c r="X106" s="273">
        <v>1113979</v>
      </c>
    </row>
    <row r="107" spans="1:24" ht="14.25" thickBot="1" x14ac:dyDescent="0.3">
      <c r="A107" s="225" t="s">
        <v>22</v>
      </c>
      <c r="B107" s="275">
        <v>10301</v>
      </c>
      <c r="C107" s="275">
        <v>10321</v>
      </c>
      <c r="D107" s="275">
        <v>10339</v>
      </c>
      <c r="E107" s="275">
        <v>10358</v>
      </c>
      <c r="F107" s="275">
        <v>10375</v>
      </c>
      <c r="G107" s="275">
        <v>10392</v>
      </c>
      <c r="H107" s="275">
        <v>10408</v>
      </c>
      <c r="I107" s="275">
        <v>10423</v>
      </c>
      <c r="J107" s="275">
        <v>10437</v>
      </c>
      <c r="K107" s="275">
        <v>10451</v>
      </c>
      <c r="L107" s="275">
        <v>10465</v>
      </c>
      <c r="M107" s="275">
        <v>10480</v>
      </c>
      <c r="N107" s="275">
        <v>10494</v>
      </c>
      <c r="O107" s="275">
        <v>10508</v>
      </c>
      <c r="P107" s="275">
        <v>10522</v>
      </c>
      <c r="Q107" s="275">
        <v>10533</v>
      </c>
      <c r="R107" s="275">
        <v>10543</v>
      </c>
      <c r="S107" s="275">
        <v>10550</v>
      </c>
      <c r="T107" s="275">
        <v>10556</v>
      </c>
      <c r="U107" s="275">
        <v>10563</v>
      </c>
      <c r="V107" s="275">
        <v>10571</v>
      </c>
      <c r="W107" s="275">
        <v>15359</v>
      </c>
      <c r="X107" s="275">
        <v>15348</v>
      </c>
    </row>
    <row r="108" spans="1:24" ht="14.25" thickBot="1" x14ac:dyDescent="0.3">
      <c r="A108" s="224" t="s">
        <v>263</v>
      </c>
      <c r="B108" s="273">
        <v>34721</v>
      </c>
      <c r="C108" s="273">
        <v>44870</v>
      </c>
      <c r="D108" s="273">
        <v>47493</v>
      </c>
      <c r="E108" s="273">
        <v>55322</v>
      </c>
      <c r="F108" s="273">
        <v>42974</v>
      </c>
      <c r="G108" s="273">
        <v>46263</v>
      </c>
      <c r="H108" s="273">
        <v>51695</v>
      </c>
      <c r="I108" s="273">
        <v>65276</v>
      </c>
      <c r="J108" s="273">
        <v>60758</v>
      </c>
      <c r="K108" s="273">
        <v>59553</v>
      </c>
      <c r="L108" s="273">
        <v>67294</v>
      </c>
      <c r="M108" s="273">
        <v>87773</v>
      </c>
      <c r="N108" s="273">
        <v>58219</v>
      </c>
      <c r="O108" s="273">
        <v>60281</v>
      </c>
      <c r="P108" s="273">
        <v>71718</v>
      </c>
      <c r="Q108" s="273">
        <v>62972</v>
      </c>
      <c r="R108" s="273">
        <v>69890</v>
      </c>
      <c r="S108" s="273">
        <v>81959</v>
      </c>
      <c r="T108" s="273">
        <v>61824</v>
      </c>
      <c r="U108" s="273">
        <v>68172</v>
      </c>
      <c r="V108" s="273">
        <v>69013</v>
      </c>
      <c r="W108" s="273">
        <v>59327</v>
      </c>
      <c r="X108" s="273">
        <v>62169</v>
      </c>
    </row>
    <row r="109" spans="1:24" ht="14.25" thickBot="1" x14ac:dyDescent="0.3">
      <c r="A109" s="225" t="s">
        <v>264</v>
      </c>
      <c r="B109" s="275">
        <v>137885</v>
      </c>
      <c r="C109" s="275">
        <v>147158</v>
      </c>
      <c r="D109" s="275">
        <v>153618</v>
      </c>
      <c r="E109" s="275">
        <v>114653</v>
      </c>
      <c r="F109" s="275">
        <v>154886</v>
      </c>
      <c r="G109" s="275">
        <v>149727</v>
      </c>
      <c r="H109" s="275">
        <v>151560</v>
      </c>
      <c r="I109" s="275">
        <v>163671</v>
      </c>
      <c r="J109" s="275">
        <v>195787</v>
      </c>
      <c r="K109" s="275">
        <v>184302</v>
      </c>
      <c r="L109" s="275">
        <v>194904</v>
      </c>
      <c r="M109" s="275">
        <v>200703</v>
      </c>
      <c r="N109" s="275">
        <v>201288</v>
      </c>
      <c r="O109" s="275">
        <v>209049</v>
      </c>
      <c r="P109" s="275">
        <v>219463</v>
      </c>
      <c r="Q109" s="275">
        <v>207053</v>
      </c>
      <c r="R109" s="275">
        <v>211188</v>
      </c>
      <c r="S109" s="275">
        <v>208862</v>
      </c>
      <c r="T109" s="275">
        <v>225914</v>
      </c>
      <c r="U109" s="275">
        <v>222446</v>
      </c>
      <c r="V109" s="275">
        <v>225290</v>
      </c>
      <c r="W109" s="275">
        <v>231368</v>
      </c>
      <c r="X109" s="275">
        <v>252357</v>
      </c>
    </row>
    <row r="110" spans="1:24" ht="14.25" thickBot="1" x14ac:dyDescent="0.3">
      <c r="A110" s="224" t="s">
        <v>23</v>
      </c>
      <c r="B110" s="273">
        <v>15334</v>
      </c>
      <c r="C110" s="273">
        <v>13568</v>
      </c>
      <c r="D110" s="273">
        <v>11039</v>
      </c>
      <c r="E110" s="273">
        <v>11601</v>
      </c>
      <c r="F110" s="273">
        <v>13889</v>
      </c>
      <c r="G110" s="273">
        <v>11533</v>
      </c>
      <c r="H110" s="273">
        <v>10724</v>
      </c>
      <c r="I110" s="273">
        <v>13761</v>
      </c>
      <c r="J110" s="273">
        <v>16091</v>
      </c>
      <c r="K110" s="273">
        <v>14350</v>
      </c>
      <c r="L110" s="273">
        <v>13662</v>
      </c>
      <c r="M110" s="273">
        <v>15627</v>
      </c>
      <c r="N110" s="273">
        <v>15527</v>
      </c>
      <c r="O110" s="273">
        <v>16293</v>
      </c>
      <c r="P110" s="273">
        <v>18739</v>
      </c>
      <c r="Q110" s="273">
        <v>13388</v>
      </c>
      <c r="R110" s="273">
        <v>16174</v>
      </c>
      <c r="S110" s="273">
        <v>17412</v>
      </c>
      <c r="T110" s="273">
        <v>13858</v>
      </c>
      <c r="U110" s="273">
        <v>13632</v>
      </c>
      <c r="V110" s="273">
        <v>15489</v>
      </c>
      <c r="W110" s="273">
        <v>15297</v>
      </c>
      <c r="X110" s="273">
        <v>14955</v>
      </c>
    </row>
    <row r="111" spans="1:24" ht="14.25" thickBot="1" x14ac:dyDescent="0.3">
      <c r="A111" s="225" t="s">
        <v>24</v>
      </c>
      <c r="B111" s="275">
        <v>1030391</v>
      </c>
      <c r="C111" s="275">
        <v>1108290</v>
      </c>
      <c r="D111" s="275">
        <v>1043134</v>
      </c>
      <c r="E111" s="275">
        <v>1071766</v>
      </c>
      <c r="F111" s="275">
        <v>1124444</v>
      </c>
      <c r="G111" s="275">
        <v>1179492</v>
      </c>
      <c r="H111" s="275">
        <v>1132775</v>
      </c>
      <c r="I111" s="275">
        <v>1227258</v>
      </c>
      <c r="J111" s="275">
        <v>1293757</v>
      </c>
      <c r="K111" s="275">
        <v>1311848</v>
      </c>
      <c r="L111" s="275">
        <v>1234592</v>
      </c>
      <c r="M111" s="275">
        <v>1335907</v>
      </c>
      <c r="N111" s="275">
        <v>1385902</v>
      </c>
      <c r="O111" s="275">
        <v>1456030</v>
      </c>
      <c r="P111" s="275">
        <v>1305763</v>
      </c>
      <c r="Q111" s="275">
        <v>1358248</v>
      </c>
      <c r="R111" s="275">
        <v>1429499</v>
      </c>
      <c r="S111" s="275">
        <v>1517921</v>
      </c>
      <c r="T111" s="275">
        <v>1346772</v>
      </c>
      <c r="U111" s="275">
        <v>1464969</v>
      </c>
      <c r="V111" s="275">
        <v>1516208</v>
      </c>
      <c r="W111" s="275">
        <v>1589884</v>
      </c>
      <c r="X111" s="275">
        <v>1458808</v>
      </c>
    </row>
    <row r="112" spans="1:24" ht="14.25" thickBot="1" x14ac:dyDescent="0.3">
      <c r="A112" s="224" t="s">
        <v>25</v>
      </c>
      <c r="B112" s="68">
        <v>931</v>
      </c>
      <c r="C112" s="68">
        <v>931</v>
      </c>
      <c r="D112" s="68">
        <v>931</v>
      </c>
      <c r="E112" s="68">
        <v>931</v>
      </c>
      <c r="F112" s="68">
        <v>931</v>
      </c>
      <c r="G112" s="68">
        <v>931</v>
      </c>
      <c r="H112" s="68">
        <v>931</v>
      </c>
      <c r="I112" s="68">
        <v>931</v>
      </c>
      <c r="J112" s="68">
        <v>931</v>
      </c>
      <c r="K112" s="68">
        <v>931</v>
      </c>
      <c r="L112" s="68">
        <v>931</v>
      </c>
      <c r="M112" s="68">
        <v>0</v>
      </c>
      <c r="N112" s="68">
        <v>0</v>
      </c>
      <c r="O112" s="68">
        <v>0</v>
      </c>
      <c r="P112" s="68">
        <v>0</v>
      </c>
      <c r="Q112" s="273">
        <v>5191</v>
      </c>
      <c r="R112" s="273">
        <v>5068</v>
      </c>
      <c r="S112" s="273">
        <v>5069</v>
      </c>
      <c r="T112" s="273">
        <v>4924</v>
      </c>
      <c r="U112" s="273">
        <v>5068</v>
      </c>
      <c r="V112" s="273">
        <v>4763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8142</v>
      </c>
      <c r="C113" s="275">
        <v>8706</v>
      </c>
      <c r="D113" s="275">
        <v>13150</v>
      </c>
      <c r="E113" s="275">
        <v>12821</v>
      </c>
      <c r="F113" s="275">
        <v>12148</v>
      </c>
      <c r="G113" s="275">
        <v>15739</v>
      </c>
      <c r="H113" s="275">
        <v>14996</v>
      </c>
      <c r="I113" s="275">
        <v>15855</v>
      </c>
      <c r="J113" s="275">
        <v>16537</v>
      </c>
      <c r="K113" s="275">
        <v>17938</v>
      </c>
      <c r="L113" s="275">
        <v>18581</v>
      </c>
      <c r="M113" s="275">
        <v>17053</v>
      </c>
      <c r="N113" s="275">
        <v>16844</v>
      </c>
      <c r="O113" s="275">
        <v>15545</v>
      </c>
      <c r="P113" s="275">
        <v>17435</v>
      </c>
      <c r="Q113" s="275">
        <v>16079</v>
      </c>
      <c r="R113" s="275">
        <v>14861</v>
      </c>
      <c r="S113" s="275">
        <v>13793</v>
      </c>
      <c r="T113" s="275">
        <v>13029</v>
      </c>
      <c r="U113" s="275">
        <v>11193</v>
      </c>
      <c r="V113" s="275">
        <v>9731</v>
      </c>
      <c r="W113" s="275">
        <v>10552</v>
      </c>
      <c r="X113" s="275">
        <v>11856</v>
      </c>
    </row>
    <row r="114" spans="1:24" ht="14.25" thickBot="1" x14ac:dyDescent="0.3">
      <c r="A114" s="224" t="s">
        <v>27</v>
      </c>
      <c r="B114" s="273">
        <v>10635</v>
      </c>
      <c r="C114" s="273">
        <v>10483</v>
      </c>
      <c r="D114" s="273">
        <v>10272</v>
      </c>
      <c r="E114" s="273">
        <v>10226</v>
      </c>
      <c r="F114" s="273">
        <v>13675</v>
      </c>
      <c r="G114" s="273">
        <v>11167</v>
      </c>
      <c r="H114" s="273">
        <v>11088</v>
      </c>
      <c r="I114" s="273">
        <v>11568</v>
      </c>
      <c r="J114" s="273">
        <v>11560</v>
      </c>
      <c r="K114" s="273">
        <v>11301</v>
      </c>
      <c r="L114" s="273">
        <v>10950</v>
      </c>
      <c r="M114" s="273">
        <v>12582</v>
      </c>
      <c r="N114" s="273">
        <v>12104</v>
      </c>
      <c r="O114" s="273">
        <v>11535</v>
      </c>
      <c r="P114" s="273">
        <v>11308</v>
      </c>
      <c r="Q114" s="273">
        <v>11559</v>
      </c>
      <c r="R114" s="273">
        <v>11717</v>
      </c>
      <c r="S114" s="273">
        <v>11541</v>
      </c>
      <c r="T114" s="273">
        <v>12151</v>
      </c>
      <c r="U114" s="273">
        <v>11698</v>
      </c>
      <c r="V114" s="273">
        <v>11497</v>
      </c>
      <c r="W114" s="273">
        <v>13054</v>
      </c>
      <c r="X114" s="273">
        <v>11897</v>
      </c>
    </row>
    <row r="115" spans="1:24" ht="14.25" thickBot="1" x14ac:dyDescent="0.3">
      <c r="A115" s="225" t="s">
        <v>265</v>
      </c>
      <c r="B115" s="276">
        <v>1050099</v>
      </c>
      <c r="C115" s="276">
        <v>1128410</v>
      </c>
      <c r="D115" s="276">
        <v>1067487</v>
      </c>
      <c r="E115" s="276">
        <v>1095744</v>
      </c>
      <c r="F115" s="276">
        <v>1151198</v>
      </c>
      <c r="G115" s="276">
        <v>1207329</v>
      </c>
      <c r="H115" s="276">
        <v>1159790</v>
      </c>
      <c r="I115" s="276">
        <v>1255612</v>
      </c>
      <c r="J115" s="276">
        <v>1322785</v>
      </c>
      <c r="K115" s="276">
        <v>1342018</v>
      </c>
      <c r="L115" s="276">
        <v>1265054</v>
      </c>
      <c r="M115" s="276">
        <v>1365542</v>
      </c>
      <c r="N115" s="276">
        <v>1414850</v>
      </c>
      <c r="O115" s="276">
        <v>1483110</v>
      </c>
      <c r="P115" s="276">
        <v>1334506</v>
      </c>
      <c r="Q115" s="276">
        <v>1391077</v>
      </c>
      <c r="R115" s="276">
        <v>1461145</v>
      </c>
      <c r="S115" s="276">
        <v>1548324</v>
      </c>
      <c r="T115" s="276">
        <v>1376876</v>
      </c>
      <c r="U115" s="276">
        <v>1492928</v>
      </c>
      <c r="V115" s="276">
        <v>1542199</v>
      </c>
      <c r="W115" s="276">
        <v>1613490</v>
      </c>
      <c r="X115" s="276">
        <v>1482561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103821</v>
      </c>
      <c r="C120" s="273">
        <v>133916</v>
      </c>
      <c r="D120" s="273">
        <v>120073</v>
      </c>
      <c r="E120" s="273">
        <v>101597</v>
      </c>
      <c r="F120" s="273">
        <v>116194</v>
      </c>
      <c r="G120" s="273">
        <v>117709</v>
      </c>
      <c r="H120" s="273">
        <v>128779</v>
      </c>
      <c r="I120" s="273">
        <v>146595</v>
      </c>
      <c r="J120" s="273">
        <v>144894</v>
      </c>
      <c r="K120" s="273">
        <v>116639</v>
      </c>
      <c r="L120" s="273">
        <v>136751</v>
      </c>
      <c r="M120" s="273">
        <v>157377</v>
      </c>
      <c r="N120" s="273">
        <v>124714</v>
      </c>
      <c r="O120" s="273">
        <v>142378</v>
      </c>
      <c r="P120" s="273">
        <v>139536</v>
      </c>
      <c r="Q120" s="273">
        <v>120255</v>
      </c>
      <c r="R120" s="273">
        <v>114847</v>
      </c>
      <c r="S120" s="273">
        <v>132000</v>
      </c>
      <c r="T120" s="273">
        <v>142314</v>
      </c>
      <c r="U120" s="273">
        <v>175158</v>
      </c>
      <c r="V120" s="273">
        <v>140960</v>
      </c>
      <c r="W120" s="273">
        <v>144343</v>
      </c>
      <c r="X120" s="273">
        <v>180753</v>
      </c>
    </row>
    <row r="121" spans="1:24" ht="14.25" thickBot="1" x14ac:dyDescent="0.3">
      <c r="A121" s="225" t="s">
        <v>267</v>
      </c>
      <c r="B121" s="275">
        <v>16701</v>
      </c>
      <c r="C121" s="275">
        <v>17361</v>
      </c>
      <c r="D121" s="275">
        <v>10391</v>
      </c>
      <c r="E121" s="275">
        <v>9050</v>
      </c>
      <c r="F121" s="275">
        <v>14855</v>
      </c>
      <c r="G121" s="275">
        <v>13617</v>
      </c>
      <c r="H121" s="275">
        <v>12830</v>
      </c>
      <c r="I121" s="275">
        <v>16204</v>
      </c>
      <c r="J121" s="275">
        <v>16094</v>
      </c>
      <c r="K121" s="275">
        <v>14428</v>
      </c>
      <c r="L121" s="275">
        <v>19679</v>
      </c>
      <c r="M121" s="275">
        <v>21884</v>
      </c>
      <c r="N121" s="275">
        <v>28170</v>
      </c>
      <c r="O121" s="275">
        <v>19782</v>
      </c>
      <c r="P121" s="275">
        <v>20572</v>
      </c>
      <c r="Q121" s="275">
        <v>20126</v>
      </c>
      <c r="R121" s="275">
        <v>19253</v>
      </c>
      <c r="S121" s="275">
        <v>14522</v>
      </c>
      <c r="T121" s="275">
        <v>19413</v>
      </c>
      <c r="U121" s="275">
        <v>23734</v>
      </c>
      <c r="V121" s="275">
        <v>25403</v>
      </c>
      <c r="W121" s="275">
        <v>24727</v>
      </c>
      <c r="X121" s="275">
        <v>28525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30536</v>
      </c>
      <c r="C123" s="275">
        <v>120852</v>
      </c>
      <c r="D123" s="275">
        <v>42662</v>
      </c>
      <c r="E123" s="275">
        <v>46899</v>
      </c>
      <c r="F123" s="275">
        <v>46507</v>
      </c>
      <c r="G123" s="275">
        <v>174270</v>
      </c>
      <c r="H123" s="275">
        <v>60105</v>
      </c>
      <c r="I123" s="275">
        <v>68692</v>
      </c>
      <c r="J123" s="275">
        <v>84511</v>
      </c>
      <c r="K123" s="275">
        <v>228837</v>
      </c>
      <c r="L123" s="275">
        <v>71005</v>
      </c>
      <c r="M123" s="275">
        <v>73729</v>
      </c>
      <c r="N123" s="275">
        <v>86503</v>
      </c>
      <c r="O123" s="275">
        <v>280482</v>
      </c>
      <c r="P123" s="275">
        <v>67176</v>
      </c>
      <c r="Q123" s="275">
        <v>74257</v>
      </c>
      <c r="R123" s="275">
        <v>86997</v>
      </c>
      <c r="S123" s="275">
        <v>322162</v>
      </c>
      <c r="T123" s="275">
        <v>76766</v>
      </c>
      <c r="U123" s="275">
        <v>81112</v>
      </c>
      <c r="V123" s="275">
        <v>97045</v>
      </c>
      <c r="W123" s="275">
        <v>336722</v>
      </c>
      <c r="X123" s="275">
        <v>87782</v>
      </c>
    </row>
    <row r="124" spans="1:24" ht="14.25" thickBot="1" x14ac:dyDescent="0.3">
      <c r="A124" s="224" t="s">
        <v>268</v>
      </c>
      <c r="B124" s="273">
        <v>151058</v>
      </c>
      <c r="C124" s="273">
        <v>272129</v>
      </c>
      <c r="D124" s="273">
        <v>173126</v>
      </c>
      <c r="E124" s="273">
        <v>157546</v>
      </c>
      <c r="F124" s="273">
        <v>177556</v>
      </c>
      <c r="G124" s="273">
        <v>305596</v>
      </c>
      <c r="H124" s="273">
        <v>201714</v>
      </c>
      <c r="I124" s="273">
        <v>231491</v>
      </c>
      <c r="J124" s="273">
        <v>245499</v>
      </c>
      <c r="K124" s="273">
        <v>359904</v>
      </c>
      <c r="L124" s="273">
        <v>227435</v>
      </c>
      <c r="M124" s="273">
        <v>252990</v>
      </c>
      <c r="N124" s="273">
        <v>239387</v>
      </c>
      <c r="O124" s="273">
        <v>442642</v>
      </c>
      <c r="P124" s="273">
        <v>227284</v>
      </c>
      <c r="Q124" s="273">
        <v>214638</v>
      </c>
      <c r="R124" s="273">
        <v>221097</v>
      </c>
      <c r="S124" s="273">
        <v>468684</v>
      </c>
      <c r="T124" s="273">
        <v>238493</v>
      </c>
      <c r="U124" s="273">
        <v>280004</v>
      </c>
      <c r="V124" s="273">
        <v>263408</v>
      </c>
      <c r="W124" s="273">
        <v>505792</v>
      </c>
      <c r="X124" s="273">
        <v>297060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4118</v>
      </c>
      <c r="G125" s="275">
        <v>4224</v>
      </c>
      <c r="H125" s="275">
        <v>4262</v>
      </c>
      <c r="I125" s="275">
        <v>4967</v>
      </c>
      <c r="J125" s="275">
        <v>4964</v>
      </c>
      <c r="K125" s="275">
        <v>4961</v>
      </c>
      <c r="L125" s="275">
        <v>4790</v>
      </c>
      <c r="M125" s="275">
        <v>4578</v>
      </c>
      <c r="N125" s="275">
        <v>4513</v>
      </c>
      <c r="O125" s="275">
        <v>4601</v>
      </c>
      <c r="P125" s="275">
        <v>4603</v>
      </c>
      <c r="Q125" s="275">
        <v>6071</v>
      </c>
      <c r="R125" s="275">
        <v>6064</v>
      </c>
      <c r="S125" s="275">
        <v>6064</v>
      </c>
      <c r="T125" s="275">
        <v>6064</v>
      </c>
      <c r="U125" s="275">
        <v>6432</v>
      </c>
      <c r="V125" s="275">
        <v>6423</v>
      </c>
      <c r="W125" s="275">
        <v>6360</v>
      </c>
      <c r="X125" s="275">
        <v>6361</v>
      </c>
    </row>
    <row r="126" spans="1:24" ht="14.25" thickBot="1" x14ac:dyDescent="0.3">
      <c r="A126" s="224" t="s">
        <v>33</v>
      </c>
      <c r="B126" s="68">
        <v>424</v>
      </c>
      <c r="C126" s="68">
        <v>423</v>
      </c>
      <c r="D126" s="68">
        <v>423</v>
      </c>
      <c r="E126" s="273">
        <v>1100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151482</v>
      </c>
      <c r="C127" s="275">
        <v>272552</v>
      </c>
      <c r="D127" s="275">
        <v>173549</v>
      </c>
      <c r="E127" s="275">
        <v>158646</v>
      </c>
      <c r="F127" s="275">
        <v>181674</v>
      </c>
      <c r="G127" s="275">
        <v>309820</v>
      </c>
      <c r="H127" s="275">
        <v>205976</v>
      </c>
      <c r="I127" s="275">
        <v>236458</v>
      </c>
      <c r="J127" s="275">
        <v>250463</v>
      </c>
      <c r="K127" s="275">
        <v>364865</v>
      </c>
      <c r="L127" s="275">
        <v>232225</v>
      </c>
      <c r="M127" s="275">
        <v>257568</v>
      </c>
      <c r="N127" s="275">
        <v>243900</v>
      </c>
      <c r="O127" s="275">
        <v>447243</v>
      </c>
      <c r="P127" s="275">
        <v>231887</v>
      </c>
      <c r="Q127" s="275">
        <v>220709</v>
      </c>
      <c r="R127" s="275">
        <v>227161</v>
      </c>
      <c r="S127" s="275">
        <v>474748</v>
      </c>
      <c r="T127" s="275">
        <v>244557</v>
      </c>
      <c r="U127" s="275">
        <v>286436</v>
      </c>
      <c r="V127" s="275">
        <v>269831</v>
      </c>
      <c r="W127" s="275">
        <v>512152</v>
      </c>
      <c r="X127" s="275">
        <v>303421</v>
      </c>
    </row>
    <row r="128" spans="1:24" ht="14.25" thickBot="1" x14ac:dyDescent="0.3">
      <c r="A128" s="224" t="s">
        <v>34</v>
      </c>
      <c r="B128" s="273">
        <v>898617</v>
      </c>
      <c r="C128" s="273">
        <v>855858</v>
      </c>
      <c r="D128" s="273">
        <v>893938</v>
      </c>
      <c r="E128" s="273">
        <v>937098</v>
      </c>
      <c r="F128" s="273">
        <v>969524</v>
      </c>
      <c r="G128" s="273">
        <v>897509</v>
      </c>
      <c r="H128" s="273">
        <v>953814</v>
      </c>
      <c r="I128" s="273">
        <v>1019154</v>
      </c>
      <c r="J128" s="273">
        <v>1072322</v>
      </c>
      <c r="K128" s="273">
        <v>977153</v>
      </c>
      <c r="L128" s="273">
        <v>1032829</v>
      </c>
      <c r="M128" s="273">
        <v>1107974</v>
      </c>
      <c r="N128" s="273">
        <v>1170950</v>
      </c>
      <c r="O128" s="273">
        <v>1035867</v>
      </c>
      <c r="P128" s="273">
        <v>1102619</v>
      </c>
      <c r="Q128" s="273">
        <v>1170368</v>
      </c>
      <c r="R128" s="273">
        <v>1233984</v>
      </c>
      <c r="S128" s="273">
        <v>1073576</v>
      </c>
      <c r="T128" s="273">
        <v>1132319</v>
      </c>
      <c r="U128" s="273">
        <v>1206492</v>
      </c>
      <c r="V128" s="273">
        <v>1272368</v>
      </c>
      <c r="W128" s="273">
        <v>1101338</v>
      </c>
      <c r="X128" s="273">
        <v>1179140</v>
      </c>
    </row>
    <row r="129" spans="1:24" ht="14.25" thickBot="1" x14ac:dyDescent="0.3">
      <c r="A129" s="225" t="s">
        <v>35</v>
      </c>
      <c r="B129" s="276">
        <v>1050099</v>
      </c>
      <c r="C129" s="276">
        <v>1128410</v>
      </c>
      <c r="D129" s="276">
        <v>1067487</v>
      </c>
      <c r="E129" s="276">
        <v>1095744</v>
      </c>
      <c r="F129" s="276">
        <v>1151198</v>
      </c>
      <c r="G129" s="276">
        <v>1207329</v>
      </c>
      <c r="H129" s="276">
        <v>1159790</v>
      </c>
      <c r="I129" s="276">
        <v>1255612</v>
      </c>
      <c r="J129" s="276">
        <v>1322785</v>
      </c>
      <c r="K129" s="276">
        <v>1342018</v>
      </c>
      <c r="L129" s="276">
        <v>1265054</v>
      </c>
      <c r="M129" s="276">
        <v>1365542</v>
      </c>
      <c r="N129" s="276">
        <v>1414850</v>
      </c>
      <c r="O129" s="276">
        <v>1483110</v>
      </c>
      <c r="P129" s="276">
        <v>1334506</v>
      </c>
      <c r="Q129" s="276">
        <v>1391077</v>
      </c>
      <c r="R129" s="276">
        <v>1461145</v>
      </c>
      <c r="S129" s="276">
        <v>1548324</v>
      </c>
      <c r="T129" s="276">
        <v>1376876</v>
      </c>
      <c r="U129" s="276">
        <v>1492928</v>
      </c>
      <c r="V129" s="276">
        <v>1542199</v>
      </c>
      <c r="W129" s="276">
        <v>1613490</v>
      </c>
      <c r="X129" s="276">
        <v>1482561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3.02</v>
      </c>
      <c r="C132" s="68">
        <v>3.32</v>
      </c>
      <c r="D132" s="68">
        <v>3.28</v>
      </c>
      <c r="E132" s="68">
        <v>3.94</v>
      </c>
      <c r="F132" s="68">
        <v>5.1100000000000003</v>
      </c>
    </row>
    <row r="133" spans="1:24" ht="14.25" thickBot="1" x14ac:dyDescent="0.3">
      <c r="A133" s="225" t="s">
        <v>37</v>
      </c>
      <c r="B133" s="274">
        <v>-0.13</v>
      </c>
      <c r="C133" s="274">
        <v>0.02</v>
      </c>
      <c r="D133" s="274">
        <v>0.03</v>
      </c>
      <c r="E133" s="274">
        <v>-0.01</v>
      </c>
      <c r="F133" s="274">
        <v>0.06</v>
      </c>
    </row>
    <row r="134" spans="1:24" ht="14.25" thickBot="1" x14ac:dyDescent="0.3">
      <c r="A134" s="224" t="s">
        <v>38</v>
      </c>
      <c r="B134" s="68">
        <v>-1.41</v>
      </c>
      <c r="C134" s="68">
        <v>-1.75</v>
      </c>
      <c r="D134" s="68">
        <v>-2.54</v>
      </c>
      <c r="E134" s="68">
        <v>-3.24</v>
      </c>
      <c r="F134" s="68">
        <v>-3.8</v>
      </c>
    </row>
    <row r="135" spans="1:24" ht="14.25" thickBot="1" x14ac:dyDescent="0.3">
      <c r="A135" s="225" t="s">
        <v>270</v>
      </c>
      <c r="B135" s="274">
        <v>2.88</v>
      </c>
      <c r="C135" s="274">
        <v>3.34</v>
      </c>
      <c r="D135" s="274">
        <v>3.31</v>
      </c>
      <c r="E135" s="274">
        <v>3.93</v>
      </c>
      <c r="F135" s="274">
        <v>5.17</v>
      </c>
    </row>
    <row r="136" spans="1:24" ht="14.25" thickBot="1" x14ac:dyDescent="0.3">
      <c r="A136" s="229" t="s">
        <v>39</v>
      </c>
      <c r="B136" s="72">
        <v>1.48</v>
      </c>
      <c r="C136" s="72">
        <v>1.58</v>
      </c>
      <c r="D136" s="72">
        <v>0.77</v>
      </c>
      <c r="E136" s="72">
        <v>0.69</v>
      </c>
      <c r="F136" s="72">
        <v>1.37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2.1</v>
      </c>
      <c r="C140" s="68">
        <v>2.6</v>
      </c>
      <c r="D140" s="68">
        <v>3.3</v>
      </c>
      <c r="E140" s="68">
        <v>3.8</v>
      </c>
      <c r="F140" s="68">
        <v>3.9</v>
      </c>
    </row>
    <row r="141" spans="1:24" ht="14.25" thickBot="1" x14ac:dyDescent="0.3">
      <c r="A141" s="227" t="s">
        <v>1</v>
      </c>
      <c r="B141" s="73">
        <v>0.2</v>
      </c>
      <c r="C141" s="73">
        <v>0.2</v>
      </c>
      <c r="D141" s="73">
        <v>0.2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0.79847908745247154</v>
      </c>
      <c r="C142" s="234">
        <f>IF(C140&lt;&gt;"無",IF(ISNA(HLOOKUP(C139,$B$64:$F$69,6,FALSE)),"",C140/HLOOKUP(C139,$B$64:$F$69,6,FALSE)),"")</f>
        <v>0.80495356037151722</v>
      </c>
      <c r="D142" s="234">
        <f>IF(D140&lt;&gt;"無",IF(ISNA(HLOOKUP(D139,$B$64:$F$69,6,FALSE)),"",D140/HLOOKUP(D139,$B$64:$F$69,6,FALSE)),"")</f>
        <v>0.81683168316831678</v>
      </c>
      <c r="E142" s="234">
        <f>IF(E140&lt;&gt;"無",IF(ISNA(HLOOKUP(E139,$B$64:$F$69,6,FALSE)),"",E140/HLOOKUP(E139,$B$64:$F$69,6,FALSE)),"")</f>
        <v>0.88167053364269132</v>
      </c>
      <c r="F142" s="234">
        <f>IF(F140&lt;&gt;"無",IF(ISNA(HLOOKUP(F139,$B$64:$F$69,6,FALSE)),"",F140/HLOOKUP(F139,$B$64:$F$69,6,FALSE)),"")</f>
        <v>0.8904109589041096</v>
      </c>
    </row>
    <row r="143" spans="1:24" x14ac:dyDescent="0.25">
      <c r="A143" s="233" t="s">
        <v>216</v>
      </c>
      <c r="B143" s="234">
        <f>IF(OR(B140=0,B140="無"),"",B135/B140)</f>
        <v>1.3714285714285712</v>
      </c>
      <c r="C143" s="234">
        <f>IF(OR(C140=0,C140="無"),"",C135/C140)</f>
        <v>1.2846153846153845</v>
      </c>
      <c r="D143" s="234">
        <f>IF(OR(D140=0,D140="無"),"",D135/D140)</f>
        <v>1.0030303030303032</v>
      </c>
      <c r="E143" s="234">
        <f>IF(OR(E140=0,E140="無"),"",E135/E140)</f>
        <v>1.0342105263157895</v>
      </c>
      <c r="F143" s="234">
        <f>IF(OR(F140=0,F140="無"),"",F135/F140)</f>
        <v>1.3256410256410256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29.87</v>
      </c>
      <c r="C146" s="68">
        <v>28.81</v>
      </c>
      <c r="D146" s="68">
        <v>30.05</v>
      </c>
      <c r="E146" s="68">
        <v>29.54</v>
      </c>
      <c r="F146" s="68">
        <v>31.15</v>
      </c>
      <c r="G146" s="68">
        <v>32.39</v>
      </c>
      <c r="H146" s="68">
        <v>32.28</v>
      </c>
      <c r="I146" s="68">
        <v>32.119999999999997</v>
      </c>
      <c r="J146" s="68">
        <v>34.03</v>
      </c>
      <c r="K146" s="68">
        <v>33.76</v>
      </c>
      <c r="L146" s="68">
        <v>33.35</v>
      </c>
      <c r="M146" s="68">
        <v>35.81</v>
      </c>
      <c r="N146" s="68">
        <v>36.770000000000003</v>
      </c>
      <c r="O146" s="68">
        <v>35.14</v>
      </c>
      <c r="P146" s="68">
        <v>37.08</v>
      </c>
      <c r="Q146" s="68">
        <v>39.03</v>
      </c>
      <c r="R146" s="68">
        <v>39.81</v>
      </c>
      <c r="S146" s="68">
        <v>38.880000000000003</v>
      </c>
      <c r="T146" s="68">
        <v>38.090000000000003</v>
      </c>
      <c r="U146" s="68">
        <v>39.39</v>
      </c>
      <c r="V146" s="68">
        <v>38.22</v>
      </c>
      <c r="W146" s="68">
        <v>37.82</v>
      </c>
      <c r="X146" s="68">
        <v>38.36</v>
      </c>
    </row>
    <row r="147" spans="1:24" s="93" customFormat="1" ht="14.25" thickBot="1" x14ac:dyDescent="0.3">
      <c r="A147" s="225" t="s">
        <v>19</v>
      </c>
      <c r="B147" s="274">
        <v>15.53</v>
      </c>
      <c r="C147" s="274">
        <v>14.12</v>
      </c>
      <c r="D147" s="274">
        <v>17.350000000000001</v>
      </c>
      <c r="E147" s="274">
        <v>16.78</v>
      </c>
      <c r="F147" s="274">
        <v>16.22</v>
      </c>
      <c r="G147" s="274">
        <v>18.91</v>
      </c>
      <c r="H147" s="274">
        <v>19.39</v>
      </c>
      <c r="I147" s="274">
        <v>20.28</v>
      </c>
      <c r="J147" s="274">
        <v>21.51</v>
      </c>
      <c r="K147" s="274">
        <v>21.87</v>
      </c>
      <c r="L147" s="274">
        <v>19.920000000000002</v>
      </c>
      <c r="M147" s="274">
        <v>23.9</v>
      </c>
      <c r="N147" s="274">
        <v>23.36</v>
      </c>
      <c r="O147" s="274">
        <v>22.85</v>
      </c>
      <c r="P147" s="274">
        <v>23.2</v>
      </c>
      <c r="Q147" s="274">
        <v>24.87</v>
      </c>
      <c r="R147" s="274">
        <v>24.79</v>
      </c>
      <c r="S147" s="274">
        <v>25.87</v>
      </c>
      <c r="T147" s="274">
        <v>23.28</v>
      </c>
      <c r="U147" s="274">
        <v>24.38</v>
      </c>
      <c r="V147" s="274">
        <v>24.85</v>
      </c>
      <c r="W147" s="274">
        <v>24.53</v>
      </c>
      <c r="X147" s="274">
        <v>25.39</v>
      </c>
    </row>
    <row r="148" spans="1:24" s="93" customFormat="1" ht="14.25" thickBot="1" x14ac:dyDescent="0.3">
      <c r="A148" s="224" t="s">
        <v>41</v>
      </c>
      <c r="B148" s="68">
        <v>16.66</v>
      </c>
      <c r="C148" s="68">
        <v>15.44</v>
      </c>
      <c r="D148" s="68">
        <v>18.46</v>
      </c>
      <c r="E148" s="68">
        <v>18.329999999999998</v>
      </c>
      <c r="F148" s="68">
        <v>18.21</v>
      </c>
      <c r="G148" s="68">
        <v>21.03</v>
      </c>
      <c r="H148" s="68">
        <v>20.87</v>
      </c>
      <c r="I148" s="68">
        <v>22.12</v>
      </c>
      <c r="J148" s="68">
        <v>23.46</v>
      </c>
      <c r="K148" s="68">
        <v>23.16</v>
      </c>
      <c r="L148" s="68">
        <v>21.37</v>
      </c>
      <c r="M148" s="68">
        <v>25.76</v>
      </c>
      <c r="N148" s="68">
        <v>24.51</v>
      </c>
      <c r="O148" s="68">
        <v>23.96</v>
      </c>
      <c r="P148" s="68">
        <v>26.15</v>
      </c>
      <c r="Q148" s="68">
        <v>26.13</v>
      </c>
      <c r="R148" s="68">
        <v>25.43</v>
      </c>
      <c r="S148" s="68">
        <v>26.44</v>
      </c>
      <c r="T148" s="68">
        <v>23.26</v>
      </c>
      <c r="U148" s="68">
        <v>25.62</v>
      </c>
      <c r="V148" s="68">
        <v>24.31</v>
      </c>
      <c r="W148" s="68">
        <v>25.77</v>
      </c>
      <c r="X148" s="68">
        <v>26.7</v>
      </c>
    </row>
    <row r="149" spans="1:24" s="93" customFormat="1" ht="14.25" thickBot="1" x14ac:dyDescent="0.3">
      <c r="A149" s="225" t="s">
        <v>13</v>
      </c>
      <c r="B149" s="73">
        <v>15.45</v>
      </c>
      <c r="C149" s="73">
        <v>14.59</v>
      </c>
      <c r="D149" s="73">
        <v>14.35</v>
      </c>
      <c r="E149" s="73">
        <v>16.62</v>
      </c>
      <c r="F149" s="73">
        <v>16.66</v>
      </c>
      <c r="G149" s="73">
        <v>18.86</v>
      </c>
      <c r="H149" s="73">
        <v>16.579999999999998</v>
      </c>
      <c r="I149" s="73">
        <v>18.82</v>
      </c>
      <c r="J149" s="73">
        <v>17.72</v>
      </c>
      <c r="K149" s="73">
        <v>19.34</v>
      </c>
      <c r="L149" s="73">
        <v>17.989999999999998</v>
      </c>
      <c r="M149" s="73">
        <v>21.08</v>
      </c>
      <c r="N149" s="73">
        <v>20.6</v>
      </c>
      <c r="O149" s="73">
        <v>19.96</v>
      </c>
      <c r="P149" s="73">
        <v>21.97</v>
      </c>
      <c r="Q149" s="73">
        <v>21.64</v>
      </c>
      <c r="R149" s="73">
        <v>21.19</v>
      </c>
      <c r="S149" s="73">
        <v>23.08</v>
      </c>
      <c r="T149" s="73">
        <v>19.420000000000002</v>
      </c>
      <c r="U149" s="73">
        <v>21.77</v>
      </c>
      <c r="V149" s="73">
        <v>20.3</v>
      </c>
      <c r="W149" s="73">
        <v>22.64</v>
      </c>
      <c r="X149" s="73">
        <v>22.3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29.55</v>
      </c>
      <c r="C152" s="68">
        <v>32.04</v>
      </c>
      <c r="D152" s="68">
        <v>34.29</v>
      </c>
      <c r="E152" s="68">
        <v>36.979999999999997</v>
      </c>
      <c r="F152" s="68">
        <v>39.049999999999997</v>
      </c>
    </row>
    <row r="153" spans="1:24" s="93" customFormat="1" ht="14.25" thickBot="1" x14ac:dyDescent="0.3">
      <c r="A153" s="225" t="s">
        <v>19</v>
      </c>
      <c r="B153" s="274">
        <v>15.97</v>
      </c>
      <c r="C153" s="274">
        <v>18.899999999999999</v>
      </c>
      <c r="D153" s="274">
        <v>21.88</v>
      </c>
      <c r="E153" s="274">
        <v>23.57</v>
      </c>
      <c r="F153" s="274">
        <v>24.61</v>
      </c>
    </row>
    <row r="154" spans="1:24" s="93" customFormat="1" ht="14.25" thickBot="1" x14ac:dyDescent="0.3">
      <c r="A154" s="224" t="s">
        <v>41</v>
      </c>
      <c r="B154" s="68">
        <v>17.25</v>
      </c>
      <c r="C154" s="68">
        <v>20.74</v>
      </c>
      <c r="D154" s="68">
        <v>23.52</v>
      </c>
      <c r="E154" s="68">
        <v>25.17</v>
      </c>
      <c r="F154" s="68">
        <v>25.23</v>
      </c>
    </row>
    <row r="155" spans="1:24" s="93" customFormat="1" ht="14.25" thickBot="1" x14ac:dyDescent="0.3">
      <c r="A155" s="225" t="s">
        <v>13</v>
      </c>
      <c r="B155" s="73">
        <v>15.24</v>
      </c>
      <c r="C155" s="73">
        <v>17.809999999999999</v>
      </c>
      <c r="D155" s="73">
        <v>19.12</v>
      </c>
      <c r="E155" s="73">
        <v>21.02</v>
      </c>
      <c r="F155" s="73">
        <v>21.42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3.07</v>
      </c>
      <c r="C158" s="68">
        <v>3.55</v>
      </c>
      <c r="D158" s="68">
        <v>3.47</v>
      </c>
      <c r="E158" s="68">
        <v>4.0599999999999996</v>
      </c>
      <c r="F158" s="68">
        <v>3.15</v>
      </c>
      <c r="G158" s="68">
        <v>4.25</v>
      </c>
      <c r="H158" s="68">
        <v>3.98</v>
      </c>
      <c r="I158" s="68">
        <v>4.78</v>
      </c>
      <c r="J158" s="68">
        <v>4.12</v>
      </c>
      <c r="K158" s="68">
        <v>4.58</v>
      </c>
      <c r="L158" s="68">
        <v>4.2699999999999996</v>
      </c>
      <c r="M158" s="68">
        <v>5.7</v>
      </c>
      <c r="N158" s="68">
        <v>4.53</v>
      </c>
      <c r="O158" s="68">
        <v>4.63</v>
      </c>
      <c r="P158" s="68">
        <v>4.74</v>
      </c>
      <c r="Q158" s="68">
        <v>5.08</v>
      </c>
      <c r="R158" s="68">
        <v>4.46</v>
      </c>
      <c r="S158" s="68">
        <v>5.12</v>
      </c>
      <c r="T158" s="68">
        <v>4.0199999999999996</v>
      </c>
      <c r="U158" s="68">
        <v>5.2</v>
      </c>
      <c r="V158" s="68">
        <v>4.34</v>
      </c>
      <c r="W158" s="68">
        <v>4.6100000000000003</v>
      </c>
      <c r="X158" s="68">
        <v>5.01</v>
      </c>
    </row>
    <row r="159" spans="1:24" s="93" customFormat="1" ht="14.25" thickBot="1" x14ac:dyDescent="0.3">
      <c r="A159" s="225" t="s">
        <v>45</v>
      </c>
      <c r="B159" s="73">
        <v>3.6</v>
      </c>
      <c r="C159" s="73">
        <v>4.41</v>
      </c>
      <c r="D159" s="73">
        <v>4.3499999999999996</v>
      </c>
      <c r="E159" s="73">
        <v>4.8</v>
      </c>
      <c r="F159" s="73">
        <v>3.71</v>
      </c>
      <c r="G159" s="73">
        <v>5.37</v>
      </c>
      <c r="H159" s="73">
        <v>5.09</v>
      </c>
      <c r="I159" s="73">
        <v>5.85</v>
      </c>
      <c r="J159" s="73">
        <v>5.08</v>
      </c>
      <c r="K159" s="73">
        <v>5.96</v>
      </c>
      <c r="L159" s="73">
        <v>5.54</v>
      </c>
      <c r="M159" s="73">
        <v>7.01</v>
      </c>
      <c r="N159" s="73">
        <v>5.53</v>
      </c>
      <c r="O159" s="73">
        <v>6.08</v>
      </c>
      <c r="P159" s="73">
        <v>6.24</v>
      </c>
      <c r="Q159" s="73">
        <v>6.09</v>
      </c>
      <c r="R159" s="73">
        <v>5.29</v>
      </c>
      <c r="S159" s="73">
        <v>6.68</v>
      </c>
      <c r="T159" s="73">
        <v>5.33</v>
      </c>
      <c r="U159" s="73">
        <v>6.38</v>
      </c>
      <c r="V159" s="73">
        <v>5.32</v>
      </c>
      <c r="W159" s="73">
        <v>6.13</v>
      </c>
      <c r="X159" s="73">
        <v>6.81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15.24</v>
      </c>
      <c r="C162" s="68">
        <v>17.809999999999999</v>
      </c>
      <c r="D162" s="68">
        <v>19.12</v>
      </c>
      <c r="E162" s="68">
        <v>21.02</v>
      </c>
      <c r="F162" s="68">
        <v>21.42</v>
      </c>
    </row>
    <row r="163" spans="1:72" s="93" customFormat="1" ht="14.25" thickBot="1" x14ac:dyDescent="0.3">
      <c r="A163" s="225" t="s">
        <v>18</v>
      </c>
      <c r="B163" s="274">
        <v>0.91</v>
      </c>
      <c r="C163" s="274">
        <v>0.85</v>
      </c>
      <c r="D163" s="274">
        <v>0.94</v>
      </c>
      <c r="E163" s="274">
        <v>0.91</v>
      </c>
      <c r="F163" s="274">
        <v>0.86</v>
      </c>
    </row>
    <row r="164" spans="1:72" s="93" customFormat="1" ht="14.25" thickBot="1" x14ac:dyDescent="0.3">
      <c r="A164" s="224" t="s">
        <v>15</v>
      </c>
      <c r="B164" s="68">
        <v>1.17</v>
      </c>
      <c r="C164" s="68">
        <v>1.23</v>
      </c>
      <c r="D164" s="68">
        <v>1.23</v>
      </c>
      <c r="E164" s="68">
        <v>1.19</v>
      </c>
      <c r="F164" s="68">
        <v>1.24</v>
      </c>
    </row>
    <row r="165" spans="1:72" s="93" customFormat="1" ht="14.25" thickBot="1" x14ac:dyDescent="0.3">
      <c r="A165" s="225" t="s">
        <v>45</v>
      </c>
      <c r="B165" s="73">
        <v>16.91</v>
      </c>
      <c r="C165" s="73">
        <v>19.47</v>
      </c>
      <c r="D165" s="73">
        <v>23.02</v>
      </c>
      <c r="E165" s="73">
        <v>23.35</v>
      </c>
      <c r="F165" s="73">
        <v>23.06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18.63</v>
      </c>
      <c r="C168" s="68">
        <v>13.49</v>
      </c>
      <c r="D168" s="68">
        <v>15.65</v>
      </c>
      <c r="E168" s="68">
        <v>17.48</v>
      </c>
      <c r="F168" s="68">
        <v>20.83</v>
      </c>
      <c r="G168" s="68">
        <v>15.1</v>
      </c>
      <c r="H168" s="68">
        <v>15.52</v>
      </c>
      <c r="I168" s="68">
        <v>17.14</v>
      </c>
      <c r="J168" s="68">
        <v>18.91</v>
      </c>
      <c r="K168" s="68">
        <v>17.14</v>
      </c>
      <c r="L168" s="68">
        <v>18.440000000000001</v>
      </c>
      <c r="M168" s="68">
        <v>19.61</v>
      </c>
      <c r="N168" s="68">
        <v>21.48</v>
      </c>
      <c r="O168" s="68">
        <v>15.85</v>
      </c>
      <c r="P168" s="68">
        <v>19.57</v>
      </c>
      <c r="Q168" s="68">
        <v>18.95</v>
      </c>
      <c r="R168" s="68">
        <v>19.91</v>
      </c>
      <c r="S168" s="68">
        <v>20.45</v>
      </c>
      <c r="T168" s="68">
        <v>21.38</v>
      </c>
      <c r="U168" s="68">
        <v>17.079999999999998</v>
      </c>
      <c r="V168" s="68">
        <v>19.03</v>
      </c>
      <c r="W168" s="68">
        <v>17.96</v>
      </c>
      <c r="X168" s="68">
        <v>15.71</v>
      </c>
    </row>
    <row r="169" spans="1:72" s="93" customFormat="1" ht="14.25" thickBot="1" x14ac:dyDescent="0.3">
      <c r="A169" s="225" t="s">
        <v>17</v>
      </c>
      <c r="B169" s="274">
        <v>84.11</v>
      </c>
      <c r="C169" s="274">
        <v>67.67</v>
      </c>
      <c r="D169" s="274">
        <v>73.17</v>
      </c>
      <c r="E169" s="274">
        <v>64.75</v>
      </c>
      <c r="F169" s="274">
        <v>83.33</v>
      </c>
      <c r="G169" s="274">
        <v>76.27</v>
      </c>
      <c r="H169" s="274">
        <v>70.31</v>
      </c>
      <c r="I169" s="274">
        <v>68.180000000000007</v>
      </c>
      <c r="J169" s="274">
        <v>81.819999999999993</v>
      </c>
      <c r="K169" s="274">
        <v>81.819999999999993</v>
      </c>
      <c r="L169" s="274">
        <v>82.57</v>
      </c>
      <c r="M169" s="274">
        <v>78.260000000000005</v>
      </c>
      <c r="N169" s="274">
        <v>93.75</v>
      </c>
      <c r="O169" s="274">
        <v>84.91</v>
      </c>
      <c r="P169" s="274">
        <v>101.12</v>
      </c>
      <c r="Q169" s="274">
        <v>98.9</v>
      </c>
      <c r="R169" s="274">
        <v>104.65</v>
      </c>
      <c r="S169" s="274">
        <v>92.78</v>
      </c>
      <c r="T169" s="274">
        <v>104.65</v>
      </c>
      <c r="U169" s="274">
        <v>96.77</v>
      </c>
      <c r="V169" s="274">
        <v>100</v>
      </c>
      <c r="W169" s="274">
        <v>103.45</v>
      </c>
      <c r="X169" s="274">
        <v>101.12</v>
      </c>
    </row>
    <row r="170" spans="1:72" s="93" customFormat="1" ht="14.25" thickBot="1" x14ac:dyDescent="0.3">
      <c r="A170" s="224" t="s">
        <v>42</v>
      </c>
      <c r="B170" s="72">
        <v>102.75</v>
      </c>
      <c r="C170" s="72">
        <v>81.16</v>
      </c>
      <c r="D170" s="72">
        <v>88.82</v>
      </c>
      <c r="E170" s="72">
        <v>82.22</v>
      </c>
      <c r="F170" s="72">
        <v>104.17</v>
      </c>
      <c r="G170" s="72">
        <v>91.37</v>
      </c>
      <c r="H170" s="72">
        <v>85.83</v>
      </c>
      <c r="I170" s="72">
        <v>85.32</v>
      </c>
      <c r="J170" s="72">
        <v>100.73</v>
      </c>
      <c r="K170" s="72">
        <v>98.96</v>
      </c>
      <c r="L170" s="72">
        <v>101.01</v>
      </c>
      <c r="M170" s="72">
        <v>97.87</v>
      </c>
      <c r="N170" s="72">
        <v>115.23</v>
      </c>
      <c r="O170" s="72">
        <v>100.75</v>
      </c>
      <c r="P170" s="72">
        <v>120.69</v>
      </c>
      <c r="Q170" s="72">
        <v>117.85</v>
      </c>
      <c r="R170" s="72">
        <v>124.56</v>
      </c>
      <c r="S170" s="72">
        <v>113.24</v>
      </c>
      <c r="T170" s="72">
        <v>126.03</v>
      </c>
      <c r="U170" s="72">
        <v>113.85</v>
      </c>
      <c r="V170" s="72">
        <v>119.03</v>
      </c>
      <c r="W170" s="72">
        <v>121.41</v>
      </c>
      <c r="X170" s="72">
        <v>116.83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114.35</v>
      </c>
      <c r="C173" s="72">
        <v>103.83</v>
      </c>
      <c r="D173" s="72">
        <v>82.35</v>
      </c>
      <c r="E173" s="72">
        <v>92.34</v>
      </c>
      <c r="F173" s="72">
        <v>116.58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14.99</v>
      </c>
      <c r="C176" s="72">
        <v>17.66</v>
      </c>
      <c r="D176" s="72">
        <v>19.41</v>
      </c>
      <c r="E176" s="72">
        <v>14.86</v>
      </c>
      <c r="F176" s="72">
        <v>12.94</v>
      </c>
      <c r="G176" s="72">
        <v>13.32</v>
      </c>
      <c r="H176" s="72">
        <v>14.42</v>
      </c>
      <c r="I176" s="72">
        <v>11.57</v>
      </c>
      <c r="J176" s="72">
        <v>11.86</v>
      </c>
      <c r="K176" s="72">
        <v>11.19</v>
      </c>
      <c r="L176" s="72">
        <v>9.64</v>
      </c>
      <c r="M176" s="72">
        <v>10.02</v>
      </c>
      <c r="N176" s="72">
        <v>10.65</v>
      </c>
      <c r="O176" s="72">
        <v>10.56</v>
      </c>
      <c r="P176" s="72">
        <v>10.65</v>
      </c>
      <c r="Q176" s="72">
        <v>11.43</v>
      </c>
      <c r="R176" s="72">
        <v>11.76</v>
      </c>
      <c r="S176" s="72">
        <v>11.67</v>
      </c>
      <c r="T176" s="72">
        <v>12.07</v>
      </c>
      <c r="U176" s="72">
        <v>11.86</v>
      </c>
      <c r="V176" s="72">
        <v>11.98</v>
      </c>
      <c r="W176" s="72">
        <v>11.79</v>
      </c>
      <c r="X176" s="72">
        <v>11.32</v>
      </c>
      <c r="Y176" s="72">
        <v>12.34</v>
      </c>
      <c r="Z176" s="72">
        <v>13.74</v>
      </c>
      <c r="AA176" s="72">
        <v>15.43</v>
      </c>
      <c r="AB176" s="72">
        <v>15.18</v>
      </c>
      <c r="AC176" s="72">
        <v>16.010000000000002</v>
      </c>
      <c r="AD176" s="72">
        <v>14.21</v>
      </c>
      <c r="AE176" s="72">
        <v>13.68</v>
      </c>
      <c r="AF176" s="72">
        <v>14.01</v>
      </c>
      <c r="AG176" s="72">
        <v>12.98</v>
      </c>
      <c r="AH176" s="72">
        <v>11.89</v>
      </c>
      <c r="AI176" s="72">
        <v>11.16</v>
      </c>
      <c r="AJ176" s="72">
        <v>11.02</v>
      </c>
      <c r="AK176" s="72">
        <v>11.42</v>
      </c>
      <c r="AL176" s="72">
        <v>12.36</v>
      </c>
      <c r="AM176" s="72">
        <v>12.45</v>
      </c>
      <c r="AN176" s="72">
        <v>11.51</v>
      </c>
      <c r="AO176" s="72">
        <v>12.4</v>
      </c>
      <c r="AP176" s="72">
        <v>14.37</v>
      </c>
      <c r="AQ176" s="72">
        <v>13.56</v>
      </c>
      <c r="AR176" s="72">
        <v>11.89</v>
      </c>
      <c r="AS176" s="72">
        <v>9.7100000000000009</v>
      </c>
      <c r="AT176" s="72">
        <v>9.59</v>
      </c>
      <c r="AU176" s="72">
        <v>10.41</v>
      </c>
      <c r="AV176" s="72">
        <v>10.78</v>
      </c>
      <c r="AW176" s="72">
        <v>10.220000000000001</v>
      </c>
      <c r="AX176" s="72">
        <v>9.36</v>
      </c>
      <c r="AY176" s="72">
        <v>9.84</v>
      </c>
      <c r="AZ176" s="72">
        <v>10.94</v>
      </c>
      <c r="BA176" s="72">
        <v>10.93</v>
      </c>
      <c r="BB176" s="72">
        <v>10.61</v>
      </c>
      <c r="BC176" s="72">
        <v>10.96</v>
      </c>
      <c r="BD176" s="72">
        <v>11.77</v>
      </c>
      <c r="BE176" s="72">
        <v>11.03</v>
      </c>
      <c r="BF176" s="72">
        <v>10.7</v>
      </c>
      <c r="BG176" s="72">
        <v>10.47</v>
      </c>
      <c r="BH176" s="72">
        <v>10.49</v>
      </c>
      <c r="BI176" s="72">
        <v>10.85</v>
      </c>
      <c r="BJ176" s="72">
        <v>11.08</v>
      </c>
      <c r="BK176" s="72">
        <v>11.55</v>
      </c>
      <c r="BL176" s="72">
        <v>11.96</v>
      </c>
      <c r="BM176" s="72">
        <v>12.07</v>
      </c>
      <c r="BN176" s="72">
        <v>12.41</v>
      </c>
      <c r="BO176" s="72">
        <v>12.49</v>
      </c>
      <c r="BP176" s="72">
        <v>12.53</v>
      </c>
      <c r="BQ176" s="72">
        <v>12.62</v>
      </c>
      <c r="BR176" s="72">
        <v>12.64</v>
      </c>
      <c r="BS176" s="72">
        <v>12.82</v>
      </c>
      <c r="BT176" s="72">
        <v>13.52</v>
      </c>
    </row>
  </sheetData>
  <phoneticPr fontId="3" type="noConversion"/>
  <conditionalFormatting sqref="E4">
    <cfRule type="cellIs" dxfId="1949" priority="101" operator="greaterThan">
      <formula>0.2</formula>
    </cfRule>
    <cfRule type="cellIs" dxfId="194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194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946" priority="95" operator="greaterThan">
      <formula>$B$19</formula>
    </cfRule>
  </conditionalFormatting>
  <conditionalFormatting sqref="D33:D34">
    <cfRule type="cellIs" dxfId="194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1944" priority="89" operator="lessThan">
      <formula>$H$62</formula>
    </cfRule>
    <cfRule type="cellIs" dxfId="1943" priority="90" operator="greaterThan">
      <formula>$H$62</formula>
    </cfRule>
  </conditionalFormatting>
  <conditionalFormatting sqref="J62">
    <cfRule type="cellIs" dxfId="1942" priority="87" operator="lessThan">
      <formula>$K$62</formula>
    </cfRule>
    <cfRule type="cellIs" dxfId="1941" priority="88" operator="greaterThan">
      <formula>$K$62</formula>
    </cfRule>
  </conditionalFormatting>
  <conditionalFormatting sqref="M62">
    <cfRule type="cellIs" dxfId="1940" priority="85" operator="lessThan">
      <formula>$N$62</formula>
    </cfRule>
    <cfRule type="cellIs" dxfId="1939" priority="86" operator="greaterThan">
      <formula>$N$62</formula>
    </cfRule>
  </conditionalFormatting>
  <conditionalFormatting sqref="B44:E44">
    <cfRule type="cellIs" dxfId="1938" priority="83" operator="greaterThan">
      <formula>0</formula>
    </cfRule>
    <cfRule type="cellIs" dxfId="1937" priority="84" operator="lessThan">
      <formula>0</formula>
    </cfRule>
  </conditionalFormatting>
  <conditionalFormatting sqref="F72">
    <cfRule type="cellIs" dxfId="1936" priority="82" operator="lessThan">
      <formula>$E$72*90%</formula>
    </cfRule>
  </conditionalFormatting>
  <conditionalFormatting sqref="F73">
    <cfRule type="cellIs" dxfId="1935" priority="81" operator="lessThan">
      <formula>$E$73*90%</formula>
    </cfRule>
  </conditionalFormatting>
  <conditionalFormatting sqref="F74">
    <cfRule type="cellIs" dxfId="1934" priority="80" operator="lessThan">
      <formula>$E$74*90%</formula>
    </cfRule>
  </conditionalFormatting>
  <conditionalFormatting sqref="F75">
    <cfRule type="cellIs" dxfId="1933" priority="79" operator="lessThan">
      <formula>$E$75*90%</formula>
    </cfRule>
  </conditionalFormatting>
  <conditionalFormatting sqref="H44:K44">
    <cfRule type="cellIs" dxfId="1932" priority="77" operator="greaterThan">
      <formula>0</formula>
    </cfRule>
    <cfRule type="cellIs" dxfId="1931" priority="78" operator="lessThan">
      <formula>0</formula>
    </cfRule>
  </conditionalFormatting>
  <conditionalFormatting sqref="H51:K51">
    <cfRule type="cellIs" dxfId="1930" priority="75" operator="greaterThan">
      <formula>0</formula>
    </cfRule>
    <cfRule type="cellIs" dxfId="1929" priority="76" operator="lessThan">
      <formula>0</formula>
    </cfRule>
  </conditionalFormatting>
  <conditionalFormatting sqref="B51:E51">
    <cfRule type="cellIs" dxfId="1928" priority="73" operator="greaterThan">
      <formula>0</formula>
    </cfRule>
    <cfRule type="cellIs" dxfId="192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92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92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924" priority="56" operator="lessThan">
      <formula>0</formula>
    </cfRule>
  </conditionalFormatting>
  <conditionalFormatting sqref="A25 E25 C25">
    <cfRule type="cellIs" dxfId="1923" priority="57" operator="lessThan">
      <formula>0</formula>
    </cfRule>
  </conditionalFormatting>
  <conditionalFormatting sqref="F25">
    <cfRule type="cellIs" dxfId="1922" priority="55" operator="lessThan">
      <formula>0</formula>
    </cfRule>
  </conditionalFormatting>
  <conditionalFormatting sqref="E1">
    <cfRule type="containsText" dxfId="1921" priority="54" operator="containsText" text="本季業外損益/平均=-">
      <formula>NOT(ISERROR(SEARCH("本季業外損益/平均=-",E1)))</formula>
    </cfRule>
  </conditionalFormatting>
  <conditionalFormatting sqref="M65">
    <cfRule type="cellIs" dxfId="1920" priority="53" operator="lessThan">
      <formula>$L$65*90%</formula>
    </cfRule>
  </conditionalFormatting>
  <conditionalFormatting sqref="M66">
    <cfRule type="cellIs" dxfId="1919" priority="52" operator="lessThan">
      <formula>$L$66*90%</formula>
    </cfRule>
  </conditionalFormatting>
  <conditionalFormatting sqref="M67">
    <cfRule type="cellIs" dxfId="1918" priority="51" operator="lessThan">
      <formula>$L$67*90%</formula>
    </cfRule>
  </conditionalFormatting>
  <conditionalFormatting sqref="M68">
    <cfRule type="cellIs" dxfId="1917" priority="50" operator="lessThan">
      <formula>$L$68*90%</formula>
    </cfRule>
  </conditionalFormatting>
  <conditionalFormatting sqref="B60">
    <cfRule type="cellIs" dxfId="1916" priority="49" operator="lessThan">
      <formula>0</formula>
    </cfRule>
  </conditionalFormatting>
  <conditionalFormatting sqref="B59:F59">
    <cfRule type="cellIs" dxfId="1915" priority="48" operator="lessThanOrEqual">
      <formula>0</formula>
    </cfRule>
  </conditionalFormatting>
  <conditionalFormatting sqref="D62">
    <cfRule type="cellIs" dxfId="1914" priority="46" operator="lessThan">
      <formula>$E$62</formula>
    </cfRule>
    <cfRule type="cellIs" dxfId="1913" priority="47" operator="greaterThan">
      <formula>$E$62</formula>
    </cfRule>
  </conditionalFormatting>
  <conditionalFormatting sqref="F69">
    <cfRule type="cellIs" dxfId="1912" priority="44" operator="lessThan">
      <formula>0</formula>
    </cfRule>
  </conditionalFormatting>
  <conditionalFormatting sqref="B65:E67 B69:E69 B68:D68">
    <cfRule type="cellIs" dxfId="1911" priority="45" operator="lessThan">
      <formula>0</formula>
    </cfRule>
  </conditionalFormatting>
  <conditionalFormatting sqref="E68">
    <cfRule type="cellIs" dxfId="1910" priority="43" operator="lessThan">
      <formula>0</formula>
    </cfRule>
  </conditionalFormatting>
  <conditionalFormatting sqref="F65:F68">
    <cfRule type="cellIs" dxfId="1909" priority="42" operator="lessThan">
      <formula>0</formula>
    </cfRule>
  </conditionalFormatting>
  <conditionalFormatting sqref="F65:F68">
    <cfRule type="cellIs" dxfId="1908" priority="41" operator="lessThan">
      <formula>$E$65*0.9</formula>
    </cfRule>
  </conditionalFormatting>
  <conditionalFormatting sqref="F66">
    <cfRule type="cellIs" dxfId="1907" priority="40" operator="lessThan">
      <formula>$E$66*0.9</formula>
    </cfRule>
  </conditionalFormatting>
  <conditionalFormatting sqref="F67:F68">
    <cfRule type="cellIs" dxfId="1906" priority="39" operator="lessThan">
      <formula>$E$67*0.9</formula>
    </cfRule>
  </conditionalFormatting>
  <conditionalFormatting sqref="F68">
    <cfRule type="cellIs" dxfId="1905" priority="38" operator="lessThan">
      <formula>$E$68*0.9</formula>
    </cfRule>
  </conditionalFormatting>
  <conditionalFormatting sqref="B13:F13">
    <cfRule type="cellIs" dxfId="1904" priority="27" operator="greaterThan">
      <formula>$I$16</formula>
    </cfRule>
    <cfRule type="cellIs" dxfId="1903" priority="28" operator="lessThanOrEqual">
      <formula>$I$16</formula>
    </cfRule>
  </conditionalFormatting>
  <conditionalFormatting sqref="B10:F10">
    <cfRule type="cellIs" dxfId="1902" priority="29" operator="greaterThan">
      <formula>15</formula>
    </cfRule>
    <cfRule type="cellIs" dxfId="1901" priority="36" operator="lessThan">
      <formula>$I$9</formula>
    </cfRule>
    <cfRule type="cellIs" dxfId="1900" priority="37" operator="greaterThan">
      <formula>$I$9</formula>
    </cfRule>
  </conditionalFormatting>
  <conditionalFormatting sqref="B16:F16">
    <cfRule type="cellIs" dxfId="1899" priority="34" operator="greaterThan">
      <formula>$I$16</formula>
    </cfRule>
    <cfRule type="cellIs" dxfId="1898" priority="35" operator="lessThanOrEqual">
      <formula>$I$16</formula>
    </cfRule>
  </conditionalFormatting>
  <conditionalFormatting sqref="B15:F15">
    <cfRule type="cellIs" dxfId="1897" priority="32" operator="lessThanOrEqual">
      <formula>$I$16</formula>
    </cfRule>
    <cfRule type="cellIs" dxfId="1896" priority="33" operator="greaterThan">
      <formula>$I$16</formula>
    </cfRule>
  </conditionalFormatting>
  <conditionalFormatting sqref="B14:F14">
    <cfRule type="cellIs" dxfId="1895" priority="30" operator="greaterThan">
      <formula>$I$16</formula>
    </cfRule>
    <cfRule type="cellIs" dxfId="1894" priority="31" operator="lessThanOrEqual">
      <formula>$I$16</formula>
    </cfRule>
  </conditionalFormatting>
  <conditionalFormatting sqref="K6">
    <cfRule type="containsText" dxfId="1893" priority="25" operator="containsText" text="衰退">
      <formula>NOT(ISERROR(SEARCH("衰退",K6)))</formula>
    </cfRule>
    <cfRule type="containsText" dxfId="1892" priority="26" operator="containsText" text="成長">
      <formula>NOT(ISERROR(SEARCH("成長",K6)))</formula>
    </cfRule>
  </conditionalFormatting>
  <conditionalFormatting sqref="I4:K4">
    <cfRule type="cellIs" dxfId="1891" priority="23" operator="lessThan">
      <formula>0</formula>
    </cfRule>
    <cfRule type="cellIs" dxfId="189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889" priority="20" operator="lessThanOrEqual">
      <formula>$I$16</formula>
    </cfRule>
    <cfRule type="cellIs" dxfId="1888" priority="21" operator="greaterThan">
      <formula>$I$16</formula>
    </cfRule>
  </conditionalFormatting>
  <conditionalFormatting sqref="I6">
    <cfRule type="containsText" dxfId="1887" priority="18" operator="containsText" text="衰退">
      <formula>NOT(ISERROR(SEARCH("衰退",I6)))</formula>
    </cfRule>
    <cfRule type="containsText" dxfId="1886" priority="19" operator="containsText" text="成長">
      <formula>NOT(ISERROR(SEARCH("成長",I6)))</formula>
    </cfRule>
  </conditionalFormatting>
  <conditionalFormatting sqref="M9">
    <cfRule type="cellIs" dxfId="1885" priority="17" operator="lessThan">
      <formula>$I$9</formula>
    </cfRule>
  </conditionalFormatting>
  <conditionalFormatting sqref="M10">
    <cfRule type="cellIs" dxfId="1884" priority="16" operator="greaterThan">
      <formula>$I$9</formula>
    </cfRule>
  </conditionalFormatting>
  <conditionalFormatting sqref="M11">
    <cfRule type="cellIs" dxfId="188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882" priority="12" operator="lessThan">
      <formula>0</formula>
    </cfRule>
    <cfRule type="cellIs" dxfId="1881" priority="13" operator="greaterThan">
      <formula>0.5</formula>
    </cfRule>
  </conditionalFormatting>
  <conditionalFormatting sqref="N14">
    <cfRule type="cellIs" dxfId="188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879" priority="8" operator="lessThan">
      <formula>0.1</formula>
    </cfRule>
  </conditionalFormatting>
  <conditionalFormatting sqref="I14">
    <cfRule type="cellIs" dxfId="187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87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876" priority="1" operator="lessThan">
      <formula>$N$5*0.9</formula>
    </cfRule>
    <cfRule type="cellIs" dxfId="1875" priority="2" operator="greaterThan">
      <formula>$N$5*1.1</formula>
    </cfRule>
  </conditionalFormatting>
  <hyperlinks>
    <hyperlink ref="L1" location="儀表板!A1" display="(回首頁)" xr:uid="{00000000-0004-0000-4E00-000000000000}"/>
  </hyperlink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1.12 ~ 19.68</v>
      </c>
      <c r="L1" s="83" t="s">
        <v>176</v>
      </c>
      <c r="M1" s="84" t="str">
        <f ca="1">VLOOKUP(_xlfn.NUMBERVALUE(N1),儀表板!A:B,2,FALSE)</f>
        <v>台郡</v>
      </c>
      <c r="N1" s="85" t="str">
        <f ca="1">MID(CELL("filename",L1),FIND("]",CELL("filename",L1))+1,255)</f>
        <v>6269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0.23129318354590758</v>
      </c>
    </row>
    <row r="3" spans="1:15" s="93" customFormat="1" x14ac:dyDescent="0.25">
      <c r="A3" s="81" t="s">
        <v>179</v>
      </c>
      <c r="B3" s="94">
        <f>SUM(F19:F22,F24:F27,J19)</f>
        <v>81.061416165481347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100.13883766032053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113.05684484637548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121.55553378456952</v>
      </c>
      <c r="L3" s="100"/>
      <c r="M3" s="79" t="s">
        <v>385</v>
      </c>
      <c r="N3" s="92">
        <f>(F69-E69)/E69</f>
        <v>0.15067457943793436</v>
      </c>
    </row>
    <row r="4" spans="1:15" s="93" customFormat="1" x14ac:dyDescent="0.25">
      <c r="A4" s="81" t="s">
        <v>182</v>
      </c>
      <c r="B4" s="96">
        <f>SUM(G36:G40)*2</f>
        <v>70</v>
      </c>
      <c r="C4" s="101"/>
      <c r="D4" s="102">
        <f>F4*(1+F141/10)</f>
        <v>31.395</v>
      </c>
      <c r="E4" s="82">
        <f>(D4-F4)/F4</f>
        <v>5.0000000000000037E-2</v>
      </c>
      <c r="F4" s="103">
        <v>29.9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9.8382676541943397</v>
      </c>
    </row>
    <row r="5" spans="1:15" s="93" customFormat="1" x14ac:dyDescent="0.25">
      <c r="A5" s="81" t="s">
        <v>184</v>
      </c>
      <c r="B5" s="107">
        <f>SUM(F30:F34)*2</f>
        <v>95.543595820731369</v>
      </c>
      <c r="C5" s="87"/>
      <c r="D5" s="87"/>
      <c r="E5" s="87"/>
      <c r="F5" s="86"/>
      <c r="G5" s="88"/>
      <c r="M5" s="79" t="s">
        <v>375</v>
      </c>
      <c r="N5" s="152">
        <f>D62</f>
        <v>9.42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連2季成長</v>
      </c>
      <c r="L6" s="112"/>
      <c r="M6" s="79" t="s">
        <v>190</v>
      </c>
      <c r="N6" s="152">
        <f>A53</f>
        <v>11.380493076343809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22.43</v>
      </c>
      <c r="N9" s="129"/>
    </row>
    <row r="10" spans="1:15" s="93" customFormat="1" x14ac:dyDescent="0.25">
      <c r="A10" s="123" t="s">
        <v>194</v>
      </c>
      <c r="B10" s="126">
        <f>PERCENTILE(176:176,B9)</f>
        <v>9.4700000000000006</v>
      </c>
      <c r="C10" s="126">
        <f>PERCENTILE(176:176,C9)</f>
        <v>10.309999999999999</v>
      </c>
      <c r="D10" s="126">
        <f>PERCENTILE(176:176,D9)</f>
        <v>11.64</v>
      </c>
      <c r="E10" s="126">
        <f>PERCENTILE(176:176,E9)</f>
        <v>12.515000000000001</v>
      </c>
      <c r="F10" s="126">
        <f>PERCENTILE(176:176,F9)</f>
        <v>14.89</v>
      </c>
      <c r="G10" s="95"/>
      <c r="H10" s="135"/>
      <c r="I10" s="135"/>
      <c r="J10" s="135"/>
      <c r="K10" s="135"/>
      <c r="L10" s="136" t="s">
        <v>374</v>
      </c>
      <c r="M10" s="130">
        <f>MIN(176:176)</f>
        <v>6.69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54.57</v>
      </c>
      <c r="L11" s="272" t="s">
        <v>193</v>
      </c>
      <c r="M11" s="128">
        <f>STDEV(176:176)</f>
        <v>2.9494719371863045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49.019607843137258</v>
      </c>
      <c r="C13" s="141">
        <f>$B$34/5.88%</f>
        <v>59.523809523809526</v>
      </c>
      <c r="D13" s="141">
        <f>$B$34/5%</f>
        <v>70</v>
      </c>
      <c r="E13" s="141">
        <f>$B$34/4.35%</f>
        <v>80.459770114942529</v>
      </c>
      <c r="F13" s="141">
        <f>$B$34/3.85%</f>
        <v>90.909090909090907</v>
      </c>
      <c r="G13" s="138" t="str">
        <f>"$"&amp;ROUND(B34,2)&amp;"/"&amp;IF(STDEV(C140:F140)/AVERAGE(C140:F140)&lt;15%,"高",IF(STDEV(C140:F140)/AVERAGE(C140:F140)&lt;30%,"中","低"))</f>
        <v>$3.5/低</v>
      </c>
      <c r="H13" s="142" t="s">
        <v>199</v>
      </c>
      <c r="I13" s="143">
        <f>MAX(0,1-J15)</f>
        <v>0.47368421052631582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86.105975000000015</v>
      </c>
      <c r="C14" s="141">
        <f>$B$33*C10</f>
        <v>93.743674999999996</v>
      </c>
      <c r="D14" s="141">
        <f>$B$33*D10</f>
        <v>105.83670000000002</v>
      </c>
      <c r="E14" s="141">
        <f>$B$33*E10</f>
        <v>113.79263750000003</v>
      </c>
      <c r="F14" s="141">
        <f>$B$33*F10</f>
        <v>135.38732500000003</v>
      </c>
      <c r="G14" s="138" t="str">
        <f>"$"&amp;ROUND(B33,2)&amp;"/"&amp;IF(STDEV(B69:E69)/AVERAGE(B69:E69)&lt;15%,"高",IF(STDEV(B69:E69)/AVERAGE(B69:E69)&lt;30%,"中","低"))</f>
        <v>$9.09/中</v>
      </c>
      <c r="H14" s="142" t="s">
        <v>203</v>
      </c>
      <c r="I14" s="145">
        <f>G62/100*I13</f>
        <v>8.2657894736842125E-2</v>
      </c>
      <c r="J14" s="76" t="s">
        <v>204</v>
      </c>
      <c r="K14" s="146"/>
      <c r="L14" s="147">
        <f>(HLOOKUP($C$1,$105:$106,2,FALSE)-HLOOKUP($C$1,$117:$127,9,FALSE))/(HLOOKUP($C$1,$117:$128,12,FALSE)/K11)</f>
        <v>14.253702595822679</v>
      </c>
      <c r="M14" s="148">
        <f>E135/E69</f>
        <v>2.3637426900584795</v>
      </c>
      <c r="N14" s="149">
        <f>F173/100</f>
        <v>0.5131</v>
      </c>
    </row>
    <row r="15" spans="1:15" s="93" customFormat="1" x14ac:dyDescent="0.25">
      <c r="A15" s="140" t="s">
        <v>375</v>
      </c>
      <c r="B15" s="141">
        <f>$D$62*B10</f>
        <v>89.207400000000007</v>
      </c>
      <c r="C15" s="141">
        <f>$D$62*C10</f>
        <v>97.120199999999983</v>
      </c>
      <c r="D15" s="141">
        <f>$D$62*D10</f>
        <v>109.64880000000001</v>
      </c>
      <c r="E15" s="141">
        <f>$D$62*E10</f>
        <v>117.8913</v>
      </c>
      <c r="F15" s="141">
        <f>$D$62*F10</f>
        <v>140.2638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0.52631578947368418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93.168394685220406</v>
      </c>
      <c r="C16" s="141">
        <f>$F$69*C10</f>
        <v>101.43253951474362</v>
      </c>
      <c r="D16" s="141">
        <f>$F$69*D10</f>
        <v>114.51743549482212</v>
      </c>
      <c r="E16" s="141">
        <f>$F$69*E10</f>
        <v>123.12591969224216</v>
      </c>
      <c r="F16" s="141">
        <f>$F$69*F10</f>
        <v>146.49180537095373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5181</v>
      </c>
      <c r="J17" s="92">
        <f ca="1">IF(I17&lt;=0,"",IF(I17&lt;=MIN($B$13:$F$16),(I17-MIN($B$13:$F$16))/MIN($B$13:$F$16),IF(I17&gt;=MAX($B$13:$F$16),I17/MAX($B$13:$F$16),PERCENTRANK($B$13:$F$16,I17))))</f>
        <v>35.367166012326884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7.27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2.077142857142857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0.14924415197612739</v>
      </c>
      <c r="J20" s="171">
        <f>HLOOKUP($C$1,$117:$127,11,FALSE)/HLOOKUP($C$1,$105:$115,11,FALSE)</f>
        <v>0.37021650842966458</v>
      </c>
      <c r="K20" s="163"/>
    </row>
    <row r="21" spans="1:14" s="93" customFormat="1" x14ac:dyDescent="0.25">
      <c r="A21" s="151" t="s">
        <v>201</v>
      </c>
      <c r="B21" s="161">
        <f>AVERAGE(C173:F173)/100</f>
        <v>1.4205000000000001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2.3097351259623604</v>
      </c>
      <c r="J21" s="78"/>
      <c r="K21" s="164" t="s">
        <v>356</v>
      </c>
      <c r="L21" s="165">
        <f>HLOOKUP($C$1,$105:$115,7,FALSE)/HLOOKUP($C$1,$105:$115,11,FALSE)</f>
        <v>0.75837306698070373</v>
      </c>
      <c r="M21" s="123" t="s">
        <v>268</v>
      </c>
      <c r="N21" s="165">
        <f>HLOOKUP($C$1,$117:$127,8,FALSE)/HLOOKUP($C$1,$117:$127,11,FALSE)</f>
        <v>0.88688016352437637</v>
      </c>
    </row>
    <row r="22" spans="1:14" s="93" customFormat="1" x14ac:dyDescent="0.25">
      <c r="A22" s="140" t="s">
        <v>222</v>
      </c>
      <c r="B22" s="161">
        <f>(-1)*SUM(C133:F133)/SUM(C132:F132)</f>
        <v>0.41629867523083097</v>
      </c>
      <c r="C22" s="157"/>
      <c r="D22" s="166"/>
      <c r="E22" s="140"/>
      <c r="F22" s="159">
        <f>IF(B22&lt;=0,10,IF(B22&gt;=100%,0,(1-B22)*10))</f>
        <v>5.8370132476916901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1.8594122088896583</v>
      </c>
      <c r="J22" s="78"/>
      <c r="K22" s="142" t="s">
        <v>357</v>
      </c>
      <c r="L22" s="165">
        <f>HLOOKUP($C$1,$105:$115,4,FALSE)/HLOOKUP($C$1,$105:$115,11,FALSE)</f>
        <v>0.23668180115053924</v>
      </c>
      <c r="M22" s="123" t="s">
        <v>353</v>
      </c>
      <c r="N22" s="165">
        <f>HLOOKUP($C$1,$117:$127,4,FALSE)/HLOOKUP($C$1,$117:$127,11,FALSE)</f>
        <v>0.59687331986039327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1.5878472735233933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0.14785798073267362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61.64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1.9958477366526142E-2</v>
      </c>
      <c r="M24" s="123" t="s">
        <v>355</v>
      </c>
      <c r="N24" s="165">
        <f>HLOOKUP($C$1,$117:$127,9,FALSE)/HLOOKUP($C$1,$117:$127,11,FALSE)</f>
        <v>0.1131198364756236</v>
      </c>
    </row>
    <row r="25" spans="1:14" s="93" customFormat="1" x14ac:dyDescent="0.25">
      <c r="A25" s="151" t="s">
        <v>366</v>
      </c>
      <c r="B25" s="255">
        <f>AVERAGE(94:94)</f>
        <v>44688.695652173912</v>
      </c>
      <c r="C25" s="254">
        <f>STDEV(94:94)/AVERAGE(94:94)</f>
        <v>3.2755970822103402</v>
      </c>
      <c r="D25" s="76" t="str">
        <f>IF(C25&lt;=1,"高",IF(C25&lt;=2,"中","低"))</f>
        <v>低</v>
      </c>
      <c r="E25" s="149"/>
      <c r="F25" s="160">
        <f>MAX(0,10-ABS(C25))</f>
        <v>6.7244029177896598</v>
      </c>
      <c r="G25" s="88" t="s">
        <v>213</v>
      </c>
      <c r="H25" s="123" t="s">
        <v>232</v>
      </c>
      <c r="I25" s="170">
        <f>IF(HLOOKUP(C1,167:170,3,FALSE)="無",0,HLOOKUP(C1,167:170,3,FALSE))</f>
        <v>49.18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80.990000000000023</v>
      </c>
      <c r="C26" s="172">
        <f>IF(COUNTIF(168:168,"&gt;0")=0,0,STDEV(168:168))</f>
        <v>22.714204806684233</v>
      </c>
      <c r="D26" s="76" t="str">
        <f>IF(C26&lt;=15,"高",IF(C26&lt;=30,"中","低"))</f>
        <v>中</v>
      </c>
      <c r="E26" s="149"/>
      <c r="F26" s="160">
        <f>IF(I24&lt;=60,4,IF(I24&lt;=90,3,IF(I24&lt;=120,2,IF(I24&lt;=150,1,0))))+IF(D26="高",6,IF(D26="中",4,2))</f>
        <v>7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50.617826086956512</v>
      </c>
      <c r="C27" s="172">
        <f>IF(COUNTIF(169:169,"&gt;0")=0,0,STDEV(169:169))</f>
        <v>8.3692532286186712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0.24042499999999997</v>
      </c>
      <c r="C30" s="157" t="s">
        <v>217</v>
      </c>
      <c r="D30" s="174">
        <f>COUNTIF(146:146,"&gt;20")/COUNT(146:146)</f>
        <v>0.95652173913043481</v>
      </c>
      <c r="E30" s="140" t="s">
        <v>239</v>
      </c>
      <c r="F30" s="159">
        <f>MIN(B30/25%*10,10)</f>
        <v>9.6169999999999991</v>
      </c>
      <c r="G30" s="175"/>
      <c r="H30" s="176"/>
    </row>
    <row r="31" spans="1:14" x14ac:dyDescent="0.25">
      <c r="A31" s="164" t="s">
        <v>240</v>
      </c>
      <c r="B31" s="173">
        <f>AVERAGE(C155:F155)/100</f>
        <v>0.13172499999999998</v>
      </c>
      <c r="C31" s="157" t="s">
        <v>217</v>
      </c>
      <c r="D31" s="174">
        <f>COUNTIF(149:149,"&gt;8")/COUNT(149:149)</f>
        <v>0.82608695652173914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20.3675</v>
      </c>
      <c r="C32" s="157" t="s">
        <v>217</v>
      </c>
      <c r="D32" s="174">
        <f>COUNTIF(159:159,"&gt;3")/COUNT(159:159)</f>
        <v>0.69565217391304346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9.0925000000000011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8.1547979103656854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15968401</v>
      </c>
      <c r="C36" s="178">
        <f>STDEV(C97:F97)</f>
        <v>3071580.3255774812</v>
      </c>
      <c r="D36" s="76" t="str">
        <f>IF(C36/B36&lt;15%,"高",IF(C36/B36&lt;30%,"中","低"))</f>
        <v>中</v>
      </c>
      <c r="E36" s="107">
        <f>IF(F97&gt;E97,1,0)+IF(E97&gt;D97,1,0)+IF(D97&gt;C97,1,0)</f>
        <v>2</v>
      </c>
      <c r="F36" s="179"/>
      <c r="G36" s="160">
        <f>IF(D36="高",6,IF(D36="中",4,2))+E36+1</f>
        <v>7</v>
      </c>
    </row>
    <row r="37" spans="1:14" x14ac:dyDescent="0.25">
      <c r="A37" s="164" t="s">
        <v>248</v>
      </c>
      <c r="B37" s="180">
        <f>AVERAGE(C152:F152)</f>
        <v>24.042499999999997</v>
      </c>
      <c r="C37" s="180">
        <f>STDEV(C152:F152)</f>
        <v>1.83697895106794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15.870000000000001</v>
      </c>
      <c r="C38" s="180">
        <f>STDEV(C153:F153)</f>
        <v>2.1776133724791462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20.3675</v>
      </c>
      <c r="C39" s="181">
        <f>STDEV(C165:F165)</f>
        <v>5.2848107818539738</v>
      </c>
      <c r="D39" s="76" t="str">
        <f>IF(C39/B39&lt;15%,"高",IF(C39/B39&lt;30%,"中","低"))</f>
        <v>中</v>
      </c>
      <c r="E39" s="107">
        <f>IF(F165&gt;E165,1,0)+IF(E165&gt;D165,1,0)+IF(D165&gt;C165,1,0)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9.0925000000000011</v>
      </c>
      <c r="C40" s="183">
        <f>STDEV(B69:E69)</f>
        <v>1.8723314343352706</v>
      </c>
      <c r="D40" s="76" t="str">
        <f>IF(C40/B40&lt;15%,"高",IF(C40/B40&lt;30%,"中","低"))</f>
        <v>中</v>
      </c>
      <c r="E40" s="107">
        <f>IF(E69&gt;D69,1,0)+IF(D69&gt;C69,1,0)+IF(C69&gt;B69,1,0)</f>
        <v>1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0.28413284132841332</v>
      </c>
      <c r="C44" s="186">
        <f>(C46-C49)/C49</f>
        <v>2.0975609756097566</v>
      </c>
      <c r="D44" s="186">
        <f>(D46-D49)/D49</f>
        <v>-0.46625766871165641</v>
      </c>
      <c r="E44" s="186">
        <f>(E46-E49)/E49</f>
        <v>0.22580645161290314</v>
      </c>
      <c r="G44" s="86" t="s">
        <v>175</v>
      </c>
      <c r="H44" s="186">
        <f>(H47-H50)/H50</f>
        <v>-0.10193133047210309</v>
      </c>
      <c r="I44" s="186">
        <f>(I47-I50)/I50</f>
        <v>0.35056876938986559</v>
      </c>
      <c r="J44" s="186">
        <f>(J47-J50)/J50</f>
        <v>-6.5257924176507207E-2</v>
      </c>
      <c r="K44" s="186">
        <f>(K47-K50)/K50</f>
        <v>-2.9680365296803554E-2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3.48</v>
      </c>
      <c r="C46" s="152">
        <f>HLOOKUP(C45,$81:$82,2,FALSE)</f>
        <v>1.27</v>
      </c>
      <c r="D46" s="152">
        <f>HLOOKUP(D45,$81:$82,2,FALSE)</f>
        <v>0.87</v>
      </c>
      <c r="E46" s="152">
        <f>HLOOKUP(E45,$81:$82,2,FALSE)</f>
        <v>3.8</v>
      </c>
      <c r="G46" s="86" t="s">
        <v>164</v>
      </c>
      <c r="H46" s="145">
        <f>HLOOKUP(H45,$145:$147,2,FALSE)/100</f>
        <v>0.2303</v>
      </c>
      <c r="I46" s="145">
        <f>HLOOKUP(I45,$145:$147,2,FALSE)/100</f>
        <v>0.24309999999999998</v>
      </c>
      <c r="J46" s="145">
        <f>HLOOKUP(J45,$145:$147,2,FALSE)/100</f>
        <v>0.23019999999999999</v>
      </c>
      <c r="K46" s="145">
        <f>HLOOKUP(K45,$145:$147,2,FALSE)/100</f>
        <v>0.23629999999999998</v>
      </c>
    </row>
    <row r="47" spans="1:14" x14ac:dyDescent="0.25">
      <c r="A47" s="188" t="s">
        <v>165</v>
      </c>
      <c r="B47" s="189">
        <f>HLOOKUP(B45,$157:$159,3,FALSE)</f>
        <v>6.61</v>
      </c>
      <c r="C47" s="189">
        <f>HLOOKUP(C45,$157:$159,3,FALSE)</f>
        <v>2.33</v>
      </c>
      <c r="D47" s="189">
        <f>HLOOKUP(D45,$157:$159,3,FALSE)</f>
        <v>1.55</v>
      </c>
      <c r="E47" s="189">
        <f>HLOOKUP(E45,$157:$159,3,FALSE)</f>
        <v>6.96</v>
      </c>
      <c r="G47" s="190" t="s">
        <v>166</v>
      </c>
      <c r="H47" s="145">
        <f>HLOOKUP(H45,$145:$147,3,FALSE)/100</f>
        <v>0.16739999999999999</v>
      </c>
      <c r="I47" s="145">
        <f>HLOOKUP(I45,$145:$147,3,FALSE)/100</f>
        <v>0.13059999999999999</v>
      </c>
      <c r="J47" s="145">
        <f>HLOOKUP(J45,$145:$147,3,FALSE)/100</f>
        <v>0.15039999999999998</v>
      </c>
      <c r="K47" s="145">
        <f>HLOOKUP(K45,$145:$147,3,FALSE)/100</f>
        <v>0.17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2.71</v>
      </c>
      <c r="C49" s="152">
        <f>HLOOKUP(C48,$81:$82,2,FALSE)</f>
        <v>0.41</v>
      </c>
      <c r="D49" s="152">
        <f>HLOOKUP(D48,$81:$82,2,FALSE)</f>
        <v>1.63</v>
      </c>
      <c r="E49" s="152">
        <f>HLOOKUP(E48,$81:$82,2,FALSE)</f>
        <v>3.1</v>
      </c>
      <c r="G49" s="86" t="s">
        <v>164</v>
      </c>
      <c r="H49" s="145">
        <f>HLOOKUP(H48,$145:$147,2,FALSE)/100</f>
        <v>0.25129999999999997</v>
      </c>
      <c r="I49" s="145">
        <f>HLOOKUP(I48,$145:$147,2,FALSE)/100</f>
        <v>0.20800000000000002</v>
      </c>
      <c r="J49" s="145">
        <f>HLOOKUP(J48,$145:$147,2,FALSE)/100</f>
        <v>0.24660000000000001</v>
      </c>
      <c r="K49" s="145">
        <f>HLOOKUP(K48,$145:$147,2,FALSE)/100</f>
        <v>0.25230000000000002</v>
      </c>
    </row>
    <row r="50" spans="1:15" x14ac:dyDescent="0.25">
      <c r="A50" s="188" t="s">
        <v>165</v>
      </c>
      <c r="B50" s="189">
        <f>HLOOKUP(B48,$157:$159,3,FALSE)</f>
        <v>5.37</v>
      </c>
      <c r="C50" s="189">
        <f>HLOOKUP(C48,$157:$159,3,FALSE)</f>
        <v>0.76</v>
      </c>
      <c r="D50" s="189">
        <f>HLOOKUP(D48,$157:$159,3,FALSE)</f>
        <v>2.88</v>
      </c>
      <c r="E50" s="189">
        <f>HLOOKUP(E48,$157:$159,3,FALSE)</f>
        <v>5.38</v>
      </c>
      <c r="G50" s="190" t="s">
        <v>166</v>
      </c>
      <c r="H50" s="145">
        <f>HLOOKUP(H48,$145:$147,3,FALSE)/100</f>
        <v>0.18640000000000001</v>
      </c>
      <c r="I50" s="145">
        <f>HLOOKUP(I48,$145:$147,3,FALSE)/100</f>
        <v>9.6699999999999994E-2</v>
      </c>
      <c r="J50" s="145">
        <f>HLOOKUP(J48,$145:$147,3,FALSE)/100</f>
        <v>0.16089999999999999</v>
      </c>
      <c r="K50" s="145">
        <f>HLOOKUP(K48,$145:$147,3,FALSE)/100</f>
        <v>0.17519999999999999</v>
      </c>
    </row>
    <row r="51" spans="1:15" x14ac:dyDescent="0.25">
      <c r="A51" s="86" t="s">
        <v>351</v>
      </c>
      <c r="B51" s="186">
        <f>(B47-B50)/B50</f>
        <v>0.23091247672253262</v>
      </c>
      <c r="C51" s="186">
        <f>(C47-C50)/C50</f>
        <v>2.0657894736842106</v>
      </c>
      <c r="D51" s="186">
        <f>(D47-D50)/D50</f>
        <v>-0.46180555555555552</v>
      </c>
      <c r="E51" s="186">
        <f>(E47-E50)/E50</f>
        <v>0.29368029739776952</v>
      </c>
      <c r="G51" s="235" t="s">
        <v>174</v>
      </c>
      <c r="H51" s="186">
        <f>(H46-H49)/H49</f>
        <v>-8.3565459610027717E-2</v>
      </c>
      <c r="I51" s="186">
        <f>(I46-I49)/I49</f>
        <v>0.16874999999999982</v>
      </c>
      <c r="J51" s="186">
        <f>(J46-J49)/J49</f>
        <v>-6.6504460665044701E-2</v>
      </c>
      <c r="K51" s="186">
        <f>(K46-K49)/K49</f>
        <v>-6.3416567578279986E-2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11.380493076343809</v>
      </c>
      <c r="B53" s="193">
        <f>B46</f>
        <v>3.48</v>
      </c>
      <c r="C53" s="193">
        <f>E46/HLOOKUP(E45,$87:$94,5,FALSE)*HLOOKUP(E45,$87:$94,4,FALSE)*($B$25/HLOOKUP(E45,$87:$94,4,FALSE)+SUM($B$57:$D$57)/SUM($B58:$D$58)*$G$69/100/K46)</f>
        <v>4.2182676541943378</v>
      </c>
      <c r="D53" s="193">
        <f>D46/HLOOKUP(D45,$87:$94,5,FALSE)*HLOOKUP(D45,$87:$94,4,FALSE)*($B$25/HLOOKUP(D45,$87:$94,4,FALSE)+SUM($B$57:$D$57)/SUM($B58:$D$58)*$G$69/100/J46)</f>
        <v>2.1903905751587316</v>
      </c>
      <c r="E53" s="193">
        <f>C46/HLOOKUP(C45,$87:$94,5,FALSE)*HLOOKUP(C45,$87:$94,4,FALSE)*($B$25/HLOOKUP(C45,$87:$94,4,FALSE)+SUM($B$57:$D$57)/SUM($B58:$D$58)*$G$69/100/I46)</f>
        <v>1.4918348469907399</v>
      </c>
    </row>
    <row r="54" spans="1:15" x14ac:dyDescent="0.25">
      <c r="A54" s="278">
        <f>SUM(B54:E54)</f>
        <v>8.65</v>
      </c>
      <c r="B54" s="277">
        <f t="shared" ref="B54:D54" si="0">HLOOKUP(B52-10,81:82,2,FALSE)</f>
        <v>2.71</v>
      </c>
      <c r="C54" s="277">
        <f t="shared" si="0"/>
        <v>3.8</v>
      </c>
      <c r="D54" s="277">
        <f t="shared" si="0"/>
        <v>0.87</v>
      </c>
      <c r="E54" s="277">
        <f>HLOOKUP(E52-10,81:82,2,FALSE)</f>
        <v>1.27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3151306</v>
      </c>
      <c r="C57" s="196">
        <f>HLOOKUP(C56,78:79,2,FALSE)</f>
        <v>3030360</v>
      </c>
      <c r="D57" s="196">
        <f>HLOOKUP(D56,78:79,2,FALSE)</f>
        <v>2353159</v>
      </c>
      <c r="E57" s="196">
        <f>HLOOKUP(E56,78:79,2,FALSE)</f>
        <v>1733678</v>
      </c>
      <c r="F57" s="196">
        <f>HLOOKUP(F56,78:79,2,FALSE)</f>
        <v>1501438</v>
      </c>
      <c r="G57" s="196">
        <f t="shared" ref="G57:M57" si="2">HLOOKUP(G56,78:79,2,FALSE)</f>
        <v>1127375</v>
      </c>
      <c r="H57" s="196">
        <f t="shared" si="2"/>
        <v>1074701</v>
      </c>
      <c r="I57" s="196">
        <f t="shared" si="2"/>
        <v>1201002</v>
      </c>
      <c r="J57" s="196">
        <f t="shared" si="2"/>
        <v>1325324</v>
      </c>
      <c r="K57" s="196">
        <f t="shared" si="2"/>
        <v>1754278</v>
      </c>
      <c r="L57" s="196">
        <f t="shared" si="2"/>
        <v>1900364</v>
      </c>
      <c r="M57" s="196">
        <f t="shared" si="2"/>
        <v>1811779</v>
      </c>
      <c r="N57" s="197"/>
    </row>
    <row r="58" spans="1:15" x14ac:dyDescent="0.25">
      <c r="A58" s="198" t="s">
        <v>253</v>
      </c>
      <c r="B58" s="196">
        <f>HLOOKUP(B56-100,78:79,2,FALSE)</f>
        <v>2452838</v>
      </c>
      <c r="C58" s="196">
        <f>HLOOKUP(C56-100,78:79,2,FALSE)</f>
        <v>2126671</v>
      </c>
      <c r="D58" s="196">
        <f>HLOOKUP(D56-100,78:79,2,FALSE)</f>
        <v>2039498</v>
      </c>
      <c r="E58" s="196">
        <f>HLOOKUP(E56-100,78:79,2,FALSE)</f>
        <v>1557524</v>
      </c>
      <c r="F58" s="196">
        <f>HLOOKUP(F56-100,78:79,2,FALSE)</f>
        <v>1214876</v>
      </c>
      <c r="G58" s="196">
        <f t="shared" ref="G58:M58" si="3">HLOOKUP(G56-100,78:79,2,FALSE)</f>
        <v>1074387</v>
      </c>
      <c r="H58" s="196">
        <f t="shared" si="3"/>
        <v>1167164</v>
      </c>
      <c r="I58" s="196">
        <f t="shared" si="3"/>
        <v>1226016</v>
      </c>
      <c r="J58" s="196">
        <f t="shared" si="3"/>
        <v>883703</v>
      </c>
      <c r="K58" s="196">
        <f t="shared" si="3"/>
        <v>1641462</v>
      </c>
      <c r="L58" s="196">
        <f t="shared" si="3"/>
        <v>1019887</v>
      </c>
      <c r="M58" s="196">
        <f t="shared" si="3"/>
        <v>1877859</v>
      </c>
      <c r="N58" s="197"/>
    </row>
    <row r="59" spans="1:15" x14ac:dyDescent="0.25">
      <c r="A59" s="199" t="s">
        <v>254</v>
      </c>
      <c r="B59" s="165">
        <f>IF(B57&lt;&gt;"",(B57-B58)/B58,"")</f>
        <v>0.28475912392094382</v>
      </c>
      <c r="C59" s="165">
        <f>IF(C57&lt;&gt;"",(C57-C58)/C58,"")</f>
        <v>0.42493126581403518</v>
      </c>
      <c r="D59" s="165">
        <f>IF(D57&lt;&gt;"",(D57-D58)/D58,"")</f>
        <v>0.15379323735546688</v>
      </c>
      <c r="E59" s="165">
        <f>IF(E57&lt;&gt;"",(E57-E58)/E58,"")</f>
        <v>0.11309873876742831</v>
      </c>
      <c r="F59" s="165">
        <f>IF(F57&lt;&gt;"",(F57-F58)/F58,"")</f>
        <v>0.23587757104428764</v>
      </c>
      <c r="G59" s="165">
        <f t="shared" ref="G59:M59" si="4">IF(G57&lt;&gt;"",(G57-G58)/G58,"")</f>
        <v>4.9319286253463601E-2</v>
      </c>
      <c r="H59" s="165">
        <f t="shared" si="4"/>
        <v>-7.9220229547861315E-2</v>
      </c>
      <c r="I59" s="165">
        <f t="shared" si="4"/>
        <v>-2.0402670111972436E-2</v>
      </c>
      <c r="J59" s="165">
        <f t="shared" si="4"/>
        <v>0.49973916576044214</v>
      </c>
      <c r="K59" s="165">
        <f t="shared" si="4"/>
        <v>6.8728974536114762E-2</v>
      </c>
      <c r="L59" s="165">
        <f t="shared" si="4"/>
        <v>0.8633083861251295</v>
      </c>
      <c r="M59" s="165">
        <f t="shared" si="4"/>
        <v>-3.5189010463511902E-2</v>
      </c>
    </row>
    <row r="60" spans="1:15" x14ac:dyDescent="0.25">
      <c r="A60" s="195" t="s">
        <v>255</v>
      </c>
      <c r="B60" s="196">
        <f>SUM(B57:M57)</f>
        <v>21964764</v>
      </c>
    </row>
    <row r="61" spans="1:15" x14ac:dyDescent="0.25">
      <c r="A61" s="198" t="s">
        <v>256</v>
      </c>
      <c r="B61" s="196">
        <f>SUM(B58:M58)</f>
        <v>18281885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1.201449631698263</v>
      </c>
      <c r="D62" s="152">
        <f>SUM(B46:E46)</f>
        <v>9.42</v>
      </c>
      <c r="E62" s="152">
        <f>SUM(B49:E49)</f>
        <v>7.85</v>
      </c>
      <c r="G62" s="126">
        <f>SUM(B47:E47)</f>
        <v>17.450000000000003</v>
      </c>
      <c r="H62" s="126">
        <f>SUM(B50:E50)</f>
        <v>14.39</v>
      </c>
      <c r="J62" s="200">
        <f>AVERAGE(H46:K46)</f>
        <v>0.23497499999999999</v>
      </c>
      <c r="K62" s="200">
        <f>AVERAGE(H49:K49)</f>
        <v>0.23954999999999999</v>
      </c>
      <c r="M62" s="200">
        <f>AVERAGE(H47:K47)</f>
        <v>0.15459999999999999</v>
      </c>
      <c r="N62" s="200">
        <f>AVERAGE(H50:K50)</f>
        <v>0.15479999999999999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2.02</v>
      </c>
      <c r="C65" s="205">
        <f t="shared" si="5"/>
        <v>0.92</v>
      </c>
      <c r="D65" s="205">
        <f t="shared" si="5"/>
        <v>3.28</v>
      </c>
      <c r="E65" s="205">
        <f t="shared" si="5"/>
        <v>1.63</v>
      </c>
      <c r="F65" s="206">
        <f>IF(ISNA(HLOOKUP(F$64*10+$A65,$81:$82,2,FALSE)),(HLOOKUP(E$64*10+$A65,$87:$94,4,FALSE)*$G65+$B$25)/HLOOKUP(E$64*10+$A65,$87:$94,5,FALSE)*$E65,HLOOKUP(F$64*10+$A65,$81:$82,2,FALSE))</f>
        <v>0.87</v>
      </c>
      <c r="G65" s="101">
        <f>MIN(130%,SUM($B$57:$D$57)/SUM($B$58:$D$58)*$G$69/HLOOKUP(E$64*10+$A65,$145:$146,2,FALSE))</f>
        <v>1.237203295911961</v>
      </c>
      <c r="H65" s="204">
        <v>1</v>
      </c>
      <c r="I65" s="208">
        <f t="shared" ref="I65:M68" si="6">IF(ISNA(HLOOKUP(I$64*10+$H65,$145:$147,3,FALSE)),"",HLOOKUP(I$64*10+$H65,$145:$147,3,FALSE)/100)</f>
        <v>0.15329999999999999</v>
      </c>
      <c r="J65" s="208">
        <f t="shared" si="6"/>
        <v>2.1299999999999999E-2</v>
      </c>
      <c r="K65" s="208">
        <f t="shared" si="6"/>
        <v>0.19879999999999998</v>
      </c>
      <c r="L65" s="208">
        <f t="shared" si="6"/>
        <v>0.16089999999999999</v>
      </c>
      <c r="M65" s="209">
        <f t="shared" si="6"/>
        <v>0.15039999999999998</v>
      </c>
      <c r="N65" s="256">
        <f t="shared" ref="N65:O68" si="7">HLOOKUP(E$64*10+$A65,$87:$94,8,FALSE)</f>
        <v>-95631</v>
      </c>
      <c r="O65" s="256">
        <f t="shared" si="7"/>
        <v>-287047</v>
      </c>
      <c r="P65" s="210"/>
    </row>
    <row r="66" spans="1:71" x14ac:dyDescent="0.25">
      <c r="A66" s="204">
        <v>2</v>
      </c>
      <c r="B66" s="205">
        <f t="shared" si="5"/>
        <v>1.06</v>
      </c>
      <c r="C66" s="205">
        <f t="shared" si="5"/>
        <v>0.12</v>
      </c>
      <c r="D66" s="205">
        <f t="shared" si="5"/>
        <v>1.5</v>
      </c>
      <c r="E66" s="205">
        <f t="shared" si="5"/>
        <v>0.41</v>
      </c>
      <c r="F66" s="206">
        <f>IF(ISNA(HLOOKUP(F$64*10+$A66,$81:$82,2,FALSE)),(HLOOKUP(E$64*10+$A66,$87:$94,4,FALSE)*$G66+$B$25)/HLOOKUP(E$64*10+$A66,$87:$94,5,FALSE)*$E66,HLOOKUP(F$64*10+$A66,$81:$82,2,FALSE))</f>
        <v>1.27</v>
      </c>
      <c r="G66" s="101">
        <f>MIN(130%,SUM($B$57:$D$57)/SUM($B$58:$D$58)*$G$69/HLOOKUP(E$64*10+$A66,$145:$146,2,FALSE))</f>
        <v>1.3</v>
      </c>
      <c r="H66" s="204">
        <v>2</v>
      </c>
      <c r="I66" s="208">
        <f t="shared" si="6"/>
        <v>0.11019999999999999</v>
      </c>
      <c r="J66" s="208">
        <f t="shared" si="6"/>
        <v>9.11E-2</v>
      </c>
      <c r="K66" s="208">
        <f t="shared" si="6"/>
        <v>0.20499999999999999</v>
      </c>
      <c r="L66" s="208">
        <f t="shared" si="6"/>
        <v>9.6699999999999994E-2</v>
      </c>
      <c r="M66" s="209">
        <f t="shared" si="6"/>
        <v>0.13059999999999999</v>
      </c>
      <c r="N66" s="256">
        <f t="shared" si="7"/>
        <v>-14313</v>
      </c>
      <c r="O66" s="256">
        <f t="shared" si="7"/>
        <v>71134</v>
      </c>
      <c r="P66" s="210"/>
    </row>
    <row r="67" spans="1:71" x14ac:dyDescent="0.25">
      <c r="A67" s="204">
        <v>3</v>
      </c>
      <c r="B67" s="205">
        <f t="shared" si="5"/>
        <v>2.8</v>
      </c>
      <c r="C67" s="205">
        <f t="shared" si="5"/>
        <v>1.62</v>
      </c>
      <c r="D67" s="205">
        <f t="shared" si="5"/>
        <v>3.34</v>
      </c>
      <c r="E67" s="205">
        <f t="shared" si="5"/>
        <v>2.71</v>
      </c>
      <c r="F67" s="206">
        <f>IF(ISNA(HLOOKUP(F$64*10+$A67,$81:$82,2,FALSE)),(HLOOKUP(E$64*10+$A67,$87:$94,4,FALSE)*$G67+$B$25)/HLOOKUP(E$64*10+$A67,$87:$94,5,FALSE)*$E67,HLOOKUP(F$64*10+$A67,$81:$82,2,FALSE))</f>
        <v>3.48</v>
      </c>
      <c r="G67" s="101">
        <f>MIN(130%,SUM($B$57:$D$57)/SUM($B$58:$D$58)*$G$69/HLOOKUP(E$64*10+$A67,$145:$146,2,FALSE))</f>
        <v>1.2140641972617969</v>
      </c>
      <c r="H67" s="204">
        <v>3</v>
      </c>
      <c r="I67" s="208">
        <f t="shared" si="6"/>
        <v>0.17519999999999999</v>
      </c>
      <c r="J67" s="208">
        <f t="shared" si="6"/>
        <v>0.12869999999999998</v>
      </c>
      <c r="K67" s="208">
        <f t="shared" si="6"/>
        <v>0.1779</v>
      </c>
      <c r="L67" s="208">
        <f t="shared" si="6"/>
        <v>0.18640000000000001</v>
      </c>
      <c r="M67" s="209">
        <f t="shared" si="6"/>
        <v>0.16739999999999999</v>
      </c>
      <c r="N67" s="256">
        <f t="shared" si="7"/>
        <v>-193810</v>
      </c>
      <c r="O67" s="256">
        <f t="shared" si="7"/>
        <v>93703</v>
      </c>
      <c r="P67" s="210"/>
    </row>
    <row r="68" spans="1:71" x14ac:dyDescent="0.25">
      <c r="A68" s="204">
        <v>4</v>
      </c>
      <c r="B68" s="205">
        <f>HLOOKUP(B$64*10+$A68,$81:$82,2,FALSE)</f>
        <v>3.91</v>
      </c>
      <c r="C68" s="205">
        <f>HLOOKUP(C$64*10+$A68,$81:$82,2,FALSE)</f>
        <v>4.1500000000000004</v>
      </c>
      <c r="D68" s="205">
        <f>HLOOKUP(D$64*10+$A68,$81:$82,2,FALSE)</f>
        <v>3.1</v>
      </c>
      <c r="E68" s="206">
        <f>IF(ISNA(HLOOKUP(E$64*10+$A68,$81:$82,2,FALSE)),D68*(1-$N68)*#REF!*(1+$B$25)/(1+$E$4),HLOOKUP(E$64*10+$A68,$81:$82,2,FALSE))</f>
        <v>3.8</v>
      </c>
      <c r="F68" s="206">
        <f>IF(ISNA(HLOOKUP(F$64*10+$A68,$81:$82,2,FALSE)),(HLOOKUP(E$64*10+$A68,$87:$94,4,FALSE)*$G68+$B$25)/HLOOKUP(E$64*10+$A68,$87:$94,5,FALSE)*$E68,HLOOKUP(F$64*10+$A68,$81:$82,2,FALSE))</f>
        <v>4.2182676541943387</v>
      </c>
      <c r="G68" s="101">
        <f>MIN(130%,SUM($B$57:$D$57)/SUM($B$58:$D$58)*$G$69/HLOOKUP(E$64*10+$A68,$145:$146,2,FALSE))</f>
        <v>1.2911313278539551</v>
      </c>
      <c r="H68" s="204">
        <v>4</v>
      </c>
      <c r="I68" s="208">
        <f t="shared" si="6"/>
        <v>0.14749999999999999</v>
      </c>
      <c r="J68" s="208">
        <f t="shared" si="6"/>
        <v>0.21340000000000001</v>
      </c>
      <c r="K68" s="208">
        <f t="shared" si="6"/>
        <v>0.17519999999999999</v>
      </c>
      <c r="L68" s="208">
        <f t="shared" si="6"/>
        <v>0.17</v>
      </c>
      <c r="M68" s="209" t="str">
        <f t="shared" si="6"/>
        <v/>
      </c>
      <c r="N68" s="256">
        <f t="shared" si="7"/>
        <v>211153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9.7899999999999991</v>
      </c>
      <c r="C69" s="213">
        <f>SUM(C65:C68)</f>
        <v>6.8100000000000005</v>
      </c>
      <c r="D69" s="213">
        <f>SUM(D65:D68)</f>
        <v>11.219999999999999</v>
      </c>
      <c r="E69" s="213">
        <f>SUM(E65:E68)</f>
        <v>8.5500000000000007</v>
      </c>
      <c r="F69" s="213">
        <f>SUM(F65:F68)</f>
        <v>9.8382676541943397</v>
      </c>
      <c r="G69" s="257">
        <f>_xlfn.FORECAST.ETS(23,B146:W146,{1,2,3,4,5,6,7,8,9,10,11,12,13,14,15,16,17,18,19,20,21,22})</f>
        <v>23.660959940918136</v>
      </c>
      <c r="H69" s="214" t="s">
        <v>19</v>
      </c>
      <c r="I69" s="215">
        <f>HLOOKUP(I64,151:155,3,FALSE)/100</f>
        <v>0.15060000000000001</v>
      </c>
      <c r="J69" s="215">
        <f>HLOOKUP(J64,151:155,3,FALSE)/100</f>
        <v>0.13639999999999999</v>
      </c>
      <c r="K69" s="215">
        <f>HLOOKUP(K64,151:155,3,FALSE)/100</f>
        <v>0.188</v>
      </c>
      <c r="L69" s="215">
        <f>IF(ISNA(HLOOKUP(L64,151:155,3,FALSE)/100),AVERAGE(L65:L68),HLOOKUP(L64,151:155,3,FALSE)/100)</f>
        <v>0.1598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5.78</v>
      </c>
      <c r="C72" s="205">
        <f t="shared" si="8"/>
        <v>2.2400000000000002</v>
      </c>
      <c r="D72" s="205">
        <f t="shared" si="8"/>
        <v>7.53</v>
      </c>
      <c r="E72" s="205">
        <f t="shared" si="8"/>
        <v>2.88</v>
      </c>
      <c r="F72" s="205">
        <f t="shared" si="8"/>
        <v>1.55</v>
      </c>
    </row>
    <row r="73" spans="1:71" s="135" customFormat="1" x14ac:dyDescent="0.25">
      <c r="A73" s="204">
        <v>2</v>
      </c>
      <c r="B73" s="205">
        <f t="shared" si="8"/>
        <v>2.97</v>
      </c>
      <c r="C73" s="205">
        <f t="shared" si="8"/>
        <v>0.28999999999999998</v>
      </c>
      <c r="D73" s="205">
        <f t="shared" si="8"/>
        <v>3.31</v>
      </c>
      <c r="E73" s="205">
        <f t="shared" si="8"/>
        <v>0.76</v>
      </c>
      <c r="F73" s="205">
        <f t="shared" si="8"/>
        <v>2.33</v>
      </c>
    </row>
    <row r="74" spans="1:71" s="135" customFormat="1" x14ac:dyDescent="0.25">
      <c r="A74" s="204">
        <v>3</v>
      </c>
      <c r="B74" s="205">
        <f t="shared" si="8"/>
        <v>8.0299999999999994</v>
      </c>
      <c r="C74" s="205">
        <f t="shared" si="8"/>
        <v>4.4800000000000004</v>
      </c>
      <c r="D74" s="205">
        <f t="shared" si="8"/>
        <v>6.94</v>
      </c>
      <c r="E74" s="205">
        <f t="shared" si="8"/>
        <v>5.37</v>
      </c>
      <c r="F74" s="205">
        <f t="shared" si="8"/>
        <v>6.61</v>
      </c>
    </row>
    <row r="75" spans="1:71" s="135" customFormat="1" x14ac:dyDescent="0.25">
      <c r="A75" s="204">
        <v>4</v>
      </c>
      <c r="B75" s="205">
        <f t="shared" si="8"/>
        <v>10.15</v>
      </c>
      <c r="C75" s="205">
        <f t="shared" si="8"/>
        <v>10.64</v>
      </c>
      <c r="D75" s="205">
        <f t="shared" si="8"/>
        <v>5.38</v>
      </c>
      <c r="E75" s="205">
        <f t="shared" si="8"/>
        <v>6.96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26.93</v>
      </c>
      <c r="C76" s="213">
        <f>SUM(C72:C75)</f>
        <v>17.650000000000002</v>
      </c>
      <c r="D76" s="213">
        <f>SUM(D72:D75)</f>
        <v>23.16</v>
      </c>
      <c r="E76" s="213">
        <f>AVERAGE(E72:E75)*4</f>
        <v>15.969999999999999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928779</v>
      </c>
      <c r="C79" s="270">
        <v>931264</v>
      </c>
      <c r="D79" s="270">
        <v>738019</v>
      </c>
      <c r="E79" s="270">
        <v>607128</v>
      </c>
      <c r="F79" s="270">
        <v>604720</v>
      </c>
      <c r="G79" s="270">
        <v>580243</v>
      </c>
      <c r="H79" s="270">
        <v>748386</v>
      </c>
      <c r="I79" s="270">
        <v>840208</v>
      </c>
      <c r="J79" s="270">
        <v>1143828</v>
      </c>
      <c r="K79" s="270">
        <v>1179839</v>
      </c>
      <c r="L79" s="270">
        <v>1437694</v>
      </c>
      <c r="M79" s="270">
        <v>1338860</v>
      </c>
      <c r="N79" s="270">
        <v>1201033</v>
      </c>
      <c r="O79" s="270">
        <v>510264</v>
      </c>
      <c r="P79" s="270">
        <v>641368</v>
      </c>
      <c r="Q79" s="270">
        <v>683570</v>
      </c>
      <c r="R79" s="270">
        <v>903794</v>
      </c>
      <c r="S79" s="270">
        <v>601861</v>
      </c>
      <c r="T79" s="270">
        <v>1000814</v>
      </c>
      <c r="U79" s="270">
        <v>1388229</v>
      </c>
      <c r="V79" s="270">
        <v>1592840</v>
      </c>
      <c r="W79" s="270">
        <v>1806728</v>
      </c>
      <c r="X79" s="270">
        <v>1820866</v>
      </c>
      <c r="Y79" s="270">
        <v>1453846</v>
      </c>
      <c r="Z79" s="270">
        <v>1084967</v>
      </c>
      <c r="AA79" s="270">
        <v>597239</v>
      </c>
      <c r="AB79" s="270">
        <v>828556</v>
      </c>
      <c r="AC79" s="270">
        <v>607055</v>
      </c>
      <c r="AD79" s="270">
        <v>708991</v>
      </c>
      <c r="AE79" s="270">
        <v>780774</v>
      </c>
      <c r="AF79" s="270">
        <v>820008</v>
      </c>
      <c r="AG79" s="270">
        <v>1020464</v>
      </c>
      <c r="AH79" s="270">
        <v>1310016</v>
      </c>
      <c r="AI79" s="270">
        <v>1537245</v>
      </c>
      <c r="AJ79" s="270">
        <v>1874017</v>
      </c>
      <c r="AK79" s="270">
        <v>1902452</v>
      </c>
      <c r="AL79" s="270">
        <v>1742135</v>
      </c>
      <c r="AM79" s="270">
        <v>957553</v>
      </c>
      <c r="AN79" s="270">
        <v>1331068</v>
      </c>
      <c r="AO79" s="270">
        <v>1353520</v>
      </c>
      <c r="AP79" s="270">
        <v>1409772</v>
      </c>
      <c r="AQ79" s="270">
        <v>1427431</v>
      </c>
      <c r="AR79" s="270">
        <v>1022582</v>
      </c>
      <c r="AS79" s="270">
        <v>1429978</v>
      </c>
      <c r="AT79" s="270">
        <v>2115938</v>
      </c>
      <c r="AU79" s="270">
        <v>2412604</v>
      </c>
      <c r="AV79" s="270">
        <v>1877859</v>
      </c>
      <c r="AW79" s="270">
        <v>1019887</v>
      </c>
      <c r="AX79" s="270">
        <v>1641462</v>
      </c>
      <c r="AY79" s="270">
        <v>883703</v>
      </c>
      <c r="AZ79" s="270">
        <v>1226016</v>
      </c>
      <c r="BA79" s="270">
        <v>1167164</v>
      </c>
      <c r="BB79" s="270">
        <v>1074387</v>
      </c>
      <c r="BC79" s="270">
        <v>1214876</v>
      </c>
      <c r="BD79" s="270">
        <v>1557524</v>
      </c>
      <c r="BE79" s="270">
        <v>2039498</v>
      </c>
      <c r="BF79" s="270">
        <v>2126671</v>
      </c>
      <c r="BG79" s="270">
        <v>2452838</v>
      </c>
      <c r="BH79" s="270">
        <v>1811779</v>
      </c>
      <c r="BI79" s="270">
        <v>1900364</v>
      </c>
      <c r="BJ79" s="270">
        <v>1754278</v>
      </c>
      <c r="BK79" s="270">
        <v>1325324</v>
      </c>
      <c r="BL79" s="270">
        <v>1201002</v>
      </c>
      <c r="BM79" s="270">
        <v>1074701</v>
      </c>
      <c r="BN79" s="270">
        <v>1127375</v>
      </c>
      <c r="BO79" s="270">
        <v>1501438</v>
      </c>
      <c r="BP79" s="270">
        <v>1733678</v>
      </c>
      <c r="BQ79" s="270">
        <v>2353159</v>
      </c>
      <c r="BR79" s="270">
        <v>3030360</v>
      </c>
      <c r="BS79" s="270">
        <v>3151306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2.34</v>
      </c>
      <c r="C82" s="72">
        <v>1.35</v>
      </c>
      <c r="D82" s="72">
        <v>2.52</v>
      </c>
      <c r="E82" s="72">
        <v>3.26</v>
      </c>
      <c r="F82" s="72">
        <v>2.02</v>
      </c>
      <c r="G82" s="72">
        <v>1.06</v>
      </c>
      <c r="H82" s="72">
        <v>2.8</v>
      </c>
      <c r="I82" s="72">
        <v>3.91</v>
      </c>
      <c r="J82" s="72">
        <v>0.92</v>
      </c>
      <c r="K82" s="72">
        <v>0.12</v>
      </c>
      <c r="L82" s="72">
        <v>1.62</v>
      </c>
      <c r="M82" s="72">
        <v>4.1500000000000004</v>
      </c>
      <c r="N82" s="72">
        <v>3.28</v>
      </c>
      <c r="O82" s="72">
        <v>1.5</v>
      </c>
      <c r="P82" s="72">
        <v>3.34</v>
      </c>
      <c r="Q82" s="72">
        <v>3.1</v>
      </c>
      <c r="R82" s="72">
        <v>1.63</v>
      </c>
      <c r="S82" s="72">
        <v>0.41</v>
      </c>
      <c r="T82" s="72">
        <v>2.71</v>
      </c>
      <c r="U82" s="72">
        <v>3.8</v>
      </c>
      <c r="V82" s="72">
        <v>0.87</v>
      </c>
      <c r="W82" s="72">
        <v>1.27</v>
      </c>
      <c r="X82" s="72">
        <v>3.48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29.33</v>
      </c>
      <c r="C85" s="72">
        <v>28.89</v>
      </c>
      <c r="D85" s="72">
        <v>30.35</v>
      </c>
      <c r="E85" s="72">
        <v>33.840000000000003</v>
      </c>
      <c r="F85" s="72">
        <v>35.880000000000003</v>
      </c>
      <c r="G85" s="72">
        <v>35.14</v>
      </c>
      <c r="H85" s="72">
        <v>36.200000000000003</v>
      </c>
      <c r="I85" s="72">
        <v>40.33</v>
      </c>
      <c r="J85" s="72">
        <v>41.38</v>
      </c>
      <c r="K85" s="72">
        <v>38.65</v>
      </c>
      <c r="L85" s="72">
        <v>37.18</v>
      </c>
      <c r="M85" s="72">
        <v>41.47</v>
      </c>
      <c r="N85" s="72">
        <v>45.5</v>
      </c>
      <c r="O85" s="72">
        <v>47.92</v>
      </c>
      <c r="P85" s="72">
        <v>52.52</v>
      </c>
      <c r="Q85" s="72">
        <v>55.59</v>
      </c>
      <c r="R85" s="72">
        <v>55.64</v>
      </c>
      <c r="S85" s="72">
        <v>51.44</v>
      </c>
      <c r="T85" s="72">
        <v>51.52</v>
      </c>
      <c r="U85" s="72">
        <v>55.56</v>
      </c>
      <c r="V85" s="72">
        <v>55.91</v>
      </c>
      <c r="W85" s="72">
        <v>53.16</v>
      </c>
      <c r="X85" s="72">
        <v>54.57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2597289</v>
      </c>
      <c r="C88" s="273">
        <v>1799680</v>
      </c>
      <c r="D88" s="273">
        <v>2725606</v>
      </c>
      <c r="E88" s="273">
        <v>3956393</v>
      </c>
      <c r="F88" s="273">
        <v>2352665</v>
      </c>
      <c r="G88" s="273">
        <v>2189224</v>
      </c>
      <c r="H88" s="273">
        <v>3981884</v>
      </c>
      <c r="I88" s="273">
        <v>5081438</v>
      </c>
      <c r="J88" s="273">
        <v>2510762</v>
      </c>
      <c r="K88" s="273">
        <v>2096820</v>
      </c>
      <c r="L88" s="273">
        <v>3150487</v>
      </c>
      <c r="M88" s="273">
        <v>5313714</v>
      </c>
      <c r="N88" s="273">
        <v>4030756</v>
      </c>
      <c r="O88" s="273">
        <v>4190723</v>
      </c>
      <c r="P88" s="273">
        <v>4568498</v>
      </c>
      <c r="Q88" s="273">
        <v>5310350</v>
      </c>
      <c r="R88" s="273">
        <v>3751182</v>
      </c>
      <c r="S88" s="273">
        <v>3456426</v>
      </c>
      <c r="T88" s="273">
        <v>5723694</v>
      </c>
      <c r="U88" s="273">
        <v>6164981</v>
      </c>
      <c r="V88" s="273">
        <v>4280605</v>
      </c>
      <c r="W88" s="273">
        <v>3703513</v>
      </c>
      <c r="X88" s="273">
        <v>7117197</v>
      </c>
    </row>
    <row r="89" spans="1:25" ht="14.25" thickBot="1" x14ac:dyDescent="0.3">
      <c r="A89" s="250" t="s">
        <v>4</v>
      </c>
      <c r="B89" s="275">
        <v>744051</v>
      </c>
      <c r="C89" s="275">
        <v>396550</v>
      </c>
      <c r="D89" s="275">
        <v>787222</v>
      </c>
      <c r="E89" s="275">
        <v>1074069</v>
      </c>
      <c r="F89" s="275">
        <v>592036</v>
      </c>
      <c r="G89" s="275">
        <v>536668</v>
      </c>
      <c r="H89" s="275">
        <v>999785</v>
      </c>
      <c r="I89" s="275">
        <v>1099040</v>
      </c>
      <c r="J89" s="275">
        <v>311959</v>
      </c>
      <c r="K89" s="275">
        <v>421966</v>
      </c>
      <c r="L89" s="275">
        <v>694708</v>
      </c>
      <c r="M89" s="275">
        <v>1464349</v>
      </c>
      <c r="N89" s="275">
        <v>1135241</v>
      </c>
      <c r="O89" s="275">
        <v>1184828</v>
      </c>
      <c r="P89" s="275">
        <v>1145850</v>
      </c>
      <c r="Q89" s="275">
        <v>1340030</v>
      </c>
      <c r="R89" s="275">
        <v>924907</v>
      </c>
      <c r="S89" s="275">
        <v>718958</v>
      </c>
      <c r="T89" s="275">
        <v>1438558</v>
      </c>
      <c r="U89" s="275">
        <v>1456959</v>
      </c>
      <c r="V89" s="275">
        <v>985281</v>
      </c>
      <c r="W89" s="275">
        <v>900208</v>
      </c>
      <c r="X89" s="275">
        <v>1639407</v>
      </c>
    </row>
    <row r="90" spans="1:25" ht="14.25" thickBot="1" x14ac:dyDescent="0.3">
      <c r="A90" s="251" t="s">
        <v>5</v>
      </c>
      <c r="B90" s="273">
        <v>514254</v>
      </c>
      <c r="C90" s="273">
        <v>158582</v>
      </c>
      <c r="D90" s="273">
        <v>547624</v>
      </c>
      <c r="E90" s="273">
        <v>787963</v>
      </c>
      <c r="F90" s="273">
        <v>360732</v>
      </c>
      <c r="G90" s="273">
        <v>241189</v>
      </c>
      <c r="H90" s="273">
        <v>697613</v>
      </c>
      <c r="I90" s="273">
        <v>749402</v>
      </c>
      <c r="J90" s="273">
        <v>53555</v>
      </c>
      <c r="K90" s="273">
        <v>190965</v>
      </c>
      <c r="L90" s="273">
        <v>405423</v>
      </c>
      <c r="M90" s="273">
        <v>1134023</v>
      </c>
      <c r="N90" s="273">
        <v>801448</v>
      </c>
      <c r="O90" s="273">
        <v>858909</v>
      </c>
      <c r="P90" s="273">
        <v>812953</v>
      </c>
      <c r="Q90" s="273">
        <v>930331</v>
      </c>
      <c r="R90" s="273">
        <v>603706</v>
      </c>
      <c r="S90" s="273">
        <v>334095</v>
      </c>
      <c r="T90" s="273">
        <v>1066803</v>
      </c>
      <c r="U90" s="273">
        <v>1047747</v>
      </c>
      <c r="V90" s="273">
        <v>643592</v>
      </c>
      <c r="W90" s="273">
        <v>483809</v>
      </c>
      <c r="X90" s="273">
        <v>1191677</v>
      </c>
    </row>
    <row r="91" spans="1:25" ht="14.25" thickBot="1" x14ac:dyDescent="0.3">
      <c r="A91" s="250" t="s">
        <v>6</v>
      </c>
      <c r="B91" s="275">
        <v>506899</v>
      </c>
      <c r="C91" s="275">
        <v>327214</v>
      </c>
      <c r="D91" s="275">
        <v>568877</v>
      </c>
      <c r="E91" s="275">
        <v>850299</v>
      </c>
      <c r="F91" s="275">
        <v>471506</v>
      </c>
      <c r="G91" s="275">
        <v>328482</v>
      </c>
      <c r="H91" s="275">
        <v>703108</v>
      </c>
      <c r="I91" s="275">
        <v>1009339</v>
      </c>
      <c r="J91" s="275">
        <v>206367</v>
      </c>
      <c r="K91" s="275">
        <v>119249</v>
      </c>
      <c r="L91" s="275">
        <v>472964</v>
      </c>
      <c r="M91" s="275">
        <v>1260177</v>
      </c>
      <c r="N91" s="275">
        <v>872716</v>
      </c>
      <c r="O91" s="275">
        <v>656882</v>
      </c>
      <c r="P91" s="275">
        <v>1146423</v>
      </c>
      <c r="Q91" s="275">
        <v>987115</v>
      </c>
      <c r="R91" s="275">
        <v>508075</v>
      </c>
      <c r="S91" s="275">
        <v>319782</v>
      </c>
      <c r="T91" s="275">
        <v>872993</v>
      </c>
      <c r="U91" s="275">
        <v>1258900</v>
      </c>
      <c r="V91" s="275">
        <v>356545</v>
      </c>
      <c r="W91" s="275">
        <v>554943</v>
      </c>
      <c r="X91" s="275">
        <v>1285380</v>
      </c>
    </row>
    <row r="92" spans="1:25" ht="14.25" thickBot="1" x14ac:dyDescent="0.3">
      <c r="A92" s="251" t="s">
        <v>7</v>
      </c>
      <c r="B92" s="273">
        <v>409230</v>
      </c>
      <c r="C92" s="273">
        <v>237183</v>
      </c>
      <c r="D92" s="273">
        <v>467481</v>
      </c>
      <c r="E92" s="273">
        <v>606324</v>
      </c>
      <c r="F92" s="273">
        <v>382505</v>
      </c>
      <c r="G92" s="273">
        <v>201163</v>
      </c>
      <c r="H92" s="273">
        <v>562540</v>
      </c>
      <c r="I92" s="273">
        <v>781590</v>
      </c>
      <c r="J92" s="273">
        <v>184725</v>
      </c>
      <c r="K92" s="273">
        <v>23554</v>
      </c>
      <c r="L92" s="273">
        <v>359579</v>
      </c>
      <c r="M92" s="273">
        <v>919028</v>
      </c>
      <c r="N92" s="273">
        <v>711746</v>
      </c>
      <c r="O92" s="273">
        <v>359309</v>
      </c>
      <c r="P92" s="273">
        <v>899124</v>
      </c>
      <c r="Q92" s="273">
        <v>788600</v>
      </c>
      <c r="R92" s="273">
        <v>421845</v>
      </c>
      <c r="S92" s="273">
        <v>103306</v>
      </c>
      <c r="T92" s="273">
        <v>724388</v>
      </c>
      <c r="U92" s="273">
        <v>1025641</v>
      </c>
      <c r="V92" s="273">
        <v>244552</v>
      </c>
      <c r="W92" s="273">
        <v>366300</v>
      </c>
      <c r="X92" s="273">
        <v>1069960</v>
      </c>
    </row>
    <row r="93" spans="1:25" ht="26.25" thickBot="1" x14ac:dyDescent="0.3">
      <c r="A93" s="252" t="s">
        <v>8</v>
      </c>
      <c r="B93" s="276">
        <v>409230</v>
      </c>
      <c r="C93" s="276">
        <v>237183</v>
      </c>
      <c r="D93" s="276">
        <v>467481</v>
      </c>
      <c r="E93" s="276">
        <v>606324</v>
      </c>
      <c r="F93" s="276">
        <v>382505</v>
      </c>
      <c r="G93" s="276">
        <v>201163</v>
      </c>
      <c r="H93" s="276">
        <v>562540</v>
      </c>
      <c r="I93" s="276">
        <v>781590</v>
      </c>
      <c r="J93" s="276">
        <v>184725</v>
      </c>
      <c r="K93" s="276">
        <v>23554</v>
      </c>
      <c r="L93" s="276">
        <v>359579</v>
      </c>
      <c r="M93" s="276">
        <v>919028</v>
      </c>
      <c r="N93" s="276">
        <v>711746</v>
      </c>
      <c r="O93" s="276">
        <v>359309</v>
      </c>
      <c r="P93" s="276">
        <v>899124</v>
      </c>
      <c r="Q93" s="276">
        <v>788600</v>
      </c>
      <c r="R93" s="276">
        <v>421845</v>
      </c>
      <c r="S93" s="276">
        <v>103306</v>
      </c>
      <c r="T93" s="276">
        <v>724388</v>
      </c>
      <c r="U93" s="276">
        <v>1025641</v>
      </c>
      <c r="V93" s="276">
        <v>244552</v>
      </c>
      <c r="W93" s="276">
        <v>366300</v>
      </c>
      <c r="X93" s="276">
        <v>1069960</v>
      </c>
    </row>
    <row r="94" spans="1:25" x14ac:dyDescent="0.25">
      <c r="A94" s="233" t="s">
        <v>365</v>
      </c>
      <c r="B94" s="253">
        <f>IF(B91="","",B91-B90)</f>
        <v>-7355</v>
      </c>
      <c r="C94" s="253">
        <f>IF(C91="","",C91-C90)</f>
        <v>168632</v>
      </c>
      <c r="D94" s="253">
        <f t="shared" ref="D94:Y94" si="9">IF(D91="","",D91-D90)</f>
        <v>21253</v>
      </c>
      <c r="E94" s="253">
        <f t="shared" si="9"/>
        <v>62336</v>
      </c>
      <c r="F94" s="253">
        <f t="shared" si="9"/>
        <v>110774</v>
      </c>
      <c r="G94" s="253">
        <f t="shared" si="9"/>
        <v>87293</v>
      </c>
      <c r="H94" s="253">
        <f t="shared" si="9"/>
        <v>5495</v>
      </c>
      <c r="I94" s="253">
        <f t="shared" si="9"/>
        <v>259937</v>
      </c>
      <c r="J94" s="253">
        <f t="shared" si="9"/>
        <v>152812</v>
      </c>
      <c r="K94" s="253">
        <f t="shared" si="9"/>
        <v>-71716</v>
      </c>
      <c r="L94" s="253">
        <f t="shared" si="9"/>
        <v>67541</v>
      </c>
      <c r="M94" s="253">
        <f t="shared" si="9"/>
        <v>126154</v>
      </c>
      <c r="N94" s="253">
        <f t="shared" si="9"/>
        <v>71268</v>
      </c>
      <c r="O94" s="253">
        <f t="shared" si="9"/>
        <v>-202027</v>
      </c>
      <c r="P94" s="253">
        <f t="shared" si="9"/>
        <v>333470</v>
      </c>
      <c r="Q94" s="253">
        <f t="shared" si="9"/>
        <v>56784</v>
      </c>
      <c r="R94" s="253">
        <f t="shared" si="9"/>
        <v>-95631</v>
      </c>
      <c r="S94" s="253">
        <f t="shared" si="9"/>
        <v>-14313</v>
      </c>
      <c r="T94" s="253">
        <f t="shared" si="9"/>
        <v>-193810</v>
      </c>
      <c r="U94" s="253">
        <f t="shared" si="9"/>
        <v>211153</v>
      </c>
      <c r="V94" s="253">
        <f t="shared" si="9"/>
        <v>-287047</v>
      </c>
      <c r="W94" s="253">
        <f t="shared" si="9"/>
        <v>71134</v>
      </c>
      <c r="X94" s="253">
        <f t="shared" si="9"/>
        <v>93703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11078968</v>
      </c>
      <c r="C97" s="273">
        <v>13605211</v>
      </c>
      <c r="D97" s="273">
        <v>13071783</v>
      </c>
      <c r="E97" s="273">
        <v>18100327</v>
      </c>
      <c r="F97" s="273">
        <v>19096283</v>
      </c>
    </row>
    <row r="98" spans="1:24" ht="14.25" thickBot="1" x14ac:dyDescent="0.3">
      <c r="A98" s="225" t="s">
        <v>4</v>
      </c>
      <c r="B98" s="275">
        <v>3001892</v>
      </c>
      <c r="C98" s="275">
        <v>3227529</v>
      </c>
      <c r="D98" s="275">
        <v>2892982</v>
      </c>
      <c r="E98" s="275">
        <v>4805949</v>
      </c>
      <c r="F98" s="275">
        <v>4539382</v>
      </c>
    </row>
    <row r="99" spans="1:24" ht="14.25" thickBot="1" x14ac:dyDescent="0.3">
      <c r="A99" s="224" t="s">
        <v>5</v>
      </c>
      <c r="B99" s="273">
        <v>2008423</v>
      </c>
      <c r="C99" s="273">
        <v>2048936</v>
      </c>
      <c r="D99" s="273">
        <v>1783605</v>
      </c>
      <c r="E99" s="273">
        <v>3403641</v>
      </c>
      <c r="F99" s="273">
        <v>3052351</v>
      </c>
    </row>
    <row r="100" spans="1:24" ht="14.25" thickBot="1" x14ac:dyDescent="0.3">
      <c r="A100" s="225" t="s">
        <v>6</v>
      </c>
      <c r="B100" s="275">
        <v>2253289</v>
      </c>
      <c r="C100" s="275">
        <v>2512435</v>
      </c>
      <c r="D100" s="275">
        <v>2058396</v>
      </c>
      <c r="E100" s="275">
        <v>3663136</v>
      </c>
      <c r="F100" s="275">
        <v>2959750</v>
      </c>
    </row>
    <row r="101" spans="1:24" ht="14.25" thickBot="1" x14ac:dyDescent="0.3">
      <c r="A101" s="224" t="s">
        <v>7</v>
      </c>
      <c r="B101" s="273">
        <v>1720218</v>
      </c>
      <c r="C101" s="273">
        <v>1927798</v>
      </c>
      <c r="D101" s="273">
        <v>1486525</v>
      </c>
      <c r="E101" s="273">
        <v>2758779</v>
      </c>
      <c r="F101" s="273">
        <v>2275180</v>
      </c>
    </row>
    <row r="102" spans="1:24" ht="14.25" thickBot="1" x14ac:dyDescent="0.3">
      <c r="A102" s="227" t="s">
        <v>8</v>
      </c>
      <c r="B102" s="276">
        <v>1720218</v>
      </c>
      <c r="C102" s="276">
        <v>1927798</v>
      </c>
      <c r="D102" s="276">
        <v>1486525</v>
      </c>
      <c r="E102" s="276">
        <v>2758779</v>
      </c>
      <c r="F102" s="276">
        <v>2275180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2746875</v>
      </c>
      <c r="C106" s="273">
        <v>2984196</v>
      </c>
      <c r="D106" s="273">
        <v>3939373</v>
      </c>
      <c r="E106" s="273">
        <v>2808298</v>
      </c>
      <c r="F106" s="273">
        <v>1878702</v>
      </c>
      <c r="G106" s="273">
        <v>2325816</v>
      </c>
      <c r="H106" s="273">
        <v>4705899</v>
      </c>
      <c r="I106" s="273">
        <v>2090770</v>
      </c>
      <c r="J106" s="273">
        <v>4096497</v>
      </c>
      <c r="K106" s="273">
        <v>5119669</v>
      </c>
      <c r="L106" s="273">
        <v>5707603</v>
      </c>
      <c r="M106" s="273">
        <v>5799318</v>
      </c>
      <c r="N106" s="273">
        <v>6724491</v>
      </c>
      <c r="O106" s="273">
        <v>5015582</v>
      </c>
      <c r="P106" s="273">
        <v>6988406</v>
      </c>
      <c r="Q106" s="273">
        <v>9599669</v>
      </c>
      <c r="R106" s="273">
        <v>8885141</v>
      </c>
      <c r="S106" s="273">
        <v>10627296</v>
      </c>
      <c r="T106" s="273">
        <v>9855924</v>
      </c>
      <c r="U106" s="273">
        <v>8744645</v>
      </c>
      <c r="V106" s="273">
        <v>8206722</v>
      </c>
      <c r="W106" s="273">
        <v>8449159</v>
      </c>
      <c r="X106" s="273">
        <v>5547114</v>
      </c>
    </row>
    <row r="107" spans="1:24" ht="14.25" thickBot="1" x14ac:dyDescent="0.3">
      <c r="A107" s="225" t="s">
        <v>22</v>
      </c>
      <c r="B107" s="275">
        <v>14887</v>
      </c>
      <c r="C107" s="275">
        <v>15811</v>
      </c>
      <c r="D107" s="275">
        <v>19220</v>
      </c>
      <c r="E107" s="275">
        <v>696687</v>
      </c>
      <c r="F107" s="275">
        <v>1076903</v>
      </c>
      <c r="G107" s="275">
        <v>1091372</v>
      </c>
      <c r="H107" s="275">
        <v>1126576</v>
      </c>
      <c r="I107" s="275">
        <v>2557112</v>
      </c>
      <c r="J107" s="275">
        <v>1608761</v>
      </c>
      <c r="K107" s="275">
        <v>1103372</v>
      </c>
      <c r="L107" s="275">
        <v>1143473</v>
      </c>
      <c r="M107" s="275">
        <v>1087332</v>
      </c>
      <c r="N107" s="275">
        <v>1512724</v>
      </c>
      <c r="O107" s="275">
        <v>3237853</v>
      </c>
      <c r="P107" s="275">
        <v>1351847</v>
      </c>
      <c r="Q107" s="275">
        <v>529164</v>
      </c>
      <c r="R107" s="275">
        <v>32180</v>
      </c>
      <c r="S107" s="275">
        <v>29289</v>
      </c>
      <c r="T107" s="275">
        <v>45296</v>
      </c>
      <c r="U107" s="275">
        <v>39804</v>
      </c>
      <c r="V107" s="275">
        <v>34217</v>
      </c>
      <c r="W107" s="275">
        <v>32165</v>
      </c>
      <c r="X107" s="275">
        <v>1161534</v>
      </c>
    </row>
    <row r="108" spans="1:24" ht="14.25" thickBot="1" x14ac:dyDescent="0.3">
      <c r="A108" s="224" t="s">
        <v>263</v>
      </c>
      <c r="B108" s="273">
        <v>2175919</v>
      </c>
      <c r="C108" s="273">
        <v>2067059</v>
      </c>
      <c r="D108" s="273">
        <v>2997829</v>
      </c>
      <c r="E108" s="273">
        <v>3781483</v>
      </c>
      <c r="F108" s="273">
        <v>2612054</v>
      </c>
      <c r="G108" s="273">
        <v>2393593</v>
      </c>
      <c r="H108" s="273">
        <v>3919063</v>
      </c>
      <c r="I108" s="273">
        <v>5378334</v>
      </c>
      <c r="J108" s="273">
        <v>2893153</v>
      </c>
      <c r="K108" s="273">
        <v>2309212</v>
      </c>
      <c r="L108" s="273">
        <v>2976810</v>
      </c>
      <c r="M108" s="273">
        <v>4290510</v>
      </c>
      <c r="N108" s="273">
        <v>2778786</v>
      </c>
      <c r="O108" s="273">
        <v>3266561</v>
      </c>
      <c r="P108" s="273">
        <v>4164982</v>
      </c>
      <c r="Q108" s="273">
        <v>3047014</v>
      </c>
      <c r="R108" s="273">
        <v>2521917</v>
      </c>
      <c r="S108" s="273">
        <v>2550176</v>
      </c>
      <c r="T108" s="273">
        <v>4152724</v>
      </c>
      <c r="U108" s="273">
        <v>4282276</v>
      </c>
      <c r="V108" s="273">
        <v>3088206</v>
      </c>
      <c r="W108" s="273">
        <v>3364425</v>
      </c>
      <c r="X108" s="273">
        <v>6361617</v>
      </c>
    </row>
    <row r="109" spans="1:24" ht="14.25" thickBot="1" x14ac:dyDescent="0.3">
      <c r="A109" s="225" t="s">
        <v>264</v>
      </c>
      <c r="B109" s="275">
        <v>801098</v>
      </c>
      <c r="C109" s="275">
        <v>822306</v>
      </c>
      <c r="D109" s="275">
        <v>1511794</v>
      </c>
      <c r="E109" s="275">
        <v>1414351</v>
      </c>
      <c r="F109" s="275">
        <v>1072979</v>
      </c>
      <c r="G109" s="275">
        <v>1069446</v>
      </c>
      <c r="H109" s="275">
        <v>2180090</v>
      </c>
      <c r="I109" s="275">
        <v>1705612</v>
      </c>
      <c r="J109" s="275">
        <v>1000022</v>
      </c>
      <c r="K109" s="275">
        <v>1371214</v>
      </c>
      <c r="L109" s="275">
        <v>2476816</v>
      </c>
      <c r="M109" s="275">
        <v>1793156</v>
      </c>
      <c r="N109" s="275">
        <v>1454809</v>
      </c>
      <c r="O109" s="275">
        <v>1372286</v>
      </c>
      <c r="P109" s="275">
        <v>2081509</v>
      </c>
      <c r="Q109" s="275">
        <v>1762934</v>
      </c>
      <c r="R109" s="275">
        <v>1418519</v>
      </c>
      <c r="S109" s="275">
        <v>1304803</v>
      </c>
      <c r="T109" s="275">
        <v>2272427</v>
      </c>
      <c r="U109" s="275">
        <v>2019017</v>
      </c>
      <c r="V109" s="275">
        <v>1769166</v>
      </c>
      <c r="W109" s="275">
        <v>2021839</v>
      </c>
      <c r="X109" s="275">
        <v>3974179</v>
      </c>
    </row>
    <row r="110" spans="1:24" ht="14.25" thickBot="1" x14ac:dyDescent="0.3">
      <c r="A110" s="224" t="s">
        <v>23</v>
      </c>
      <c r="B110" s="273">
        <v>844187</v>
      </c>
      <c r="C110" s="273">
        <v>379167</v>
      </c>
      <c r="D110" s="273">
        <v>501141</v>
      </c>
      <c r="E110" s="273">
        <v>1047989</v>
      </c>
      <c r="F110" s="273">
        <v>1735985</v>
      </c>
      <c r="G110" s="273">
        <v>1536068</v>
      </c>
      <c r="H110" s="273">
        <v>1468011</v>
      </c>
      <c r="I110" s="273">
        <v>1922871</v>
      </c>
      <c r="J110" s="273">
        <v>1553165</v>
      </c>
      <c r="K110" s="273">
        <v>942693</v>
      </c>
      <c r="L110" s="273">
        <v>712975</v>
      </c>
      <c r="M110" s="273">
        <v>958888</v>
      </c>
      <c r="N110" s="273">
        <v>976456</v>
      </c>
      <c r="O110" s="273">
        <v>1290498</v>
      </c>
      <c r="P110" s="273">
        <v>1176728</v>
      </c>
      <c r="Q110" s="273">
        <v>856788</v>
      </c>
      <c r="R110" s="273">
        <v>1177843</v>
      </c>
      <c r="S110" s="273">
        <v>703529</v>
      </c>
      <c r="T110" s="273">
        <v>906170</v>
      </c>
      <c r="U110" s="273">
        <v>2307615</v>
      </c>
      <c r="V110" s="273">
        <v>2846639</v>
      </c>
      <c r="W110" s="273">
        <v>2381676</v>
      </c>
      <c r="X110" s="273">
        <v>3339375</v>
      </c>
    </row>
    <row r="111" spans="1:24" ht="14.25" thickBot="1" x14ac:dyDescent="0.3">
      <c r="A111" s="225" t="s">
        <v>24</v>
      </c>
      <c r="B111" s="275">
        <v>6582966</v>
      </c>
      <c r="C111" s="275">
        <v>6268539</v>
      </c>
      <c r="D111" s="275">
        <v>8969357</v>
      </c>
      <c r="E111" s="275">
        <v>9748808</v>
      </c>
      <c r="F111" s="275">
        <v>8376623</v>
      </c>
      <c r="G111" s="275">
        <v>8416295</v>
      </c>
      <c r="H111" s="275">
        <v>13399639</v>
      </c>
      <c r="I111" s="275">
        <v>13654699</v>
      </c>
      <c r="J111" s="275">
        <v>11151598</v>
      </c>
      <c r="K111" s="275">
        <v>10846160</v>
      </c>
      <c r="L111" s="275">
        <v>13017677</v>
      </c>
      <c r="M111" s="275">
        <v>13929204</v>
      </c>
      <c r="N111" s="275">
        <v>13447266</v>
      </c>
      <c r="O111" s="275">
        <v>14182780</v>
      </c>
      <c r="P111" s="275">
        <v>15763472</v>
      </c>
      <c r="Q111" s="275">
        <v>15795569</v>
      </c>
      <c r="R111" s="275">
        <v>14035600</v>
      </c>
      <c r="S111" s="275">
        <v>15215093</v>
      </c>
      <c r="T111" s="275">
        <v>17232541</v>
      </c>
      <c r="U111" s="275">
        <v>17393357</v>
      </c>
      <c r="V111" s="275">
        <v>15944950</v>
      </c>
      <c r="W111" s="275">
        <v>16249264</v>
      </c>
      <c r="X111" s="275">
        <v>20383819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273">
        <v>138995</v>
      </c>
      <c r="T112" s="273">
        <v>189597</v>
      </c>
      <c r="U112" s="273">
        <v>174612</v>
      </c>
      <c r="V112" s="273">
        <v>212401</v>
      </c>
      <c r="W112" s="273">
        <v>170703</v>
      </c>
      <c r="X112" s="68">
        <v>0</v>
      </c>
    </row>
    <row r="113" spans="1:24" ht="14.25" thickBot="1" x14ac:dyDescent="0.3">
      <c r="A113" s="225" t="s">
        <v>26</v>
      </c>
      <c r="B113" s="275">
        <v>2190260</v>
      </c>
      <c r="C113" s="275">
        <v>2474051</v>
      </c>
      <c r="D113" s="275">
        <v>3324756</v>
      </c>
      <c r="E113" s="275">
        <v>3622505</v>
      </c>
      <c r="F113" s="275">
        <v>3678615</v>
      </c>
      <c r="G113" s="275">
        <v>4080158</v>
      </c>
      <c r="H113" s="275">
        <v>4631450</v>
      </c>
      <c r="I113" s="275">
        <v>5026625</v>
      </c>
      <c r="J113" s="275">
        <v>5347211</v>
      </c>
      <c r="K113" s="275">
        <v>5273915</v>
      </c>
      <c r="L113" s="275">
        <v>5198508</v>
      </c>
      <c r="M113" s="275">
        <v>5555217</v>
      </c>
      <c r="N113" s="275">
        <v>5342654</v>
      </c>
      <c r="O113" s="275">
        <v>5188486</v>
      </c>
      <c r="P113" s="275">
        <v>5502745</v>
      </c>
      <c r="Q113" s="275">
        <v>5383606</v>
      </c>
      <c r="R113" s="275">
        <v>5284145</v>
      </c>
      <c r="S113" s="275">
        <v>5156784</v>
      </c>
      <c r="T113" s="275">
        <v>5094596</v>
      </c>
      <c r="U113" s="275">
        <v>5017555</v>
      </c>
      <c r="V113" s="275">
        <v>4753269</v>
      </c>
      <c r="W113" s="275">
        <v>5573814</v>
      </c>
      <c r="X113" s="275">
        <v>5958083</v>
      </c>
    </row>
    <row r="114" spans="1:24" ht="14.25" thickBot="1" x14ac:dyDescent="0.3">
      <c r="A114" s="224" t="s">
        <v>27</v>
      </c>
      <c r="B114" s="273">
        <v>144029</v>
      </c>
      <c r="C114" s="273">
        <v>145338</v>
      </c>
      <c r="D114" s="273">
        <v>154093</v>
      </c>
      <c r="E114" s="273">
        <v>81538</v>
      </c>
      <c r="F114" s="273">
        <v>398885</v>
      </c>
      <c r="G114" s="273">
        <v>492291</v>
      </c>
      <c r="H114" s="273">
        <v>446125</v>
      </c>
      <c r="I114" s="273">
        <v>361861</v>
      </c>
      <c r="J114" s="273">
        <v>244873</v>
      </c>
      <c r="K114" s="273">
        <v>328314</v>
      </c>
      <c r="L114" s="273">
        <v>511335</v>
      </c>
      <c r="M114" s="273">
        <v>725718</v>
      </c>
      <c r="N114" s="273">
        <v>800364</v>
      </c>
      <c r="O114" s="273">
        <v>930465</v>
      </c>
      <c r="P114" s="273">
        <v>789821</v>
      </c>
      <c r="Q114" s="273">
        <v>746430</v>
      </c>
      <c r="R114" s="273">
        <v>707193</v>
      </c>
      <c r="S114" s="273">
        <v>758633</v>
      </c>
      <c r="T114" s="273">
        <v>1027026</v>
      </c>
      <c r="U114" s="273">
        <v>931041</v>
      </c>
      <c r="V114" s="273">
        <v>1070814</v>
      </c>
      <c r="W114" s="273">
        <v>529631</v>
      </c>
      <c r="X114" s="273">
        <v>536451</v>
      </c>
    </row>
    <row r="115" spans="1:24" ht="14.25" thickBot="1" x14ac:dyDescent="0.3">
      <c r="A115" s="225" t="s">
        <v>265</v>
      </c>
      <c r="B115" s="276">
        <v>8917255</v>
      </c>
      <c r="C115" s="276">
        <v>8887928</v>
      </c>
      <c r="D115" s="276">
        <v>12448206</v>
      </c>
      <c r="E115" s="276">
        <v>13452851</v>
      </c>
      <c r="F115" s="276">
        <v>12454123</v>
      </c>
      <c r="G115" s="276">
        <v>12988744</v>
      </c>
      <c r="H115" s="276">
        <v>18477214</v>
      </c>
      <c r="I115" s="276">
        <v>19043185</v>
      </c>
      <c r="J115" s="276">
        <v>16743682</v>
      </c>
      <c r="K115" s="276">
        <v>16448389</v>
      </c>
      <c r="L115" s="276">
        <v>18727520</v>
      </c>
      <c r="M115" s="276">
        <v>20210139</v>
      </c>
      <c r="N115" s="276">
        <v>19590284</v>
      </c>
      <c r="O115" s="276">
        <v>20301731</v>
      </c>
      <c r="P115" s="276">
        <v>22056038</v>
      </c>
      <c r="Q115" s="276">
        <v>21925605</v>
      </c>
      <c r="R115" s="276">
        <v>20026938</v>
      </c>
      <c r="S115" s="276">
        <v>21269505</v>
      </c>
      <c r="T115" s="276">
        <v>23543760</v>
      </c>
      <c r="U115" s="276">
        <v>23516565</v>
      </c>
      <c r="V115" s="276">
        <v>21981434</v>
      </c>
      <c r="W115" s="276">
        <v>22523412</v>
      </c>
      <c r="X115" s="276">
        <v>26878353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501618</v>
      </c>
      <c r="C118" s="273">
        <v>508080</v>
      </c>
      <c r="D118" s="273">
        <v>530434</v>
      </c>
      <c r="E118" s="273">
        <v>963442</v>
      </c>
      <c r="F118" s="273">
        <v>603255</v>
      </c>
      <c r="G118" s="273">
        <v>1125008</v>
      </c>
      <c r="H118" s="273">
        <v>534060</v>
      </c>
      <c r="I118" s="273">
        <v>473210</v>
      </c>
      <c r="J118" s="273">
        <v>421035</v>
      </c>
      <c r="K118" s="273">
        <v>1195241</v>
      </c>
      <c r="L118" s="273">
        <v>421441</v>
      </c>
      <c r="M118" s="273">
        <v>754865</v>
      </c>
      <c r="N118" s="273">
        <v>433324</v>
      </c>
      <c r="O118" s="273">
        <v>428765</v>
      </c>
      <c r="P118" s="273">
        <v>457492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1523761</v>
      </c>
      <c r="C120" s="273">
        <v>1457005</v>
      </c>
      <c r="D120" s="273">
        <v>2309575</v>
      </c>
      <c r="E120" s="273">
        <v>2228735</v>
      </c>
      <c r="F120" s="273">
        <v>1293189</v>
      </c>
      <c r="G120" s="273">
        <v>1179942</v>
      </c>
      <c r="H120" s="273">
        <v>2999244</v>
      </c>
      <c r="I120" s="273">
        <v>2889124</v>
      </c>
      <c r="J120" s="273">
        <v>1105573</v>
      </c>
      <c r="K120" s="273">
        <v>1359330</v>
      </c>
      <c r="L120" s="273">
        <v>2832176</v>
      </c>
      <c r="M120" s="273">
        <v>2796746</v>
      </c>
      <c r="N120" s="273">
        <v>2123481</v>
      </c>
      <c r="O120" s="273">
        <v>2218775</v>
      </c>
      <c r="P120" s="273">
        <v>3161091</v>
      </c>
      <c r="Q120" s="273">
        <v>2807949</v>
      </c>
      <c r="R120" s="273">
        <v>2139456</v>
      </c>
      <c r="S120" s="273">
        <v>1920400</v>
      </c>
      <c r="T120" s="273">
        <v>3857874</v>
      </c>
      <c r="U120" s="273">
        <v>3431568</v>
      </c>
      <c r="V120" s="273">
        <v>2202117</v>
      </c>
      <c r="W120" s="273">
        <v>2160363</v>
      </c>
      <c r="X120" s="273">
        <v>5939373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273">
        <v>22260</v>
      </c>
      <c r="D122" s="68">
        <v>0</v>
      </c>
      <c r="E122" s="68">
        <v>0</v>
      </c>
      <c r="F122" s="68">
        <v>0</v>
      </c>
      <c r="G122" s="68">
        <v>0</v>
      </c>
      <c r="H122" s="273">
        <v>1372944</v>
      </c>
      <c r="I122" s="273">
        <v>1392242</v>
      </c>
      <c r="J122" s="273">
        <v>1424764</v>
      </c>
      <c r="K122" s="273">
        <v>487364</v>
      </c>
      <c r="L122" s="273">
        <v>2856485</v>
      </c>
      <c r="M122" s="273">
        <v>2998041</v>
      </c>
      <c r="N122" s="273">
        <v>2989108</v>
      </c>
      <c r="O122" s="273">
        <v>1613748</v>
      </c>
      <c r="P122" s="273">
        <v>517105</v>
      </c>
      <c r="Q122" s="273">
        <v>515759</v>
      </c>
      <c r="R122" s="273">
        <v>506197</v>
      </c>
      <c r="S122" s="273">
        <v>509303</v>
      </c>
      <c r="T122" s="273">
        <v>532404</v>
      </c>
      <c r="U122" s="273">
        <v>240458</v>
      </c>
      <c r="V122" s="273">
        <v>74102</v>
      </c>
      <c r="W122" s="273">
        <v>12866</v>
      </c>
      <c r="X122" s="68">
        <v>0</v>
      </c>
    </row>
    <row r="123" spans="1:24" ht="14.25" thickBot="1" x14ac:dyDescent="0.3">
      <c r="A123" s="225" t="s">
        <v>31</v>
      </c>
      <c r="B123" s="275">
        <v>1542600</v>
      </c>
      <c r="C123" s="275">
        <v>1667451</v>
      </c>
      <c r="D123" s="275">
        <v>2452951</v>
      </c>
      <c r="E123" s="275">
        <v>2376945</v>
      </c>
      <c r="F123" s="275">
        <v>2206983</v>
      </c>
      <c r="G123" s="275">
        <v>2398687</v>
      </c>
      <c r="H123" s="275">
        <v>3397796</v>
      </c>
      <c r="I123" s="275">
        <v>3155291</v>
      </c>
      <c r="J123" s="275">
        <v>2389134</v>
      </c>
      <c r="K123" s="275">
        <v>2590317</v>
      </c>
      <c r="L123" s="275">
        <v>2194499</v>
      </c>
      <c r="M123" s="275">
        <v>2339083</v>
      </c>
      <c r="N123" s="275">
        <v>2035359</v>
      </c>
      <c r="O123" s="275">
        <v>2873181</v>
      </c>
      <c r="P123" s="275">
        <v>2653404</v>
      </c>
      <c r="Q123" s="275">
        <v>2242018</v>
      </c>
      <c r="R123" s="275">
        <v>2123683</v>
      </c>
      <c r="S123" s="275">
        <v>3103442</v>
      </c>
      <c r="T123" s="275">
        <v>3201971</v>
      </c>
      <c r="U123" s="275">
        <v>2230440</v>
      </c>
      <c r="V123" s="275">
        <v>2011031</v>
      </c>
      <c r="W123" s="275">
        <v>3435514</v>
      </c>
      <c r="X123" s="275">
        <v>2885803</v>
      </c>
    </row>
    <row r="124" spans="1:24" ht="14.25" thickBot="1" x14ac:dyDescent="0.3">
      <c r="A124" s="224" t="s">
        <v>268</v>
      </c>
      <c r="B124" s="273">
        <v>3567979</v>
      </c>
      <c r="C124" s="273">
        <v>3654796</v>
      </c>
      <c r="D124" s="273">
        <v>5292960</v>
      </c>
      <c r="E124" s="273">
        <v>5569122</v>
      </c>
      <c r="F124" s="273">
        <v>4103427</v>
      </c>
      <c r="G124" s="273">
        <v>4703637</v>
      </c>
      <c r="H124" s="273">
        <v>8304044</v>
      </c>
      <c r="I124" s="273">
        <v>7909867</v>
      </c>
      <c r="J124" s="273">
        <v>5340506</v>
      </c>
      <c r="K124" s="273">
        <v>5632252</v>
      </c>
      <c r="L124" s="273">
        <v>8304601</v>
      </c>
      <c r="M124" s="273">
        <v>8888735</v>
      </c>
      <c r="N124" s="273">
        <v>7581272</v>
      </c>
      <c r="O124" s="273">
        <v>7134469</v>
      </c>
      <c r="P124" s="273">
        <v>6789092</v>
      </c>
      <c r="Q124" s="273">
        <v>5565726</v>
      </c>
      <c r="R124" s="273">
        <v>4769336</v>
      </c>
      <c r="S124" s="273">
        <v>5533145</v>
      </c>
      <c r="T124" s="273">
        <v>7592249</v>
      </c>
      <c r="U124" s="273">
        <v>5902466</v>
      </c>
      <c r="V124" s="273">
        <v>4287250</v>
      </c>
      <c r="W124" s="273">
        <v>5608743</v>
      </c>
      <c r="X124" s="273">
        <v>8825176</v>
      </c>
    </row>
    <row r="125" spans="1:24" ht="14.25" thickBot="1" x14ac:dyDescent="0.3">
      <c r="A125" s="225" t="s">
        <v>32</v>
      </c>
      <c r="B125" s="275">
        <v>98729</v>
      </c>
      <c r="C125" s="274">
        <v>0</v>
      </c>
      <c r="D125" s="275">
        <v>1339647</v>
      </c>
      <c r="E125" s="275">
        <v>1336250</v>
      </c>
      <c r="F125" s="275">
        <v>1532164</v>
      </c>
      <c r="G125" s="275">
        <v>1565279</v>
      </c>
      <c r="H125" s="275">
        <v>2888560</v>
      </c>
      <c r="I125" s="275">
        <v>3016280</v>
      </c>
      <c r="J125" s="275">
        <v>3061918</v>
      </c>
      <c r="K125" s="275">
        <v>3009934</v>
      </c>
      <c r="L125" s="275">
        <v>2159019</v>
      </c>
      <c r="M125" s="275">
        <v>2304690</v>
      </c>
      <c r="N125" s="275">
        <v>2120301</v>
      </c>
      <c r="O125" s="275">
        <v>1348144</v>
      </c>
      <c r="P125" s="275">
        <v>1165081</v>
      </c>
      <c r="Q125" s="275">
        <v>1159904</v>
      </c>
      <c r="R125" s="275">
        <v>1152094</v>
      </c>
      <c r="S125" s="275">
        <v>2694763</v>
      </c>
      <c r="T125" s="275">
        <v>2029525</v>
      </c>
      <c r="U125" s="275">
        <v>2084197</v>
      </c>
      <c r="V125" s="275">
        <v>1716691</v>
      </c>
      <c r="W125" s="275">
        <v>1445879</v>
      </c>
      <c r="X125" s="275">
        <v>1125634</v>
      </c>
    </row>
    <row r="126" spans="1:24" ht="14.25" thickBot="1" x14ac:dyDescent="0.3">
      <c r="A126" s="224" t="s">
        <v>33</v>
      </c>
      <c r="B126" s="273">
        <v>71220</v>
      </c>
      <c r="C126" s="273">
        <v>70855</v>
      </c>
      <c r="D126" s="273">
        <v>90554</v>
      </c>
      <c r="E126" s="273">
        <v>133134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3737928</v>
      </c>
      <c r="C127" s="275">
        <v>3725651</v>
      </c>
      <c r="D127" s="275">
        <v>6723161</v>
      </c>
      <c r="E127" s="275">
        <v>7038506</v>
      </c>
      <c r="F127" s="275">
        <v>5635591</v>
      </c>
      <c r="G127" s="275">
        <v>6268916</v>
      </c>
      <c r="H127" s="275">
        <v>11192604</v>
      </c>
      <c r="I127" s="275">
        <v>10926147</v>
      </c>
      <c r="J127" s="275">
        <v>8402424</v>
      </c>
      <c r="K127" s="275">
        <v>8642186</v>
      </c>
      <c r="L127" s="275">
        <v>10463620</v>
      </c>
      <c r="M127" s="275">
        <v>11193425</v>
      </c>
      <c r="N127" s="275">
        <v>9701573</v>
      </c>
      <c r="O127" s="275">
        <v>8482613</v>
      </c>
      <c r="P127" s="275">
        <v>7954173</v>
      </c>
      <c r="Q127" s="275">
        <v>6725630</v>
      </c>
      <c r="R127" s="275">
        <v>5921430</v>
      </c>
      <c r="S127" s="275">
        <v>8227908</v>
      </c>
      <c r="T127" s="275">
        <v>9621774</v>
      </c>
      <c r="U127" s="275">
        <v>7986663</v>
      </c>
      <c r="V127" s="275">
        <v>6003941</v>
      </c>
      <c r="W127" s="275">
        <v>7054622</v>
      </c>
      <c r="X127" s="275">
        <v>9950810</v>
      </c>
    </row>
    <row r="128" spans="1:24" ht="14.25" thickBot="1" x14ac:dyDescent="0.3">
      <c r="A128" s="224" t="s">
        <v>34</v>
      </c>
      <c r="B128" s="273">
        <v>5179327</v>
      </c>
      <c r="C128" s="273">
        <v>5162277</v>
      </c>
      <c r="D128" s="273">
        <v>5725045</v>
      </c>
      <c r="E128" s="273">
        <v>6414345</v>
      </c>
      <c r="F128" s="273">
        <v>6818532</v>
      </c>
      <c r="G128" s="273">
        <v>6719828</v>
      </c>
      <c r="H128" s="273">
        <v>7284610</v>
      </c>
      <c r="I128" s="273">
        <v>8117038</v>
      </c>
      <c r="J128" s="273">
        <v>8341258</v>
      </c>
      <c r="K128" s="273">
        <v>7806203</v>
      </c>
      <c r="L128" s="273">
        <v>8263900</v>
      </c>
      <c r="M128" s="273">
        <v>9016714</v>
      </c>
      <c r="N128" s="273">
        <v>9888711</v>
      </c>
      <c r="O128" s="273">
        <v>11819118</v>
      </c>
      <c r="P128" s="273">
        <v>14101865</v>
      </c>
      <c r="Q128" s="273">
        <v>15199975</v>
      </c>
      <c r="R128" s="273">
        <v>14105508</v>
      </c>
      <c r="S128" s="273">
        <v>13041597</v>
      </c>
      <c r="T128" s="273">
        <v>13921986</v>
      </c>
      <c r="U128" s="273">
        <v>15529902</v>
      </c>
      <c r="V128" s="273">
        <v>15977493</v>
      </c>
      <c r="W128" s="273">
        <v>15468790</v>
      </c>
      <c r="X128" s="273">
        <v>16927543</v>
      </c>
    </row>
    <row r="129" spans="1:24" ht="14.25" thickBot="1" x14ac:dyDescent="0.3">
      <c r="A129" s="225" t="s">
        <v>35</v>
      </c>
      <c r="B129" s="276">
        <v>8917255</v>
      </c>
      <c r="C129" s="276">
        <v>8887928</v>
      </c>
      <c r="D129" s="276">
        <v>12448206</v>
      </c>
      <c r="E129" s="276">
        <v>13452851</v>
      </c>
      <c r="F129" s="276">
        <v>12454123</v>
      </c>
      <c r="G129" s="276">
        <v>12988744</v>
      </c>
      <c r="H129" s="276">
        <v>18477214</v>
      </c>
      <c r="I129" s="276">
        <v>19043185</v>
      </c>
      <c r="J129" s="276">
        <v>16743682</v>
      </c>
      <c r="K129" s="276">
        <v>16448389</v>
      </c>
      <c r="L129" s="276">
        <v>18727520</v>
      </c>
      <c r="M129" s="276">
        <v>20210139</v>
      </c>
      <c r="N129" s="276">
        <v>19590284</v>
      </c>
      <c r="O129" s="276">
        <v>20301731</v>
      </c>
      <c r="P129" s="276">
        <v>22056038</v>
      </c>
      <c r="Q129" s="276">
        <v>21925605</v>
      </c>
      <c r="R129" s="276">
        <v>20026938</v>
      </c>
      <c r="S129" s="276">
        <v>21269505</v>
      </c>
      <c r="T129" s="276">
        <v>23543760</v>
      </c>
      <c r="U129" s="276">
        <v>23516565</v>
      </c>
      <c r="V129" s="276">
        <v>21981434</v>
      </c>
      <c r="W129" s="276">
        <v>22523412</v>
      </c>
      <c r="X129" s="276">
        <v>26878353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7.09</v>
      </c>
      <c r="C132" s="68">
        <v>8.99</v>
      </c>
      <c r="D132" s="68">
        <v>15.35</v>
      </c>
      <c r="E132" s="68">
        <v>21.16</v>
      </c>
      <c r="F132" s="68">
        <v>4.32</v>
      </c>
    </row>
    <row r="133" spans="1:24" ht="14.25" thickBot="1" x14ac:dyDescent="0.3">
      <c r="A133" s="225" t="s">
        <v>37</v>
      </c>
      <c r="B133" s="274">
        <v>-13.43</v>
      </c>
      <c r="C133" s="274">
        <v>-17.84</v>
      </c>
      <c r="D133" s="274">
        <v>1.44</v>
      </c>
      <c r="E133" s="274">
        <v>-0.95</v>
      </c>
      <c r="F133" s="274">
        <v>-3.39</v>
      </c>
    </row>
    <row r="134" spans="1:24" ht="14.25" thickBot="1" x14ac:dyDescent="0.3">
      <c r="A134" s="224" t="s">
        <v>38</v>
      </c>
      <c r="B134" s="68">
        <v>9.2799999999999994</v>
      </c>
      <c r="C134" s="68">
        <v>11.78</v>
      </c>
      <c r="D134" s="68">
        <v>1.89</v>
      </c>
      <c r="E134" s="68">
        <v>-5.29</v>
      </c>
      <c r="F134" s="68">
        <v>-4.29</v>
      </c>
    </row>
    <row r="135" spans="1:24" ht="14.25" thickBot="1" x14ac:dyDescent="0.3">
      <c r="A135" s="225" t="s">
        <v>270</v>
      </c>
      <c r="B135" s="274">
        <v>-6.33</v>
      </c>
      <c r="C135" s="274">
        <v>-8.85</v>
      </c>
      <c r="D135" s="274">
        <v>16.79</v>
      </c>
      <c r="E135" s="274">
        <v>20.21</v>
      </c>
      <c r="F135" s="274">
        <v>0.93</v>
      </c>
    </row>
    <row r="136" spans="1:24" ht="14.25" thickBot="1" x14ac:dyDescent="0.3">
      <c r="A136" s="229" t="s">
        <v>39</v>
      </c>
      <c r="B136" s="72">
        <v>2.94</v>
      </c>
      <c r="C136" s="72">
        <v>2.93</v>
      </c>
      <c r="D136" s="72">
        <v>18.68</v>
      </c>
      <c r="E136" s="72">
        <v>14.92</v>
      </c>
      <c r="F136" s="72">
        <v>-3.37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</v>
      </c>
      <c r="C140" s="68">
        <v>2.5</v>
      </c>
      <c r="D140" s="68">
        <v>2.5</v>
      </c>
      <c r="E140" s="68">
        <v>4.5</v>
      </c>
      <c r="F140" s="68">
        <v>4.5</v>
      </c>
    </row>
    <row r="141" spans="1:24" ht="14.25" thickBot="1" x14ac:dyDescent="0.3">
      <c r="A141" s="227" t="s">
        <v>1</v>
      </c>
      <c r="B141" s="73">
        <v>0.5</v>
      </c>
      <c r="C141" s="73">
        <v>1</v>
      </c>
      <c r="D141" s="73">
        <v>0.5</v>
      </c>
      <c r="E141" s="73">
        <v>0.5</v>
      </c>
      <c r="F141" s="73">
        <v>0.5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0.2111932418162619</v>
      </c>
      <c r="C142" s="234">
        <f>IF(C140&lt;&gt;"無",IF(ISNA(HLOOKUP(C139,$B$64:$F$69,6,FALSE)),"",C140/HLOOKUP(C139,$B$64:$F$69,6,FALSE)),"")</f>
        <v>0.25536261491317674</v>
      </c>
      <c r="D142" s="234">
        <f>IF(D140&lt;&gt;"無",IF(ISNA(HLOOKUP(D139,$B$64:$F$69,6,FALSE)),"",D140/HLOOKUP(D139,$B$64:$F$69,6,FALSE)),"")</f>
        <v>0.36710719530102787</v>
      </c>
      <c r="E142" s="234">
        <f>IF(E140&lt;&gt;"無",IF(ISNA(HLOOKUP(E139,$B$64:$F$69,6,FALSE)),"",E140/HLOOKUP(E139,$B$64:$F$69,6,FALSE)),"")</f>
        <v>0.40106951871657759</v>
      </c>
      <c r="F142" s="234">
        <f>IF(F140&lt;&gt;"無",IF(ISNA(HLOOKUP(F139,$B$64:$F$69,6,FALSE)),"",F140/HLOOKUP(F139,$B$64:$F$69,6,FALSE)),"")</f>
        <v>0.52631578947368418</v>
      </c>
    </row>
    <row r="143" spans="1:24" x14ac:dyDescent="0.25">
      <c r="A143" s="233" t="s">
        <v>216</v>
      </c>
      <c r="B143" s="234">
        <f>IF(OR(B140=0,B140="無"),"",B135/B140)</f>
        <v>-3.165</v>
      </c>
      <c r="C143" s="234">
        <f>IF(OR(C140=0,C140="無"),"",C135/C140)</f>
        <v>-3.54</v>
      </c>
      <c r="D143" s="234">
        <f>IF(OR(D140=0,D140="無"),"",D135/D140)</f>
        <v>6.7159999999999993</v>
      </c>
      <c r="E143" s="234">
        <f>IF(OR(E140=0,E140="無"),"",E135/E140)</f>
        <v>4.4911111111111115</v>
      </c>
      <c r="F143" s="234">
        <f>IF(OR(F140=0,F140="無"),"",F135/F140)</f>
        <v>0.20666666666666667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28.65</v>
      </c>
      <c r="C146" s="68">
        <v>22.03</v>
      </c>
      <c r="D146" s="68">
        <v>28.88</v>
      </c>
      <c r="E146" s="68">
        <v>27.15</v>
      </c>
      <c r="F146" s="68">
        <v>25.16</v>
      </c>
      <c r="G146" s="68">
        <v>24.51</v>
      </c>
      <c r="H146" s="68">
        <v>25.11</v>
      </c>
      <c r="I146" s="68">
        <v>21.63</v>
      </c>
      <c r="J146" s="68">
        <v>12.42</v>
      </c>
      <c r="K146" s="68">
        <v>20.12</v>
      </c>
      <c r="L146" s="68">
        <v>22.05</v>
      </c>
      <c r="M146" s="68">
        <v>27.56</v>
      </c>
      <c r="N146" s="68">
        <v>28.16</v>
      </c>
      <c r="O146" s="68">
        <v>28.27</v>
      </c>
      <c r="P146" s="68">
        <v>25.08</v>
      </c>
      <c r="Q146" s="68">
        <v>25.23</v>
      </c>
      <c r="R146" s="68">
        <v>24.66</v>
      </c>
      <c r="S146" s="68">
        <v>20.8</v>
      </c>
      <c r="T146" s="68">
        <v>25.13</v>
      </c>
      <c r="U146" s="68">
        <v>23.63</v>
      </c>
      <c r="V146" s="68">
        <v>23.02</v>
      </c>
      <c r="W146" s="68">
        <v>24.31</v>
      </c>
      <c r="X146" s="68">
        <v>23.03</v>
      </c>
    </row>
    <row r="147" spans="1:24" s="93" customFormat="1" ht="14.25" thickBot="1" x14ac:dyDescent="0.3">
      <c r="A147" s="225" t="s">
        <v>19</v>
      </c>
      <c r="B147" s="274">
        <v>19.8</v>
      </c>
      <c r="C147" s="274">
        <v>8.81</v>
      </c>
      <c r="D147" s="274">
        <v>20.09</v>
      </c>
      <c r="E147" s="274">
        <v>19.920000000000002</v>
      </c>
      <c r="F147" s="274">
        <v>15.33</v>
      </c>
      <c r="G147" s="274">
        <v>11.02</v>
      </c>
      <c r="H147" s="274">
        <v>17.52</v>
      </c>
      <c r="I147" s="274">
        <v>14.75</v>
      </c>
      <c r="J147" s="274">
        <v>2.13</v>
      </c>
      <c r="K147" s="274">
        <v>9.11</v>
      </c>
      <c r="L147" s="274">
        <v>12.87</v>
      </c>
      <c r="M147" s="274">
        <v>21.34</v>
      </c>
      <c r="N147" s="274">
        <v>19.88</v>
      </c>
      <c r="O147" s="274">
        <v>20.5</v>
      </c>
      <c r="P147" s="274">
        <v>17.79</v>
      </c>
      <c r="Q147" s="274">
        <v>17.52</v>
      </c>
      <c r="R147" s="274">
        <v>16.09</v>
      </c>
      <c r="S147" s="274">
        <v>9.67</v>
      </c>
      <c r="T147" s="274">
        <v>18.64</v>
      </c>
      <c r="U147" s="274">
        <v>17</v>
      </c>
      <c r="V147" s="274">
        <v>15.04</v>
      </c>
      <c r="W147" s="274">
        <v>13.06</v>
      </c>
      <c r="X147" s="274">
        <v>16.739999999999998</v>
      </c>
    </row>
    <row r="148" spans="1:24" s="93" customFormat="1" ht="14.25" thickBot="1" x14ac:dyDescent="0.3">
      <c r="A148" s="224" t="s">
        <v>41</v>
      </c>
      <c r="B148" s="68">
        <v>19.52</v>
      </c>
      <c r="C148" s="68">
        <v>18.18</v>
      </c>
      <c r="D148" s="68">
        <v>20.87</v>
      </c>
      <c r="E148" s="68">
        <v>21.49</v>
      </c>
      <c r="F148" s="68">
        <v>20.04</v>
      </c>
      <c r="G148" s="68">
        <v>15</v>
      </c>
      <c r="H148" s="68">
        <v>17.66</v>
      </c>
      <c r="I148" s="68">
        <v>19.86</v>
      </c>
      <c r="J148" s="68">
        <v>8.2200000000000006</v>
      </c>
      <c r="K148" s="68">
        <v>5.69</v>
      </c>
      <c r="L148" s="68">
        <v>15.01</v>
      </c>
      <c r="M148" s="68">
        <v>23.72</v>
      </c>
      <c r="N148" s="68">
        <v>21.65</v>
      </c>
      <c r="O148" s="68">
        <v>15.67</v>
      </c>
      <c r="P148" s="68">
        <v>25.09</v>
      </c>
      <c r="Q148" s="68">
        <v>18.59</v>
      </c>
      <c r="R148" s="68">
        <v>13.54</v>
      </c>
      <c r="S148" s="68">
        <v>9.25</v>
      </c>
      <c r="T148" s="68">
        <v>15.25</v>
      </c>
      <c r="U148" s="68">
        <v>20.420000000000002</v>
      </c>
      <c r="V148" s="68">
        <v>8.33</v>
      </c>
      <c r="W148" s="68">
        <v>14.98</v>
      </c>
      <c r="X148" s="68">
        <v>18.059999999999999</v>
      </c>
    </row>
    <row r="149" spans="1:24" s="93" customFormat="1" ht="14.25" thickBot="1" x14ac:dyDescent="0.3">
      <c r="A149" s="225" t="s">
        <v>13</v>
      </c>
      <c r="B149" s="73">
        <v>15.76</v>
      </c>
      <c r="C149" s="73">
        <v>13.18</v>
      </c>
      <c r="D149" s="73">
        <v>17.149999999999999</v>
      </c>
      <c r="E149" s="73">
        <v>15.33</v>
      </c>
      <c r="F149" s="73">
        <v>16.260000000000002</v>
      </c>
      <c r="G149" s="73">
        <v>9.19</v>
      </c>
      <c r="H149" s="73">
        <v>14.13</v>
      </c>
      <c r="I149" s="73">
        <v>15.38</v>
      </c>
      <c r="J149" s="73">
        <v>7.36</v>
      </c>
      <c r="K149" s="73">
        <v>1.1200000000000001</v>
      </c>
      <c r="L149" s="73">
        <v>11.41</v>
      </c>
      <c r="M149" s="73">
        <v>17.3</v>
      </c>
      <c r="N149" s="73">
        <v>17.66</v>
      </c>
      <c r="O149" s="73">
        <v>8.57</v>
      </c>
      <c r="P149" s="73">
        <v>19.68</v>
      </c>
      <c r="Q149" s="73">
        <v>14.85</v>
      </c>
      <c r="R149" s="73">
        <v>11.25</v>
      </c>
      <c r="S149" s="73">
        <v>2.99</v>
      </c>
      <c r="T149" s="73">
        <v>12.66</v>
      </c>
      <c r="U149" s="73">
        <v>16.64</v>
      </c>
      <c r="V149" s="73">
        <v>5.71</v>
      </c>
      <c r="W149" s="73">
        <v>9.89</v>
      </c>
      <c r="X149" s="73">
        <v>15.03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27.1</v>
      </c>
      <c r="C152" s="68">
        <v>23.72</v>
      </c>
      <c r="D152" s="68">
        <v>22.13</v>
      </c>
      <c r="E152" s="68">
        <v>26.55</v>
      </c>
      <c r="F152" s="68">
        <v>23.77</v>
      </c>
    </row>
    <row r="153" spans="1:24" s="93" customFormat="1" ht="14.25" thickBot="1" x14ac:dyDescent="0.3">
      <c r="A153" s="225" t="s">
        <v>19</v>
      </c>
      <c r="B153" s="274">
        <v>18.13</v>
      </c>
      <c r="C153" s="274">
        <v>15.06</v>
      </c>
      <c r="D153" s="274">
        <v>13.64</v>
      </c>
      <c r="E153" s="274">
        <v>18.8</v>
      </c>
      <c r="F153" s="274">
        <v>15.98</v>
      </c>
    </row>
    <row r="154" spans="1:24" s="93" customFormat="1" ht="14.25" thickBot="1" x14ac:dyDescent="0.3">
      <c r="A154" s="224" t="s">
        <v>41</v>
      </c>
      <c r="B154" s="68">
        <v>20.34</v>
      </c>
      <c r="C154" s="68">
        <v>18.47</v>
      </c>
      <c r="D154" s="68">
        <v>15.75</v>
      </c>
      <c r="E154" s="68">
        <v>20.239999999999998</v>
      </c>
      <c r="F154" s="68">
        <v>15.5</v>
      </c>
    </row>
    <row r="155" spans="1:24" s="93" customFormat="1" ht="14.25" thickBot="1" x14ac:dyDescent="0.3">
      <c r="A155" s="225" t="s">
        <v>13</v>
      </c>
      <c r="B155" s="73">
        <v>15.53</v>
      </c>
      <c r="C155" s="73">
        <v>14.17</v>
      </c>
      <c r="D155" s="73">
        <v>11.37</v>
      </c>
      <c r="E155" s="73">
        <v>15.24</v>
      </c>
      <c r="F155" s="73">
        <v>11.91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4.76</v>
      </c>
      <c r="C158" s="68">
        <v>2.72</v>
      </c>
      <c r="D158" s="68">
        <v>4.4400000000000004</v>
      </c>
      <c r="E158" s="68">
        <v>4.7300000000000004</v>
      </c>
      <c r="F158" s="68">
        <v>3.01</v>
      </c>
      <c r="G158" s="68">
        <v>1.69</v>
      </c>
      <c r="H158" s="68">
        <v>3.64</v>
      </c>
      <c r="I158" s="68">
        <v>4.2699999999999996</v>
      </c>
      <c r="J158" s="68">
        <v>1.17</v>
      </c>
      <c r="K158" s="68">
        <v>0.18</v>
      </c>
      <c r="L158" s="68">
        <v>2.17</v>
      </c>
      <c r="M158" s="68">
        <v>4.82</v>
      </c>
      <c r="N158" s="68">
        <v>3.7</v>
      </c>
      <c r="O158" s="68">
        <v>1.86</v>
      </c>
      <c r="P158" s="68">
        <v>4.29</v>
      </c>
      <c r="Q158" s="68">
        <v>3.61</v>
      </c>
      <c r="R158" s="68">
        <v>2.0299999999999998</v>
      </c>
      <c r="S158" s="68">
        <v>0.52</v>
      </c>
      <c r="T158" s="68">
        <v>3.27</v>
      </c>
      <c r="U158" s="68">
        <v>4.38</v>
      </c>
      <c r="V158" s="68">
        <v>1.0900000000000001</v>
      </c>
      <c r="W158" s="68">
        <v>1.66</v>
      </c>
      <c r="X158" s="68">
        <v>4.34</v>
      </c>
    </row>
    <row r="159" spans="1:24" s="93" customFormat="1" ht="14.25" thickBot="1" x14ac:dyDescent="0.3">
      <c r="A159" s="225" t="s">
        <v>45</v>
      </c>
      <c r="B159" s="73">
        <v>8.25</v>
      </c>
      <c r="C159" s="73">
        <v>4.59</v>
      </c>
      <c r="D159" s="73">
        <v>8.59</v>
      </c>
      <c r="E159" s="73">
        <v>9.99</v>
      </c>
      <c r="F159" s="73">
        <v>5.78</v>
      </c>
      <c r="G159" s="73">
        <v>2.97</v>
      </c>
      <c r="H159" s="73">
        <v>8.0299999999999994</v>
      </c>
      <c r="I159" s="73">
        <v>10.15</v>
      </c>
      <c r="J159" s="73">
        <v>2.2400000000000002</v>
      </c>
      <c r="K159" s="73">
        <v>0.28999999999999998</v>
      </c>
      <c r="L159" s="73">
        <v>4.4800000000000004</v>
      </c>
      <c r="M159" s="73">
        <v>10.64</v>
      </c>
      <c r="N159" s="73">
        <v>7.53</v>
      </c>
      <c r="O159" s="73">
        <v>3.31</v>
      </c>
      <c r="P159" s="73">
        <v>6.94</v>
      </c>
      <c r="Q159" s="73">
        <v>5.38</v>
      </c>
      <c r="R159" s="73">
        <v>2.88</v>
      </c>
      <c r="S159" s="73">
        <v>0.76</v>
      </c>
      <c r="T159" s="73">
        <v>5.37</v>
      </c>
      <c r="U159" s="73">
        <v>6.96</v>
      </c>
      <c r="V159" s="73">
        <v>1.55</v>
      </c>
      <c r="W159" s="73">
        <v>2.33</v>
      </c>
      <c r="X159" s="73">
        <v>6.61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15.53</v>
      </c>
      <c r="C162" s="68">
        <v>14.17</v>
      </c>
      <c r="D162" s="68">
        <v>11.37</v>
      </c>
      <c r="E162" s="68">
        <v>15.24</v>
      </c>
      <c r="F162" s="68">
        <v>11.91</v>
      </c>
    </row>
    <row r="163" spans="1:72" s="93" customFormat="1" ht="14.25" thickBot="1" x14ac:dyDescent="0.3">
      <c r="A163" s="225" t="s">
        <v>18</v>
      </c>
      <c r="B163" s="274">
        <v>0.82</v>
      </c>
      <c r="C163" s="274">
        <v>0.71</v>
      </c>
      <c r="D163" s="274">
        <v>0.65</v>
      </c>
      <c r="E163" s="274">
        <v>0.83</v>
      </c>
      <c r="F163" s="274">
        <v>0.81</v>
      </c>
    </row>
    <row r="164" spans="1:72" s="93" customFormat="1" ht="14.25" thickBot="1" x14ac:dyDescent="0.3">
      <c r="A164" s="224" t="s">
        <v>15</v>
      </c>
      <c r="B164" s="68">
        <v>2.1</v>
      </c>
      <c r="C164" s="68">
        <v>2.35</v>
      </c>
      <c r="D164" s="68">
        <v>2.2400000000000002</v>
      </c>
      <c r="E164" s="68">
        <v>1.44</v>
      </c>
      <c r="F164" s="68">
        <v>1.51</v>
      </c>
    </row>
    <row r="165" spans="1:72" s="93" customFormat="1" ht="14.25" thickBot="1" x14ac:dyDescent="0.3">
      <c r="A165" s="225" t="s">
        <v>45</v>
      </c>
      <c r="B165" s="73">
        <v>30.85</v>
      </c>
      <c r="C165" s="73">
        <v>26.53</v>
      </c>
      <c r="D165" s="73">
        <v>17.350000000000001</v>
      </c>
      <c r="E165" s="73">
        <v>22.78</v>
      </c>
      <c r="F165" s="73">
        <v>14.81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78.95</v>
      </c>
      <c r="C168" s="68">
        <v>105.88</v>
      </c>
      <c r="D168" s="68">
        <v>83.33</v>
      </c>
      <c r="E168" s="68">
        <v>76.92</v>
      </c>
      <c r="F168" s="68">
        <v>121.62</v>
      </c>
      <c r="G168" s="68">
        <v>103.45</v>
      </c>
      <c r="H168" s="68">
        <v>71.430000000000007</v>
      </c>
      <c r="I168" s="68">
        <v>82.57</v>
      </c>
      <c r="J168" s="68">
        <v>147.54</v>
      </c>
      <c r="K168" s="68">
        <v>111.11</v>
      </c>
      <c r="L168" s="68">
        <v>75.63</v>
      </c>
      <c r="M168" s="68">
        <v>61.64</v>
      </c>
      <c r="N168" s="68">
        <v>78.95</v>
      </c>
      <c r="O168" s="68">
        <v>64.75</v>
      </c>
      <c r="P168" s="68">
        <v>73.17</v>
      </c>
      <c r="Q168" s="68">
        <v>61.22</v>
      </c>
      <c r="R168" s="68">
        <v>66.67</v>
      </c>
      <c r="S168" s="68">
        <v>66.180000000000007</v>
      </c>
      <c r="T168" s="68">
        <v>52.63</v>
      </c>
      <c r="U168" s="68">
        <v>61.64</v>
      </c>
      <c r="V168" s="68">
        <v>77.59</v>
      </c>
      <c r="W168" s="68">
        <v>78.260000000000005</v>
      </c>
      <c r="X168" s="68">
        <v>61.64</v>
      </c>
    </row>
    <row r="169" spans="1:72" s="93" customFormat="1" ht="14.25" thickBot="1" x14ac:dyDescent="0.3">
      <c r="A169" s="225" t="s">
        <v>17</v>
      </c>
      <c r="B169" s="274">
        <v>40.909999999999997</v>
      </c>
      <c r="C169" s="274">
        <v>52.02</v>
      </c>
      <c r="D169" s="274">
        <v>54.22</v>
      </c>
      <c r="E169" s="274">
        <v>45.69</v>
      </c>
      <c r="F169" s="274">
        <v>63.38</v>
      </c>
      <c r="G169" s="274">
        <v>58.44</v>
      </c>
      <c r="H169" s="274">
        <v>48.91</v>
      </c>
      <c r="I169" s="274">
        <v>43.9</v>
      </c>
      <c r="J169" s="274">
        <v>55.21</v>
      </c>
      <c r="K169" s="274">
        <v>63.83</v>
      </c>
      <c r="L169" s="274">
        <v>70.31</v>
      </c>
      <c r="M169" s="274">
        <v>50</v>
      </c>
      <c r="N169" s="274">
        <v>50.56</v>
      </c>
      <c r="O169" s="274">
        <v>42.25</v>
      </c>
      <c r="P169" s="274">
        <v>45.45</v>
      </c>
      <c r="Q169" s="274">
        <v>43.48</v>
      </c>
      <c r="R169" s="274">
        <v>50.56</v>
      </c>
      <c r="S169" s="274">
        <v>44.78</v>
      </c>
      <c r="T169" s="274">
        <v>37.5</v>
      </c>
      <c r="U169" s="274">
        <v>41.1</v>
      </c>
      <c r="V169" s="274">
        <v>51.72</v>
      </c>
      <c r="W169" s="274">
        <v>60.81</v>
      </c>
      <c r="X169" s="274">
        <v>49.18</v>
      </c>
    </row>
    <row r="170" spans="1:72" s="93" customFormat="1" ht="14.25" thickBot="1" x14ac:dyDescent="0.3">
      <c r="A170" s="224" t="s">
        <v>42</v>
      </c>
      <c r="B170" s="72">
        <v>119.86</v>
      </c>
      <c r="C170" s="72">
        <v>157.91</v>
      </c>
      <c r="D170" s="72">
        <v>137.55000000000001</v>
      </c>
      <c r="E170" s="72">
        <v>122.61</v>
      </c>
      <c r="F170" s="72">
        <v>185</v>
      </c>
      <c r="G170" s="72">
        <v>161.88999999999999</v>
      </c>
      <c r="H170" s="72">
        <v>120.34</v>
      </c>
      <c r="I170" s="72">
        <v>126.47</v>
      </c>
      <c r="J170" s="72">
        <v>202.76</v>
      </c>
      <c r="K170" s="72">
        <v>174.94</v>
      </c>
      <c r="L170" s="72">
        <v>145.94</v>
      </c>
      <c r="M170" s="72">
        <v>111.64</v>
      </c>
      <c r="N170" s="72">
        <v>129.51</v>
      </c>
      <c r="O170" s="72">
        <v>107</v>
      </c>
      <c r="P170" s="72">
        <v>118.63</v>
      </c>
      <c r="Q170" s="72">
        <v>104.7</v>
      </c>
      <c r="R170" s="72">
        <v>117.23</v>
      </c>
      <c r="S170" s="72">
        <v>110.95</v>
      </c>
      <c r="T170" s="72">
        <v>90.13</v>
      </c>
      <c r="U170" s="72">
        <v>102.74</v>
      </c>
      <c r="V170" s="72">
        <v>129.31</v>
      </c>
      <c r="W170" s="72">
        <v>139.07</v>
      </c>
      <c r="X170" s="72">
        <v>110.82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76.69</v>
      </c>
      <c r="C173" s="72">
        <v>93.19</v>
      </c>
      <c r="D173" s="72">
        <v>228.6</v>
      </c>
      <c r="E173" s="72">
        <v>195.1</v>
      </c>
      <c r="F173" s="72">
        <v>51.31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15.1</v>
      </c>
      <c r="C176" s="72">
        <v>19.84</v>
      </c>
      <c r="D176" s="72">
        <v>22.43</v>
      </c>
      <c r="E176" s="72">
        <v>15.18</v>
      </c>
      <c r="F176" s="72">
        <v>13.17</v>
      </c>
      <c r="G176" s="72">
        <v>14.89</v>
      </c>
      <c r="H176" s="72">
        <v>14.72</v>
      </c>
      <c r="I176" s="72">
        <v>16.760000000000002</v>
      </c>
      <c r="J176" s="72">
        <v>16</v>
      </c>
      <c r="K176" s="72">
        <v>14.98</v>
      </c>
      <c r="L176" s="72">
        <v>14.94</v>
      </c>
      <c r="M176" s="72">
        <v>13.65</v>
      </c>
      <c r="N176" s="72">
        <v>12.15</v>
      </c>
      <c r="O176" s="72">
        <v>12</v>
      </c>
      <c r="P176" s="72">
        <v>11.44</v>
      </c>
      <c r="Q176" s="72">
        <v>10.199999999999999</v>
      </c>
      <c r="R176" s="72">
        <v>12.02</v>
      </c>
      <c r="S176" s="72">
        <v>12.43</v>
      </c>
      <c r="T176" s="72">
        <v>11.9</v>
      </c>
      <c r="U176" s="72">
        <v>12.84</v>
      </c>
      <c r="V176" s="72">
        <v>12.19</v>
      </c>
      <c r="W176" s="72">
        <v>10.79</v>
      </c>
      <c r="X176" s="72">
        <v>10.44</v>
      </c>
      <c r="Y176" s="72">
        <v>10.69</v>
      </c>
      <c r="Z176" s="72">
        <v>11</v>
      </c>
      <c r="AA176" s="72">
        <v>10.28</v>
      </c>
      <c r="AB176" s="72">
        <v>9.23</v>
      </c>
      <c r="AC176" s="72">
        <v>9.4700000000000006</v>
      </c>
      <c r="AD176" s="72">
        <v>9.17</v>
      </c>
      <c r="AE176" s="72">
        <v>9.3699999999999992</v>
      </c>
      <c r="AF176" s="72">
        <v>9.51</v>
      </c>
      <c r="AG176" s="72">
        <v>10.130000000000001</v>
      </c>
      <c r="AH176" s="72">
        <v>10.24</v>
      </c>
      <c r="AI176" s="72">
        <v>8.65</v>
      </c>
      <c r="AJ176" s="72">
        <v>10.24</v>
      </c>
      <c r="AK176" s="72">
        <v>11.47</v>
      </c>
      <c r="AL176" s="72">
        <v>11.96</v>
      </c>
      <c r="AM176" s="72">
        <v>12.6</v>
      </c>
      <c r="AN176" s="72">
        <v>12.63</v>
      </c>
      <c r="AO176" s="72">
        <v>15.52</v>
      </c>
      <c r="AP176" s="72">
        <v>11.81</v>
      </c>
      <c r="AQ176" s="72">
        <v>12.96</v>
      </c>
      <c r="AR176" s="72">
        <v>13.25</v>
      </c>
      <c r="AS176" s="72">
        <v>9.57</v>
      </c>
      <c r="AT176" s="72">
        <v>9.42</v>
      </c>
      <c r="AU176" s="72">
        <v>9.68</v>
      </c>
      <c r="AV176" s="72">
        <v>8.6199999999999992</v>
      </c>
      <c r="AW176" s="72">
        <v>7.78</v>
      </c>
      <c r="AX176" s="72">
        <v>6.69</v>
      </c>
      <c r="AY176" s="72">
        <v>7.58</v>
      </c>
      <c r="AZ176" s="72">
        <v>7.99</v>
      </c>
      <c r="BA176" s="72">
        <v>7.29</v>
      </c>
      <c r="BB176" s="72">
        <v>8.2200000000000006</v>
      </c>
      <c r="BC176" s="72">
        <v>8.5299999999999994</v>
      </c>
      <c r="BD176" s="72">
        <v>8.89</v>
      </c>
      <c r="BE176" s="72">
        <v>9.9499999999999993</v>
      </c>
      <c r="BF176" s="72">
        <v>9.93</v>
      </c>
      <c r="BG176" s="72">
        <v>10.34</v>
      </c>
      <c r="BH176" s="72">
        <v>11.2</v>
      </c>
      <c r="BI176" s="72">
        <v>10.98</v>
      </c>
      <c r="BJ176" s="72">
        <v>11.52</v>
      </c>
      <c r="BK176" s="72">
        <v>12.26</v>
      </c>
      <c r="BL176" s="72">
        <v>11.64</v>
      </c>
      <c r="BM176" s="72">
        <v>12.2</v>
      </c>
      <c r="BN176" s="72">
        <v>15.2</v>
      </c>
      <c r="BO176" s="72">
        <v>15.09</v>
      </c>
      <c r="BP176" s="72">
        <v>15.93</v>
      </c>
      <c r="BQ176" s="72">
        <v>16.309999999999999</v>
      </c>
      <c r="BR176" s="72">
        <v>14.92</v>
      </c>
      <c r="BS176" s="72">
        <v>14.58</v>
      </c>
      <c r="BT176" s="72">
        <v>14.37</v>
      </c>
    </row>
  </sheetData>
  <phoneticPr fontId="3" type="noConversion"/>
  <conditionalFormatting sqref="E4">
    <cfRule type="cellIs" dxfId="1874" priority="101" operator="greaterThan">
      <formula>0.2</formula>
    </cfRule>
    <cfRule type="cellIs" dxfId="187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187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871" priority="95" operator="greaterThan">
      <formula>$B$19</formula>
    </cfRule>
  </conditionalFormatting>
  <conditionalFormatting sqref="D33:D34">
    <cfRule type="cellIs" dxfId="187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1869" priority="89" operator="lessThan">
      <formula>$H$62</formula>
    </cfRule>
    <cfRule type="cellIs" dxfId="1868" priority="90" operator="greaterThan">
      <formula>$H$62</formula>
    </cfRule>
  </conditionalFormatting>
  <conditionalFormatting sqref="J62">
    <cfRule type="cellIs" dxfId="1867" priority="87" operator="lessThan">
      <formula>$K$62</formula>
    </cfRule>
    <cfRule type="cellIs" dxfId="1866" priority="88" operator="greaterThan">
      <formula>$K$62</formula>
    </cfRule>
  </conditionalFormatting>
  <conditionalFormatting sqref="M62">
    <cfRule type="cellIs" dxfId="1865" priority="85" operator="lessThan">
      <formula>$N$62</formula>
    </cfRule>
    <cfRule type="cellIs" dxfId="1864" priority="86" operator="greaterThan">
      <formula>$N$62</formula>
    </cfRule>
  </conditionalFormatting>
  <conditionalFormatting sqref="B44:E44">
    <cfRule type="cellIs" dxfId="1863" priority="83" operator="greaterThan">
      <formula>0</formula>
    </cfRule>
    <cfRule type="cellIs" dxfId="1862" priority="84" operator="lessThan">
      <formula>0</formula>
    </cfRule>
  </conditionalFormatting>
  <conditionalFormatting sqref="F72">
    <cfRule type="cellIs" dxfId="1861" priority="82" operator="lessThan">
      <formula>$E$72*90%</formula>
    </cfRule>
  </conditionalFormatting>
  <conditionalFormatting sqref="F73">
    <cfRule type="cellIs" dxfId="1860" priority="81" operator="lessThan">
      <formula>$E$73*90%</formula>
    </cfRule>
  </conditionalFormatting>
  <conditionalFormatting sqref="F74">
    <cfRule type="cellIs" dxfId="1859" priority="80" operator="lessThan">
      <formula>$E$74*90%</formula>
    </cfRule>
  </conditionalFormatting>
  <conditionalFormatting sqref="F75">
    <cfRule type="cellIs" dxfId="1858" priority="79" operator="lessThan">
      <formula>$E$75*90%</formula>
    </cfRule>
  </conditionalFormatting>
  <conditionalFormatting sqref="H44:K44">
    <cfRule type="cellIs" dxfId="1857" priority="77" operator="greaterThan">
      <formula>0</formula>
    </cfRule>
    <cfRule type="cellIs" dxfId="1856" priority="78" operator="lessThan">
      <formula>0</formula>
    </cfRule>
  </conditionalFormatting>
  <conditionalFormatting sqref="H51:K51">
    <cfRule type="cellIs" dxfId="1855" priority="75" operator="greaterThan">
      <formula>0</formula>
    </cfRule>
    <cfRule type="cellIs" dxfId="1854" priority="76" operator="lessThan">
      <formula>0</formula>
    </cfRule>
  </conditionalFormatting>
  <conditionalFormatting sqref="B51:E51">
    <cfRule type="cellIs" dxfId="1853" priority="73" operator="greaterThan">
      <formula>0</formula>
    </cfRule>
    <cfRule type="cellIs" dxfId="185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85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85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849" priority="56" operator="lessThan">
      <formula>0</formula>
    </cfRule>
  </conditionalFormatting>
  <conditionalFormatting sqref="A25 E25 C25">
    <cfRule type="cellIs" dxfId="1848" priority="57" operator="lessThan">
      <formula>0</formula>
    </cfRule>
  </conditionalFormatting>
  <conditionalFormatting sqref="F25">
    <cfRule type="cellIs" dxfId="1847" priority="55" operator="lessThan">
      <formula>0</formula>
    </cfRule>
  </conditionalFormatting>
  <conditionalFormatting sqref="E1">
    <cfRule type="containsText" dxfId="1846" priority="54" operator="containsText" text="本季業外損益/平均=-">
      <formula>NOT(ISERROR(SEARCH("本季業外損益/平均=-",E1)))</formula>
    </cfRule>
  </conditionalFormatting>
  <conditionalFormatting sqref="M65">
    <cfRule type="cellIs" dxfId="1845" priority="53" operator="lessThan">
      <formula>$L$65*90%</formula>
    </cfRule>
  </conditionalFormatting>
  <conditionalFormatting sqref="M66">
    <cfRule type="cellIs" dxfId="1844" priority="52" operator="lessThan">
      <formula>$L$66*90%</formula>
    </cfRule>
  </conditionalFormatting>
  <conditionalFormatting sqref="M67">
    <cfRule type="cellIs" dxfId="1843" priority="51" operator="lessThan">
      <formula>$L$67*90%</formula>
    </cfRule>
  </conditionalFormatting>
  <conditionalFormatting sqref="M68">
    <cfRule type="cellIs" dxfId="1842" priority="50" operator="lessThan">
      <formula>$L$68*90%</formula>
    </cfRule>
  </conditionalFormatting>
  <conditionalFormatting sqref="B60">
    <cfRule type="cellIs" dxfId="1841" priority="49" operator="lessThan">
      <formula>0</formula>
    </cfRule>
  </conditionalFormatting>
  <conditionalFormatting sqref="B59:F59">
    <cfRule type="cellIs" dxfId="1840" priority="48" operator="lessThanOrEqual">
      <formula>0</formula>
    </cfRule>
  </conditionalFormatting>
  <conditionalFormatting sqref="D62">
    <cfRule type="cellIs" dxfId="1839" priority="46" operator="lessThan">
      <formula>$E$62</formula>
    </cfRule>
    <cfRule type="cellIs" dxfId="1838" priority="47" operator="greaterThan">
      <formula>$E$62</formula>
    </cfRule>
  </conditionalFormatting>
  <conditionalFormatting sqref="F69">
    <cfRule type="cellIs" dxfId="1837" priority="44" operator="lessThan">
      <formula>0</formula>
    </cfRule>
  </conditionalFormatting>
  <conditionalFormatting sqref="B65:E67 B69:E69 B68:D68">
    <cfRule type="cellIs" dxfId="1836" priority="45" operator="lessThan">
      <formula>0</formula>
    </cfRule>
  </conditionalFormatting>
  <conditionalFormatting sqref="E68">
    <cfRule type="cellIs" dxfId="1835" priority="43" operator="lessThan">
      <formula>0</formula>
    </cfRule>
  </conditionalFormatting>
  <conditionalFormatting sqref="F65:F68">
    <cfRule type="cellIs" dxfId="1834" priority="42" operator="lessThan">
      <formula>0</formula>
    </cfRule>
  </conditionalFormatting>
  <conditionalFormatting sqref="F65:F68">
    <cfRule type="cellIs" dxfId="1833" priority="41" operator="lessThan">
      <formula>$E$65*0.9</formula>
    </cfRule>
  </conditionalFormatting>
  <conditionalFormatting sqref="F66">
    <cfRule type="cellIs" dxfId="1832" priority="40" operator="lessThan">
      <formula>$E$66*0.9</formula>
    </cfRule>
  </conditionalFormatting>
  <conditionalFormatting sqref="F67:F68">
    <cfRule type="cellIs" dxfId="1831" priority="39" operator="lessThan">
      <formula>$E$67*0.9</formula>
    </cfRule>
  </conditionalFormatting>
  <conditionalFormatting sqref="F68">
    <cfRule type="cellIs" dxfId="1830" priority="38" operator="lessThan">
      <formula>$E$68*0.9</formula>
    </cfRule>
  </conditionalFormatting>
  <conditionalFormatting sqref="B13:F13">
    <cfRule type="cellIs" dxfId="1829" priority="27" operator="greaterThan">
      <formula>$I$16</formula>
    </cfRule>
    <cfRule type="cellIs" dxfId="1828" priority="28" operator="lessThanOrEqual">
      <formula>$I$16</formula>
    </cfRule>
  </conditionalFormatting>
  <conditionalFormatting sqref="B10:F10">
    <cfRule type="cellIs" dxfId="1827" priority="29" operator="greaterThan">
      <formula>15</formula>
    </cfRule>
    <cfRule type="cellIs" dxfId="1826" priority="36" operator="lessThan">
      <formula>$I$9</formula>
    </cfRule>
    <cfRule type="cellIs" dxfId="1825" priority="37" operator="greaterThan">
      <formula>$I$9</formula>
    </cfRule>
  </conditionalFormatting>
  <conditionalFormatting sqref="B16:F16">
    <cfRule type="cellIs" dxfId="1824" priority="34" operator="greaterThan">
      <formula>$I$16</formula>
    </cfRule>
    <cfRule type="cellIs" dxfId="1823" priority="35" operator="lessThanOrEqual">
      <formula>$I$16</formula>
    </cfRule>
  </conditionalFormatting>
  <conditionalFormatting sqref="B15:F15">
    <cfRule type="cellIs" dxfId="1822" priority="32" operator="lessThanOrEqual">
      <formula>$I$16</formula>
    </cfRule>
    <cfRule type="cellIs" dxfId="1821" priority="33" operator="greaterThan">
      <formula>$I$16</formula>
    </cfRule>
  </conditionalFormatting>
  <conditionalFormatting sqref="B14:F14">
    <cfRule type="cellIs" dxfId="1820" priority="30" operator="greaterThan">
      <formula>$I$16</formula>
    </cfRule>
    <cfRule type="cellIs" dxfId="1819" priority="31" operator="lessThanOrEqual">
      <formula>$I$16</formula>
    </cfRule>
  </conditionalFormatting>
  <conditionalFormatting sqref="K6">
    <cfRule type="containsText" dxfId="1818" priority="25" operator="containsText" text="衰退">
      <formula>NOT(ISERROR(SEARCH("衰退",K6)))</formula>
    </cfRule>
    <cfRule type="containsText" dxfId="1817" priority="26" operator="containsText" text="成長">
      <formula>NOT(ISERROR(SEARCH("成長",K6)))</formula>
    </cfRule>
  </conditionalFormatting>
  <conditionalFormatting sqref="I4:K4">
    <cfRule type="cellIs" dxfId="1816" priority="23" operator="lessThan">
      <formula>0</formula>
    </cfRule>
    <cfRule type="cellIs" dxfId="181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814" priority="20" operator="lessThanOrEqual">
      <formula>$I$16</formula>
    </cfRule>
    <cfRule type="cellIs" dxfId="1813" priority="21" operator="greaterThan">
      <formula>$I$16</formula>
    </cfRule>
  </conditionalFormatting>
  <conditionalFormatting sqref="I6">
    <cfRule type="containsText" dxfId="1812" priority="18" operator="containsText" text="衰退">
      <formula>NOT(ISERROR(SEARCH("衰退",I6)))</formula>
    </cfRule>
    <cfRule type="containsText" dxfId="1811" priority="19" operator="containsText" text="成長">
      <formula>NOT(ISERROR(SEARCH("成長",I6)))</formula>
    </cfRule>
  </conditionalFormatting>
  <conditionalFormatting sqref="M9">
    <cfRule type="cellIs" dxfId="1810" priority="17" operator="lessThan">
      <formula>$I$9</formula>
    </cfRule>
  </conditionalFormatting>
  <conditionalFormatting sqref="M10">
    <cfRule type="cellIs" dxfId="1809" priority="16" operator="greaterThan">
      <formula>$I$9</formula>
    </cfRule>
  </conditionalFormatting>
  <conditionalFormatting sqref="M11">
    <cfRule type="cellIs" dxfId="180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807" priority="12" operator="lessThan">
      <formula>0</formula>
    </cfRule>
    <cfRule type="cellIs" dxfId="1806" priority="13" operator="greaterThan">
      <formula>0.5</formula>
    </cfRule>
  </conditionalFormatting>
  <conditionalFormatting sqref="N14">
    <cfRule type="cellIs" dxfId="180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804" priority="8" operator="lessThan">
      <formula>0.1</formula>
    </cfRule>
  </conditionalFormatting>
  <conditionalFormatting sqref="I14">
    <cfRule type="cellIs" dxfId="180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80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801" priority="1" operator="lessThan">
      <formula>$N$5*0.9</formula>
    </cfRule>
    <cfRule type="cellIs" dxfId="1800" priority="2" operator="greaterThan">
      <formula>$N$5*1.1</formula>
    </cfRule>
  </conditionalFormatting>
  <hyperlinks>
    <hyperlink ref="L1" location="儀表板!A1" display="(回首頁)" xr:uid="{00000000-0004-0000-4F00-000000000000}"/>
  </hyperlink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4.86 ~ 28.06</v>
      </c>
      <c r="L1" s="83" t="s">
        <v>176</v>
      </c>
      <c r="M1" s="84" t="str">
        <f ca="1">VLOOKUP(_xlfn.NUMBERVALUE(N1),儀表板!A:B,2,FALSE)</f>
        <v>同欣電</v>
      </c>
      <c r="N1" s="85" t="str">
        <f ca="1">MID(CELL("filename",L1),FIND("]",CELL("filename",L1))+1,255)</f>
        <v>6271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0.16197018430007343</v>
      </c>
    </row>
    <row r="3" spans="1:15" s="93" customFormat="1" x14ac:dyDescent="0.25">
      <c r="A3" s="81" t="s">
        <v>179</v>
      </c>
      <c r="B3" s="94">
        <f>SUM(F19:F22,F24:F27,J19)</f>
        <v>87.905660079556895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86.667883646852857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95.571502271244157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100.66784963200686</v>
      </c>
      <c r="L3" s="100"/>
      <c r="M3" s="79" t="s">
        <v>385</v>
      </c>
      <c r="N3" s="92">
        <f>(F69-E69)/E69</f>
        <v>-4.6943342314329305E-2</v>
      </c>
    </row>
    <row r="4" spans="1:15" s="93" customFormat="1" x14ac:dyDescent="0.25">
      <c r="A4" s="81" t="s">
        <v>182</v>
      </c>
      <c r="B4" s="96">
        <f>SUM(G36:G40)*2</f>
        <v>64</v>
      </c>
      <c r="C4" s="101"/>
      <c r="D4" s="102">
        <f>F4*(1+F141/10)</f>
        <v>16.3</v>
      </c>
      <c r="E4" s="82">
        <f>(D4-F4)/F4</f>
        <v>0</v>
      </c>
      <c r="F4" s="103">
        <v>16.3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6.0042569434197244</v>
      </c>
    </row>
    <row r="5" spans="1:15" s="93" customFormat="1" x14ac:dyDescent="0.25">
      <c r="A5" s="81" t="s">
        <v>184</v>
      </c>
      <c r="B5" s="107">
        <f>SUM(F30:F34)*2</f>
        <v>96.431515151515143</v>
      </c>
      <c r="C5" s="87"/>
      <c r="D5" s="87"/>
      <c r="E5" s="87"/>
      <c r="F5" s="86"/>
      <c r="G5" s="88"/>
      <c r="M5" s="79" t="s">
        <v>375</v>
      </c>
      <c r="N5" s="152">
        <f>D62</f>
        <v>5.99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有0.6年成長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7.0541273279230357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25.77</v>
      </c>
      <c r="N9" s="129"/>
    </row>
    <row r="10" spans="1:15" s="93" customFormat="1" x14ac:dyDescent="0.25">
      <c r="A10" s="123" t="s">
        <v>194</v>
      </c>
      <c r="B10" s="126">
        <f>PERCENTILE(176:176,B9)</f>
        <v>12.23</v>
      </c>
      <c r="C10" s="126">
        <f>PERCENTILE(176:176,C9)</f>
        <v>14.455</v>
      </c>
      <c r="D10" s="126">
        <f>PERCENTILE(176:176,D9)</f>
        <v>15.94</v>
      </c>
      <c r="E10" s="126">
        <f>PERCENTILE(176:176,E9)</f>
        <v>16.79</v>
      </c>
      <c r="F10" s="126">
        <f>PERCENTILE(176:176,F9)</f>
        <v>18.18</v>
      </c>
      <c r="G10" s="95"/>
      <c r="H10" s="135"/>
      <c r="I10" s="135"/>
      <c r="J10" s="135"/>
      <c r="K10" s="135"/>
      <c r="L10" s="136" t="s">
        <v>374</v>
      </c>
      <c r="M10" s="130">
        <f>MIN(176:176)</f>
        <v>9.0500000000000007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61.15</v>
      </c>
      <c r="L11" s="272" t="s">
        <v>193</v>
      </c>
      <c r="M11" s="128">
        <f>STDEV(176:176)</f>
        <v>3.9183400942959659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87.53501400560225</v>
      </c>
      <c r="C13" s="141">
        <f>$B$34/5.88%</f>
        <v>106.29251700680273</v>
      </c>
      <c r="D13" s="141">
        <f>$B$34/5%</f>
        <v>125</v>
      </c>
      <c r="E13" s="141">
        <f>$B$34/4.35%</f>
        <v>143.67816091954023</v>
      </c>
      <c r="F13" s="141">
        <f>$B$34/3.85%</f>
        <v>162.33766233766235</v>
      </c>
      <c r="G13" s="138" t="str">
        <f>"$"&amp;ROUND(B34,2)&amp;"/"&amp;IF(STDEV(C140:F140)/AVERAGE(C140:F140)&lt;15%,"高",IF(STDEV(C140:F140)/AVERAGE(C140:F140)&lt;30%,"中","低"))</f>
        <v>$6.25/高</v>
      </c>
      <c r="H13" s="142" t="s">
        <v>199</v>
      </c>
      <c r="I13" s="143">
        <f>MAX(0,1-J15)</f>
        <v>4.761904761904745E-2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96.861599999999996</v>
      </c>
      <c r="C14" s="141">
        <f>$B$33*C10</f>
        <v>114.4836</v>
      </c>
      <c r="D14" s="141">
        <f>$B$33*D10</f>
        <v>126.2448</v>
      </c>
      <c r="E14" s="141">
        <f>$B$33*E10</f>
        <v>132.9768</v>
      </c>
      <c r="F14" s="141">
        <f>$B$33*F10</f>
        <v>143.98560000000001</v>
      </c>
      <c r="G14" s="138" t="str">
        <f>"$"&amp;ROUND(B33,2)&amp;"/"&amp;IF(STDEV(B69:E69)/AVERAGE(B69:E69)&lt;15%,"高",IF(STDEV(B69:E69)/AVERAGE(B69:E69)&lt;30%,"中","低"))</f>
        <v>$7.92/中</v>
      </c>
      <c r="H14" s="142" t="s">
        <v>203</v>
      </c>
      <c r="I14" s="145">
        <f>G62/100*I13</f>
        <v>4.6666666666666506E-3</v>
      </c>
      <c r="J14" s="76" t="s">
        <v>204</v>
      </c>
      <c r="K14" s="146"/>
      <c r="L14" s="147">
        <f>(HLOOKUP($C$1,$105:$106,2,FALSE)-HLOOKUP($C$1,$117:$127,9,FALSE))/(HLOOKUP($C$1,$117:$128,12,FALSE)/K11)</f>
        <v>31.10036513261451</v>
      </c>
      <c r="M14" s="148">
        <f>E135/E69</f>
        <v>9.6825396825396842E-2</v>
      </c>
      <c r="N14" s="149">
        <f>F173/100</f>
        <v>2.1236999999999999</v>
      </c>
    </row>
    <row r="15" spans="1:15" s="93" customFormat="1" x14ac:dyDescent="0.25">
      <c r="A15" s="140" t="s">
        <v>375</v>
      </c>
      <c r="B15" s="141">
        <f>$D$62*B10</f>
        <v>73.2577</v>
      </c>
      <c r="C15" s="141">
        <f>$D$62*C10</f>
        <v>86.585450000000009</v>
      </c>
      <c r="D15" s="141">
        <f>$D$62*D10</f>
        <v>95.480599999999995</v>
      </c>
      <c r="E15" s="141">
        <f>$D$62*E10</f>
        <v>100.57209999999999</v>
      </c>
      <c r="F15" s="141">
        <f>$D$62*F10</f>
        <v>108.8982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0.95238095238095255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73.432062418023236</v>
      </c>
      <c r="C16" s="141">
        <f>$F$69*C10</f>
        <v>86.791534117132116</v>
      </c>
      <c r="D16" s="141">
        <f>$F$69*D10</f>
        <v>95.707855678110406</v>
      </c>
      <c r="E16" s="141">
        <f>$F$69*E10</f>
        <v>100.81147408001716</v>
      </c>
      <c r="F16" s="141">
        <f>$F$69*F10</f>
        <v>109.15739123137058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1526</v>
      </c>
      <c r="J17" s="92">
        <f ca="1">IF(I17&lt;=0,"",IF(I17&lt;=MIN($B$13:$F$16),(I17-MIN($B$13:$F$16))/MIN($B$13:$F$16),IF(I17&gt;=MAX($B$13:$F$16),I17/MAX($B$13:$F$16),PERCENTRANK($B$13:$F$16,I17))))</f>
        <v>9.4001599999999996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6.4649999999999999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1.0344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0.17417829368736804</v>
      </c>
      <c r="J20" s="171">
        <f>HLOOKUP($C$1,$117:$127,11,FALSE)/HLOOKUP($C$1,$105:$115,11,FALSE)</f>
        <v>0.20932398719446765</v>
      </c>
      <c r="K20" s="163"/>
    </row>
    <row r="21" spans="1:14" s="93" customFormat="1" x14ac:dyDescent="0.25">
      <c r="A21" s="151" t="s">
        <v>201</v>
      </c>
      <c r="B21" s="161">
        <f>AVERAGE(C173:F173)/100</f>
        <v>1.6666749999999999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3.4440481641622687</v>
      </c>
      <c r="J21" s="78"/>
      <c r="K21" s="164" t="s">
        <v>356</v>
      </c>
      <c r="L21" s="165">
        <f>HLOOKUP($C$1,$105:$115,7,FALSE)/HLOOKUP($C$1,$105:$115,11,FALSE)</f>
        <v>0.6270039924620715</v>
      </c>
      <c r="M21" s="123" t="s">
        <v>268</v>
      </c>
      <c r="N21" s="165">
        <f>HLOOKUP($C$1,$117:$127,8,FALSE)/HLOOKUP($C$1,$117:$127,11,FALSE)</f>
        <v>0.86972527515633691</v>
      </c>
    </row>
    <row r="22" spans="1:14" s="93" customFormat="1" x14ac:dyDescent="0.25">
      <c r="A22" s="140" t="s">
        <v>222</v>
      </c>
      <c r="B22" s="161">
        <f>(-1)*SUM(C133:F133)/SUM(C132:F132)</f>
        <v>0.50240523378872426</v>
      </c>
      <c r="C22" s="157"/>
      <c r="D22" s="166"/>
      <c r="E22" s="140"/>
      <c r="F22" s="159">
        <f>IF(B22&lt;=0,10,IF(B22&gt;=100%,0,(1-B22)*10))</f>
        <v>4.9759476621127572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3.0586781659062265</v>
      </c>
      <c r="J22" s="78"/>
      <c r="K22" s="142" t="s">
        <v>357</v>
      </c>
      <c r="L22" s="165">
        <f>HLOOKUP($C$1,$105:$115,4,FALSE)/HLOOKUP($C$1,$105:$115,11,FALSE)</f>
        <v>0.11696825314652524</v>
      </c>
      <c r="M22" s="123" t="s">
        <v>353</v>
      </c>
      <c r="N22" s="165">
        <f>HLOOKUP($C$1,$117:$127,4,FALSE)/HLOOKUP($C$1,$117:$127,11,FALSE)</f>
        <v>0.1679009366205523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1.2647405306400146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7.0158289304996915E-2</v>
      </c>
      <c r="M23" s="123" t="s">
        <v>354</v>
      </c>
      <c r="N23" s="165">
        <f>IF(HLOOKUP($C$1,$117:$127,5,FALSE)="無",0,HLOOKUP($C$1,$117:$127,5,FALSE))/HLOOKUP($C$1,$117:$127,11,FALSE)</f>
        <v>1.2246189503618379E-3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61.22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1.96538865234894E-2</v>
      </c>
      <c r="M24" s="123" t="s">
        <v>355</v>
      </c>
      <c r="N24" s="165">
        <f>HLOOKUP($C$1,$117:$127,9,FALSE)/HLOOKUP($C$1,$117:$127,11,FALSE)</f>
        <v>0.13027472484366309</v>
      </c>
    </row>
    <row r="25" spans="1:14" s="93" customFormat="1" x14ac:dyDescent="0.25">
      <c r="A25" s="151" t="s">
        <v>366</v>
      </c>
      <c r="B25" s="255">
        <f>AVERAGE(94:94)</f>
        <v>8721.608695652174</v>
      </c>
      <c r="C25" s="254">
        <f>STDEV(94:94)/AVERAGE(94:94)</f>
        <v>3.0702875825558595</v>
      </c>
      <c r="D25" s="76" t="str">
        <f>IF(C25&lt;=1,"高",IF(C25&lt;=2,"中","低"))</f>
        <v>低</v>
      </c>
      <c r="E25" s="149"/>
      <c r="F25" s="160">
        <f>MAX(0,10-ABS(C25))</f>
        <v>6.92971241744414</v>
      </c>
      <c r="G25" s="88" t="s">
        <v>213</v>
      </c>
      <c r="H25" s="123" t="s">
        <v>232</v>
      </c>
      <c r="I25" s="170">
        <f>IF(HLOOKUP(C1,167:170,3,FALSE)="無",0,HLOOKUP(C1,167:170,3,FALSE))</f>
        <v>52.63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53.940000000000005</v>
      </c>
      <c r="C26" s="172">
        <f>IF(COUNTIF(168:168,"&gt;0")=0,0,STDEV(168:168))</f>
        <v>7.7510134234762136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52.346521739130445</v>
      </c>
      <c r="C27" s="172">
        <f>IF(COUNTIF(169:169,"&gt;0")=0,0,STDEV(169:169))</f>
        <v>4.2824171261902721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0.2762</v>
      </c>
      <c r="C30" s="157" t="s">
        <v>217</v>
      </c>
      <c r="D30" s="174">
        <f>COUNTIF(146:146,"&gt;20")/COUNT(146:146)</f>
        <v>0.95652173913043481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0.16052500000000003</v>
      </c>
      <c r="C31" s="157" t="s">
        <v>217</v>
      </c>
      <c r="D31" s="174">
        <f>COUNTIF(149:149,"&gt;8")/COUNT(149:149)</f>
        <v>0.95652173913043481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13.272500000000001</v>
      </c>
      <c r="C32" s="157" t="s">
        <v>217</v>
      </c>
      <c r="D32" s="174">
        <f>COUNTIF(159:159,"&gt;3")/COUNT(159:159)</f>
        <v>0.56521739130434778</v>
      </c>
      <c r="E32" s="140" t="s">
        <v>242</v>
      </c>
      <c r="F32" s="159">
        <f>MIN(B32/15*10,10)</f>
        <v>8.8483333333333327</v>
      </c>
      <c r="G32" s="135"/>
    </row>
    <row r="33" spans="1:14" x14ac:dyDescent="0.25">
      <c r="A33" s="155" t="s">
        <v>14</v>
      </c>
      <c r="B33" s="156">
        <f>AVERAGE(B69:E69)</f>
        <v>7.92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6.25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9.3674242424242422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8024184</v>
      </c>
      <c r="C36" s="178">
        <f>STDEV(C97:F97)</f>
        <v>239409.73011833362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27.62</v>
      </c>
      <c r="C37" s="180">
        <f>STDEV(C152:F152)</f>
        <v>3.4252493826483965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18.462500000000002</v>
      </c>
      <c r="C38" s="180">
        <f>STDEV(C153:F153)</f>
        <v>3.5579898350988199</v>
      </c>
      <c r="D38" s="76" t="str">
        <f>IF(C38/B38&lt;15%,"高",IF(C38/B38&lt;30%,"中","低"))</f>
        <v>中</v>
      </c>
      <c r="E38" s="107">
        <f>IF(F153&gt;E153,1,0)+IF(E153&gt;D153,1,0)+IF(D153&gt;C153,1,0)</f>
        <v>0</v>
      </c>
      <c r="F38" s="179"/>
      <c r="G38" s="160">
        <f>IF(D38="高",6,IF(D38="中",4,2))+E38+1</f>
        <v>5</v>
      </c>
    </row>
    <row r="39" spans="1:14" x14ac:dyDescent="0.25">
      <c r="A39" s="142" t="s">
        <v>46</v>
      </c>
      <c r="B39" s="181">
        <f>AVERAGE(C165:F165)</f>
        <v>13.272500000000001</v>
      </c>
      <c r="C39" s="181">
        <f>STDEV(C165:F165)</f>
        <v>3.5959085546400251</v>
      </c>
      <c r="D39" s="76" t="str">
        <f>IF(C39/B39&lt;15%,"高",IF(C39/B39&lt;30%,"中","低"))</f>
        <v>中</v>
      </c>
      <c r="E39" s="107">
        <f>IF(F165&gt;E165,1,0)+IF(E165&gt;D165,1,0)+IF(D165&gt;C165,1,0)</f>
        <v>0</v>
      </c>
      <c r="F39" s="182"/>
      <c r="G39" s="160">
        <f>IF(D39="高",6,IF(D39="中",4,2))+E39+1</f>
        <v>5</v>
      </c>
    </row>
    <row r="40" spans="1:14" x14ac:dyDescent="0.25">
      <c r="A40" s="164" t="s">
        <v>14</v>
      </c>
      <c r="B40" s="183">
        <f>AVERAGE(B69:E69)</f>
        <v>7.92</v>
      </c>
      <c r="C40" s="183">
        <f>STDEV(B69:E69)</f>
        <v>1.8282778782231068</v>
      </c>
      <c r="D40" s="76" t="str">
        <f>IF(C40/B40&lt;15%,"高",IF(C40/B40&lt;30%,"中","低"))</f>
        <v>中</v>
      </c>
      <c r="E40" s="107">
        <f>IF(E69&gt;D69,1,0)+IF(D69&gt;C69,1,0)+IF(C69&gt;B69,1,0)</f>
        <v>0</v>
      </c>
      <c r="G40" s="160">
        <f>IF(D40="高",6,IF(D40="中",4,2))+E40+1</f>
        <v>5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0.6690647482014388</v>
      </c>
      <c r="C44" s="186">
        <f>(C46-C49)/C49</f>
        <v>-0.24691358024691365</v>
      </c>
      <c r="D44" s="186">
        <f>(D46-D49)/D49</f>
        <v>-0.60431654676258983</v>
      </c>
      <c r="E44" s="186">
        <f>(E46-E49)/E49</f>
        <v>0.23376623376623368</v>
      </c>
      <c r="G44" s="86" t="s">
        <v>175</v>
      </c>
      <c r="H44" s="186">
        <f>(H47-H50)/H50</f>
        <v>0.2865979381443296</v>
      </c>
      <c r="I44" s="186">
        <f>(I47-I50)/I50</f>
        <v>-0.29013906447534765</v>
      </c>
      <c r="J44" s="186">
        <f>(J47-J50)/J50</f>
        <v>-0.29861111111111127</v>
      </c>
      <c r="K44" s="186">
        <f>(K47-K50)/K50</f>
        <v>6.5456902138691028E-2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2.3199999999999998</v>
      </c>
      <c r="C46" s="152">
        <f>HLOOKUP(C45,$81:$82,2,FALSE)</f>
        <v>1.22</v>
      </c>
      <c r="D46" s="152">
        <f>HLOOKUP(D45,$81:$82,2,FALSE)</f>
        <v>0.55000000000000004</v>
      </c>
      <c r="E46" s="152">
        <f>HLOOKUP(E45,$81:$82,2,FALSE)</f>
        <v>1.9</v>
      </c>
      <c r="G46" s="86" t="s">
        <v>164</v>
      </c>
      <c r="H46" s="145">
        <f>HLOOKUP(H45,$145:$147,2,FALSE)/100</f>
        <v>0.27579999999999999</v>
      </c>
      <c r="I46" s="145">
        <f>HLOOKUP(I45,$145:$147,2,FALSE)/100</f>
        <v>0.21530000000000002</v>
      </c>
      <c r="J46" s="145">
        <f>HLOOKUP(J45,$145:$147,2,FALSE)/100</f>
        <v>0.19750000000000001</v>
      </c>
      <c r="K46" s="145">
        <f>HLOOKUP(K45,$145:$147,2,FALSE)/100</f>
        <v>0.25869999999999999</v>
      </c>
    </row>
    <row r="47" spans="1:14" x14ac:dyDescent="0.25">
      <c r="A47" s="188" t="s">
        <v>165</v>
      </c>
      <c r="B47" s="189">
        <f>HLOOKUP(B45,$157:$159,3,FALSE)</f>
        <v>3.86</v>
      </c>
      <c r="C47" s="189">
        <f>HLOOKUP(C45,$157:$159,3,FALSE)</f>
        <v>1.99</v>
      </c>
      <c r="D47" s="189">
        <f>HLOOKUP(D45,$157:$159,3,FALSE)</f>
        <v>0.86</v>
      </c>
      <c r="E47" s="189">
        <f>HLOOKUP(E45,$157:$159,3,FALSE)</f>
        <v>3.09</v>
      </c>
      <c r="G47" s="190" t="s">
        <v>166</v>
      </c>
      <c r="H47" s="145">
        <f>HLOOKUP(H45,$145:$147,3,FALSE)/100</f>
        <v>0.18719999999999998</v>
      </c>
      <c r="I47" s="145">
        <f>HLOOKUP(I45,$145:$147,3,FALSE)/100</f>
        <v>0.11230000000000001</v>
      </c>
      <c r="J47" s="145">
        <f>HLOOKUP(J45,$145:$147,3,FALSE)/100</f>
        <v>0.10099999999999999</v>
      </c>
      <c r="K47" s="145">
        <f>HLOOKUP(K45,$145:$147,3,FALSE)/100</f>
        <v>0.16440000000000002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1.39</v>
      </c>
      <c r="C49" s="152">
        <f>HLOOKUP(C48,$81:$82,2,FALSE)</f>
        <v>1.62</v>
      </c>
      <c r="D49" s="152">
        <f>HLOOKUP(D48,$81:$82,2,FALSE)</f>
        <v>1.39</v>
      </c>
      <c r="E49" s="152">
        <f>HLOOKUP(E48,$81:$82,2,FALSE)</f>
        <v>1.54</v>
      </c>
      <c r="G49" s="86" t="s">
        <v>164</v>
      </c>
      <c r="H49" s="145">
        <f>HLOOKUP(H48,$145:$147,2,FALSE)/100</f>
        <v>0.23469999999999999</v>
      </c>
      <c r="I49" s="145">
        <f>HLOOKUP(I48,$145:$147,2,FALSE)/100</f>
        <v>0.25209999999999999</v>
      </c>
      <c r="J49" s="145">
        <f>HLOOKUP(J48,$145:$147,2,FALSE)/100</f>
        <v>0.245</v>
      </c>
      <c r="K49" s="145">
        <f>HLOOKUP(K48,$145:$147,2,FALSE)/100</f>
        <v>0.23760000000000001</v>
      </c>
    </row>
    <row r="50" spans="1:15" x14ac:dyDescent="0.25">
      <c r="A50" s="188" t="s">
        <v>165</v>
      </c>
      <c r="B50" s="189">
        <f>HLOOKUP(B48,$157:$159,3,FALSE)</f>
        <v>2.33</v>
      </c>
      <c r="C50" s="189">
        <f>HLOOKUP(C48,$157:$159,3,FALSE)</f>
        <v>2.64</v>
      </c>
      <c r="D50" s="189">
        <f>HLOOKUP(D48,$157:$159,3,FALSE)</f>
        <v>2.2000000000000002</v>
      </c>
      <c r="E50" s="189">
        <f>HLOOKUP(E48,$157:$159,3,FALSE)</f>
        <v>2.5</v>
      </c>
      <c r="G50" s="190" t="s">
        <v>166</v>
      </c>
      <c r="H50" s="145">
        <f>HLOOKUP(H48,$145:$147,3,FALSE)/100</f>
        <v>0.14550000000000002</v>
      </c>
      <c r="I50" s="145">
        <f>HLOOKUP(I48,$145:$147,3,FALSE)/100</f>
        <v>0.15820000000000001</v>
      </c>
      <c r="J50" s="145">
        <f>HLOOKUP(J48,$145:$147,3,FALSE)/100</f>
        <v>0.14400000000000002</v>
      </c>
      <c r="K50" s="145">
        <f>HLOOKUP(K48,$145:$147,3,FALSE)/100</f>
        <v>0.15429999999999999</v>
      </c>
    </row>
    <row r="51" spans="1:15" x14ac:dyDescent="0.25">
      <c r="A51" s="86" t="s">
        <v>351</v>
      </c>
      <c r="B51" s="186">
        <f>(B47-B50)/B50</f>
        <v>0.6566523605150214</v>
      </c>
      <c r="C51" s="186">
        <f>(C47-C50)/C50</f>
        <v>-0.24621212121212124</v>
      </c>
      <c r="D51" s="186">
        <f>(D47-D50)/D50</f>
        <v>-0.60909090909090913</v>
      </c>
      <c r="E51" s="186">
        <f>(E47-E50)/E50</f>
        <v>0.23599999999999993</v>
      </c>
      <c r="G51" s="235" t="s">
        <v>174</v>
      </c>
      <c r="H51" s="186">
        <f>(H46-H49)/H49</f>
        <v>0.17511717085641243</v>
      </c>
      <c r="I51" s="186">
        <f>(I46-I49)/I49</f>
        <v>-0.14597381991273292</v>
      </c>
      <c r="J51" s="186">
        <f>(J46-J49)/J49</f>
        <v>-0.1938775510204081</v>
      </c>
      <c r="K51" s="186">
        <f>(K46-K49)/K49</f>
        <v>8.880471380471372E-2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7.0541273279230357</v>
      </c>
      <c r="B53" s="193">
        <f>B46</f>
        <v>2.3199999999999998</v>
      </c>
      <c r="C53" s="193">
        <f>E46/HLOOKUP(E45,$87:$94,5,FALSE)*HLOOKUP(E45,$87:$94,4,FALSE)*($B$25/HLOOKUP(E45,$87:$94,4,FALSE)+SUM($B$57:$D$57)/SUM($B58:$D$58)*$G$69/100/K46)</f>
        <v>1.9142569434197247</v>
      </c>
      <c r="D53" s="193">
        <f>D46/HLOOKUP(D45,$87:$94,5,FALSE)*HLOOKUP(D45,$87:$94,4,FALSE)*($B$25/HLOOKUP(D45,$87:$94,4,FALSE)+SUM($B$57:$D$57)/SUM($B58:$D$58)*$G$69/100/J46)</f>
        <v>1.2621576138052002</v>
      </c>
      <c r="E53" s="193">
        <f>C46/HLOOKUP(C45,$87:$94,5,FALSE)*HLOOKUP(C45,$87:$94,4,FALSE)*($B$25/HLOOKUP(C45,$87:$94,4,FALSE)+SUM($B$57:$D$57)/SUM($B58:$D$58)*$G$69/100/I46)</f>
        <v>1.5577127706981098</v>
      </c>
    </row>
    <row r="54" spans="1:15" x14ac:dyDescent="0.25">
      <c r="A54" s="278">
        <f>SUM(B54:E54)</f>
        <v>5.0599999999999996</v>
      </c>
      <c r="B54" s="277">
        <f t="shared" ref="B54:D54" si="0">HLOOKUP(B52-10,81:82,2,FALSE)</f>
        <v>1.39</v>
      </c>
      <c r="C54" s="277">
        <f t="shared" si="0"/>
        <v>1.9</v>
      </c>
      <c r="D54" s="277">
        <f t="shared" si="0"/>
        <v>0.55000000000000004</v>
      </c>
      <c r="E54" s="277">
        <f>HLOOKUP(E52-10,81:82,2,FALSE)</f>
        <v>1.22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717202</v>
      </c>
      <c r="C57" s="196">
        <f>HLOOKUP(C56,78:79,2,FALSE)</f>
        <v>742204</v>
      </c>
      <c r="D57" s="196">
        <f>HLOOKUP(D56,78:79,2,FALSE)</f>
        <v>713787</v>
      </c>
      <c r="E57" s="196">
        <f>HLOOKUP(E56,78:79,2,FALSE)</f>
        <v>641321</v>
      </c>
      <c r="F57" s="196">
        <f>HLOOKUP(F56,78:79,2,FALSE)</f>
        <v>643828</v>
      </c>
      <c r="G57" s="196">
        <f t="shared" ref="G57:M57" si="2">HLOOKUP(G56,78:79,2,FALSE)</f>
        <v>605104</v>
      </c>
      <c r="H57" s="196">
        <f t="shared" si="2"/>
        <v>571918</v>
      </c>
      <c r="I57" s="196">
        <f t="shared" si="2"/>
        <v>633622</v>
      </c>
      <c r="J57" s="196">
        <f t="shared" si="2"/>
        <v>577180</v>
      </c>
      <c r="K57" s="196">
        <f t="shared" si="2"/>
        <v>621959</v>
      </c>
      <c r="L57" s="196">
        <f t="shared" si="2"/>
        <v>628417</v>
      </c>
      <c r="M57" s="196">
        <f t="shared" si="2"/>
        <v>720551</v>
      </c>
      <c r="N57" s="197"/>
    </row>
    <row r="58" spans="1:15" x14ac:dyDescent="0.25">
      <c r="A58" s="198" t="s">
        <v>253</v>
      </c>
      <c r="B58" s="196">
        <f>HLOOKUP(B56-100,78:79,2,FALSE)</f>
        <v>672523</v>
      </c>
      <c r="C58" s="196">
        <f>HLOOKUP(C56-100,78:79,2,FALSE)</f>
        <v>688787</v>
      </c>
      <c r="D58" s="196">
        <f>HLOOKUP(D56-100,78:79,2,FALSE)</f>
        <v>710508</v>
      </c>
      <c r="E58" s="196">
        <f>HLOOKUP(E56-100,78:79,2,FALSE)</f>
        <v>665068</v>
      </c>
      <c r="F58" s="196">
        <f>HLOOKUP(F56-100,78:79,2,FALSE)</f>
        <v>708698</v>
      </c>
      <c r="G58" s="196">
        <f t="shared" ref="G58:M58" si="3">HLOOKUP(G56-100,78:79,2,FALSE)</f>
        <v>706630</v>
      </c>
      <c r="H58" s="196">
        <f t="shared" si="3"/>
        <v>640012</v>
      </c>
      <c r="I58" s="196">
        <f t="shared" si="3"/>
        <v>705747</v>
      </c>
      <c r="J58" s="196">
        <f t="shared" si="3"/>
        <v>565989</v>
      </c>
      <c r="K58" s="196">
        <f t="shared" si="3"/>
        <v>644915</v>
      </c>
      <c r="L58" s="196">
        <f t="shared" si="3"/>
        <v>662645</v>
      </c>
      <c r="M58" s="196">
        <f t="shared" si="3"/>
        <v>596788</v>
      </c>
      <c r="N58" s="197"/>
    </row>
    <row r="59" spans="1:15" x14ac:dyDescent="0.25">
      <c r="A59" s="199" t="s">
        <v>254</v>
      </c>
      <c r="B59" s="165">
        <f>IF(B57&lt;&gt;"",(B57-B58)/B58,"")</f>
        <v>6.643490259812676E-2</v>
      </c>
      <c r="C59" s="165">
        <f>IF(C57&lt;&gt;"",(C57-C58)/C58,"")</f>
        <v>7.7552276683503021E-2</v>
      </c>
      <c r="D59" s="165">
        <f>IF(D57&lt;&gt;"",(D57-D58)/D58,"")</f>
        <v>4.6150078535357802E-3</v>
      </c>
      <c r="E59" s="165">
        <f>IF(E57&lt;&gt;"",(E57-E58)/E58,"")</f>
        <v>-3.5706123283634157E-2</v>
      </c>
      <c r="F59" s="165">
        <f>IF(F57&lt;&gt;"",(F57-F58)/F58,"")</f>
        <v>-9.1534052586574252E-2</v>
      </c>
      <c r="G59" s="165">
        <f t="shared" ref="G59:M59" si="4">IF(G57&lt;&gt;"",(G57-G58)/G58,"")</f>
        <v>-0.14367632282807127</v>
      </c>
      <c r="H59" s="165">
        <f t="shared" si="4"/>
        <v>-0.10639488009599821</v>
      </c>
      <c r="I59" s="165">
        <f t="shared" si="4"/>
        <v>-0.1021966795466364</v>
      </c>
      <c r="J59" s="165">
        <f t="shared" si="4"/>
        <v>1.9772469076254132E-2</v>
      </c>
      <c r="K59" s="165">
        <f t="shared" si="4"/>
        <v>-3.5595388539574981E-2</v>
      </c>
      <c r="L59" s="165">
        <f t="shared" si="4"/>
        <v>-5.1653600344075637E-2</v>
      </c>
      <c r="M59" s="165">
        <f t="shared" si="4"/>
        <v>0.20738185084150484</v>
      </c>
    </row>
    <row r="60" spans="1:15" x14ac:dyDescent="0.25">
      <c r="A60" s="195" t="s">
        <v>255</v>
      </c>
      <c r="B60" s="196">
        <f>SUM(B57:M57)</f>
        <v>7817093</v>
      </c>
    </row>
    <row r="61" spans="1:15" x14ac:dyDescent="0.25">
      <c r="A61" s="198" t="s">
        <v>256</v>
      </c>
      <c r="B61" s="196">
        <f>SUM(B58:M58)</f>
        <v>7968310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0.98102270117502954</v>
      </c>
      <c r="D62" s="152">
        <f>SUM(B46:E46)</f>
        <v>5.99</v>
      </c>
      <c r="E62" s="152">
        <f>SUM(B49:E49)</f>
        <v>5.9399999999999995</v>
      </c>
      <c r="G62" s="126">
        <f>SUM(B47:E47)</f>
        <v>9.8000000000000007</v>
      </c>
      <c r="H62" s="126">
        <f>SUM(B50:E50)</f>
        <v>9.6700000000000017</v>
      </c>
      <c r="J62" s="200">
        <f>AVERAGE(H46:K46)</f>
        <v>0.23682500000000001</v>
      </c>
      <c r="K62" s="200">
        <f>AVERAGE(H49:K49)</f>
        <v>0.24235000000000001</v>
      </c>
      <c r="M62" s="200">
        <f>AVERAGE(H47:K47)</f>
        <v>0.14122499999999999</v>
      </c>
      <c r="N62" s="200">
        <f>AVERAGE(H50:K50)</f>
        <v>0.15050000000000002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</v>
      </c>
      <c r="C65" s="205">
        <f t="shared" si="5"/>
        <v>1.92</v>
      </c>
      <c r="D65" s="205">
        <f t="shared" si="5"/>
        <v>1.28</v>
      </c>
      <c r="E65" s="205">
        <f t="shared" si="5"/>
        <v>1.39</v>
      </c>
      <c r="F65" s="206">
        <f>IF(ISNA(HLOOKUP(F$64*10+$A65,$81:$82,2,FALSE)),(HLOOKUP(E$64*10+$A65,$87:$94,4,FALSE)*$G65+$B$25)/HLOOKUP(E$64*10+$A65,$87:$94,5,FALSE)*$E65,HLOOKUP(F$64*10+$A65,$81:$82,2,FALSE))</f>
        <v>0.55000000000000004</v>
      </c>
      <c r="G65" s="101">
        <f>MIN(130%,SUM($B$57:$D$57)/SUM($B$58:$D$58)*$G$69/HLOOKUP(E$64*10+$A65,$145:$146,2,FALSE))</f>
        <v>1.128200096092288</v>
      </c>
      <c r="H65" s="204">
        <v>1</v>
      </c>
      <c r="I65" s="208">
        <f t="shared" ref="I65:M68" si="6">IF(ISNA(HLOOKUP(I$64*10+$H65,$145:$147,3,FALSE)),"",HLOOKUP(I$64*10+$H65,$145:$147,3,FALSE)/100)</f>
        <v>0.1946</v>
      </c>
      <c r="J65" s="208">
        <f t="shared" si="6"/>
        <v>0.18539999999999998</v>
      </c>
      <c r="K65" s="208">
        <f t="shared" si="6"/>
        <v>0.13730000000000001</v>
      </c>
      <c r="L65" s="208">
        <f t="shared" si="6"/>
        <v>0.14400000000000002</v>
      </c>
      <c r="M65" s="209">
        <f t="shared" si="6"/>
        <v>0.10099999999999999</v>
      </c>
      <c r="N65" s="256">
        <f t="shared" ref="N65:O68" si="7">HLOOKUP(E$64*10+$A65,$87:$94,8,FALSE)</f>
        <v>-7732</v>
      </c>
      <c r="O65" s="256">
        <f t="shared" si="7"/>
        <v>-68402</v>
      </c>
      <c r="P65" s="210"/>
    </row>
    <row r="66" spans="1:71" x14ac:dyDescent="0.25">
      <c r="A66" s="204">
        <v>2</v>
      </c>
      <c r="B66" s="205">
        <f t="shared" si="5"/>
        <v>2.0299999999999998</v>
      </c>
      <c r="C66" s="205">
        <f t="shared" si="5"/>
        <v>2.25</v>
      </c>
      <c r="D66" s="205">
        <f t="shared" si="5"/>
        <v>1.1299999999999999</v>
      </c>
      <c r="E66" s="205">
        <f t="shared" si="5"/>
        <v>1.62</v>
      </c>
      <c r="F66" s="206">
        <f>IF(ISNA(HLOOKUP(F$64*10+$A66,$81:$82,2,FALSE)),(HLOOKUP(E$64*10+$A66,$87:$94,4,FALSE)*$G66+$B$25)/HLOOKUP(E$64*10+$A66,$87:$94,5,FALSE)*$E66,HLOOKUP(F$64*10+$A66,$81:$82,2,FALSE))</f>
        <v>1.22</v>
      </c>
      <c r="G66" s="101">
        <f>MIN(130%,SUM($B$57:$D$57)/SUM($B$58:$D$58)*$G$69/HLOOKUP(E$64*10+$A66,$145:$146,2,FALSE))</f>
        <v>1.0964261148060712</v>
      </c>
      <c r="H66" s="204">
        <v>2</v>
      </c>
      <c r="I66" s="208">
        <f t="shared" si="6"/>
        <v>0.20860000000000001</v>
      </c>
      <c r="J66" s="208">
        <f t="shared" si="6"/>
        <v>0.21179999999999999</v>
      </c>
      <c r="K66" s="208">
        <f t="shared" si="6"/>
        <v>0.1394</v>
      </c>
      <c r="L66" s="208">
        <f t="shared" si="6"/>
        <v>0.15820000000000001</v>
      </c>
      <c r="M66" s="209">
        <f t="shared" si="6"/>
        <v>0.11230000000000001</v>
      </c>
      <c r="N66" s="256">
        <f t="shared" si="7"/>
        <v>-1424</v>
      </c>
      <c r="O66" s="256">
        <f t="shared" si="7"/>
        <v>7955</v>
      </c>
      <c r="P66" s="210"/>
    </row>
    <row r="67" spans="1:71" x14ac:dyDescent="0.25">
      <c r="A67" s="204">
        <v>3</v>
      </c>
      <c r="B67" s="205">
        <f t="shared" si="5"/>
        <v>3.16</v>
      </c>
      <c r="C67" s="205">
        <f t="shared" si="5"/>
        <v>3.04</v>
      </c>
      <c r="D67" s="205">
        <f t="shared" si="5"/>
        <v>2.44</v>
      </c>
      <c r="E67" s="205">
        <f t="shared" si="5"/>
        <v>1.39</v>
      </c>
      <c r="F67" s="206">
        <f>IF(ISNA(HLOOKUP(F$64*10+$A67,$81:$82,2,FALSE)),(HLOOKUP(E$64*10+$A67,$87:$94,4,FALSE)*$G67+$B$25)/HLOOKUP(E$64*10+$A67,$87:$94,5,FALSE)*$E67,HLOOKUP(F$64*10+$A67,$81:$82,2,FALSE))</f>
        <v>2.3199999999999998</v>
      </c>
      <c r="G67" s="101">
        <f>MIN(130%,SUM($B$57:$D$57)/SUM($B$58:$D$58)*$G$69/HLOOKUP(E$64*10+$A67,$145:$146,2,FALSE))</f>
        <v>1.1777120730405222</v>
      </c>
      <c r="H67" s="204">
        <v>3</v>
      </c>
      <c r="I67" s="208">
        <f t="shared" si="6"/>
        <v>0.26200000000000001</v>
      </c>
      <c r="J67" s="208">
        <f t="shared" si="6"/>
        <v>0.24059999999999998</v>
      </c>
      <c r="K67" s="208">
        <f t="shared" si="6"/>
        <v>0.18820000000000001</v>
      </c>
      <c r="L67" s="208">
        <f t="shared" si="6"/>
        <v>0.14550000000000002</v>
      </c>
      <c r="M67" s="209">
        <f t="shared" si="6"/>
        <v>0.18719999999999998</v>
      </c>
      <c r="N67" s="256">
        <f t="shared" si="7"/>
        <v>-30242</v>
      </c>
      <c r="O67" s="256">
        <f t="shared" si="7"/>
        <v>13290</v>
      </c>
      <c r="P67" s="210"/>
    </row>
    <row r="68" spans="1:71" x14ac:dyDescent="0.25">
      <c r="A68" s="204">
        <v>4</v>
      </c>
      <c r="B68" s="205">
        <f>HLOOKUP(B$64*10+$A68,$81:$82,2,FALSE)</f>
        <v>2.5299999999999998</v>
      </c>
      <c r="C68" s="205">
        <f>HLOOKUP(C$64*10+$A68,$81:$82,2,FALSE)</f>
        <v>2.06</v>
      </c>
      <c r="D68" s="205">
        <f>HLOOKUP(D$64*10+$A68,$81:$82,2,FALSE)</f>
        <v>1.54</v>
      </c>
      <c r="E68" s="206">
        <f>IF(ISNA(HLOOKUP(E$64*10+$A68,$81:$82,2,FALSE)),D68*(1-$N68)*#REF!*(1+$B$25)/(1+$E$4),HLOOKUP(E$64*10+$A68,$81:$82,2,FALSE))</f>
        <v>1.9</v>
      </c>
      <c r="F68" s="206">
        <f>IF(ISNA(HLOOKUP(F$64*10+$A68,$81:$82,2,FALSE)),(HLOOKUP(E$64*10+$A68,$87:$94,4,FALSE)*$G68+$B$25)/HLOOKUP(E$64*10+$A68,$87:$94,5,FALSE)*$E68,HLOOKUP(F$64*10+$A68,$81:$82,2,FALSE))</f>
        <v>1.914256943419725</v>
      </c>
      <c r="G68" s="101">
        <f>MIN(130%,SUM($B$57:$D$57)/SUM($B$58:$D$58)*$G$69/HLOOKUP(E$64*10+$A68,$145:$146,2,FALSE))</f>
        <v>1.0684538985025533</v>
      </c>
      <c r="H68" s="204">
        <v>4</v>
      </c>
      <c r="I68" s="208">
        <f t="shared" si="6"/>
        <v>0.22140000000000001</v>
      </c>
      <c r="J68" s="208">
        <f t="shared" si="6"/>
        <v>0.1759</v>
      </c>
      <c r="K68" s="208">
        <f t="shared" si="6"/>
        <v>0.15429999999999999</v>
      </c>
      <c r="L68" s="208">
        <f t="shared" si="6"/>
        <v>0.16440000000000002</v>
      </c>
      <c r="M68" s="209" t="str">
        <f t="shared" si="6"/>
        <v/>
      </c>
      <c r="N68" s="256">
        <f t="shared" si="7"/>
        <v>28758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9.7199999999999989</v>
      </c>
      <c r="C69" s="213">
        <f>SUM(C65:C68)</f>
        <v>9.27</v>
      </c>
      <c r="D69" s="213">
        <f>SUM(D65:D68)</f>
        <v>6.39</v>
      </c>
      <c r="E69" s="213">
        <f>SUM(E65:E68)</f>
        <v>6.2999999999999989</v>
      </c>
      <c r="F69" s="213">
        <f>SUM(F65:F68)</f>
        <v>6.0042569434197244</v>
      </c>
      <c r="G69" s="257">
        <f>_xlfn.FORECAST.ETS(23,B146:W146,{1,2,3,4,5,6,7,8,9,10,11,12,13,14,15,16,17,18,19,20,21,22})</f>
        <v>26.351510902989485</v>
      </c>
      <c r="H69" s="214" t="s">
        <v>19</v>
      </c>
      <c r="I69" s="215">
        <f>HLOOKUP(I64,151:155,3,FALSE)/100</f>
        <v>0.2238</v>
      </c>
      <c r="J69" s="215">
        <f>HLOOKUP(J64,151:155,3,FALSE)/100</f>
        <v>0.20569999999999999</v>
      </c>
      <c r="K69" s="215">
        <f>HLOOKUP(K64,151:155,3,FALSE)/100</f>
        <v>0.15590000000000001</v>
      </c>
      <c r="L69" s="215">
        <f>IF(ISNA(HLOOKUP(L64,151:155,3,FALSE)/100),AVERAGE(L65:L68),HLOOKUP(L64,151:155,3,FALSE)/100)</f>
        <v>0.15310000000000001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3.61</v>
      </c>
      <c r="C72" s="205">
        <f t="shared" si="8"/>
        <v>3.24</v>
      </c>
      <c r="D72" s="205">
        <f t="shared" si="8"/>
        <v>2.0699999999999998</v>
      </c>
      <c r="E72" s="205">
        <f t="shared" si="8"/>
        <v>2.2000000000000002</v>
      </c>
      <c r="F72" s="205">
        <f t="shared" si="8"/>
        <v>0.86</v>
      </c>
    </row>
    <row r="73" spans="1:71" s="135" customFormat="1" x14ac:dyDescent="0.25">
      <c r="A73" s="204">
        <v>2</v>
      </c>
      <c r="B73" s="205">
        <f t="shared" si="8"/>
        <v>3.74</v>
      </c>
      <c r="C73" s="205">
        <f t="shared" si="8"/>
        <v>3.86</v>
      </c>
      <c r="D73" s="205">
        <f t="shared" si="8"/>
        <v>1.88</v>
      </c>
      <c r="E73" s="205">
        <f t="shared" si="8"/>
        <v>2.64</v>
      </c>
      <c r="F73" s="205">
        <f t="shared" si="8"/>
        <v>1.99</v>
      </c>
    </row>
    <row r="74" spans="1:71" s="135" customFormat="1" x14ac:dyDescent="0.25">
      <c r="A74" s="204">
        <v>3</v>
      </c>
      <c r="B74" s="205">
        <f t="shared" si="8"/>
        <v>5.8</v>
      </c>
      <c r="C74" s="205">
        <f t="shared" si="8"/>
        <v>5.27</v>
      </c>
      <c r="D74" s="205">
        <f t="shared" si="8"/>
        <v>4.12</v>
      </c>
      <c r="E74" s="205">
        <f t="shared" si="8"/>
        <v>2.33</v>
      </c>
      <c r="F74" s="205">
        <f t="shared" si="8"/>
        <v>3.86</v>
      </c>
    </row>
    <row r="75" spans="1:71" s="135" customFormat="1" x14ac:dyDescent="0.25">
      <c r="A75" s="204">
        <v>4</v>
      </c>
      <c r="B75" s="205">
        <f t="shared" si="8"/>
        <v>4.43</v>
      </c>
      <c r="C75" s="205">
        <f t="shared" si="8"/>
        <v>3.41</v>
      </c>
      <c r="D75" s="205">
        <f t="shared" si="8"/>
        <v>2.5</v>
      </c>
      <c r="E75" s="205">
        <f t="shared" si="8"/>
        <v>3.09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17.579999999999998</v>
      </c>
      <c r="C76" s="213">
        <f>SUM(C72:C75)</f>
        <v>15.78</v>
      </c>
      <c r="D76" s="213">
        <f>SUM(D72:D75)</f>
        <v>10.57</v>
      </c>
      <c r="E76" s="213">
        <f>AVERAGE(E72:E75)*4</f>
        <v>10.26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424261</v>
      </c>
      <c r="C79" s="270">
        <v>504986</v>
      </c>
      <c r="D79" s="270">
        <v>521916</v>
      </c>
      <c r="E79" s="270">
        <v>483474</v>
      </c>
      <c r="F79" s="270">
        <v>502174</v>
      </c>
      <c r="G79" s="270">
        <v>544872</v>
      </c>
      <c r="H79" s="270">
        <v>660461</v>
      </c>
      <c r="I79" s="270">
        <v>721941</v>
      </c>
      <c r="J79" s="270">
        <v>645531</v>
      </c>
      <c r="K79" s="270">
        <v>643216</v>
      </c>
      <c r="L79" s="270">
        <v>722639</v>
      </c>
      <c r="M79" s="270">
        <v>609522</v>
      </c>
      <c r="N79" s="270">
        <v>708796</v>
      </c>
      <c r="O79" s="270">
        <v>502087</v>
      </c>
      <c r="P79" s="270">
        <v>555290</v>
      </c>
      <c r="Q79" s="270">
        <v>634923</v>
      </c>
      <c r="R79" s="270">
        <v>655047</v>
      </c>
      <c r="S79" s="270">
        <v>623242</v>
      </c>
      <c r="T79" s="270">
        <v>752389</v>
      </c>
      <c r="U79" s="270">
        <v>739146</v>
      </c>
      <c r="V79" s="270">
        <v>746965</v>
      </c>
      <c r="W79" s="270">
        <v>756214</v>
      </c>
      <c r="X79" s="270">
        <v>644220</v>
      </c>
      <c r="Y79" s="270">
        <v>611121</v>
      </c>
      <c r="Z79" s="270">
        <v>633410</v>
      </c>
      <c r="AA79" s="270">
        <v>580092</v>
      </c>
      <c r="AB79" s="270">
        <v>653625</v>
      </c>
      <c r="AC79" s="270">
        <v>689047</v>
      </c>
      <c r="AD79" s="270">
        <v>757014</v>
      </c>
      <c r="AE79" s="270">
        <v>759278</v>
      </c>
      <c r="AF79" s="270">
        <v>785888</v>
      </c>
      <c r="AG79" s="270">
        <v>784119</v>
      </c>
      <c r="AH79" s="270">
        <v>769334</v>
      </c>
      <c r="AI79" s="270">
        <v>715241</v>
      </c>
      <c r="AJ79" s="270">
        <v>607670</v>
      </c>
      <c r="AK79" s="270">
        <v>602829</v>
      </c>
      <c r="AL79" s="270">
        <v>634296</v>
      </c>
      <c r="AM79" s="270">
        <v>511636</v>
      </c>
      <c r="AN79" s="270">
        <v>654884</v>
      </c>
      <c r="AO79" s="270">
        <v>578735</v>
      </c>
      <c r="AP79" s="270">
        <v>644337</v>
      </c>
      <c r="AQ79" s="270">
        <v>715707</v>
      </c>
      <c r="AR79" s="270">
        <v>724356</v>
      </c>
      <c r="AS79" s="270">
        <v>735419</v>
      </c>
      <c r="AT79" s="270">
        <v>678133</v>
      </c>
      <c r="AU79" s="270">
        <v>634969</v>
      </c>
      <c r="AV79" s="270">
        <v>596788</v>
      </c>
      <c r="AW79" s="270">
        <v>662645</v>
      </c>
      <c r="AX79" s="270">
        <v>644915</v>
      </c>
      <c r="AY79" s="270">
        <v>565989</v>
      </c>
      <c r="AZ79" s="270">
        <v>705747</v>
      </c>
      <c r="BA79" s="270">
        <v>640012</v>
      </c>
      <c r="BB79" s="270">
        <v>706630</v>
      </c>
      <c r="BC79" s="270">
        <v>708698</v>
      </c>
      <c r="BD79" s="270">
        <v>665068</v>
      </c>
      <c r="BE79" s="270">
        <v>710508</v>
      </c>
      <c r="BF79" s="270">
        <v>688787</v>
      </c>
      <c r="BG79" s="270">
        <v>672523</v>
      </c>
      <c r="BH79" s="270">
        <v>720551</v>
      </c>
      <c r="BI79" s="270">
        <v>628417</v>
      </c>
      <c r="BJ79" s="270">
        <v>621959</v>
      </c>
      <c r="BK79" s="270">
        <v>577180</v>
      </c>
      <c r="BL79" s="270">
        <v>633622</v>
      </c>
      <c r="BM79" s="270">
        <v>571918</v>
      </c>
      <c r="BN79" s="270">
        <v>605104</v>
      </c>
      <c r="BO79" s="270">
        <v>643828</v>
      </c>
      <c r="BP79" s="270">
        <v>641321</v>
      </c>
      <c r="BQ79" s="270">
        <v>713787</v>
      </c>
      <c r="BR79" s="270">
        <v>742204</v>
      </c>
      <c r="BS79" s="270">
        <v>717202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1.04</v>
      </c>
      <c r="C82" s="72">
        <v>1.07</v>
      </c>
      <c r="D82" s="72">
        <v>2.58</v>
      </c>
      <c r="E82" s="72">
        <v>3.42</v>
      </c>
      <c r="F82" s="72">
        <v>2</v>
      </c>
      <c r="G82" s="72">
        <v>2.0299999999999998</v>
      </c>
      <c r="H82" s="72">
        <v>3.16</v>
      </c>
      <c r="I82" s="72">
        <v>2.5299999999999998</v>
      </c>
      <c r="J82" s="72">
        <v>1.92</v>
      </c>
      <c r="K82" s="72">
        <v>2.25</v>
      </c>
      <c r="L82" s="72">
        <v>3.04</v>
      </c>
      <c r="M82" s="72">
        <v>2.06</v>
      </c>
      <c r="N82" s="72">
        <v>1.28</v>
      </c>
      <c r="O82" s="72">
        <v>1.1299999999999999</v>
      </c>
      <c r="P82" s="72">
        <v>2.44</v>
      </c>
      <c r="Q82" s="72">
        <v>1.54</v>
      </c>
      <c r="R82" s="72">
        <v>1.39</v>
      </c>
      <c r="S82" s="72">
        <v>1.62</v>
      </c>
      <c r="T82" s="72">
        <v>1.39</v>
      </c>
      <c r="U82" s="72">
        <v>1.9</v>
      </c>
      <c r="V82" s="72">
        <v>0.55000000000000004</v>
      </c>
      <c r="W82" s="72">
        <v>1.22</v>
      </c>
      <c r="X82" s="72">
        <v>2.3199999999999998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51.75</v>
      </c>
      <c r="C85" s="72">
        <v>48.96</v>
      </c>
      <c r="D85" s="72">
        <v>51.32</v>
      </c>
      <c r="E85" s="72">
        <v>54.64</v>
      </c>
      <c r="F85" s="72">
        <v>55.85</v>
      </c>
      <c r="G85" s="72">
        <v>52.94</v>
      </c>
      <c r="H85" s="72">
        <v>55.97</v>
      </c>
      <c r="I85" s="72">
        <v>58.43</v>
      </c>
      <c r="J85" s="72">
        <v>60.54</v>
      </c>
      <c r="K85" s="72">
        <v>56.04</v>
      </c>
      <c r="L85" s="72">
        <v>59.22</v>
      </c>
      <c r="M85" s="72">
        <v>61.55</v>
      </c>
      <c r="N85" s="72">
        <v>62.75</v>
      </c>
      <c r="O85" s="72">
        <v>57.78</v>
      </c>
      <c r="P85" s="72">
        <v>60.68</v>
      </c>
      <c r="Q85" s="72">
        <v>62.22</v>
      </c>
      <c r="R85" s="72">
        <v>63.47</v>
      </c>
      <c r="S85" s="72">
        <v>59.11</v>
      </c>
      <c r="T85" s="72">
        <v>60.32</v>
      </c>
      <c r="U85" s="72">
        <v>62.29</v>
      </c>
      <c r="V85" s="72">
        <v>63.54</v>
      </c>
      <c r="W85" s="72">
        <v>58.86</v>
      </c>
      <c r="X85" s="72">
        <v>61.15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1451193</v>
      </c>
      <c r="C88" s="273">
        <v>1530490</v>
      </c>
      <c r="D88" s="273">
        <v>2027933</v>
      </c>
      <c r="E88" s="273">
        <v>1975377</v>
      </c>
      <c r="F88" s="273">
        <v>1766173</v>
      </c>
      <c r="G88" s="273">
        <v>1913212</v>
      </c>
      <c r="H88" s="273">
        <v>2238500</v>
      </c>
      <c r="I88" s="273">
        <v>2011555</v>
      </c>
      <c r="J88" s="273">
        <v>1867127</v>
      </c>
      <c r="K88" s="273">
        <v>2205339</v>
      </c>
      <c r="L88" s="273">
        <v>2339341</v>
      </c>
      <c r="M88" s="273">
        <v>1925740</v>
      </c>
      <c r="N88" s="273">
        <v>1800816</v>
      </c>
      <c r="O88" s="273">
        <v>1938779</v>
      </c>
      <c r="P88" s="273">
        <v>2137908</v>
      </c>
      <c r="Q88" s="273">
        <v>1894401</v>
      </c>
      <c r="R88" s="273">
        <v>1916650</v>
      </c>
      <c r="S88" s="273">
        <v>2055341</v>
      </c>
      <c r="T88" s="273">
        <v>2064363</v>
      </c>
      <c r="U88" s="273">
        <v>2021491</v>
      </c>
      <c r="V88" s="273">
        <v>1832761</v>
      </c>
      <c r="W88" s="273">
        <v>1820850</v>
      </c>
      <c r="X88" s="273">
        <v>2097312</v>
      </c>
    </row>
    <row r="89" spans="1:25" ht="14.25" thickBot="1" x14ac:dyDescent="0.3">
      <c r="A89" s="250" t="s">
        <v>4</v>
      </c>
      <c r="B89" s="275">
        <v>407696</v>
      </c>
      <c r="C89" s="275">
        <v>381825</v>
      </c>
      <c r="D89" s="275">
        <v>695999</v>
      </c>
      <c r="E89" s="275">
        <v>666609</v>
      </c>
      <c r="F89" s="275">
        <v>509372</v>
      </c>
      <c r="G89" s="275">
        <v>579783</v>
      </c>
      <c r="H89" s="275">
        <v>767871</v>
      </c>
      <c r="I89" s="275">
        <v>620072</v>
      </c>
      <c r="J89" s="275">
        <v>524704</v>
      </c>
      <c r="K89" s="275">
        <v>664703</v>
      </c>
      <c r="L89" s="275">
        <v>781427</v>
      </c>
      <c r="M89" s="275">
        <v>518161</v>
      </c>
      <c r="N89" s="275">
        <v>414786</v>
      </c>
      <c r="O89" s="275">
        <v>450876</v>
      </c>
      <c r="P89" s="275">
        <v>598413</v>
      </c>
      <c r="Q89" s="275">
        <v>450118</v>
      </c>
      <c r="R89" s="275">
        <v>469570</v>
      </c>
      <c r="S89" s="275">
        <v>518196</v>
      </c>
      <c r="T89" s="275">
        <v>484548</v>
      </c>
      <c r="U89" s="275">
        <v>522870</v>
      </c>
      <c r="V89" s="275">
        <v>362042</v>
      </c>
      <c r="W89" s="275">
        <v>392057</v>
      </c>
      <c r="X89" s="275">
        <v>578495</v>
      </c>
    </row>
    <row r="90" spans="1:25" ht="14.25" thickBot="1" x14ac:dyDescent="0.3">
      <c r="A90" s="251" t="s">
        <v>5</v>
      </c>
      <c r="B90" s="273">
        <v>206645</v>
      </c>
      <c r="C90" s="273">
        <v>235300</v>
      </c>
      <c r="D90" s="273">
        <v>513595</v>
      </c>
      <c r="E90" s="273">
        <v>510653</v>
      </c>
      <c r="F90" s="273">
        <v>343617</v>
      </c>
      <c r="G90" s="273">
        <v>399190</v>
      </c>
      <c r="H90" s="273">
        <v>586513</v>
      </c>
      <c r="I90" s="273">
        <v>445396</v>
      </c>
      <c r="J90" s="273">
        <v>346099</v>
      </c>
      <c r="K90" s="273">
        <v>467193</v>
      </c>
      <c r="L90" s="273">
        <v>562733</v>
      </c>
      <c r="M90" s="273">
        <v>338826</v>
      </c>
      <c r="N90" s="273">
        <v>247221</v>
      </c>
      <c r="O90" s="273">
        <v>270233</v>
      </c>
      <c r="P90" s="273">
        <v>402289</v>
      </c>
      <c r="Q90" s="273">
        <v>292242</v>
      </c>
      <c r="R90" s="273">
        <v>275904</v>
      </c>
      <c r="S90" s="273">
        <v>325192</v>
      </c>
      <c r="T90" s="273">
        <v>300384</v>
      </c>
      <c r="U90" s="273">
        <v>332274</v>
      </c>
      <c r="V90" s="273">
        <v>185071</v>
      </c>
      <c r="W90" s="273">
        <v>204531</v>
      </c>
      <c r="X90" s="273">
        <v>392681</v>
      </c>
    </row>
    <row r="91" spans="1:25" ht="14.25" thickBot="1" x14ac:dyDescent="0.3">
      <c r="A91" s="250" t="s">
        <v>6</v>
      </c>
      <c r="B91" s="275">
        <v>202612</v>
      </c>
      <c r="C91" s="275">
        <v>247376</v>
      </c>
      <c r="D91" s="275">
        <v>505037</v>
      </c>
      <c r="E91" s="275">
        <v>524209</v>
      </c>
      <c r="F91" s="275">
        <v>372429</v>
      </c>
      <c r="G91" s="275">
        <v>428030</v>
      </c>
      <c r="H91" s="275">
        <v>592274</v>
      </c>
      <c r="I91" s="275">
        <v>471170</v>
      </c>
      <c r="J91" s="275">
        <v>370628</v>
      </c>
      <c r="K91" s="275">
        <v>457338</v>
      </c>
      <c r="L91" s="275">
        <v>585396</v>
      </c>
      <c r="M91" s="275">
        <v>386599</v>
      </c>
      <c r="N91" s="275">
        <v>245943</v>
      </c>
      <c r="O91" s="275">
        <v>270737</v>
      </c>
      <c r="P91" s="275">
        <v>469411</v>
      </c>
      <c r="Q91" s="275">
        <v>296950</v>
      </c>
      <c r="R91" s="275">
        <v>268172</v>
      </c>
      <c r="S91" s="275">
        <v>323768</v>
      </c>
      <c r="T91" s="275">
        <v>270142</v>
      </c>
      <c r="U91" s="275">
        <v>361032</v>
      </c>
      <c r="V91" s="275">
        <v>116669</v>
      </c>
      <c r="W91" s="275">
        <v>212486</v>
      </c>
      <c r="X91" s="275">
        <v>405971</v>
      </c>
    </row>
    <row r="92" spans="1:25" ht="14.25" thickBot="1" x14ac:dyDescent="0.3">
      <c r="A92" s="251" t="s">
        <v>7</v>
      </c>
      <c r="B92" s="273">
        <v>166258</v>
      </c>
      <c r="C92" s="273">
        <v>172435</v>
      </c>
      <c r="D92" s="273">
        <v>417996</v>
      </c>
      <c r="E92" s="273">
        <v>554287</v>
      </c>
      <c r="F92" s="273">
        <v>325203</v>
      </c>
      <c r="G92" s="273">
        <v>331273</v>
      </c>
      <c r="H92" s="273">
        <v>514332</v>
      </c>
      <c r="I92" s="273">
        <v>412665</v>
      </c>
      <c r="J92" s="273">
        <v>313497</v>
      </c>
      <c r="K92" s="273">
        <v>366121</v>
      </c>
      <c r="L92" s="273">
        <v>495215</v>
      </c>
      <c r="M92" s="273">
        <v>335809</v>
      </c>
      <c r="N92" s="273">
        <v>209142</v>
      </c>
      <c r="O92" s="273">
        <v>184611</v>
      </c>
      <c r="P92" s="273">
        <v>397196</v>
      </c>
      <c r="Q92" s="273">
        <v>250462</v>
      </c>
      <c r="R92" s="273">
        <v>225698</v>
      </c>
      <c r="S92" s="273">
        <v>263597</v>
      </c>
      <c r="T92" s="273">
        <v>226762</v>
      </c>
      <c r="U92" s="273">
        <v>308949</v>
      </c>
      <c r="V92" s="273">
        <v>89151</v>
      </c>
      <c r="W92" s="273">
        <v>201036</v>
      </c>
      <c r="X92" s="273">
        <v>383093</v>
      </c>
    </row>
    <row r="93" spans="1:25" ht="26.25" thickBot="1" x14ac:dyDescent="0.3">
      <c r="A93" s="252" t="s">
        <v>8</v>
      </c>
      <c r="B93" s="276">
        <v>166258</v>
      </c>
      <c r="C93" s="276">
        <v>172435</v>
      </c>
      <c r="D93" s="276">
        <v>417996</v>
      </c>
      <c r="E93" s="276">
        <v>554287</v>
      </c>
      <c r="F93" s="276">
        <v>325203</v>
      </c>
      <c r="G93" s="276">
        <v>331273</v>
      </c>
      <c r="H93" s="276">
        <v>514332</v>
      </c>
      <c r="I93" s="276">
        <v>412665</v>
      </c>
      <c r="J93" s="276">
        <v>313497</v>
      </c>
      <c r="K93" s="276">
        <v>366121</v>
      </c>
      <c r="L93" s="276">
        <v>495215</v>
      </c>
      <c r="M93" s="276">
        <v>335809</v>
      </c>
      <c r="N93" s="276">
        <v>209142</v>
      </c>
      <c r="O93" s="276">
        <v>184611</v>
      </c>
      <c r="P93" s="276">
        <v>397196</v>
      </c>
      <c r="Q93" s="276">
        <v>250462</v>
      </c>
      <c r="R93" s="276">
        <v>225698</v>
      </c>
      <c r="S93" s="276">
        <v>263597</v>
      </c>
      <c r="T93" s="276">
        <v>226762</v>
      </c>
      <c r="U93" s="276">
        <v>308949</v>
      </c>
      <c r="V93" s="276">
        <v>89151</v>
      </c>
      <c r="W93" s="276">
        <v>201036</v>
      </c>
      <c r="X93" s="276">
        <v>383093</v>
      </c>
    </row>
    <row r="94" spans="1:25" x14ac:dyDescent="0.25">
      <c r="A94" s="233" t="s">
        <v>365</v>
      </c>
      <c r="B94" s="253">
        <f>IF(B91="","",B91-B90)</f>
        <v>-4033</v>
      </c>
      <c r="C94" s="253">
        <f>IF(C91="","",C91-C90)</f>
        <v>12076</v>
      </c>
      <c r="D94" s="253">
        <f t="shared" ref="D94:Y94" si="9">IF(D91="","",D91-D90)</f>
        <v>-8558</v>
      </c>
      <c r="E94" s="253">
        <f t="shared" si="9"/>
        <v>13556</v>
      </c>
      <c r="F94" s="253">
        <f t="shared" si="9"/>
        <v>28812</v>
      </c>
      <c r="G94" s="253">
        <f t="shared" si="9"/>
        <v>28840</v>
      </c>
      <c r="H94" s="253">
        <f t="shared" si="9"/>
        <v>5761</v>
      </c>
      <c r="I94" s="253">
        <f t="shared" si="9"/>
        <v>25774</v>
      </c>
      <c r="J94" s="253">
        <f t="shared" si="9"/>
        <v>24529</v>
      </c>
      <c r="K94" s="253">
        <f t="shared" si="9"/>
        <v>-9855</v>
      </c>
      <c r="L94" s="253">
        <f t="shared" si="9"/>
        <v>22663</v>
      </c>
      <c r="M94" s="253">
        <f t="shared" si="9"/>
        <v>47773</v>
      </c>
      <c r="N94" s="253">
        <f t="shared" si="9"/>
        <v>-1278</v>
      </c>
      <c r="O94" s="253">
        <f t="shared" si="9"/>
        <v>504</v>
      </c>
      <c r="P94" s="253">
        <f t="shared" si="9"/>
        <v>67122</v>
      </c>
      <c r="Q94" s="253">
        <f t="shared" si="9"/>
        <v>4708</v>
      </c>
      <c r="R94" s="253">
        <f t="shared" si="9"/>
        <v>-7732</v>
      </c>
      <c r="S94" s="253">
        <f t="shared" si="9"/>
        <v>-1424</v>
      </c>
      <c r="T94" s="253">
        <f t="shared" si="9"/>
        <v>-30242</v>
      </c>
      <c r="U94" s="253">
        <f t="shared" si="9"/>
        <v>28758</v>
      </c>
      <c r="V94" s="253">
        <f t="shared" si="9"/>
        <v>-68402</v>
      </c>
      <c r="W94" s="253">
        <f t="shared" si="9"/>
        <v>7955</v>
      </c>
      <c r="X94" s="253">
        <f t="shared" si="9"/>
        <v>13290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6984993</v>
      </c>
      <c r="C97" s="273">
        <v>7929440</v>
      </c>
      <c r="D97" s="273">
        <v>8337547</v>
      </c>
      <c r="E97" s="273">
        <v>7771904</v>
      </c>
      <c r="F97" s="273">
        <v>8057845</v>
      </c>
    </row>
    <row r="98" spans="1:24" ht="14.25" thickBot="1" x14ac:dyDescent="0.3">
      <c r="A98" s="225" t="s">
        <v>4</v>
      </c>
      <c r="B98" s="275">
        <v>2152129</v>
      </c>
      <c r="C98" s="275">
        <v>2477098</v>
      </c>
      <c r="D98" s="275">
        <v>2488995</v>
      </c>
      <c r="E98" s="275">
        <v>1914193</v>
      </c>
      <c r="F98" s="275">
        <v>1995184</v>
      </c>
    </row>
    <row r="99" spans="1:24" ht="14.25" thickBot="1" x14ac:dyDescent="0.3">
      <c r="A99" s="224" t="s">
        <v>5</v>
      </c>
      <c r="B99" s="273">
        <v>1466193</v>
      </c>
      <c r="C99" s="273">
        <v>1774716</v>
      </c>
      <c r="D99" s="273">
        <v>1714851</v>
      </c>
      <c r="E99" s="273">
        <v>1211985</v>
      </c>
      <c r="F99" s="273">
        <v>1233754</v>
      </c>
    </row>
    <row r="100" spans="1:24" ht="14.25" thickBot="1" x14ac:dyDescent="0.3">
      <c r="A100" s="225" t="s">
        <v>6</v>
      </c>
      <c r="B100" s="275">
        <v>1479234</v>
      </c>
      <c r="C100" s="275">
        <v>1863903</v>
      </c>
      <c r="D100" s="275">
        <v>1799961</v>
      </c>
      <c r="E100" s="275">
        <v>1283041</v>
      </c>
      <c r="F100" s="275">
        <v>1223114</v>
      </c>
    </row>
    <row r="101" spans="1:24" ht="14.25" thickBot="1" x14ac:dyDescent="0.3">
      <c r="A101" s="224" t="s">
        <v>7</v>
      </c>
      <c r="B101" s="273">
        <v>1310976</v>
      </c>
      <c r="C101" s="273">
        <v>1583473</v>
      </c>
      <c r="D101" s="273">
        <v>1510642</v>
      </c>
      <c r="E101" s="273">
        <v>1041411</v>
      </c>
      <c r="F101" s="273">
        <v>1025006</v>
      </c>
    </row>
    <row r="102" spans="1:24" ht="14.25" thickBot="1" x14ac:dyDescent="0.3">
      <c r="A102" s="227" t="s">
        <v>8</v>
      </c>
      <c r="B102" s="276">
        <v>1310976</v>
      </c>
      <c r="C102" s="276">
        <v>1583473</v>
      </c>
      <c r="D102" s="276">
        <v>1510642</v>
      </c>
      <c r="E102" s="276">
        <v>1041411</v>
      </c>
      <c r="F102" s="276">
        <v>1025006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3677517</v>
      </c>
      <c r="C106" s="273">
        <v>3568673</v>
      </c>
      <c r="D106" s="273">
        <v>2658896</v>
      </c>
      <c r="E106" s="273">
        <v>3174564</v>
      </c>
      <c r="F106" s="273">
        <v>3772443</v>
      </c>
      <c r="G106" s="273">
        <v>4011715</v>
      </c>
      <c r="H106" s="273">
        <v>4154091</v>
      </c>
      <c r="I106" s="273">
        <v>3839723</v>
      </c>
      <c r="J106" s="273">
        <v>4191017</v>
      </c>
      <c r="K106" s="273">
        <v>6246215</v>
      </c>
      <c r="L106" s="273">
        <v>6923462</v>
      </c>
      <c r="M106" s="273">
        <v>7614055</v>
      </c>
      <c r="N106" s="273">
        <v>7652409</v>
      </c>
      <c r="O106" s="273">
        <v>6816934</v>
      </c>
      <c r="P106" s="273">
        <v>6148883</v>
      </c>
      <c r="Q106" s="273">
        <v>6450193</v>
      </c>
      <c r="R106" s="273">
        <v>6515137</v>
      </c>
      <c r="S106" s="273">
        <v>6566561</v>
      </c>
      <c r="T106" s="273">
        <v>5906659</v>
      </c>
      <c r="U106" s="273">
        <v>6651319</v>
      </c>
      <c r="V106" s="273">
        <v>7125644</v>
      </c>
      <c r="W106" s="273">
        <v>6184372</v>
      </c>
      <c r="X106" s="273">
        <v>5491003</v>
      </c>
    </row>
    <row r="107" spans="1:24" ht="14.25" thickBot="1" x14ac:dyDescent="0.3">
      <c r="A107" s="225" t="s">
        <v>22</v>
      </c>
      <c r="B107" s="275">
        <v>592497</v>
      </c>
      <c r="C107" s="275">
        <v>693486</v>
      </c>
      <c r="D107" s="275">
        <v>695710</v>
      </c>
      <c r="E107" s="275">
        <v>373034</v>
      </c>
      <c r="F107" s="275">
        <v>472204</v>
      </c>
      <c r="G107" s="275">
        <v>488684</v>
      </c>
      <c r="H107" s="275">
        <v>11165</v>
      </c>
      <c r="I107" s="275">
        <v>317685</v>
      </c>
      <c r="J107" s="275">
        <v>318547</v>
      </c>
      <c r="K107" s="275">
        <v>614256</v>
      </c>
      <c r="L107" s="275">
        <v>612479</v>
      </c>
      <c r="M107" s="275">
        <v>813617</v>
      </c>
      <c r="N107" s="275">
        <v>968765</v>
      </c>
      <c r="O107" s="275">
        <v>1165762</v>
      </c>
      <c r="P107" s="275">
        <v>1167039</v>
      </c>
      <c r="Q107" s="275">
        <v>1168291</v>
      </c>
      <c r="R107" s="275">
        <v>1203956</v>
      </c>
      <c r="S107" s="275">
        <v>1301938</v>
      </c>
      <c r="T107" s="275">
        <v>1303690</v>
      </c>
      <c r="U107" s="275">
        <v>1020193</v>
      </c>
      <c r="V107" s="275">
        <v>812018</v>
      </c>
      <c r="W107" s="275">
        <v>2334</v>
      </c>
      <c r="X107" s="274">
        <v>828</v>
      </c>
    </row>
    <row r="108" spans="1:24" ht="14.25" thickBot="1" x14ac:dyDescent="0.3">
      <c r="A108" s="224" t="s">
        <v>263</v>
      </c>
      <c r="B108" s="273">
        <v>727439</v>
      </c>
      <c r="C108" s="273">
        <v>777991</v>
      </c>
      <c r="D108" s="273">
        <v>1065347</v>
      </c>
      <c r="E108" s="273">
        <v>1104931</v>
      </c>
      <c r="F108" s="273">
        <v>847193</v>
      </c>
      <c r="G108" s="273">
        <v>1046861</v>
      </c>
      <c r="H108" s="273">
        <v>1162176</v>
      </c>
      <c r="I108" s="273">
        <v>1012795</v>
      </c>
      <c r="J108" s="273">
        <v>1043809</v>
      </c>
      <c r="K108" s="273">
        <v>1266799</v>
      </c>
      <c r="L108" s="273">
        <v>1318407</v>
      </c>
      <c r="M108" s="273">
        <v>1066970</v>
      </c>
      <c r="N108" s="273">
        <v>1063517</v>
      </c>
      <c r="O108" s="273">
        <v>1377521</v>
      </c>
      <c r="P108" s="273">
        <v>1473993</v>
      </c>
      <c r="Q108" s="273">
        <v>1231648</v>
      </c>
      <c r="R108" s="273">
        <v>1330643</v>
      </c>
      <c r="S108" s="273">
        <v>1472291</v>
      </c>
      <c r="T108" s="273">
        <v>1419246</v>
      </c>
      <c r="U108" s="273">
        <v>1422981</v>
      </c>
      <c r="V108" s="273">
        <v>1202687</v>
      </c>
      <c r="W108" s="273">
        <v>1360218</v>
      </c>
      <c r="X108" s="273">
        <v>1495743</v>
      </c>
    </row>
    <row r="109" spans="1:24" ht="14.25" thickBot="1" x14ac:dyDescent="0.3">
      <c r="A109" s="225" t="s">
        <v>264</v>
      </c>
      <c r="B109" s="275">
        <v>531051</v>
      </c>
      <c r="C109" s="275">
        <v>583578</v>
      </c>
      <c r="D109" s="275">
        <v>708546</v>
      </c>
      <c r="E109" s="275">
        <v>725926</v>
      </c>
      <c r="F109" s="275">
        <v>771743</v>
      </c>
      <c r="G109" s="275">
        <v>796171</v>
      </c>
      <c r="H109" s="275">
        <v>807449</v>
      </c>
      <c r="I109" s="275">
        <v>844673</v>
      </c>
      <c r="J109" s="275">
        <v>824870</v>
      </c>
      <c r="K109" s="275">
        <v>787347</v>
      </c>
      <c r="L109" s="275">
        <v>900905</v>
      </c>
      <c r="M109" s="275">
        <v>920073</v>
      </c>
      <c r="N109" s="275">
        <v>846540</v>
      </c>
      <c r="O109" s="275">
        <v>836130</v>
      </c>
      <c r="P109" s="275">
        <v>947644</v>
      </c>
      <c r="Q109" s="275">
        <v>901057</v>
      </c>
      <c r="R109" s="275">
        <v>866453</v>
      </c>
      <c r="S109" s="275">
        <v>880555</v>
      </c>
      <c r="T109" s="275">
        <v>930158</v>
      </c>
      <c r="U109" s="275">
        <v>964847</v>
      </c>
      <c r="V109" s="275">
        <v>918997</v>
      </c>
      <c r="W109" s="275">
        <v>878571</v>
      </c>
      <c r="X109" s="275">
        <v>897156</v>
      </c>
    </row>
    <row r="110" spans="1:24" ht="14.25" thickBot="1" x14ac:dyDescent="0.3">
      <c r="A110" s="224" t="s">
        <v>23</v>
      </c>
      <c r="B110" s="273">
        <v>106245</v>
      </c>
      <c r="C110" s="273">
        <v>135115</v>
      </c>
      <c r="D110" s="273">
        <v>146017</v>
      </c>
      <c r="E110" s="273">
        <v>107548</v>
      </c>
      <c r="F110" s="273">
        <v>105930</v>
      </c>
      <c r="G110" s="273">
        <v>84230</v>
      </c>
      <c r="H110" s="273">
        <v>113746</v>
      </c>
      <c r="I110" s="273">
        <v>791193</v>
      </c>
      <c r="J110" s="273">
        <v>794236</v>
      </c>
      <c r="K110" s="273">
        <v>786202</v>
      </c>
      <c r="L110" s="273">
        <v>813346</v>
      </c>
      <c r="M110" s="273">
        <v>90848</v>
      </c>
      <c r="N110" s="273">
        <v>104223</v>
      </c>
      <c r="O110" s="273">
        <v>96692</v>
      </c>
      <c r="P110" s="273">
        <v>122941</v>
      </c>
      <c r="Q110" s="273">
        <v>101076</v>
      </c>
      <c r="R110" s="273">
        <v>111778</v>
      </c>
      <c r="S110" s="273">
        <v>101311</v>
      </c>
      <c r="T110" s="273">
        <v>112450</v>
      </c>
      <c r="U110" s="273">
        <v>96814</v>
      </c>
      <c r="V110" s="273">
        <v>99972</v>
      </c>
      <c r="W110" s="273">
        <v>118598</v>
      </c>
      <c r="X110" s="273">
        <v>133145</v>
      </c>
    </row>
    <row r="111" spans="1:24" ht="14.25" thickBot="1" x14ac:dyDescent="0.3">
      <c r="A111" s="225" t="s">
        <v>24</v>
      </c>
      <c r="B111" s="275">
        <v>5634749</v>
      </c>
      <c r="C111" s="275">
        <v>5758843</v>
      </c>
      <c r="D111" s="275">
        <v>5274516</v>
      </c>
      <c r="E111" s="275">
        <v>5486003</v>
      </c>
      <c r="F111" s="275">
        <v>5969513</v>
      </c>
      <c r="G111" s="275">
        <v>6427661</v>
      </c>
      <c r="H111" s="275">
        <v>6248627</v>
      </c>
      <c r="I111" s="275">
        <v>6806069</v>
      </c>
      <c r="J111" s="275">
        <v>7172479</v>
      </c>
      <c r="K111" s="275">
        <v>9700819</v>
      </c>
      <c r="L111" s="275">
        <v>10568599</v>
      </c>
      <c r="M111" s="275">
        <v>10505563</v>
      </c>
      <c r="N111" s="275">
        <v>10635454</v>
      </c>
      <c r="O111" s="275">
        <v>10293039</v>
      </c>
      <c r="P111" s="275">
        <v>9860500</v>
      </c>
      <c r="Q111" s="275">
        <v>9852265</v>
      </c>
      <c r="R111" s="275">
        <v>10027967</v>
      </c>
      <c r="S111" s="275">
        <v>10322656</v>
      </c>
      <c r="T111" s="275">
        <v>9672203</v>
      </c>
      <c r="U111" s="275">
        <v>10156154</v>
      </c>
      <c r="V111" s="275">
        <v>10159318</v>
      </c>
      <c r="W111" s="275">
        <v>8544093</v>
      </c>
      <c r="X111" s="275">
        <v>8017875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3840453</v>
      </c>
      <c r="C113" s="275">
        <v>4079046</v>
      </c>
      <c r="D113" s="275">
        <v>4512719</v>
      </c>
      <c r="E113" s="275">
        <v>4658353</v>
      </c>
      <c r="F113" s="275">
        <v>4741754</v>
      </c>
      <c r="G113" s="275">
        <v>4810834</v>
      </c>
      <c r="H113" s="275">
        <v>4853073</v>
      </c>
      <c r="I113" s="275">
        <v>4839506</v>
      </c>
      <c r="J113" s="275">
        <v>4732487</v>
      </c>
      <c r="K113" s="275">
        <v>4586180</v>
      </c>
      <c r="L113" s="275">
        <v>4667057</v>
      </c>
      <c r="M113" s="275">
        <v>4857507</v>
      </c>
      <c r="N113" s="275">
        <v>4842956</v>
      </c>
      <c r="O113" s="275">
        <v>5252280</v>
      </c>
      <c r="P113" s="275">
        <v>5278209</v>
      </c>
      <c r="Q113" s="275">
        <v>5238538</v>
      </c>
      <c r="R113" s="275">
        <v>5236062</v>
      </c>
      <c r="S113" s="275">
        <v>5135842</v>
      </c>
      <c r="T113" s="275">
        <v>5039268</v>
      </c>
      <c r="U113" s="275">
        <v>4894075</v>
      </c>
      <c r="V113" s="275">
        <v>4700413</v>
      </c>
      <c r="W113" s="275">
        <v>4617483</v>
      </c>
      <c r="X113" s="275">
        <v>4518397</v>
      </c>
    </row>
    <row r="114" spans="1:24" ht="14.25" thickBot="1" x14ac:dyDescent="0.3">
      <c r="A114" s="224" t="s">
        <v>27</v>
      </c>
      <c r="B114" s="273">
        <v>223266</v>
      </c>
      <c r="C114" s="273">
        <v>227097</v>
      </c>
      <c r="D114" s="273">
        <v>228178</v>
      </c>
      <c r="E114" s="273">
        <v>245770</v>
      </c>
      <c r="F114" s="273">
        <v>190636</v>
      </c>
      <c r="G114" s="273">
        <v>187176</v>
      </c>
      <c r="H114" s="273">
        <v>195044</v>
      </c>
      <c r="I114" s="273">
        <v>235162</v>
      </c>
      <c r="J114" s="273">
        <v>247388</v>
      </c>
      <c r="K114" s="273">
        <v>361015</v>
      </c>
      <c r="L114" s="273">
        <v>192164</v>
      </c>
      <c r="M114" s="273">
        <v>229917</v>
      </c>
      <c r="N114" s="273">
        <v>225745</v>
      </c>
      <c r="O114" s="273">
        <v>226365</v>
      </c>
      <c r="P114" s="273">
        <v>223501</v>
      </c>
      <c r="Q114" s="273">
        <v>235320</v>
      </c>
      <c r="R114" s="273">
        <v>231050</v>
      </c>
      <c r="S114" s="273">
        <v>224712</v>
      </c>
      <c r="T114" s="273">
        <v>219298</v>
      </c>
      <c r="U114" s="273">
        <v>248982</v>
      </c>
      <c r="V114" s="273">
        <v>253417</v>
      </c>
      <c r="W114" s="273">
        <v>250013</v>
      </c>
      <c r="X114" s="273">
        <v>251326</v>
      </c>
    </row>
    <row r="115" spans="1:24" ht="14.25" thickBot="1" x14ac:dyDescent="0.3">
      <c r="A115" s="225" t="s">
        <v>265</v>
      </c>
      <c r="B115" s="276">
        <v>9698468</v>
      </c>
      <c r="C115" s="276">
        <v>10064986</v>
      </c>
      <c r="D115" s="276">
        <v>10015413</v>
      </c>
      <c r="E115" s="276">
        <v>10390126</v>
      </c>
      <c r="F115" s="276">
        <v>10901903</v>
      </c>
      <c r="G115" s="276">
        <v>11425671</v>
      </c>
      <c r="H115" s="276">
        <v>11296744</v>
      </c>
      <c r="I115" s="276">
        <v>11880737</v>
      </c>
      <c r="J115" s="276">
        <v>12152354</v>
      </c>
      <c r="K115" s="276">
        <v>14648014</v>
      </c>
      <c r="L115" s="276">
        <v>15427820</v>
      </c>
      <c r="M115" s="276">
        <v>15592987</v>
      </c>
      <c r="N115" s="276">
        <v>15704155</v>
      </c>
      <c r="O115" s="276">
        <v>15771684</v>
      </c>
      <c r="P115" s="276">
        <v>15362210</v>
      </c>
      <c r="Q115" s="276">
        <v>15326123</v>
      </c>
      <c r="R115" s="276">
        <v>15495079</v>
      </c>
      <c r="S115" s="276">
        <v>15683210</v>
      </c>
      <c r="T115" s="276">
        <v>14930769</v>
      </c>
      <c r="U115" s="276">
        <v>15299211</v>
      </c>
      <c r="V115" s="276">
        <v>15113148</v>
      </c>
      <c r="W115" s="276">
        <v>13411589</v>
      </c>
      <c r="X115" s="276">
        <v>12787598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152902</v>
      </c>
      <c r="C118" s="273">
        <v>87631</v>
      </c>
      <c r="D118" s="273">
        <v>101177</v>
      </c>
      <c r="E118" s="273">
        <v>230034</v>
      </c>
      <c r="F118" s="273">
        <v>338912</v>
      </c>
      <c r="G118" s="273">
        <v>352668</v>
      </c>
      <c r="H118" s="273">
        <v>447180</v>
      </c>
      <c r="I118" s="273">
        <v>488455</v>
      </c>
      <c r="J118" s="273">
        <v>379682</v>
      </c>
      <c r="K118" s="273">
        <v>476106</v>
      </c>
      <c r="L118" s="273">
        <v>484910</v>
      </c>
      <c r="M118" s="273">
        <v>402962</v>
      </c>
      <c r="N118" s="273">
        <v>442430</v>
      </c>
      <c r="O118" s="273">
        <v>345831</v>
      </c>
      <c r="P118" s="273">
        <v>354412</v>
      </c>
      <c r="Q118" s="273">
        <v>390572</v>
      </c>
      <c r="R118" s="273">
        <v>425325</v>
      </c>
      <c r="S118" s="273">
        <v>363863</v>
      </c>
      <c r="T118" s="273">
        <v>454536</v>
      </c>
      <c r="U118" s="273">
        <v>498895</v>
      </c>
      <c r="V118" s="273">
        <v>418384</v>
      </c>
      <c r="W118" s="273">
        <v>348342</v>
      </c>
      <c r="X118" s="273">
        <v>286502</v>
      </c>
    </row>
    <row r="119" spans="1:24" ht="14.25" thickBot="1" x14ac:dyDescent="0.3">
      <c r="A119" s="225" t="s">
        <v>29</v>
      </c>
      <c r="B119" s="275">
        <v>19992</v>
      </c>
      <c r="C119" s="275">
        <v>19994</v>
      </c>
      <c r="D119" s="275">
        <v>19992</v>
      </c>
      <c r="E119" s="275">
        <v>19996</v>
      </c>
      <c r="F119" s="275">
        <v>19999</v>
      </c>
      <c r="G119" s="275">
        <v>19991</v>
      </c>
      <c r="H119" s="275">
        <v>19994</v>
      </c>
      <c r="I119" s="275">
        <v>19994</v>
      </c>
      <c r="J119" s="274">
        <v>0</v>
      </c>
      <c r="K119" s="275">
        <v>19992</v>
      </c>
      <c r="L119" s="275">
        <v>19995</v>
      </c>
      <c r="M119" s="275">
        <v>19994</v>
      </c>
      <c r="N119" s="275">
        <v>19996</v>
      </c>
      <c r="O119" s="275">
        <v>19999</v>
      </c>
      <c r="P119" s="275">
        <v>19994</v>
      </c>
      <c r="Q119" s="275">
        <v>19997</v>
      </c>
      <c r="R119" s="275">
        <v>20000</v>
      </c>
      <c r="S119" s="275">
        <v>19992</v>
      </c>
      <c r="T119" s="275">
        <v>19995</v>
      </c>
      <c r="U119" s="275">
        <v>19998</v>
      </c>
      <c r="V119" s="275">
        <v>19992</v>
      </c>
      <c r="W119" s="275">
        <v>19994</v>
      </c>
      <c r="X119" s="274">
        <v>0</v>
      </c>
    </row>
    <row r="120" spans="1:24" ht="14.25" thickBot="1" x14ac:dyDescent="0.3">
      <c r="A120" s="224" t="s">
        <v>266</v>
      </c>
      <c r="B120" s="273">
        <v>305665</v>
      </c>
      <c r="C120" s="273">
        <v>464856</v>
      </c>
      <c r="D120" s="273">
        <v>509126</v>
      </c>
      <c r="E120" s="273">
        <v>385319</v>
      </c>
      <c r="F120" s="273">
        <v>400326</v>
      </c>
      <c r="G120" s="273">
        <v>430698</v>
      </c>
      <c r="H120" s="273">
        <v>487490</v>
      </c>
      <c r="I120" s="273">
        <v>457486</v>
      </c>
      <c r="J120" s="273">
        <v>431589</v>
      </c>
      <c r="K120" s="273">
        <v>440749</v>
      </c>
      <c r="L120" s="273">
        <v>533189</v>
      </c>
      <c r="M120" s="273">
        <v>375299</v>
      </c>
      <c r="N120" s="273">
        <v>346431</v>
      </c>
      <c r="O120" s="273">
        <v>442754</v>
      </c>
      <c r="P120" s="273">
        <v>471386</v>
      </c>
      <c r="Q120" s="273">
        <v>403025</v>
      </c>
      <c r="R120" s="273">
        <v>399697</v>
      </c>
      <c r="S120" s="273">
        <v>433208</v>
      </c>
      <c r="T120" s="273">
        <v>426467</v>
      </c>
      <c r="U120" s="273">
        <v>430432</v>
      </c>
      <c r="V120" s="273">
        <v>385836</v>
      </c>
      <c r="W120" s="273">
        <v>391336</v>
      </c>
      <c r="X120" s="273">
        <v>449429</v>
      </c>
    </row>
    <row r="121" spans="1:24" ht="14.25" thickBot="1" x14ac:dyDescent="0.3">
      <c r="A121" s="225" t="s">
        <v>267</v>
      </c>
      <c r="B121" s="274">
        <v>829</v>
      </c>
      <c r="C121" s="274">
        <v>863</v>
      </c>
      <c r="D121" s="275">
        <v>1081</v>
      </c>
      <c r="E121" s="275">
        <v>1140</v>
      </c>
      <c r="F121" s="275">
        <v>1109</v>
      </c>
      <c r="G121" s="275">
        <v>1256</v>
      </c>
      <c r="H121" s="274">
        <v>870</v>
      </c>
      <c r="I121" s="275">
        <v>2058</v>
      </c>
      <c r="J121" s="275">
        <v>4123</v>
      </c>
      <c r="K121" s="275">
        <v>5669</v>
      </c>
      <c r="L121" s="275">
        <v>1350</v>
      </c>
      <c r="M121" s="274">
        <v>992</v>
      </c>
      <c r="N121" s="275">
        <v>1234</v>
      </c>
      <c r="O121" s="275">
        <v>2312</v>
      </c>
      <c r="P121" s="275">
        <v>1224</v>
      </c>
      <c r="Q121" s="275">
        <v>3594</v>
      </c>
      <c r="R121" s="275">
        <v>1232</v>
      </c>
      <c r="S121" s="275">
        <v>1308</v>
      </c>
      <c r="T121" s="275">
        <v>2424</v>
      </c>
      <c r="U121" s="275">
        <v>1058</v>
      </c>
      <c r="V121" s="275">
        <v>7308</v>
      </c>
      <c r="W121" s="275">
        <v>3872</v>
      </c>
      <c r="X121" s="275">
        <v>3278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273">
        <v>287947</v>
      </c>
      <c r="P122" s="273">
        <v>288465</v>
      </c>
      <c r="Q122" s="273">
        <v>288453</v>
      </c>
      <c r="R122" s="273">
        <v>288288</v>
      </c>
      <c r="S122" s="273">
        <v>2270937</v>
      </c>
      <c r="T122" s="273">
        <v>2276035</v>
      </c>
      <c r="U122" s="273">
        <v>2281442</v>
      </c>
      <c r="V122" s="273">
        <v>1954260</v>
      </c>
      <c r="W122" s="273">
        <v>706707</v>
      </c>
      <c r="X122" s="273">
        <v>704724</v>
      </c>
    </row>
    <row r="123" spans="1:24" ht="14.25" thickBot="1" x14ac:dyDescent="0.3">
      <c r="A123" s="225" t="s">
        <v>31</v>
      </c>
      <c r="B123" s="275">
        <v>597529</v>
      </c>
      <c r="C123" s="275">
        <v>1326110</v>
      </c>
      <c r="D123" s="275">
        <v>848718</v>
      </c>
      <c r="E123" s="275">
        <v>689466</v>
      </c>
      <c r="F123" s="275">
        <v>745952</v>
      </c>
      <c r="G123" s="275">
        <v>1598938</v>
      </c>
      <c r="H123" s="275">
        <v>821744</v>
      </c>
      <c r="I123" s="275">
        <v>920451</v>
      </c>
      <c r="J123" s="275">
        <v>901542</v>
      </c>
      <c r="K123" s="275">
        <v>2064788</v>
      </c>
      <c r="L123" s="275">
        <v>1025486</v>
      </c>
      <c r="M123" s="275">
        <v>1024916</v>
      </c>
      <c r="N123" s="275">
        <v>932112</v>
      </c>
      <c r="O123" s="275">
        <v>1951808</v>
      </c>
      <c r="P123" s="275">
        <v>1008629</v>
      </c>
      <c r="Q123" s="275">
        <v>893719</v>
      </c>
      <c r="R123" s="275">
        <v>835626</v>
      </c>
      <c r="S123" s="275">
        <v>1900498</v>
      </c>
      <c r="T123" s="275">
        <v>878747</v>
      </c>
      <c r="U123" s="275">
        <v>983543</v>
      </c>
      <c r="V123" s="275">
        <v>905182</v>
      </c>
      <c r="W123" s="275">
        <v>1856706</v>
      </c>
      <c r="X123" s="275">
        <v>884105</v>
      </c>
    </row>
    <row r="124" spans="1:24" ht="14.25" thickBot="1" x14ac:dyDescent="0.3">
      <c r="A124" s="224" t="s">
        <v>268</v>
      </c>
      <c r="B124" s="273">
        <v>1076917</v>
      </c>
      <c r="C124" s="273">
        <v>1899454</v>
      </c>
      <c r="D124" s="273">
        <v>1480094</v>
      </c>
      <c r="E124" s="273">
        <v>1325955</v>
      </c>
      <c r="F124" s="273">
        <v>1506298</v>
      </c>
      <c r="G124" s="273">
        <v>2403551</v>
      </c>
      <c r="H124" s="273">
        <v>1777278</v>
      </c>
      <c r="I124" s="273">
        <v>1888444</v>
      </c>
      <c r="J124" s="273">
        <v>1716936</v>
      </c>
      <c r="K124" s="273">
        <v>3007304</v>
      </c>
      <c r="L124" s="273">
        <v>2064930</v>
      </c>
      <c r="M124" s="273">
        <v>1824163</v>
      </c>
      <c r="N124" s="273">
        <v>1742203</v>
      </c>
      <c r="O124" s="273">
        <v>3050651</v>
      </c>
      <c r="P124" s="273">
        <v>2144110</v>
      </c>
      <c r="Q124" s="273">
        <v>1999360</v>
      </c>
      <c r="R124" s="273">
        <v>1970168</v>
      </c>
      <c r="S124" s="273">
        <v>4989806</v>
      </c>
      <c r="T124" s="273">
        <v>4058204</v>
      </c>
      <c r="U124" s="273">
        <v>4215368</v>
      </c>
      <c r="V124" s="273">
        <v>3690962</v>
      </c>
      <c r="W124" s="273">
        <v>3326957</v>
      </c>
      <c r="X124" s="273">
        <v>2328038</v>
      </c>
    </row>
    <row r="125" spans="1:24" ht="14.25" thickBot="1" x14ac:dyDescent="0.3">
      <c r="A125" s="225" t="s">
        <v>32</v>
      </c>
      <c r="B125" s="275">
        <v>65000</v>
      </c>
      <c r="C125" s="275">
        <v>65000</v>
      </c>
      <c r="D125" s="275">
        <v>65000</v>
      </c>
      <c r="E125" s="275">
        <v>65000</v>
      </c>
      <c r="F125" s="275">
        <v>297352</v>
      </c>
      <c r="G125" s="275">
        <v>398058</v>
      </c>
      <c r="H125" s="275">
        <v>402243</v>
      </c>
      <c r="I125" s="275">
        <v>474051</v>
      </c>
      <c r="J125" s="275">
        <v>573288</v>
      </c>
      <c r="K125" s="275">
        <v>2511754</v>
      </c>
      <c r="L125" s="275">
        <v>3715293</v>
      </c>
      <c r="M125" s="275">
        <v>3741697</v>
      </c>
      <c r="N125" s="275">
        <v>3739085</v>
      </c>
      <c r="O125" s="275">
        <v>3307719</v>
      </c>
      <c r="P125" s="275">
        <v>3333217</v>
      </c>
      <c r="Q125" s="275">
        <v>3189979</v>
      </c>
      <c r="R125" s="275">
        <v>3184638</v>
      </c>
      <c r="S125" s="275">
        <v>1063698</v>
      </c>
      <c r="T125" s="275">
        <v>1046636</v>
      </c>
      <c r="U125" s="275">
        <v>937002</v>
      </c>
      <c r="V125" s="275">
        <v>915829</v>
      </c>
      <c r="W125" s="275">
        <v>351963</v>
      </c>
      <c r="X125" s="275">
        <v>348713</v>
      </c>
    </row>
    <row r="126" spans="1:24" ht="14.25" thickBot="1" x14ac:dyDescent="0.3">
      <c r="A126" s="224" t="s">
        <v>33</v>
      </c>
      <c r="B126" s="273">
        <v>127399</v>
      </c>
      <c r="C126" s="273">
        <v>123847</v>
      </c>
      <c r="D126" s="273">
        <v>109452</v>
      </c>
      <c r="E126" s="273">
        <v>98427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1269316</v>
      </c>
      <c r="C127" s="275">
        <v>2088301</v>
      </c>
      <c r="D127" s="275">
        <v>1654546</v>
      </c>
      <c r="E127" s="275">
        <v>1489382</v>
      </c>
      <c r="F127" s="275">
        <v>1803650</v>
      </c>
      <c r="G127" s="275">
        <v>2801609</v>
      </c>
      <c r="H127" s="275">
        <v>2179521</v>
      </c>
      <c r="I127" s="275">
        <v>2362495</v>
      </c>
      <c r="J127" s="275">
        <v>2290224</v>
      </c>
      <c r="K127" s="275">
        <v>5519058</v>
      </c>
      <c r="L127" s="275">
        <v>5780223</v>
      </c>
      <c r="M127" s="275">
        <v>5565860</v>
      </c>
      <c r="N127" s="275">
        <v>5481288</v>
      </c>
      <c r="O127" s="275">
        <v>6358370</v>
      </c>
      <c r="P127" s="275">
        <v>5477327</v>
      </c>
      <c r="Q127" s="275">
        <v>5189339</v>
      </c>
      <c r="R127" s="275">
        <v>5154806</v>
      </c>
      <c r="S127" s="275">
        <v>6053504</v>
      </c>
      <c r="T127" s="275">
        <v>5104840</v>
      </c>
      <c r="U127" s="275">
        <v>5152370</v>
      </c>
      <c r="V127" s="275">
        <v>4606791</v>
      </c>
      <c r="W127" s="275">
        <v>3678920</v>
      </c>
      <c r="X127" s="275">
        <v>2676751</v>
      </c>
    </row>
    <row r="128" spans="1:24" ht="14.25" thickBot="1" x14ac:dyDescent="0.3">
      <c r="A128" s="224" t="s">
        <v>34</v>
      </c>
      <c r="B128" s="273">
        <v>8429152</v>
      </c>
      <c r="C128" s="273">
        <v>7976685</v>
      </c>
      <c r="D128" s="273">
        <v>8360867</v>
      </c>
      <c r="E128" s="273">
        <v>8900744</v>
      </c>
      <c r="F128" s="273">
        <v>9098253</v>
      </c>
      <c r="G128" s="273">
        <v>8624062</v>
      </c>
      <c r="H128" s="273">
        <v>9117223</v>
      </c>
      <c r="I128" s="273">
        <v>9518242</v>
      </c>
      <c r="J128" s="273">
        <v>9862130</v>
      </c>
      <c r="K128" s="273">
        <v>9128956</v>
      </c>
      <c r="L128" s="273">
        <v>9647597</v>
      </c>
      <c r="M128" s="273">
        <v>10027127</v>
      </c>
      <c r="N128" s="273">
        <v>10222867</v>
      </c>
      <c r="O128" s="273">
        <v>9413314</v>
      </c>
      <c r="P128" s="273">
        <v>9884883</v>
      </c>
      <c r="Q128" s="273">
        <v>10136784</v>
      </c>
      <c r="R128" s="273">
        <v>10340273</v>
      </c>
      <c r="S128" s="273">
        <v>9629706</v>
      </c>
      <c r="T128" s="273">
        <v>9825929</v>
      </c>
      <c r="U128" s="273">
        <v>10146841</v>
      </c>
      <c r="V128" s="273">
        <v>10506357</v>
      </c>
      <c r="W128" s="273">
        <v>9732669</v>
      </c>
      <c r="X128" s="273">
        <v>10110847</v>
      </c>
    </row>
    <row r="129" spans="1:24" ht="14.25" thickBot="1" x14ac:dyDescent="0.3">
      <c r="A129" s="225" t="s">
        <v>35</v>
      </c>
      <c r="B129" s="276">
        <v>9698468</v>
      </c>
      <c r="C129" s="276">
        <v>10064986</v>
      </c>
      <c r="D129" s="276">
        <v>10015413</v>
      </c>
      <c r="E129" s="276">
        <v>10390126</v>
      </c>
      <c r="F129" s="276">
        <v>10901903</v>
      </c>
      <c r="G129" s="276">
        <v>11425671</v>
      </c>
      <c r="H129" s="276">
        <v>11296744</v>
      </c>
      <c r="I129" s="276">
        <v>11880737</v>
      </c>
      <c r="J129" s="276">
        <v>12152354</v>
      </c>
      <c r="K129" s="276">
        <v>14648014</v>
      </c>
      <c r="L129" s="276">
        <v>15427820</v>
      </c>
      <c r="M129" s="276">
        <v>15592987</v>
      </c>
      <c r="N129" s="276">
        <v>15704155</v>
      </c>
      <c r="O129" s="276">
        <v>15771684</v>
      </c>
      <c r="P129" s="276">
        <v>15362210</v>
      </c>
      <c r="Q129" s="276">
        <v>15326123</v>
      </c>
      <c r="R129" s="276">
        <v>15495079</v>
      </c>
      <c r="S129" s="276">
        <v>15683210</v>
      </c>
      <c r="T129" s="276">
        <v>14930769</v>
      </c>
      <c r="U129" s="276">
        <v>15299211</v>
      </c>
      <c r="V129" s="276">
        <v>15113148</v>
      </c>
      <c r="W129" s="276">
        <v>13411589</v>
      </c>
      <c r="X129" s="276">
        <v>12787598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11.55</v>
      </c>
      <c r="C132" s="68">
        <v>17.48</v>
      </c>
      <c r="D132" s="68">
        <v>11.53</v>
      </c>
      <c r="E132" s="68">
        <v>9.6</v>
      </c>
      <c r="F132" s="68">
        <v>13.36</v>
      </c>
    </row>
    <row r="133" spans="1:24" ht="14.25" thickBot="1" x14ac:dyDescent="0.3">
      <c r="A133" s="225" t="s">
        <v>37</v>
      </c>
      <c r="B133" s="274">
        <v>-9.18</v>
      </c>
      <c r="C133" s="274">
        <v>-10.88</v>
      </c>
      <c r="D133" s="274">
        <v>-1.27</v>
      </c>
      <c r="E133" s="274">
        <v>-8.99</v>
      </c>
      <c r="F133" s="274">
        <v>-4.97</v>
      </c>
    </row>
    <row r="134" spans="1:24" ht="14.25" thickBot="1" x14ac:dyDescent="0.3">
      <c r="A134" s="224" t="s">
        <v>38</v>
      </c>
      <c r="B134" s="68">
        <v>-2.2799999999999998</v>
      </c>
      <c r="C134" s="68">
        <v>-2.62</v>
      </c>
      <c r="D134" s="68">
        <v>12.74</v>
      </c>
      <c r="E134" s="68">
        <v>-7.94</v>
      </c>
      <c r="F134" s="68">
        <v>-7.06</v>
      </c>
    </row>
    <row r="135" spans="1:24" ht="14.25" thickBot="1" x14ac:dyDescent="0.3">
      <c r="A135" s="225" t="s">
        <v>270</v>
      </c>
      <c r="B135" s="274">
        <v>2.37</v>
      </c>
      <c r="C135" s="274">
        <v>6.6</v>
      </c>
      <c r="D135" s="274">
        <v>10.26</v>
      </c>
      <c r="E135" s="274">
        <v>0.61</v>
      </c>
      <c r="F135" s="274">
        <v>8.39</v>
      </c>
    </row>
    <row r="136" spans="1:24" ht="14.25" thickBot="1" x14ac:dyDescent="0.3">
      <c r="A136" s="229" t="s">
        <v>39</v>
      </c>
      <c r="B136" s="72">
        <v>0.09</v>
      </c>
      <c r="C136" s="72">
        <v>3.98</v>
      </c>
      <c r="D136" s="72">
        <v>23</v>
      </c>
      <c r="E136" s="72">
        <v>-7.34</v>
      </c>
      <c r="F136" s="72">
        <v>1.33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5</v>
      </c>
      <c r="C140" s="68">
        <v>7</v>
      </c>
      <c r="D140" s="68">
        <v>6</v>
      </c>
      <c r="E140" s="68">
        <v>6</v>
      </c>
      <c r="F140" s="68">
        <v>6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0.61652281134401976</v>
      </c>
      <c r="C142" s="234">
        <f>IF(C140&lt;&gt;"無",IF(ISNA(HLOOKUP(C139,$B$64:$F$69,6,FALSE)),"",C140/HLOOKUP(C139,$B$64:$F$69,6,FALSE)),"")</f>
        <v>0.72016460905349799</v>
      </c>
      <c r="D142" s="234">
        <f>IF(D140&lt;&gt;"無",IF(ISNA(HLOOKUP(D139,$B$64:$F$69,6,FALSE)),"",D140/HLOOKUP(D139,$B$64:$F$69,6,FALSE)),"")</f>
        <v>0.64724919093851141</v>
      </c>
      <c r="E142" s="234">
        <f>IF(E140&lt;&gt;"無",IF(ISNA(HLOOKUP(E139,$B$64:$F$69,6,FALSE)),"",E140/HLOOKUP(E139,$B$64:$F$69,6,FALSE)),"")</f>
        <v>0.93896713615023475</v>
      </c>
      <c r="F142" s="234">
        <f>IF(F140&lt;&gt;"無",IF(ISNA(HLOOKUP(F139,$B$64:$F$69,6,FALSE)),"",F140/HLOOKUP(F139,$B$64:$F$69,6,FALSE)),"")</f>
        <v>0.95238095238095255</v>
      </c>
    </row>
    <row r="143" spans="1:24" x14ac:dyDescent="0.25">
      <c r="A143" s="233" t="s">
        <v>216</v>
      </c>
      <c r="B143" s="234">
        <f>IF(OR(B140=0,B140="無"),"",B135/B140)</f>
        <v>0.47400000000000003</v>
      </c>
      <c r="C143" s="234">
        <f>IF(OR(C140=0,C140="無"),"",C135/C140)</f>
        <v>0.94285714285714284</v>
      </c>
      <c r="D143" s="234">
        <f>IF(OR(D140=0,D140="無"),"",D135/D140)</f>
        <v>1.71</v>
      </c>
      <c r="E143" s="234">
        <f>IF(OR(E140=0,E140="無"),"",E135/E140)</f>
        <v>0.10166666666666667</v>
      </c>
      <c r="F143" s="234">
        <f>IF(OR(F140=0,F140="無"),"",F135/F140)</f>
        <v>1.3983333333333334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28.09</v>
      </c>
      <c r="C146" s="68">
        <v>24.95</v>
      </c>
      <c r="D146" s="68">
        <v>34.32</v>
      </c>
      <c r="E146" s="68">
        <v>33.75</v>
      </c>
      <c r="F146" s="68">
        <v>28.84</v>
      </c>
      <c r="G146" s="68">
        <v>30.3</v>
      </c>
      <c r="H146" s="68">
        <v>34.299999999999997</v>
      </c>
      <c r="I146" s="68">
        <v>30.83</v>
      </c>
      <c r="J146" s="68">
        <v>28.1</v>
      </c>
      <c r="K146" s="68">
        <v>30.14</v>
      </c>
      <c r="L146" s="68">
        <v>33.4</v>
      </c>
      <c r="M146" s="68">
        <v>26.91</v>
      </c>
      <c r="N146" s="68">
        <v>23.03</v>
      </c>
      <c r="O146" s="68">
        <v>23.26</v>
      </c>
      <c r="P146" s="68">
        <v>27.99</v>
      </c>
      <c r="Q146" s="68">
        <v>23.76</v>
      </c>
      <c r="R146" s="68">
        <v>24.5</v>
      </c>
      <c r="S146" s="68">
        <v>25.21</v>
      </c>
      <c r="T146" s="68">
        <v>23.47</v>
      </c>
      <c r="U146" s="68">
        <v>25.87</v>
      </c>
      <c r="V146" s="68">
        <v>19.75</v>
      </c>
      <c r="W146" s="68">
        <v>21.53</v>
      </c>
      <c r="X146" s="68">
        <v>27.58</v>
      </c>
    </row>
    <row r="147" spans="1:24" s="93" customFormat="1" ht="14.25" thickBot="1" x14ac:dyDescent="0.3">
      <c r="A147" s="225" t="s">
        <v>19</v>
      </c>
      <c r="B147" s="274">
        <v>14.24</v>
      </c>
      <c r="C147" s="274">
        <v>15.37</v>
      </c>
      <c r="D147" s="274">
        <v>25.33</v>
      </c>
      <c r="E147" s="274">
        <v>25.85</v>
      </c>
      <c r="F147" s="274">
        <v>19.46</v>
      </c>
      <c r="G147" s="274">
        <v>20.86</v>
      </c>
      <c r="H147" s="274">
        <v>26.2</v>
      </c>
      <c r="I147" s="274">
        <v>22.14</v>
      </c>
      <c r="J147" s="274">
        <v>18.54</v>
      </c>
      <c r="K147" s="274">
        <v>21.18</v>
      </c>
      <c r="L147" s="274">
        <v>24.06</v>
      </c>
      <c r="M147" s="274">
        <v>17.59</v>
      </c>
      <c r="N147" s="274">
        <v>13.73</v>
      </c>
      <c r="O147" s="274">
        <v>13.94</v>
      </c>
      <c r="P147" s="274">
        <v>18.82</v>
      </c>
      <c r="Q147" s="274">
        <v>15.43</v>
      </c>
      <c r="R147" s="274">
        <v>14.4</v>
      </c>
      <c r="S147" s="274">
        <v>15.82</v>
      </c>
      <c r="T147" s="274">
        <v>14.55</v>
      </c>
      <c r="U147" s="274">
        <v>16.440000000000001</v>
      </c>
      <c r="V147" s="274">
        <v>10.1</v>
      </c>
      <c r="W147" s="274">
        <v>11.23</v>
      </c>
      <c r="X147" s="274">
        <v>18.72</v>
      </c>
    </row>
    <row r="148" spans="1:24" s="93" customFormat="1" ht="14.25" thickBot="1" x14ac:dyDescent="0.3">
      <c r="A148" s="224" t="s">
        <v>41</v>
      </c>
      <c r="B148" s="68">
        <v>13.96</v>
      </c>
      <c r="C148" s="68">
        <v>16.16</v>
      </c>
      <c r="D148" s="68">
        <v>24.9</v>
      </c>
      <c r="E148" s="68">
        <v>26.54</v>
      </c>
      <c r="F148" s="68">
        <v>21.09</v>
      </c>
      <c r="G148" s="68">
        <v>22.37</v>
      </c>
      <c r="H148" s="68">
        <v>26.46</v>
      </c>
      <c r="I148" s="68">
        <v>23.42</v>
      </c>
      <c r="J148" s="68">
        <v>19.850000000000001</v>
      </c>
      <c r="K148" s="68">
        <v>20.74</v>
      </c>
      <c r="L148" s="68">
        <v>25.02</v>
      </c>
      <c r="M148" s="68">
        <v>20.079999999999998</v>
      </c>
      <c r="N148" s="68">
        <v>13.66</v>
      </c>
      <c r="O148" s="68">
        <v>13.96</v>
      </c>
      <c r="P148" s="68">
        <v>21.96</v>
      </c>
      <c r="Q148" s="68">
        <v>15.68</v>
      </c>
      <c r="R148" s="68">
        <v>13.99</v>
      </c>
      <c r="S148" s="68">
        <v>15.75</v>
      </c>
      <c r="T148" s="68">
        <v>13.09</v>
      </c>
      <c r="U148" s="68">
        <v>17.86</v>
      </c>
      <c r="V148" s="68">
        <v>6.37</v>
      </c>
      <c r="W148" s="68">
        <v>11.67</v>
      </c>
      <c r="X148" s="68">
        <v>19.36</v>
      </c>
    </row>
    <row r="149" spans="1:24" s="93" customFormat="1" ht="14.25" thickBot="1" x14ac:dyDescent="0.3">
      <c r="A149" s="225" t="s">
        <v>13</v>
      </c>
      <c r="B149" s="73">
        <v>11.46</v>
      </c>
      <c r="C149" s="73">
        <v>11.27</v>
      </c>
      <c r="D149" s="73">
        <v>20.61</v>
      </c>
      <c r="E149" s="73">
        <v>28.06</v>
      </c>
      <c r="F149" s="73">
        <v>18.41</v>
      </c>
      <c r="G149" s="73">
        <v>17.32</v>
      </c>
      <c r="H149" s="73">
        <v>22.98</v>
      </c>
      <c r="I149" s="73">
        <v>20.51</v>
      </c>
      <c r="J149" s="73">
        <v>16.79</v>
      </c>
      <c r="K149" s="73">
        <v>16.600000000000001</v>
      </c>
      <c r="L149" s="73">
        <v>21.17</v>
      </c>
      <c r="M149" s="73">
        <v>17.440000000000001</v>
      </c>
      <c r="N149" s="73">
        <v>11.61</v>
      </c>
      <c r="O149" s="73">
        <v>9.52</v>
      </c>
      <c r="P149" s="73">
        <v>18.579999999999998</v>
      </c>
      <c r="Q149" s="73">
        <v>13.22</v>
      </c>
      <c r="R149" s="73">
        <v>11.78</v>
      </c>
      <c r="S149" s="73">
        <v>12.83</v>
      </c>
      <c r="T149" s="73">
        <v>10.98</v>
      </c>
      <c r="U149" s="73">
        <v>15.28</v>
      </c>
      <c r="V149" s="73">
        <v>4.8600000000000003</v>
      </c>
      <c r="W149" s="73">
        <v>11.04</v>
      </c>
      <c r="X149" s="73">
        <v>18.27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30.81</v>
      </c>
      <c r="C152" s="68">
        <v>31.24</v>
      </c>
      <c r="D152" s="68">
        <v>29.85</v>
      </c>
      <c r="E152" s="68">
        <v>24.63</v>
      </c>
      <c r="F152" s="68">
        <v>24.76</v>
      </c>
    </row>
    <row r="153" spans="1:24" s="93" customFormat="1" ht="14.25" thickBot="1" x14ac:dyDescent="0.3">
      <c r="A153" s="225" t="s">
        <v>19</v>
      </c>
      <c r="B153" s="274">
        <v>20.99</v>
      </c>
      <c r="C153" s="274">
        <v>22.38</v>
      </c>
      <c r="D153" s="274">
        <v>20.57</v>
      </c>
      <c r="E153" s="274">
        <v>15.59</v>
      </c>
      <c r="F153" s="274">
        <v>15.31</v>
      </c>
    </row>
    <row r="154" spans="1:24" s="93" customFormat="1" ht="14.25" thickBot="1" x14ac:dyDescent="0.3">
      <c r="A154" s="224" t="s">
        <v>41</v>
      </c>
      <c r="B154" s="68">
        <v>21.18</v>
      </c>
      <c r="C154" s="68">
        <v>23.51</v>
      </c>
      <c r="D154" s="68">
        <v>21.59</v>
      </c>
      <c r="E154" s="68">
        <v>16.510000000000002</v>
      </c>
      <c r="F154" s="68">
        <v>15.18</v>
      </c>
    </row>
    <row r="155" spans="1:24" s="93" customFormat="1" ht="14.25" thickBot="1" x14ac:dyDescent="0.3">
      <c r="A155" s="225" t="s">
        <v>13</v>
      </c>
      <c r="B155" s="73">
        <v>18.77</v>
      </c>
      <c r="C155" s="73">
        <v>19.97</v>
      </c>
      <c r="D155" s="73">
        <v>18.12</v>
      </c>
      <c r="E155" s="73">
        <v>13.4</v>
      </c>
      <c r="F155" s="73">
        <v>12.72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1.74</v>
      </c>
      <c r="C158" s="68">
        <v>1.76</v>
      </c>
      <c r="D158" s="68">
        <v>4.18</v>
      </c>
      <c r="E158" s="68">
        <v>5.46</v>
      </c>
      <c r="F158" s="68">
        <v>3.08</v>
      </c>
      <c r="G158" s="68">
        <v>2.99</v>
      </c>
      <c r="H158" s="68">
        <v>4.55</v>
      </c>
      <c r="I158" s="68">
        <v>3.59</v>
      </c>
      <c r="J158" s="68">
        <v>2.64</v>
      </c>
      <c r="K158" s="68">
        <v>2.78</v>
      </c>
      <c r="L158" s="68">
        <v>3.36</v>
      </c>
      <c r="M158" s="68">
        <v>2.2400000000000002</v>
      </c>
      <c r="N158" s="68">
        <v>1.41</v>
      </c>
      <c r="O158" s="68">
        <v>1.23</v>
      </c>
      <c r="P158" s="68">
        <v>2.62</v>
      </c>
      <c r="Q158" s="68">
        <v>1.7</v>
      </c>
      <c r="R158" s="68">
        <v>1.53</v>
      </c>
      <c r="S158" s="68">
        <v>1.75</v>
      </c>
      <c r="T158" s="68">
        <v>1.55</v>
      </c>
      <c r="U158" s="68">
        <v>2.11</v>
      </c>
      <c r="V158" s="68">
        <v>0.64</v>
      </c>
      <c r="W158" s="68">
        <v>1.45</v>
      </c>
      <c r="X158" s="68">
        <v>2.96</v>
      </c>
    </row>
    <row r="159" spans="1:24" s="93" customFormat="1" ht="14.25" thickBot="1" x14ac:dyDescent="0.3">
      <c r="A159" s="225" t="s">
        <v>45</v>
      </c>
      <c r="B159" s="73">
        <v>2.0099999999999998</v>
      </c>
      <c r="C159" s="73">
        <v>2.1</v>
      </c>
      <c r="D159" s="73">
        <v>5.12</v>
      </c>
      <c r="E159" s="73">
        <v>6.42</v>
      </c>
      <c r="F159" s="73">
        <v>3.61</v>
      </c>
      <c r="G159" s="73">
        <v>3.74</v>
      </c>
      <c r="H159" s="73">
        <v>5.8</v>
      </c>
      <c r="I159" s="73">
        <v>4.43</v>
      </c>
      <c r="J159" s="73">
        <v>3.24</v>
      </c>
      <c r="K159" s="73">
        <v>3.86</v>
      </c>
      <c r="L159" s="73">
        <v>5.27</v>
      </c>
      <c r="M159" s="73">
        <v>3.41</v>
      </c>
      <c r="N159" s="73">
        <v>2.0699999999999998</v>
      </c>
      <c r="O159" s="73">
        <v>1.88</v>
      </c>
      <c r="P159" s="73">
        <v>4.12</v>
      </c>
      <c r="Q159" s="73">
        <v>2.5</v>
      </c>
      <c r="R159" s="73">
        <v>2.2000000000000002</v>
      </c>
      <c r="S159" s="73">
        <v>2.64</v>
      </c>
      <c r="T159" s="73">
        <v>2.33</v>
      </c>
      <c r="U159" s="73">
        <v>3.09</v>
      </c>
      <c r="V159" s="73">
        <v>0.86</v>
      </c>
      <c r="W159" s="73">
        <v>1.99</v>
      </c>
      <c r="X159" s="73">
        <v>3.86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18.77</v>
      </c>
      <c r="C162" s="68">
        <v>19.97</v>
      </c>
      <c r="D162" s="68">
        <v>18.12</v>
      </c>
      <c r="E162" s="68">
        <v>13.4</v>
      </c>
      <c r="F162" s="68">
        <v>12.72</v>
      </c>
    </row>
    <row r="163" spans="1:72" s="93" customFormat="1" ht="14.25" thickBot="1" x14ac:dyDescent="0.3">
      <c r="A163" s="225" t="s">
        <v>18</v>
      </c>
      <c r="B163" s="274">
        <v>0.67</v>
      </c>
      <c r="C163" s="274">
        <v>0.67</v>
      </c>
      <c r="D163" s="274">
        <v>0.53</v>
      </c>
      <c r="E163" s="274">
        <v>0.51</v>
      </c>
      <c r="F163" s="274">
        <v>0.53</v>
      </c>
    </row>
    <row r="164" spans="1:72" s="93" customFormat="1" ht="14.25" thickBot="1" x14ac:dyDescent="0.3">
      <c r="A164" s="224" t="s">
        <v>15</v>
      </c>
      <c r="B164" s="68">
        <v>1.17</v>
      </c>
      <c r="C164" s="68">
        <v>1.25</v>
      </c>
      <c r="D164" s="68">
        <v>1.56</v>
      </c>
      <c r="E164" s="68">
        <v>1.51</v>
      </c>
      <c r="F164" s="68">
        <v>1.51</v>
      </c>
    </row>
    <row r="165" spans="1:72" s="93" customFormat="1" ht="14.25" thickBot="1" x14ac:dyDescent="0.3">
      <c r="A165" s="225" t="s">
        <v>45</v>
      </c>
      <c r="B165" s="73">
        <v>15.43</v>
      </c>
      <c r="C165" s="73">
        <v>17.190000000000001</v>
      </c>
      <c r="D165" s="73">
        <v>15.46</v>
      </c>
      <c r="E165" s="73">
        <v>10.33</v>
      </c>
      <c r="F165" s="73">
        <v>10.11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45.92</v>
      </c>
      <c r="C168" s="68">
        <v>44.33</v>
      </c>
      <c r="D168" s="68">
        <v>40.909999999999997</v>
      </c>
      <c r="E168" s="68">
        <v>49.45</v>
      </c>
      <c r="F168" s="68">
        <v>49.72</v>
      </c>
      <c r="G168" s="68">
        <v>44.55</v>
      </c>
      <c r="H168" s="68">
        <v>44.33</v>
      </c>
      <c r="I168" s="68">
        <v>48.65</v>
      </c>
      <c r="J168" s="68">
        <v>49.45</v>
      </c>
      <c r="K168" s="68">
        <v>47.12</v>
      </c>
      <c r="L168" s="68">
        <v>49.72</v>
      </c>
      <c r="M168" s="68">
        <v>55.9</v>
      </c>
      <c r="N168" s="68">
        <v>53.25</v>
      </c>
      <c r="O168" s="68">
        <v>56.6</v>
      </c>
      <c r="P168" s="68">
        <v>60</v>
      </c>
      <c r="Q168" s="68">
        <v>64.290000000000006</v>
      </c>
      <c r="R168" s="68">
        <v>60</v>
      </c>
      <c r="S168" s="68">
        <v>61.22</v>
      </c>
      <c r="T168" s="68">
        <v>62.94</v>
      </c>
      <c r="U168" s="68">
        <v>63.38</v>
      </c>
      <c r="V168" s="68">
        <v>64.290000000000006</v>
      </c>
      <c r="W168" s="68">
        <v>63.38</v>
      </c>
      <c r="X168" s="68">
        <v>61.22</v>
      </c>
    </row>
    <row r="169" spans="1:72" s="93" customFormat="1" ht="14.25" thickBot="1" x14ac:dyDescent="0.3">
      <c r="A169" s="225" t="s">
        <v>17</v>
      </c>
      <c r="B169" s="274">
        <v>48.65</v>
      </c>
      <c r="C169" s="274">
        <v>43.69</v>
      </c>
      <c r="D169" s="274">
        <v>43.69</v>
      </c>
      <c r="E169" s="274">
        <v>49.45</v>
      </c>
      <c r="F169" s="274">
        <v>53.57</v>
      </c>
      <c r="G169" s="274">
        <v>52.94</v>
      </c>
      <c r="H169" s="274">
        <v>49.18</v>
      </c>
      <c r="I169" s="274">
        <v>53.57</v>
      </c>
      <c r="J169" s="274">
        <v>55.9</v>
      </c>
      <c r="K169" s="274">
        <v>47.12</v>
      </c>
      <c r="L169" s="274">
        <v>48.65</v>
      </c>
      <c r="M169" s="274">
        <v>58.06</v>
      </c>
      <c r="N169" s="274">
        <v>57.32</v>
      </c>
      <c r="O169" s="274">
        <v>50.85</v>
      </c>
      <c r="P169" s="274">
        <v>52.02</v>
      </c>
      <c r="Q169" s="274">
        <v>57.69</v>
      </c>
      <c r="R169" s="274">
        <v>54.88</v>
      </c>
      <c r="S169" s="274">
        <v>51.14</v>
      </c>
      <c r="T169" s="274">
        <v>51.72</v>
      </c>
      <c r="U169" s="274">
        <v>56.96</v>
      </c>
      <c r="V169" s="274">
        <v>57.69</v>
      </c>
      <c r="W169" s="274">
        <v>56.6</v>
      </c>
      <c r="X169" s="274">
        <v>52.63</v>
      </c>
    </row>
    <row r="170" spans="1:72" s="93" customFormat="1" ht="14.25" thickBot="1" x14ac:dyDescent="0.3">
      <c r="A170" s="224" t="s">
        <v>42</v>
      </c>
      <c r="B170" s="72">
        <v>94.57</v>
      </c>
      <c r="C170" s="72">
        <v>88.02</v>
      </c>
      <c r="D170" s="72">
        <v>84.6</v>
      </c>
      <c r="E170" s="72">
        <v>98.9</v>
      </c>
      <c r="F170" s="72">
        <v>103.3</v>
      </c>
      <c r="G170" s="72">
        <v>97.5</v>
      </c>
      <c r="H170" s="72">
        <v>93.52</v>
      </c>
      <c r="I170" s="72">
        <v>102.22</v>
      </c>
      <c r="J170" s="72">
        <v>105.35</v>
      </c>
      <c r="K170" s="72">
        <v>94.24</v>
      </c>
      <c r="L170" s="72">
        <v>98.37</v>
      </c>
      <c r="M170" s="72">
        <v>113.97</v>
      </c>
      <c r="N170" s="72">
        <v>110.58</v>
      </c>
      <c r="O170" s="72">
        <v>107.45</v>
      </c>
      <c r="P170" s="72">
        <v>112.02</v>
      </c>
      <c r="Q170" s="72">
        <v>121.98</v>
      </c>
      <c r="R170" s="72">
        <v>114.88</v>
      </c>
      <c r="S170" s="72">
        <v>112.36</v>
      </c>
      <c r="T170" s="72">
        <v>114.66</v>
      </c>
      <c r="U170" s="72">
        <v>120.34</v>
      </c>
      <c r="V170" s="72">
        <v>121.98</v>
      </c>
      <c r="W170" s="72">
        <v>119.98</v>
      </c>
      <c r="X170" s="72">
        <v>113.86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142.75</v>
      </c>
      <c r="C173" s="72">
        <v>180.01</v>
      </c>
      <c r="D173" s="72">
        <v>124.37</v>
      </c>
      <c r="E173" s="72">
        <v>149.91999999999999</v>
      </c>
      <c r="F173" s="72">
        <v>212.37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12.78</v>
      </c>
      <c r="C176" s="72">
        <v>16.25</v>
      </c>
      <c r="D176" s="72">
        <v>18.100000000000001</v>
      </c>
      <c r="E176" s="72">
        <v>16.399999999999999</v>
      </c>
      <c r="F176" s="72">
        <v>17.850000000000001</v>
      </c>
      <c r="G176" s="72">
        <v>16.149999999999999</v>
      </c>
      <c r="H176" s="72">
        <v>15.82</v>
      </c>
      <c r="I176" s="72">
        <v>17.3</v>
      </c>
      <c r="J176" s="72">
        <v>18.41</v>
      </c>
      <c r="K176" s="72">
        <v>18.18</v>
      </c>
      <c r="L176" s="72">
        <v>15.97</v>
      </c>
      <c r="M176" s="72">
        <v>15.89</v>
      </c>
      <c r="N176" s="72">
        <v>17.02</v>
      </c>
      <c r="O176" s="72">
        <v>19.89</v>
      </c>
      <c r="P176" s="72">
        <v>20.32</v>
      </c>
      <c r="Q176" s="72">
        <v>15.94</v>
      </c>
      <c r="R176" s="72">
        <v>13.81</v>
      </c>
      <c r="S176" s="72">
        <v>15.15</v>
      </c>
      <c r="T176" s="72">
        <v>17.16</v>
      </c>
      <c r="U176" s="72">
        <v>15.3</v>
      </c>
      <c r="V176" s="72">
        <v>15.44</v>
      </c>
      <c r="W176" s="72">
        <v>15.14</v>
      </c>
      <c r="X176" s="72">
        <v>14.87</v>
      </c>
      <c r="Y176" s="72">
        <v>13.88</v>
      </c>
      <c r="Z176" s="72">
        <v>13.79</v>
      </c>
      <c r="AA176" s="72">
        <v>14.29</v>
      </c>
      <c r="AB176" s="72">
        <v>17.23</v>
      </c>
      <c r="AC176" s="72">
        <v>16.34</v>
      </c>
      <c r="AD176" s="72">
        <v>16.34</v>
      </c>
      <c r="AE176" s="72">
        <v>16.36</v>
      </c>
      <c r="AF176" s="72">
        <v>16.559999999999999</v>
      </c>
      <c r="AG176" s="72">
        <v>15.25</v>
      </c>
      <c r="AH176" s="72">
        <v>13.67</v>
      </c>
      <c r="AI176" s="72">
        <v>12.23</v>
      </c>
      <c r="AJ176" s="72">
        <v>12.5</v>
      </c>
      <c r="AK176" s="72">
        <v>11.57</v>
      </c>
      <c r="AL176" s="72">
        <v>11.51</v>
      </c>
      <c r="AM176" s="72">
        <v>11.76</v>
      </c>
      <c r="AN176" s="72">
        <v>12.43</v>
      </c>
      <c r="AO176" s="72">
        <v>11.27</v>
      </c>
      <c r="AP176" s="72">
        <v>10.45</v>
      </c>
      <c r="AQ176" s="72">
        <v>10.039999999999999</v>
      </c>
      <c r="AR176" s="72">
        <v>9.2200000000000006</v>
      </c>
      <c r="AS176" s="72">
        <v>9.0500000000000007</v>
      </c>
      <c r="AT176" s="72">
        <v>10.71</v>
      </c>
      <c r="AU176" s="72">
        <v>11.48</v>
      </c>
      <c r="AV176" s="72">
        <v>11.63</v>
      </c>
      <c r="AW176" s="72">
        <v>11.37</v>
      </c>
      <c r="AX176" s="72">
        <v>10.220000000000001</v>
      </c>
      <c r="AY176" s="72">
        <v>11.49</v>
      </c>
      <c r="AZ176" s="72">
        <v>14.41</v>
      </c>
      <c r="BA176" s="72">
        <v>14.21</v>
      </c>
      <c r="BB176" s="72">
        <v>14.5</v>
      </c>
      <c r="BC176" s="72">
        <v>15.46</v>
      </c>
      <c r="BD176" s="72">
        <v>18.010000000000002</v>
      </c>
      <c r="BE176" s="72">
        <v>17.23</v>
      </c>
      <c r="BF176" s="72">
        <v>17.059999999999999</v>
      </c>
      <c r="BG176" s="72">
        <v>16.37</v>
      </c>
      <c r="BH176" s="72">
        <v>16.14</v>
      </c>
      <c r="BI176" s="72">
        <v>17.190000000000001</v>
      </c>
      <c r="BJ176" s="72">
        <v>19.239999999999998</v>
      </c>
      <c r="BK176" s="72">
        <v>20.83</v>
      </c>
      <c r="BL176" s="72">
        <v>21.61</v>
      </c>
      <c r="BM176" s="72">
        <v>19.93</v>
      </c>
      <c r="BN176" s="72">
        <v>21.39</v>
      </c>
      <c r="BO176" s="72">
        <v>21.96</v>
      </c>
      <c r="BP176" s="72">
        <v>23.3</v>
      </c>
      <c r="BQ176" s="72">
        <v>24.6</v>
      </c>
      <c r="BR176" s="72">
        <v>25.42</v>
      </c>
      <c r="BS176" s="72">
        <v>25.77</v>
      </c>
      <c r="BT176" s="72">
        <v>25.13</v>
      </c>
    </row>
  </sheetData>
  <phoneticPr fontId="3" type="noConversion"/>
  <conditionalFormatting sqref="E4">
    <cfRule type="cellIs" dxfId="1799" priority="101" operator="greaterThan">
      <formula>0.2</formula>
    </cfRule>
    <cfRule type="cellIs" dxfId="179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179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796" priority="95" operator="greaterThan">
      <formula>$B$19</formula>
    </cfRule>
  </conditionalFormatting>
  <conditionalFormatting sqref="D33:D34">
    <cfRule type="cellIs" dxfId="179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1794" priority="89" operator="lessThan">
      <formula>$H$62</formula>
    </cfRule>
    <cfRule type="cellIs" dxfId="1793" priority="90" operator="greaterThan">
      <formula>$H$62</formula>
    </cfRule>
  </conditionalFormatting>
  <conditionalFormatting sqref="J62">
    <cfRule type="cellIs" dxfId="1792" priority="87" operator="lessThan">
      <formula>$K$62</formula>
    </cfRule>
    <cfRule type="cellIs" dxfId="1791" priority="88" operator="greaterThan">
      <formula>$K$62</formula>
    </cfRule>
  </conditionalFormatting>
  <conditionalFormatting sqref="M62">
    <cfRule type="cellIs" dxfId="1790" priority="85" operator="lessThan">
      <formula>$N$62</formula>
    </cfRule>
    <cfRule type="cellIs" dxfId="1789" priority="86" operator="greaterThan">
      <formula>$N$62</formula>
    </cfRule>
  </conditionalFormatting>
  <conditionalFormatting sqref="B44:E44">
    <cfRule type="cellIs" dxfId="1788" priority="83" operator="greaterThan">
      <formula>0</formula>
    </cfRule>
    <cfRule type="cellIs" dxfId="1787" priority="84" operator="lessThan">
      <formula>0</formula>
    </cfRule>
  </conditionalFormatting>
  <conditionalFormatting sqref="F72">
    <cfRule type="cellIs" dxfId="1786" priority="82" operator="lessThan">
      <formula>$E$72*90%</formula>
    </cfRule>
  </conditionalFormatting>
  <conditionalFormatting sqref="F73">
    <cfRule type="cellIs" dxfId="1785" priority="81" operator="lessThan">
      <formula>$E$73*90%</formula>
    </cfRule>
  </conditionalFormatting>
  <conditionalFormatting sqref="F74">
    <cfRule type="cellIs" dxfId="1784" priority="80" operator="lessThan">
      <formula>$E$74*90%</formula>
    </cfRule>
  </conditionalFormatting>
  <conditionalFormatting sqref="F75">
    <cfRule type="cellIs" dxfId="1783" priority="79" operator="lessThan">
      <formula>$E$75*90%</formula>
    </cfRule>
  </conditionalFormatting>
  <conditionalFormatting sqref="H44:K44">
    <cfRule type="cellIs" dxfId="1782" priority="77" operator="greaterThan">
      <formula>0</formula>
    </cfRule>
    <cfRule type="cellIs" dxfId="1781" priority="78" operator="lessThan">
      <formula>0</formula>
    </cfRule>
  </conditionalFormatting>
  <conditionalFormatting sqref="H51:K51">
    <cfRule type="cellIs" dxfId="1780" priority="75" operator="greaterThan">
      <formula>0</formula>
    </cfRule>
    <cfRule type="cellIs" dxfId="1779" priority="76" operator="lessThan">
      <formula>0</formula>
    </cfRule>
  </conditionalFormatting>
  <conditionalFormatting sqref="B51:E51">
    <cfRule type="cellIs" dxfId="1778" priority="73" operator="greaterThan">
      <formula>0</formula>
    </cfRule>
    <cfRule type="cellIs" dxfId="177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77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77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774" priority="56" operator="lessThan">
      <formula>0</formula>
    </cfRule>
  </conditionalFormatting>
  <conditionalFormatting sqref="A25 E25 C25">
    <cfRule type="cellIs" dxfId="1773" priority="57" operator="lessThan">
      <formula>0</formula>
    </cfRule>
  </conditionalFormatting>
  <conditionalFormatting sqref="F25">
    <cfRule type="cellIs" dxfId="1772" priority="55" operator="lessThan">
      <formula>0</formula>
    </cfRule>
  </conditionalFormatting>
  <conditionalFormatting sqref="E1">
    <cfRule type="containsText" dxfId="1771" priority="54" operator="containsText" text="本季業外損益/平均=-">
      <formula>NOT(ISERROR(SEARCH("本季業外損益/平均=-",E1)))</formula>
    </cfRule>
  </conditionalFormatting>
  <conditionalFormatting sqref="M65">
    <cfRule type="cellIs" dxfId="1770" priority="53" operator="lessThan">
      <formula>$L$65*90%</formula>
    </cfRule>
  </conditionalFormatting>
  <conditionalFormatting sqref="M66">
    <cfRule type="cellIs" dxfId="1769" priority="52" operator="lessThan">
      <formula>$L$66*90%</formula>
    </cfRule>
  </conditionalFormatting>
  <conditionalFormatting sqref="M67">
    <cfRule type="cellIs" dxfId="1768" priority="51" operator="lessThan">
      <formula>$L$67*90%</formula>
    </cfRule>
  </conditionalFormatting>
  <conditionalFormatting sqref="M68">
    <cfRule type="cellIs" dxfId="1767" priority="50" operator="lessThan">
      <formula>$L$68*90%</formula>
    </cfRule>
  </conditionalFormatting>
  <conditionalFormatting sqref="B60">
    <cfRule type="cellIs" dxfId="1766" priority="49" operator="lessThan">
      <formula>0</formula>
    </cfRule>
  </conditionalFormatting>
  <conditionalFormatting sqref="B59:F59">
    <cfRule type="cellIs" dxfId="1765" priority="48" operator="lessThanOrEqual">
      <formula>0</formula>
    </cfRule>
  </conditionalFormatting>
  <conditionalFormatting sqref="D62">
    <cfRule type="cellIs" dxfId="1764" priority="46" operator="lessThan">
      <formula>$E$62</formula>
    </cfRule>
    <cfRule type="cellIs" dxfId="1763" priority="47" operator="greaterThan">
      <formula>$E$62</formula>
    </cfRule>
  </conditionalFormatting>
  <conditionalFormatting sqref="F69">
    <cfRule type="cellIs" dxfId="1762" priority="44" operator="lessThan">
      <formula>0</formula>
    </cfRule>
  </conditionalFormatting>
  <conditionalFormatting sqref="B65:E67 B69:E69 B68:D68">
    <cfRule type="cellIs" dxfId="1761" priority="45" operator="lessThan">
      <formula>0</formula>
    </cfRule>
  </conditionalFormatting>
  <conditionalFormatting sqref="E68">
    <cfRule type="cellIs" dxfId="1760" priority="43" operator="lessThan">
      <formula>0</formula>
    </cfRule>
  </conditionalFormatting>
  <conditionalFormatting sqref="F65:F68">
    <cfRule type="cellIs" dxfId="1759" priority="42" operator="lessThan">
      <formula>0</formula>
    </cfRule>
  </conditionalFormatting>
  <conditionalFormatting sqref="F65:F68">
    <cfRule type="cellIs" dxfId="1758" priority="41" operator="lessThan">
      <formula>$E$65*0.9</formula>
    </cfRule>
  </conditionalFormatting>
  <conditionalFormatting sqref="F66">
    <cfRule type="cellIs" dxfId="1757" priority="40" operator="lessThan">
      <formula>$E$66*0.9</formula>
    </cfRule>
  </conditionalFormatting>
  <conditionalFormatting sqref="F67:F68">
    <cfRule type="cellIs" dxfId="1756" priority="39" operator="lessThan">
      <formula>$E$67*0.9</formula>
    </cfRule>
  </conditionalFormatting>
  <conditionalFormatting sqref="F68">
    <cfRule type="cellIs" dxfId="1755" priority="38" operator="lessThan">
      <formula>$E$68*0.9</formula>
    </cfRule>
  </conditionalFormatting>
  <conditionalFormatting sqref="B13:F13">
    <cfRule type="cellIs" dxfId="1754" priority="27" operator="greaterThan">
      <formula>$I$16</formula>
    </cfRule>
    <cfRule type="cellIs" dxfId="1753" priority="28" operator="lessThanOrEqual">
      <formula>$I$16</formula>
    </cfRule>
  </conditionalFormatting>
  <conditionalFormatting sqref="B10:F10">
    <cfRule type="cellIs" dxfId="1752" priority="29" operator="greaterThan">
      <formula>15</formula>
    </cfRule>
    <cfRule type="cellIs" dxfId="1751" priority="36" operator="lessThan">
      <formula>$I$9</formula>
    </cfRule>
    <cfRule type="cellIs" dxfId="1750" priority="37" operator="greaterThan">
      <formula>$I$9</formula>
    </cfRule>
  </conditionalFormatting>
  <conditionalFormatting sqref="B16:F16">
    <cfRule type="cellIs" dxfId="1749" priority="34" operator="greaterThan">
      <formula>$I$16</formula>
    </cfRule>
    <cfRule type="cellIs" dxfId="1748" priority="35" operator="lessThanOrEqual">
      <formula>$I$16</formula>
    </cfRule>
  </conditionalFormatting>
  <conditionalFormatting sqref="B15:F15">
    <cfRule type="cellIs" dxfId="1747" priority="32" operator="lessThanOrEqual">
      <formula>$I$16</formula>
    </cfRule>
    <cfRule type="cellIs" dxfId="1746" priority="33" operator="greaterThan">
      <formula>$I$16</formula>
    </cfRule>
  </conditionalFormatting>
  <conditionalFormatting sqref="B14:F14">
    <cfRule type="cellIs" dxfId="1745" priority="30" operator="greaterThan">
      <formula>$I$16</formula>
    </cfRule>
    <cfRule type="cellIs" dxfId="1744" priority="31" operator="lessThanOrEqual">
      <formula>$I$16</formula>
    </cfRule>
  </conditionalFormatting>
  <conditionalFormatting sqref="K6">
    <cfRule type="containsText" dxfId="1743" priority="25" operator="containsText" text="衰退">
      <formula>NOT(ISERROR(SEARCH("衰退",K6)))</formula>
    </cfRule>
    <cfRule type="containsText" dxfId="1742" priority="26" operator="containsText" text="成長">
      <formula>NOT(ISERROR(SEARCH("成長",K6)))</formula>
    </cfRule>
  </conditionalFormatting>
  <conditionalFormatting sqref="I4:K4">
    <cfRule type="cellIs" dxfId="1741" priority="23" operator="lessThan">
      <formula>0</formula>
    </cfRule>
    <cfRule type="cellIs" dxfId="174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739" priority="20" operator="lessThanOrEqual">
      <formula>$I$16</formula>
    </cfRule>
    <cfRule type="cellIs" dxfId="1738" priority="21" operator="greaterThan">
      <formula>$I$16</formula>
    </cfRule>
  </conditionalFormatting>
  <conditionalFormatting sqref="I6">
    <cfRule type="containsText" dxfId="1737" priority="18" operator="containsText" text="衰退">
      <formula>NOT(ISERROR(SEARCH("衰退",I6)))</formula>
    </cfRule>
    <cfRule type="containsText" dxfId="1736" priority="19" operator="containsText" text="成長">
      <formula>NOT(ISERROR(SEARCH("成長",I6)))</formula>
    </cfRule>
  </conditionalFormatting>
  <conditionalFormatting sqref="M9">
    <cfRule type="cellIs" dxfId="1735" priority="17" operator="lessThan">
      <formula>$I$9</formula>
    </cfRule>
  </conditionalFormatting>
  <conditionalFormatting sqref="M10">
    <cfRule type="cellIs" dxfId="1734" priority="16" operator="greaterThan">
      <formula>$I$9</formula>
    </cfRule>
  </conditionalFormatting>
  <conditionalFormatting sqref="M11">
    <cfRule type="cellIs" dxfId="173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732" priority="12" operator="lessThan">
      <formula>0</formula>
    </cfRule>
    <cfRule type="cellIs" dxfId="1731" priority="13" operator="greaterThan">
      <formula>0.5</formula>
    </cfRule>
  </conditionalFormatting>
  <conditionalFormatting sqref="N14">
    <cfRule type="cellIs" dxfId="173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729" priority="8" operator="lessThan">
      <formula>0.1</formula>
    </cfRule>
  </conditionalFormatting>
  <conditionalFormatting sqref="I14">
    <cfRule type="cellIs" dxfId="172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72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726" priority="1" operator="lessThan">
      <formula>$N$5*0.9</formula>
    </cfRule>
    <cfRule type="cellIs" dxfId="1725" priority="2" operator="greaterThan">
      <formula>$N$5*1.1</formula>
    </cfRule>
  </conditionalFormatting>
  <hyperlinks>
    <hyperlink ref="L1" location="儀表板!A1" display="(回首頁)" xr:uid="{00000000-0004-0000-5000-000000000000}"/>
  </hyperlink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7.15 ~ 17.87</v>
      </c>
      <c r="L1" s="83" t="s">
        <v>176</v>
      </c>
      <c r="M1" s="84" t="str">
        <f ca="1">VLOOKUP(_xlfn.NUMBERVALUE(N1),儀表板!A:B,2,FALSE)</f>
        <v>宏正</v>
      </c>
      <c r="N1" s="85" t="str">
        <f ca="1">MID(CELL("filename",L1),FIND("]",CELL("filename",L1))+1,255)</f>
        <v>6277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0.21095140138343096</v>
      </c>
    </row>
    <row r="3" spans="1:15" s="93" customFormat="1" x14ac:dyDescent="0.25">
      <c r="A3" s="81" t="s">
        <v>179</v>
      </c>
      <c r="B3" s="94">
        <f>SUM(F19:F22,F24:F27,J19)</f>
        <v>82.121102005430657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73.056616671787495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74.700977818740924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77.578609825909396</v>
      </c>
      <c r="L3" s="100"/>
      <c r="M3" s="79" t="s">
        <v>385</v>
      </c>
      <c r="N3" s="92">
        <f>(F69-E69)/E69</f>
        <v>-0.10112414114075349</v>
      </c>
    </row>
    <row r="4" spans="1:15" s="93" customFormat="1" x14ac:dyDescent="0.25">
      <c r="A4" s="81" t="s">
        <v>182</v>
      </c>
      <c r="B4" s="96">
        <f>SUM(G36:G40)*2</f>
        <v>88</v>
      </c>
      <c r="C4" s="101"/>
      <c r="D4" s="102">
        <f>F4*(1+F141/10)</f>
        <v>11.9</v>
      </c>
      <c r="E4" s="82">
        <f>(D4-F4)/F4</f>
        <v>0</v>
      </c>
      <c r="F4" s="103">
        <v>11.9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5.9235919098824343</v>
      </c>
    </row>
    <row r="5" spans="1:15" s="93" customFormat="1" x14ac:dyDescent="0.25">
      <c r="A5" s="81" t="s">
        <v>184</v>
      </c>
      <c r="B5" s="107">
        <f>SUM(F30:F34)*2</f>
        <v>99.195530726256976</v>
      </c>
      <c r="C5" s="87"/>
      <c r="D5" s="87"/>
      <c r="E5" s="87"/>
      <c r="F5" s="86"/>
      <c r="G5" s="88"/>
      <c r="M5" s="79" t="s">
        <v>386</v>
      </c>
      <c r="N5" s="152">
        <f>D62</f>
        <v>5.86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6.1695217720974203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17.22</v>
      </c>
      <c r="N9" s="129"/>
    </row>
    <row r="10" spans="1:15" s="93" customFormat="1" x14ac:dyDescent="0.25">
      <c r="A10" s="123" t="s">
        <v>194</v>
      </c>
      <c r="B10" s="126">
        <f>PERCENTILE(176:176,B9)</f>
        <v>11.86</v>
      </c>
      <c r="C10" s="126">
        <f>PERCENTILE(176:176,C9)</f>
        <v>12.44</v>
      </c>
      <c r="D10" s="126">
        <f>PERCENTILE(176:176,D9)</f>
        <v>12.72</v>
      </c>
      <c r="E10" s="126">
        <f>PERCENTILE(176:176,E9)</f>
        <v>13.21</v>
      </c>
      <c r="F10" s="126">
        <f>PERCENTILE(176:176,F9)</f>
        <v>13.72</v>
      </c>
      <c r="G10" s="95"/>
      <c r="H10" s="135"/>
      <c r="I10" s="135"/>
      <c r="J10" s="135"/>
      <c r="K10" s="135"/>
      <c r="L10" s="136" t="s">
        <v>374</v>
      </c>
      <c r="M10" s="130">
        <f>MIN(176:176)</f>
        <v>10.65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28.59</v>
      </c>
      <c r="L11" s="272" t="s">
        <v>193</v>
      </c>
      <c r="M11" s="128">
        <f>STDEV(176:176)</f>
        <v>1.3118213796062121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75.980392156862749</v>
      </c>
      <c r="C13" s="141">
        <f>$B$34/5.88%</f>
        <v>92.261904761904759</v>
      </c>
      <c r="D13" s="141">
        <f>$B$34/5%</f>
        <v>108.49999999999999</v>
      </c>
      <c r="E13" s="141">
        <f>$B$34/4.35%</f>
        <v>124.71264367816093</v>
      </c>
      <c r="F13" s="141">
        <f>$B$34/3.85%</f>
        <v>140.90909090909091</v>
      </c>
      <c r="G13" s="138" t="str">
        <f>"$"&amp;ROUND(B34,2)&amp;"/"&amp;IF(STDEV(C140:F140)/AVERAGE(C140:F140)&lt;15%,"高",IF(STDEV(C140:F140)/AVERAGE(C140:F140)&lt;30%,"中","低"))</f>
        <v>$5.43/高</v>
      </c>
      <c r="H13" s="142" t="s">
        <v>199</v>
      </c>
      <c r="I13" s="143">
        <f>MAX(0,1-J15)</f>
        <v>0.11987860394537175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74.302899999999994</v>
      </c>
      <c r="C14" s="141">
        <f>$B$33*C10</f>
        <v>77.936599999999999</v>
      </c>
      <c r="D14" s="141">
        <f>$B$33*D10</f>
        <v>79.690799999999996</v>
      </c>
      <c r="E14" s="141">
        <f>$B$33*E10</f>
        <v>82.760649999999998</v>
      </c>
      <c r="F14" s="141">
        <f>$B$33*F10</f>
        <v>85.955799999999996</v>
      </c>
      <c r="G14" s="138" t="str">
        <f>"$"&amp;ROUND(B33,2)&amp;"/"&amp;IF(STDEV(B69:E69)/AVERAGE(B69:E69)&lt;15%,"高",IF(STDEV(B69:E69)/AVERAGE(B69:E69)&lt;30%,"中","低"))</f>
        <v>$6.27/高</v>
      </c>
      <c r="H14" s="142" t="s">
        <v>203</v>
      </c>
      <c r="I14" s="145">
        <f>G62/100*I13</f>
        <v>2.3759939301972684E-2</v>
      </c>
      <c r="J14" s="76" t="s">
        <v>204</v>
      </c>
      <c r="K14" s="146"/>
      <c r="L14" s="147">
        <f>(HLOOKUP($C$1,$105:$106,2,FALSE)-HLOOKUP($C$1,$117:$127,9,FALSE))/(HLOOKUP($C$1,$117:$128,12,FALSE)/K11)</f>
        <v>3.4654747844815308</v>
      </c>
      <c r="M14" s="148">
        <f>E135/E69</f>
        <v>0.91198786039453716</v>
      </c>
      <c r="N14" s="149">
        <f>F173/100</f>
        <v>0.51790000000000003</v>
      </c>
    </row>
    <row r="15" spans="1:15" s="93" customFormat="1" x14ac:dyDescent="0.25">
      <c r="A15" s="140" t="s">
        <v>375</v>
      </c>
      <c r="B15" s="141">
        <f>$D$62*B10</f>
        <v>69.499600000000001</v>
      </c>
      <c r="C15" s="141">
        <f>$D$62*C10</f>
        <v>72.898399999999995</v>
      </c>
      <c r="D15" s="141">
        <f>$D$62*D10</f>
        <v>74.539200000000008</v>
      </c>
      <c r="E15" s="141">
        <f>$D$62*E10</f>
        <v>77.410600000000002</v>
      </c>
      <c r="F15" s="141">
        <f>$D$62*F10</f>
        <v>80.399200000000008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0.88012139605462825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70.253800051205673</v>
      </c>
      <c r="C16" s="141">
        <f>$F$69*C10</f>
        <v>73.68948335893748</v>
      </c>
      <c r="D16" s="141">
        <f>$F$69*D10</f>
        <v>75.348089093704573</v>
      </c>
      <c r="E16" s="141">
        <f>$F$69*E10</f>
        <v>78.250649129546957</v>
      </c>
      <c r="F16" s="141">
        <f>$F$69*F10</f>
        <v>81.271681003587005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237</v>
      </c>
      <c r="J17" s="92">
        <f ca="1">IF(I17&lt;=0,"",IF(I17&lt;=MIN($B$13:$F$16),(I17-MIN($B$13:$F$16))/MIN($B$13:$F$16),IF(I17&gt;=MAX($B$13:$F$16),I17/MAX($B$13:$F$16),PERCENTRANK($B$13:$F$16,I17))))</f>
        <v>1.6819354838709677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4.6174999999999997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16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0.85115207373271884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0.28335674887461298</v>
      </c>
      <c r="J20" s="171">
        <f>HLOOKUP($C$1,$117:$127,11,FALSE)/HLOOKUP($C$1,$105:$115,11,FALSE)</f>
        <v>0.35971050583771152</v>
      </c>
      <c r="K20" s="163"/>
    </row>
    <row r="21" spans="1:14" s="93" customFormat="1" x14ac:dyDescent="0.25">
      <c r="A21" s="151" t="s">
        <v>201</v>
      </c>
      <c r="B21" s="161">
        <f>AVERAGE(C173:F173)/100</f>
        <v>0.80692500000000011</v>
      </c>
      <c r="C21" s="157" t="s">
        <v>217</v>
      </c>
      <c r="D21" s="158">
        <f>COUNTIF(C173:F173,"&gt;=80")/COUNT(C173:F173)</f>
        <v>0.5</v>
      </c>
      <c r="E21" s="140" t="s">
        <v>218</v>
      </c>
      <c r="F21" s="159">
        <f>MIN(100%,B21)*9+D21*6-COUNTIF(B132:E132,"&lt;=0")*4</f>
        <v>10.262325000000001</v>
      </c>
      <c r="G21" s="88" t="s">
        <v>220</v>
      </c>
      <c r="H21" s="123" t="s">
        <v>221</v>
      </c>
      <c r="I21" s="162">
        <f>HLOOKUP($C$1,$105:$115,7,FALSE)/HLOOKUP($C$1,$117:$127,8,FALSE)</f>
        <v>1.8573372033179947</v>
      </c>
      <c r="J21" s="78"/>
      <c r="K21" s="164" t="s">
        <v>356</v>
      </c>
      <c r="L21" s="165">
        <f>HLOOKUP($C$1,$105:$115,7,FALSE)/HLOOKUP($C$1,$105:$115,11,FALSE)</f>
        <v>0.53717872339028339</v>
      </c>
      <c r="M21" s="123" t="s">
        <v>268</v>
      </c>
      <c r="N21" s="165">
        <f>HLOOKUP($C$1,$117:$127,8,FALSE)/HLOOKUP($C$1,$117:$127,11,FALSE)</f>
        <v>0.80403494163716149</v>
      </c>
    </row>
    <row r="22" spans="1:14" s="93" customFormat="1" x14ac:dyDescent="0.25">
      <c r="A22" s="140" t="s">
        <v>222</v>
      </c>
      <c r="B22" s="161">
        <f>(-1)*SUM(C133:F133)/SUM(C132:F132)</f>
        <v>9.6379647749510758E-2</v>
      </c>
      <c r="C22" s="157"/>
      <c r="D22" s="166"/>
      <c r="E22" s="140"/>
      <c r="F22" s="159">
        <f>IF(B22&lt;=0,10,IF(B22&gt;=100%,0,(1-B22)*10))</f>
        <v>9.0362035225048913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1.3154321314684749</v>
      </c>
      <c r="J22" s="78"/>
      <c r="K22" s="142" t="s">
        <v>357</v>
      </c>
      <c r="L22" s="165">
        <f>HLOOKUP($C$1,$105:$115,4,FALSE)/HLOOKUP($C$1,$105:$115,11,FALSE)</f>
        <v>0.11407223563756609</v>
      </c>
      <c r="M22" s="123" t="s">
        <v>353</v>
      </c>
      <c r="N22" s="165">
        <f>HLOOKUP($C$1,$117:$127,4,FALSE)/HLOOKUP($C$1,$117:$127,11,FALSE)</f>
        <v>0.21226446190467013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1.5617935466961432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0.15672968493540995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0.98251233053582032</v>
      </c>
      <c r="C24" s="169">
        <f>STDEV(C103:F103)</f>
        <v>5.6305564722166817E-3</v>
      </c>
      <c r="D24" s="76" t="str">
        <f>IF(C24/B24&lt;15%,"高",IF(C24/B24&lt;30%,"中","低"))</f>
        <v>高</v>
      </c>
      <c r="E24" s="149"/>
      <c r="F24" s="160">
        <f>MIN(100%,B24)*5</f>
        <v>4.9125616526791021</v>
      </c>
      <c r="G24" s="88" t="s">
        <v>229</v>
      </c>
      <c r="H24" s="123" t="s">
        <v>16</v>
      </c>
      <c r="I24" s="170">
        <f>HLOOKUP(C1,167:170,2,FALSE)</f>
        <v>44.78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5.794224636700368E-2</v>
      </c>
      <c r="M24" s="123" t="s">
        <v>355</v>
      </c>
      <c r="N24" s="165">
        <f>HLOOKUP($C$1,$117:$127,9,FALSE)/HLOOKUP($C$1,$117:$127,11,FALSE)</f>
        <v>0.19596505836283845</v>
      </c>
    </row>
    <row r="25" spans="1:14" s="93" customFormat="1" x14ac:dyDescent="0.25">
      <c r="A25" s="151" t="s">
        <v>366</v>
      </c>
      <c r="B25" s="255">
        <f>AVERAGE(94:94)</f>
        <v>16797.391304347828</v>
      </c>
      <c r="C25" s="254">
        <f>STDEV(94:94)/AVERAGE(94:94)</f>
        <v>1.0899881697533358</v>
      </c>
      <c r="D25" s="76" t="str">
        <f>IF(C25&lt;=1,"高",IF(C25&lt;=2,"中","低"))</f>
        <v>中</v>
      </c>
      <c r="E25" s="149"/>
      <c r="F25" s="160">
        <f>MAX(0,10-ABS(C25))</f>
        <v>8.9100118302466633</v>
      </c>
      <c r="G25" s="88" t="s">
        <v>213</v>
      </c>
      <c r="H25" s="123" t="s">
        <v>232</v>
      </c>
      <c r="I25" s="170">
        <f>IF(HLOOKUP(C1,167:170,3,FALSE)="無",0,HLOOKUP(C1,167:170,3,FALSE))</f>
        <v>147.54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43.949565217391303</v>
      </c>
      <c r="C26" s="172">
        <f>IF(COUNTIF(168:168,"&gt;0")=0,0,STDEV(168:168))</f>
        <v>2.3733070104830318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138.89478260869566</v>
      </c>
      <c r="C27" s="172">
        <f>IF(COUNTIF(169:169,"&gt;0")=0,0,STDEV(169:169))</f>
        <v>12.695691420021639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7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0.58774999999999999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0.15809999999999999</v>
      </c>
      <c r="C31" s="157" t="s">
        <v>217</v>
      </c>
      <c r="D31" s="174">
        <f>COUNTIF(149:149,"&gt;8")/COUNT(149:149)</f>
        <v>0.95652173913043481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22.034999999999997</v>
      </c>
      <c r="C32" s="157" t="s">
        <v>217</v>
      </c>
      <c r="D32" s="174">
        <f>COUNTIF(159:159,"&gt;3")/COUNT(159:159)</f>
        <v>0.95652173913043481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6.2649999999999997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5.4249999999999998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9.5977653631284916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4823143.25</v>
      </c>
      <c r="C36" s="178">
        <f>STDEV(C97:F97)</f>
        <v>169346.09033647634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58.774999999999999</v>
      </c>
      <c r="C37" s="180">
        <f>STDEV(C152:F152)</f>
        <v>0.88538127380242404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19.375</v>
      </c>
      <c r="C38" s="180">
        <f>STDEV(C153:F153)</f>
        <v>1.0951255635770727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22.034999999999997</v>
      </c>
      <c r="C39" s="181">
        <f>STDEV(C165:F165)</f>
        <v>1.3810744609421552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6.2649999999999997</v>
      </c>
      <c r="C40" s="183">
        <f>STDEV(B69:E69)</f>
        <v>0.29103264421710512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-0.13186813186813187</v>
      </c>
      <c r="C44" s="186">
        <f>(C46-C49)/C49</f>
        <v>-0.12857142857142853</v>
      </c>
      <c r="D44" s="186">
        <f>(D46-D49)/D49</f>
        <v>-0.16939890710382516</v>
      </c>
      <c r="E44" s="186">
        <f>(E46-E49)/E49</f>
        <v>1.986754966887419E-2</v>
      </c>
      <c r="G44" s="86" t="s">
        <v>175</v>
      </c>
      <c r="H44" s="186">
        <f>(H47-H50)/H50</f>
        <v>-0.11770475723393831</v>
      </c>
      <c r="I44" s="186">
        <f>(I47-I50)/I50</f>
        <v>-0.10838946723821169</v>
      </c>
      <c r="J44" s="186">
        <f>(J47-J50)/J50</f>
        <v>-0.14733969986357429</v>
      </c>
      <c r="K44" s="186">
        <f>(K47-K50)/K50</f>
        <v>-2.2547914317925459E-2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1.58</v>
      </c>
      <c r="C46" s="152">
        <f>HLOOKUP(C45,$81:$82,2,FALSE)</f>
        <v>1.22</v>
      </c>
      <c r="D46" s="152">
        <f>HLOOKUP(D45,$81:$82,2,FALSE)</f>
        <v>1.52</v>
      </c>
      <c r="E46" s="152">
        <f>HLOOKUP(E45,$81:$82,2,FALSE)</f>
        <v>1.54</v>
      </c>
      <c r="G46" s="86" t="s">
        <v>164</v>
      </c>
      <c r="H46" s="145">
        <f>HLOOKUP(H45,$145:$147,2,FALSE)/100</f>
        <v>0.5927</v>
      </c>
      <c r="I46" s="145">
        <f>HLOOKUP(I45,$145:$147,2,FALSE)/100</f>
        <v>0.57740000000000002</v>
      </c>
      <c r="J46" s="145">
        <f>HLOOKUP(J45,$145:$147,2,FALSE)/100</f>
        <v>0.60170000000000001</v>
      </c>
      <c r="K46" s="145">
        <f>HLOOKUP(K45,$145:$147,2,FALSE)/100</f>
        <v>0.59439999999999993</v>
      </c>
    </row>
    <row r="47" spans="1:14" x14ac:dyDescent="0.25">
      <c r="A47" s="188" t="s">
        <v>165</v>
      </c>
      <c r="B47" s="189">
        <f>HLOOKUP(B45,$157:$159,3,FALSE)</f>
        <v>5.63</v>
      </c>
      <c r="C47" s="189">
        <f>HLOOKUP(C45,$157:$159,3,FALSE)</f>
        <v>4.12</v>
      </c>
      <c r="D47" s="189">
        <f>HLOOKUP(D45,$157:$159,3,FALSE)</f>
        <v>4.83</v>
      </c>
      <c r="E47" s="189">
        <f>HLOOKUP(E45,$157:$159,3,FALSE)</f>
        <v>5.24</v>
      </c>
      <c r="G47" s="190" t="s">
        <v>166</v>
      </c>
      <c r="H47" s="145">
        <f>HLOOKUP(H45,$145:$147,3,FALSE)/100</f>
        <v>0.17989999999999998</v>
      </c>
      <c r="I47" s="145">
        <f>HLOOKUP(I45,$145:$147,3,FALSE)/100</f>
        <v>0.14560000000000001</v>
      </c>
      <c r="J47" s="145">
        <f>HLOOKUP(J45,$145:$147,3,FALSE)/100</f>
        <v>0.1875</v>
      </c>
      <c r="K47" s="145">
        <f>HLOOKUP(K45,$145:$147,3,FALSE)/100</f>
        <v>0.1734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1.82</v>
      </c>
      <c r="C49" s="152">
        <f>HLOOKUP(C48,$81:$82,2,FALSE)</f>
        <v>1.4</v>
      </c>
      <c r="D49" s="152">
        <f>HLOOKUP(D48,$81:$82,2,FALSE)</f>
        <v>1.83</v>
      </c>
      <c r="E49" s="152">
        <f>HLOOKUP(E48,$81:$82,2,FALSE)</f>
        <v>1.51</v>
      </c>
      <c r="G49" s="86" t="s">
        <v>164</v>
      </c>
      <c r="H49" s="145">
        <f>HLOOKUP(H48,$145:$147,2,FALSE)/100</f>
        <v>0.59970000000000001</v>
      </c>
      <c r="I49" s="145">
        <f>HLOOKUP(I48,$145:$147,2,FALSE)/100</f>
        <v>0.58260000000000001</v>
      </c>
      <c r="J49" s="145">
        <f>HLOOKUP(J48,$145:$147,2,FALSE)/100</f>
        <v>0.62369999999999992</v>
      </c>
      <c r="K49" s="145">
        <f>HLOOKUP(K48,$145:$147,2,FALSE)/100</f>
        <v>0.57719999999999994</v>
      </c>
    </row>
    <row r="50" spans="1:15" x14ac:dyDescent="0.25">
      <c r="A50" s="188" t="s">
        <v>165</v>
      </c>
      <c r="B50" s="189">
        <f>HLOOKUP(B48,$157:$159,3,FALSE)</f>
        <v>6.47</v>
      </c>
      <c r="C50" s="189">
        <f>HLOOKUP(C48,$157:$159,3,FALSE)</f>
        <v>4.76</v>
      </c>
      <c r="D50" s="189">
        <f>HLOOKUP(D48,$157:$159,3,FALSE)</f>
        <v>6.02</v>
      </c>
      <c r="E50" s="189">
        <f>HLOOKUP(E48,$157:$159,3,FALSE)</f>
        <v>5.3</v>
      </c>
      <c r="G50" s="190" t="s">
        <v>166</v>
      </c>
      <c r="H50" s="145">
        <f>HLOOKUP(H48,$145:$147,3,FALSE)/100</f>
        <v>0.2039</v>
      </c>
      <c r="I50" s="145">
        <f>HLOOKUP(I48,$145:$147,3,FALSE)/100</f>
        <v>0.16329999999999997</v>
      </c>
      <c r="J50" s="145">
        <f>HLOOKUP(J48,$145:$147,3,FALSE)/100</f>
        <v>0.21989999999999998</v>
      </c>
      <c r="K50" s="145">
        <f>HLOOKUP(K48,$145:$147,3,FALSE)/100</f>
        <v>0.17739999999999997</v>
      </c>
    </row>
    <row r="51" spans="1:15" x14ac:dyDescent="0.25">
      <c r="A51" s="86" t="s">
        <v>351</v>
      </c>
      <c r="B51" s="186">
        <f>(B47-B50)/B50</f>
        <v>-0.12982998454404945</v>
      </c>
      <c r="C51" s="186">
        <f>(C47-C50)/C50</f>
        <v>-0.13445378151260498</v>
      </c>
      <c r="D51" s="186">
        <f>(D47-D50)/D50</f>
        <v>-0.1976744186046511</v>
      </c>
      <c r="E51" s="186">
        <f>(E47-E50)/E50</f>
        <v>-1.1320754716981058E-2</v>
      </c>
      <c r="G51" s="235" t="s">
        <v>174</v>
      </c>
      <c r="H51" s="186">
        <f>(H46-H49)/H49</f>
        <v>-1.167250291812574E-2</v>
      </c>
      <c r="I51" s="186">
        <f>(I46-I49)/I49</f>
        <v>-8.9255063508410278E-3</v>
      </c>
      <c r="J51" s="186">
        <f>(J46-J49)/J49</f>
        <v>-3.5273368606701799E-2</v>
      </c>
      <c r="K51" s="186">
        <f>(K46-K49)/K49</f>
        <v>2.9799029799029791E-2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6.1695217720974203</v>
      </c>
      <c r="B53" s="193">
        <f>B46</f>
        <v>1.58</v>
      </c>
      <c r="C53" s="193">
        <f>E46/HLOOKUP(E45,$87:$94,5,FALSE)*HLOOKUP(E45,$87:$94,4,FALSE)*($B$25/HLOOKUP(E45,$87:$94,4,FALSE)+SUM($B$57:$D$57)/SUM($B58:$D$58)*$G$69/100/K46)</f>
        <v>1.6035919098824345</v>
      </c>
      <c r="D53" s="193">
        <f>D46/HLOOKUP(D45,$87:$94,5,FALSE)*HLOOKUP(D45,$87:$94,4,FALSE)*($B$25/HLOOKUP(D45,$87:$94,4,FALSE)+SUM($B$57:$D$57)/SUM($B58:$D$58)*$G$69/100/J46)</f>
        <v>1.6137413725243379</v>
      </c>
      <c r="E53" s="193">
        <f>C46/HLOOKUP(C45,$87:$94,5,FALSE)*HLOOKUP(C45,$87:$94,4,FALSE)*($B$25/HLOOKUP(C45,$87:$94,4,FALSE)+SUM($B$57:$D$57)/SUM($B58:$D$58)*$G$69/100/I46)</f>
        <v>1.372188489690648</v>
      </c>
    </row>
    <row r="54" spans="1:15" x14ac:dyDescent="0.25">
      <c r="A54" s="278">
        <f>SUM(B54:E54)</f>
        <v>6.1000000000000005</v>
      </c>
      <c r="B54" s="277">
        <f t="shared" ref="B54:D54" si="0">HLOOKUP(B52-10,81:82,2,FALSE)</f>
        <v>1.82</v>
      </c>
      <c r="C54" s="277">
        <f t="shared" si="0"/>
        <v>1.54</v>
      </c>
      <c r="D54" s="277">
        <f t="shared" si="0"/>
        <v>1.52</v>
      </c>
      <c r="E54" s="277">
        <f>HLOOKUP(E52-10,81:82,2,FALSE)</f>
        <v>1.22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430289</v>
      </c>
      <c r="C57" s="196">
        <f>HLOOKUP(C56,78:79,2,FALSE)</f>
        <v>422075</v>
      </c>
      <c r="D57" s="196">
        <f>HLOOKUP(D56,78:79,2,FALSE)</f>
        <v>438873</v>
      </c>
      <c r="E57" s="196">
        <f>HLOOKUP(E56,78:79,2,FALSE)</f>
        <v>376630</v>
      </c>
      <c r="F57" s="196">
        <f>HLOOKUP(F56,78:79,2,FALSE)</f>
        <v>400192</v>
      </c>
      <c r="G57" s="196">
        <f t="shared" ref="G57:M57" si="2">HLOOKUP(G56,78:79,2,FALSE)</f>
        <v>390825</v>
      </c>
      <c r="H57" s="196">
        <f t="shared" si="2"/>
        <v>353457</v>
      </c>
      <c r="I57" s="196">
        <f t="shared" si="2"/>
        <v>470020</v>
      </c>
      <c r="J57" s="196">
        <f t="shared" si="2"/>
        <v>355014</v>
      </c>
      <c r="K57" s="196">
        <f t="shared" si="2"/>
        <v>366779</v>
      </c>
      <c r="L57" s="196">
        <f t="shared" si="2"/>
        <v>431897</v>
      </c>
      <c r="M57" s="196">
        <f t="shared" si="2"/>
        <v>414151</v>
      </c>
      <c r="N57" s="197"/>
    </row>
    <row r="58" spans="1:15" x14ac:dyDescent="0.25">
      <c r="A58" s="198" t="s">
        <v>253</v>
      </c>
      <c r="B58" s="196">
        <f>HLOOKUP(B56-100,78:79,2,FALSE)</f>
        <v>390589</v>
      </c>
      <c r="C58" s="196">
        <f>HLOOKUP(C56-100,78:79,2,FALSE)</f>
        <v>403846</v>
      </c>
      <c r="D58" s="196">
        <f>HLOOKUP(D56-100,78:79,2,FALSE)</f>
        <v>433110</v>
      </c>
      <c r="E58" s="196">
        <f>HLOOKUP(E56-100,78:79,2,FALSE)</f>
        <v>440868</v>
      </c>
      <c r="F58" s="196">
        <f>HLOOKUP(F56-100,78:79,2,FALSE)</f>
        <v>384633</v>
      </c>
      <c r="G58" s="196">
        <f t="shared" ref="G58:M58" si="3">HLOOKUP(G56-100,78:79,2,FALSE)</f>
        <v>392792</v>
      </c>
      <c r="H58" s="196">
        <f t="shared" si="3"/>
        <v>412446</v>
      </c>
      <c r="I58" s="196">
        <f t="shared" si="3"/>
        <v>457136</v>
      </c>
      <c r="J58" s="196">
        <f t="shared" si="3"/>
        <v>356777</v>
      </c>
      <c r="K58" s="196">
        <f t="shared" si="3"/>
        <v>414618</v>
      </c>
      <c r="L58" s="196">
        <f t="shared" si="3"/>
        <v>445530</v>
      </c>
      <c r="M58" s="196">
        <f t="shared" si="3"/>
        <v>434938</v>
      </c>
      <c r="N58" s="197"/>
    </row>
    <row r="59" spans="1:15" x14ac:dyDescent="0.25">
      <c r="A59" s="199" t="s">
        <v>254</v>
      </c>
      <c r="B59" s="165">
        <f>IF(B57&lt;&gt;"",(B57-B58)/B58,"")</f>
        <v>0.10164136726840746</v>
      </c>
      <c r="C59" s="165">
        <f>IF(C57&lt;&gt;"",(C57-C58)/C58,"")</f>
        <v>4.5138493386092715E-2</v>
      </c>
      <c r="D59" s="165">
        <f>IF(D57&lt;&gt;"",(D57-D58)/D58,"")</f>
        <v>1.3306088522546236E-2</v>
      </c>
      <c r="E59" s="165">
        <f>IF(E57&lt;&gt;"",(E57-E58)/E58,"")</f>
        <v>-0.14570801237558634</v>
      </c>
      <c r="F59" s="165">
        <f>IF(F57&lt;&gt;"",(F57-F58)/F58,"")</f>
        <v>4.0451547319132787E-2</v>
      </c>
      <c r="G59" s="165">
        <f t="shared" ref="G59:M59" si="4">IF(G57&lt;&gt;"",(G57-G58)/G58,"")</f>
        <v>-5.0077394651622236E-3</v>
      </c>
      <c r="H59" s="165">
        <f t="shared" si="4"/>
        <v>-0.14302235929067078</v>
      </c>
      <c r="I59" s="165">
        <f t="shared" si="4"/>
        <v>2.8184172762591438E-2</v>
      </c>
      <c r="J59" s="165">
        <f t="shared" si="4"/>
        <v>-4.9414620337073301E-3</v>
      </c>
      <c r="K59" s="165">
        <f t="shared" si="4"/>
        <v>-0.11538090483288231</v>
      </c>
      <c r="L59" s="165">
        <f t="shared" si="4"/>
        <v>-3.0599510695127154E-2</v>
      </c>
      <c r="M59" s="165">
        <f t="shared" si="4"/>
        <v>-4.7793018775089784E-2</v>
      </c>
    </row>
    <row r="60" spans="1:15" x14ac:dyDescent="0.25">
      <c r="A60" s="195" t="s">
        <v>255</v>
      </c>
      <c r="B60" s="196">
        <f>SUM(B57:M57)</f>
        <v>4850202</v>
      </c>
    </row>
    <row r="61" spans="1:15" x14ac:dyDescent="0.25">
      <c r="A61" s="198" t="s">
        <v>256</v>
      </c>
      <c r="B61" s="196">
        <f>SUM(B58:M58)</f>
        <v>4967283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0.9764295692433872</v>
      </c>
      <c r="D62" s="152">
        <f>SUM(B46:E46)</f>
        <v>5.86</v>
      </c>
      <c r="E62" s="152">
        <f>SUM(B49:E49)</f>
        <v>6.56</v>
      </c>
      <c r="G62" s="126">
        <f>SUM(B47:E47)</f>
        <v>19.82</v>
      </c>
      <c r="H62" s="126">
        <f>SUM(B50:E50)</f>
        <v>22.55</v>
      </c>
      <c r="J62" s="200">
        <f>AVERAGE(H46:K46)</f>
        <v>0.59155000000000002</v>
      </c>
      <c r="K62" s="200">
        <f>AVERAGE(H49:K49)</f>
        <v>0.5958</v>
      </c>
      <c r="M62" s="200">
        <f>AVERAGE(H47:K47)</f>
        <v>0.1716</v>
      </c>
      <c r="N62" s="200">
        <f>AVERAGE(H50:K50)</f>
        <v>0.19112499999999999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1.34</v>
      </c>
      <c r="C65" s="205">
        <f t="shared" si="5"/>
        <v>1.43</v>
      </c>
      <c r="D65" s="205">
        <f t="shared" si="5"/>
        <v>1.63</v>
      </c>
      <c r="E65" s="205">
        <f t="shared" si="5"/>
        <v>1.83</v>
      </c>
      <c r="F65" s="206">
        <f>IF(ISNA(HLOOKUP(F$64*10+$A65,$81:$82,2,FALSE)),(HLOOKUP(E$64*10+$A65,$87:$94,4,FALSE)*$G65+$B$25)/HLOOKUP(E$64*10+$A65,$87:$94,5,FALSE)*$E65,HLOOKUP(F$64*10+$A65,$81:$82,2,FALSE))</f>
        <v>1.52</v>
      </c>
      <c r="G65" s="101">
        <f>MIN(130%,SUM($B$57:$D$57)/SUM($B$58:$D$58)*$G$69/HLOOKUP(E$64*10+$A65,$145:$146,2,FALSE))</f>
        <v>1.0032735273846483</v>
      </c>
      <c r="H65" s="204">
        <v>1</v>
      </c>
      <c r="I65" s="208">
        <f t="shared" ref="I65:M68" si="6">IF(ISNA(HLOOKUP(I$64*10+$H65,$145:$147,3,FALSE)),"",HLOOKUP(I$64*10+$H65,$145:$147,3,FALSE)/100)</f>
        <v>0.18109999999999998</v>
      </c>
      <c r="J65" s="208">
        <f t="shared" si="6"/>
        <v>0.18809999999999999</v>
      </c>
      <c r="K65" s="208">
        <f t="shared" si="6"/>
        <v>0.2175</v>
      </c>
      <c r="L65" s="208">
        <f t="shared" si="6"/>
        <v>0.21989999999999998</v>
      </c>
      <c r="M65" s="209">
        <f t="shared" si="6"/>
        <v>0.1875</v>
      </c>
      <c r="N65" s="256">
        <f t="shared" ref="N65:O68" si="7">HLOOKUP(E$64*10+$A65,$87:$94,8,FALSE)</f>
        <v>17084</v>
      </c>
      <c r="O65" s="256">
        <f t="shared" si="7"/>
        <v>11250</v>
      </c>
      <c r="P65" s="210"/>
    </row>
    <row r="66" spans="1:71" x14ac:dyDescent="0.25">
      <c r="A66" s="204">
        <v>2</v>
      </c>
      <c r="B66" s="205">
        <f t="shared" si="5"/>
        <v>1.6</v>
      </c>
      <c r="C66" s="205">
        <f t="shared" si="5"/>
        <v>1.56</v>
      </c>
      <c r="D66" s="205">
        <f t="shared" si="5"/>
        <v>1.1399999999999999</v>
      </c>
      <c r="E66" s="205">
        <f t="shared" si="5"/>
        <v>1.4</v>
      </c>
      <c r="F66" s="206">
        <f>IF(ISNA(HLOOKUP(F$64*10+$A66,$81:$82,2,FALSE)),(HLOOKUP(E$64*10+$A66,$87:$94,4,FALSE)*$G66+$B$25)/HLOOKUP(E$64*10+$A66,$87:$94,5,FALSE)*$E66,HLOOKUP(F$64*10+$A66,$81:$82,2,FALSE))</f>
        <v>1.22</v>
      </c>
      <c r="G66" s="101">
        <f>MIN(130%,SUM($B$57:$D$57)/SUM($B$58:$D$58)*$G$69/HLOOKUP(E$64*10+$A66,$145:$146,2,FALSE))</f>
        <v>1.0740502901301152</v>
      </c>
      <c r="H66" s="204">
        <v>2</v>
      </c>
      <c r="I66" s="208">
        <f t="shared" si="6"/>
        <v>0.1943</v>
      </c>
      <c r="J66" s="208">
        <f t="shared" si="6"/>
        <v>0.2112</v>
      </c>
      <c r="K66" s="208">
        <f t="shared" si="6"/>
        <v>0.14710000000000001</v>
      </c>
      <c r="L66" s="208">
        <f t="shared" si="6"/>
        <v>0.16329999999999997</v>
      </c>
      <c r="M66" s="209">
        <f t="shared" si="6"/>
        <v>0.14560000000000001</v>
      </c>
      <c r="N66" s="256">
        <f t="shared" si="7"/>
        <v>13065</v>
      </c>
      <c r="O66" s="256">
        <f t="shared" si="7"/>
        <v>8858</v>
      </c>
      <c r="P66" s="210"/>
    </row>
    <row r="67" spans="1:71" x14ac:dyDescent="0.25">
      <c r="A67" s="204">
        <v>3</v>
      </c>
      <c r="B67" s="205">
        <f t="shared" si="5"/>
        <v>1.58</v>
      </c>
      <c r="C67" s="205">
        <f t="shared" si="5"/>
        <v>1.74</v>
      </c>
      <c r="D67" s="205">
        <f t="shared" si="5"/>
        <v>1.62</v>
      </c>
      <c r="E67" s="205">
        <f t="shared" si="5"/>
        <v>1.82</v>
      </c>
      <c r="F67" s="206">
        <f>IF(ISNA(HLOOKUP(F$64*10+$A67,$81:$82,2,FALSE)),(HLOOKUP(E$64*10+$A67,$87:$94,4,FALSE)*$G67+$B$25)/HLOOKUP(E$64*10+$A67,$87:$94,5,FALSE)*$E67,HLOOKUP(F$64*10+$A67,$81:$82,2,FALSE))</f>
        <v>1.58</v>
      </c>
      <c r="G67" s="101">
        <f>MIN(130%,SUM($B$57:$D$57)/SUM($B$58:$D$58)*$G$69/HLOOKUP(E$64*10+$A67,$145:$146,2,FALSE))</f>
        <v>1.0434245439883361</v>
      </c>
      <c r="H67" s="204">
        <v>3</v>
      </c>
      <c r="I67" s="208">
        <f t="shared" si="6"/>
        <v>0.20519999999999999</v>
      </c>
      <c r="J67" s="208">
        <f t="shared" si="6"/>
        <v>0.22570000000000001</v>
      </c>
      <c r="K67" s="208">
        <f t="shared" si="6"/>
        <v>0.18170000000000003</v>
      </c>
      <c r="L67" s="208">
        <f t="shared" si="6"/>
        <v>0.2039</v>
      </c>
      <c r="M67" s="209">
        <f t="shared" si="6"/>
        <v>0.17989999999999998</v>
      </c>
      <c r="N67" s="256">
        <f t="shared" si="7"/>
        <v>19666</v>
      </c>
      <c r="O67" s="256">
        <f t="shared" si="7"/>
        <v>21444</v>
      </c>
      <c r="P67" s="210"/>
    </row>
    <row r="68" spans="1:71" x14ac:dyDescent="0.25">
      <c r="A68" s="204">
        <v>4</v>
      </c>
      <c r="B68" s="205">
        <f>HLOOKUP(B$64*10+$A68,$81:$82,2,FALSE)</f>
        <v>1.68</v>
      </c>
      <c r="C68" s="205">
        <f>HLOOKUP(C$64*10+$A68,$81:$82,2,FALSE)</f>
        <v>1.64</v>
      </c>
      <c r="D68" s="205">
        <f>HLOOKUP(D$64*10+$A68,$81:$82,2,FALSE)</f>
        <v>1.51</v>
      </c>
      <c r="E68" s="206">
        <f>IF(ISNA(HLOOKUP(E$64*10+$A68,$81:$82,2,FALSE)),D68*(1-$N68)*#REF!*(1+$B$25)/(1+$E$4),HLOOKUP(E$64*10+$A68,$81:$82,2,FALSE))</f>
        <v>1.54</v>
      </c>
      <c r="F68" s="206">
        <f>IF(ISNA(HLOOKUP(F$64*10+$A68,$81:$82,2,FALSE)),(HLOOKUP(E$64*10+$A68,$87:$94,4,FALSE)*$G68+$B$25)/HLOOKUP(E$64*10+$A68,$87:$94,5,FALSE)*$E68,HLOOKUP(F$64*10+$A68,$81:$82,2,FALSE))</f>
        <v>1.6035919098824343</v>
      </c>
      <c r="G68" s="101">
        <f>MIN(130%,SUM($B$57:$D$57)/SUM($B$58:$D$58)*$G$69/HLOOKUP(E$64*10+$A68,$145:$146,2,FALSE))</f>
        <v>1.0527282958105739</v>
      </c>
      <c r="H68" s="204">
        <v>4</v>
      </c>
      <c r="I68" s="208">
        <f t="shared" si="6"/>
        <v>0.20569999999999999</v>
      </c>
      <c r="J68" s="208">
        <f t="shared" si="6"/>
        <v>0.2009</v>
      </c>
      <c r="K68" s="208">
        <f t="shared" si="6"/>
        <v>0.17739999999999997</v>
      </c>
      <c r="L68" s="208">
        <f t="shared" si="6"/>
        <v>0.1734</v>
      </c>
      <c r="M68" s="209" t="str">
        <f t="shared" si="6"/>
        <v/>
      </c>
      <c r="N68" s="256">
        <f t="shared" si="7"/>
        <v>18491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6.2</v>
      </c>
      <c r="C69" s="213">
        <f>SUM(C65:C68)</f>
        <v>6.37</v>
      </c>
      <c r="D69" s="213">
        <f>SUM(D65:D68)</f>
        <v>5.8999999999999995</v>
      </c>
      <c r="E69" s="213">
        <f>SUM(E65:E68)</f>
        <v>6.59</v>
      </c>
      <c r="F69" s="213">
        <f>SUM(F65:F68)</f>
        <v>5.9235919098824343</v>
      </c>
      <c r="G69" s="257">
        <f>_xlfn.FORECAST.ETS(23,B146:W146,{1,2,3,4,5,6,7,8,9,10,11,12,13,14,15,16,17,18,19,20,21,22})</f>
        <v>59.48761489451914</v>
      </c>
      <c r="H69" s="214" t="s">
        <v>19</v>
      </c>
      <c r="I69" s="215">
        <f>HLOOKUP(I64,151:155,3,FALSE)/100</f>
        <v>0.19699999999999998</v>
      </c>
      <c r="J69" s="215">
        <f>HLOOKUP(J64,151:155,3,FALSE)/100</f>
        <v>0.20679999999999998</v>
      </c>
      <c r="K69" s="215">
        <f>HLOOKUP(K64,151:155,3,FALSE)/100</f>
        <v>0.18079999999999999</v>
      </c>
      <c r="L69" s="215">
        <f>IF(ISNA(HLOOKUP(L64,151:155,3,FALSE)/100),AVERAGE(L65:L68),HLOOKUP(L64,151:155,3,FALSE)/100)</f>
        <v>0.19039999999999999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5.28</v>
      </c>
      <c r="C72" s="205">
        <f t="shared" si="8"/>
        <v>4.99</v>
      </c>
      <c r="D72" s="205">
        <f t="shared" si="8"/>
        <v>5.46</v>
      </c>
      <c r="E72" s="205">
        <f t="shared" si="8"/>
        <v>6.02</v>
      </c>
      <c r="F72" s="205">
        <f t="shared" si="8"/>
        <v>4.83</v>
      </c>
    </row>
    <row r="73" spans="1:71" s="135" customFormat="1" x14ac:dyDescent="0.25">
      <c r="A73" s="204">
        <v>2</v>
      </c>
      <c r="B73" s="205">
        <f t="shared" si="8"/>
        <v>6.39</v>
      </c>
      <c r="C73" s="205">
        <f t="shared" si="8"/>
        <v>5.68</v>
      </c>
      <c r="D73" s="205">
        <f t="shared" si="8"/>
        <v>4.08</v>
      </c>
      <c r="E73" s="205">
        <f t="shared" si="8"/>
        <v>4.76</v>
      </c>
      <c r="F73" s="205">
        <f t="shared" si="8"/>
        <v>4.12</v>
      </c>
    </row>
    <row r="74" spans="1:71" s="135" customFormat="1" x14ac:dyDescent="0.25">
      <c r="A74" s="204">
        <v>3</v>
      </c>
      <c r="B74" s="205">
        <f t="shared" si="8"/>
        <v>6.22</v>
      </c>
      <c r="C74" s="205">
        <f t="shared" si="8"/>
        <v>6.57</v>
      </c>
      <c r="D74" s="205">
        <f t="shared" si="8"/>
        <v>6.02</v>
      </c>
      <c r="E74" s="205">
        <f t="shared" si="8"/>
        <v>6.47</v>
      </c>
      <c r="F74" s="205">
        <f t="shared" si="8"/>
        <v>5.63</v>
      </c>
    </row>
    <row r="75" spans="1:71" s="135" customFormat="1" x14ac:dyDescent="0.25">
      <c r="A75" s="204">
        <v>4</v>
      </c>
      <c r="B75" s="205">
        <f t="shared" si="8"/>
        <v>6.28</v>
      </c>
      <c r="C75" s="205">
        <f t="shared" si="8"/>
        <v>5.83</v>
      </c>
      <c r="D75" s="205">
        <f t="shared" si="8"/>
        <v>5.3</v>
      </c>
      <c r="E75" s="205">
        <f t="shared" si="8"/>
        <v>5.24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24.17</v>
      </c>
      <c r="C76" s="213">
        <f>SUM(C72:C75)</f>
        <v>23.07</v>
      </c>
      <c r="D76" s="213">
        <f>SUM(D72:D75)</f>
        <v>20.86</v>
      </c>
      <c r="E76" s="213">
        <f>AVERAGE(E72:E75)*4</f>
        <v>22.490000000000002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166117</v>
      </c>
      <c r="C79" s="270">
        <v>249167</v>
      </c>
      <c r="D79" s="270">
        <v>264282</v>
      </c>
      <c r="E79" s="270">
        <v>227418</v>
      </c>
      <c r="F79" s="270">
        <v>275140</v>
      </c>
      <c r="G79" s="270">
        <v>239636</v>
      </c>
      <c r="H79" s="270">
        <v>209299</v>
      </c>
      <c r="I79" s="270">
        <v>273337</v>
      </c>
      <c r="J79" s="270">
        <v>247717</v>
      </c>
      <c r="K79" s="270">
        <v>210336</v>
      </c>
      <c r="L79" s="270">
        <v>240925</v>
      </c>
      <c r="M79" s="270">
        <v>197899</v>
      </c>
      <c r="N79" s="270">
        <v>348844</v>
      </c>
      <c r="O79" s="270">
        <v>312067</v>
      </c>
      <c r="P79" s="270">
        <v>389992</v>
      </c>
      <c r="Q79" s="270">
        <v>370545</v>
      </c>
      <c r="R79" s="270">
        <v>376896</v>
      </c>
      <c r="S79" s="270">
        <v>409998</v>
      </c>
      <c r="T79" s="270">
        <v>381777</v>
      </c>
      <c r="U79" s="270">
        <v>372652</v>
      </c>
      <c r="V79" s="270">
        <v>386118</v>
      </c>
      <c r="W79" s="270">
        <v>413217</v>
      </c>
      <c r="X79" s="270">
        <v>408716</v>
      </c>
      <c r="Y79" s="270">
        <v>401674</v>
      </c>
      <c r="Z79" s="270">
        <v>368405</v>
      </c>
      <c r="AA79" s="270">
        <v>344753</v>
      </c>
      <c r="AB79" s="270">
        <v>415780</v>
      </c>
      <c r="AC79" s="270">
        <v>414456</v>
      </c>
      <c r="AD79" s="270">
        <v>381112</v>
      </c>
      <c r="AE79" s="270">
        <v>395726</v>
      </c>
      <c r="AF79" s="270">
        <v>422162</v>
      </c>
      <c r="AG79" s="270">
        <v>415413</v>
      </c>
      <c r="AH79" s="270">
        <v>419849</v>
      </c>
      <c r="AI79" s="270">
        <v>440389</v>
      </c>
      <c r="AJ79" s="270">
        <v>421136</v>
      </c>
      <c r="AK79" s="270">
        <v>458754</v>
      </c>
      <c r="AL79" s="270">
        <v>385712</v>
      </c>
      <c r="AM79" s="270">
        <v>350248</v>
      </c>
      <c r="AN79" s="270">
        <v>439888</v>
      </c>
      <c r="AO79" s="270">
        <v>396178</v>
      </c>
      <c r="AP79" s="270">
        <v>372645</v>
      </c>
      <c r="AQ79" s="270">
        <v>408285</v>
      </c>
      <c r="AR79" s="270">
        <v>396962</v>
      </c>
      <c r="AS79" s="270">
        <v>392509</v>
      </c>
      <c r="AT79" s="270">
        <v>443028</v>
      </c>
      <c r="AU79" s="270">
        <v>427004</v>
      </c>
      <c r="AV79" s="270">
        <v>434938</v>
      </c>
      <c r="AW79" s="270">
        <v>445530</v>
      </c>
      <c r="AX79" s="270">
        <v>414618</v>
      </c>
      <c r="AY79" s="270">
        <v>356777</v>
      </c>
      <c r="AZ79" s="270">
        <v>457136</v>
      </c>
      <c r="BA79" s="270">
        <v>412446</v>
      </c>
      <c r="BB79" s="270">
        <v>392792</v>
      </c>
      <c r="BC79" s="270">
        <v>384633</v>
      </c>
      <c r="BD79" s="270">
        <v>440868</v>
      </c>
      <c r="BE79" s="270">
        <v>433110</v>
      </c>
      <c r="BF79" s="270">
        <v>403846</v>
      </c>
      <c r="BG79" s="270">
        <v>390589</v>
      </c>
      <c r="BH79" s="270">
        <v>414151</v>
      </c>
      <c r="BI79" s="270">
        <v>431897</v>
      </c>
      <c r="BJ79" s="270">
        <v>366779</v>
      </c>
      <c r="BK79" s="270">
        <v>355014</v>
      </c>
      <c r="BL79" s="270">
        <v>470020</v>
      </c>
      <c r="BM79" s="270">
        <v>353457</v>
      </c>
      <c r="BN79" s="270">
        <v>390825</v>
      </c>
      <c r="BO79" s="270">
        <v>400192</v>
      </c>
      <c r="BP79" s="270">
        <v>376630</v>
      </c>
      <c r="BQ79" s="270">
        <v>438873</v>
      </c>
      <c r="BR79" s="270">
        <v>422075</v>
      </c>
      <c r="BS79" s="270">
        <v>430289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1.1399999999999999</v>
      </c>
      <c r="C82" s="72">
        <v>1.18</v>
      </c>
      <c r="D82" s="72">
        <v>0.65</v>
      </c>
      <c r="E82" s="72">
        <v>1.07</v>
      </c>
      <c r="F82" s="72">
        <v>1.34</v>
      </c>
      <c r="G82" s="72">
        <v>1.6</v>
      </c>
      <c r="H82" s="72">
        <v>1.58</v>
      </c>
      <c r="I82" s="72">
        <v>1.68</v>
      </c>
      <c r="J82" s="72">
        <v>1.43</v>
      </c>
      <c r="K82" s="72">
        <v>1.56</v>
      </c>
      <c r="L82" s="72">
        <v>1.74</v>
      </c>
      <c r="M82" s="72">
        <v>1.64</v>
      </c>
      <c r="N82" s="72">
        <v>1.63</v>
      </c>
      <c r="O82" s="72">
        <v>1.1399999999999999</v>
      </c>
      <c r="P82" s="72">
        <v>1.62</v>
      </c>
      <c r="Q82" s="72">
        <v>1.51</v>
      </c>
      <c r="R82" s="72">
        <v>1.83</v>
      </c>
      <c r="S82" s="72">
        <v>1.4</v>
      </c>
      <c r="T82" s="72">
        <v>1.82</v>
      </c>
      <c r="U82" s="72">
        <v>1.54</v>
      </c>
      <c r="V82" s="72">
        <v>1.52</v>
      </c>
      <c r="W82" s="72">
        <v>1.22</v>
      </c>
      <c r="X82" s="72">
        <v>1.58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25.38</v>
      </c>
      <c r="C85" s="72">
        <v>23.05</v>
      </c>
      <c r="D85" s="72">
        <v>23.72</v>
      </c>
      <c r="E85" s="72">
        <v>24.69</v>
      </c>
      <c r="F85" s="72">
        <v>25.77</v>
      </c>
      <c r="G85" s="72">
        <v>24.15</v>
      </c>
      <c r="H85" s="72">
        <v>25.89</v>
      </c>
      <c r="I85" s="72">
        <v>27.56</v>
      </c>
      <c r="J85" s="72">
        <v>29.1</v>
      </c>
      <c r="K85" s="72">
        <v>25.56</v>
      </c>
      <c r="L85" s="72">
        <v>27.21</v>
      </c>
      <c r="M85" s="72">
        <v>28.96</v>
      </c>
      <c r="N85" s="72">
        <v>30.25</v>
      </c>
      <c r="O85" s="72">
        <v>25.71</v>
      </c>
      <c r="P85" s="72">
        <v>27.73</v>
      </c>
      <c r="Q85" s="72">
        <v>28.95</v>
      </c>
      <c r="R85" s="72">
        <v>30.69</v>
      </c>
      <c r="S85" s="72">
        <v>26.8</v>
      </c>
      <c r="T85" s="72">
        <v>28.45</v>
      </c>
      <c r="U85" s="72">
        <v>30.24</v>
      </c>
      <c r="V85" s="72">
        <v>31.38</v>
      </c>
      <c r="W85" s="72">
        <v>26.97</v>
      </c>
      <c r="X85" s="72">
        <v>28.59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1046326</v>
      </c>
      <c r="C88" s="273">
        <v>1131883</v>
      </c>
      <c r="D88" s="273">
        <v>1046679</v>
      </c>
      <c r="E88" s="273">
        <v>1050974</v>
      </c>
      <c r="F88" s="273">
        <v>1056746</v>
      </c>
      <c r="G88" s="273">
        <v>1151596</v>
      </c>
      <c r="H88" s="273">
        <v>1140547</v>
      </c>
      <c r="I88" s="273">
        <v>1222123</v>
      </c>
      <c r="J88" s="273">
        <v>1128938</v>
      </c>
      <c r="K88" s="273">
        <v>1191294</v>
      </c>
      <c r="L88" s="273">
        <v>1257424</v>
      </c>
      <c r="M88" s="273">
        <v>1320279</v>
      </c>
      <c r="N88" s="273">
        <v>1176812</v>
      </c>
      <c r="O88" s="273">
        <v>1176144</v>
      </c>
      <c r="P88" s="273">
        <v>1232499</v>
      </c>
      <c r="Q88" s="273">
        <v>1302424</v>
      </c>
      <c r="R88" s="273">
        <v>1228531</v>
      </c>
      <c r="S88" s="273">
        <v>1189871</v>
      </c>
      <c r="T88" s="273">
        <v>1277824</v>
      </c>
      <c r="U88" s="273">
        <v>1239521</v>
      </c>
      <c r="V88" s="273">
        <v>1191813</v>
      </c>
      <c r="W88" s="273">
        <v>1144474</v>
      </c>
      <c r="X88" s="273">
        <v>1237578</v>
      </c>
    </row>
    <row r="89" spans="1:25" ht="14.25" thickBot="1" x14ac:dyDescent="0.3">
      <c r="A89" s="250" t="s">
        <v>4</v>
      </c>
      <c r="B89" s="275">
        <v>598205</v>
      </c>
      <c r="C89" s="275">
        <v>659627</v>
      </c>
      <c r="D89" s="275">
        <v>589165</v>
      </c>
      <c r="E89" s="275">
        <v>605719</v>
      </c>
      <c r="F89" s="275">
        <v>608846</v>
      </c>
      <c r="G89" s="275">
        <v>663433</v>
      </c>
      <c r="H89" s="275">
        <v>666407</v>
      </c>
      <c r="I89" s="275">
        <v>713124</v>
      </c>
      <c r="J89" s="275">
        <v>663127</v>
      </c>
      <c r="K89" s="275">
        <v>702549</v>
      </c>
      <c r="L89" s="275">
        <v>752462</v>
      </c>
      <c r="M89" s="275">
        <v>759702</v>
      </c>
      <c r="N89" s="275">
        <v>722457</v>
      </c>
      <c r="O89" s="275">
        <v>667350</v>
      </c>
      <c r="P89" s="275">
        <v>708605</v>
      </c>
      <c r="Q89" s="275">
        <v>751759</v>
      </c>
      <c r="R89" s="275">
        <v>766245</v>
      </c>
      <c r="S89" s="275">
        <v>693276</v>
      </c>
      <c r="T89" s="275">
        <v>766253</v>
      </c>
      <c r="U89" s="275">
        <v>736802</v>
      </c>
      <c r="V89" s="275">
        <v>717124</v>
      </c>
      <c r="W89" s="275">
        <v>660825</v>
      </c>
      <c r="X89" s="275">
        <v>733547</v>
      </c>
    </row>
    <row r="90" spans="1:25" ht="14.25" thickBot="1" x14ac:dyDescent="0.3">
      <c r="A90" s="251" t="s">
        <v>5</v>
      </c>
      <c r="B90" s="273">
        <v>171053</v>
      </c>
      <c r="C90" s="273">
        <v>152433</v>
      </c>
      <c r="D90" s="273">
        <v>-8380</v>
      </c>
      <c r="E90" s="273">
        <v>167794</v>
      </c>
      <c r="F90" s="273">
        <v>191337</v>
      </c>
      <c r="G90" s="273">
        <v>223751</v>
      </c>
      <c r="H90" s="273">
        <v>234089</v>
      </c>
      <c r="I90" s="273">
        <v>251352</v>
      </c>
      <c r="J90" s="273">
        <v>212340</v>
      </c>
      <c r="K90" s="273">
        <v>251597</v>
      </c>
      <c r="L90" s="273">
        <v>283779</v>
      </c>
      <c r="M90" s="273">
        <v>265217</v>
      </c>
      <c r="N90" s="273">
        <v>255965</v>
      </c>
      <c r="O90" s="273">
        <v>173048</v>
      </c>
      <c r="P90" s="273">
        <v>223894</v>
      </c>
      <c r="Q90" s="273">
        <v>231022</v>
      </c>
      <c r="R90" s="273">
        <v>270160</v>
      </c>
      <c r="S90" s="273">
        <v>194361</v>
      </c>
      <c r="T90" s="273">
        <v>260507</v>
      </c>
      <c r="U90" s="273">
        <v>214884</v>
      </c>
      <c r="V90" s="273">
        <v>223506</v>
      </c>
      <c r="W90" s="273">
        <v>166605</v>
      </c>
      <c r="X90" s="273">
        <v>222582</v>
      </c>
    </row>
    <row r="91" spans="1:25" ht="14.25" thickBot="1" x14ac:dyDescent="0.3">
      <c r="A91" s="250" t="s">
        <v>6</v>
      </c>
      <c r="B91" s="275">
        <v>170081</v>
      </c>
      <c r="C91" s="275">
        <v>171266</v>
      </c>
      <c r="D91" s="275">
        <v>77305</v>
      </c>
      <c r="E91" s="275">
        <v>214397</v>
      </c>
      <c r="F91" s="275">
        <v>203951</v>
      </c>
      <c r="G91" s="275">
        <v>231917</v>
      </c>
      <c r="H91" s="275">
        <v>236313</v>
      </c>
      <c r="I91" s="275">
        <v>267251</v>
      </c>
      <c r="J91" s="275">
        <v>226558</v>
      </c>
      <c r="K91" s="275">
        <v>270323</v>
      </c>
      <c r="L91" s="275">
        <v>292545</v>
      </c>
      <c r="M91" s="275">
        <v>263364</v>
      </c>
      <c r="N91" s="275">
        <v>254220</v>
      </c>
      <c r="O91" s="275">
        <v>182740</v>
      </c>
      <c r="P91" s="275">
        <v>252077</v>
      </c>
      <c r="Q91" s="275">
        <v>242465</v>
      </c>
      <c r="R91" s="275">
        <v>287244</v>
      </c>
      <c r="S91" s="275">
        <v>207426</v>
      </c>
      <c r="T91" s="275">
        <v>280173</v>
      </c>
      <c r="U91" s="275">
        <v>233375</v>
      </c>
      <c r="V91" s="275">
        <v>234756</v>
      </c>
      <c r="W91" s="275">
        <v>175463</v>
      </c>
      <c r="X91" s="275">
        <v>244026</v>
      </c>
    </row>
    <row r="92" spans="1:25" ht="14.25" thickBot="1" x14ac:dyDescent="0.3">
      <c r="A92" s="251" t="s">
        <v>7</v>
      </c>
      <c r="B92" s="273">
        <v>136847</v>
      </c>
      <c r="C92" s="273">
        <v>143616</v>
      </c>
      <c r="D92" s="273">
        <v>74875</v>
      </c>
      <c r="E92" s="273">
        <v>131881</v>
      </c>
      <c r="F92" s="273">
        <v>163519</v>
      </c>
      <c r="G92" s="273">
        <v>195957</v>
      </c>
      <c r="H92" s="273">
        <v>190886</v>
      </c>
      <c r="I92" s="273">
        <v>205843</v>
      </c>
      <c r="J92" s="273">
        <v>172955</v>
      </c>
      <c r="K92" s="273">
        <v>189932</v>
      </c>
      <c r="L92" s="273">
        <v>212733</v>
      </c>
      <c r="M92" s="273">
        <v>201012</v>
      </c>
      <c r="N92" s="273">
        <v>197947</v>
      </c>
      <c r="O92" s="273">
        <v>139654</v>
      </c>
      <c r="P92" s="273">
        <v>197421</v>
      </c>
      <c r="Q92" s="273">
        <v>184315</v>
      </c>
      <c r="R92" s="273">
        <v>219479</v>
      </c>
      <c r="S92" s="273">
        <v>167541</v>
      </c>
      <c r="T92" s="273">
        <v>219802</v>
      </c>
      <c r="U92" s="273">
        <v>188711</v>
      </c>
      <c r="V92" s="273">
        <v>182307</v>
      </c>
      <c r="W92" s="273">
        <v>147332</v>
      </c>
      <c r="X92" s="273">
        <v>191967</v>
      </c>
    </row>
    <row r="93" spans="1:25" ht="26.25" thickBot="1" x14ac:dyDescent="0.3">
      <c r="A93" s="252" t="s">
        <v>8</v>
      </c>
      <c r="B93" s="276">
        <v>135611</v>
      </c>
      <c r="C93" s="276">
        <v>140587</v>
      </c>
      <c r="D93" s="276">
        <v>77672</v>
      </c>
      <c r="E93" s="276">
        <v>127906</v>
      </c>
      <c r="F93" s="276">
        <v>160321</v>
      </c>
      <c r="G93" s="276">
        <v>191669</v>
      </c>
      <c r="H93" s="276">
        <v>188918</v>
      </c>
      <c r="I93" s="276">
        <v>200365</v>
      </c>
      <c r="J93" s="276">
        <v>170748</v>
      </c>
      <c r="K93" s="276">
        <v>185849</v>
      </c>
      <c r="L93" s="276">
        <v>207391</v>
      </c>
      <c r="M93" s="276">
        <v>196486</v>
      </c>
      <c r="N93" s="276">
        <v>194375</v>
      </c>
      <c r="O93" s="276">
        <v>136153</v>
      </c>
      <c r="P93" s="276">
        <v>193516</v>
      </c>
      <c r="Q93" s="276">
        <v>180667</v>
      </c>
      <c r="R93" s="276">
        <v>218474</v>
      </c>
      <c r="S93" s="276">
        <v>167413</v>
      </c>
      <c r="T93" s="276">
        <v>218001</v>
      </c>
      <c r="U93" s="276">
        <v>184432</v>
      </c>
      <c r="V93" s="276">
        <v>181165</v>
      </c>
      <c r="W93" s="276">
        <v>146264</v>
      </c>
      <c r="X93" s="276">
        <v>188550</v>
      </c>
    </row>
    <row r="94" spans="1:25" x14ac:dyDescent="0.25">
      <c r="A94" s="233" t="s">
        <v>365</v>
      </c>
      <c r="B94" s="253">
        <f>IF(B91="","",B91-B90)</f>
        <v>-972</v>
      </c>
      <c r="C94" s="253">
        <f>IF(C91="","",C91-C90)</f>
        <v>18833</v>
      </c>
      <c r="D94" s="253">
        <f t="shared" ref="D94:Y94" si="9">IF(D91="","",D91-D90)</f>
        <v>85685</v>
      </c>
      <c r="E94" s="253">
        <f t="shared" si="9"/>
        <v>46603</v>
      </c>
      <c r="F94" s="253">
        <f t="shared" si="9"/>
        <v>12614</v>
      </c>
      <c r="G94" s="253">
        <f t="shared" si="9"/>
        <v>8166</v>
      </c>
      <c r="H94" s="253">
        <f t="shared" si="9"/>
        <v>2224</v>
      </c>
      <c r="I94" s="253">
        <f t="shared" si="9"/>
        <v>15899</v>
      </c>
      <c r="J94" s="253">
        <f t="shared" si="9"/>
        <v>14218</v>
      </c>
      <c r="K94" s="253">
        <f t="shared" si="9"/>
        <v>18726</v>
      </c>
      <c r="L94" s="253">
        <f t="shared" si="9"/>
        <v>8766</v>
      </c>
      <c r="M94" s="253">
        <f t="shared" si="9"/>
        <v>-1853</v>
      </c>
      <c r="N94" s="253">
        <f t="shared" si="9"/>
        <v>-1745</v>
      </c>
      <c r="O94" s="253">
        <f t="shared" si="9"/>
        <v>9692</v>
      </c>
      <c r="P94" s="253">
        <f t="shared" si="9"/>
        <v>28183</v>
      </c>
      <c r="Q94" s="253">
        <f t="shared" si="9"/>
        <v>11443</v>
      </c>
      <c r="R94" s="253">
        <f t="shared" si="9"/>
        <v>17084</v>
      </c>
      <c r="S94" s="253">
        <f t="shared" si="9"/>
        <v>13065</v>
      </c>
      <c r="T94" s="253">
        <f t="shared" si="9"/>
        <v>19666</v>
      </c>
      <c r="U94" s="253">
        <f t="shared" si="9"/>
        <v>18491</v>
      </c>
      <c r="V94" s="253">
        <f t="shared" si="9"/>
        <v>11250</v>
      </c>
      <c r="W94" s="253">
        <f t="shared" si="9"/>
        <v>8858</v>
      </c>
      <c r="X94" s="253">
        <f t="shared" si="9"/>
        <v>21444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4275862</v>
      </c>
      <c r="C97" s="273">
        <v>4571012</v>
      </c>
      <c r="D97" s="273">
        <v>4897935</v>
      </c>
      <c r="E97" s="273">
        <v>4887879</v>
      </c>
      <c r="F97" s="273">
        <v>4935747</v>
      </c>
    </row>
    <row r="98" spans="1:24" ht="14.25" thickBot="1" x14ac:dyDescent="0.3">
      <c r="A98" s="225" t="s">
        <v>4</v>
      </c>
      <c r="B98" s="275">
        <v>2452716</v>
      </c>
      <c r="C98" s="275">
        <v>2651810</v>
      </c>
      <c r="D98" s="275">
        <v>2877840</v>
      </c>
      <c r="E98" s="275">
        <v>2850171</v>
      </c>
      <c r="F98" s="275">
        <v>2962576</v>
      </c>
    </row>
    <row r="99" spans="1:24" ht="14.25" thickBot="1" x14ac:dyDescent="0.3">
      <c r="A99" s="224" t="s">
        <v>5</v>
      </c>
      <c r="B99" s="273">
        <v>482900</v>
      </c>
      <c r="C99" s="273">
        <v>900529</v>
      </c>
      <c r="D99" s="273">
        <v>1012933</v>
      </c>
      <c r="E99" s="273">
        <v>883929</v>
      </c>
      <c r="F99" s="273">
        <v>939912</v>
      </c>
    </row>
    <row r="100" spans="1:24" ht="14.25" thickBot="1" x14ac:dyDescent="0.3">
      <c r="A100" s="225" t="s">
        <v>6</v>
      </c>
      <c r="B100" s="275">
        <v>633049</v>
      </c>
      <c r="C100" s="275">
        <v>939432</v>
      </c>
      <c r="D100" s="275">
        <v>1052790</v>
      </c>
      <c r="E100" s="275">
        <v>931502</v>
      </c>
      <c r="F100" s="275">
        <v>1008218</v>
      </c>
    </row>
    <row r="101" spans="1:24" ht="14.25" thickBot="1" x14ac:dyDescent="0.3">
      <c r="A101" s="224" t="s">
        <v>7</v>
      </c>
      <c r="B101" s="273">
        <v>487219</v>
      </c>
      <c r="C101" s="273">
        <v>756205</v>
      </c>
      <c r="D101" s="273">
        <v>776632</v>
      </c>
      <c r="E101" s="273">
        <v>719337</v>
      </c>
      <c r="F101" s="273">
        <v>795533</v>
      </c>
    </row>
    <row r="102" spans="1:24" ht="14.25" thickBot="1" x14ac:dyDescent="0.3">
      <c r="A102" s="227" t="s">
        <v>8</v>
      </c>
      <c r="B102" s="276">
        <v>481776</v>
      </c>
      <c r="C102" s="276">
        <v>741273</v>
      </c>
      <c r="D102" s="276">
        <v>760474</v>
      </c>
      <c r="E102" s="276">
        <v>704711</v>
      </c>
      <c r="F102" s="276">
        <v>788320</v>
      </c>
    </row>
    <row r="103" spans="1:24" x14ac:dyDescent="0.25">
      <c r="A103" s="233" t="s">
        <v>262</v>
      </c>
      <c r="B103" s="234">
        <f>IF(OR(B102="",B102="無"),"",B102/B101)</f>
        <v>0.98882843238872042</v>
      </c>
      <c r="C103" s="234">
        <f>IF(OR(C102="",C102="無"),"",C102/C101)</f>
        <v>0.98025403164485825</v>
      </c>
      <c r="D103" s="234">
        <f>IF(OR(D102="",D102="無"),"",D102/D101)</f>
        <v>0.97919477950947165</v>
      </c>
      <c r="E103" s="234">
        <f>IF(OR(E102="",E102="無"),"",E102/E101)</f>
        <v>0.97966738816437915</v>
      </c>
      <c r="F103" s="234">
        <f>IF(OR(F102="",F102="無"),"",F102/F101)</f>
        <v>0.99093312282457169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603534</v>
      </c>
      <c r="C106" s="273">
        <v>647593</v>
      </c>
      <c r="D106" s="273">
        <v>757550</v>
      </c>
      <c r="E106" s="273">
        <v>850608</v>
      </c>
      <c r="F106" s="273">
        <v>800267</v>
      </c>
      <c r="G106" s="273">
        <v>600233</v>
      </c>
      <c r="H106" s="273">
        <v>693044</v>
      </c>
      <c r="I106" s="273">
        <v>852231</v>
      </c>
      <c r="J106" s="273">
        <v>749348</v>
      </c>
      <c r="K106" s="273">
        <v>740657</v>
      </c>
      <c r="L106" s="273">
        <v>817981</v>
      </c>
      <c r="M106" s="273">
        <v>1077281</v>
      </c>
      <c r="N106" s="273">
        <v>936162</v>
      </c>
      <c r="O106" s="273">
        <v>865247</v>
      </c>
      <c r="P106" s="273">
        <v>784448</v>
      </c>
      <c r="Q106" s="273">
        <v>1086101</v>
      </c>
      <c r="R106" s="273">
        <v>892856</v>
      </c>
      <c r="S106" s="273">
        <v>774681</v>
      </c>
      <c r="T106" s="273">
        <v>711465</v>
      </c>
      <c r="U106" s="273">
        <v>794504</v>
      </c>
      <c r="V106" s="273">
        <v>830805</v>
      </c>
      <c r="W106" s="273">
        <v>746214</v>
      </c>
      <c r="X106" s="273">
        <v>811912</v>
      </c>
    </row>
    <row r="107" spans="1:24" ht="14.25" thickBot="1" x14ac:dyDescent="0.3">
      <c r="A107" s="225" t="s">
        <v>22</v>
      </c>
      <c r="B107" s="275">
        <v>249056</v>
      </c>
      <c r="C107" s="275">
        <v>463993</v>
      </c>
      <c r="D107" s="275">
        <v>154351</v>
      </c>
      <c r="E107" s="275">
        <v>186931</v>
      </c>
      <c r="F107" s="275">
        <v>267515</v>
      </c>
      <c r="G107" s="275">
        <v>622289</v>
      </c>
      <c r="H107" s="275">
        <v>292487</v>
      </c>
      <c r="I107" s="275">
        <v>635027</v>
      </c>
      <c r="J107" s="275">
        <v>851902</v>
      </c>
      <c r="K107" s="275">
        <v>1195257</v>
      </c>
      <c r="L107" s="275">
        <v>605756</v>
      </c>
      <c r="M107" s="275">
        <v>621250</v>
      </c>
      <c r="N107" s="275">
        <v>903744</v>
      </c>
      <c r="O107" s="275">
        <v>1156629</v>
      </c>
      <c r="P107" s="275">
        <v>593590</v>
      </c>
      <c r="Q107" s="275">
        <v>480834</v>
      </c>
      <c r="R107" s="275">
        <v>687956</v>
      </c>
      <c r="S107" s="275">
        <v>1033831</v>
      </c>
      <c r="T107" s="275">
        <v>582691</v>
      </c>
      <c r="U107" s="275">
        <v>957898</v>
      </c>
      <c r="V107" s="275">
        <v>1022022</v>
      </c>
      <c r="W107" s="275">
        <v>1131943</v>
      </c>
      <c r="X107" s="275">
        <v>547933</v>
      </c>
    </row>
    <row r="108" spans="1:24" ht="14.25" thickBot="1" x14ac:dyDescent="0.3">
      <c r="A108" s="224" t="s">
        <v>263</v>
      </c>
      <c r="B108" s="273">
        <v>567248</v>
      </c>
      <c r="C108" s="273">
        <v>569650</v>
      </c>
      <c r="D108" s="273">
        <v>550224</v>
      </c>
      <c r="E108" s="273">
        <v>481060</v>
      </c>
      <c r="F108" s="273">
        <v>500164</v>
      </c>
      <c r="G108" s="273">
        <v>604438</v>
      </c>
      <c r="H108" s="273">
        <v>549430</v>
      </c>
      <c r="I108" s="273">
        <v>539923</v>
      </c>
      <c r="J108" s="273">
        <v>577544</v>
      </c>
      <c r="K108" s="273">
        <v>574778</v>
      </c>
      <c r="L108" s="273">
        <v>601552</v>
      </c>
      <c r="M108" s="273">
        <v>626475</v>
      </c>
      <c r="N108" s="273">
        <v>572129</v>
      </c>
      <c r="O108" s="273">
        <v>575839</v>
      </c>
      <c r="P108" s="273">
        <v>587617</v>
      </c>
      <c r="Q108" s="273">
        <v>566584</v>
      </c>
      <c r="R108" s="273">
        <v>576813</v>
      </c>
      <c r="S108" s="273">
        <v>569113</v>
      </c>
      <c r="T108" s="273">
        <v>616068</v>
      </c>
      <c r="U108" s="273">
        <v>610192</v>
      </c>
      <c r="V108" s="273">
        <v>622413</v>
      </c>
      <c r="W108" s="273">
        <v>605376</v>
      </c>
      <c r="X108" s="273">
        <v>625357</v>
      </c>
    </row>
    <row r="109" spans="1:24" ht="14.25" thickBot="1" x14ac:dyDescent="0.3">
      <c r="A109" s="225" t="s">
        <v>264</v>
      </c>
      <c r="B109" s="275">
        <v>647010</v>
      </c>
      <c r="C109" s="275">
        <v>630296</v>
      </c>
      <c r="D109" s="275">
        <v>660615</v>
      </c>
      <c r="E109" s="275">
        <v>621347</v>
      </c>
      <c r="F109" s="275">
        <v>649454</v>
      </c>
      <c r="G109" s="275">
        <v>695058</v>
      </c>
      <c r="H109" s="275">
        <v>739041</v>
      </c>
      <c r="I109" s="275">
        <v>717988</v>
      </c>
      <c r="J109" s="275">
        <v>753639</v>
      </c>
      <c r="K109" s="275">
        <v>721408</v>
      </c>
      <c r="L109" s="275">
        <v>755380</v>
      </c>
      <c r="M109" s="275">
        <v>708084</v>
      </c>
      <c r="N109" s="275">
        <v>797512</v>
      </c>
      <c r="O109" s="275">
        <v>782491</v>
      </c>
      <c r="P109" s="275">
        <v>865716</v>
      </c>
      <c r="Q109" s="275">
        <v>833535</v>
      </c>
      <c r="R109" s="275">
        <v>904138</v>
      </c>
      <c r="S109" s="275">
        <v>861842</v>
      </c>
      <c r="T109" s="275">
        <v>813318</v>
      </c>
      <c r="U109" s="275">
        <v>771819</v>
      </c>
      <c r="V109" s="275">
        <v>798631</v>
      </c>
      <c r="W109" s="275">
        <v>803443</v>
      </c>
      <c r="X109" s="275">
        <v>859210</v>
      </c>
    </row>
    <row r="110" spans="1:24" ht="14.25" thickBot="1" x14ac:dyDescent="0.3">
      <c r="A110" s="224" t="s">
        <v>23</v>
      </c>
      <c r="B110" s="273">
        <v>140512</v>
      </c>
      <c r="C110" s="273">
        <v>174045</v>
      </c>
      <c r="D110" s="273">
        <v>148382</v>
      </c>
      <c r="E110" s="273">
        <v>154352</v>
      </c>
      <c r="F110" s="273">
        <v>140633</v>
      </c>
      <c r="G110" s="273">
        <v>134272</v>
      </c>
      <c r="H110" s="273">
        <v>147792</v>
      </c>
      <c r="I110" s="273">
        <v>126403</v>
      </c>
      <c r="J110" s="273">
        <v>130676</v>
      </c>
      <c r="K110" s="273">
        <v>119318</v>
      </c>
      <c r="L110" s="273">
        <v>119061</v>
      </c>
      <c r="M110" s="273">
        <v>122142</v>
      </c>
      <c r="N110" s="273">
        <v>143501</v>
      </c>
      <c r="O110" s="273">
        <v>113270</v>
      </c>
      <c r="P110" s="273">
        <v>92888</v>
      </c>
      <c r="Q110" s="273">
        <v>79413</v>
      </c>
      <c r="R110" s="273">
        <v>92161</v>
      </c>
      <c r="S110" s="273">
        <v>92771</v>
      </c>
      <c r="T110" s="273">
        <v>89589</v>
      </c>
      <c r="U110" s="273">
        <v>72257</v>
      </c>
      <c r="V110" s="273">
        <v>80292</v>
      </c>
      <c r="W110" s="273">
        <v>89787</v>
      </c>
      <c r="X110" s="273">
        <v>100463</v>
      </c>
    </row>
    <row r="111" spans="1:24" ht="14.25" thickBot="1" x14ac:dyDescent="0.3">
      <c r="A111" s="225" t="s">
        <v>24</v>
      </c>
      <c r="B111" s="275">
        <v>2207360</v>
      </c>
      <c r="C111" s="275">
        <v>2485577</v>
      </c>
      <c r="D111" s="275">
        <v>2271122</v>
      </c>
      <c r="E111" s="275">
        <v>2294298</v>
      </c>
      <c r="F111" s="275">
        <v>2358033</v>
      </c>
      <c r="G111" s="275">
        <v>2656290</v>
      </c>
      <c r="H111" s="275">
        <v>2421794</v>
      </c>
      <c r="I111" s="275">
        <v>2871572</v>
      </c>
      <c r="J111" s="275">
        <v>3063109</v>
      </c>
      <c r="K111" s="275">
        <v>3351418</v>
      </c>
      <c r="L111" s="275">
        <v>2899730</v>
      </c>
      <c r="M111" s="275">
        <v>3155232</v>
      </c>
      <c r="N111" s="275">
        <v>3353048</v>
      </c>
      <c r="O111" s="275">
        <v>3493476</v>
      </c>
      <c r="P111" s="275">
        <v>2924259</v>
      </c>
      <c r="Q111" s="275">
        <v>3046467</v>
      </c>
      <c r="R111" s="275">
        <v>3153924</v>
      </c>
      <c r="S111" s="275">
        <v>3332238</v>
      </c>
      <c r="T111" s="275">
        <v>2813131</v>
      </c>
      <c r="U111" s="275">
        <v>3206670</v>
      </c>
      <c r="V111" s="275">
        <v>3354163</v>
      </c>
      <c r="W111" s="275">
        <v>3376763</v>
      </c>
      <c r="X111" s="275">
        <v>2944875</v>
      </c>
    </row>
    <row r="112" spans="1:24" ht="14.25" thickBot="1" x14ac:dyDescent="0.3">
      <c r="A112" s="224" t="s">
        <v>25</v>
      </c>
      <c r="B112" s="273">
        <v>108436</v>
      </c>
      <c r="C112" s="273">
        <v>97742</v>
      </c>
      <c r="D112" s="273">
        <v>75384</v>
      </c>
      <c r="E112" s="273">
        <v>66349</v>
      </c>
      <c r="F112" s="273">
        <v>70302</v>
      </c>
      <c r="G112" s="273">
        <v>73943</v>
      </c>
      <c r="H112" s="273">
        <v>83439</v>
      </c>
      <c r="I112" s="273">
        <v>91266</v>
      </c>
      <c r="J112" s="273">
        <v>95876</v>
      </c>
      <c r="K112" s="273">
        <v>101518</v>
      </c>
      <c r="L112" s="273">
        <v>97406</v>
      </c>
      <c r="M112" s="273">
        <v>104795</v>
      </c>
      <c r="N112" s="273">
        <v>126981</v>
      </c>
      <c r="O112" s="273">
        <v>132653</v>
      </c>
      <c r="P112" s="273">
        <v>129515</v>
      </c>
      <c r="Q112" s="273">
        <v>132041</v>
      </c>
      <c r="R112" s="273">
        <v>140013</v>
      </c>
      <c r="S112" s="273">
        <v>141063</v>
      </c>
      <c r="T112" s="273">
        <v>131931</v>
      </c>
      <c r="U112" s="273">
        <v>188103</v>
      </c>
      <c r="V112" s="273">
        <v>195957</v>
      </c>
      <c r="W112" s="273">
        <v>210236</v>
      </c>
      <c r="X112" s="273">
        <v>190028</v>
      </c>
    </row>
    <row r="113" spans="1:24" ht="14.25" thickBot="1" x14ac:dyDescent="0.3">
      <c r="A113" s="225" t="s">
        <v>26</v>
      </c>
      <c r="B113" s="275">
        <v>1760600</v>
      </c>
      <c r="C113" s="275">
        <v>1712682</v>
      </c>
      <c r="D113" s="275">
        <v>1702871</v>
      </c>
      <c r="E113" s="275">
        <v>1716850</v>
      </c>
      <c r="F113" s="275">
        <v>2146381</v>
      </c>
      <c r="G113" s="275">
        <v>2128000</v>
      </c>
      <c r="H113" s="275">
        <v>2114302</v>
      </c>
      <c r="I113" s="275">
        <v>2102103</v>
      </c>
      <c r="J113" s="275">
        <v>2091489</v>
      </c>
      <c r="K113" s="275">
        <v>2088118</v>
      </c>
      <c r="L113" s="275">
        <v>2079584</v>
      </c>
      <c r="M113" s="275">
        <v>2075749</v>
      </c>
      <c r="N113" s="275">
        <v>2051667</v>
      </c>
      <c r="O113" s="275">
        <v>2046968</v>
      </c>
      <c r="P113" s="275">
        <v>2065350</v>
      </c>
      <c r="Q113" s="275">
        <v>2058046</v>
      </c>
      <c r="R113" s="275">
        <v>2054201</v>
      </c>
      <c r="S113" s="275">
        <v>2062189</v>
      </c>
      <c r="T113" s="275">
        <v>2052299</v>
      </c>
      <c r="U113" s="275">
        <v>2026920</v>
      </c>
      <c r="V113" s="275">
        <v>2020949</v>
      </c>
      <c r="W113" s="275">
        <v>2031706</v>
      </c>
      <c r="X113" s="275">
        <v>2029565</v>
      </c>
    </row>
    <row r="114" spans="1:24" ht="14.25" thickBot="1" x14ac:dyDescent="0.3">
      <c r="A114" s="224" t="s">
        <v>27</v>
      </c>
      <c r="B114" s="273">
        <v>724215</v>
      </c>
      <c r="C114" s="273">
        <v>735922</v>
      </c>
      <c r="D114" s="273">
        <v>725297</v>
      </c>
      <c r="E114" s="273">
        <v>717839</v>
      </c>
      <c r="F114" s="273">
        <v>385884</v>
      </c>
      <c r="G114" s="273">
        <v>386416</v>
      </c>
      <c r="H114" s="273">
        <v>385050</v>
      </c>
      <c r="I114" s="273">
        <v>369041</v>
      </c>
      <c r="J114" s="273">
        <v>371061</v>
      </c>
      <c r="K114" s="273">
        <v>351260</v>
      </c>
      <c r="L114" s="273">
        <v>394677</v>
      </c>
      <c r="M114" s="273">
        <v>363783</v>
      </c>
      <c r="N114" s="273">
        <v>348929</v>
      </c>
      <c r="O114" s="273">
        <v>346561</v>
      </c>
      <c r="P114" s="273">
        <v>352254</v>
      </c>
      <c r="Q114" s="273">
        <v>341166</v>
      </c>
      <c r="R114" s="273">
        <v>334775</v>
      </c>
      <c r="S114" s="273">
        <v>335018</v>
      </c>
      <c r="T114" s="273">
        <v>331118</v>
      </c>
      <c r="U114" s="273">
        <v>328977</v>
      </c>
      <c r="V114" s="273">
        <v>326249</v>
      </c>
      <c r="W114" s="273">
        <v>308675</v>
      </c>
      <c r="X114" s="273">
        <v>317646</v>
      </c>
    </row>
    <row r="115" spans="1:24" ht="14.25" thickBot="1" x14ac:dyDescent="0.3">
      <c r="A115" s="225" t="s">
        <v>265</v>
      </c>
      <c r="B115" s="276">
        <v>4800611</v>
      </c>
      <c r="C115" s="276">
        <v>5031923</v>
      </c>
      <c r="D115" s="276">
        <v>4774674</v>
      </c>
      <c r="E115" s="276">
        <v>4795336</v>
      </c>
      <c r="F115" s="276">
        <v>4960600</v>
      </c>
      <c r="G115" s="276">
        <v>5244649</v>
      </c>
      <c r="H115" s="276">
        <v>5004585</v>
      </c>
      <c r="I115" s="276">
        <v>5433982</v>
      </c>
      <c r="J115" s="276">
        <v>5621535</v>
      </c>
      <c r="K115" s="276">
        <v>5892314</v>
      </c>
      <c r="L115" s="276">
        <v>5471397</v>
      </c>
      <c r="M115" s="276">
        <v>5699559</v>
      </c>
      <c r="N115" s="276">
        <v>5880625</v>
      </c>
      <c r="O115" s="276">
        <v>6019658</v>
      </c>
      <c r="P115" s="276">
        <v>5471378</v>
      </c>
      <c r="Q115" s="276">
        <v>5577720</v>
      </c>
      <c r="R115" s="276">
        <v>5682913</v>
      </c>
      <c r="S115" s="276">
        <v>5870508</v>
      </c>
      <c r="T115" s="276">
        <v>5328479</v>
      </c>
      <c r="U115" s="276">
        <v>5750670</v>
      </c>
      <c r="V115" s="276">
        <v>5897318</v>
      </c>
      <c r="W115" s="276">
        <v>5927380</v>
      </c>
      <c r="X115" s="276">
        <v>5482114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474831</v>
      </c>
      <c r="C118" s="273">
        <v>457305</v>
      </c>
      <c r="D118" s="273">
        <v>520728</v>
      </c>
      <c r="E118" s="273">
        <v>434649</v>
      </c>
      <c r="F118" s="273">
        <v>437357</v>
      </c>
      <c r="G118" s="273">
        <v>416802</v>
      </c>
      <c r="H118" s="273">
        <v>413847</v>
      </c>
      <c r="I118" s="273">
        <v>554684</v>
      </c>
      <c r="J118" s="273">
        <v>580088</v>
      </c>
      <c r="K118" s="273">
        <v>672668</v>
      </c>
      <c r="L118" s="273">
        <v>631853</v>
      </c>
      <c r="M118" s="273">
        <v>552048</v>
      </c>
      <c r="N118" s="273">
        <v>544298</v>
      </c>
      <c r="O118" s="273">
        <v>645290</v>
      </c>
      <c r="P118" s="273">
        <v>645004</v>
      </c>
      <c r="Q118" s="273">
        <v>596754</v>
      </c>
      <c r="R118" s="273">
        <v>504395</v>
      </c>
      <c r="S118" s="273">
        <v>527679</v>
      </c>
      <c r="T118" s="273">
        <v>563954</v>
      </c>
      <c r="U118" s="273">
        <v>652330</v>
      </c>
      <c r="V118" s="273">
        <v>608851</v>
      </c>
      <c r="W118" s="273">
        <v>483812</v>
      </c>
      <c r="X118" s="273">
        <v>592647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364169</v>
      </c>
      <c r="C120" s="273">
        <v>399002</v>
      </c>
      <c r="D120" s="273">
        <v>398270</v>
      </c>
      <c r="E120" s="273">
        <v>298661</v>
      </c>
      <c r="F120" s="273">
        <v>370382</v>
      </c>
      <c r="G120" s="273">
        <v>420476</v>
      </c>
      <c r="H120" s="273">
        <v>404511</v>
      </c>
      <c r="I120" s="273">
        <v>416973</v>
      </c>
      <c r="J120" s="273">
        <v>423104</v>
      </c>
      <c r="K120" s="273">
        <v>384053</v>
      </c>
      <c r="L120" s="273">
        <v>426314</v>
      </c>
      <c r="M120" s="273">
        <v>400299</v>
      </c>
      <c r="N120" s="273">
        <v>501493</v>
      </c>
      <c r="O120" s="273">
        <v>433438</v>
      </c>
      <c r="P120" s="273">
        <v>471627</v>
      </c>
      <c r="Q120" s="273">
        <v>439109</v>
      </c>
      <c r="R120" s="273">
        <v>434819</v>
      </c>
      <c r="S120" s="273">
        <v>393921</v>
      </c>
      <c r="T120" s="273">
        <v>350159</v>
      </c>
      <c r="U120" s="273">
        <v>375744</v>
      </c>
      <c r="V120" s="273">
        <v>419811</v>
      </c>
      <c r="W120" s="273">
        <v>401843</v>
      </c>
      <c r="X120" s="273">
        <v>418580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16555</v>
      </c>
      <c r="C122" s="273">
        <v>16521</v>
      </c>
      <c r="D122" s="273">
        <v>16672</v>
      </c>
      <c r="E122" s="273">
        <v>23318</v>
      </c>
      <c r="F122" s="273">
        <v>22816</v>
      </c>
      <c r="G122" s="273">
        <v>22557</v>
      </c>
      <c r="H122" s="273">
        <v>22073</v>
      </c>
      <c r="I122" s="273">
        <v>20977</v>
      </c>
      <c r="J122" s="273">
        <v>20305</v>
      </c>
      <c r="K122" s="273">
        <v>19055</v>
      </c>
      <c r="L122" s="273">
        <v>18207</v>
      </c>
      <c r="M122" s="273">
        <v>39489</v>
      </c>
      <c r="N122" s="273">
        <v>36040</v>
      </c>
      <c r="O122" s="273">
        <v>34949</v>
      </c>
      <c r="P122" s="273">
        <v>31786</v>
      </c>
      <c r="Q122" s="273">
        <v>17683</v>
      </c>
      <c r="R122" s="273">
        <v>17909</v>
      </c>
      <c r="S122" s="273">
        <v>18128</v>
      </c>
      <c r="T122" s="273">
        <v>18101</v>
      </c>
      <c r="U122" s="273">
        <v>16853</v>
      </c>
      <c r="V122" s="273">
        <v>16717</v>
      </c>
      <c r="W122" s="273">
        <v>16911</v>
      </c>
      <c r="X122" s="273">
        <v>17010</v>
      </c>
    </row>
    <row r="123" spans="1:24" ht="14.25" thickBot="1" x14ac:dyDescent="0.3">
      <c r="A123" s="225" t="s">
        <v>31</v>
      </c>
      <c r="B123" s="275">
        <v>470801</v>
      </c>
      <c r="C123" s="275">
        <v>975249</v>
      </c>
      <c r="D123" s="275">
        <v>593516</v>
      </c>
      <c r="E123" s="275">
        <v>636742</v>
      </c>
      <c r="F123" s="275">
        <v>523594</v>
      </c>
      <c r="G123" s="275">
        <v>983991</v>
      </c>
      <c r="H123" s="275">
        <v>552287</v>
      </c>
      <c r="I123" s="275">
        <v>594416</v>
      </c>
      <c r="J123" s="275">
        <v>570828</v>
      </c>
      <c r="K123" s="275">
        <v>1215707</v>
      </c>
      <c r="L123" s="275">
        <v>595049</v>
      </c>
      <c r="M123" s="275">
        <v>686289</v>
      </c>
      <c r="N123" s="275">
        <v>636429</v>
      </c>
      <c r="O123" s="275">
        <v>1298480</v>
      </c>
      <c r="P123" s="275">
        <v>462147</v>
      </c>
      <c r="Q123" s="275">
        <v>555017</v>
      </c>
      <c r="R123" s="275">
        <v>560256</v>
      </c>
      <c r="S123" s="275">
        <v>1218976</v>
      </c>
      <c r="T123" s="275">
        <v>489310</v>
      </c>
      <c r="U123" s="275">
        <v>602544</v>
      </c>
      <c r="V123" s="275">
        <v>615733</v>
      </c>
      <c r="W123" s="275">
        <v>1325844</v>
      </c>
      <c r="X123" s="275">
        <v>557299</v>
      </c>
    </row>
    <row r="124" spans="1:24" ht="14.25" thickBot="1" x14ac:dyDescent="0.3">
      <c r="A124" s="224" t="s">
        <v>268</v>
      </c>
      <c r="B124" s="273">
        <v>1326356</v>
      </c>
      <c r="C124" s="273">
        <v>1848077</v>
      </c>
      <c r="D124" s="273">
        <v>1529186</v>
      </c>
      <c r="E124" s="273">
        <v>1393370</v>
      </c>
      <c r="F124" s="273">
        <v>1354149</v>
      </c>
      <c r="G124" s="273">
        <v>1843826</v>
      </c>
      <c r="H124" s="273">
        <v>1392718</v>
      </c>
      <c r="I124" s="273">
        <v>1587050</v>
      </c>
      <c r="J124" s="273">
        <v>1594325</v>
      </c>
      <c r="K124" s="273">
        <v>2291483</v>
      </c>
      <c r="L124" s="273">
        <v>1671423</v>
      </c>
      <c r="M124" s="273">
        <v>1678125</v>
      </c>
      <c r="N124" s="273">
        <v>1718260</v>
      </c>
      <c r="O124" s="273">
        <v>2412157</v>
      </c>
      <c r="P124" s="273">
        <v>1610564</v>
      </c>
      <c r="Q124" s="273">
        <v>1608563</v>
      </c>
      <c r="R124" s="273">
        <v>1517379</v>
      </c>
      <c r="S124" s="273">
        <v>2158704</v>
      </c>
      <c r="T124" s="273">
        <v>1421524</v>
      </c>
      <c r="U124" s="273">
        <v>1647471</v>
      </c>
      <c r="V124" s="273">
        <v>1661112</v>
      </c>
      <c r="W124" s="273">
        <v>2228410</v>
      </c>
      <c r="X124" s="273">
        <v>1585536</v>
      </c>
    </row>
    <row r="125" spans="1:24" ht="14.25" thickBot="1" x14ac:dyDescent="0.3">
      <c r="A125" s="225" t="s">
        <v>32</v>
      </c>
      <c r="B125" s="275">
        <v>151427</v>
      </c>
      <c r="C125" s="275">
        <v>146087</v>
      </c>
      <c r="D125" s="275">
        <v>143279</v>
      </c>
      <c r="E125" s="275">
        <v>151734</v>
      </c>
      <c r="F125" s="275">
        <v>440495</v>
      </c>
      <c r="G125" s="275">
        <v>435302</v>
      </c>
      <c r="H125" s="275">
        <v>436777</v>
      </c>
      <c r="I125" s="275">
        <v>465548</v>
      </c>
      <c r="J125" s="275">
        <v>470315</v>
      </c>
      <c r="K125" s="275">
        <v>464960</v>
      </c>
      <c r="L125" s="275">
        <v>461711</v>
      </c>
      <c r="M125" s="275">
        <v>467506</v>
      </c>
      <c r="N125" s="275">
        <v>467299</v>
      </c>
      <c r="O125" s="275">
        <v>452385</v>
      </c>
      <c r="P125" s="275">
        <v>459266</v>
      </c>
      <c r="Q125" s="275">
        <v>419132</v>
      </c>
      <c r="R125" s="275">
        <v>419167</v>
      </c>
      <c r="S125" s="275">
        <v>416364</v>
      </c>
      <c r="T125" s="275">
        <v>412846</v>
      </c>
      <c r="U125" s="275">
        <v>392834</v>
      </c>
      <c r="V125" s="275">
        <v>389947</v>
      </c>
      <c r="W125" s="275">
        <v>385542</v>
      </c>
      <c r="X125" s="275">
        <v>386438</v>
      </c>
    </row>
    <row r="126" spans="1:24" ht="14.25" thickBot="1" x14ac:dyDescent="0.3">
      <c r="A126" s="224" t="s">
        <v>33</v>
      </c>
      <c r="B126" s="273">
        <v>200631</v>
      </c>
      <c r="C126" s="273">
        <v>203588</v>
      </c>
      <c r="D126" s="273">
        <v>190575</v>
      </c>
      <c r="E126" s="273">
        <v>216745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1678414</v>
      </c>
      <c r="C127" s="275">
        <v>2197752</v>
      </c>
      <c r="D127" s="275">
        <v>1863040</v>
      </c>
      <c r="E127" s="275">
        <v>1761849</v>
      </c>
      <c r="F127" s="275">
        <v>1794644</v>
      </c>
      <c r="G127" s="275">
        <v>2279128</v>
      </c>
      <c r="H127" s="275">
        <v>1829495</v>
      </c>
      <c r="I127" s="275">
        <v>2052598</v>
      </c>
      <c r="J127" s="275">
        <v>2064640</v>
      </c>
      <c r="K127" s="275">
        <v>2756443</v>
      </c>
      <c r="L127" s="275">
        <v>2133134</v>
      </c>
      <c r="M127" s="275">
        <v>2145631</v>
      </c>
      <c r="N127" s="275">
        <v>2185559</v>
      </c>
      <c r="O127" s="275">
        <v>2864542</v>
      </c>
      <c r="P127" s="275">
        <v>2069830</v>
      </c>
      <c r="Q127" s="275">
        <v>2027695</v>
      </c>
      <c r="R127" s="275">
        <v>1936546</v>
      </c>
      <c r="S127" s="275">
        <v>2575068</v>
      </c>
      <c r="T127" s="275">
        <v>1834370</v>
      </c>
      <c r="U127" s="275">
        <v>2040305</v>
      </c>
      <c r="V127" s="275">
        <v>2051059</v>
      </c>
      <c r="W127" s="275">
        <v>2613952</v>
      </c>
      <c r="X127" s="275">
        <v>1971974</v>
      </c>
    </row>
    <row r="128" spans="1:24" ht="14.25" thickBot="1" x14ac:dyDescent="0.3">
      <c r="A128" s="224" t="s">
        <v>34</v>
      </c>
      <c r="B128" s="273">
        <v>3122197</v>
      </c>
      <c r="C128" s="273">
        <v>2834171</v>
      </c>
      <c r="D128" s="273">
        <v>2911634</v>
      </c>
      <c r="E128" s="273">
        <v>3033487</v>
      </c>
      <c r="F128" s="273">
        <v>3165956</v>
      </c>
      <c r="G128" s="273">
        <v>2965521</v>
      </c>
      <c r="H128" s="273">
        <v>3175090</v>
      </c>
      <c r="I128" s="273">
        <v>3381384</v>
      </c>
      <c r="J128" s="273">
        <v>3556895</v>
      </c>
      <c r="K128" s="273">
        <v>3135871</v>
      </c>
      <c r="L128" s="273">
        <v>3338263</v>
      </c>
      <c r="M128" s="273">
        <v>3553928</v>
      </c>
      <c r="N128" s="273">
        <v>3695066</v>
      </c>
      <c r="O128" s="273">
        <v>3155116</v>
      </c>
      <c r="P128" s="273">
        <v>3401548</v>
      </c>
      <c r="Q128" s="273">
        <v>3550025</v>
      </c>
      <c r="R128" s="273">
        <v>3746367</v>
      </c>
      <c r="S128" s="273">
        <v>3295440</v>
      </c>
      <c r="T128" s="273">
        <v>3494109</v>
      </c>
      <c r="U128" s="273">
        <v>3710365</v>
      </c>
      <c r="V128" s="273">
        <v>3846259</v>
      </c>
      <c r="W128" s="273">
        <v>3313428</v>
      </c>
      <c r="X128" s="273">
        <v>3510140</v>
      </c>
    </row>
    <row r="129" spans="1:24" ht="14.25" thickBot="1" x14ac:dyDescent="0.3">
      <c r="A129" s="225" t="s">
        <v>35</v>
      </c>
      <c r="B129" s="276">
        <v>4800611</v>
      </c>
      <c r="C129" s="276">
        <v>5031923</v>
      </c>
      <c r="D129" s="276">
        <v>4774674</v>
      </c>
      <c r="E129" s="276">
        <v>4795336</v>
      </c>
      <c r="F129" s="276">
        <v>4960600</v>
      </c>
      <c r="G129" s="276">
        <v>5244649</v>
      </c>
      <c r="H129" s="276">
        <v>5004585</v>
      </c>
      <c r="I129" s="276">
        <v>5433982</v>
      </c>
      <c r="J129" s="276">
        <v>5621535</v>
      </c>
      <c r="K129" s="276">
        <v>5892314</v>
      </c>
      <c r="L129" s="276">
        <v>5471397</v>
      </c>
      <c r="M129" s="276">
        <v>5699559</v>
      </c>
      <c r="N129" s="276">
        <v>5880625</v>
      </c>
      <c r="O129" s="276">
        <v>6019658</v>
      </c>
      <c r="P129" s="276">
        <v>5471378</v>
      </c>
      <c r="Q129" s="276">
        <v>5577720</v>
      </c>
      <c r="R129" s="276">
        <v>5682913</v>
      </c>
      <c r="S129" s="276">
        <v>5870508</v>
      </c>
      <c r="T129" s="276">
        <v>5328479</v>
      </c>
      <c r="U129" s="276">
        <v>5750670</v>
      </c>
      <c r="V129" s="276">
        <v>5897318</v>
      </c>
      <c r="W129" s="276">
        <v>5927380</v>
      </c>
      <c r="X129" s="276">
        <v>5482114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4.22</v>
      </c>
      <c r="C132" s="68">
        <v>2.82</v>
      </c>
      <c r="D132" s="68">
        <v>7.58</v>
      </c>
      <c r="E132" s="68">
        <v>6.59</v>
      </c>
      <c r="F132" s="68">
        <v>3.45</v>
      </c>
    </row>
    <row r="133" spans="1:24" ht="14.25" thickBot="1" x14ac:dyDescent="0.3">
      <c r="A133" s="225" t="s">
        <v>37</v>
      </c>
      <c r="B133" s="274">
        <v>0.95</v>
      </c>
      <c r="C133" s="274">
        <v>-0.33</v>
      </c>
      <c r="D133" s="274">
        <v>-0.53</v>
      </c>
      <c r="E133" s="274">
        <v>-0.57999999999999996</v>
      </c>
      <c r="F133" s="274">
        <v>-0.53</v>
      </c>
    </row>
    <row r="134" spans="1:24" ht="14.25" thickBot="1" x14ac:dyDescent="0.3">
      <c r="A134" s="224" t="s">
        <v>38</v>
      </c>
      <c r="B134" s="68">
        <v>-3.66</v>
      </c>
      <c r="C134" s="68">
        <v>-2.69</v>
      </c>
      <c r="D134" s="68">
        <v>-5.24</v>
      </c>
      <c r="E134" s="68">
        <v>-6.04</v>
      </c>
      <c r="F134" s="68">
        <v>-4.97</v>
      </c>
    </row>
    <row r="135" spans="1:24" ht="14.25" thickBot="1" x14ac:dyDescent="0.3">
      <c r="A135" s="225" t="s">
        <v>270</v>
      </c>
      <c r="B135" s="274">
        <v>5.17</v>
      </c>
      <c r="C135" s="274">
        <v>2.48</v>
      </c>
      <c r="D135" s="274">
        <v>7.06</v>
      </c>
      <c r="E135" s="274">
        <v>6.01</v>
      </c>
      <c r="F135" s="274">
        <v>2.92</v>
      </c>
    </row>
    <row r="136" spans="1:24" ht="14.25" thickBot="1" x14ac:dyDescent="0.3">
      <c r="A136" s="229" t="s">
        <v>39</v>
      </c>
      <c r="B136" s="72">
        <v>1.52</v>
      </c>
      <c r="C136" s="72">
        <v>-0.21</v>
      </c>
      <c r="D136" s="72">
        <v>1.81</v>
      </c>
      <c r="E136" s="72">
        <v>-0.03</v>
      </c>
      <c r="F136" s="72">
        <v>-2.04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3.3</v>
      </c>
      <c r="C140" s="68">
        <v>5</v>
      </c>
      <c r="D140" s="68">
        <v>5.7</v>
      </c>
      <c r="E140" s="68">
        <v>5.2</v>
      </c>
      <c r="F140" s="68">
        <v>5.8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0.81683168316831678</v>
      </c>
      <c r="C142" s="234">
        <f>IF(C140&lt;&gt;"無",IF(ISNA(HLOOKUP(C139,$B$64:$F$69,6,FALSE)),"",C140/HLOOKUP(C139,$B$64:$F$69,6,FALSE)),"")</f>
        <v>0.80645161290322576</v>
      </c>
      <c r="D142" s="234">
        <f>IF(D140&lt;&gt;"無",IF(ISNA(HLOOKUP(D139,$B$64:$F$69,6,FALSE)),"",D140/HLOOKUP(D139,$B$64:$F$69,6,FALSE)),"")</f>
        <v>0.89481946624803765</v>
      </c>
      <c r="E142" s="234">
        <f>IF(E140&lt;&gt;"無",IF(ISNA(HLOOKUP(E139,$B$64:$F$69,6,FALSE)),"",E140/HLOOKUP(E139,$B$64:$F$69,6,FALSE)),"")</f>
        <v>0.88135593220338992</v>
      </c>
      <c r="F142" s="234">
        <f>IF(F140&lt;&gt;"無",IF(ISNA(HLOOKUP(F139,$B$64:$F$69,6,FALSE)),"",F140/HLOOKUP(F139,$B$64:$F$69,6,FALSE)),"")</f>
        <v>0.88012139605462825</v>
      </c>
    </row>
    <row r="143" spans="1:24" x14ac:dyDescent="0.25">
      <c r="A143" s="233" t="s">
        <v>216</v>
      </c>
      <c r="B143" s="234">
        <f>IF(OR(B140=0,B140="無"),"",B135/B140)</f>
        <v>1.5666666666666667</v>
      </c>
      <c r="C143" s="234">
        <f>IF(OR(C140=0,C140="無"),"",C135/C140)</f>
        <v>0.496</v>
      </c>
      <c r="D143" s="234">
        <f>IF(OR(D140=0,D140="無"),"",D135/D140)</f>
        <v>1.23859649122807</v>
      </c>
      <c r="E143" s="234">
        <f>IF(OR(E140=0,E140="無"),"",E135/E140)</f>
        <v>1.1557692307692307</v>
      </c>
      <c r="F143" s="234">
        <f>IF(OR(F140=0,F140="無"),"",F135/F140)</f>
        <v>0.50344827586206897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57.17</v>
      </c>
      <c r="C146" s="68">
        <v>58.28</v>
      </c>
      <c r="D146" s="68">
        <v>56.29</v>
      </c>
      <c r="E146" s="68">
        <v>57.63</v>
      </c>
      <c r="F146" s="68">
        <v>57.62</v>
      </c>
      <c r="G146" s="68">
        <v>57.61</v>
      </c>
      <c r="H146" s="68">
        <v>58.43</v>
      </c>
      <c r="I146" s="68">
        <v>58.35</v>
      </c>
      <c r="J146" s="68">
        <v>58.74</v>
      </c>
      <c r="K146" s="68">
        <v>58.97</v>
      </c>
      <c r="L146" s="68">
        <v>59.84</v>
      </c>
      <c r="M146" s="68">
        <v>57.54</v>
      </c>
      <c r="N146" s="68">
        <v>61.39</v>
      </c>
      <c r="O146" s="68">
        <v>56.74</v>
      </c>
      <c r="P146" s="68">
        <v>57.49</v>
      </c>
      <c r="Q146" s="68">
        <v>57.72</v>
      </c>
      <c r="R146" s="68">
        <v>62.37</v>
      </c>
      <c r="S146" s="68">
        <v>58.26</v>
      </c>
      <c r="T146" s="68">
        <v>59.97</v>
      </c>
      <c r="U146" s="68">
        <v>59.44</v>
      </c>
      <c r="V146" s="68">
        <v>60.17</v>
      </c>
      <c r="W146" s="68">
        <v>57.74</v>
      </c>
      <c r="X146" s="68">
        <v>59.27</v>
      </c>
    </row>
    <row r="147" spans="1:24" s="93" customFormat="1" ht="14.25" thickBot="1" x14ac:dyDescent="0.3">
      <c r="A147" s="225" t="s">
        <v>19</v>
      </c>
      <c r="B147" s="274">
        <v>16.350000000000001</v>
      </c>
      <c r="C147" s="274">
        <v>13.47</v>
      </c>
      <c r="D147" s="274">
        <v>-0.8</v>
      </c>
      <c r="E147" s="274">
        <v>15.97</v>
      </c>
      <c r="F147" s="274">
        <v>18.11</v>
      </c>
      <c r="G147" s="274">
        <v>19.43</v>
      </c>
      <c r="H147" s="274">
        <v>20.52</v>
      </c>
      <c r="I147" s="274">
        <v>20.57</v>
      </c>
      <c r="J147" s="274">
        <v>18.809999999999999</v>
      </c>
      <c r="K147" s="274">
        <v>21.12</v>
      </c>
      <c r="L147" s="274">
        <v>22.57</v>
      </c>
      <c r="M147" s="274">
        <v>20.09</v>
      </c>
      <c r="N147" s="274">
        <v>21.75</v>
      </c>
      <c r="O147" s="274">
        <v>14.71</v>
      </c>
      <c r="P147" s="274">
        <v>18.170000000000002</v>
      </c>
      <c r="Q147" s="274">
        <v>17.739999999999998</v>
      </c>
      <c r="R147" s="274">
        <v>21.99</v>
      </c>
      <c r="S147" s="274">
        <v>16.329999999999998</v>
      </c>
      <c r="T147" s="274">
        <v>20.39</v>
      </c>
      <c r="U147" s="274">
        <v>17.34</v>
      </c>
      <c r="V147" s="274">
        <v>18.75</v>
      </c>
      <c r="W147" s="274">
        <v>14.56</v>
      </c>
      <c r="X147" s="274">
        <v>17.989999999999998</v>
      </c>
    </row>
    <row r="148" spans="1:24" s="93" customFormat="1" ht="14.25" thickBot="1" x14ac:dyDescent="0.3">
      <c r="A148" s="224" t="s">
        <v>41</v>
      </c>
      <c r="B148" s="68">
        <v>16.260000000000002</v>
      </c>
      <c r="C148" s="68">
        <v>15.13</v>
      </c>
      <c r="D148" s="68">
        <v>7.39</v>
      </c>
      <c r="E148" s="68">
        <v>20.399999999999999</v>
      </c>
      <c r="F148" s="68">
        <v>19.3</v>
      </c>
      <c r="G148" s="68">
        <v>20.14</v>
      </c>
      <c r="H148" s="68">
        <v>20.72</v>
      </c>
      <c r="I148" s="68">
        <v>21.87</v>
      </c>
      <c r="J148" s="68">
        <v>20.07</v>
      </c>
      <c r="K148" s="68">
        <v>22.69</v>
      </c>
      <c r="L148" s="68">
        <v>23.27</v>
      </c>
      <c r="M148" s="68">
        <v>19.95</v>
      </c>
      <c r="N148" s="68">
        <v>21.6</v>
      </c>
      <c r="O148" s="68">
        <v>15.54</v>
      </c>
      <c r="P148" s="68">
        <v>20.45</v>
      </c>
      <c r="Q148" s="68">
        <v>18.62</v>
      </c>
      <c r="R148" s="68">
        <v>23.38</v>
      </c>
      <c r="S148" s="68">
        <v>17.43</v>
      </c>
      <c r="T148" s="68">
        <v>21.93</v>
      </c>
      <c r="U148" s="68">
        <v>18.829999999999998</v>
      </c>
      <c r="V148" s="68">
        <v>19.7</v>
      </c>
      <c r="W148" s="68">
        <v>15.33</v>
      </c>
      <c r="X148" s="68">
        <v>19.72</v>
      </c>
    </row>
    <row r="149" spans="1:24" s="93" customFormat="1" ht="14.25" thickBot="1" x14ac:dyDescent="0.3">
      <c r="A149" s="225" t="s">
        <v>13</v>
      </c>
      <c r="B149" s="73">
        <v>13.08</v>
      </c>
      <c r="C149" s="73">
        <v>12.69</v>
      </c>
      <c r="D149" s="73">
        <v>7.15</v>
      </c>
      <c r="E149" s="73">
        <v>12.55</v>
      </c>
      <c r="F149" s="73">
        <v>15.47</v>
      </c>
      <c r="G149" s="73">
        <v>17.02</v>
      </c>
      <c r="H149" s="73">
        <v>16.739999999999998</v>
      </c>
      <c r="I149" s="73">
        <v>16.84</v>
      </c>
      <c r="J149" s="73">
        <v>15.32</v>
      </c>
      <c r="K149" s="73">
        <v>15.94</v>
      </c>
      <c r="L149" s="73">
        <v>16.920000000000002</v>
      </c>
      <c r="M149" s="73">
        <v>15.23</v>
      </c>
      <c r="N149" s="73">
        <v>16.82</v>
      </c>
      <c r="O149" s="73">
        <v>11.87</v>
      </c>
      <c r="P149" s="73">
        <v>16.02</v>
      </c>
      <c r="Q149" s="73">
        <v>14.15</v>
      </c>
      <c r="R149" s="73">
        <v>17.87</v>
      </c>
      <c r="S149" s="73">
        <v>14.08</v>
      </c>
      <c r="T149" s="73">
        <v>17.2</v>
      </c>
      <c r="U149" s="73">
        <v>15.22</v>
      </c>
      <c r="V149" s="73">
        <v>15.3</v>
      </c>
      <c r="W149" s="73">
        <v>12.87</v>
      </c>
      <c r="X149" s="73">
        <v>15.51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57.36</v>
      </c>
      <c r="C152" s="68">
        <v>58.01</v>
      </c>
      <c r="D152" s="68">
        <v>58.76</v>
      </c>
      <c r="E152" s="68">
        <v>58.31</v>
      </c>
      <c r="F152" s="68">
        <v>60.02</v>
      </c>
    </row>
    <row r="153" spans="1:24" s="93" customFormat="1" ht="14.25" thickBot="1" x14ac:dyDescent="0.3">
      <c r="A153" s="225" t="s">
        <v>19</v>
      </c>
      <c r="B153" s="274">
        <v>11.29</v>
      </c>
      <c r="C153" s="274">
        <v>19.7</v>
      </c>
      <c r="D153" s="274">
        <v>20.68</v>
      </c>
      <c r="E153" s="274">
        <v>18.079999999999998</v>
      </c>
      <c r="F153" s="274">
        <v>19.04</v>
      </c>
    </row>
    <row r="154" spans="1:24" s="93" customFormat="1" ht="14.25" thickBot="1" x14ac:dyDescent="0.3">
      <c r="A154" s="224" t="s">
        <v>41</v>
      </c>
      <c r="B154" s="68">
        <v>14.81</v>
      </c>
      <c r="C154" s="68">
        <v>20.55</v>
      </c>
      <c r="D154" s="68">
        <v>21.49</v>
      </c>
      <c r="E154" s="68">
        <v>19.059999999999999</v>
      </c>
      <c r="F154" s="68">
        <v>20.43</v>
      </c>
    </row>
    <row r="155" spans="1:24" s="93" customFormat="1" ht="14.25" thickBot="1" x14ac:dyDescent="0.3">
      <c r="A155" s="225" t="s">
        <v>13</v>
      </c>
      <c r="B155" s="73">
        <v>11.39</v>
      </c>
      <c r="C155" s="73">
        <v>16.54</v>
      </c>
      <c r="D155" s="73">
        <v>15.86</v>
      </c>
      <c r="E155" s="73">
        <v>14.72</v>
      </c>
      <c r="F155" s="73">
        <v>16.12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2.94</v>
      </c>
      <c r="C158" s="68">
        <v>2.99</v>
      </c>
      <c r="D158" s="68">
        <v>1.61</v>
      </c>
      <c r="E158" s="68">
        <v>2.81</v>
      </c>
      <c r="F158" s="68">
        <v>3.41</v>
      </c>
      <c r="G158" s="68">
        <v>3.91</v>
      </c>
      <c r="H158" s="68">
        <v>3.78</v>
      </c>
      <c r="I158" s="68">
        <v>4</v>
      </c>
      <c r="J158" s="68">
        <v>3.18</v>
      </c>
      <c r="K158" s="68">
        <v>3.35</v>
      </c>
      <c r="L158" s="68">
        <v>3.79</v>
      </c>
      <c r="M158" s="68">
        <v>3.65</v>
      </c>
      <c r="N158" s="68">
        <v>3.45</v>
      </c>
      <c r="O158" s="68">
        <v>2.38</v>
      </c>
      <c r="P158" s="68">
        <v>3.48</v>
      </c>
      <c r="Q158" s="68">
        <v>3.38</v>
      </c>
      <c r="R158" s="68">
        <v>3.94</v>
      </c>
      <c r="S158" s="68">
        <v>2.94</v>
      </c>
      <c r="T158" s="68">
        <v>3.97</v>
      </c>
      <c r="U158" s="68">
        <v>3.45</v>
      </c>
      <c r="V158" s="68">
        <v>3.17</v>
      </c>
      <c r="W158" s="68">
        <v>2.5499999999999998</v>
      </c>
      <c r="X158" s="68">
        <v>3.42</v>
      </c>
    </row>
    <row r="159" spans="1:24" s="93" customFormat="1" ht="14.25" thickBot="1" x14ac:dyDescent="0.3">
      <c r="A159" s="225" t="s">
        <v>45</v>
      </c>
      <c r="B159" s="73">
        <v>4.47</v>
      </c>
      <c r="C159" s="73">
        <v>4.82</v>
      </c>
      <c r="D159" s="73">
        <v>2.61</v>
      </c>
      <c r="E159" s="73">
        <v>4.4400000000000004</v>
      </c>
      <c r="F159" s="73">
        <v>5.28</v>
      </c>
      <c r="G159" s="73">
        <v>6.39</v>
      </c>
      <c r="H159" s="73">
        <v>6.22</v>
      </c>
      <c r="I159" s="73">
        <v>6.28</v>
      </c>
      <c r="J159" s="73">
        <v>4.99</v>
      </c>
      <c r="K159" s="73">
        <v>5.68</v>
      </c>
      <c r="L159" s="73">
        <v>6.57</v>
      </c>
      <c r="M159" s="73">
        <v>5.83</v>
      </c>
      <c r="N159" s="73">
        <v>5.46</v>
      </c>
      <c r="O159" s="73">
        <v>4.08</v>
      </c>
      <c r="P159" s="73">
        <v>6.02</v>
      </c>
      <c r="Q159" s="73">
        <v>5.3</v>
      </c>
      <c r="R159" s="73">
        <v>6.02</v>
      </c>
      <c r="S159" s="73">
        <v>4.76</v>
      </c>
      <c r="T159" s="73">
        <v>6.47</v>
      </c>
      <c r="U159" s="73">
        <v>5.24</v>
      </c>
      <c r="V159" s="73">
        <v>4.83</v>
      </c>
      <c r="W159" s="73">
        <v>4.12</v>
      </c>
      <c r="X159" s="73">
        <v>5.63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11.39</v>
      </c>
      <c r="C162" s="68">
        <v>16.54</v>
      </c>
      <c r="D162" s="68">
        <v>15.86</v>
      </c>
      <c r="E162" s="68">
        <v>14.72</v>
      </c>
      <c r="F162" s="68">
        <v>16.12</v>
      </c>
    </row>
    <row r="163" spans="1:72" s="93" customFormat="1" ht="14.25" thickBot="1" x14ac:dyDescent="0.3">
      <c r="A163" s="225" t="s">
        <v>18</v>
      </c>
      <c r="B163" s="274">
        <v>0.89</v>
      </c>
      <c r="C163" s="274">
        <v>0.84</v>
      </c>
      <c r="D163" s="274">
        <v>0.86</v>
      </c>
      <c r="E163" s="274">
        <v>0.88</v>
      </c>
      <c r="F163" s="274">
        <v>0.86</v>
      </c>
    </row>
    <row r="164" spans="1:72" s="93" customFormat="1" ht="14.25" thickBot="1" x14ac:dyDescent="0.3">
      <c r="A164" s="224" t="s">
        <v>15</v>
      </c>
      <c r="B164" s="68">
        <v>1.58</v>
      </c>
      <c r="C164" s="68">
        <v>1.61</v>
      </c>
      <c r="D164" s="68">
        <v>1.6</v>
      </c>
      <c r="E164" s="68">
        <v>1.57</v>
      </c>
      <c r="F164" s="68">
        <v>1.55</v>
      </c>
    </row>
    <row r="165" spans="1:72" s="93" customFormat="1" ht="14.25" thickBot="1" x14ac:dyDescent="0.3">
      <c r="A165" s="225" t="s">
        <v>45</v>
      </c>
      <c r="B165" s="73">
        <v>16.16</v>
      </c>
      <c r="C165" s="73">
        <v>23.58</v>
      </c>
      <c r="D165" s="73">
        <v>22.4</v>
      </c>
      <c r="E165" s="73">
        <v>20.25</v>
      </c>
      <c r="F165" s="73">
        <v>21.91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47.62</v>
      </c>
      <c r="C168" s="68">
        <v>45.23</v>
      </c>
      <c r="D168" s="68">
        <v>48.13</v>
      </c>
      <c r="E168" s="68">
        <v>44.12</v>
      </c>
      <c r="F168" s="68">
        <v>41.86</v>
      </c>
      <c r="G168" s="68">
        <v>43.06</v>
      </c>
      <c r="H168" s="68">
        <v>45.45</v>
      </c>
      <c r="I168" s="68">
        <v>40.18</v>
      </c>
      <c r="J168" s="68">
        <v>44.55</v>
      </c>
      <c r="K168" s="68">
        <v>43.48</v>
      </c>
      <c r="L168" s="68">
        <v>42.06</v>
      </c>
      <c r="M168" s="68">
        <v>41.86</v>
      </c>
      <c r="N168" s="68">
        <v>45.92</v>
      </c>
      <c r="O168" s="68">
        <v>43.9</v>
      </c>
      <c r="P168" s="68">
        <v>42.45</v>
      </c>
      <c r="Q168" s="68">
        <v>39.82</v>
      </c>
      <c r="R168" s="68">
        <v>41.86</v>
      </c>
      <c r="S168" s="68">
        <v>43.27</v>
      </c>
      <c r="T168" s="68">
        <v>41.67</v>
      </c>
      <c r="U168" s="68">
        <v>44.55</v>
      </c>
      <c r="V168" s="68">
        <v>46.63</v>
      </c>
      <c r="W168" s="68">
        <v>48.39</v>
      </c>
      <c r="X168" s="68">
        <v>44.78</v>
      </c>
    </row>
    <row r="169" spans="1:72" s="93" customFormat="1" ht="14.25" thickBot="1" x14ac:dyDescent="0.3">
      <c r="A169" s="225" t="s">
        <v>17</v>
      </c>
      <c r="B169" s="274">
        <v>132.35</v>
      </c>
      <c r="C169" s="274">
        <v>121.62</v>
      </c>
      <c r="D169" s="274">
        <v>126.76</v>
      </c>
      <c r="E169" s="274">
        <v>130.43</v>
      </c>
      <c r="F169" s="274">
        <v>128.57</v>
      </c>
      <c r="G169" s="274">
        <v>123.29</v>
      </c>
      <c r="H169" s="274">
        <v>136.36000000000001</v>
      </c>
      <c r="I169" s="274">
        <v>128.57</v>
      </c>
      <c r="J169" s="274">
        <v>142.86000000000001</v>
      </c>
      <c r="K169" s="274">
        <v>136.36000000000001</v>
      </c>
      <c r="L169" s="274">
        <v>132.35</v>
      </c>
      <c r="M169" s="274">
        <v>116.88</v>
      </c>
      <c r="N169" s="274">
        <v>150</v>
      </c>
      <c r="O169" s="274">
        <v>140.63</v>
      </c>
      <c r="P169" s="274">
        <v>140.63</v>
      </c>
      <c r="Q169" s="274">
        <v>138.46</v>
      </c>
      <c r="R169" s="274">
        <v>169.81</v>
      </c>
      <c r="S169" s="274">
        <v>160.71</v>
      </c>
      <c r="T169" s="274">
        <v>147.54</v>
      </c>
      <c r="U169" s="274">
        <v>142.86000000000001</v>
      </c>
      <c r="V169" s="274">
        <v>150</v>
      </c>
      <c r="W169" s="274">
        <v>150</v>
      </c>
      <c r="X169" s="274">
        <v>147.54</v>
      </c>
    </row>
    <row r="170" spans="1:72" s="93" customFormat="1" ht="14.25" thickBot="1" x14ac:dyDescent="0.3">
      <c r="A170" s="224" t="s">
        <v>42</v>
      </c>
      <c r="B170" s="72">
        <v>179.97</v>
      </c>
      <c r="C170" s="72">
        <v>166.85</v>
      </c>
      <c r="D170" s="72">
        <v>174.89</v>
      </c>
      <c r="E170" s="72">
        <v>174.55</v>
      </c>
      <c r="F170" s="72">
        <v>170.43</v>
      </c>
      <c r="G170" s="72">
        <v>166.35</v>
      </c>
      <c r="H170" s="72">
        <v>181.82</v>
      </c>
      <c r="I170" s="72">
        <v>168.75</v>
      </c>
      <c r="J170" s="72">
        <v>187.41</v>
      </c>
      <c r="K170" s="72">
        <v>179.84</v>
      </c>
      <c r="L170" s="72">
        <v>174.41</v>
      </c>
      <c r="M170" s="72">
        <v>158.74</v>
      </c>
      <c r="N170" s="72">
        <v>195.92</v>
      </c>
      <c r="O170" s="72">
        <v>184.53</v>
      </c>
      <c r="P170" s="72">
        <v>183.08</v>
      </c>
      <c r="Q170" s="72">
        <v>178.28</v>
      </c>
      <c r="R170" s="72">
        <v>211.67</v>
      </c>
      <c r="S170" s="72">
        <v>203.98</v>
      </c>
      <c r="T170" s="72">
        <v>189.21</v>
      </c>
      <c r="U170" s="72">
        <v>187.41</v>
      </c>
      <c r="V170" s="72">
        <v>196.63</v>
      </c>
      <c r="W170" s="72">
        <v>198.39</v>
      </c>
      <c r="X170" s="72">
        <v>192.32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103.53</v>
      </c>
      <c r="C173" s="72">
        <v>44.4</v>
      </c>
      <c r="D173" s="72">
        <v>116.96</v>
      </c>
      <c r="E173" s="72">
        <v>109.62</v>
      </c>
      <c r="F173" s="72">
        <v>51.79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10.67</v>
      </c>
      <c r="C176" s="72">
        <v>12.06</v>
      </c>
      <c r="D176" s="72">
        <v>12.58</v>
      </c>
      <c r="E176" s="72">
        <v>12.8</v>
      </c>
      <c r="F176" s="72">
        <v>13.06</v>
      </c>
      <c r="G176" s="72">
        <v>12.59</v>
      </c>
      <c r="H176" s="72">
        <v>12.64</v>
      </c>
      <c r="I176" s="72">
        <v>11.59</v>
      </c>
      <c r="J176" s="72">
        <v>11.36</v>
      </c>
      <c r="K176" s="72">
        <v>10.65</v>
      </c>
      <c r="L176" s="72">
        <v>11.33</v>
      </c>
      <c r="M176" s="72">
        <v>11.86</v>
      </c>
      <c r="N176" s="72">
        <v>11.56</v>
      </c>
      <c r="O176" s="72">
        <v>11.7</v>
      </c>
      <c r="P176" s="72">
        <v>12.37</v>
      </c>
      <c r="Q176" s="72">
        <v>12.27</v>
      </c>
      <c r="R176" s="72">
        <v>11.98</v>
      </c>
      <c r="S176" s="72">
        <v>12.23</v>
      </c>
      <c r="T176" s="72">
        <v>13.49</v>
      </c>
      <c r="U176" s="72">
        <v>12.67</v>
      </c>
      <c r="V176" s="72">
        <v>14.46</v>
      </c>
      <c r="W176" s="72">
        <v>15.8</v>
      </c>
      <c r="X176" s="72">
        <v>14.16</v>
      </c>
      <c r="Y176" s="72">
        <v>15.67</v>
      </c>
      <c r="Z176" s="72">
        <v>15.75</v>
      </c>
      <c r="AA176" s="72">
        <v>17.22</v>
      </c>
      <c r="AB176" s="72">
        <v>15.88</v>
      </c>
      <c r="AC176" s="72">
        <v>15.49</v>
      </c>
      <c r="AD176" s="72">
        <v>14.63</v>
      </c>
      <c r="AE176" s="72">
        <v>14.12</v>
      </c>
      <c r="AF176" s="72">
        <v>13.69</v>
      </c>
      <c r="AG176" s="72">
        <v>13.4</v>
      </c>
      <c r="AH176" s="72">
        <v>13.34</v>
      </c>
      <c r="AI176" s="72">
        <v>12.08</v>
      </c>
      <c r="AJ176" s="72">
        <v>12.09</v>
      </c>
      <c r="AK176" s="72">
        <v>12.78</v>
      </c>
      <c r="AL176" s="72">
        <v>12.9</v>
      </c>
      <c r="AM176" s="72">
        <v>12.95</v>
      </c>
      <c r="AN176" s="72">
        <v>13.89</v>
      </c>
      <c r="AO176" s="72">
        <v>14.43</v>
      </c>
      <c r="AP176" s="72">
        <v>13.48</v>
      </c>
      <c r="AQ176" s="72">
        <v>13.49</v>
      </c>
      <c r="AR176" s="72">
        <v>13.57</v>
      </c>
      <c r="AS176" s="72">
        <v>11.26</v>
      </c>
      <c r="AT176" s="72">
        <v>10.73</v>
      </c>
      <c r="AU176" s="72">
        <v>11.4</v>
      </c>
      <c r="AV176" s="72">
        <v>11.69</v>
      </c>
      <c r="AW176" s="72">
        <v>11.72</v>
      </c>
      <c r="AX176" s="72">
        <v>11.31</v>
      </c>
      <c r="AY176" s="72">
        <v>11.59</v>
      </c>
      <c r="AZ176" s="72">
        <v>12.72</v>
      </c>
      <c r="BA176" s="72">
        <v>13.18</v>
      </c>
      <c r="BB176" s="72">
        <v>13.72</v>
      </c>
      <c r="BC176" s="72">
        <v>14.12</v>
      </c>
      <c r="BD176" s="72">
        <v>13.76</v>
      </c>
      <c r="BE176" s="72">
        <v>12.92</v>
      </c>
      <c r="BF176" s="72">
        <v>12.77</v>
      </c>
      <c r="BG176" s="72">
        <v>12.51</v>
      </c>
      <c r="BH176" s="72">
        <v>12.11</v>
      </c>
      <c r="BI176" s="72">
        <v>12.21</v>
      </c>
      <c r="BJ176" s="72">
        <v>12.24</v>
      </c>
      <c r="BK176" s="72">
        <v>12.53</v>
      </c>
      <c r="BL176" s="72">
        <v>12.63</v>
      </c>
      <c r="BM176" s="72">
        <v>12.7</v>
      </c>
      <c r="BN176" s="72">
        <v>13.24</v>
      </c>
      <c r="BO176" s="72">
        <v>13.35</v>
      </c>
      <c r="BP176" s="72">
        <v>13.1</v>
      </c>
      <c r="BQ176" s="72">
        <v>12.57</v>
      </c>
      <c r="BR176" s="72">
        <v>12.69</v>
      </c>
      <c r="BS176" s="72">
        <v>12.8</v>
      </c>
      <c r="BT176" s="72">
        <v>13.29</v>
      </c>
    </row>
  </sheetData>
  <phoneticPr fontId="3" type="noConversion"/>
  <conditionalFormatting sqref="E4">
    <cfRule type="cellIs" dxfId="1724" priority="103" operator="greaterThan">
      <formula>0.2</formula>
    </cfRule>
    <cfRule type="cellIs" dxfId="172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172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721" priority="97" operator="greaterThan">
      <formula>$B$19</formula>
    </cfRule>
  </conditionalFormatting>
  <conditionalFormatting sqref="D33:D34">
    <cfRule type="cellIs" dxfId="172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1719" priority="91" operator="lessThan">
      <formula>$H$62</formula>
    </cfRule>
    <cfRule type="cellIs" dxfId="1718" priority="92" operator="greaterThan">
      <formula>$H$62</formula>
    </cfRule>
  </conditionalFormatting>
  <conditionalFormatting sqref="J62">
    <cfRule type="cellIs" dxfId="1717" priority="89" operator="lessThan">
      <formula>$K$62</formula>
    </cfRule>
    <cfRule type="cellIs" dxfId="1716" priority="90" operator="greaterThan">
      <formula>$K$62</formula>
    </cfRule>
  </conditionalFormatting>
  <conditionalFormatting sqref="M62">
    <cfRule type="cellIs" dxfId="1715" priority="87" operator="lessThan">
      <formula>$N$62</formula>
    </cfRule>
    <cfRule type="cellIs" dxfId="1714" priority="88" operator="greaterThan">
      <formula>$N$62</formula>
    </cfRule>
  </conditionalFormatting>
  <conditionalFormatting sqref="B44:E44">
    <cfRule type="cellIs" dxfId="1713" priority="85" operator="greaterThan">
      <formula>0</formula>
    </cfRule>
    <cfRule type="cellIs" dxfId="1712" priority="86" operator="lessThan">
      <formula>0</formula>
    </cfRule>
  </conditionalFormatting>
  <conditionalFormatting sqref="F72">
    <cfRule type="cellIs" dxfId="1711" priority="84" operator="lessThan">
      <formula>$E$72*90%</formula>
    </cfRule>
  </conditionalFormatting>
  <conditionalFormatting sqref="F73">
    <cfRule type="cellIs" dxfId="1710" priority="83" operator="lessThan">
      <formula>$E$73*90%</formula>
    </cfRule>
  </conditionalFormatting>
  <conditionalFormatting sqref="F74">
    <cfRule type="cellIs" dxfId="1709" priority="82" operator="lessThan">
      <formula>$E$74*90%</formula>
    </cfRule>
  </conditionalFormatting>
  <conditionalFormatting sqref="F75">
    <cfRule type="cellIs" dxfId="1708" priority="81" operator="lessThan">
      <formula>$E$75*90%</formula>
    </cfRule>
  </conditionalFormatting>
  <conditionalFormatting sqref="H44:K44">
    <cfRule type="cellIs" dxfId="1707" priority="79" operator="greaterThan">
      <formula>0</formula>
    </cfRule>
    <cfRule type="cellIs" dxfId="1706" priority="80" operator="lessThan">
      <formula>0</formula>
    </cfRule>
  </conditionalFormatting>
  <conditionalFormatting sqref="H51:K51">
    <cfRule type="cellIs" dxfId="1705" priority="77" operator="greaterThan">
      <formula>0</formula>
    </cfRule>
    <cfRule type="cellIs" dxfId="1704" priority="78" operator="lessThan">
      <formula>0</formula>
    </cfRule>
  </conditionalFormatting>
  <conditionalFormatting sqref="B51:E51">
    <cfRule type="cellIs" dxfId="1703" priority="75" operator="greaterThan">
      <formula>0</formula>
    </cfRule>
    <cfRule type="cellIs" dxfId="170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70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70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699" priority="58" operator="lessThan">
      <formula>0</formula>
    </cfRule>
  </conditionalFormatting>
  <conditionalFormatting sqref="A25 E25 C25">
    <cfRule type="cellIs" dxfId="1698" priority="59" operator="lessThan">
      <formula>0</formula>
    </cfRule>
  </conditionalFormatting>
  <conditionalFormatting sqref="F25">
    <cfRule type="cellIs" dxfId="1697" priority="57" operator="lessThan">
      <formula>0</formula>
    </cfRule>
  </conditionalFormatting>
  <conditionalFormatting sqref="E1">
    <cfRule type="containsText" dxfId="1696" priority="56" operator="containsText" text="本季業外損益/平均=-">
      <formula>NOT(ISERROR(SEARCH("本季業外損益/平均=-",E1)))</formula>
    </cfRule>
  </conditionalFormatting>
  <conditionalFormatting sqref="M65">
    <cfRule type="cellIs" dxfId="1695" priority="55" operator="lessThan">
      <formula>$L$65*90%</formula>
    </cfRule>
  </conditionalFormatting>
  <conditionalFormatting sqref="M66">
    <cfRule type="cellIs" dxfId="1694" priority="54" operator="lessThan">
      <formula>$L$66*90%</formula>
    </cfRule>
  </conditionalFormatting>
  <conditionalFormatting sqref="M67">
    <cfRule type="cellIs" dxfId="1693" priority="53" operator="lessThan">
      <formula>$L$67*90%</formula>
    </cfRule>
  </conditionalFormatting>
  <conditionalFormatting sqref="M68">
    <cfRule type="cellIs" dxfId="1692" priority="52" operator="lessThan">
      <formula>$L$68*90%</formula>
    </cfRule>
  </conditionalFormatting>
  <conditionalFormatting sqref="B60">
    <cfRule type="cellIs" dxfId="1691" priority="51" operator="lessThan">
      <formula>0</formula>
    </cfRule>
  </conditionalFormatting>
  <conditionalFormatting sqref="B59:F59">
    <cfRule type="cellIs" dxfId="1690" priority="50" operator="lessThanOrEqual">
      <formula>0</formula>
    </cfRule>
  </conditionalFormatting>
  <conditionalFormatting sqref="D62">
    <cfRule type="cellIs" dxfId="1689" priority="48" operator="lessThan">
      <formula>$E$62</formula>
    </cfRule>
    <cfRule type="cellIs" dxfId="1688" priority="49" operator="greaterThan">
      <formula>$E$62</formula>
    </cfRule>
  </conditionalFormatting>
  <conditionalFormatting sqref="F69">
    <cfRule type="cellIs" dxfId="1687" priority="46" operator="lessThan">
      <formula>0</formula>
    </cfRule>
  </conditionalFormatting>
  <conditionalFormatting sqref="B65:E67 B69:E69 B68:D68">
    <cfRule type="cellIs" dxfId="1686" priority="47" operator="lessThan">
      <formula>0</formula>
    </cfRule>
  </conditionalFormatting>
  <conditionalFormatting sqref="E68">
    <cfRule type="cellIs" dxfId="1685" priority="45" operator="lessThan">
      <formula>0</formula>
    </cfRule>
  </conditionalFormatting>
  <conditionalFormatting sqref="F65:F68">
    <cfRule type="cellIs" dxfId="1684" priority="44" operator="lessThan">
      <formula>0</formula>
    </cfRule>
  </conditionalFormatting>
  <conditionalFormatting sqref="F65:F68">
    <cfRule type="cellIs" dxfId="1683" priority="43" operator="lessThan">
      <formula>$E$65*0.9</formula>
    </cfRule>
  </conditionalFormatting>
  <conditionalFormatting sqref="F66">
    <cfRule type="cellIs" dxfId="1682" priority="42" operator="lessThan">
      <formula>$E$66*0.9</formula>
    </cfRule>
  </conditionalFormatting>
  <conditionalFormatting sqref="F67:F68">
    <cfRule type="cellIs" dxfId="1681" priority="41" operator="lessThan">
      <formula>$E$67*0.9</formula>
    </cfRule>
  </conditionalFormatting>
  <conditionalFormatting sqref="F68">
    <cfRule type="cellIs" dxfId="1680" priority="40" operator="lessThan">
      <formula>$E$68*0.9</formula>
    </cfRule>
  </conditionalFormatting>
  <conditionalFormatting sqref="B13:F13">
    <cfRule type="cellIs" dxfId="1679" priority="29" operator="greaterThan">
      <formula>$I$16</formula>
    </cfRule>
    <cfRule type="cellIs" dxfId="1678" priority="30" operator="lessThanOrEqual">
      <formula>$I$16</formula>
    </cfRule>
  </conditionalFormatting>
  <conditionalFormatting sqref="B10:F10">
    <cfRule type="cellIs" dxfId="1677" priority="31" operator="greaterThan">
      <formula>15</formula>
    </cfRule>
    <cfRule type="cellIs" dxfId="1676" priority="38" operator="lessThan">
      <formula>$I$9</formula>
    </cfRule>
    <cfRule type="cellIs" dxfId="1675" priority="39" operator="greaterThan">
      <formula>$I$9</formula>
    </cfRule>
  </conditionalFormatting>
  <conditionalFormatting sqref="B16:F16">
    <cfRule type="cellIs" dxfId="1674" priority="36" operator="greaterThan">
      <formula>$I$16</formula>
    </cfRule>
    <cfRule type="cellIs" dxfId="1673" priority="37" operator="lessThanOrEqual">
      <formula>$I$16</formula>
    </cfRule>
  </conditionalFormatting>
  <conditionalFormatting sqref="B15:F15">
    <cfRule type="cellIs" dxfId="1672" priority="34" operator="lessThanOrEqual">
      <formula>$I$16</formula>
    </cfRule>
    <cfRule type="cellIs" dxfId="1671" priority="35" operator="greaterThan">
      <formula>$I$16</formula>
    </cfRule>
  </conditionalFormatting>
  <conditionalFormatting sqref="B14:F14">
    <cfRule type="cellIs" dxfId="1670" priority="32" operator="greaterThan">
      <formula>$I$16</formula>
    </cfRule>
    <cfRule type="cellIs" dxfId="1669" priority="33" operator="lessThanOrEqual">
      <formula>$I$16</formula>
    </cfRule>
  </conditionalFormatting>
  <conditionalFormatting sqref="K6">
    <cfRule type="containsText" dxfId="1668" priority="27" operator="containsText" text="衰退">
      <formula>NOT(ISERROR(SEARCH("衰退",K6)))</formula>
    </cfRule>
    <cfRule type="containsText" dxfId="1667" priority="28" operator="containsText" text="成長">
      <formula>NOT(ISERROR(SEARCH("成長",K6)))</formula>
    </cfRule>
  </conditionalFormatting>
  <conditionalFormatting sqref="I4:K4">
    <cfRule type="cellIs" dxfId="1666" priority="25" operator="lessThan">
      <formula>0</formula>
    </cfRule>
    <cfRule type="cellIs" dxfId="166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664" priority="22" operator="lessThanOrEqual">
      <formula>$I$16</formula>
    </cfRule>
    <cfRule type="cellIs" dxfId="1663" priority="23" operator="greaterThan">
      <formula>$I$16</formula>
    </cfRule>
  </conditionalFormatting>
  <conditionalFormatting sqref="I6">
    <cfRule type="containsText" dxfId="1662" priority="20" operator="containsText" text="衰退">
      <formula>NOT(ISERROR(SEARCH("衰退",I6)))</formula>
    </cfRule>
    <cfRule type="containsText" dxfId="1661" priority="21" operator="containsText" text="成長">
      <formula>NOT(ISERROR(SEARCH("成長",I6)))</formula>
    </cfRule>
  </conditionalFormatting>
  <conditionalFormatting sqref="M9">
    <cfRule type="cellIs" dxfId="1660" priority="19" operator="lessThan">
      <formula>$I$9</formula>
    </cfRule>
  </conditionalFormatting>
  <conditionalFormatting sqref="M10">
    <cfRule type="cellIs" dxfId="1659" priority="18" operator="greaterThan">
      <formula>$I$9</formula>
    </cfRule>
  </conditionalFormatting>
  <conditionalFormatting sqref="M11">
    <cfRule type="cellIs" dxfId="165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657" priority="14" operator="lessThan">
      <formula>0</formula>
    </cfRule>
    <cfRule type="cellIs" dxfId="1656" priority="15" operator="greaterThan">
      <formula>0.5</formula>
    </cfRule>
  </conditionalFormatting>
  <conditionalFormatting sqref="N14">
    <cfRule type="cellIs" dxfId="165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654" priority="10" operator="lessThan">
      <formula>0.1</formula>
    </cfRule>
  </conditionalFormatting>
  <conditionalFormatting sqref="I14">
    <cfRule type="cellIs" dxfId="165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65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651" priority="1" operator="lessThan">
      <formula>$N$5*0.9</formula>
    </cfRule>
    <cfRule type="cellIs" dxfId="1650" priority="2" operator="greaterThan">
      <formula>$N$5*1.1</formula>
    </cfRule>
  </conditionalFormatting>
  <hyperlinks>
    <hyperlink ref="L1" location="儀表板!A1" display="(回首頁)" xr:uid="{00000000-0004-0000-5100-000000000000}"/>
  </hyperlink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2.76 ~ 5.18</v>
      </c>
      <c r="L1" s="83" t="s">
        <v>176</v>
      </c>
      <c r="M1" s="84" t="str">
        <f ca="1">VLOOKUP(_xlfn.NUMBERVALUE(N1),儀表板!A:B,2,FALSE)</f>
        <v>啟碁</v>
      </c>
      <c r="N1" s="85" t="str">
        <f ca="1">MID(CELL("filename",L1),FIND("]",CELL("filename",L1))+1,255)</f>
        <v>6285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0.22327010662258631</v>
      </c>
    </row>
    <row r="3" spans="1:15" s="93" customFormat="1" x14ac:dyDescent="0.25">
      <c r="A3" s="81" t="s">
        <v>179</v>
      </c>
      <c r="B3" s="94">
        <f>SUM(F19:F22,F24:F27,J19)</f>
        <v>75.749731057651729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84.051196813083806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90.174131680262093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94.070544777557387</v>
      </c>
      <c r="L3" s="100"/>
      <c r="M3" s="79" t="s">
        <v>385</v>
      </c>
      <c r="N3" s="92">
        <f>(F69-E69)/E69</f>
        <v>1.3151303841152429E-2</v>
      </c>
    </row>
    <row r="4" spans="1:15" s="93" customFormat="1" x14ac:dyDescent="0.25">
      <c r="A4" s="81" t="s">
        <v>182</v>
      </c>
      <c r="B4" s="96">
        <f>SUM(G36:G40)*2</f>
        <v>80</v>
      </c>
      <c r="C4" s="101"/>
      <c r="D4" s="102">
        <f>F4*(1+F141/10)</f>
        <v>36.358999999999995</v>
      </c>
      <c r="E4" s="82">
        <f>(D4-F4)/F4</f>
        <v>2.9999999999999933E-2</v>
      </c>
      <c r="F4" s="103">
        <v>35.299999999999997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6.129565388238972</v>
      </c>
    </row>
    <row r="5" spans="1:15" s="93" customFormat="1" x14ac:dyDescent="0.25">
      <c r="A5" s="81" t="s">
        <v>184</v>
      </c>
      <c r="B5" s="107">
        <f>SUM(F30:F34)*2</f>
        <v>76.238140845070433</v>
      </c>
      <c r="C5" s="87"/>
      <c r="D5" s="87"/>
      <c r="E5" s="87"/>
      <c r="F5" s="86"/>
      <c r="G5" s="88"/>
      <c r="M5" s="79" t="s">
        <v>386</v>
      </c>
      <c r="N5" s="152">
        <f>D62</f>
        <v>6.2399999999999993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6.2896288891716603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18.2</v>
      </c>
      <c r="N9" s="129"/>
    </row>
    <row r="10" spans="1:15" s="93" customFormat="1" x14ac:dyDescent="0.25">
      <c r="A10" s="123" t="s">
        <v>194</v>
      </c>
      <c r="B10" s="126">
        <f>PERCENTILE(176:176,B9)</f>
        <v>12.23</v>
      </c>
      <c r="C10" s="126">
        <f>PERCENTILE(176:176,C9)</f>
        <v>13.59</v>
      </c>
      <c r="D10" s="126">
        <f>PERCENTILE(176:176,D9)</f>
        <v>14.58</v>
      </c>
      <c r="E10" s="126">
        <f>PERCENTILE(176:176,E9)</f>
        <v>15.21</v>
      </c>
      <c r="F10" s="126">
        <f>PERCENTILE(176:176,F9)</f>
        <v>15.84</v>
      </c>
      <c r="G10" s="95"/>
      <c r="H10" s="135"/>
      <c r="I10" s="135"/>
      <c r="J10" s="135"/>
      <c r="K10" s="135"/>
      <c r="L10" s="136" t="s">
        <v>374</v>
      </c>
      <c r="M10" s="130">
        <f>MIN(176:176)</f>
        <v>8.31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37.56</v>
      </c>
      <c r="L11" s="272" t="s">
        <v>193</v>
      </c>
      <c r="M11" s="128">
        <f>STDEV(176:176)</f>
        <v>2.2554815231804435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45.868347338935585</v>
      </c>
      <c r="C13" s="141">
        <f>$B$34/5.88%</f>
        <v>55.697278911564631</v>
      </c>
      <c r="D13" s="141">
        <f>$B$34/5%</f>
        <v>65.5</v>
      </c>
      <c r="E13" s="141">
        <f>$B$34/4.35%</f>
        <v>75.287356321839098</v>
      </c>
      <c r="F13" s="141">
        <f>$B$34/3.85%</f>
        <v>85.064935064935071</v>
      </c>
      <c r="G13" s="138" t="str">
        <f>"$"&amp;ROUND(B34,2)&amp;"/"&amp;IF(STDEV(C140:F140)/AVERAGE(C140:F140)&lt;15%,"高",IF(STDEV(C140:F140)/AVERAGE(C140:F140)&lt;30%,"中","低"))</f>
        <v>$3.28/中</v>
      </c>
      <c r="H13" s="142" t="s">
        <v>199</v>
      </c>
      <c r="I13" s="143">
        <f>MAX(0,1-J15)</f>
        <v>0.38842975206611563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65.124750000000006</v>
      </c>
      <c r="C14" s="141">
        <f>$B$33*C10</f>
        <v>72.366749999999996</v>
      </c>
      <c r="D14" s="141">
        <f>$B$33*D10</f>
        <v>77.638500000000008</v>
      </c>
      <c r="E14" s="141">
        <f>$B$33*E10</f>
        <v>80.993250000000003</v>
      </c>
      <c r="F14" s="141">
        <f>$B$33*F10</f>
        <v>84.347999999999999</v>
      </c>
      <c r="G14" s="138" t="str">
        <f>"$"&amp;ROUND(B33,2)&amp;"/"&amp;IF(STDEV(B69:E69)/AVERAGE(B69:E69)&lt;15%,"高",IF(STDEV(B69:E69)/AVERAGE(B69:E69)&lt;30%,"中","低"))</f>
        <v>$5.33/中</v>
      </c>
      <c r="H14" s="142" t="s">
        <v>203</v>
      </c>
      <c r="I14" s="145">
        <f>G62/100*I13</f>
        <v>6.3741322314049567E-2</v>
      </c>
      <c r="J14" s="76" t="s">
        <v>204</v>
      </c>
      <c r="K14" s="146"/>
      <c r="L14" s="147">
        <f>(HLOOKUP($C$1,$105:$106,2,FALSE)-HLOOKUP($C$1,$117:$127,9,FALSE))/(HLOOKUP($C$1,$117:$128,12,FALSE)/K11)</f>
        <v>4.6867129186529972</v>
      </c>
      <c r="M14" s="148">
        <f>E135/E69</f>
        <v>-8.4297520661157033E-2</v>
      </c>
      <c r="N14" s="149">
        <f>F173/100</f>
        <v>1.6843000000000001</v>
      </c>
    </row>
    <row r="15" spans="1:15" s="93" customFormat="1" x14ac:dyDescent="0.25">
      <c r="A15" s="140" t="s">
        <v>375</v>
      </c>
      <c r="B15" s="141">
        <f>$D$62*B10</f>
        <v>76.31519999999999</v>
      </c>
      <c r="C15" s="141">
        <f>$D$62*C10</f>
        <v>84.801599999999993</v>
      </c>
      <c r="D15" s="141">
        <f>$D$62*D10</f>
        <v>90.979199999999992</v>
      </c>
      <c r="E15" s="141">
        <f>$D$62*E10</f>
        <v>94.910399999999996</v>
      </c>
      <c r="F15" s="141">
        <f>$D$62*F10</f>
        <v>98.841599999999985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0.61157024793388437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74.964584698162625</v>
      </c>
      <c r="C16" s="141">
        <f>$F$69*C10</f>
        <v>83.300793626167632</v>
      </c>
      <c r="D16" s="141">
        <f>$F$69*D10</f>
        <v>89.369063360524208</v>
      </c>
      <c r="E16" s="141">
        <f>$F$69*E10</f>
        <v>93.230689555114765</v>
      </c>
      <c r="F16" s="141">
        <f>$F$69*F10</f>
        <v>97.092315749705321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1097</v>
      </c>
      <c r="J17" s="92">
        <f ca="1">IF(I17&lt;=0,"",IF(I17&lt;=MIN($B$13:$F$16),(I17-MIN($B$13:$F$16))/MIN($B$13:$F$16),IF(I17&gt;=MAX($B$13:$F$16),I17/MAX($B$13:$F$16),PERCENTRANK($B$13:$F$16,I17))))</f>
        <v>11.098565786065787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3.3150000000000004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14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1.0122137404580154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0.27526895871631352</v>
      </c>
      <c r="J20" s="171">
        <f>HLOOKUP($C$1,$117:$127,11,FALSE)/HLOOKUP($C$1,$105:$115,11,FALSE)</f>
        <v>0.566689132357861</v>
      </c>
      <c r="K20" s="163"/>
    </row>
    <row r="21" spans="1:14" s="93" customFormat="1" x14ac:dyDescent="0.25">
      <c r="A21" s="151" t="s">
        <v>201</v>
      </c>
      <c r="B21" s="161">
        <f>AVERAGE(C173:F173)/100</f>
        <v>1.5622500000000001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1.5483902868086685</v>
      </c>
      <c r="J21" s="78"/>
      <c r="K21" s="164" t="s">
        <v>356</v>
      </c>
      <c r="L21" s="165">
        <f>HLOOKUP($C$1,$105:$115,7,FALSE)/HLOOKUP($C$1,$105:$115,11,FALSE)</f>
        <v>0.7925492797674627</v>
      </c>
      <c r="M21" s="123" t="s">
        <v>268</v>
      </c>
      <c r="N21" s="165">
        <f>HLOOKUP($C$1,$117:$127,8,FALSE)/HLOOKUP($C$1,$117:$127,11,FALSE)</f>
        <v>0.90323540618613618</v>
      </c>
    </row>
    <row r="22" spans="1:14" s="93" customFormat="1" x14ac:dyDescent="0.25">
      <c r="A22" s="140" t="s">
        <v>222</v>
      </c>
      <c r="B22" s="161">
        <f>(-1)*SUM(C133:F133)/SUM(C132:F132)</f>
        <v>0.5903056498919419</v>
      </c>
      <c r="C22" s="157"/>
      <c r="D22" s="166"/>
      <c r="E22" s="140"/>
      <c r="F22" s="159">
        <f>IF(B22&lt;=0,10,IF(B22&gt;=100%,0,(1-B22)*10))</f>
        <v>4.096943501080581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0.98982754871767153</v>
      </c>
      <c r="J22" s="78"/>
      <c r="K22" s="142" t="s">
        <v>357</v>
      </c>
      <c r="L22" s="165">
        <f>HLOOKUP($C$1,$105:$115,4,FALSE)/HLOOKUP($C$1,$105:$115,11,FALSE)</f>
        <v>0.30940551203493794</v>
      </c>
      <c r="M22" s="123" t="s">
        <v>353</v>
      </c>
      <c r="N22" s="165">
        <f>HLOOKUP($C$1,$117:$127,4,FALSE)/HLOOKUP($C$1,$117:$127,11,FALSE)</f>
        <v>0.51425050702669428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2.3078119536708135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0.28590239783237781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60.81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1.9556438155993179E-2</v>
      </c>
      <c r="M24" s="123" t="s">
        <v>355</v>
      </c>
      <c r="N24" s="165">
        <f>HLOOKUP($C$1,$117:$127,9,FALSE)/HLOOKUP($C$1,$117:$127,11,FALSE)</f>
        <v>9.6764593813863778E-2</v>
      </c>
    </row>
    <row r="25" spans="1:14" s="93" customFormat="1" x14ac:dyDescent="0.25">
      <c r="A25" s="151" t="s">
        <v>366</v>
      </c>
      <c r="B25" s="255">
        <f>AVERAGE(94:94)</f>
        <v>20246.91304347826</v>
      </c>
      <c r="C25" s="254">
        <f>STDEV(94:94)/AVERAGE(94:94)</f>
        <v>2.847212443428857</v>
      </c>
      <c r="D25" s="76" t="str">
        <f>IF(C25&lt;=1,"高",IF(C25&lt;=2,"中","低"))</f>
        <v>低</v>
      </c>
      <c r="E25" s="149"/>
      <c r="F25" s="160">
        <f>MAX(0,10-ABS(C25))</f>
        <v>7.152787556571143</v>
      </c>
      <c r="G25" s="88" t="s">
        <v>213</v>
      </c>
      <c r="H25" s="123" t="s">
        <v>232</v>
      </c>
      <c r="I25" s="170">
        <f>IF(HLOOKUP(C1,167:170,3,FALSE)="無",0,HLOOKUP(C1,167:170,3,FALSE))</f>
        <v>62.5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60.52043478260871</v>
      </c>
      <c r="C26" s="172">
        <f>IF(COUNTIF(168:168,"&gt;0")=0,0,STDEV(168:168))</f>
        <v>3.4622266590642465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45.208695652173908</v>
      </c>
      <c r="C27" s="172">
        <f>IF(COUNTIF(169:169,"&gt;0")=0,0,STDEV(169:169))</f>
        <v>8.501706408581013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0.13685</v>
      </c>
      <c r="C30" s="157" t="s">
        <v>217</v>
      </c>
      <c r="D30" s="174">
        <f>COUNTIF(146:146,"&gt;20")/COUNT(146:146)</f>
        <v>0</v>
      </c>
      <c r="E30" s="140" t="s">
        <v>239</v>
      </c>
      <c r="F30" s="159">
        <f>MIN(B30/25%*10,10)</f>
        <v>5.4740000000000002</v>
      </c>
      <c r="G30" s="175"/>
      <c r="H30" s="176"/>
    </row>
    <row r="31" spans="1:14" x14ac:dyDescent="0.25">
      <c r="A31" s="164" t="s">
        <v>240</v>
      </c>
      <c r="B31" s="173">
        <f>AVERAGE(C155:F155)/100</f>
        <v>3.7999999999999999E-2</v>
      </c>
      <c r="C31" s="157" t="s">
        <v>217</v>
      </c>
      <c r="D31" s="174">
        <f>COUNTIF(149:149,"&gt;8")/COUNT(149:149)</f>
        <v>0</v>
      </c>
      <c r="E31" s="140" t="s">
        <v>241</v>
      </c>
      <c r="F31" s="159">
        <f>MIN(B31/10%*10,10)</f>
        <v>3.7999999999999994</v>
      </c>
      <c r="G31" s="175"/>
    </row>
    <row r="32" spans="1:14" x14ac:dyDescent="0.25">
      <c r="A32" s="155" t="s">
        <v>47</v>
      </c>
      <c r="B32" s="177">
        <f>AVERAGE(C165:F165)</f>
        <v>15.127500000000001</v>
      </c>
      <c r="C32" s="157" t="s">
        <v>217</v>
      </c>
      <c r="D32" s="174">
        <f>COUNTIF(159:159,"&gt;3")/COUNT(159:159)</f>
        <v>0.78260869565217395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5.3250000000000002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3.2750000000000004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8.8450704225352119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45485823.5</v>
      </c>
      <c r="C36" s="178">
        <f>STDEV(C97:F97)</f>
        <v>8219370.7503995094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13.685</v>
      </c>
      <c r="C37" s="180">
        <f>STDEV(C152:F152)</f>
        <v>0.4001249804748514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4.6675000000000004</v>
      </c>
      <c r="C38" s="180">
        <f>STDEV(C153:F153)</f>
        <v>0.36962819156552446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15.127500000000001</v>
      </c>
      <c r="C39" s="181">
        <f>STDEV(C165:F165)</f>
        <v>1.7644900113063742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5.3250000000000002</v>
      </c>
      <c r="C40" s="183">
        <f>STDEV(B69:E69)</f>
        <v>0.8545759182190894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-0.2365591397849463</v>
      </c>
      <c r="C44" s="186">
        <f>(C46-C49)/C49</f>
        <v>0.44827586206896558</v>
      </c>
      <c r="D44" s="186">
        <f>(D46-D49)/D49</f>
        <v>7.0512820512820429E-2</v>
      </c>
      <c r="E44" s="186">
        <f>(E46-E49)/E49</f>
        <v>-4.5454545454545491E-2</v>
      </c>
      <c r="G44" s="86" t="s">
        <v>175</v>
      </c>
      <c r="H44" s="186">
        <f>(H47-H50)/H50</f>
        <v>-0.33080424886191201</v>
      </c>
      <c r="I44" s="186">
        <f>(I47-I50)/I50</f>
        <v>0.16152019002375298</v>
      </c>
      <c r="J44" s="186">
        <f>(J47-J50)/J50</f>
        <v>4.2145593869731948E-2</v>
      </c>
      <c r="K44" s="186">
        <f>(K47-K50)/K50</f>
        <v>-0.13107822410147985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1.42</v>
      </c>
      <c r="C46" s="152">
        <f>HLOOKUP(C45,$81:$82,2,FALSE)</f>
        <v>1.68</v>
      </c>
      <c r="D46" s="152">
        <f>HLOOKUP(D45,$81:$82,2,FALSE)</f>
        <v>1.67</v>
      </c>
      <c r="E46" s="152">
        <f>HLOOKUP(E45,$81:$82,2,FALSE)</f>
        <v>1.47</v>
      </c>
      <c r="G46" s="86" t="s">
        <v>164</v>
      </c>
      <c r="H46" s="145">
        <f>HLOOKUP(H45,$145:$147,2,FALSE)/100</f>
        <v>0.13159999999999999</v>
      </c>
      <c r="I46" s="145">
        <f>HLOOKUP(I45,$145:$147,2,FALSE)/100</f>
        <v>0.13780000000000001</v>
      </c>
      <c r="J46" s="145">
        <f>HLOOKUP(J45,$145:$147,2,FALSE)/100</f>
        <v>0.1502</v>
      </c>
      <c r="K46" s="145">
        <f>HLOOKUP(K45,$145:$147,2,FALSE)/100</f>
        <v>0.13980000000000001</v>
      </c>
    </row>
    <row r="47" spans="1:14" x14ac:dyDescent="0.25">
      <c r="A47" s="188" t="s">
        <v>165</v>
      </c>
      <c r="B47" s="189">
        <f>HLOOKUP(B45,$157:$159,3,FALSE)</f>
        <v>3.8</v>
      </c>
      <c r="C47" s="189">
        <f>HLOOKUP(C45,$157:$159,3,FALSE)</f>
        <v>4.38</v>
      </c>
      <c r="D47" s="189">
        <f>HLOOKUP(D45,$157:$159,3,FALSE)</f>
        <v>4.33</v>
      </c>
      <c r="E47" s="189">
        <f>HLOOKUP(E45,$157:$159,3,FALSE)</f>
        <v>3.9</v>
      </c>
      <c r="G47" s="190" t="s">
        <v>166</v>
      </c>
      <c r="H47" s="145">
        <f>HLOOKUP(H45,$145:$147,3,FALSE)/100</f>
        <v>4.41E-2</v>
      </c>
      <c r="I47" s="145">
        <f>HLOOKUP(I45,$145:$147,3,FALSE)/100</f>
        <v>4.8899999999999999E-2</v>
      </c>
      <c r="J47" s="145">
        <f>HLOOKUP(J45,$145:$147,3,FALSE)/100</f>
        <v>5.4400000000000004E-2</v>
      </c>
      <c r="K47" s="145">
        <f>HLOOKUP(K45,$145:$147,3,FALSE)/100</f>
        <v>4.1100000000000005E-2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1.86</v>
      </c>
      <c r="C49" s="152">
        <f>HLOOKUP(C48,$81:$82,2,FALSE)</f>
        <v>1.1599999999999999</v>
      </c>
      <c r="D49" s="152">
        <f>HLOOKUP(D48,$81:$82,2,FALSE)</f>
        <v>1.56</v>
      </c>
      <c r="E49" s="152">
        <f>HLOOKUP(E48,$81:$82,2,FALSE)</f>
        <v>1.54</v>
      </c>
      <c r="G49" s="86" t="s">
        <v>164</v>
      </c>
      <c r="H49" s="145">
        <f>HLOOKUP(H48,$145:$147,2,FALSE)/100</f>
        <v>0.1527</v>
      </c>
      <c r="I49" s="145">
        <f>HLOOKUP(I48,$145:$147,2,FALSE)/100</f>
        <v>0.1273</v>
      </c>
      <c r="J49" s="145">
        <f>HLOOKUP(J48,$145:$147,2,FALSE)/100</f>
        <v>0.13320000000000001</v>
      </c>
      <c r="K49" s="145">
        <f>HLOOKUP(K48,$145:$147,2,FALSE)/100</f>
        <v>0.1323</v>
      </c>
    </row>
    <row r="50" spans="1:15" x14ac:dyDescent="0.25">
      <c r="A50" s="188" t="s">
        <v>165</v>
      </c>
      <c r="B50" s="189">
        <f>HLOOKUP(B48,$157:$159,3,FALSE)</f>
        <v>5.17</v>
      </c>
      <c r="C50" s="189">
        <f>HLOOKUP(C48,$157:$159,3,FALSE)</f>
        <v>3.09</v>
      </c>
      <c r="D50" s="189">
        <f>HLOOKUP(D48,$157:$159,3,FALSE)</f>
        <v>4.0999999999999996</v>
      </c>
      <c r="E50" s="189">
        <f>HLOOKUP(E48,$157:$159,3,FALSE)</f>
        <v>4.18</v>
      </c>
      <c r="G50" s="190" t="s">
        <v>166</v>
      </c>
      <c r="H50" s="145">
        <f>HLOOKUP(H48,$145:$147,3,FALSE)/100</f>
        <v>6.59E-2</v>
      </c>
      <c r="I50" s="145">
        <f>HLOOKUP(I48,$145:$147,3,FALSE)/100</f>
        <v>4.2099999999999999E-2</v>
      </c>
      <c r="J50" s="145">
        <f>HLOOKUP(J48,$145:$147,3,FALSE)/100</f>
        <v>5.2199999999999996E-2</v>
      </c>
      <c r="K50" s="145">
        <f>HLOOKUP(K48,$145:$147,3,FALSE)/100</f>
        <v>4.7300000000000002E-2</v>
      </c>
    </row>
    <row r="51" spans="1:15" x14ac:dyDescent="0.25">
      <c r="A51" s="86" t="s">
        <v>351</v>
      </c>
      <c r="B51" s="186">
        <f>(B47-B50)/B50</f>
        <v>-0.26499032882011608</v>
      </c>
      <c r="C51" s="186">
        <f>(C47-C50)/C50</f>
        <v>0.41747572815533984</v>
      </c>
      <c r="D51" s="186">
        <f>(D47-D50)/D50</f>
        <v>5.6097560975609868E-2</v>
      </c>
      <c r="E51" s="186">
        <f>(E47-E50)/E50</f>
        <v>-6.6985645933014315E-2</v>
      </c>
      <c r="G51" s="235" t="s">
        <v>174</v>
      </c>
      <c r="H51" s="186">
        <f>(H46-H49)/H49</f>
        <v>-0.13817943680419129</v>
      </c>
      <c r="I51" s="186">
        <f>(I46-I49)/I49</f>
        <v>8.2482325216025207E-2</v>
      </c>
      <c r="J51" s="186">
        <f>(J46-J49)/J49</f>
        <v>0.12762762762762753</v>
      </c>
      <c r="K51" s="186">
        <f>(K46-K49)/K49</f>
        <v>5.6689342403628169E-2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6.2896288891716603</v>
      </c>
      <c r="B53" s="193">
        <f>B46</f>
        <v>1.42</v>
      </c>
      <c r="C53" s="193">
        <f>E46/HLOOKUP(E45,$87:$94,5,FALSE)*HLOOKUP(E45,$87:$94,4,FALSE)*($B$25/HLOOKUP(E45,$87:$94,4,FALSE)+SUM($B$57:$D$57)/SUM($B58:$D$58)*$G$69/100/K46)</f>
        <v>1.3595653882389727</v>
      </c>
      <c r="D53" s="193">
        <f>D46/HLOOKUP(D45,$87:$94,5,FALSE)*HLOOKUP(D45,$87:$94,4,FALSE)*($B$25/HLOOKUP(D45,$87:$94,4,FALSE)+SUM($B$57:$D$57)/SUM($B58:$D$58)*$G$69/100/J46)</f>
        <v>1.6929282045581662</v>
      </c>
      <c r="E53" s="193">
        <f>C46/HLOOKUP(C45,$87:$94,5,FALSE)*HLOOKUP(C45,$87:$94,4,FALSE)*($B$25/HLOOKUP(C45,$87:$94,4,FALSE)+SUM($B$57:$D$57)/SUM($B58:$D$58)*$G$69/100/I46)</f>
        <v>1.8171352963745218</v>
      </c>
    </row>
    <row r="54" spans="1:15" x14ac:dyDescent="0.25">
      <c r="A54" s="278">
        <f>SUM(B54:E54)</f>
        <v>6.68</v>
      </c>
      <c r="B54" s="277">
        <f t="shared" ref="B54:D54" si="0">HLOOKUP(B52-10,81:82,2,FALSE)</f>
        <v>1.86</v>
      </c>
      <c r="C54" s="277">
        <f t="shared" si="0"/>
        <v>1.47</v>
      </c>
      <c r="D54" s="277">
        <f t="shared" si="0"/>
        <v>1.67</v>
      </c>
      <c r="E54" s="277">
        <f>HLOOKUP(E52-10,81:82,2,FALSE)</f>
        <v>1.68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5314084</v>
      </c>
      <c r="C57" s="196">
        <f>HLOOKUP(C56,78:79,2,FALSE)</f>
        <v>4998638</v>
      </c>
      <c r="D57" s="196">
        <f>HLOOKUP(D56,78:79,2,FALSE)</f>
        <v>5029354</v>
      </c>
      <c r="E57" s="196">
        <f>HLOOKUP(E56,78:79,2,FALSE)</f>
        <v>4618198</v>
      </c>
      <c r="F57" s="196">
        <f>HLOOKUP(F56,78:79,2,FALSE)</f>
        <v>5253773</v>
      </c>
      <c r="G57" s="196">
        <f t="shared" ref="G57:M57" si="2">HLOOKUP(G56,78:79,2,FALSE)</f>
        <v>4708180</v>
      </c>
      <c r="H57" s="196">
        <f t="shared" si="2"/>
        <v>4430147</v>
      </c>
      <c r="I57" s="196">
        <f t="shared" si="2"/>
        <v>4780926</v>
      </c>
      <c r="J57" s="196">
        <f t="shared" si="2"/>
        <v>3867069</v>
      </c>
      <c r="K57" s="196">
        <f t="shared" si="2"/>
        <v>4155909</v>
      </c>
      <c r="L57" s="196">
        <f t="shared" si="2"/>
        <v>4723769</v>
      </c>
      <c r="M57" s="196">
        <f t="shared" si="2"/>
        <v>3968924</v>
      </c>
      <c r="N57" s="197"/>
    </row>
    <row r="58" spans="1:15" x14ac:dyDescent="0.25">
      <c r="A58" s="198" t="s">
        <v>253</v>
      </c>
      <c r="B58" s="196">
        <f>HLOOKUP(B56-100,78:79,2,FALSE)</f>
        <v>4236224</v>
      </c>
      <c r="C58" s="196">
        <f>HLOOKUP(C56-100,78:79,2,FALSE)</f>
        <v>4696445</v>
      </c>
      <c r="D58" s="196">
        <f>HLOOKUP(D56-100,78:79,2,FALSE)</f>
        <v>4670304</v>
      </c>
      <c r="E58" s="196">
        <f>HLOOKUP(E56-100,78:79,2,FALSE)</f>
        <v>4644073</v>
      </c>
      <c r="F58" s="196">
        <f>HLOOKUP(F56-100,78:79,2,FALSE)</f>
        <v>4271846</v>
      </c>
      <c r="G58" s="196">
        <f t="shared" ref="G58:M58" si="3">HLOOKUP(G56-100,78:79,2,FALSE)</f>
        <v>4126023</v>
      </c>
      <c r="H58" s="196">
        <f t="shared" si="3"/>
        <v>4146381</v>
      </c>
      <c r="I58" s="196">
        <f t="shared" si="3"/>
        <v>4697871</v>
      </c>
      <c r="J58" s="196">
        <f t="shared" si="3"/>
        <v>3828125</v>
      </c>
      <c r="K58" s="196">
        <f t="shared" si="3"/>
        <v>4769512</v>
      </c>
      <c r="L58" s="196">
        <f t="shared" si="3"/>
        <v>4726568</v>
      </c>
      <c r="M58" s="196">
        <f t="shared" si="3"/>
        <v>4802740</v>
      </c>
      <c r="N58" s="197"/>
    </row>
    <row r="59" spans="1:15" x14ac:dyDescent="0.25">
      <c r="A59" s="199" t="s">
        <v>254</v>
      </c>
      <c r="B59" s="165">
        <f>IF(B57&lt;&gt;"",(B57-B58)/B58,"")</f>
        <v>0.25443885875723288</v>
      </c>
      <c r="C59" s="165">
        <f>IF(C57&lt;&gt;"",(C57-C58)/C58,"")</f>
        <v>6.434505248118523E-2</v>
      </c>
      <c r="D59" s="165">
        <f>IF(D57&lt;&gt;"",(D57-D58)/D58,"")</f>
        <v>7.6879363741632234E-2</v>
      </c>
      <c r="E59" s="165">
        <f>IF(E57&lt;&gt;"",(E57-E58)/E58,"")</f>
        <v>-5.57161784493913E-3</v>
      </c>
      <c r="F59" s="165">
        <f>IF(F57&lt;&gt;"",(F57-F58)/F58,"")</f>
        <v>0.22986011199841941</v>
      </c>
      <c r="G59" s="165">
        <f t="shared" ref="G59:M59" si="4">IF(G57&lt;&gt;"",(G57-G58)/G58,"")</f>
        <v>0.14109397839032889</v>
      </c>
      <c r="H59" s="165">
        <f t="shared" si="4"/>
        <v>6.8437029785733627E-2</v>
      </c>
      <c r="I59" s="165">
        <f t="shared" si="4"/>
        <v>1.7679284935665538E-2</v>
      </c>
      <c r="J59" s="165">
        <f t="shared" si="4"/>
        <v>1.0173126530612244E-2</v>
      </c>
      <c r="K59" s="165">
        <f t="shared" si="4"/>
        <v>-0.12865110728309312</v>
      </c>
      <c r="L59" s="165">
        <f t="shared" si="4"/>
        <v>-5.9218443487959972E-4</v>
      </c>
      <c r="M59" s="165">
        <f t="shared" si="4"/>
        <v>-0.17361256282871862</v>
      </c>
    </row>
    <row r="60" spans="1:15" x14ac:dyDescent="0.25">
      <c r="A60" s="195" t="s">
        <v>255</v>
      </c>
      <c r="B60" s="196">
        <f>SUM(B57:M57)</f>
        <v>55848971</v>
      </c>
    </row>
    <row r="61" spans="1:15" x14ac:dyDescent="0.25">
      <c r="A61" s="198" t="s">
        <v>256</v>
      </c>
      <c r="B61" s="196">
        <f>SUM(B58:M58)</f>
        <v>53616112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1.0416452987117006</v>
      </c>
      <c r="D62" s="152">
        <f>SUM(B46:E46)</f>
        <v>6.2399999999999993</v>
      </c>
      <c r="E62" s="152">
        <f>SUM(B49:E49)</f>
        <v>6.12</v>
      </c>
      <c r="G62" s="126">
        <f>SUM(B47:E47)</f>
        <v>16.41</v>
      </c>
      <c r="H62" s="126">
        <f>SUM(B50:E50)</f>
        <v>16.54</v>
      </c>
      <c r="J62" s="200">
        <f>AVERAGE(H46:K46)</f>
        <v>0.13985</v>
      </c>
      <c r="K62" s="200">
        <f>AVERAGE(H49:K49)</f>
        <v>0.136375</v>
      </c>
      <c r="M62" s="200">
        <f>AVERAGE(H47:K47)</f>
        <v>4.7125E-2</v>
      </c>
      <c r="N62" s="200">
        <f>AVERAGE(H50:K50)</f>
        <v>5.1875000000000004E-2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0.92</v>
      </c>
      <c r="C65" s="205">
        <f t="shared" si="5"/>
        <v>0.78</v>
      </c>
      <c r="D65" s="205">
        <f t="shared" si="5"/>
        <v>1.43</v>
      </c>
      <c r="E65" s="205">
        <f t="shared" si="5"/>
        <v>1.56</v>
      </c>
      <c r="F65" s="206">
        <f>IF(ISNA(HLOOKUP(F$64*10+$A65,$81:$82,2,FALSE)),(HLOOKUP(E$64*10+$A65,$87:$94,4,FALSE)*$G65+$B$25)/HLOOKUP(E$64*10+$A65,$87:$94,5,FALSE)*$E65,HLOOKUP(F$64*10+$A65,$81:$82,2,FALSE))</f>
        <v>1.67</v>
      </c>
      <c r="G65" s="101">
        <f>MIN(130%,SUM($B$57:$D$57)/SUM($B$58:$D$58)*$G$69/HLOOKUP(E$64*10+$A65,$145:$146,2,FALSE))</f>
        <v>1.1690116232563601</v>
      </c>
      <c r="H65" s="204">
        <v>1</v>
      </c>
      <c r="I65" s="208">
        <f t="shared" ref="I65:M68" si="6">IF(ISNA(HLOOKUP(I$64*10+$H65,$145:$147,3,FALSE)),"",HLOOKUP(I$64*10+$H65,$145:$147,3,FALSE)/100)</f>
        <v>3.8300000000000001E-2</v>
      </c>
      <c r="J65" s="208">
        <f t="shared" si="6"/>
        <v>3.6699999999999997E-2</v>
      </c>
      <c r="K65" s="208">
        <f t="shared" si="6"/>
        <v>5.0799999999999998E-2</v>
      </c>
      <c r="L65" s="208">
        <f t="shared" si="6"/>
        <v>5.2199999999999996E-2</v>
      </c>
      <c r="M65" s="209">
        <f t="shared" si="6"/>
        <v>5.4400000000000004E-2</v>
      </c>
      <c r="N65" s="256">
        <f t="shared" ref="N65:O68" si="7">HLOOKUP(E$64*10+$A65,$87:$94,8,FALSE)</f>
        <v>-34024</v>
      </c>
      <c r="O65" s="256">
        <f t="shared" si="7"/>
        <v>35743</v>
      </c>
      <c r="P65" s="210"/>
    </row>
    <row r="66" spans="1:71" x14ac:dyDescent="0.25">
      <c r="A66" s="204">
        <v>2</v>
      </c>
      <c r="B66" s="205">
        <f t="shared" si="5"/>
        <v>1.24</v>
      </c>
      <c r="C66" s="205">
        <f t="shared" si="5"/>
        <v>1.18</v>
      </c>
      <c r="D66" s="205">
        <f t="shared" si="5"/>
        <v>1.22</v>
      </c>
      <c r="E66" s="205">
        <f t="shared" si="5"/>
        <v>1.1599999999999999</v>
      </c>
      <c r="F66" s="206">
        <f>IF(ISNA(HLOOKUP(F$64*10+$A66,$81:$82,2,FALSE)),(HLOOKUP(E$64*10+$A66,$87:$94,4,FALSE)*$G66+$B$25)/HLOOKUP(E$64*10+$A66,$87:$94,5,FALSE)*$E66,HLOOKUP(F$64*10+$A66,$81:$82,2,FALSE))</f>
        <v>1.68</v>
      </c>
      <c r="G66" s="101">
        <f>MIN(130%,SUM($B$57:$D$57)/SUM($B$58:$D$58)*$G$69/HLOOKUP(E$64*10+$A66,$145:$146,2,FALSE))</f>
        <v>1.2231920519854451</v>
      </c>
      <c r="H66" s="204">
        <v>2</v>
      </c>
      <c r="I66" s="208">
        <f t="shared" si="6"/>
        <v>4.4800000000000006E-2</v>
      </c>
      <c r="J66" s="208">
        <f t="shared" si="6"/>
        <v>4.4800000000000006E-2</v>
      </c>
      <c r="K66" s="208">
        <f t="shared" si="6"/>
        <v>3.5799999999999998E-2</v>
      </c>
      <c r="L66" s="208">
        <f t="shared" si="6"/>
        <v>4.2099999999999999E-2</v>
      </c>
      <c r="M66" s="209">
        <f t="shared" si="6"/>
        <v>4.8899999999999999E-2</v>
      </c>
      <c r="N66" s="256">
        <f t="shared" si="7"/>
        <v>-36458</v>
      </c>
      <c r="O66" s="256">
        <f t="shared" si="7"/>
        <v>50161</v>
      </c>
      <c r="P66" s="210"/>
    </row>
    <row r="67" spans="1:71" x14ac:dyDescent="0.25">
      <c r="A67" s="204">
        <v>3</v>
      </c>
      <c r="B67" s="205">
        <f t="shared" si="5"/>
        <v>1.77</v>
      </c>
      <c r="C67" s="205">
        <f t="shared" si="5"/>
        <v>1.1200000000000001</v>
      </c>
      <c r="D67" s="205">
        <f t="shared" si="5"/>
        <v>1.83</v>
      </c>
      <c r="E67" s="205">
        <f t="shared" si="5"/>
        <v>1.86</v>
      </c>
      <c r="F67" s="206">
        <f>IF(ISNA(HLOOKUP(F$64*10+$A67,$81:$82,2,FALSE)),(HLOOKUP(E$64*10+$A67,$87:$94,4,FALSE)*$G67+$B$25)/HLOOKUP(E$64*10+$A67,$87:$94,5,FALSE)*$E67,HLOOKUP(F$64*10+$A67,$81:$82,2,FALSE))</f>
        <v>1.42</v>
      </c>
      <c r="G67" s="101">
        <f>MIN(130%,SUM($B$57:$D$57)/SUM($B$58:$D$58)*$G$69/HLOOKUP(E$64*10+$A67,$145:$146,2,FALSE))</f>
        <v>1.0197272312884558</v>
      </c>
      <c r="H67" s="204">
        <v>3</v>
      </c>
      <c r="I67" s="208">
        <f t="shared" si="6"/>
        <v>6.5700000000000008E-2</v>
      </c>
      <c r="J67" s="208">
        <f t="shared" si="6"/>
        <v>4.36E-2</v>
      </c>
      <c r="K67" s="208">
        <f t="shared" si="6"/>
        <v>4.6100000000000002E-2</v>
      </c>
      <c r="L67" s="208">
        <f t="shared" si="6"/>
        <v>6.59E-2</v>
      </c>
      <c r="M67" s="209">
        <f t="shared" si="6"/>
        <v>4.41E-2</v>
      </c>
      <c r="N67" s="256">
        <f t="shared" si="7"/>
        <v>-107369</v>
      </c>
      <c r="O67" s="256">
        <f t="shared" si="7"/>
        <v>26444</v>
      </c>
      <c r="P67" s="210"/>
    </row>
    <row r="68" spans="1:71" x14ac:dyDescent="0.25">
      <c r="A68" s="204">
        <v>4</v>
      </c>
      <c r="B68" s="205">
        <f>HLOOKUP(B$64*10+$A68,$81:$82,2,FALSE)</f>
        <v>0.98</v>
      </c>
      <c r="C68" s="205">
        <f>HLOOKUP(C$64*10+$A68,$81:$82,2,FALSE)</f>
        <v>1.24</v>
      </c>
      <c r="D68" s="205">
        <f>HLOOKUP(D$64*10+$A68,$81:$82,2,FALSE)</f>
        <v>1.54</v>
      </c>
      <c r="E68" s="206">
        <f>IF(ISNA(HLOOKUP(E$64*10+$A68,$81:$82,2,FALSE)),D68*(1-$N68)*#REF!*(1+$B$25)/(1+$E$4),HLOOKUP(E$64*10+$A68,$81:$82,2,FALSE))</f>
        <v>1.47</v>
      </c>
      <c r="F68" s="206">
        <f>IF(ISNA(HLOOKUP(F$64*10+$A68,$81:$82,2,FALSE)),(HLOOKUP(E$64*10+$A68,$87:$94,4,FALSE)*$G68+$B$25)/HLOOKUP(E$64*10+$A68,$87:$94,5,FALSE)*$E68,HLOOKUP(F$64*10+$A68,$81:$82,2,FALSE))</f>
        <v>1.3595653882389727</v>
      </c>
      <c r="G68" s="101">
        <f>MIN(130%,SUM($B$57:$D$57)/SUM($B$58:$D$58)*$G$69/HLOOKUP(E$64*10+$A68,$145:$146,2,FALSE))</f>
        <v>1.1138222333172187</v>
      </c>
      <c r="H68" s="204">
        <v>4</v>
      </c>
      <c r="I68" s="208">
        <f t="shared" si="6"/>
        <v>4.1599999999999998E-2</v>
      </c>
      <c r="J68" s="208">
        <f t="shared" si="6"/>
        <v>4.3099999999999999E-2</v>
      </c>
      <c r="K68" s="208">
        <f t="shared" si="6"/>
        <v>4.7300000000000002E-2</v>
      </c>
      <c r="L68" s="208">
        <f t="shared" si="6"/>
        <v>4.1100000000000005E-2</v>
      </c>
      <c r="M68" s="209" t="str">
        <f t="shared" si="6"/>
        <v/>
      </c>
      <c r="N68" s="256">
        <f t="shared" si="7"/>
        <v>130405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4.91</v>
      </c>
      <c r="C69" s="213">
        <f>SUM(C65:C68)</f>
        <v>4.32</v>
      </c>
      <c r="D69" s="213">
        <f>SUM(D65:D68)</f>
        <v>6.0200000000000005</v>
      </c>
      <c r="E69" s="213">
        <f>SUM(E65:E68)</f>
        <v>6.05</v>
      </c>
      <c r="F69" s="213">
        <f>SUM(F65:F68)</f>
        <v>6.129565388238972</v>
      </c>
      <c r="G69" s="257">
        <f>_xlfn.FORECAST.ETS(23,B146:W146,{1,2,3,4,5,6,7,8,9,10,11,12,13,14,15,16,17,18,19,20,21,22})</f>
        <v>13.806155494032314</v>
      </c>
      <c r="H69" s="214" t="s">
        <v>19</v>
      </c>
      <c r="I69" s="215">
        <f>HLOOKUP(I64,151:155,3,FALSE)/100</f>
        <v>4.8600000000000004E-2</v>
      </c>
      <c r="J69" s="215">
        <f>HLOOKUP(J64,151:155,3,FALSE)/100</f>
        <v>4.24E-2</v>
      </c>
      <c r="K69" s="215">
        <f>HLOOKUP(K64,151:155,3,FALSE)/100</f>
        <v>4.4999999999999998E-2</v>
      </c>
      <c r="L69" s="215">
        <f>IF(ISNA(HLOOKUP(L64,151:155,3,FALSE)/100),AVERAGE(L65:L68),HLOOKUP(L64,151:155,3,FALSE)/100)</f>
        <v>5.0700000000000002E-2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2.89</v>
      </c>
      <c r="C72" s="205">
        <f t="shared" si="8"/>
        <v>2.31</v>
      </c>
      <c r="D72" s="205">
        <f t="shared" si="8"/>
        <v>4.03</v>
      </c>
      <c r="E72" s="205">
        <f t="shared" si="8"/>
        <v>4.0999999999999996</v>
      </c>
      <c r="F72" s="205">
        <f t="shared" si="8"/>
        <v>4.33</v>
      </c>
    </row>
    <row r="73" spans="1:71" s="135" customFormat="1" x14ac:dyDescent="0.25">
      <c r="A73" s="204">
        <v>2</v>
      </c>
      <c r="B73" s="205">
        <f t="shared" si="8"/>
        <v>3.88</v>
      </c>
      <c r="C73" s="205">
        <f t="shared" si="8"/>
        <v>3.53</v>
      </c>
      <c r="D73" s="205">
        <f t="shared" si="8"/>
        <v>3.47</v>
      </c>
      <c r="E73" s="205">
        <f t="shared" si="8"/>
        <v>3.09</v>
      </c>
      <c r="F73" s="205">
        <f t="shared" si="8"/>
        <v>4.38</v>
      </c>
    </row>
    <row r="74" spans="1:71" s="135" customFormat="1" x14ac:dyDescent="0.25">
      <c r="A74" s="204">
        <v>3</v>
      </c>
      <c r="B74" s="205">
        <f t="shared" si="8"/>
        <v>5.63</v>
      </c>
      <c r="C74" s="205">
        <f t="shared" si="8"/>
        <v>3.46</v>
      </c>
      <c r="D74" s="205">
        <f t="shared" si="8"/>
        <v>5.22</v>
      </c>
      <c r="E74" s="205">
        <f t="shared" si="8"/>
        <v>5.17</v>
      </c>
      <c r="F74" s="205">
        <f t="shared" si="8"/>
        <v>3.8</v>
      </c>
    </row>
    <row r="75" spans="1:71" s="135" customFormat="1" x14ac:dyDescent="0.25">
      <c r="A75" s="204">
        <v>4</v>
      </c>
      <c r="B75" s="205">
        <f t="shared" si="8"/>
        <v>2.99</v>
      </c>
      <c r="C75" s="205">
        <f t="shared" si="8"/>
        <v>3.64</v>
      </c>
      <c r="D75" s="205">
        <f t="shared" si="8"/>
        <v>4.18</v>
      </c>
      <c r="E75" s="205">
        <f t="shared" si="8"/>
        <v>3.9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15.389999999999999</v>
      </c>
      <c r="C76" s="213">
        <f>SUM(C72:C75)</f>
        <v>12.940000000000001</v>
      </c>
      <c r="D76" s="213">
        <f>SUM(D72:D75)</f>
        <v>16.899999999999999</v>
      </c>
      <c r="E76" s="213">
        <f>AVERAGE(E72:E75)*4</f>
        <v>16.259999999999998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2475585</v>
      </c>
      <c r="C79" s="270">
        <v>2546122</v>
      </c>
      <c r="D79" s="270">
        <v>3131840</v>
      </c>
      <c r="E79" s="270">
        <v>2787458</v>
      </c>
      <c r="F79" s="270">
        <v>2681552</v>
      </c>
      <c r="G79" s="270">
        <v>2947003</v>
      </c>
      <c r="H79" s="270">
        <v>3269771</v>
      </c>
      <c r="I79" s="270">
        <v>3509703</v>
      </c>
      <c r="J79" s="270">
        <v>2864438</v>
      </c>
      <c r="K79" s="270">
        <v>2647016</v>
      </c>
      <c r="L79" s="270">
        <v>2771263</v>
      </c>
      <c r="M79" s="270">
        <v>2802767</v>
      </c>
      <c r="N79" s="270">
        <v>2798444</v>
      </c>
      <c r="O79" s="270">
        <v>2266804</v>
      </c>
      <c r="P79" s="270">
        <v>2984412</v>
      </c>
      <c r="Q79" s="270">
        <v>2741410</v>
      </c>
      <c r="R79" s="270">
        <v>2927733</v>
      </c>
      <c r="S79" s="270">
        <v>2917692</v>
      </c>
      <c r="T79" s="270">
        <v>3376532</v>
      </c>
      <c r="U79" s="270">
        <v>3656568</v>
      </c>
      <c r="V79" s="270">
        <v>3669082</v>
      </c>
      <c r="W79" s="270">
        <v>3646427</v>
      </c>
      <c r="X79" s="270">
        <v>2996795</v>
      </c>
      <c r="Y79" s="270">
        <v>2671761</v>
      </c>
      <c r="Z79" s="270">
        <v>3043676</v>
      </c>
      <c r="AA79" s="270">
        <v>2377373</v>
      </c>
      <c r="AB79" s="270">
        <v>2796352</v>
      </c>
      <c r="AC79" s="270">
        <v>3239805</v>
      </c>
      <c r="AD79" s="270">
        <v>3335728</v>
      </c>
      <c r="AE79" s="270">
        <v>3427219</v>
      </c>
      <c r="AF79" s="270">
        <v>3238614</v>
      </c>
      <c r="AG79" s="270">
        <v>3759748</v>
      </c>
      <c r="AH79" s="270">
        <v>3844347</v>
      </c>
      <c r="AI79" s="270">
        <v>3938856</v>
      </c>
      <c r="AJ79" s="270">
        <v>3661465</v>
      </c>
      <c r="AK79" s="270">
        <v>3663735</v>
      </c>
      <c r="AL79" s="270">
        <v>4247984</v>
      </c>
      <c r="AM79" s="270">
        <v>3321962</v>
      </c>
      <c r="AN79" s="270">
        <v>3942157</v>
      </c>
      <c r="AO79" s="270">
        <v>4171195</v>
      </c>
      <c r="AP79" s="270">
        <v>4159360</v>
      </c>
      <c r="AQ79" s="270">
        <v>4257397</v>
      </c>
      <c r="AR79" s="270">
        <v>4446062</v>
      </c>
      <c r="AS79" s="270">
        <v>4409744</v>
      </c>
      <c r="AT79" s="270">
        <v>4862849</v>
      </c>
      <c r="AU79" s="270">
        <v>4835201</v>
      </c>
      <c r="AV79" s="270">
        <v>4802740</v>
      </c>
      <c r="AW79" s="270">
        <v>4726568</v>
      </c>
      <c r="AX79" s="270">
        <v>4769512</v>
      </c>
      <c r="AY79" s="270">
        <v>3828125</v>
      </c>
      <c r="AZ79" s="270">
        <v>4697871</v>
      </c>
      <c r="BA79" s="270">
        <v>4146381</v>
      </c>
      <c r="BB79" s="270">
        <v>4126023</v>
      </c>
      <c r="BC79" s="270">
        <v>4271846</v>
      </c>
      <c r="BD79" s="270">
        <v>4644073</v>
      </c>
      <c r="BE79" s="270">
        <v>4670304</v>
      </c>
      <c r="BF79" s="270">
        <v>4696445</v>
      </c>
      <c r="BG79" s="270">
        <v>4236224</v>
      </c>
      <c r="BH79" s="270">
        <v>3968924</v>
      </c>
      <c r="BI79" s="270">
        <v>4723769</v>
      </c>
      <c r="BJ79" s="270">
        <v>4155909</v>
      </c>
      <c r="BK79" s="270">
        <v>3867069</v>
      </c>
      <c r="BL79" s="270">
        <v>4780926</v>
      </c>
      <c r="BM79" s="270">
        <v>4430147</v>
      </c>
      <c r="BN79" s="270">
        <v>4708180</v>
      </c>
      <c r="BO79" s="270">
        <v>5253773</v>
      </c>
      <c r="BP79" s="270">
        <v>4618198</v>
      </c>
      <c r="BQ79" s="270">
        <v>5029354</v>
      </c>
      <c r="BR79" s="270">
        <v>4998638</v>
      </c>
      <c r="BS79" s="270">
        <v>5314084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0.93</v>
      </c>
      <c r="C82" s="72">
        <v>0.96</v>
      </c>
      <c r="D82" s="72">
        <v>1.1399999999999999</v>
      </c>
      <c r="E82" s="72">
        <v>0.75</v>
      </c>
      <c r="F82" s="72">
        <v>0.92</v>
      </c>
      <c r="G82" s="72">
        <v>1.24</v>
      </c>
      <c r="H82" s="72">
        <v>1.77</v>
      </c>
      <c r="I82" s="72">
        <v>0.98</v>
      </c>
      <c r="J82" s="72">
        <v>0.78</v>
      </c>
      <c r="K82" s="72">
        <v>1.18</v>
      </c>
      <c r="L82" s="72">
        <v>1.1200000000000001</v>
      </c>
      <c r="M82" s="72">
        <v>1.24</v>
      </c>
      <c r="N82" s="72">
        <v>1.43</v>
      </c>
      <c r="O82" s="72">
        <v>1.22</v>
      </c>
      <c r="P82" s="72">
        <v>1.83</v>
      </c>
      <c r="Q82" s="72">
        <v>1.54</v>
      </c>
      <c r="R82" s="72">
        <v>1.56</v>
      </c>
      <c r="S82" s="72">
        <v>1.1599999999999999</v>
      </c>
      <c r="T82" s="72">
        <v>1.86</v>
      </c>
      <c r="U82" s="72">
        <v>1.47</v>
      </c>
      <c r="V82" s="72">
        <v>1.67</v>
      </c>
      <c r="W82" s="72">
        <v>1.68</v>
      </c>
      <c r="X82" s="72">
        <v>1.42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33.29</v>
      </c>
      <c r="C85" s="72">
        <v>30.85</v>
      </c>
      <c r="D85" s="72">
        <v>30.43</v>
      </c>
      <c r="E85" s="72">
        <v>31.21</v>
      </c>
      <c r="F85" s="72">
        <v>32.299999999999997</v>
      </c>
      <c r="G85" s="72">
        <v>31.47</v>
      </c>
      <c r="H85" s="72">
        <v>32.33</v>
      </c>
      <c r="I85" s="72">
        <v>32.75</v>
      </c>
      <c r="J85" s="72">
        <v>33.520000000000003</v>
      </c>
      <c r="K85" s="72">
        <v>31.69</v>
      </c>
      <c r="L85" s="72">
        <v>32.450000000000003</v>
      </c>
      <c r="M85" s="72">
        <v>34.18</v>
      </c>
      <c r="N85" s="72">
        <v>35.520000000000003</v>
      </c>
      <c r="O85" s="72">
        <v>33.99</v>
      </c>
      <c r="P85" s="72">
        <v>35.76</v>
      </c>
      <c r="Q85" s="72">
        <v>36.96</v>
      </c>
      <c r="R85" s="72">
        <v>38.450000000000003</v>
      </c>
      <c r="S85" s="72">
        <v>35.83</v>
      </c>
      <c r="T85" s="72">
        <v>36.44</v>
      </c>
      <c r="U85" s="72">
        <v>37.29</v>
      </c>
      <c r="V85" s="72">
        <v>38.4</v>
      </c>
      <c r="W85" s="72">
        <v>36.83</v>
      </c>
      <c r="X85" s="72">
        <v>37.56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8153548</v>
      </c>
      <c r="C88" s="273">
        <v>8416013</v>
      </c>
      <c r="D88" s="273">
        <v>9643912</v>
      </c>
      <c r="E88" s="273">
        <v>8221046</v>
      </c>
      <c r="F88" s="273">
        <v>8049661</v>
      </c>
      <c r="G88" s="273">
        <v>8586836</v>
      </c>
      <c r="H88" s="273">
        <v>10702181</v>
      </c>
      <c r="I88" s="273">
        <v>9314983</v>
      </c>
      <c r="J88" s="273">
        <v>8217401</v>
      </c>
      <c r="K88" s="273">
        <v>10002751</v>
      </c>
      <c r="L88" s="273">
        <v>10842709</v>
      </c>
      <c r="M88" s="273">
        <v>11264057</v>
      </c>
      <c r="N88" s="273">
        <v>11512103</v>
      </c>
      <c r="O88" s="273">
        <v>12587951</v>
      </c>
      <c r="P88" s="273">
        <v>13718655</v>
      </c>
      <c r="Q88" s="273">
        <v>14364509</v>
      </c>
      <c r="R88" s="273">
        <v>13295508</v>
      </c>
      <c r="S88" s="273">
        <v>12544250</v>
      </c>
      <c r="T88" s="273">
        <v>14010822</v>
      </c>
      <c r="U88" s="273">
        <v>12928917</v>
      </c>
      <c r="V88" s="273">
        <v>12803904</v>
      </c>
      <c r="W88" s="273">
        <v>14392100</v>
      </c>
      <c r="X88" s="273">
        <v>14646190</v>
      </c>
    </row>
    <row r="89" spans="1:25" ht="14.25" thickBot="1" x14ac:dyDescent="0.3">
      <c r="A89" s="250" t="s">
        <v>4</v>
      </c>
      <c r="B89" s="275">
        <v>1099516</v>
      </c>
      <c r="C89" s="275">
        <v>1165370</v>
      </c>
      <c r="D89" s="275">
        <v>1274471</v>
      </c>
      <c r="E89" s="275">
        <v>1142288</v>
      </c>
      <c r="F89" s="275">
        <v>1092597</v>
      </c>
      <c r="G89" s="275">
        <v>1217352</v>
      </c>
      <c r="H89" s="275">
        <v>1610418</v>
      </c>
      <c r="I89" s="275">
        <v>1270677</v>
      </c>
      <c r="J89" s="275">
        <v>1038962</v>
      </c>
      <c r="K89" s="275">
        <v>1400990</v>
      </c>
      <c r="L89" s="275">
        <v>1430987</v>
      </c>
      <c r="M89" s="275">
        <v>1549315</v>
      </c>
      <c r="N89" s="275">
        <v>1618982</v>
      </c>
      <c r="O89" s="275">
        <v>1565191</v>
      </c>
      <c r="P89" s="275">
        <v>1846652</v>
      </c>
      <c r="Q89" s="275">
        <v>1900074</v>
      </c>
      <c r="R89" s="275">
        <v>1770370</v>
      </c>
      <c r="S89" s="275">
        <v>1597073</v>
      </c>
      <c r="T89" s="275">
        <v>2140104</v>
      </c>
      <c r="U89" s="275">
        <v>1808084</v>
      </c>
      <c r="V89" s="275">
        <v>1922615</v>
      </c>
      <c r="W89" s="275">
        <v>1983365</v>
      </c>
      <c r="X89" s="275">
        <v>1927308</v>
      </c>
    </row>
    <row r="90" spans="1:25" ht="14.25" thickBot="1" x14ac:dyDescent="0.3">
      <c r="A90" s="251" t="s">
        <v>5</v>
      </c>
      <c r="B90" s="273">
        <v>399679</v>
      </c>
      <c r="C90" s="273">
        <v>360499</v>
      </c>
      <c r="D90" s="273">
        <v>423173</v>
      </c>
      <c r="E90" s="273">
        <v>301318</v>
      </c>
      <c r="F90" s="273">
        <v>307946</v>
      </c>
      <c r="G90" s="273">
        <v>384285</v>
      </c>
      <c r="H90" s="273">
        <v>703504</v>
      </c>
      <c r="I90" s="273">
        <v>387401</v>
      </c>
      <c r="J90" s="273">
        <v>301962</v>
      </c>
      <c r="K90" s="273">
        <v>447828</v>
      </c>
      <c r="L90" s="273">
        <v>473037</v>
      </c>
      <c r="M90" s="273">
        <v>485800</v>
      </c>
      <c r="N90" s="273">
        <v>584769</v>
      </c>
      <c r="O90" s="273">
        <v>450770</v>
      </c>
      <c r="P90" s="273">
        <v>632097</v>
      </c>
      <c r="Q90" s="273">
        <v>680063</v>
      </c>
      <c r="R90" s="273">
        <v>694060</v>
      </c>
      <c r="S90" s="273">
        <v>528398</v>
      </c>
      <c r="T90" s="273">
        <v>923572</v>
      </c>
      <c r="U90" s="273">
        <v>531159</v>
      </c>
      <c r="V90" s="273">
        <v>695969</v>
      </c>
      <c r="W90" s="273">
        <v>703241</v>
      </c>
      <c r="X90" s="273">
        <v>646593</v>
      </c>
    </row>
    <row r="91" spans="1:25" ht="14.25" thickBot="1" x14ac:dyDescent="0.3">
      <c r="A91" s="250" t="s">
        <v>6</v>
      </c>
      <c r="B91" s="275">
        <v>332054</v>
      </c>
      <c r="C91" s="275">
        <v>361827</v>
      </c>
      <c r="D91" s="275">
        <v>441878</v>
      </c>
      <c r="E91" s="275">
        <v>299226</v>
      </c>
      <c r="F91" s="275">
        <v>358433</v>
      </c>
      <c r="G91" s="275">
        <v>476096</v>
      </c>
      <c r="H91" s="275">
        <v>707741</v>
      </c>
      <c r="I91" s="275">
        <v>417833</v>
      </c>
      <c r="J91" s="275">
        <v>312164</v>
      </c>
      <c r="K91" s="275">
        <v>460075</v>
      </c>
      <c r="L91" s="275">
        <v>479545</v>
      </c>
      <c r="M91" s="275">
        <v>528405</v>
      </c>
      <c r="N91" s="275">
        <v>585464</v>
      </c>
      <c r="O91" s="275">
        <v>507197</v>
      </c>
      <c r="P91" s="275">
        <v>789335</v>
      </c>
      <c r="Q91" s="275">
        <v>667635</v>
      </c>
      <c r="R91" s="275">
        <v>660036</v>
      </c>
      <c r="S91" s="275">
        <v>491940</v>
      </c>
      <c r="T91" s="275">
        <v>816203</v>
      </c>
      <c r="U91" s="275">
        <v>661564</v>
      </c>
      <c r="V91" s="275">
        <v>731712</v>
      </c>
      <c r="W91" s="275">
        <v>753402</v>
      </c>
      <c r="X91" s="275">
        <v>673037</v>
      </c>
    </row>
    <row r="92" spans="1:25" ht="14.25" thickBot="1" x14ac:dyDescent="0.3">
      <c r="A92" s="251" t="s">
        <v>7</v>
      </c>
      <c r="B92" s="273">
        <v>266716</v>
      </c>
      <c r="C92" s="273">
        <v>289759</v>
      </c>
      <c r="D92" s="273">
        <v>345212</v>
      </c>
      <c r="E92" s="273">
        <v>226573</v>
      </c>
      <c r="F92" s="273">
        <v>279109</v>
      </c>
      <c r="G92" s="273">
        <v>376161</v>
      </c>
      <c r="H92" s="273">
        <v>554481</v>
      </c>
      <c r="I92" s="273">
        <v>308580</v>
      </c>
      <c r="J92" s="273">
        <v>246282</v>
      </c>
      <c r="K92" s="273">
        <v>370708</v>
      </c>
      <c r="L92" s="273">
        <v>361225</v>
      </c>
      <c r="M92" s="273">
        <v>398173</v>
      </c>
      <c r="N92" s="273">
        <v>461498</v>
      </c>
      <c r="O92" s="273">
        <v>396225</v>
      </c>
      <c r="P92" s="273">
        <v>605057</v>
      </c>
      <c r="Q92" s="273">
        <v>509728</v>
      </c>
      <c r="R92" s="273">
        <v>518170</v>
      </c>
      <c r="S92" s="273">
        <v>384810</v>
      </c>
      <c r="T92" s="273">
        <v>636571</v>
      </c>
      <c r="U92" s="273">
        <v>503049</v>
      </c>
      <c r="V92" s="273">
        <v>578564</v>
      </c>
      <c r="W92" s="273">
        <v>581263</v>
      </c>
      <c r="X92" s="273">
        <v>509568</v>
      </c>
    </row>
    <row r="93" spans="1:25" ht="26.25" thickBot="1" x14ac:dyDescent="0.3">
      <c r="A93" s="252" t="s">
        <v>8</v>
      </c>
      <c r="B93" s="276">
        <v>266716</v>
      </c>
      <c r="C93" s="276">
        <v>289759</v>
      </c>
      <c r="D93" s="276">
        <v>345212</v>
      </c>
      <c r="E93" s="276">
        <v>226573</v>
      </c>
      <c r="F93" s="276">
        <v>279109</v>
      </c>
      <c r="G93" s="276">
        <v>376161</v>
      </c>
      <c r="H93" s="276">
        <v>554481</v>
      </c>
      <c r="I93" s="276">
        <v>308580</v>
      </c>
      <c r="J93" s="276">
        <v>246282</v>
      </c>
      <c r="K93" s="276">
        <v>370708</v>
      </c>
      <c r="L93" s="276">
        <v>361225</v>
      </c>
      <c r="M93" s="276">
        <v>398173</v>
      </c>
      <c r="N93" s="276">
        <v>461498</v>
      </c>
      <c r="O93" s="276">
        <v>396225</v>
      </c>
      <c r="P93" s="276">
        <v>605057</v>
      </c>
      <c r="Q93" s="276">
        <v>509728</v>
      </c>
      <c r="R93" s="276">
        <v>518170</v>
      </c>
      <c r="S93" s="276">
        <v>384810</v>
      </c>
      <c r="T93" s="276">
        <v>636571</v>
      </c>
      <c r="U93" s="276">
        <v>503049</v>
      </c>
      <c r="V93" s="276">
        <v>578564</v>
      </c>
      <c r="W93" s="276">
        <v>581263</v>
      </c>
      <c r="X93" s="276">
        <v>509568</v>
      </c>
    </row>
    <row r="94" spans="1:25" x14ac:dyDescent="0.25">
      <c r="A94" s="233" t="s">
        <v>365</v>
      </c>
      <c r="B94" s="253">
        <f>IF(B91="","",B91-B90)</f>
        <v>-67625</v>
      </c>
      <c r="C94" s="253">
        <f>IF(C91="","",C91-C90)</f>
        <v>1328</v>
      </c>
      <c r="D94" s="253">
        <f t="shared" ref="D94:Y94" si="9">IF(D91="","",D91-D90)</f>
        <v>18705</v>
      </c>
      <c r="E94" s="253">
        <f t="shared" si="9"/>
        <v>-2092</v>
      </c>
      <c r="F94" s="253">
        <f t="shared" si="9"/>
        <v>50487</v>
      </c>
      <c r="G94" s="253">
        <f t="shared" si="9"/>
        <v>91811</v>
      </c>
      <c r="H94" s="253">
        <f t="shared" si="9"/>
        <v>4237</v>
      </c>
      <c r="I94" s="253">
        <f t="shared" si="9"/>
        <v>30432</v>
      </c>
      <c r="J94" s="253">
        <f t="shared" si="9"/>
        <v>10202</v>
      </c>
      <c r="K94" s="253">
        <f t="shared" si="9"/>
        <v>12247</v>
      </c>
      <c r="L94" s="253">
        <f t="shared" si="9"/>
        <v>6508</v>
      </c>
      <c r="M94" s="253">
        <f t="shared" si="9"/>
        <v>42605</v>
      </c>
      <c r="N94" s="253">
        <f t="shared" si="9"/>
        <v>695</v>
      </c>
      <c r="O94" s="253">
        <f t="shared" si="9"/>
        <v>56427</v>
      </c>
      <c r="P94" s="253">
        <f t="shared" si="9"/>
        <v>157238</v>
      </c>
      <c r="Q94" s="253">
        <f t="shared" si="9"/>
        <v>-12428</v>
      </c>
      <c r="R94" s="253">
        <f t="shared" si="9"/>
        <v>-34024</v>
      </c>
      <c r="S94" s="253">
        <f t="shared" si="9"/>
        <v>-36458</v>
      </c>
      <c r="T94" s="253">
        <f t="shared" si="9"/>
        <v>-107369</v>
      </c>
      <c r="U94" s="253">
        <f t="shared" si="9"/>
        <v>130405</v>
      </c>
      <c r="V94" s="253">
        <f t="shared" si="9"/>
        <v>35743</v>
      </c>
      <c r="W94" s="253">
        <f t="shared" si="9"/>
        <v>50161</v>
      </c>
      <c r="X94" s="253">
        <f t="shared" si="9"/>
        <v>26444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34434519</v>
      </c>
      <c r="C97" s="273">
        <v>36653661</v>
      </c>
      <c r="D97" s="273">
        <v>40326918</v>
      </c>
      <c r="E97" s="273">
        <v>52183218</v>
      </c>
      <c r="F97" s="273">
        <v>52779497</v>
      </c>
    </row>
    <row r="98" spans="1:24" ht="14.25" thickBot="1" x14ac:dyDescent="0.3">
      <c r="A98" s="225" t="s">
        <v>4</v>
      </c>
      <c r="B98" s="275">
        <v>4681645</v>
      </c>
      <c r="C98" s="275">
        <v>5191044</v>
      </c>
      <c r="D98" s="275">
        <v>5420254</v>
      </c>
      <c r="E98" s="275">
        <v>6930899</v>
      </c>
      <c r="F98" s="275">
        <v>7315631</v>
      </c>
    </row>
    <row r="99" spans="1:24" ht="14.25" thickBot="1" x14ac:dyDescent="0.3">
      <c r="A99" s="224" t="s">
        <v>5</v>
      </c>
      <c r="B99" s="273">
        <v>1484669</v>
      </c>
      <c r="C99" s="273">
        <v>1783136</v>
      </c>
      <c r="D99" s="273">
        <v>1708627</v>
      </c>
      <c r="E99" s="273">
        <v>2347699</v>
      </c>
      <c r="F99" s="273">
        <v>2677189</v>
      </c>
    </row>
    <row r="100" spans="1:24" ht="14.25" thickBot="1" x14ac:dyDescent="0.3">
      <c r="A100" s="225" t="s">
        <v>6</v>
      </c>
      <c r="B100" s="275">
        <v>1434985</v>
      </c>
      <c r="C100" s="275">
        <v>1960103</v>
      </c>
      <c r="D100" s="275">
        <v>1780189</v>
      </c>
      <c r="E100" s="275">
        <v>2549631</v>
      </c>
      <c r="F100" s="275">
        <v>2629743</v>
      </c>
    </row>
    <row r="101" spans="1:24" ht="14.25" thickBot="1" x14ac:dyDescent="0.3">
      <c r="A101" s="224" t="s">
        <v>7</v>
      </c>
      <c r="B101" s="273">
        <v>1128260</v>
      </c>
      <c r="C101" s="273">
        <v>1518331</v>
      </c>
      <c r="D101" s="273">
        <v>1376388</v>
      </c>
      <c r="E101" s="273">
        <v>1972508</v>
      </c>
      <c r="F101" s="273">
        <v>2042600</v>
      </c>
    </row>
    <row r="102" spans="1:24" ht="14.25" thickBot="1" x14ac:dyDescent="0.3">
      <c r="A102" s="227" t="s">
        <v>8</v>
      </c>
      <c r="B102" s="276">
        <v>1128260</v>
      </c>
      <c r="C102" s="276">
        <v>1518331</v>
      </c>
      <c r="D102" s="276">
        <v>1376388</v>
      </c>
      <c r="E102" s="276">
        <v>1972508</v>
      </c>
      <c r="F102" s="276">
        <v>2042600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4624655</v>
      </c>
      <c r="C106" s="273">
        <v>4524210</v>
      </c>
      <c r="D106" s="273">
        <v>4456737</v>
      </c>
      <c r="E106" s="273">
        <v>4643375</v>
      </c>
      <c r="F106" s="273">
        <v>4505556</v>
      </c>
      <c r="G106" s="273">
        <v>4901593</v>
      </c>
      <c r="H106" s="273">
        <v>4876824</v>
      </c>
      <c r="I106" s="273">
        <v>5408133</v>
      </c>
      <c r="J106" s="273">
        <v>5775211</v>
      </c>
      <c r="K106" s="273">
        <v>4791716</v>
      </c>
      <c r="L106" s="273">
        <v>3923721</v>
      </c>
      <c r="M106" s="273">
        <v>4230147</v>
      </c>
      <c r="N106" s="273">
        <v>4160434</v>
      </c>
      <c r="O106" s="273">
        <v>4134669</v>
      </c>
      <c r="P106" s="273">
        <v>4162764</v>
      </c>
      <c r="Q106" s="273">
        <v>3218734</v>
      </c>
      <c r="R106" s="273">
        <v>4177953</v>
      </c>
      <c r="S106" s="273">
        <v>3581440</v>
      </c>
      <c r="T106" s="273">
        <v>4421965</v>
      </c>
      <c r="U106" s="273">
        <v>4259482</v>
      </c>
      <c r="V106" s="273">
        <v>5898146</v>
      </c>
      <c r="W106" s="273">
        <v>5447649</v>
      </c>
      <c r="X106" s="273">
        <v>3463902</v>
      </c>
    </row>
    <row r="107" spans="1:24" ht="14.25" thickBot="1" x14ac:dyDescent="0.3">
      <c r="A107" s="225" t="s">
        <v>22</v>
      </c>
      <c r="B107" s="275">
        <v>1171113</v>
      </c>
      <c r="C107" s="275">
        <v>2023835</v>
      </c>
      <c r="D107" s="275">
        <v>1600482</v>
      </c>
      <c r="E107" s="275">
        <v>1386090</v>
      </c>
      <c r="F107" s="275">
        <v>1490385</v>
      </c>
      <c r="G107" s="275">
        <v>2287191</v>
      </c>
      <c r="H107" s="275">
        <v>2423437</v>
      </c>
      <c r="I107" s="275">
        <v>2460802</v>
      </c>
      <c r="J107" s="275">
        <v>2334164</v>
      </c>
      <c r="K107" s="275">
        <v>1378691</v>
      </c>
      <c r="L107" s="275">
        <v>1154478</v>
      </c>
      <c r="M107" s="275">
        <v>1219611</v>
      </c>
      <c r="N107" s="275">
        <v>961378</v>
      </c>
      <c r="O107" s="275">
        <v>886479</v>
      </c>
      <c r="P107" s="275">
        <v>654568</v>
      </c>
      <c r="Q107" s="275">
        <v>739888</v>
      </c>
      <c r="R107" s="275">
        <v>698667</v>
      </c>
      <c r="S107" s="275">
        <v>882375</v>
      </c>
      <c r="T107" s="275">
        <v>1017505</v>
      </c>
      <c r="U107" s="275">
        <v>1891626</v>
      </c>
      <c r="V107" s="275">
        <v>2126232</v>
      </c>
      <c r="W107" s="275">
        <v>2587970</v>
      </c>
      <c r="X107" s="275">
        <v>2469248</v>
      </c>
    </row>
    <row r="108" spans="1:24" ht="14.25" thickBot="1" x14ac:dyDescent="0.3">
      <c r="A108" s="224" t="s">
        <v>263</v>
      </c>
      <c r="B108" s="273">
        <v>5602718</v>
      </c>
      <c r="C108" s="273">
        <v>5816202</v>
      </c>
      <c r="D108" s="273">
        <v>6050646</v>
      </c>
      <c r="E108" s="273">
        <v>5482854</v>
      </c>
      <c r="F108" s="273">
        <v>5870193</v>
      </c>
      <c r="G108" s="273">
        <v>5906624</v>
      </c>
      <c r="H108" s="273">
        <v>6683509</v>
      </c>
      <c r="I108" s="273">
        <v>5529661</v>
      </c>
      <c r="J108" s="273">
        <v>5476868</v>
      </c>
      <c r="K108" s="273">
        <v>7092593</v>
      </c>
      <c r="L108" s="273">
        <v>7687602</v>
      </c>
      <c r="M108" s="273">
        <v>7510647</v>
      </c>
      <c r="N108" s="273">
        <v>7519075</v>
      </c>
      <c r="O108" s="273">
        <v>8516247</v>
      </c>
      <c r="P108" s="273">
        <v>9475680</v>
      </c>
      <c r="Q108" s="273">
        <v>9760012</v>
      </c>
      <c r="R108" s="273">
        <v>8490976</v>
      </c>
      <c r="S108" s="273">
        <v>8996338</v>
      </c>
      <c r="T108" s="273">
        <v>9492981</v>
      </c>
      <c r="U108" s="273">
        <v>9814054</v>
      </c>
      <c r="V108" s="273">
        <v>8417313</v>
      </c>
      <c r="W108" s="273">
        <v>9971735</v>
      </c>
      <c r="X108" s="273">
        <v>9841267</v>
      </c>
    </row>
    <row r="109" spans="1:24" ht="14.25" thickBot="1" x14ac:dyDescent="0.3">
      <c r="A109" s="225" t="s">
        <v>264</v>
      </c>
      <c r="B109" s="275">
        <v>3644731</v>
      </c>
      <c r="C109" s="275">
        <v>4135819</v>
      </c>
      <c r="D109" s="275">
        <v>4146205</v>
      </c>
      <c r="E109" s="275">
        <v>3336250</v>
      </c>
      <c r="F109" s="275">
        <v>3184052</v>
      </c>
      <c r="G109" s="275">
        <v>3376523</v>
      </c>
      <c r="H109" s="275">
        <v>3704880</v>
      </c>
      <c r="I109" s="275">
        <v>3138831</v>
      </c>
      <c r="J109" s="275">
        <v>2790993</v>
      </c>
      <c r="K109" s="275">
        <v>2869706</v>
      </c>
      <c r="L109" s="275">
        <v>3807061</v>
      </c>
      <c r="M109" s="275">
        <v>4467936</v>
      </c>
      <c r="N109" s="275">
        <v>5442765</v>
      </c>
      <c r="O109" s="275">
        <v>4631299</v>
      </c>
      <c r="P109" s="275">
        <v>6389430</v>
      </c>
      <c r="Q109" s="275">
        <v>6588521</v>
      </c>
      <c r="R109" s="275">
        <v>7776782</v>
      </c>
      <c r="S109" s="275">
        <v>6224103</v>
      </c>
      <c r="T109" s="275">
        <v>6036732</v>
      </c>
      <c r="U109" s="275">
        <v>6170721</v>
      </c>
      <c r="V109" s="275">
        <v>7001307</v>
      </c>
      <c r="W109" s="275">
        <v>8578764</v>
      </c>
      <c r="X109" s="275">
        <v>9093703</v>
      </c>
    </row>
    <row r="110" spans="1:24" ht="14.25" thickBot="1" x14ac:dyDescent="0.3">
      <c r="A110" s="224" t="s">
        <v>23</v>
      </c>
      <c r="B110" s="273">
        <v>325244</v>
      </c>
      <c r="C110" s="273">
        <v>403049</v>
      </c>
      <c r="D110" s="273">
        <v>367383</v>
      </c>
      <c r="E110" s="273">
        <v>457315</v>
      </c>
      <c r="F110" s="273">
        <v>335129</v>
      </c>
      <c r="G110" s="273">
        <v>188641</v>
      </c>
      <c r="H110" s="273">
        <v>231447</v>
      </c>
      <c r="I110" s="273">
        <v>260011</v>
      </c>
      <c r="J110" s="273">
        <v>198987</v>
      </c>
      <c r="K110" s="273">
        <v>219273</v>
      </c>
      <c r="L110" s="273">
        <v>266228</v>
      </c>
      <c r="M110" s="273">
        <v>393267</v>
      </c>
      <c r="N110" s="273">
        <v>394222</v>
      </c>
      <c r="O110" s="273">
        <v>300578</v>
      </c>
      <c r="P110" s="273">
        <v>310295</v>
      </c>
      <c r="Q110" s="273">
        <v>314528</v>
      </c>
      <c r="R110" s="273">
        <v>360688</v>
      </c>
      <c r="S110" s="273">
        <v>308615</v>
      </c>
      <c r="T110" s="273">
        <v>307135</v>
      </c>
      <c r="U110" s="273">
        <v>582520</v>
      </c>
      <c r="V110" s="273">
        <v>356998</v>
      </c>
      <c r="W110" s="273">
        <v>359345</v>
      </c>
      <c r="X110" s="273">
        <v>340510</v>
      </c>
    </row>
    <row r="111" spans="1:24" ht="14.25" thickBot="1" x14ac:dyDescent="0.3">
      <c r="A111" s="225" t="s">
        <v>24</v>
      </c>
      <c r="B111" s="275">
        <v>15368461</v>
      </c>
      <c r="C111" s="275">
        <v>16903115</v>
      </c>
      <c r="D111" s="275">
        <v>16621453</v>
      </c>
      <c r="E111" s="275">
        <v>15305884</v>
      </c>
      <c r="F111" s="275">
        <v>15385315</v>
      </c>
      <c r="G111" s="275">
        <v>16660572</v>
      </c>
      <c r="H111" s="275">
        <v>17920097</v>
      </c>
      <c r="I111" s="275">
        <v>16797438</v>
      </c>
      <c r="J111" s="275">
        <v>16576223</v>
      </c>
      <c r="K111" s="275">
        <v>16351979</v>
      </c>
      <c r="L111" s="275">
        <v>16839090</v>
      </c>
      <c r="M111" s="275">
        <v>17821608</v>
      </c>
      <c r="N111" s="275">
        <v>18477874</v>
      </c>
      <c r="O111" s="275">
        <v>18469272</v>
      </c>
      <c r="P111" s="275">
        <v>20992737</v>
      </c>
      <c r="Q111" s="275">
        <v>20621683</v>
      </c>
      <c r="R111" s="275">
        <v>21505066</v>
      </c>
      <c r="S111" s="275">
        <v>19992871</v>
      </c>
      <c r="T111" s="275">
        <v>21276318</v>
      </c>
      <c r="U111" s="275">
        <v>22718403</v>
      </c>
      <c r="V111" s="275">
        <v>23799996</v>
      </c>
      <c r="W111" s="275">
        <v>26945463</v>
      </c>
      <c r="X111" s="275">
        <v>25208630</v>
      </c>
    </row>
    <row r="112" spans="1:24" ht="14.25" thickBot="1" x14ac:dyDescent="0.3">
      <c r="A112" s="224" t="s">
        <v>25</v>
      </c>
      <c r="B112" s="273">
        <v>185084</v>
      </c>
      <c r="C112" s="273">
        <v>195515</v>
      </c>
      <c r="D112" s="273">
        <v>194875</v>
      </c>
      <c r="E112" s="273">
        <v>192855</v>
      </c>
      <c r="F112" s="273">
        <v>198424</v>
      </c>
      <c r="G112" s="273">
        <v>202945</v>
      </c>
      <c r="H112" s="273">
        <v>204940</v>
      </c>
      <c r="I112" s="273">
        <v>209558</v>
      </c>
      <c r="J112" s="273">
        <v>256796</v>
      </c>
      <c r="K112" s="273">
        <v>250798</v>
      </c>
      <c r="L112" s="273">
        <v>257712</v>
      </c>
      <c r="M112" s="273">
        <v>309892</v>
      </c>
      <c r="N112" s="273">
        <v>310657</v>
      </c>
      <c r="O112" s="273">
        <v>306004</v>
      </c>
      <c r="P112" s="273">
        <v>303126</v>
      </c>
      <c r="Q112" s="273">
        <v>261484</v>
      </c>
      <c r="R112" s="273">
        <v>253847</v>
      </c>
      <c r="S112" s="273">
        <v>250126</v>
      </c>
      <c r="T112" s="273">
        <v>245064</v>
      </c>
      <c r="U112" s="273">
        <v>259179</v>
      </c>
      <c r="V112" s="273">
        <v>252198</v>
      </c>
      <c r="W112" s="273">
        <v>252987</v>
      </c>
      <c r="X112" s="273">
        <v>250959</v>
      </c>
    </row>
    <row r="113" spans="1:24" ht="14.25" thickBot="1" x14ac:dyDescent="0.3">
      <c r="A113" s="225" t="s">
        <v>26</v>
      </c>
      <c r="B113" s="275">
        <v>4763216</v>
      </c>
      <c r="C113" s="275">
        <v>4874206</v>
      </c>
      <c r="D113" s="275">
        <v>4811519</v>
      </c>
      <c r="E113" s="275">
        <v>4457945</v>
      </c>
      <c r="F113" s="275">
        <v>4753267</v>
      </c>
      <c r="G113" s="275">
        <v>4702440</v>
      </c>
      <c r="H113" s="275">
        <v>4605894</v>
      </c>
      <c r="I113" s="275">
        <v>4669660</v>
      </c>
      <c r="J113" s="275">
        <v>4858944</v>
      </c>
      <c r="K113" s="275">
        <v>4767368</v>
      </c>
      <c r="L113" s="275">
        <v>5013118</v>
      </c>
      <c r="M113" s="275">
        <v>5232640</v>
      </c>
      <c r="N113" s="275">
        <v>5253418</v>
      </c>
      <c r="O113" s="275">
        <v>5412001</v>
      </c>
      <c r="P113" s="275">
        <v>5821900</v>
      </c>
      <c r="Q113" s="275">
        <v>6398183</v>
      </c>
      <c r="R113" s="275">
        <v>6717675</v>
      </c>
      <c r="S113" s="275">
        <v>6683482</v>
      </c>
      <c r="T113" s="275">
        <v>6517682</v>
      </c>
      <c r="U113" s="275">
        <v>6165546</v>
      </c>
      <c r="V113" s="275">
        <v>5812207</v>
      </c>
      <c r="W113" s="275">
        <v>5735931</v>
      </c>
      <c r="X113" s="275">
        <v>5725398</v>
      </c>
    </row>
    <row r="114" spans="1:24" ht="14.25" thickBot="1" x14ac:dyDescent="0.3">
      <c r="A114" s="224" t="s">
        <v>27</v>
      </c>
      <c r="B114" s="273">
        <v>501966</v>
      </c>
      <c r="C114" s="273">
        <v>494827</v>
      </c>
      <c r="D114" s="273">
        <v>487214</v>
      </c>
      <c r="E114" s="273">
        <v>810087</v>
      </c>
      <c r="F114" s="273">
        <v>606128</v>
      </c>
      <c r="G114" s="273">
        <v>610690</v>
      </c>
      <c r="H114" s="273">
        <v>603554</v>
      </c>
      <c r="I114" s="273">
        <v>593574</v>
      </c>
      <c r="J114" s="273">
        <v>428022</v>
      </c>
      <c r="K114" s="273">
        <v>442442</v>
      </c>
      <c r="L114" s="273">
        <v>494145</v>
      </c>
      <c r="M114" s="273">
        <v>465295</v>
      </c>
      <c r="N114" s="273">
        <v>569124</v>
      </c>
      <c r="O114" s="273">
        <v>490256</v>
      </c>
      <c r="P114" s="273">
        <v>645690</v>
      </c>
      <c r="Q114" s="273">
        <v>574650</v>
      </c>
      <c r="R114" s="273">
        <v>558266</v>
      </c>
      <c r="S114" s="273">
        <v>558656</v>
      </c>
      <c r="T114" s="273">
        <v>582737</v>
      </c>
      <c r="U114" s="273">
        <v>628784</v>
      </c>
      <c r="V114" s="273">
        <v>615916</v>
      </c>
      <c r="W114" s="273">
        <v>613628</v>
      </c>
      <c r="X114" s="273">
        <v>622032</v>
      </c>
    </row>
    <row r="115" spans="1:24" ht="14.25" thickBot="1" x14ac:dyDescent="0.3">
      <c r="A115" s="225" t="s">
        <v>265</v>
      </c>
      <c r="B115" s="276">
        <v>20818727</v>
      </c>
      <c r="C115" s="276">
        <v>22467663</v>
      </c>
      <c r="D115" s="276">
        <v>22115061</v>
      </c>
      <c r="E115" s="276">
        <v>20766771</v>
      </c>
      <c r="F115" s="276">
        <v>20943134</v>
      </c>
      <c r="G115" s="276">
        <v>22176647</v>
      </c>
      <c r="H115" s="276">
        <v>23334485</v>
      </c>
      <c r="I115" s="276">
        <v>22270230</v>
      </c>
      <c r="J115" s="276">
        <v>22119985</v>
      </c>
      <c r="K115" s="276">
        <v>21812587</v>
      </c>
      <c r="L115" s="276">
        <v>22604065</v>
      </c>
      <c r="M115" s="276">
        <v>23829435</v>
      </c>
      <c r="N115" s="276">
        <v>24611073</v>
      </c>
      <c r="O115" s="276">
        <v>24677533</v>
      </c>
      <c r="P115" s="276">
        <v>27763453</v>
      </c>
      <c r="Q115" s="276">
        <v>27856000</v>
      </c>
      <c r="R115" s="276">
        <v>29034854</v>
      </c>
      <c r="S115" s="276">
        <v>27485135</v>
      </c>
      <c r="T115" s="276">
        <v>28621801</v>
      </c>
      <c r="U115" s="276">
        <v>29771912</v>
      </c>
      <c r="V115" s="276">
        <v>30480317</v>
      </c>
      <c r="W115" s="276">
        <v>33548009</v>
      </c>
      <c r="X115" s="276">
        <v>31807019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2789627</v>
      </c>
      <c r="C118" s="273">
        <v>3210429</v>
      </c>
      <c r="D118" s="273">
        <v>3879816</v>
      </c>
      <c r="E118" s="273">
        <v>3267160</v>
      </c>
      <c r="F118" s="273">
        <v>2730195</v>
      </c>
      <c r="G118" s="273">
        <v>2643889</v>
      </c>
      <c r="H118" s="273">
        <v>2548561</v>
      </c>
      <c r="I118" s="273">
        <v>2251328</v>
      </c>
      <c r="J118" s="273">
        <v>2749060</v>
      </c>
      <c r="K118" s="273">
        <v>2184380</v>
      </c>
      <c r="L118" s="273">
        <v>2157460</v>
      </c>
      <c r="M118" s="273">
        <v>2024739</v>
      </c>
      <c r="N118" s="273">
        <v>2197095</v>
      </c>
      <c r="O118" s="273">
        <v>2317498</v>
      </c>
      <c r="P118" s="273">
        <v>2294914</v>
      </c>
      <c r="Q118" s="273">
        <v>2067880</v>
      </c>
      <c r="R118" s="273">
        <v>2041514</v>
      </c>
      <c r="S118" s="273">
        <v>2179789</v>
      </c>
      <c r="T118" s="273">
        <v>2260328</v>
      </c>
      <c r="U118" s="273">
        <v>2359393</v>
      </c>
      <c r="V118" s="273">
        <v>3033848</v>
      </c>
      <c r="W118" s="273">
        <v>3459828</v>
      </c>
      <c r="X118" s="273">
        <v>3667619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5024943</v>
      </c>
      <c r="C120" s="273">
        <v>5543007</v>
      </c>
      <c r="D120" s="273">
        <v>5732301</v>
      </c>
      <c r="E120" s="273">
        <v>4288069</v>
      </c>
      <c r="F120" s="273">
        <v>4820119</v>
      </c>
      <c r="G120" s="273">
        <v>5484918</v>
      </c>
      <c r="H120" s="273">
        <v>6661600</v>
      </c>
      <c r="I120" s="273">
        <v>5161480</v>
      </c>
      <c r="J120" s="273">
        <v>4732440</v>
      </c>
      <c r="K120" s="273">
        <v>6054625</v>
      </c>
      <c r="L120" s="273">
        <v>7256079</v>
      </c>
      <c r="M120" s="273">
        <v>7569006</v>
      </c>
      <c r="N120" s="273">
        <v>7907193</v>
      </c>
      <c r="O120" s="273">
        <v>7374711</v>
      </c>
      <c r="P120" s="273">
        <v>10127458</v>
      </c>
      <c r="Q120" s="273">
        <v>9293892</v>
      </c>
      <c r="R120" s="273">
        <v>8903637</v>
      </c>
      <c r="S120" s="273">
        <v>6874761</v>
      </c>
      <c r="T120" s="273">
        <v>8749540</v>
      </c>
      <c r="U120" s="273">
        <v>8394856</v>
      </c>
      <c r="V120" s="273">
        <v>8451178</v>
      </c>
      <c r="W120" s="273">
        <v>10099813</v>
      </c>
      <c r="X120" s="273">
        <v>9269207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273">
        <v>1474185</v>
      </c>
      <c r="H122" s="273">
        <v>1480881</v>
      </c>
      <c r="I122" s="273">
        <v>1487608</v>
      </c>
      <c r="J122" s="273">
        <v>1494365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1668174</v>
      </c>
      <c r="C123" s="275">
        <v>3058004</v>
      </c>
      <c r="D123" s="275">
        <v>1505351</v>
      </c>
      <c r="E123" s="275">
        <v>1956832</v>
      </c>
      <c r="F123" s="275">
        <v>1763328</v>
      </c>
      <c r="G123" s="275">
        <v>2630984</v>
      </c>
      <c r="H123" s="275">
        <v>2165723</v>
      </c>
      <c r="I123" s="275">
        <v>2438579</v>
      </c>
      <c r="J123" s="275">
        <v>1954165</v>
      </c>
      <c r="K123" s="275">
        <v>2984285</v>
      </c>
      <c r="L123" s="275">
        <v>2116212</v>
      </c>
      <c r="M123" s="275">
        <v>2521378</v>
      </c>
      <c r="N123" s="275">
        <v>2363155</v>
      </c>
      <c r="O123" s="275">
        <v>3349767</v>
      </c>
      <c r="P123" s="275">
        <v>2853022</v>
      </c>
      <c r="Q123" s="275">
        <v>3496741</v>
      </c>
      <c r="R123" s="275">
        <v>3174842</v>
      </c>
      <c r="S123" s="275">
        <v>4409027</v>
      </c>
      <c r="T123" s="275">
        <v>3073070</v>
      </c>
      <c r="U123" s="275">
        <v>3866831</v>
      </c>
      <c r="V123" s="275">
        <v>3506955</v>
      </c>
      <c r="W123" s="275">
        <v>5034222</v>
      </c>
      <c r="X123" s="275">
        <v>3343714</v>
      </c>
    </row>
    <row r="124" spans="1:24" ht="14.25" thickBot="1" x14ac:dyDescent="0.3">
      <c r="A124" s="224" t="s">
        <v>268</v>
      </c>
      <c r="B124" s="273">
        <v>9482744</v>
      </c>
      <c r="C124" s="273">
        <v>11811440</v>
      </c>
      <c r="D124" s="273">
        <v>11117468</v>
      </c>
      <c r="E124" s="273">
        <v>9512061</v>
      </c>
      <c r="F124" s="273">
        <v>9313642</v>
      </c>
      <c r="G124" s="273">
        <v>12233976</v>
      </c>
      <c r="H124" s="273">
        <v>12856765</v>
      </c>
      <c r="I124" s="273">
        <v>11338995</v>
      </c>
      <c r="J124" s="273">
        <v>10930030</v>
      </c>
      <c r="K124" s="273">
        <v>11223290</v>
      </c>
      <c r="L124" s="273">
        <v>11529751</v>
      </c>
      <c r="M124" s="273">
        <v>12115123</v>
      </c>
      <c r="N124" s="273">
        <v>12467443</v>
      </c>
      <c r="O124" s="273">
        <v>13041976</v>
      </c>
      <c r="P124" s="273">
        <v>15275394</v>
      </c>
      <c r="Q124" s="273">
        <v>14858513</v>
      </c>
      <c r="R124" s="273">
        <v>14119993</v>
      </c>
      <c r="S124" s="273">
        <v>13463577</v>
      </c>
      <c r="T124" s="273">
        <v>14082938</v>
      </c>
      <c r="U124" s="273">
        <v>14621080</v>
      </c>
      <c r="V124" s="273">
        <v>14991981</v>
      </c>
      <c r="W124" s="273">
        <v>18593863</v>
      </c>
      <c r="X124" s="273">
        <v>16280540</v>
      </c>
    </row>
    <row r="125" spans="1:24" ht="14.25" thickBot="1" x14ac:dyDescent="0.3">
      <c r="A125" s="225" t="s">
        <v>32</v>
      </c>
      <c r="B125" s="275">
        <v>1441154</v>
      </c>
      <c r="C125" s="275">
        <v>1447700</v>
      </c>
      <c r="D125" s="275">
        <v>1454276</v>
      </c>
      <c r="E125" s="275">
        <v>1460882</v>
      </c>
      <c r="F125" s="275">
        <v>1808999</v>
      </c>
      <c r="G125" s="275">
        <v>369787</v>
      </c>
      <c r="H125" s="275">
        <v>342609</v>
      </c>
      <c r="I125" s="275">
        <v>408630</v>
      </c>
      <c r="J125" s="275">
        <v>403947</v>
      </c>
      <c r="K125" s="275">
        <v>390039</v>
      </c>
      <c r="L125" s="275">
        <v>407740</v>
      </c>
      <c r="M125" s="275">
        <v>478814</v>
      </c>
      <c r="N125" s="275">
        <v>466980</v>
      </c>
      <c r="O125" s="275">
        <v>461138</v>
      </c>
      <c r="P125" s="275">
        <v>495923</v>
      </c>
      <c r="Q125" s="275">
        <v>605028</v>
      </c>
      <c r="R125" s="275">
        <v>2027056</v>
      </c>
      <c r="S125" s="275">
        <v>2010446</v>
      </c>
      <c r="T125" s="275">
        <v>1937659</v>
      </c>
      <c r="U125" s="275">
        <v>1982192</v>
      </c>
      <c r="V125" s="275">
        <v>1930203</v>
      </c>
      <c r="W125" s="275">
        <v>1950205</v>
      </c>
      <c r="X125" s="275">
        <v>1744152</v>
      </c>
    </row>
    <row r="126" spans="1:24" ht="14.25" thickBot="1" x14ac:dyDescent="0.3">
      <c r="A126" s="224" t="s">
        <v>33</v>
      </c>
      <c r="B126" s="273">
        <v>280790</v>
      </c>
      <c r="C126" s="273">
        <v>287461</v>
      </c>
      <c r="D126" s="273">
        <v>297962</v>
      </c>
      <c r="E126" s="273">
        <v>306201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11204688</v>
      </c>
      <c r="C127" s="275">
        <v>13546601</v>
      </c>
      <c r="D127" s="275">
        <v>12869706</v>
      </c>
      <c r="E127" s="275">
        <v>11279144</v>
      </c>
      <c r="F127" s="275">
        <v>11122641</v>
      </c>
      <c r="G127" s="275">
        <v>12603763</v>
      </c>
      <c r="H127" s="275">
        <v>13199374</v>
      </c>
      <c r="I127" s="275">
        <v>11747625</v>
      </c>
      <c r="J127" s="275">
        <v>11333977</v>
      </c>
      <c r="K127" s="275">
        <v>11613329</v>
      </c>
      <c r="L127" s="275">
        <v>11937491</v>
      </c>
      <c r="M127" s="275">
        <v>12593937</v>
      </c>
      <c r="N127" s="275">
        <v>12934423</v>
      </c>
      <c r="O127" s="275">
        <v>13503114</v>
      </c>
      <c r="P127" s="275">
        <v>15771317</v>
      </c>
      <c r="Q127" s="275">
        <v>15463541</v>
      </c>
      <c r="R127" s="275">
        <v>16147049</v>
      </c>
      <c r="S127" s="275">
        <v>15474023</v>
      </c>
      <c r="T127" s="275">
        <v>16020597</v>
      </c>
      <c r="U127" s="275">
        <v>16603272</v>
      </c>
      <c r="V127" s="275">
        <v>16922184</v>
      </c>
      <c r="W127" s="275">
        <v>20544068</v>
      </c>
      <c r="X127" s="275">
        <v>18024692</v>
      </c>
    </row>
    <row r="128" spans="1:24" ht="14.25" thickBot="1" x14ac:dyDescent="0.3">
      <c r="A128" s="224" t="s">
        <v>34</v>
      </c>
      <c r="B128" s="273">
        <v>9614039</v>
      </c>
      <c r="C128" s="273">
        <v>8921062</v>
      </c>
      <c r="D128" s="273">
        <v>9245355</v>
      </c>
      <c r="E128" s="273">
        <v>9487627</v>
      </c>
      <c r="F128" s="273">
        <v>9820493</v>
      </c>
      <c r="G128" s="273">
        <v>9572884</v>
      </c>
      <c r="H128" s="273">
        <v>10135111</v>
      </c>
      <c r="I128" s="273">
        <v>10522605</v>
      </c>
      <c r="J128" s="273">
        <v>10786008</v>
      </c>
      <c r="K128" s="273">
        <v>10199258</v>
      </c>
      <c r="L128" s="273">
        <v>10666574</v>
      </c>
      <c r="M128" s="273">
        <v>11235498</v>
      </c>
      <c r="N128" s="273">
        <v>11676650</v>
      </c>
      <c r="O128" s="273">
        <v>11174419</v>
      </c>
      <c r="P128" s="273">
        <v>11992136</v>
      </c>
      <c r="Q128" s="273">
        <v>12392459</v>
      </c>
      <c r="R128" s="273">
        <v>12887805</v>
      </c>
      <c r="S128" s="273">
        <v>12011112</v>
      </c>
      <c r="T128" s="273">
        <v>12601204</v>
      </c>
      <c r="U128" s="273">
        <v>13168640</v>
      </c>
      <c r="V128" s="273">
        <v>13558133</v>
      </c>
      <c r="W128" s="273">
        <v>13003941</v>
      </c>
      <c r="X128" s="273">
        <v>13782327</v>
      </c>
    </row>
    <row r="129" spans="1:24" ht="14.25" thickBot="1" x14ac:dyDescent="0.3">
      <c r="A129" s="225" t="s">
        <v>35</v>
      </c>
      <c r="B129" s="276">
        <v>20818727</v>
      </c>
      <c r="C129" s="276">
        <v>22467663</v>
      </c>
      <c r="D129" s="276">
        <v>22115061</v>
      </c>
      <c r="E129" s="276">
        <v>20766771</v>
      </c>
      <c r="F129" s="276">
        <v>20943134</v>
      </c>
      <c r="G129" s="276">
        <v>22176647</v>
      </c>
      <c r="H129" s="276">
        <v>23334485</v>
      </c>
      <c r="I129" s="276">
        <v>22270230</v>
      </c>
      <c r="J129" s="276">
        <v>22119985</v>
      </c>
      <c r="K129" s="276">
        <v>21812587</v>
      </c>
      <c r="L129" s="276">
        <v>22604065</v>
      </c>
      <c r="M129" s="276">
        <v>23829435</v>
      </c>
      <c r="N129" s="276">
        <v>24611073</v>
      </c>
      <c r="O129" s="276">
        <v>24677533</v>
      </c>
      <c r="P129" s="276">
        <v>27763453</v>
      </c>
      <c r="Q129" s="276">
        <v>27856000</v>
      </c>
      <c r="R129" s="276">
        <v>29034854</v>
      </c>
      <c r="S129" s="276">
        <v>27485135</v>
      </c>
      <c r="T129" s="276">
        <v>28621801</v>
      </c>
      <c r="U129" s="276">
        <v>29771912</v>
      </c>
      <c r="V129" s="276">
        <v>30480317</v>
      </c>
      <c r="W129" s="276">
        <v>33548009</v>
      </c>
      <c r="X129" s="276">
        <v>31807019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8.85</v>
      </c>
      <c r="C132" s="68">
        <v>13.19</v>
      </c>
      <c r="D132" s="68">
        <v>4.4400000000000004</v>
      </c>
      <c r="E132" s="68">
        <v>4.74</v>
      </c>
      <c r="F132" s="68">
        <v>10.02</v>
      </c>
    </row>
    <row r="133" spans="1:24" ht="14.25" thickBot="1" x14ac:dyDescent="0.3">
      <c r="A133" s="225" t="s">
        <v>37</v>
      </c>
      <c r="B133" s="274">
        <v>-2.64</v>
      </c>
      <c r="C133" s="274">
        <v>-5.68</v>
      </c>
      <c r="D133" s="274">
        <v>-0.04</v>
      </c>
      <c r="E133" s="274">
        <v>-5.25</v>
      </c>
      <c r="F133" s="274">
        <v>-8.15</v>
      </c>
    </row>
    <row r="134" spans="1:24" ht="14.25" thickBot="1" x14ac:dyDescent="0.3">
      <c r="A134" s="224" t="s">
        <v>38</v>
      </c>
      <c r="B134" s="68">
        <v>-3.52</v>
      </c>
      <c r="C134" s="68">
        <v>-5.2</v>
      </c>
      <c r="D134" s="68">
        <v>-8.33</v>
      </c>
      <c r="E134" s="68">
        <v>-2.5499999999999998</v>
      </c>
      <c r="F134" s="68">
        <v>1.59</v>
      </c>
    </row>
    <row r="135" spans="1:24" ht="14.25" thickBot="1" x14ac:dyDescent="0.3">
      <c r="A135" s="225" t="s">
        <v>270</v>
      </c>
      <c r="B135" s="274">
        <v>6.21</v>
      </c>
      <c r="C135" s="274">
        <v>7.5</v>
      </c>
      <c r="D135" s="274">
        <v>4.4000000000000004</v>
      </c>
      <c r="E135" s="274">
        <v>-0.51</v>
      </c>
      <c r="F135" s="274">
        <v>1.87</v>
      </c>
    </row>
    <row r="136" spans="1:24" ht="14.25" thickBot="1" x14ac:dyDescent="0.3">
      <c r="A136" s="229" t="s">
        <v>39</v>
      </c>
      <c r="B136" s="72">
        <v>2.69</v>
      </c>
      <c r="C136" s="72">
        <v>2.31</v>
      </c>
      <c r="D136" s="72">
        <v>-3.94</v>
      </c>
      <c r="E136" s="72">
        <v>-3.06</v>
      </c>
      <c r="F136" s="72">
        <v>3.46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2.2000000000000002</v>
      </c>
      <c r="C140" s="68">
        <v>3</v>
      </c>
      <c r="D140" s="68">
        <v>2.7</v>
      </c>
      <c r="E140" s="68">
        <v>3.7</v>
      </c>
      <c r="F140" s="68">
        <v>3.7</v>
      </c>
    </row>
    <row r="141" spans="1:24" ht="14.25" thickBot="1" x14ac:dyDescent="0.3">
      <c r="A141" s="227" t="s">
        <v>1</v>
      </c>
      <c r="B141" s="73">
        <v>0.3</v>
      </c>
      <c r="C141" s="73">
        <v>0.2</v>
      </c>
      <c r="D141" s="73">
        <v>0.2</v>
      </c>
      <c r="E141" s="73">
        <v>0.3</v>
      </c>
      <c r="F141" s="73">
        <v>0.3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0.58201058201058198</v>
      </c>
      <c r="C142" s="234">
        <f>IF(C140&lt;&gt;"無",IF(ISNA(HLOOKUP(C139,$B$64:$F$69,6,FALSE)),"",C140/HLOOKUP(C139,$B$64:$F$69,6,FALSE)),"")</f>
        <v>0.61099796334012213</v>
      </c>
      <c r="D142" s="234">
        <f>IF(D140&lt;&gt;"無",IF(ISNA(HLOOKUP(D139,$B$64:$F$69,6,FALSE)),"",D140/HLOOKUP(D139,$B$64:$F$69,6,FALSE)),"")</f>
        <v>0.625</v>
      </c>
      <c r="E142" s="234">
        <f>IF(E140&lt;&gt;"無",IF(ISNA(HLOOKUP(E139,$B$64:$F$69,6,FALSE)),"",E140/HLOOKUP(E139,$B$64:$F$69,6,FALSE)),"")</f>
        <v>0.61461794019933558</v>
      </c>
      <c r="F142" s="234">
        <f>IF(F140&lt;&gt;"無",IF(ISNA(HLOOKUP(F139,$B$64:$F$69,6,FALSE)),"",F140/HLOOKUP(F139,$B$64:$F$69,6,FALSE)),"")</f>
        <v>0.61157024793388437</v>
      </c>
    </row>
    <row r="143" spans="1:24" x14ac:dyDescent="0.25">
      <c r="A143" s="233" t="s">
        <v>216</v>
      </c>
      <c r="B143" s="234">
        <f>IF(OR(B140=0,B140="無"),"",B135/B140)</f>
        <v>2.8227272727272723</v>
      </c>
      <c r="C143" s="234">
        <f>IF(OR(C140=0,C140="無"),"",C135/C140)</f>
        <v>2.5</v>
      </c>
      <c r="D143" s="234">
        <f>IF(OR(D140=0,D140="無"),"",D135/D140)</f>
        <v>1.6296296296296298</v>
      </c>
      <c r="E143" s="234">
        <f>IF(OR(E140=0,E140="無"),"",E135/E140)</f>
        <v>-0.13783783783783785</v>
      </c>
      <c r="F143" s="234">
        <f>IF(OR(F140=0,F140="無"),"",F135/F140)</f>
        <v>0.50540540540540546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13.49</v>
      </c>
      <c r="C146" s="68">
        <v>13.85</v>
      </c>
      <c r="D146" s="68">
        <v>13.22</v>
      </c>
      <c r="E146" s="68">
        <v>13.89</v>
      </c>
      <c r="F146" s="68">
        <v>13.57</v>
      </c>
      <c r="G146" s="68">
        <v>14.18</v>
      </c>
      <c r="H146" s="68">
        <v>15.05</v>
      </c>
      <c r="I146" s="68">
        <v>13.64</v>
      </c>
      <c r="J146" s="68">
        <v>12.64</v>
      </c>
      <c r="K146" s="68">
        <v>14.01</v>
      </c>
      <c r="L146" s="68">
        <v>13.2</v>
      </c>
      <c r="M146" s="68">
        <v>13.75</v>
      </c>
      <c r="N146" s="68">
        <v>14.06</v>
      </c>
      <c r="O146" s="68">
        <v>12.43</v>
      </c>
      <c r="P146" s="68">
        <v>13.46</v>
      </c>
      <c r="Q146" s="68">
        <v>13.23</v>
      </c>
      <c r="R146" s="68">
        <v>13.32</v>
      </c>
      <c r="S146" s="68">
        <v>12.73</v>
      </c>
      <c r="T146" s="68">
        <v>15.27</v>
      </c>
      <c r="U146" s="68">
        <v>13.98</v>
      </c>
      <c r="V146" s="68">
        <v>15.02</v>
      </c>
      <c r="W146" s="68">
        <v>13.78</v>
      </c>
      <c r="X146" s="68">
        <v>13.16</v>
      </c>
    </row>
    <row r="147" spans="1:24" s="93" customFormat="1" ht="14.25" thickBot="1" x14ac:dyDescent="0.3">
      <c r="A147" s="225" t="s">
        <v>19</v>
      </c>
      <c r="B147" s="274">
        <v>4.9000000000000004</v>
      </c>
      <c r="C147" s="274">
        <v>4.28</v>
      </c>
      <c r="D147" s="274">
        <v>4.3899999999999997</v>
      </c>
      <c r="E147" s="274">
        <v>3.67</v>
      </c>
      <c r="F147" s="274">
        <v>3.83</v>
      </c>
      <c r="G147" s="274">
        <v>4.4800000000000004</v>
      </c>
      <c r="H147" s="274">
        <v>6.57</v>
      </c>
      <c r="I147" s="274">
        <v>4.16</v>
      </c>
      <c r="J147" s="274">
        <v>3.67</v>
      </c>
      <c r="K147" s="274">
        <v>4.4800000000000004</v>
      </c>
      <c r="L147" s="274">
        <v>4.3600000000000003</v>
      </c>
      <c r="M147" s="274">
        <v>4.3099999999999996</v>
      </c>
      <c r="N147" s="274">
        <v>5.08</v>
      </c>
      <c r="O147" s="274">
        <v>3.58</v>
      </c>
      <c r="P147" s="274">
        <v>4.6100000000000003</v>
      </c>
      <c r="Q147" s="274">
        <v>4.7300000000000004</v>
      </c>
      <c r="R147" s="274">
        <v>5.22</v>
      </c>
      <c r="S147" s="274">
        <v>4.21</v>
      </c>
      <c r="T147" s="274">
        <v>6.59</v>
      </c>
      <c r="U147" s="274">
        <v>4.1100000000000003</v>
      </c>
      <c r="V147" s="274">
        <v>5.44</v>
      </c>
      <c r="W147" s="274">
        <v>4.8899999999999997</v>
      </c>
      <c r="X147" s="274">
        <v>4.41</v>
      </c>
    </row>
    <row r="148" spans="1:24" s="93" customFormat="1" ht="14.25" thickBot="1" x14ac:dyDescent="0.3">
      <c r="A148" s="224" t="s">
        <v>41</v>
      </c>
      <c r="B148" s="68">
        <v>4.07</v>
      </c>
      <c r="C148" s="68">
        <v>4.3</v>
      </c>
      <c r="D148" s="68">
        <v>4.58</v>
      </c>
      <c r="E148" s="68">
        <v>3.64</v>
      </c>
      <c r="F148" s="68">
        <v>4.45</v>
      </c>
      <c r="G148" s="68">
        <v>5.54</v>
      </c>
      <c r="H148" s="68">
        <v>6.61</v>
      </c>
      <c r="I148" s="68">
        <v>4.49</v>
      </c>
      <c r="J148" s="68">
        <v>3.8</v>
      </c>
      <c r="K148" s="68">
        <v>4.5999999999999996</v>
      </c>
      <c r="L148" s="68">
        <v>4.42</v>
      </c>
      <c r="M148" s="68">
        <v>4.6900000000000004</v>
      </c>
      <c r="N148" s="68">
        <v>5.09</v>
      </c>
      <c r="O148" s="68">
        <v>4.03</v>
      </c>
      <c r="P148" s="68">
        <v>5.75</v>
      </c>
      <c r="Q148" s="68">
        <v>4.6500000000000004</v>
      </c>
      <c r="R148" s="68">
        <v>4.96</v>
      </c>
      <c r="S148" s="68">
        <v>3.92</v>
      </c>
      <c r="T148" s="68">
        <v>5.83</v>
      </c>
      <c r="U148" s="68">
        <v>5.12</v>
      </c>
      <c r="V148" s="68">
        <v>5.71</v>
      </c>
      <c r="W148" s="68">
        <v>5.23</v>
      </c>
      <c r="X148" s="68">
        <v>4.5999999999999996</v>
      </c>
    </row>
    <row r="149" spans="1:24" s="93" customFormat="1" ht="14.25" thickBot="1" x14ac:dyDescent="0.3">
      <c r="A149" s="225" t="s">
        <v>13</v>
      </c>
      <c r="B149" s="73">
        <v>3.27</v>
      </c>
      <c r="C149" s="73">
        <v>3.44</v>
      </c>
      <c r="D149" s="73">
        <v>3.58</v>
      </c>
      <c r="E149" s="73">
        <v>2.76</v>
      </c>
      <c r="F149" s="73">
        <v>3.47</v>
      </c>
      <c r="G149" s="73">
        <v>4.38</v>
      </c>
      <c r="H149" s="73">
        <v>5.18</v>
      </c>
      <c r="I149" s="73">
        <v>3.31</v>
      </c>
      <c r="J149" s="73">
        <v>3</v>
      </c>
      <c r="K149" s="73">
        <v>3.71</v>
      </c>
      <c r="L149" s="73">
        <v>3.33</v>
      </c>
      <c r="M149" s="73">
        <v>3.53</v>
      </c>
      <c r="N149" s="73">
        <v>4.01</v>
      </c>
      <c r="O149" s="73">
        <v>3.15</v>
      </c>
      <c r="P149" s="73">
        <v>4.41</v>
      </c>
      <c r="Q149" s="73">
        <v>3.55</v>
      </c>
      <c r="R149" s="73">
        <v>3.9</v>
      </c>
      <c r="S149" s="73">
        <v>3.07</v>
      </c>
      <c r="T149" s="73">
        <v>4.54</v>
      </c>
      <c r="U149" s="73">
        <v>3.89</v>
      </c>
      <c r="V149" s="73">
        <v>4.5199999999999996</v>
      </c>
      <c r="W149" s="73">
        <v>4.04</v>
      </c>
      <c r="X149" s="73">
        <v>3.48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13.6</v>
      </c>
      <c r="C152" s="68">
        <v>14.16</v>
      </c>
      <c r="D152" s="68">
        <v>13.44</v>
      </c>
      <c r="E152" s="68">
        <v>13.28</v>
      </c>
      <c r="F152" s="68">
        <v>13.86</v>
      </c>
    </row>
    <row r="153" spans="1:24" s="93" customFormat="1" ht="14.25" thickBot="1" x14ac:dyDescent="0.3">
      <c r="A153" s="225" t="s">
        <v>19</v>
      </c>
      <c r="B153" s="274">
        <v>4.3099999999999996</v>
      </c>
      <c r="C153" s="274">
        <v>4.8600000000000003</v>
      </c>
      <c r="D153" s="274">
        <v>4.24</v>
      </c>
      <c r="E153" s="274">
        <v>4.5</v>
      </c>
      <c r="F153" s="274">
        <v>5.07</v>
      </c>
    </row>
    <row r="154" spans="1:24" s="93" customFormat="1" ht="14.25" thickBot="1" x14ac:dyDescent="0.3">
      <c r="A154" s="224" t="s">
        <v>41</v>
      </c>
      <c r="B154" s="68">
        <v>4.17</v>
      </c>
      <c r="C154" s="68">
        <v>5.35</v>
      </c>
      <c r="D154" s="68">
        <v>4.41</v>
      </c>
      <c r="E154" s="68">
        <v>4.8899999999999997</v>
      </c>
      <c r="F154" s="68">
        <v>4.9800000000000004</v>
      </c>
    </row>
    <row r="155" spans="1:24" s="93" customFormat="1" ht="14.25" thickBot="1" x14ac:dyDescent="0.3">
      <c r="A155" s="225" t="s">
        <v>13</v>
      </c>
      <c r="B155" s="73">
        <v>3.28</v>
      </c>
      <c r="C155" s="73">
        <v>4.1399999999999997</v>
      </c>
      <c r="D155" s="73">
        <v>3.41</v>
      </c>
      <c r="E155" s="73">
        <v>3.78</v>
      </c>
      <c r="F155" s="73">
        <v>3.87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1.36</v>
      </c>
      <c r="C158" s="68">
        <v>1.43</v>
      </c>
      <c r="D158" s="68">
        <v>1.64</v>
      </c>
      <c r="E158" s="68">
        <v>1.1299999999999999</v>
      </c>
      <c r="F158" s="68">
        <v>1.4</v>
      </c>
      <c r="G158" s="68">
        <v>1.81</v>
      </c>
      <c r="H158" s="68">
        <v>2.4900000000000002</v>
      </c>
      <c r="I158" s="68">
        <v>1.41</v>
      </c>
      <c r="J158" s="68">
        <v>1.17</v>
      </c>
      <c r="K158" s="68">
        <v>1.75</v>
      </c>
      <c r="L158" s="68">
        <v>1.65</v>
      </c>
      <c r="M158" s="68">
        <v>1.74</v>
      </c>
      <c r="N158" s="68">
        <v>1.93</v>
      </c>
      <c r="O158" s="68">
        <v>1.63</v>
      </c>
      <c r="P158" s="68">
        <v>2.33</v>
      </c>
      <c r="Q158" s="68">
        <v>1.85</v>
      </c>
      <c r="R158" s="68">
        <v>1.85</v>
      </c>
      <c r="S158" s="68">
        <v>1.39</v>
      </c>
      <c r="T158" s="68">
        <v>2.2999999999999998</v>
      </c>
      <c r="U158" s="68">
        <v>1.76</v>
      </c>
      <c r="V158" s="68">
        <v>1.96</v>
      </c>
      <c r="W158" s="68">
        <v>1.86</v>
      </c>
      <c r="X158" s="68">
        <v>1.61</v>
      </c>
    </row>
    <row r="159" spans="1:24" s="93" customFormat="1" ht="14.25" thickBot="1" x14ac:dyDescent="0.3">
      <c r="A159" s="225" t="s">
        <v>45</v>
      </c>
      <c r="B159" s="73">
        <v>2.81</v>
      </c>
      <c r="C159" s="73">
        <v>3.13</v>
      </c>
      <c r="D159" s="73">
        <v>3.8</v>
      </c>
      <c r="E159" s="73">
        <v>2.42</v>
      </c>
      <c r="F159" s="73">
        <v>2.89</v>
      </c>
      <c r="G159" s="73">
        <v>3.88</v>
      </c>
      <c r="H159" s="73">
        <v>5.63</v>
      </c>
      <c r="I159" s="73">
        <v>2.99</v>
      </c>
      <c r="J159" s="73">
        <v>2.31</v>
      </c>
      <c r="K159" s="73">
        <v>3.53</v>
      </c>
      <c r="L159" s="73">
        <v>3.46</v>
      </c>
      <c r="M159" s="73">
        <v>3.64</v>
      </c>
      <c r="N159" s="73">
        <v>4.03</v>
      </c>
      <c r="O159" s="73">
        <v>3.47</v>
      </c>
      <c r="P159" s="73">
        <v>5.22</v>
      </c>
      <c r="Q159" s="73">
        <v>4.18</v>
      </c>
      <c r="R159" s="73">
        <v>4.0999999999999996</v>
      </c>
      <c r="S159" s="73">
        <v>3.09</v>
      </c>
      <c r="T159" s="73">
        <v>5.17</v>
      </c>
      <c r="U159" s="73">
        <v>3.9</v>
      </c>
      <c r="V159" s="73">
        <v>4.33</v>
      </c>
      <c r="W159" s="73">
        <v>4.38</v>
      </c>
      <c r="X159" s="73">
        <v>3.8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3.28</v>
      </c>
      <c r="C162" s="68">
        <v>4.1399999999999997</v>
      </c>
      <c r="D162" s="68">
        <v>3.41</v>
      </c>
      <c r="E162" s="68">
        <v>3.78</v>
      </c>
      <c r="F162" s="68">
        <v>3.87</v>
      </c>
    </row>
    <row r="163" spans="1:72" s="93" customFormat="1" ht="14.25" thickBot="1" x14ac:dyDescent="0.3">
      <c r="A163" s="225" t="s">
        <v>18</v>
      </c>
      <c r="B163" s="274">
        <v>1.66</v>
      </c>
      <c r="C163" s="274">
        <v>1.65</v>
      </c>
      <c r="D163" s="274">
        <v>1.69</v>
      </c>
      <c r="E163" s="274">
        <v>1.87</v>
      </c>
      <c r="F163" s="274">
        <v>1.77</v>
      </c>
    </row>
    <row r="164" spans="1:72" s="93" customFormat="1" ht="14.25" thickBot="1" x14ac:dyDescent="0.3">
      <c r="A164" s="224" t="s">
        <v>15</v>
      </c>
      <c r="B164" s="68">
        <v>2.19</v>
      </c>
      <c r="C164" s="68">
        <v>2.12</v>
      </c>
      <c r="D164" s="68">
        <v>2.12</v>
      </c>
      <c r="E164" s="68">
        <v>2.25</v>
      </c>
      <c r="F164" s="68">
        <v>2.2599999999999998</v>
      </c>
    </row>
    <row r="165" spans="1:72" s="93" customFormat="1" ht="14.25" thickBot="1" x14ac:dyDescent="0.3">
      <c r="A165" s="225" t="s">
        <v>45</v>
      </c>
      <c r="B165" s="73">
        <v>11.98</v>
      </c>
      <c r="C165" s="73">
        <v>15.18</v>
      </c>
      <c r="D165" s="73">
        <v>12.65</v>
      </c>
      <c r="E165" s="73">
        <v>16.7</v>
      </c>
      <c r="F165" s="73">
        <v>15.98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67.67</v>
      </c>
      <c r="C168" s="68">
        <v>61.22</v>
      </c>
      <c r="D168" s="68">
        <v>55.21</v>
      </c>
      <c r="E168" s="68">
        <v>62.94</v>
      </c>
      <c r="F168" s="68">
        <v>63.38</v>
      </c>
      <c r="G168" s="68">
        <v>61.64</v>
      </c>
      <c r="H168" s="68">
        <v>52.94</v>
      </c>
      <c r="I168" s="68">
        <v>58.82</v>
      </c>
      <c r="J168" s="68">
        <v>60.4</v>
      </c>
      <c r="K168" s="68">
        <v>56.6</v>
      </c>
      <c r="L168" s="68">
        <v>61.22</v>
      </c>
      <c r="M168" s="68">
        <v>60.81</v>
      </c>
      <c r="N168" s="68">
        <v>58.82</v>
      </c>
      <c r="O168" s="68">
        <v>57.32</v>
      </c>
      <c r="P168" s="68">
        <v>59.21</v>
      </c>
      <c r="Q168" s="68">
        <v>60.4</v>
      </c>
      <c r="R168" s="68">
        <v>61.64</v>
      </c>
      <c r="S168" s="68">
        <v>62.94</v>
      </c>
      <c r="T168" s="68">
        <v>59.21</v>
      </c>
      <c r="U168" s="68">
        <v>67.16</v>
      </c>
      <c r="V168" s="68">
        <v>64.290000000000006</v>
      </c>
      <c r="W168" s="68">
        <v>57.32</v>
      </c>
      <c r="X168" s="68">
        <v>60.81</v>
      </c>
    </row>
    <row r="169" spans="1:72" s="93" customFormat="1" ht="14.25" thickBot="1" x14ac:dyDescent="0.3">
      <c r="A169" s="225" t="s">
        <v>17</v>
      </c>
      <c r="B169" s="274">
        <v>48.39</v>
      </c>
      <c r="C169" s="274">
        <v>48.39</v>
      </c>
      <c r="D169" s="274">
        <v>44.55</v>
      </c>
      <c r="E169" s="274">
        <v>47.62</v>
      </c>
      <c r="F169" s="274">
        <v>42.25</v>
      </c>
      <c r="G169" s="274">
        <v>40</v>
      </c>
      <c r="H169" s="274">
        <v>35.020000000000003</v>
      </c>
      <c r="I169" s="274">
        <v>38.299999999999997</v>
      </c>
      <c r="J169" s="274">
        <v>37.19</v>
      </c>
      <c r="K169" s="274">
        <v>29.61</v>
      </c>
      <c r="L169" s="274">
        <v>31.91</v>
      </c>
      <c r="M169" s="274">
        <v>38.299999999999997</v>
      </c>
      <c r="N169" s="274">
        <v>45</v>
      </c>
      <c r="O169" s="274">
        <v>41.1</v>
      </c>
      <c r="P169" s="274">
        <v>41.86</v>
      </c>
      <c r="Q169" s="274">
        <v>46.88</v>
      </c>
      <c r="R169" s="274">
        <v>56.25</v>
      </c>
      <c r="S169" s="274">
        <v>57.69</v>
      </c>
      <c r="T169" s="274">
        <v>46.39</v>
      </c>
      <c r="U169" s="274">
        <v>49.45</v>
      </c>
      <c r="V169" s="274">
        <v>54.55</v>
      </c>
      <c r="W169" s="274">
        <v>56.6</v>
      </c>
      <c r="X169" s="274">
        <v>62.5</v>
      </c>
    </row>
    <row r="170" spans="1:72" s="93" customFormat="1" ht="14.25" thickBot="1" x14ac:dyDescent="0.3">
      <c r="A170" s="224" t="s">
        <v>42</v>
      </c>
      <c r="B170" s="72">
        <v>116.06</v>
      </c>
      <c r="C170" s="72">
        <v>109.61</v>
      </c>
      <c r="D170" s="72">
        <v>99.77</v>
      </c>
      <c r="E170" s="72">
        <v>110.56</v>
      </c>
      <c r="F170" s="72">
        <v>105.63</v>
      </c>
      <c r="G170" s="72">
        <v>101.64</v>
      </c>
      <c r="H170" s="72">
        <v>87.96</v>
      </c>
      <c r="I170" s="72">
        <v>97.12</v>
      </c>
      <c r="J170" s="72">
        <v>97.59</v>
      </c>
      <c r="K170" s="72">
        <v>86.21</v>
      </c>
      <c r="L170" s="72">
        <v>93.14</v>
      </c>
      <c r="M170" s="72">
        <v>99.11</v>
      </c>
      <c r="N170" s="72">
        <v>103.82</v>
      </c>
      <c r="O170" s="72">
        <v>98.42</v>
      </c>
      <c r="P170" s="72">
        <v>101.07</v>
      </c>
      <c r="Q170" s="72">
        <v>107.28</v>
      </c>
      <c r="R170" s="72">
        <v>117.89</v>
      </c>
      <c r="S170" s="72">
        <v>120.63</v>
      </c>
      <c r="T170" s="72">
        <v>105.6</v>
      </c>
      <c r="U170" s="72">
        <v>116.61</v>
      </c>
      <c r="V170" s="72">
        <v>118.83</v>
      </c>
      <c r="W170" s="72">
        <v>113.93</v>
      </c>
      <c r="X170" s="72">
        <v>123.31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236.86</v>
      </c>
      <c r="C173" s="72">
        <v>273.52999999999997</v>
      </c>
      <c r="D173" s="72">
        <v>103.47</v>
      </c>
      <c r="E173" s="72">
        <v>79.47</v>
      </c>
      <c r="F173" s="72">
        <v>168.43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8.31</v>
      </c>
      <c r="C176" s="72">
        <v>10.11</v>
      </c>
      <c r="D176" s="72">
        <v>10.39</v>
      </c>
      <c r="E176" s="72">
        <v>10.199999999999999</v>
      </c>
      <c r="F176" s="72">
        <v>10.3</v>
      </c>
      <c r="G176" s="72">
        <v>10.56</v>
      </c>
      <c r="H176" s="72">
        <v>11.39</v>
      </c>
      <c r="I176" s="72">
        <v>11.39</v>
      </c>
      <c r="J176" s="72">
        <v>11.23</v>
      </c>
      <c r="K176" s="72">
        <v>10.11</v>
      </c>
      <c r="L176" s="72">
        <v>10.11</v>
      </c>
      <c r="M176" s="72">
        <v>11.13</v>
      </c>
      <c r="N176" s="72">
        <v>11.74</v>
      </c>
      <c r="O176" s="72">
        <v>12.79</v>
      </c>
      <c r="P176" s="72">
        <v>12.25</v>
      </c>
      <c r="Q176" s="72">
        <v>13.15</v>
      </c>
      <c r="R176" s="72">
        <v>12.72</v>
      </c>
      <c r="S176" s="72">
        <v>12.23</v>
      </c>
      <c r="T176" s="72">
        <v>12.18</v>
      </c>
      <c r="U176" s="72">
        <v>12.35</v>
      </c>
      <c r="V176" s="72">
        <v>15.41</v>
      </c>
      <c r="W176" s="72">
        <v>16.77</v>
      </c>
      <c r="X176" s="72">
        <v>15.35</v>
      </c>
      <c r="Y176" s="72">
        <v>16.32</v>
      </c>
      <c r="Z176" s="72">
        <v>16.73</v>
      </c>
      <c r="AA176" s="72">
        <v>16.850000000000001</v>
      </c>
      <c r="AB176" s="72">
        <v>14.99</v>
      </c>
      <c r="AC176" s="72">
        <v>14.28</v>
      </c>
      <c r="AD176" s="72">
        <v>14.59</v>
      </c>
      <c r="AE176" s="72">
        <v>15.38</v>
      </c>
      <c r="AF176" s="72">
        <v>16.87</v>
      </c>
      <c r="AG176" s="72">
        <v>16.329999999999998</v>
      </c>
      <c r="AH176" s="72">
        <v>15.75</v>
      </c>
      <c r="AI176" s="72">
        <v>14.18</v>
      </c>
      <c r="AJ176" s="72">
        <v>15.5</v>
      </c>
      <c r="AK176" s="72">
        <v>16.440000000000001</v>
      </c>
      <c r="AL176" s="72">
        <v>17.04</v>
      </c>
      <c r="AM176" s="72">
        <v>17.809999999999999</v>
      </c>
      <c r="AN176" s="72">
        <v>17.05</v>
      </c>
      <c r="AO176" s="72">
        <v>17.899999999999999</v>
      </c>
      <c r="AP176" s="72">
        <v>17.95</v>
      </c>
      <c r="AQ176" s="72">
        <v>18.2</v>
      </c>
      <c r="AR176" s="72">
        <v>16.739999999999998</v>
      </c>
      <c r="AS176" s="72">
        <v>13.31</v>
      </c>
      <c r="AT176" s="72">
        <v>13.48</v>
      </c>
      <c r="AU176" s="72">
        <v>15.84</v>
      </c>
      <c r="AV176" s="72">
        <v>15.21</v>
      </c>
      <c r="AW176" s="72">
        <v>15.43</v>
      </c>
      <c r="AX176" s="72">
        <v>14.69</v>
      </c>
      <c r="AY176" s="72">
        <v>15.53</v>
      </c>
      <c r="AZ176" s="72">
        <v>14.04</v>
      </c>
      <c r="BA176" s="72">
        <v>14.24</v>
      </c>
      <c r="BB176" s="72">
        <v>12.56</v>
      </c>
      <c r="BC176" s="72">
        <v>13.34</v>
      </c>
      <c r="BD176" s="72">
        <v>13.82</v>
      </c>
      <c r="BE176" s="72">
        <v>14.58</v>
      </c>
      <c r="BF176" s="72">
        <v>15.84</v>
      </c>
      <c r="BG176" s="72">
        <v>15.21</v>
      </c>
      <c r="BH176" s="72">
        <v>14.67</v>
      </c>
      <c r="BI176" s="72">
        <v>14.59</v>
      </c>
      <c r="BJ176" s="72">
        <v>14.99</v>
      </c>
      <c r="BK176" s="72">
        <v>15.17</v>
      </c>
      <c r="BL176" s="72">
        <v>14.62</v>
      </c>
      <c r="BM176" s="72">
        <v>13.93</v>
      </c>
      <c r="BN176" s="72">
        <v>14.58</v>
      </c>
      <c r="BO176" s="72">
        <v>14.72</v>
      </c>
      <c r="BP176" s="72">
        <v>15.65</v>
      </c>
      <c r="BQ176" s="72">
        <v>14.03</v>
      </c>
      <c r="BR176" s="72">
        <v>13.7</v>
      </c>
      <c r="BS176" s="72">
        <v>13.12</v>
      </c>
      <c r="BT176" s="72">
        <v>13.83</v>
      </c>
    </row>
  </sheetData>
  <phoneticPr fontId="3" type="noConversion"/>
  <conditionalFormatting sqref="E4">
    <cfRule type="cellIs" dxfId="1649" priority="103" operator="greaterThan">
      <formula>0.2</formula>
    </cfRule>
    <cfRule type="cellIs" dxfId="164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164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646" priority="97" operator="greaterThan">
      <formula>$B$19</formula>
    </cfRule>
  </conditionalFormatting>
  <conditionalFormatting sqref="D33:D34">
    <cfRule type="cellIs" dxfId="164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1644" priority="91" operator="lessThan">
      <formula>$H$62</formula>
    </cfRule>
    <cfRule type="cellIs" dxfId="1643" priority="92" operator="greaterThan">
      <formula>$H$62</formula>
    </cfRule>
  </conditionalFormatting>
  <conditionalFormatting sqref="J62">
    <cfRule type="cellIs" dxfId="1642" priority="89" operator="lessThan">
      <formula>$K$62</formula>
    </cfRule>
    <cfRule type="cellIs" dxfId="1641" priority="90" operator="greaterThan">
      <formula>$K$62</formula>
    </cfRule>
  </conditionalFormatting>
  <conditionalFormatting sqref="M62">
    <cfRule type="cellIs" dxfId="1640" priority="87" operator="lessThan">
      <formula>$N$62</formula>
    </cfRule>
    <cfRule type="cellIs" dxfId="1639" priority="88" operator="greaterThan">
      <formula>$N$62</formula>
    </cfRule>
  </conditionalFormatting>
  <conditionalFormatting sqref="B44:E44">
    <cfRule type="cellIs" dxfId="1638" priority="85" operator="greaterThan">
      <formula>0</formula>
    </cfRule>
    <cfRule type="cellIs" dxfId="1637" priority="86" operator="lessThan">
      <formula>0</formula>
    </cfRule>
  </conditionalFormatting>
  <conditionalFormatting sqref="F72">
    <cfRule type="cellIs" dxfId="1636" priority="84" operator="lessThan">
      <formula>$E$72*90%</formula>
    </cfRule>
  </conditionalFormatting>
  <conditionalFormatting sqref="F73">
    <cfRule type="cellIs" dxfId="1635" priority="83" operator="lessThan">
      <formula>$E$73*90%</formula>
    </cfRule>
  </conditionalFormatting>
  <conditionalFormatting sqref="F74">
    <cfRule type="cellIs" dxfId="1634" priority="82" operator="lessThan">
      <formula>$E$74*90%</formula>
    </cfRule>
  </conditionalFormatting>
  <conditionalFormatting sqref="F75">
    <cfRule type="cellIs" dxfId="1633" priority="81" operator="lessThan">
      <formula>$E$75*90%</formula>
    </cfRule>
  </conditionalFormatting>
  <conditionalFormatting sqref="H44:K44">
    <cfRule type="cellIs" dxfId="1632" priority="79" operator="greaterThan">
      <formula>0</formula>
    </cfRule>
    <cfRule type="cellIs" dxfId="1631" priority="80" operator="lessThan">
      <formula>0</formula>
    </cfRule>
  </conditionalFormatting>
  <conditionalFormatting sqref="H51:K51">
    <cfRule type="cellIs" dxfId="1630" priority="77" operator="greaterThan">
      <formula>0</formula>
    </cfRule>
    <cfRule type="cellIs" dxfId="1629" priority="78" operator="lessThan">
      <formula>0</formula>
    </cfRule>
  </conditionalFormatting>
  <conditionalFormatting sqref="B51:E51">
    <cfRule type="cellIs" dxfId="1628" priority="75" operator="greaterThan">
      <formula>0</formula>
    </cfRule>
    <cfRule type="cellIs" dxfId="162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62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62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624" priority="58" operator="lessThan">
      <formula>0</formula>
    </cfRule>
  </conditionalFormatting>
  <conditionalFormatting sqref="A25 E25 C25">
    <cfRule type="cellIs" dxfId="1623" priority="59" operator="lessThan">
      <formula>0</formula>
    </cfRule>
  </conditionalFormatting>
  <conditionalFormatting sqref="F25">
    <cfRule type="cellIs" dxfId="1622" priority="57" operator="lessThan">
      <formula>0</formula>
    </cfRule>
  </conditionalFormatting>
  <conditionalFormatting sqref="E1">
    <cfRule type="containsText" dxfId="1621" priority="56" operator="containsText" text="本季業外損益/平均=-">
      <formula>NOT(ISERROR(SEARCH("本季業外損益/平均=-",E1)))</formula>
    </cfRule>
  </conditionalFormatting>
  <conditionalFormatting sqref="M65">
    <cfRule type="cellIs" dxfId="1620" priority="55" operator="lessThan">
      <formula>$L$65*90%</formula>
    </cfRule>
  </conditionalFormatting>
  <conditionalFormatting sqref="M66">
    <cfRule type="cellIs" dxfId="1619" priority="54" operator="lessThan">
      <formula>$L$66*90%</formula>
    </cfRule>
  </conditionalFormatting>
  <conditionalFormatting sqref="M67">
    <cfRule type="cellIs" dxfId="1618" priority="53" operator="lessThan">
      <formula>$L$67*90%</formula>
    </cfRule>
  </conditionalFormatting>
  <conditionalFormatting sqref="M68">
    <cfRule type="cellIs" dxfId="1617" priority="52" operator="lessThan">
      <formula>$L$68*90%</formula>
    </cfRule>
  </conditionalFormatting>
  <conditionalFormatting sqref="B60">
    <cfRule type="cellIs" dxfId="1616" priority="51" operator="lessThan">
      <formula>0</formula>
    </cfRule>
  </conditionalFormatting>
  <conditionalFormatting sqref="B59:F59">
    <cfRule type="cellIs" dxfId="1615" priority="50" operator="lessThanOrEqual">
      <formula>0</formula>
    </cfRule>
  </conditionalFormatting>
  <conditionalFormatting sqref="D62">
    <cfRule type="cellIs" dxfId="1614" priority="48" operator="lessThan">
      <formula>$E$62</formula>
    </cfRule>
    <cfRule type="cellIs" dxfId="1613" priority="49" operator="greaterThan">
      <formula>$E$62</formula>
    </cfRule>
  </conditionalFormatting>
  <conditionalFormatting sqref="F69">
    <cfRule type="cellIs" dxfId="1612" priority="46" operator="lessThan">
      <formula>0</formula>
    </cfRule>
  </conditionalFormatting>
  <conditionalFormatting sqref="B65:E67 B69:E69 B68:D68">
    <cfRule type="cellIs" dxfId="1611" priority="47" operator="lessThan">
      <formula>0</formula>
    </cfRule>
  </conditionalFormatting>
  <conditionalFormatting sqref="E68">
    <cfRule type="cellIs" dxfId="1610" priority="45" operator="lessThan">
      <formula>0</formula>
    </cfRule>
  </conditionalFormatting>
  <conditionalFormatting sqref="F65:F68">
    <cfRule type="cellIs" dxfId="1609" priority="44" operator="lessThan">
      <formula>0</formula>
    </cfRule>
  </conditionalFormatting>
  <conditionalFormatting sqref="F65:F68">
    <cfRule type="cellIs" dxfId="1608" priority="43" operator="lessThan">
      <formula>$E$65*0.9</formula>
    </cfRule>
  </conditionalFormatting>
  <conditionalFormatting sqref="F66">
    <cfRule type="cellIs" dxfId="1607" priority="42" operator="lessThan">
      <formula>$E$66*0.9</formula>
    </cfRule>
  </conditionalFormatting>
  <conditionalFormatting sqref="F67:F68">
    <cfRule type="cellIs" dxfId="1606" priority="41" operator="lessThan">
      <formula>$E$67*0.9</formula>
    </cfRule>
  </conditionalFormatting>
  <conditionalFormatting sqref="F68">
    <cfRule type="cellIs" dxfId="1605" priority="40" operator="lessThan">
      <formula>$E$68*0.9</formula>
    </cfRule>
  </conditionalFormatting>
  <conditionalFormatting sqref="B13:F13">
    <cfRule type="cellIs" dxfId="1604" priority="29" operator="greaterThan">
      <formula>$I$16</formula>
    </cfRule>
    <cfRule type="cellIs" dxfId="1603" priority="30" operator="lessThanOrEqual">
      <formula>$I$16</formula>
    </cfRule>
  </conditionalFormatting>
  <conditionalFormatting sqref="B10:F10">
    <cfRule type="cellIs" dxfId="1602" priority="31" operator="greaterThan">
      <formula>15</formula>
    </cfRule>
    <cfRule type="cellIs" dxfId="1601" priority="38" operator="lessThan">
      <formula>$I$9</formula>
    </cfRule>
    <cfRule type="cellIs" dxfId="1600" priority="39" operator="greaterThan">
      <formula>$I$9</formula>
    </cfRule>
  </conditionalFormatting>
  <conditionalFormatting sqref="B16:F16">
    <cfRule type="cellIs" dxfId="1599" priority="36" operator="greaterThan">
      <formula>$I$16</formula>
    </cfRule>
    <cfRule type="cellIs" dxfId="1598" priority="37" operator="lessThanOrEqual">
      <formula>$I$16</formula>
    </cfRule>
  </conditionalFormatting>
  <conditionalFormatting sqref="B15:F15">
    <cfRule type="cellIs" dxfId="1597" priority="34" operator="lessThanOrEqual">
      <formula>$I$16</formula>
    </cfRule>
    <cfRule type="cellIs" dxfId="1596" priority="35" operator="greaterThan">
      <formula>$I$16</formula>
    </cfRule>
  </conditionalFormatting>
  <conditionalFormatting sqref="B14:F14">
    <cfRule type="cellIs" dxfId="1595" priority="32" operator="greaterThan">
      <formula>$I$16</formula>
    </cfRule>
    <cfRule type="cellIs" dxfId="1594" priority="33" operator="lessThanOrEqual">
      <formula>$I$16</formula>
    </cfRule>
  </conditionalFormatting>
  <conditionalFormatting sqref="K6">
    <cfRule type="containsText" dxfId="1593" priority="27" operator="containsText" text="衰退">
      <formula>NOT(ISERROR(SEARCH("衰退",K6)))</formula>
    </cfRule>
    <cfRule type="containsText" dxfId="1592" priority="28" operator="containsText" text="成長">
      <formula>NOT(ISERROR(SEARCH("成長",K6)))</formula>
    </cfRule>
  </conditionalFormatting>
  <conditionalFormatting sqref="I4:K4">
    <cfRule type="cellIs" dxfId="1591" priority="25" operator="lessThan">
      <formula>0</formula>
    </cfRule>
    <cfRule type="cellIs" dxfId="159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589" priority="22" operator="lessThanOrEqual">
      <formula>$I$16</formula>
    </cfRule>
    <cfRule type="cellIs" dxfId="1588" priority="23" operator="greaterThan">
      <formula>$I$16</formula>
    </cfRule>
  </conditionalFormatting>
  <conditionalFormatting sqref="I6">
    <cfRule type="containsText" dxfId="1587" priority="20" operator="containsText" text="衰退">
      <formula>NOT(ISERROR(SEARCH("衰退",I6)))</formula>
    </cfRule>
    <cfRule type="containsText" dxfId="1586" priority="21" operator="containsText" text="成長">
      <formula>NOT(ISERROR(SEARCH("成長",I6)))</formula>
    </cfRule>
  </conditionalFormatting>
  <conditionalFormatting sqref="M9">
    <cfRule type="cellIs" dxfId="1585" priority="19" operator="lessThan">
      <formula>$I$9</formula>
    </cfRule>
  </conditionalFormatting>
  <conditionalFormatting sqref="M10">
    <cfRule type="cellIs" dxfId="1584" priority="18" operator="greaterThan">
      <formula>$I$9</formula>
    </cfRule>
  </conditionalFormatting>
  <conditionalFormatting sqref="M11">
    <cfRule type="cellIs" dxfId="158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582" priority="14" operator="lessThan">
      <formula>0</formula>
    </cfRule>
    <cfRule type="cellIs" dxfId="1581" priority="15" operator="greaterThan">
      <formula>0.5</formula>
    </cfRule>
  </conditionalFormatting>
  <conditionalFormatting sqref="N14">
    <cfRule type="cellIs" dxfId="158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579" priority="10" operator="lessThan">
      <formula>0.1</formula>
    </cfRule>
  </conditionalFormatting>
  <conditionalFormatting sqref="I14">
    <cfRule type="cellIs" dxfId="157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57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576" priority="1" operator="lessThan">
      <formula>$N$5*0.9</formula>
    </cfRule>
    <cfRule type="cellIs" dxfId="1575" priority="2" operator="greaterThan">
      <formula>$N$5*1.1</formula>
    </cfRule>
  </conditionalFormatting>
  <hyperlinks>
    <hyperlink ref="L1" location="儀表板!A1" display="(回首頁)" xr:uid="{00000000-0004-0000-5200-000000000000}"/>
  </hyperlink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1.41 ~ 9.87</v>
      </c>
      <c r="L1" s="83" t="s">
        <v>176</v>
      </c>
      <c r="M1" s="84" t="str">
        <f ca="1">VLOOKUP(_xlfn.NUMBERVALUE(N1),儀表板!A:B,2,FALSE)</f>
        <v>群電</v>
      </c>
      <c r="N1" s="85" t="str">
        <f ca="1">MID(CELL("filename",L1),FIND("]",CELL("filename",L1))+1,255)</f>
        <v>6412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0.21857298487678636</v>
      </c>
    </row>
    <row r="3" spans="1:15" s="93" customFormat="1" x14ac:dyDescent="0.25">
      <c r="A3" s="81" t="s">
        <v>179</v>
      </c>
      <c r="B3" s="94">
        <f>SUM(F19:F22,F24:F27,J19)</f>
        <v>84.148128219679876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67.173771451588095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74.626363918256487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81.42107928712602</v>
      </c>
      <c r="L3" s="100"/>
      <c r="M3" s="79" t="s">
        <v>385</v>
      </c>
      <c r="N3" s="92">
        <f>(F69-E69)/E69</f>
        <v>0.16932130700495471</v>
      </c>
    </row>
    <row r="4" spans="1:15" s="93" customFormat="1" x14ac:dyDescent="0.25">
      <c r="A4" s="81" t="s">
        <v>182</v>
      </c>
      <c r="B4" s="96">
        <f>SUM(G36:G40)*2</f>
        <v>88</v>
      </c>
      <c r="C4" s="101"/>
      <c r="D4" s="102">
        <f>F4*(1+F141/10)</f>
        <v>37.787999999999997</v>
      </c>
      <c r="E4" s="82">
        <f>(D4-F4)/F4</f>
        <v>4.9999999999998743E-3</v>
      </c>
      <c r="F4" s="103">
        <v>37.6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4.3498752620584318</v>
      </c>
    </row>
    <row r="5" spans="1:15" s="93" customFormat="1" x14ac:dyDescent="0.25">
      <c r="A5" s="81" t="s">
        <v>184</v>
      </c>
      <c r="B5" s="107">
        <f>SUM(F30:F34)*2</f>
        <v>79.098684210526315</v>
      </c>
      <c r="C5" s="87"/>
      <c r="D5" s="87"/>
      <c r="E5" s="87"/>
      <c r="F5" s="86"/>
      <c r="G5" s="88"/>
      <c r="M5" s="79" t="s">
        <v>375</v>
      </c>
      <c r="N5" s="152">
        <f>D62</f>
        <v>5.3100000000000005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4.2949811597038039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19.86</v>
      </c>
      <c r="N9" s="129"/>
    </row>
    <row r="10" spans="1:15" s="93" customFormat="1" x14ac:dyDescent="0.25">
      <c r="A10" s="123" t="s">
        <v>194</v>
      </c>
      <c r="B10" s="126">
        <f>PERCENTILE(176:176,B9)</f>
        <v>12.212</v>
      </c>
      <c r="C10" s="126">
        <f>PERCENTILE(176:176,C9)</f>
        <v>13.376000000000001</v>
      </c>
      <c r="D10" s="126">
        <f>PERCENTILE(176:176,D9)</f>
        <v>14.86</v>
      </c>
      <c r="E10" s="126">
        <f>PERCENTILE(176:176,E9)</f>
        <v>16.213000000000001</v>
      </c>
      <c r="F10" s="126">
        <f>PERCENTILE(176:176,F9)</f>
        <v>17.648000000000003</v>
      </c>
      <c r="G10" s="95"/>
      <c r="H10" s="135"/>
      <c r="I10" s="135"/>
      <c r="J10" s="135"/>
      <c r="K10" s="135"/>
      <c r="L10" s="136" t="s">
        <v>374</v>
      </c>
      <c r="M10" s="130">
        <f>MIN(176:176)</f>
        <v>10.57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19.559999999999999</v>
      </c>
      <c r="L11" s="272" t="s">
        <v>193</v>
      </c>
      <c r="M11" s="128">
        <f>STDEV(176:176)</f>
        <v>2.6140332627933058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32.738095238095241</v>
      </c>
      <c r="C13" s="141">
        <f>$B$34/5.88%</f>
        <v>39.753401360544217</v>
      </c>
      <c r="D13" s="141">
        <f>$B$34/5%</f>
        <v>46.749999999999993</v>
      </c>
      <c r="E13" s="141">
        <f>$B$34/4.35%</f>
        <v>53.735632183908045</v>
      </c>
      <c r="F13" s="141">
        <f>$B$34/3.85%</f>
        <v>60.714285714285715</v>
      </c>
      <c r="G13" s="138" t="str">
        <f>"$"&amp;ROUND(B34,2)&amp;"/"&amp;IF(STDEV(C140:F140)/AVERAGE(C140:F140)&lt;15%,"高",IF(STDEV(C140:F140)/AVERAGE(C140:F140)&lt;30%,"中","低"))</f>
        <v>$2.34/高</v>
      </c>
      <c r="H13" s="142" t="s">
        <v>199</v>
      </c>
      <c r="I13" s="143">
        <f>MAX(0,1-J15)</f>
        <v>0.260752688172043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38.284620000000004</v>
      </c>
      <c r="C14" s="141">
        <f>$B$33*C10</f>
        <v>41.933760000000007</v>
      </c>
      <c r="D14" s="141">
        <f>$B$33*D10</f>
        <v>46.586100000000002</v>
      </c>
      <c r="E14" s="141">
        <f>$B$33*E10</f>
        <v>50.827755000000003</v>
      </c>
      <c r="F14" s="141">
        <f>$B$33*F10</f>
        <v>55.326480000000011</v>
      </c>
      <c r="G14" s="138" t="str">
        <f>"$"&amp;ROUND(B33,2)&amp;"/"&amp;IF(STDEV(B69:E69)/AVERAGE(B69:E69)&lt;15%,"高",IF(STDEV(B69:E69)/AVERAGE(B69:E69)&lt;30%,"中","低"))</f>
        <v>$3.14/中</v>
      </c>
      <c r="H14" s="142" t="s">
        <v>203</v>
      </c>
      <c r="I14" s="145">
        <f>G62/100*I13</f>
        <v>7.0637903225806445E-2</v>
      </c>
      <c r="J14" s="76" t="s">
        <v>204</v>
      </c>
      <c r="K14" s="146"/>
      <c r="L14" s="147">
        <f>(HLOOKUP($C$1,$105:$106,2,FALSE)-HLOOKUP($C$1,$117:$127,9,FALSE))/(HLOOKUP($C$1,$117:$128,12,FALSE)/K11)</f>
        <v>2.0886554288211525</v>
      </c>
      <c r="M14" s="148">
        <f>E135/E69</f>
        <v>0.71505376344086025</v>
      </c>
      <c r="N14" s="149">
        <f>F173/100</f>
        <v>1.8213999999999999</v>
      </c>
    </row>
    <row r="15" spans="1:15" s="93" customFormat="1" x14ac:dyDescent="0.25">
      <c r="A15" s="140" t="s">
        <v>375</v>
      </c>
      <c r="B15" s="141">
        <f>$D$62*B10</f>
        <v>64.84572</v>
      </c>
      <c r="C15" s="141">
        <f>$D$62*C10</f>
        <v>71.026560000000018</v>
      </c>
      <c r="D15" s="141">
        <f>$D$62*D10</f>
        <v>78.906599999999997</v>
      </c>
      <c r="E15" s="141">
        <f>$D$62*E10</f>
        <v>86.091030000000018</v>
      </c>
      <c r="F15" s="141">
        <f>$D$62*F10</f>
        <v>93.710880000000031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0.739247311827957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53.120676700257569</v>
      </c>
      <c r="C16" s="141">
        <f>$F$69*C10</f>
        <v>58.183931505293586</v>
      </c>
      <c r="D16" s="141">
        <f>$F$69*D10</f>
        <v>64.639146394188288</v>
      </c>
      <c r="E16" s="141">
        <f>$F$69*E10</f>
        <v>70.524527623753357</v>
      </c>
      <c r="F16" s="141">
        <f>$F$69*F10</f>
        <v>76.766598624807216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378</v>
      </c>
      <c r="J17" s="92">
        <f ca="1">IF(I17&lt;=0,"",IF(I17&lt;=MIN($B$13:$F$16),(I17-MIN($B$13:$F$16))/MIN($B$13:$F$16),IF(I17&gt;=MAX($B$13:$F$16),I17/MAX($B$13:$F$16),PERCENTRANK($B$13:$F$16,I17))))</f>
        <v>4.0336831753153941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4.04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13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1.728342245989305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0.20263030356413975</v>
      </c>
      <c r="J20" s="171">
        <f>HLOOKUP($C$1,$117:$127,11,FALSE)/HLOOKUP($C$1,$105:$115,11,FALSE)</f>
        <v>0.65294893434371115</v>
      </c>
      <c r="K20" s="163"/>
    </row>
    <row r="21" spans="1:14" s="93" customFormat="1" x14ac:dyDescent="0.25">
      <c r="A21" s="151" t="s">
        <v>201</v>
      </c>
      <c r="B21" s="161">
        <f>AVERAGE(C173:F173)/100</f>
        <v>2.110525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1.2511694819750561</v>
      </c>
      <c r="J21" s="78"/>
      <c r="K21" s="164" t="s">
        <v>356</v>
      </c>
      <c r="L21" s="165">
        <f>HLOOKUP($C$1,$105:$115,7,FALSE)/HLOOKUP($C$1,$105:$115,11,FALSE)</f>
        <v>0.80665872975075092</v>
      </c>
      <c r="M21" s="123" t="s">
        <v>268</v>
      </c>
      <c r="N21" s="165">
        <f>HLOOKUP($C$1,$117:$127,8,FALSE)/HLOOKUP($C$1,$117:$127,11,FALSE)</f>
        <v>0.98740308102047147</v>
      </c>
    </row>
    <row r="22" spans="1:14" s="93" customFormat="1" x14ac:dyDescent="0.25">
      <c r="A22" s="140" t="s">
        <v>222</v>
      </c>
      <c r="B22" s="161">
        <f>(-1)*SUM(C133:F133)/SUM(C132:F132)</f>
        <v>0.37061574434918154</v>
      </c>
      <c r="C22" s="157"/>
      <c r="D22" s="166"/>
      <c r="E22" s="140"/>
      <c r="F22" s="159">
        <f>IF(B22&lt;=0,10,IF(B22&gt;=100%,0,(1-B22)*10))</f>
        <v>6.293842556508185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0.93209023981519068</v>
      </c>
      <c r="J22" s="78"/>
      <c r="K22" s="142" t="s">
        <v>357</v>
      </c>
      <c r="L22" s="165">
        <f>HLOOKUP($C$1,$105:$115,4,FALSE)/HLOOKUP($C$1,$105:$115,11,FALSE)</f>
        <v>0.45304967756928149</v>
      </c>
      <c r="M22" s="123" t="s">
        <v>353</v>
      </c>
      <c r="N22" s="165">
        <f>HLOOKUP($C$1,$117:$127,4,FALSE)/HLOOKUP($C$1,$117:$127,11,FALSE)</f>
        <v>0.6896689880230733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2.8814203411505335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0.20571797816248266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1.0026261839225707</v>
      </c>
      <c r="C24" s="169">
        <f>STDEV(C103:F103)</f>
        <v>1.8615045581821628E-3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100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4.5332044091942282E-2</v>
      </c>
      <c r="M24" s="123" t="s">
        <v>355</v>
      </c>
      <c r="N24" s="165">
        <f>HLOOKUP($C$1,$117:$127,9,FALSE)/HLOOKUP($C$1,$117:$127,11,FALSE)</f>
        <v>1.2596918979528542E-2</v>
      </c>
    </row>
    <row r="25" spans="1:14" s="93" customFormat="1" x14ac:dyDescent="0.25">
      <c r="A25" s="151" t="s">
        <v>366</v>
      </c>
      <c r="B25" s="255">
        <f>AVERAGE(94:94)</f>
        <v>49378.434782608696</v>
      </c>
      <c r="C25" s="254">
        <f>STDEV(94:94)/AVERAGE(94:94)</f>
        <v>3.14571433682831</v>
      </c>
      <c r="D25" s="76" t="str">
        <f>IF(C25&lt;=1,"高",IF(C25&lt;=2,"中","低"))</f>
        <v>低</v>
      </c>
      <c r="E25" s="149"/>
      <c r="F25" s="160">
        <f>MAX(0,10-ABS(C25))</f>
        <v>6.85428566317169</v>
      </c>
      <c r="G25" s="88" t="s">
        <v>213</v>
      </c>
      <c r="H25" s="123" t="s">
        <v>232</v>
      </c>
      <c r="I25" s="170">
        <f>IF(HLOOKUP(C1,167:170,3,FALSE)="無",0,HLOOKUP(C1,167:170,3,FALSE))</f>
        <v>55.21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106.53526315789475</v>
      </c>
      <c r="C26" s="172">
        <f>IF(COUNTIF(168:168,"&gt;0")=0,0,STDEV(168:168))</f>
        <v>10.259849126257523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8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53.63894736842105</v>
      </c>
      <c r="C27" s="172">
        <f>IF(COUNTIF(169:169,"&gt;0")=0,0,STDEV(169:169))</f>
        <v>7.7036036983687257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0.15425</v>
      </c>
      <c r="C30" s="157" t="s">
        <v>217</v>
      </c>
      <c r="D30" s="174">
        <f>COUNTIF(146:146,"&gt;20")/COUNT(146:146)</f>
        <v>0</v>
      </c>
      <c r="E30" s="140" t="s">
        <v>239</v>
      </c>
      <c r="F30" s="159">
        <f>MIN(B30/25%*10,10)</f>
        <v>6.17</v>
      </c>
      <c r="G30" s="175"/>
      <c r="H30" s="176"/>
    </row>
    <row r="31" spans="1:14" x14ac:dyDescent="0.25">
      <c r="A31" s="164" t="s">
        <v>240</v>
      </c>
      <c r="B31" s="173">
        <f>AVERAGE(C155:F155)/100</f>
        <v>4.1425000000000003E-2</v>
      </c>
      <c r="C31" s="157" t="s">
        <v>217</v>
      </c>
      <c r="D31" s="174">
        <f>COUNTIF(149:149,"&gt;8")/COUNT(149:149)</f>
        <v>5.2631578947368418E-2</v>
      </c>
      <c r="E31" s="140" t="s">
        <v>241</v>
      </c>
      <c r="F31" s="159">
        <f>MIN(B31/10%*10,10)</f>
        <v>4.1425000000000001</v>
      </c>
      <c r="G31" s="175"/>
    </row>
    <row r="32" spans="1:14" x14ac:dyDescent="0.25">
      <c r="A32" s="155" t="s">
        <v>47</v>
      </c>
      <c r="B32" s="177">
        <f>AVERAGE(C165:F165)</f>
        <v>17.41</v>
      </c>
      <c r="C32" s="157" t="s">
        <v>217</v>
      </c>
      <c r="D32" s="174">
        <f>COUNTIF(159:159,"&gt;3")/COUNT(159:159)</f>
        <v>0.63157894736842102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3.1350000000000002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2.3374999999999999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9.2368421052631575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26501855.75</v>
      </c>
      <c r="C36" s="178">
        <f>STDEV(C97:F97)</f>
        <v>1031870.8968265281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15.425000000000001</v>
      </c>
      <c r="C37" s="180">
        <f>STDEV(C152:F152)</f>
        <v>0.97229967945416163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4.7624999999999993</v>
      </c>
      <c r="C38" s="180">
        <f>STDEV(C153:F153)</f>
        <v>0.57063561052566836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17.41</v>
      </c>
      <c r="C39" s="181">
        <f>STDEV(C165:F165)</f>
        <v>1.7882766378089643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3.1350000000000002</v>
      </c>
      <c r="C40" s="183">
        <f>STDEV(B69:E69)</f>
        <v>0.5220791766261752</v>
      </c>
      <c r="D40" s="76" t="str">
        <f>IF(C40/B40&lt;15%,"高",IF(C40/B40&lt;30%,"中","低"))</f>
        <v>中</v>
      </c>
      <c r="E40" s="107">
        <f>IF(E69&gt;D69,1,0)+IF(D69&gt;C69,1,0)+IF(C69&gt;B69,1,0)</f>
        <v>3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3.6333333333333329</v>
      </c>
      <c r="C44" s="186">
        <f>(C46-C49)/C49</f>
        <v>0.50000000000000011</v>
      </c>
      <c r="D44" s="186">
        <f>(D46-D49)/D49</f>
        <v>0.27083333333333337</v>
      </c>
      <c r="E44" s="186">
        <f>(E46-E49)/E49</f>
        <v>0.83333333333333359</v>
      </c>
      <c r="G44" s="86" t="s">
        <v>175</v>
      </c>
      <c r="H44" s="186">
        <f>(H47-H50)/H50</f>
        <v>3.6764705882352769E-2</v>
      </c>
      <c r="I44" s="186">
        <f>(I47-I50)/I50</f>
        <v>0.3070175438596493</v>
      </c>
      <c r="J44" s="186">
        <f>(J47-J50)/J50</f>
        <v>1.097297297297297</v>
      </c>
      <c r="K44" s="186">
        <f>(K47-K50)/K50</f>
        <v>-6.0606060606062341E-3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1.39</v>
      </c>
      <c r="C46" s="152">
        <f>HLOOKUP(C45,$81:$82,2,FALSE)</f>
        <v>1.1100000000000001</v>
      </c>
      <c r="D46" s="152">
        <f>HLOOKUP(D45,$81:$82,2,FALSE)</f>
        <v>0.61</v>
      </c>
      <c r="E46" s="152">
        <f>HLOOKUP(E45,$81:$82,2,FALSE)</f>
        <v>2.2000000000000002</v>
      </c>
      <c r="G46" s="86" t="s">
        <v>164</v>
      </c>
      <c r="H46" s="145">
        <f>HLOOKUP(H45,$145:$147,2,FALSE)/100</f>
        <v>0.17309999999999998</v>
      </c>
      <c r="I46" s="145">
        <f>HLOOKUP(I45,$145:$147,2,FALSE)/100</f>
        <v>0.16829999999999998</v>
      </c>
      <c r="J46" s="145">
        <f>HLOOKUP(J45,$145:$147,2,FALSE)/100</f>
        <v>0.16800000000000001</v>
      </c>
      <c r="K46" s="145">
        <f>HLOOKUP(K45,$145:$147,2,FALSE)/100</f>
        <v>0.1827</v>
      </c>
    </row>
    <row r="47" spans="1:14" x14ac:dyDescent="0.25">
      <c r="A47" s="188" t="s">
        <v>165</v>
      </c>
      <c r="B47" s="189">
        <f>HLOOKUP(B45,$157:$159,3,FALSE)</f>
        <v>7.26</v>
      </c>
      <c r="C47" s="189">
        <f>HLOOKUP(C45,$157:$159,3,FALSE)</f>
        <v>5.65</v>
      </c>
      <c r="D47" s="189">
        <f>HLOOKUP(D45,$157:$159,3,FALSE)</f>
        <v>3</v>
      </c>
      <c r="E47" s="189">
        <f>HLOOKUP(E45,$157:$159,3,FALSE)</f>
        <v>11.18</v>
      </c>
      <c r="G47" s="190" t="s">
        <v>166</v>
      </c>
      <c r="H47" s="145">
        <f>HLOOKUP(H45,$145:$147,3,FALSE)/100</f>
        <v>7.0499999999999993E-2</v>
      </c>
      <c r="I47" s="145">
        <f>HLOOKUP(I45,$145:$147,3,FALSE)/100</f>
        <v>5.96E-2</v>
      </c>
      <c r="J47" s="145">
        <f>HLOOKUP(J45,$145:$147,3,FALSE)/100</f>
        <v>3.8800000000000001E-2</v>
      </c>
      <c r="K47" s="145">
        <f>HLOOKUP(K45,$145:$147,3,FALSE)/100</f>
        <v>6.5599999999999992E-2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0.3</v>
      </c>
      <c r="C49" s="152">
        <f>HLOOKUP(C48,$81:$82,2,FALSE)</f>
        <v>0.74</v>
      </c>
      <c r="D49" s="152">
        <f>HLOOKUP(D48,$81:$82,2,FALSE)</f>
        <v>0.48</v>
      </c>
      <c r="E49" s="152">
        <f>HLOOKUP(E48,$81:$82,2,FALSE)</f>
        <v>1.2</v>
      </c>
      <c r="G49" s="86" t="s">
        <v>164</v>
      </c>
      <c r="H49" s="145">
        <f>HLOOKUP(H48,$145:$147,2,FALSE)/100</f>
        <v>0.17730000000000001</v>
      </c>
      <c r="I49" s="145">
        <f>HLOOKUP(I48,$145:$147,2,FALSE)/100</f>
        <v>0.153</v>
      </c>
      <c r="J49" s="145">
        <f>HLOOKUP(J48,$145:$147,2,FALSE)/100</f>
        <v>0.1452</v>
      </c>
      <c r="K49" s="145">
        <f>HLOOKUP(K48,$145:$147,2,FALSE)/100</f>
        <v>0.16719999999999999</v>
      </c>
    </row>
    <row r="50" spans="1:15" x14ac:dyDescent="0.25">
      <c r="A50" s="188" t="s">
        <v>165</v>
      </c>
      <c r="B50" s="189">
        <f>HLOOKUP(B48,$157:$159,3,FALSE)</f>
        <v>1.62</v>
      </c>
      <c r="C50" s="189">
        <f>HLOOKUP(C48,$157:$159,3,FALSE)</f>
        <v>4.03</v>
      </c>
      <c r="D50" s="189">
        <f>HLOOKUP(D48,$157:$159,3,FALSE)</f>
        <v>2.54</v>
      </c>
      <c r="E50" s="189">
        <f>HLOOKUP(E48,$157:$159,3,FALSE)</f>
        <v>6.72</v>
      </c>
      <c r="G50" s="190" t="s">
        <v>166</v>
      </c>
      <c r="H50" s="145">
        <f>HLOOKUP(H48,$145:$147,3,FALSE)/100</f>
        <v>6.8000000000000005E-2</v>
      </c>
      <c r="I50" s="145">
        <f>HLOOKUP(I48,$145:$147,3,FALSE)/100</f>
        <v>4.5599999999999995E-2</v>
      </c>
      <c r="J50" s="145">
        <f>HLOOKUP(J48,$145:$147,3,FALSE)/100</f>
        <v>1.8500000000000003E-2</v>
      </c>
      <c r="K50" s="145">
        <f>HLOOKUP(K48,$145:$147,3,FALSE)/100</f>
        <v>6.6000000000000003E-2</v>
      </c>
    </row>
    <row r="51" spans="1:15" x14ac:dyDescent="0.25">
      <c r="A51" s="86" t="s">
        <v>351</v>
      </c>
      <c r="B51" s="186">
        <f>(B47-B50)/B50</f>
        <v>3.481481481481481</v>
      </c>
      <c r="C51" s="186">
        <f>(C47-C50)/C50</f>
        <v>0.40198511166253104</v>
      </c>
      <c r="D51" s="186">
        <f>(D47-D50)/D50</f>
        <v>0.18110236220472439</v>
      </c>
      <c r="E51" s="186">
        <f>(E47-E50)/E50</f>
        <v>0.66369047619047616</v>
      </c>
      <c r="G51" s="235" t="s">
        <v>174</v>
      </c>
      <c r="H51" s="186">
        <f>(H46-H49)/H49</f>
        <v>-2.3688663282572121E-2</v>
      </c>
      <c r="I51" s="186">
        <f>(I46-I49)/I49</f>
        <v>9.9999999999999867E-2</v>
      </c>
      <c r="J51" s="186">
        <f>(J46-J49)/J49</f>
        <v>0.15702479338842987</v>
      </c>
      <c r="K51" s="186">
        <f>(K46-K49)/K49</f>
        <v>9.2703349282296746E-2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4.2949811597038039</v>
      </c>
      <c r="B53" s="193">
        <f>B46</f>
        <v>1.39</v>
      </c>
      <c r="C53" s="193">
        <f>E46/HLOOKUP(E45,$87:$94,5,FALSE)*HLOOKUP(E45,$87:$94,4,FALSE)*($B$25/HLOOKUP(E45,$87:$94,4,FALSE)+SUM($B$57:$D$57)/SUM($B58:$D$58)*$G$69/100/K46)</f>
        <v>1.2398752620584315</v>
      </c>
      <c r="D53" s="193">
        <f>D46/HLOOKUP(D45,$87:$94,5,FALSE)*HLOOKUP(D45,$87:$94,4,FALSE)*($B$25/HLOOKUP(D45,$87:$94,4,FALSE)+SUM($B$57:$D$57)/SUM($B58:$D$58)*$G$69/100/J46)</f>
        <v>0.64502707459703201</v>
      </c>
      <c r="E53" s="193">
        <f>C46/HLOOKUP(C45,$87:$94,5,FALSE)*HLOOKUP(C45,$87:$94,4,FALSE)*($B$25/HLOOKUP(C45,$87:$94,4,FALSE)+SUM($B$57:$D$57)/SUM($B58:$D$58)*$G$69/100/I46)</f>
        <v>1.0200788230483413</v>
      </c>
    </row>
    <row r="54" spans="1:15" x14ac:dyDescent="0.25">
      <c r="A54" s="278">
        <f>SUM(B54:E54)</f>
        <v>4.22</v>
      </c>
      <c r="B54" s="277">
        <f t="shared" ref="B54:D54" si="0">HLOOKUP(B52-10,81:82,2,FALSE)</f>
        <v>0.3</v>
      </c>
      <c r="C54" s="277">
        <f t="shared" si="0"/>
        <v>2.2000000000000002</v>
      </c>
      <c r="D54" s="277">
        <f t="shared" si="0"/>
        <v>0.61</v>
      </c>
      <c r="E54" s="277">
        <f>HLOOKUP(E52-10,81:82,2,FALSE)</f>
        <v>1.1100000000000001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2546542</v>
      </c>
      <c r="C57" s="196">
        <f>HLOOKUP(C56,78:79,2,FALSE)</f>
        <v>3042122</v>
      </c>
      <c r="D57" s="196">
        <f>HLOOKUP(D56,78:79,2,FALSE)</f>
        <v>2653598</v>
      </c>
      <c r="E57" s="196">
        <f>HLOOKUP(E56,78:79,2,FALSE)</f>
        <v>2350295</v>
      </c>
      <c r="F57" s="196">
        <f>HLOOKUP(F56,78:79,2,FALSE)</f>
        <v>2682820</v>
      </c>
      <c r="G57" s="196">
        <f t="shared" ref="G57:M57" si="2">HLOOKUP(G56,78:79,2,FALSE)</f>
        <v>2152690</v>
      </c>
      <c r="H57" s="196">
        <f t="shared" si="2"/>
        <v>2130332</v>
      </c>
      <c r="I57" s="196">
        <f t="shared" si="2"/>
        <v>2189401</v>
      </c>
      <c r="J57" s="196">
        <f t="shared" si="2"/>
        <v>1879928</v>
      </c>
      <c r="K57" s="196">
        <f t="shared" si="2"/>
        <v>1834511</v>
      </c>
      <c r="L57" s="196">
        <f t="shared" si="2"/>
        <v>2485995</v>
      </c>
      <c r="M57" s="196">
        <f t="shared" si="2"/>
        <v>2836179</v>
      </c>
      <c r="N57" s="197"/>
    </row>
    <row r="58" spans="1:15" x14ac:dyDescent="0.25">
      <c r="A58" s="198" t="s">
        <v>253</v>
      </c>
      <c r="B58" s="196">
        <f>HLOOKUP(B56-100,78:79,2,FALSE)</f>
        <v>2694989</v>
      </c>
      <c r="C58" s="196">
        <f>HLOOKUP(C56-100,78:79,2,FALSE)</f>
        <v>2767624</v>
      </c>
      <c r="D58" s="196">
        <f>HLOOKUP(D56-100,78:79,2,FALSE)</f>
        <v>2550741</v>
      </c>
      <c r="E58" s="196">
        <f>HLOOKUP(E56-100,78:79,2,FALSE)</f>
        <v>2384153</v>
      </c>
      <c r="F58" s="196">
        <f>HLOOKUP(F56-100,78:79,2,FALSE)</f>
        <v>2321139</v>
      </c>
      <c r="G58" s="196">
        <f t="shared" ref="G58:M58" si="3">HLOOKUP(G56-100,78:79,2,FALSE)</f>
        <v>2020522</v>
      </c>
      <c r="H58" s="196">
        <f t="shared" si="3"/>
        <v>1979851</v>
      </c>
      <c r="I58" s="196">
        <f t="shared" si="3"/>
        <v>1885515</v>
      </c>
      <c r="J58" s="196">
        <f t="shared" si="3"/>
        <v>1708737</v>
      </c>
      <c r="K58" s="196">
        <f t="shared" si="3"/>
        <v>1767467</v>
      </c>
      <c r="L58" s="196">
        <f t="shared" si="3"/>
        <v>2566057</v>
      </c>
      <c r="M58" s="196">
        <f t="shared" si="3"/>
        <v>2435348</v>
      </c>
      <c r="N58" s="197"/>
    </row>
    <row r="59" spans="1:15" x14ac:dyDescent="0.25">
      <c r="A59" s="199" t="s">
        <v>254</v>
      </c>
      <c r="B59" s="165">
        <f>IF(B57&lt;&gt;"",(B57-B58)/B58,"")</f>
        <v>-5.5082599595026177E-2</v>
      </c>
      <c r="C59" s="165">
        <f>IF(C57&lt;&gt;"",(C57-C58)/C58,"")</f>
        <v>9.9181825276843966E-2</v>
      </c>
      <c r="D59" s="165">
        <f>IF(D57&lt;&gt;"",(D57-D58)/D58,"")</f>
        <v>4.0324360646572896E-2</v>
      </c>
      <c r="E59" s="165">
        <f>IF(E57&lt;&gt;"",(E57-E58)/E58,"")</f>
        <v>-1.420126980105723E-2</v>
      </c>
      <c r="F59" s="165">
        <f>IF(F57&lt;&gt;"",(F57-F58)/F58,"")</f>
        <v>0.15582048296116691</v>
      </c>
      <c r="G59" s="165">
        <f t="shared" ref="G59:M59" si="4">IF(G57&lt;&gt;"",(G57-G58)/G58,"")</f>
        <v>6.541279926672415E-2</v>
      </c>
      <c r="H59" s="165">
        <f t="shared" si="4"/>
        <v>7.6006224710849446E-2</v>
      </c>
      <c r="I59" s="165">
        <f t="shared" si="4"/>
        <v>0.16116869926783928</v>
      </c>
      <c r="J59" s="165">
        <f t="shared" si="4"/>
        <v>0.10018569270753779</v>
      </c>
      <c r="K59" s="165">
        <f t="shared" si="4"/>
        <v>3.7932249937339707E-2</v>
      </c>
      <c r="L59" s="165">
        <f t="shared" si="4"/>
        <v>-3.1200398120540582E-2</v>
      </c>
      <c r="M59" s="165">
        <f t="shared" si="4"/>
        <v>0.16458879798698173</v>
      </c>
    </row>
    <row r="60" spans="1:15" x14ac:dyDescent="0.25">
      <c r="A60" s="195" t="s">
        <v>255</v>
      </c>
      <c r="B60" s="196">
        <f>SUM(B57:M57)</f>
        <v>28784413</v>
      </c>
    </row>
    <row r="61" spans="1:15" x14ac:dyDescent="0.25">
      <c r="A61" s="198" t="s">
        <v>256</v>
      </c>
      <c r="B61" s="196">
        <f>SUM(B58:M58)</f>
        <v>27082143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1.0628558087149897</v>
      </c>
      <c r="D62" s="152">
        <f>SUM(B46:E46)</f>
        <v>5.3100000000000005</v>
      </c>
      <c r="E62" s="152">
        <f>SUM(B49:E49)</f>
        <v>2.7199999999999998</v>
      </c>
      <c r="G62" s="126">
        <f>SUM(B47:E47)</f>
        <v>27.09</v>
      </c>
      <c r="H62" s="126">
        <f>SUM(B50:E50)</f>
        <v>14.91</v>
      </c>
      <c r="J62" s="200">
        <f>AVERAGE(H46:K46)</f>
        <v>0.17302499999999998</v>
      </c>
      <c r="K62" s="200">
        <f>AVERAGE(H49:K49)</f>
        <v>0.16067500000000001</v>
      </c>
      <c r="M62" s="200">
        <f>AVERAGE(H47:K47)</f>
        <v>5.8624999999999997E-2</v>
      </c>
      <c r="N62" s="200">
        <f>AVERAGE(H50:K50)</f>
        <v>4.9525E-2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0.33</v>
      </c>
      <c r="C65" s="205">
        <f t="shared" si="5"/>
        <v>0.37</v>
      </c>
      <c r="D65" s="205">
        <f t="shared" si="5"/>
        <v>0.41</v>
      </c>
      <c r="E65" s="205">
        <f t="shared" si="5"/>
        <v>0.48</v>
      </c>
      <c r="F65" s="206">
        <f>IF(ISNA(HLOOKUP(F$64*10+$A65,$81:$82,2,FALSE)),(HLOOKUP(E$64*10+$A65,$87:$94,4,FALSE)*$G65+$B$25)/HLOOKUP(E$64*10+$A65,$87:$94,5,FALSE)*$E65,HLOOKUP(F$64*10+$A65,$81:$82,2,FALSE))</f>
        <v>0.61</v>
      </c>
      <c r="G65" s="101">
        <f>MIN(130%,SUM($B$57:$D$57)/SUM($B$58:$D$58)*$G$69/HLOOKUP(E$64*10+$A65,$145:$146,2,FALSE))</f>
        <v>1.2218752567618829</v>
      </c>
      <c r="H65" s="204">
        <v>1</v>
      </c>
      <c r="I65" s="208">
        <f t="shared" ref="I65:M68" si="6">IF(ISNA(HLOOKUP(I$64*10+$H65,$145:$147,3,FALSE)),"",HLOOKUP(I$64*10+$H65,$145:$147,3,FALSE)/100)</f>
        <v>3.39E-2</v>
      </c>
      <c r="J65" s="208">
        <f t="shared" si="6"/>
        <v>2.7200000000000002E-2</v>
      </c>
      <c r="K65" s="208">
        <f t="shared" si="6"/>
        <v>2.9300000000000003E-2</v>
      </c>
      <c r="L65" s="208">
        <f t="shared" si="6"/>
        <v>1.8500000000000003E-2</v>
      </c>
      <c r="M65" s="209">
        <f t="shared" si="6"/>
        <v>3.8800000000000001E-2</v>
      </c>
      <c r="N65" s="256">
        <f t="shared" ref="N65:O68" si="7">HLOOKUP(E$64*10+$A65,$87:$94,8,FALSE)</f>
        <v>103156</v>
      </c>
      <c r="O65" s="256">
        <f t="shared" si="7"/>
        <v>46400</v>
      </c>
      <c r="P65" s="210"/>
    </row>
    <row r="66" spans="1:71" x14ac:dyDescent="0.25">
      <c r="A66" s="204">
        <v>2</v>
      </c>
      <c r="B66" s="205">
        <f t="shared" si="5"/>
        <v>0.68</v>
      </c>
      <c r="C66" s="205">
        <f t="shared" si="5"/>
        <v>0.83</v>
      </c>
      <c r="D66" s="205">
        <f t="shared" si="5"/>
        <v>0.79</v>
      </c>
      <c r="E66" s="205">
        <f t="shared" si="5"/>
        <v>0.74</v>
      </c>
      <c r="F66" s="206">
        <f>IF(ISNA(HLOOKUP(F$64*10+$A66,$81:$82,2,FALSE)),(HLOOKUP(E$64*10+$A66,$87:$94,4,FALSE)*$G66+$B$25)/HLOOKUP(E$64*10+$A66,$87:$94,5,FALSE)*$E66,HLOOKUP(F$64*10+$A66,$81:$82,2,FALSE))</f>
        <v>1.1100000000000001</v>
      </c>
      <c r="G66" s="101">
        <f>MIN(130%,SUM($B$57:$D$57)/SUM($B$58:$D$58)*$G$69/HLOOKUP(E$64*10+$A66,$145:$146,2,FALSE))</f>
        <v>1.1595835770053948</v>
      </c>
      <c r="H66" s="204">
        <v>2</v>
      </c>
      <c r="I66" s="208">
        <f t="shared" si="6"/>
        <v>4.2500000000000003E-2</v>
      </c>
      <c r="J66" s="208">
        <f t="shared" si="6"/>
        <v>4.4900000000000002E-2</v>
      </c>
      <c r="K66" s="208">
        <f t="shared" si="6"/>
        <v>4.1900000000000007E-2</v>
      </c>
      <c r="L66" s="208">
        <f t="shared" si="6"/>
        <v>4.5599999999999995E-2</v>
      </c>
      <c r="M66" s="209">
        <f t="shared" si="6"/>
        <v>5.96E-2</v>
      </c>
      <c r="N66" s="256">
        <f t="shared" si="7"/>
        <v>24664</v>
      </c>
      <c r="O66" s="256">
        <f t="shared" si="7"/>
        <v>114812</v>
      </c>
      <c r="P66" s="210"/>
    </row>
    <row r="67" spans="1:71" x14ac:dyDescent="0.25">
      <c r="A67" s="204">
        <v>3</v>
      </c>
      <c r="B67" s="205">
        <f t="shared" si="5"/>
        <v>1</v>
      </c>
      <c r="C67" s="205">
        <f t="shared" si="5"/>
        <v>1.01</v>
      </c>
      <c r="D67" s="205">
        <f t="shared" si="5"/>
        <v>0.81</v>
      </c>
      <c r="E67" s="205">
        <f t="shared" si="5"/>
        <v>0.3</v>
      </c>
      <c r="F67" s="206">
        <f>IF(ISNA(HLOOKUP(F$64*10+$A67,$81:$82,2,FALSE)),(HLOOKUP(E$64*10+$A67,$87:$94,4,FALSE)*$G67+$B$25)/HLOOKUP(E$64*10+$A67,$87:$94,5,FALSE)*$E67,HLOOKUP(F$64*10+$A67,$81:$82,2,FALSE))</f>
        <v>1.39</v>
      </c>
      <c r="G67" s="101">
        <f>MIN(130%,SUM($B$57:$D$57)/SUM($B$58:$D$58)*$G$69/HLOOKUP(E$64*10+$A67,$145:$146,2,FALSE))</f>
        <v>1.0006558786340971</v>
      </c>
      <c r="H67" s="204">
        <v>3</v>
      </c>
      <c r="I67" s="208">
        <f t="shared" si="6"/>
        <v>5.5E-2</v>
      </c>
      <c r="J67" s="208">
        <f t="shared" si="6"/>
        <v>4.7199999999999999E-2</v>
      </c>
      <c r="K67" s="208">
        <f t="shared" si="6"/>
        <v>4.3799999999999999E-2</v>
      </c>
      <c r="L67" s="208">
        <f t="shared" si="6"/>
        <v>6.8000000000000005E-2</v>
      </c>
      <c r="M67" s="209">
        <f t="shared" si="6"/>
        <v>7.0499999999999993E-2</v>
      </c>
      <c r="N67" s="256">
        <f t="shared" si="7"/>
        <v>-322909</v>
      </c>
      <c r="O67" s="256">
        <f t="shared" si="7"/>
        <v>55894</v>
      </c>
      <c r="P67" s="210"/>
    </row>
    <row r="68" spans="1:71" x14ac:dyDescent="0.25">
      <c r="A68" s="204">
        <v>4</v>
      </c>
      <c r="B68" s="205">
        <f>HLOOKUP(B$64*10+$A68,$81:$82,2,FALSE)</f>
        <v>0.44</v>
      </c>
      <c r="C68" s="205">
        <f>HLOOKUP(C$64*10+$A68,$81:$82,2,FALSE)</f>
        <v>0.95</v>
      </c>
      <c r="D68" s="205">
        <f>HLOOKUP(D$64*10+$A68,$81:$82,2,FALSE)</f>
        <v>1.2</v>
      </c>
      <c r="E68" s="206">
        <f>IF(ISNA(HLOOKUP(E$64*10+$A68,$81:$82,2,FALSE)),D68*(1-$N68)*#REF!*(1+$B$25)/(1+$E$4),HLOOKUP(E$64*10+$A68,$81:$82,2,FALSE))</f>
        <v>2.2000000000000002</v>
      </c>
      <c r="F68" s="206">
        <f>IF(ISNA(HLOOKUP(F$64*10+$A68,$81:$82,2,FALSE)),(HLOOKUP(E$64*10+$A68,$87:$94,4,FALSE)*$G68+$B$25)/HLOOKUP(E$64*10+$A68,$87:$94,5,FALSE)*$E68,HLOOKUP(F$64*10+$A68,$81:$82,2,FALSE))</f>
        <v>1.2398752620584312</v>
      </c>
      <c r="G68" s="101">
        <f>MIN(130%,SUM($B$57:$D$57)/SUM($B$58:$D$58)*$G$69/HLOOKUP(E$64*10+$A68,$145:$146,2,FALSE))</f>
        <v>0.97107984281239956</v>
      </c>
      <c r="H68" s="204">
        <v>4</v>
      </c>
      <c r="I68" s="208">
        <f t="shared" si="6"/>
        <v>6.8900000000000003E-2</v>
      </c>
      <c r="J68" s="208">
        <f t="shared" si="6"/>
        <v>3.8300000000000001E-2</v>
      </c>
      <c r="K68" s="208">
        <f t="shared" si="6"/>
        <v>6.6000000000000003E-2</v>
      </c>
      <c r="L68" s="208">
        <f t="shared" si="6"/>
        <v>6.5599999999999992E-2</v>
      </c>
      <c r="M68" s="209" t="str">
        <f t="shared" si="6"/>
        <v/>
      </c>
      <c r="N68" s="256">
        <f t="shared" si="7"/>
        <v>468290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2.4499999999999997</v>
      </c>
      <c r="C69" s="213">
        <f>SUM(C65:C68)</f>
        <v>3.16</v>
      </c>
      <c r="D69" s="213">
        <f>SUM(D65:D68)</f>
        <v>3.21</v>
      </c>
      <c r="E69" s="213">
        <f>SUM(E65:E68)</f>
        <v>3.72</v>
      </c>
      <c r="F69" s="213">
        <f>SUM(F65:F68)</f>
        <v>4.3498752620584318</v>
      </c>
      <c r="G69" s="257">
        <f>_xlfn.FORECAST.ETS(23,B146:W146,{1,2,3,4,5,6,7,8,9,10,11,12,13,14,15,16,17,18,19,20,21,22})</f>
        <v>17.24889982088612</v>
      </c>
      <c r="H69" s="214" t="s">
        <v>19</v>
      </c>
      <c r="I69" s="215">
        <f>HLOOKUP(I64,151:155,3,FALSE)/100</f>
        <v>5.1799999999999999E-2</v>
      </c>
      <c r="J69" s="215">
        <f>HLOOKUP(J64,151:155,3,FALSE)/100</f>
        <v>4.0199999999999993E-2</v>
      </c>
      <c r="K69" s="215">
        <f>HLOOKUP(K64,151:155,3,FALSE)/100</f>
        <v>4.6100000000000002E-2</v>
      </c>
      <c r="L69" s="215">
        <f>IF(ISNA(HLOOKUP(L64,151:155,3,FALSE)/100),AVERAGE(L65:L68),HLOOKUP(L64,151:155,3,FALSE)/100)</f>
        <v>5.2400000000000002E-2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2.2599999999999998</v>
      </c>
      <c r="C72" s="205">
        <f t="shared" si="8"/>
        <v>2.13</v>
      </c>
      <c r="D72" s="205">
        <f t="shared" si="8"/>
        <v>2.1800000000000002</v>
      </c>
      <c r="E72" s="205">
        <f t="shared" si="8"/>
        <v>2.54</v>
      </c>
      <c r="F72" s="205">
        <f t="shared" si="8"/>
        <v>3</v>
      </c>
    </row>
    <row r="73" spans="1:71" s="135" customFormat="1" x14ac:dyDescent="0.25">
      <c r="A73" s="204">
        <v>2</v>
      </c>
      <c r="B73" s="205">
        <f t="shared" si="8"/>
        <v>4.79</v>
      </c>
      <c r="C73" s="205">
        <f t="shared" si="8"/>
        <v>4.8499999999999996</v>
      </c>
      <c r="D73" s="205">
        <f t="shared" si="8"/>
        <v>4.53</v>
      </c>
      <c r="E73" s="205">
        <f t="shared" si="8"/>
        <v>4.03</v>
      </c>
      <c r="F73" s="205">
        <f t="shared" si="8"/>
        <v>5.65</v>
      </c>
    </row>
    <row r="74" spans="1:71" s="135" customFormat="1" x14ac:dyDescent="0.25">
      <c r="A74" s="204">
        <v>3</v>
      </c>
      <c r="B74" s="205">
        <f t="shared" si="8"/>
        <v>7.07</v>
      </c>
      <c r="C74" s="205">
        <f t="shared" si="8"/>
        <v>5.89</v>
      </c>
      <c r="D74" s="205">
        <f t="shared" si="8"/>
        <v>4.87</v>
      </c>
      <c r="E74" s="205">
        <f t="shared" si="8"/>
        <v>1.62</v>
      </c>
      <c r="F74" s="205">
        <f t="shared" si="8"/>
        <v>7.26</v>
      </c>
    </row>
    <row r="75" spans="1:71" s="135" customFormat="1" x14ac:dyDescent="0.25">
      <c r="A75" s="204">
        <v>4</v>
      </c>
      <c r="B75" s="205">
        <f t="shared" si="8"/>
        <v>2.67</v>
      </c>
      <c r="C75" s="205">
        <f t="shared" si="8"/>
        <v>5.2</v>
      </c>
      <c r="D75" s="205">
        <f t="shared" si="8"/>
        <v>6.72</v>
      </c>
      <c r="E75" s="205">
        <f t="shared" si="8"/>
        <v>11.18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16.79</v>
      </c>
      <c r="C76" s="213">
        <f>SUM(C72:C75)</f>
        <v>18.07</v>
      </c>
      <c r="D76" s="213">
        <f>SUM(D72:D75)</f>
        <v>18.3</v>
      </c>
      <c r="E76" s="213">
        <f>AVERAGE(E72:E75)*4</f>
        <v>19.37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72" t="s">
        <v>43</v>
      </c>
      <c r="C79" s="72" t="s">
        <v>43</v>
      </c>
      <c r="D79" s="72" t="s">
        <v>43</v>
      </c>
      <c r="E79" s="72" t="s">
        <v>43</v>
      </c>
      <c r="F79" s="72" t="s">
        <v>43</v>
      </c>
      <c r="G79" s="72" t="s">
        <v>43</v>
      </c>
      <c r="H79" s="72" t="s">
        <v>43</v>
      </c>
      <c r="I79" s="72" t="s">
        <v>43</v>
      </c>
      <c r="J79" s="72" t="s">
        <v>43</v>
      </c>
      <c r="K79" s="270">
        <v>1830969</v>
      </c>
      <c r="L79" s="270">
        <v>2013772</v>
      </c>
      <c r="M79" s="270">
        <v>2227529</v>
      </c>
      <c r="N79" s="270">
        <v>1749711</v>
      </c>
      <c r="O79" s="270">
        <v>1524533</v>
      </c>
      <c r="P79" s="270">
        <v>1921213</v>
      </c>
      <c r="Q79" s="270">
        <v>1631447</v>
      </c>
      <c r="R79" s="270">
        <v>1866351</v>
      </c>
      <c r="S79" s="270">
        <v>2343190</v>
      </c>
      <c r="T79" s="270">
        <v>2007739</v>
      </c>
      <c r="U79" s="270">
        <v>2177686</v>
      </c>
      <c r="V79" s="270">
        <v>2449696</v>
      </c>
      <c r="W79" s="270">
        <v>2386640</v>
      </c>
      <c r="X79" s="270">
        <v>2543937</v>
      </c>
      <c r="Y79" s="270">
        <v>2456216</v>
      </c>
      <c r="Z79" s="270">
        <v>1733418</v>
      </c>
      <c r="AA79" s="270">
        <v>1708350</v>
      </c>
      <c r="AB79" s="270">
        <v>2001968</v>
      </c>
      <c r="AC79" s="270">
        <v>2106018</v>
      </c>
      <c r="AD79" s="270">
        <v>2267898</v>
      </c>
      <c r="AE79" s="270">
        <v>2405957</v>
      </c>
      <c r="AF79" s="270">
        <v>2425725</v>
      </c>
      <c r="AG79" s="270">
        <v>2456132</v>
      </c>
      <c r="AH79" s="270">
        <v>2709331</v>
      </c>
      <c r="AI79" s="270">
        <v>2255709</v>
      </c>
      <c r="AJ79" s="270">
        <v>2420886</v>
      </c>
      <c r="AK79" s="270">
        <v>2523531</v>
      </c>
      <c r="AL79" s="270">
        <v>2027853</v>
      </c>
      <c r="AM79" s="270">
        <v>1802428</v>
      </c>
      <c r="AN79" s="270">
        <v>2227448</v>
      </c>
      <c r="AO79" s="270">
        <v>2041115</v>
      </c>
      <c r="AP79" s="270">
        <v>2031968</v>
      </c>
      <c r="AQ79" s="270">
        <v>2131010</v>
      </c>
      <c r="AR79" s="270">
        <v>2145032</v>
      </c>
      <c r="AS79" s="270">
        <v>2338718</v>
      </c>
      <c r="AT79" s="270">
        <v>2503924</v>
      </c>
      <c r="AU79" s="270">
        <v>2275974</v>
      </c>
      <c r="AV79" s="270">
        <v>2435348</v>
      </c>
      <c r="AW79" s="270">
        <v>2566057</v>
      </c>
      <c r="AX79" s="270">
        <v>1767467</v>
      </c>
      <c r="AY79" s="270">
        <v>1708737</v>
      </c>
      <c r="AZ79" s="270">
        <v>1885515</v>
      </c>
      <c r="BA79" s="270">
        <v>1979851</v>
      </c>
      <c r="BB79" s="270">
        <v>2020522</v>
      </c>
      <c r="BC79" s="270">
        <v>2321139</v>
      </c>
      <c r="BD79" s="270">
        <v>2384153</v>
      </c>
      <c r="BE79" s="270">
        <v>2550741</v>
      </c>
      <c r="BF79" s="270">
        <v>2767624</v>
      </c>
      <c r="BG79" s="270">
        <v>2694989</v>
      </c>
      <c r="BH79" s="270">
        <v>2836179</v>
      </c>
      <c r="BI79" s="270">
        <v>2485995</v>
      </c>
      <c r="BJ79" s="270">
        <v>1834511</v>
      </c>
      <c r="BK79" s="270">
        <v>1879928</v>
      </c>
      <c r="BL79" s="270">
        <v>2189401</v>
      </c>
      <c r="BM79" s="270">
        <v>2130332</v>
      </c>
      <c r="BN79" s="270">
        <v>2152690</v>
      </c>
      <c r="BO79" s="270">
        <v>2682820</v>
      </c>
      <c r="BP79" s="270">
        <v>2350295</v>
      </c>
      <c r="BQ79" s="270">
        <v>2653598</v>
      </c>
      <c r="BR79" s="270">
        <v>3042122</v>
      </c>
      <c r="BS79" s="270">
        <v>2546542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 t="s">
        <v>43</v>
      </c>
      <c r="C82" s="72">
        <v>0.72</v>
      </c>
      <c r="D82" s="72" t="s">
        <v>43</v>
      </c>
      <c r="E82" s="72">
        <v>1.05</v>
      </c>
      <c r="F82" s="72">
        <v>0.33</v>
      </c>
      <c r="G82" s="72">
        <v>0.68</v>
      </c>
      <c r="H82" s="72">
        <v>1</v>
      </c>
      <c r="I82" s="72">
        <v>0.44</v>
      </c>
      <c r="J82" s="72">
        <v>0.37</v>
      </c>
      <c r="K82" s="72">
        <v>0.83</v>
      </c>
      <c r="L82" s="72">
        <v>1.01</v>
      </c>
      <c r="M82" s="72">
        <v>0.95</v>
      </c>
      <c r="N82" s="72">
        <v>0.41</v>
      </c>
      <c r="O82" s="72">
        <v>0.79</v>
      </c>
      <c r="P82" s="72">
        <v>0.81</v>
      </c>
      <c r="Q82" s="72">
        <v>1.2</v>
      </c>
      <c r="R82" s="72">
        <v>0.48</v>
      </c>
      <c r="S82" s="72">
        <v>0.74</v>
      </c>
      <c r="T82" s="72">
        <v>0.3</v>
      </c>
      <c r="U82" s="72">
        <v>2.2000000000000002</v>
      </c>
      <c r="V82" s="72">
        <v>0.61</v>
      </c>
      <c r="W82" s="72">
        <v>1.1100000000000001</v>
      </c>
      <c r="X82" s="72">
        <v>1.39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 t="s">
        <v>43</v>
      </c>
      <c r="C85" s="72">
        <v>14.59</v>
      </c>
      <c r="D85" s="72" t="s">
        <v>43</v>
      </c>
      <c r="E85" s="72">
        <v>14.25</v>
      </c>
      <c r="F85" s="72">
        <v>14.78</v>
      </c>
      <c r="G85" s="72">
        <v>13.75</v>
      </c>
      <c r="H85" s="72">
        <v>14.61</v>
      </c>
      <c r="I85" s="72">
        <v>16.98</v>
      </c>
      <c r="J85" s="72">
        <v>17.600000000000001</v>
      </c>
      <c r="K85" s="72">
        <v>16.940000000000001</v>
      </c>
      <c r="L85" s="72">
        <v>17.440000000000001</v>
      </c>
      <c r="M85" s="72">
        <v>18.3</v>
      </c>
      <c r="N85" s="72">
        <v>18.54</v>
      </c>
      <c r="O85" s="72">
        <v>16.36</v>
      </c>
      <c r="P85" s="72">
        <v>16.690000000000001</v>
      </c>
      <c r="Q85" s="72">
        <v>18.32</v>
      </c>
      <c r="R85" s="72">
        <v>18.66</v>
      </c>
      <c r="S85" s="72">
        <v>17.61</v>
      </c>
      <c r="T85" s="72">
        <v>19.059999999999999</v>
      </c>
      <c r="U85" s="72">
        <v>19.55</v>
      </c>
      <c r="V85" s="72">
        <v>20.6</v>
      </c>
      <c r="W85" s="72">
        <v>18.559999999999999</v>
      </c>
      <c r="X85" s="72">
        <v>19.559999999999999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5106855</v>
      </c>
      <c r="C88" s="273">
        <v>5654370</v>
      </c>
      <c r="D88" s="273">
        <v>6513377</v>
      </c>
      <c r="E88" s="273">
        <v>6341688</v>
      </c>
      <c r="F88" s="273">
        <v>5196874</v>
      </c>
      <c r="G88" s="273">
        <v>5845267</v>
      </c>
      <c r="H88" s="273">
        <v>6621984</v>
      </c>
      <c r="I88" s="273">
        <v>7391879</v>
      </c>
      <c r="J88" s="273">
        <v>5443789</v>
      </c>
      <c r="K88" s="273">
        <v>6780552</v>
      </c>
      <c r="L88" s="273">
        <v>7591267</v>
      </c>
      <c r="M88" s="273">
        <v>7197616</v>
      </c>
      <c r="N88" s="273">
        <v>6057619</v>
      </c>
      <c r="O88" s="273">
        <v>6203891</v>
      </c>
      <c r="P88" s="273">
        <v>6986222</v>
      </c>
      <c r="Q88" s="273">
        <v>7271000</v>
      </c>
      <c r="R88" s="273">
        <v>5362403</v>
      </c>
      <c r="S88" s="273">
        <v>6325408</v>
      </c>
      <c r="T88" s="273">
        <v>7706216</v>
      </c>
      <c r="U88" s="273">
        <v>8025436</v>
      </c>
      <c r="V88" s="273">
        <v>5905427</v>
      </c>
      <c r="W88" s="273">
        <v>6969857</v>
      </c>
      <c r="X88" s="273">
        <v>8045812</v>
      </c>
    </row>
    <row r="89" spans="1:25" ht="14.25" thickBot="1" x14ac:dyDescent="0.3">
      <c r="A89" s="250" t="s">
        <v>4</v>
      </c>
      <c r="B89" s="275">
        <v>645080</v>
      </c>
      <c r="C89" s="275">
        <v>782406</v>
      </c>
      <c r="D89" s="275">
        <v>918743</v>
      </c>
      <c r="E89" s="275">
        <v>820071</v>
      </c>
      <c r="F89" s="275">
        <v>730861</v>
      </c>
      <c r="G89" s="275">
        <v>781020</v>
      </c>
      <c r="H89" s="275">
        <v>1031252</v>
      </c>
      <c r="I89" s="275">
        <v>1233405</v>
      </c>
      <c r="J89" s="275">
        <v>780845</v>
      </c>
      <c r="K89" s="275">
        <v>955816</v>
      </c>
      <c r="L89" s="275">
        <v>1070320</v>
      </c>
      <c r="M89" s="275">
        <v>1080821</v>
      </c>
      <c r="N89" s="275">
        <v>876247</v>
      </c>
      <c r="O89" s="275">
        <v>920842</v>
      </c>
      <c r="P89" s="275">
        <v>1107624</v>
      </c>
      <c r="Q89" s="275">
        <v>1215619</v>
      </c>
      <c r="R89" s="275">
        <v>778794</v>
      </c>
      <c r="S89" s="275">
        <v>967508</v>
      </c>
      <c r="T89" s="275">
        <v>1366053</v>
      </c>
      <c r="U89" s="275">
        <v>1465918</v>
      </c>
      <c r="V89" s="275">
        <v>992050</v>
      </c>
      <c r="W89" s="275">
        <v>1173326</v>
      </c>
      <c r="X89" s="275">
        <v>1392818</v>
      </c>
    </row>
    <row r="90" spans="1:25" ht="14.25" thickBot="1" x14ac:dyDescent="0.3">
      <c r="A90" s="251" t="s">
        <v>5</v>
      </c>
      <c r="B90" s="68"/>
      <c r="C90" s="273">
        <v>257140</v>
      </c>
      <c r="D90" s="68"/>
      <c r="E90" s="273">
        <v>329446</v>
      </c>
      <c r="F90" s="273">
        <v>176002</v>
      </c>
      <c r="G90" s="273">
        <v>248610</v>
      </c>
      <c r="H90" s="273">
        <v>364156</v>
      </c>
      <c r="I90" s="273">
        <v>508941</v>
      </c>
      <c r="J90" s="273">
        <v>148096</v>
      </c>
      <c r="K90" s="273">
        <v>304771</v>
      </c>
      <c r="L90" s="273">
        <v>358318</v>
      </c>
      <c r="M90" s="273">
        <v>275972</v>
      </c>
      <c r="N90" s="273">
        <v>177186</v>
      </c>
      <c r="O90" s="273">
        <v>259858</v>
      </c>
      <c r="P90" s="273">
        <v>305815</v>
      </c>
      <c r="Q90" s="273">
        <v>480047</v>
      </c>
      <c r="R90" s="273">
        <v>99175</v>
      </c>
      <c r="S90" s="273">
        <v>288352</v>
      </c>
      <c r="T90" s="273">
        <v>523805</v>
      </c>
      <c r="U90" s="273">
        <v>526479</v>
      </c>
      <c r="V90" s="273">
        <v>228904</v>
      </c>
      <c r="W90" s="273">
        <v>415253</v>
      </c>
      <c r="X90" s="273">
        <v>567587</v>
      </c>
    </row>
    <row r="91" spans="1:25" ht="14.25" thickBot="1" x14ac:dyDescent="0.3">
      <c r="A91" s="250" t="s">
        <v>6</v>
      </c>
      <c r="B91" s="275">
        <v>139122</v>
      </c>
      <c r="C91" s="275">
        <v>227955</v>
      </c>
      <c r="D91" s="275">
        <v>321284</v>
      </c>
      <c r="E91" s="275">
        <v>365379</v>
      </c>
      <c r="F91" s="275">
        <v>157504</v>
      </c>
      <c r="G91" s="275">
        <v>264852</v>
      </c>
      <c r="H91" s="275">
        <v>384874</v>
      </c>
      <c r="I91" s="275">
        <v>236328</v>
      </c>
      <c r="J91" s="275">
        <v>159032</v>
      </c>
      <c r="K91" s="275">
        <v>361900</v>
      </c>
      <c r="L91" s="275">
        <v>419905</v>
      </c>
      <c r="M91" s="275">
        <v>396625</v>
      </c>
      <c r="N91" s="275">
        <v>174745</v>
      </c>
      <c r="O91" s="275">
        <v>337286</v>
      </c>
      <c r="P91" s="275">
        <v>365154</v>
      </c>
      <c r="Q91" s="275">
        <v>527810</v>
      </c>
      <c r="R91" s="275">
        <v>202331</v>
      </c>
      <c r="S91" s="275">
        <v>313016</v>
      </c>
      <c r="T91" s="275">
        <v>200896</v>
      </c>
      <c r="U91" s="275">
        <v>994769</v>
      </c>
      <c r="V91" s="275">
        <v>275304</v>
      </c>
      <c r="W91" s="275">
        <v>530065</v>
      </c>
      <c r="X91" s="275">
        <v>623481</v>
      </c>
    </row>
    <row r="92" spans="1:25" ht="14.25" thickBot="1" x14ac:dyDescent="0.3">
      <c r="A92" s="251" t="s">
        <v>7</v>
      </c>
      <c r="B92" s="273">
        <v>111562</v>
      </c>
      <c r="C92" s="273">
        <v>197291</v>
      </c>
      <c r="D92" s="273">
        <v>268258</v>
      </c>
      <c r="E92" s="273">
        <v>335149</v>
      </c>
      <c r="F92" s="273">
        <v>106940</v>
      </c>
      <c r="G92" s="273">
        <v>222833</v>
      </c>
      <c r="H92" s="273">
        <v>328212</v>
      </c>
      <c r="I92" s="273">
        <v>144462</v>
      </c>
      <c r="J92" s="273">
        <v>130081</v>
      </c>
      <c r="K92" s="273">
        <v>295761</v>
      </c>
      <c r="L92" s="273">
        <v>362393</v>
      </c>
      <c r="M92" s="273">
        <v>336360</v>
      </c>
      <c r="N92" s="273">
        <v>145553</v>
      </c>
      <c r="O92" s="273">
        <v>284817</v>
      </c>
      <c r="P92" s="273">
        <v>291231</v>
      </c>
      <c r="Q92" s="273">
        <v>427647</v>
      </c>
      <c r="R92" s="273">
        <v>170191</v>
      </c>
      <c r="S92" s="273">
        <v>265651</v>
      </c>
      <c r="T92" s="273">
        <v>108707</v>
      </c>
      <c r="U92" s="273">
        <v>792482</v>
      </c>
      <c r="V92" s="273">
        <v>221114</v>
      </c>
      <c r="W92" s="273">
        <v>410958</v>
      </c>
      <c r="X92" s="273">
        <v>518779</v>
      </c>
    </row>
    <row r="93" spans="1:25" ht="26.25" thickBot="1" x14ac:dyDescent="0.3">
      <c r="A93" s="252" t="s">
        <v>8</v>
      </c>
      <c r="B93" s="73" t="s">
        <v>43</v>
      </c>
      <c r="C93" s="73" t="s">
        <v>43</v>
      </c>
      <c r="D93" s="73" t="s">
        <v>43</v>
      </c>
      <c r="E93" s="73" t="s">
        <v>43</v>
      </c>
      <c r="F93" s="276">
        <v>106940</v>
      </c>
      <c r="G93" s="276">
        <v>222833</v>
      </c>
      <c r="H93" s="276">
        <v>328212</v>
      </c>
      <c r="I93" s="276">
        <v>144462</v>
      </c>
      <c r="J93" s="276">
        <v>130081</v>
      </c>
      <c r="K93" s="276">
        <v>295761</v>
      </c>
      <c r="L93" s="276">
        <v>363122</v>
      </c>
      <c r="M93" s="276">
        <v>339611</v>
      </c>
      <c r="N93" s="276">
        <v>146981</v>
      </c>
      <c r="O93" s="276">
        <v>285503</v>
      </c>
      <c r="P93" s="276">
        <v>291569</v>
      </c>
      <c r="Q93" s="276">
        <v>430087</v>
      </c>
      <c r="R93" s="276">
        <v>171554</v>
      </c>
      <c r="S93" s="276">
        <v>265836</v>
      </c>
      <c r="T93" s="276">
        <v>109517</v>
      </c>
      <c r="U93" s="276">
        <v>793746</v>
      </c>
      <c r="V93" s="276">
        <v>222261</v>
      </c>
      <c r="W93" s="276">
        <v>411145</v>
      </c>
      <c r="X93" s="276">
        <v>517861</v>
      </c>
    </row>
    <row r="94" spans="1:25" x14ac:dyDescent="0.25">
      <c r="A94" s="233" t="s">
        <v>365</v>
      </c>
      <c r="B94" s="253">
        <f>IF(B91="","",B91-B90)</f>
        <v>139122</v>
      </c>
      <c r="C94" s="253">
        <f>IF(C91="","",C91-C90)</f>
        <v>-29185</v>
      </c>
      <c r="D94" s="253">
        <f t="shared" ref="D94:Y94" si="9">IF(D91="","",D91-D90)</f>
        <v>321284</v>
      </c>
      <c r="E94" s="253">
        <f t="shared" si="9"/>
        <v>35933</v>
      </c>
      <c r="F94" s="253">
        <f t="shared" si="9"/>
        <v>-18498</v>
      </c>
      <c r="G94" s="253">
        <f t="shared" si="9"/>
        <v>16242</v>
      </c>
      <c r="H94" s="253">
        <f t="shared" si="9"/>
        <v>20718</v>
      </c>
      <c r="I94" s="253">
        <f t="shared" si="9"/>
        <v>-272613</v>
      </c>
      <c r="J94" s="253">
        <f t="shared" si="9"/>
        <v>10936</v>
      </c>
      <c r="K94" s="253">
        <f t="shared" si="9"/>
        <v>57129</v>
      </c>
      <c r="L94" s="253">
        <f t="shared" si="9"/>
        <v>61587</v>
      </c>
      <c r="M94" s="253">
        <f t="shared" si="9"/>
        <v>120653</v>
      </c>
      <c r="N94" s="253">
        <f t="shared" si="9"/>
        <v>-2441</v>
      </c>
      <c r="O94" s="253">
        <f t="shared" si="9"/>
        <v>77428</v>
      </c>
      <c r="P94" s="253">
        <f t="shared" si="9"/>
        <v>59339</v>
      </c>
      <c r="Q94" s="253">
        <f t="shared" si="9"/>
        <v>47763</v>
      </c>
      <c r="R94" s="253">
        <f t="shared" si="9"/>
        <v>103156</v>
      </c>
      <c r="S94" s="253">
        <f t="shared" si="9"/>
        <v>24664</v>
      </c>
      <c r="T94" s="253">
        <f t="shared" si="9"/>
        <v>-322909</v>
      </c>
      <c r="U94" s="253">
        <f t="shared" si="9"/>
        <v>468290</v>
      </c>
      <c r="V94" s="253">
        <f t="shared" si="9"/>
        <v>46400</v>
      </c>
      <c r="W94" s="253">
        <f t="shared" si="9"/>
        <v>114812</v>
      </c>
      <c r="X94" s="253">
        <f t="shared" si="9"/>
        <v>55894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23616290</v>
      </c>
      <c r="C97" s="273">
        <v>25056004</v>
      </c>
      <c r="D97" s="273">
        <v>27013224</v>
      </c>
      <c r="E97" s="273">
        <v>26518732</v>
      </c>
      <c r="F97" s="273">
        <v>27419463</v>
      </c>
    </row>
    <row r="98" spans="1:24" ht="14.25" thickBot="1" x14ac:dyDescent="0.3">
      <c r="A98" s="225" t="s">
        <v>4</v>
      </c>
      <c r="B98" s="275">
        <v>3166300</v>
      </c>
      <c r="C98" s="275">
        <v>3776538</v>
      </c>
      <c r="D98" s="275">
        <v>3887802</v>
      </c>
      <c r="E98" s="275">
        <v>4120332</v>
      </c>
      <c r="F98" s="275">
        <v>4578273</v>
      </c>
    </row>
    <row r="99" spans="1:24" ht="14.25" thickBot="1" x14ac:dyDescent="0.3">
      <c r="A99" s="224" t="s">
        <v>5</v>
      </c>
      <c r="B99" s="273">
        <v>1076536</v>
      </c>
      <c r="C99" s="273">
        <v>1297709</v>
      </c>
      <c r="D99" s="273">
        <v>1087157</v>
      </c>
      <c r="E99" s="273">
        <v>1223283</v>
      </c>
      <c r="F99" s="273">
        <v>1437811</v>
      </c>
    </row>
    <row r="100" spans="1:24" ht="14.25" thickBot="1" x14ac:dyDescent="0.3">
      <c r="A100" s="225" t="s">
        <v>6</v>
      </c>
      <c r="B100" s="275">
        <v>1054053</v>
      </c>
      <c r="C100" s="275">
        <v>1043558</v>
      </c>
      <c r="D100" s="275">
        <v>1337462</v>
      </c>
      <c r="E100" s="275">
        <v>1404995</v>
      </c>
      <c r="F100" s="275">
        <v>1711012</v>
      </c>
    </row>
    <row r="101" spans="1:24" ht="14.25" thickBot="1" x14ac:dyDescent="0.3">
      <c r="A101" s="224" t="s">
        <v>7</v>
      </c>
      <c r="B101" s="273">
        <v>912573</v>
      </c>
      <c r="C101" s="273">
        <v>802447</v>
      </c>
      <c r="D101" s="273">
        <v>1124595</v>
      </c>
      <c r="E101" s="273">
        <v>1149248</v>
      </c>
      <c r="F101" s="273">
        <v>1337031</v>
      </c>
    </row>
    <row r="102" spans="1:24" ht="14.25" thickBot="1" x14ac:dyDescent="0.3">
      <c r="A102" s="227" t="s">
        <v>8</v>
      </c>
      <c r="B102" s="276">
        <v>912573</v>
      </c>
      <c r="C102" s="276">
        <v>802447</v>
      </c>
      <c r="D102" s="276">
        <v>1128575</v>
      </c>
      <c r="E102" s="276">
        <v>1154140</v>
      </c>
      <c r="F102" s="276">
        <v>1340653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1.0035390518364389</v>
      </c>
      <c r="E103" s="234">
        <f>IF(OR(E102="",E102="無"),"",E102/E101)</f>
        <v>1.0042566965528763</v>
      </c>
      <c r="F103" s="234">
        <f>IF(OR(F102="",F102="無"),"",F102/F101)</f>
        <v>1.0027089873009676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304375</v>
      </c>
      <c r="C106" s="273">
        <v>249439</v>
      </c>
      <c r="D106" s="273">
        <v>581073</v>
      </c>
      <c r="E106" s="273">
        <v>396489</v>
      </c>
      <c r="F106" s="273">
        <v>293771</v>
      </c>
      <c r="G106" s="273">
        <v>353304</v>
      </c>
      <c r="H106" s="273">
        <v>461163</v>
      </c>
      <c r="I106" s="273">
        <v>388956</v>
      </c>
      <c r="J106" s="273">
        <v>610990</v>
      </c>
      <c r="K106" s="273">
        <v>653939</v>
      </c>
      <c r="L106" s="273">
        <v>894360</v>
      </c>
      <c r="M106" s="273">
        <v>886043</v>
      </c>
      <c r="N106" s="273">
        <v>880550</v>
      </c>
      <c r="O106" s="273">
        <v>705409</v>
      </c>
      <c r="P106" s="273">
        <v>813852</v>
      </c>
      <c r="Q106" s="273">
        <v>712881</v>
      </c>
      <c r="R106" s="273">
        <v>751847</v>
      </c>
      <c r="S106" s="273">
        <v>474568</v>
      </c>
      <c r="T106" s="273">
        <v>699475</v>
      </c>
      <c r="U106" s="273">
        <v>911718</v>
      </c>
      <c r="V106" s="273">
        <v>2890931</v>
      </c>
      <c r="W106" s="273">
        <v>1035963</v>
      </c>
      <c r="X106" s="273">
        <v>959320</v>
      </c>
    </row>
    <row r="107" spans="1:24" ht="14.25" thickBot="1" x14ac:dyDescent="0.3">
      <c r="A107" s="225" t="s">
        <v>22</v>
      </c>
      <c r="B107" s="274">
        <v>0</v>
      </c>
      <c r="C107" s="275">
        <v>538212</v>
      </c>
      <c r="D107" s="274">
        <v>0</v>
      </c>
      <c r="E107" s="275">
        <v>331940</v>
      </c>
      <c r="F107" s="275">
        <v>434693</v>
      </c>
      <c r="G107" s="275">
        <v>385474</v>
      </c>
      <c r="H107" s="275">
        <v>438126</v>
      </c>
      <c r="I107" s="275">
        <v>609271</v>
      </c>
      <c r="J107" s="275">
        <v>1131781</v>
      </c>
      <c r="K107" s="275">
        <v>1082383</v>
      </c>
      <c r="L107" s="275">
        <v>956823</v>
      </c>
      <c r="M107" s="275">
        <v>793240</v>
      </c>
      <c r="N107" s="275">
        <v>922678</v>
      </c>
      <c r="O107" s="275">
        <v>992179</v>
      </c>
      <c r="P107" s="275">
        <v>960101</v>
      </c>
      <c r="Q107" s="275">
        <v>829496</v>
      </c>
      <c r="R107" s="275">
        <v>708889</v>
      </c>
      <c r="S107" s="275">
        <v>1090134</v>
      </c>
      <c r="T107" s="275">
        <v>1182451</v>
      </c>
      <c r="U107" s="275">
        <v>1343596</v>
      </c>
      <c r="V107" s="275">
        <v>1390642</v>
      </c>
      <c r="W107" s="275">
        <v>1429135</v>
      </c>
      <c r="X107" s="275">
        <v>1376926</v>
      </c>
    </row>
    <row r="108" spans="1:24" ht="14.25" thickBot="1" x14ac:dyDescent="0.3">
      <c r="A108" s="224" t="s">
        <v>263</v>
      </c>
      <c r="B108" s="68">
        <v>0</v>
      </c>
      <c r="C108" s="273">
        <v>5411198</v>
      </c>
      <c r="D108" s="68">
        <v>0</v>
      </c>
      <c r="E108" s="273">
        <v>7058683</v>
      </c>
      <c r="F108" s="273">
        <v>6404625</v>
      </c>
      <c r="G108" s="273">
        <v>7546928</v>
      </c>
      <c r="H108" s="273">
        <v>8063908</v>
      </c>
      <c r="I108" s="273">
        <v>8030444</v>
      </c>
      <c r="J108" s="273">
        <v>6226189</v>
      </c>
      <c r="K108" s="273">
        <v>7544522</v>
      </c>
      <c r="L108" s="273">
        <v>8345462</v>
      </c>
      <c r="M108" s="273">
        <v>8049073</v>
      </c>
      <c r="N108" s="273">
        <v>7472614</v>
      </c>
      <c r="O108" s="273">
        <v>8186972</v>
      </c>
      <c r="P108" s="273">
        <v>9442900</v>
      </c>
      <c r="Q108" s="273">
        <v>8385115</v>
      </c>
      <c r="R108" s="273">
        <v>6862815</v>
      </c>
      <c r="S108" s="273">
        <v>7665048</v>
      </c>
      <c r="T108" s="273">
        <v>8641863</v>
      </c>
      <c r="U108" s="273">
        <v>8669917</v>
      </c>
      <c r="V108" s="273">
        <v>6693188</v>
      </c>
      <c r="W108" s="273">
        <v>8339473</v>
      </c>
      <c r="X108" s="273">
        <v>9597654</v>
      </c>
    </row>
    <row r="109" spans="1:24" ht="14.25" thickBot="1" x14ac:dyDescent="0.3">
      <c r="A109" s="225" t="s">
        <v>264</v>
      </c>
      <c r="B109" s="275">
        <v>3002242</v>
      </c>
      <c r="C109" s="275">
        <v>3002754</v>
      </c>
      <c r="D109" s="275">
        <v>2950283</v>
      </c>
      <c r="E109" s="275">
        <v>3120661</v>
      </c>
      <c r="F109" s="275">
        <v>2959777</v>
      </c>
      <c r="G109" s="275">
        <v>2606361</v>
      </c>
      <c r="H109" s="275">
        <v>3095610</v>
      </c>
      <c r="I109" s="275">
        <v>3349870</v>
      </c>
      <c r="J109" s="275">
        <v>3337012</v>
      </c>
      <c r="K109" s="275">
        <v>2981180</v>
      </c>
      <c r="L109" s="275">
        <v>3285043</v>
      </c>
      <c r="M109" s="275">
        <v>3741861</v>
      </c>
      <c r="N109" s="275">
        <v>3214123</v>
      </c>
      <c r="O109" s="275">
        <v>2888030</v>
      </c>
      <c r="P109" s="275">
        <v>3141734</v>
      </c>
      <c r="Q109" s="275">
        <v>3211377</v>
      </c>
      <c r="R109" s="275">
        <v>2927858</v>
      </c>
      <c r="S109" s="275">
        <v>2924168</v>
      </c>
      <c r="T109" s="275">
        <v>3957870</v>
      </c>
      <c r="U109" s="275">
        <v>4067376</v>
      </c>
      <c r="V109" s="275">
        <v>3852231</v>
      </c>
      <c r="W109" s="275">
        <v>3819732</v>
      </c>
      <c r="X109" s="275">
        <v>4358043</v>
      </c>
    </row>
    <row r="110" spans="1:24" ht="14.25" thickBot="1" x14ac:dyDescent="0.3">
      <c r="A110" s="224" t="s">
        <v>23</v>
      </c>
      <c r="B110" s="273">
        <v>5889225</v>
      </c>
      <c r="C110" s="273">
        <v>639686</v>
      </c>
      <c r="D110" s="273">
        <v>7053577</v>
      </c>
      <c r="E110" s="273">
        <v>465771</v>
      </c>
      <c r="F110" s="273">
        <v>362432</v>
      </c>
      <c r="G110" s="273">
        <v>506592</v>
      </c>
      <c r="H110" s="273">
        <v>390076</v>
      </c>
      <c r="I110" s="273">
        <v>336188</v>
      </c>
      <c r="J110" s="273">
        <v>294275</v>
      </c>
      <c r="K110" s="273">
        <v>297089</v>
      </c>
      <c r="L110" s="273">
        <v>372446</v>
      </c>
      <c r="M110" s="273">
        <v>767183</v>
      </c>
      <c r="N110" s="273">
        <v>691514</v>
      </c>
      <c r="O110" s="273">
        <v>559118</v>
      </c>
      <c r="P110" s="273">
        <v>618576</v>
      </c>
      <c r="Q110" s="273">
        <v>551736</v>
      </c>
      <c r="R110" s="273">
        <v>907791</v>
      </c>
      <c r="S110" s="273">
        <v>673000</v>
      </c>
      <c r="T110" s="273">
        <v>820534</v>
      </c>
      <c r="U110" s="273">
        <v>890601</v>
      </c>
      <c r="V110" s="273">
        <v>1043711</v>
      </c>
      <c r="W110" s="273">
        <v>751979</v>
      </c>
      <c r="X110" s="273">
        <v>796760</v>
      </c>
    </row>
    <row r="111" spans="1:24" ht="14.25" thickBot="1" x14ac:dyDescent="0.3">
      <c r="A111" s="225" t="s">
        <v>24</v>
      </c>
      <c r="B111" s="275">
        <v>9195842</v>
      </c>
      <c r="C111" s="275">
        <v>9841289</v>
      </c>
      <c r="D111" s="275">
        <v>10584933</v>
      </c>
      <c r="E111" s="275">
        <v>11373544</v>
      </c>
      <c r="F111" s="275">
        <v>10455298</v>
      </c>
      <c r="G111" s="275">
        <v>11398659</v>
      </c>
      <c r="H111" s="275">
        <v>12448883</v>
      </c>
      <c r="I111" s="275">
        <v>12714729</v>
      </c>
      <c r="J111" s="275">
        <v>11600247</v>
      </c>
      <c r="K111" s="275">
        <v>12559113</v>
      </c>
      <c r="L111" s="275">
        <v>13854134</v>
      </c>
      <c r="M111" s="275">
        <v>14237400</v>
      </c>
      <c r="N111" s="275">
        <v>13181479</v>
      </c>
      <c r="O111" s="275">
        <v>13331708</v>
      </c>
      <c r="P111" s="275">
        <v>14977163</v>
      </c>
      <c r="Q111" s="275">
        <v>13690605</v>
      </c>
      <c r="R111" s="275">
        <v>12159200</v>
      </c>
      <c r="S111" s="275">
        <v>12826918</v>
      </c>
      <c r="T111" s="275">
        <v>15302193</v>
      </c>
      <c r="U111" s="275">
        <v>15883208</v>
      </c>
      <c r="V111" s="275">
        <v>15870703</v>
      </c>
      <c r="W111" s="275">
        <v>15376282</v>
      </c>
      <c r="X111" s="275">
        <v>17088703</v>
      </c>
    </row>
    <row r="112" spans="1:24" ht="14.25" thickBot="1" x14ac:dyDescent="0.3">
      <c r="A112" s="224" t="s">
        <v>25</v>
      </c>
      <c r="B112" s="68">
        <v>0</v>
      </c>
      <c r="C112" s="273">
        <v>503532</v>
      </c>
      <c r="D112" s="68">
        <v>0</v>
      </c>
      <c r="E112" s="273">
        <v>437713</v>
      </c>
      <c r="F112" s="273">
        <v>443595</v>
      </c>
      <c r="G112" s="273">
        <v>416539</v>
      </c>
      <c r="H112" s="273">
        <v>404237</v>
      </c>
      <c r="I112" s="273">
        <v>444775</v>
      </c>
      <c r="J112" s="273">
        <v>500988</v>
      </c>
      <c r="K112" s="273">
        <v>495064</v>
      </c>
      <c r="L112" s="273">
        <v>443122</v>
      </c>
      <c r="M112" s="273">
        <v>711644</v>
      </c>
      <c r="N112" s="273">
        <v>691286</v>
      </c>
      <c r="O112" s="273">
        <v>757333</v>
      </c>
      <c r="P112" s="273">
        <v>746658</v>
      </c>
      <c r="Q112" s="273">
        <v>1070001</v>
      </c>
      <c r="R112" s="273">
        <v>1111450</v>
      </c>
      <c r="S112" s="273">
        <v>1271613</v>
      </c>
      <c r="T112" s="273">
        <v>1218132</v>
      </c>
      <c r="U112" s="273">
        <v>540540</v>
      </c>
      <c r="V112" s="273">
        <v>962741</v>
      </c>
      <c r="W112" s="273">
        <v>1001261</v>
      </c>
      <c r="X112" s="273">
        <v>928744</v>
      </c>
    </row>
    <row r="113" spans="1:24" ht="14.25" thickBot="1" x14ac:dyDescent="0.3">
      <c r="A113" s="225" t="s">
        <v>26</v>
      </c>
      <c r="B113" s="275">
        <v>2180384</v>
      </c>
      <c r="C113" s="275">
        <v>2395875</v>
      </c>
      <c r="D113" s="275">
        <v>2067931</v>
      </c>
      <c r="E113" s="275">
        <v>2652623</v>
      </c>
      <c r="F113" s="275">
        <v>2687951</v>
      </c>
      <c r="G113" s="275">
        <v>2725889</v>
      </c>
      <c r="H113" s="275">
        <v>2769445</v>
      </c>
      <c r="I113" s="275">
        <v>2591144</v>
      </c>
      <c r="J113" s="275">
        <v>2602794</v>
      </c>
      <c r="K113" s="275">
        <v>2579331</v>
      </c>
      <c r="L113" s="275">
        <v>2660555</v>
      </c>
      <c r="M113" s="275">
        <v>2748945</v>
      </c>
      <c r="N113" s="275">
        <v>2702450</v>
      </c>
      <c r="O113" s="275">
        <v>2640022</v>
      </c>
      <c r="P113" s="275">
        <v>2715791</v>
      </c>
      <c r="Q113" s="275">
        <v>2657578</v>
      </c>
      <c r="R113" s="275">
        <v>2596421</v>
      </c>
      <c r="S113" s="275">
        <v>2438054</v>
      </c>
      <c r="T113" s="275">
        <v>2311782</v>
      </c>
      <c r="U113" s="275">
        <v>2335096</v>
      </c>
      <c r="V113" s="275">
        <v>2204182</v>
      </c>
      <c r="W113" s="275">
        <v>2239233</v>
      </c>
      <c r="X113" s="275">
        <v>2206765</v>
      </c>
    </row>
    <row r="114" spans="1:24" ht="14.25" thickBot="1" x14ac:dyDescent="0.3">
      <c r="A114" s="224" t="s">
        <v>27</v>
      </c>
      <c r="B114" s="273">
        <v>1149950</v>
      </c>
      <c r="C114" s="273">
        <v>276510</v>
      </c>
      <c r="D114" s="273">
        <v>1284848</v>
      </c>
      <c r="E114" s="273">
        <v>374575</v>
      </c>
      <c r="F114" s="273">
        <v>683249</v>
      </c>
      <c r="G114" s="273">
        <v>656561</v>
      </c>
      <c r="H114" s="273">
        <v>623676</v>
      </c>
      <c r="I114" s="273">
        <v>880195</v>
      </c>
      <c r="J114" s="273">
        <v>860241</v>
      </c>
      <c r="K114" s="273">
        <v>771666</v>
      </c>
      <c r="L114" s="273">
        <v>889489</v>
      </c>
      <c r="M114" s="273">
        <v>808678</v>
      </c>
      <c r="N114" s="273">
        <v>765114</v>
      </c>
      <c r="O114" s="273">
        <v>856200</v>
      </c>
      <c r="P114" s="273">
        <v>902578</v>
      </c>
      <c r="Q114" s="273">
        <v>814488</v>
      </c>
      <c r="R114" s="273">
        <v>781138</v>
      </c>
      <c r="S114" s="273">
        <v>762151</v>
      </c>
      <c r="T114" s="273">
        <v>751178</v>
      </c>
      <c r="U114" s="273">
        <v>704591</v>
      </c>
      <c r="V114" s="273">
        <v>662752</v>
      </c>
      <c r="W114" s="273">
        <v>766714</v>
      </c>
      <c r="X114" s="273">
        <v>960339</v>
      </c>
    </row>
    <row r="115" spans="1:24" ht="14.25" thickBot="1" x14ac:dyDescent="0.3">
      <c r="A115" s="225" t="s">
        <v>265</v>
      </c>
      <c r="B115" s="276">
        <v>12526176</v>
      </c>
      <c r="C115" s="276">
        <v>13017206</v>
      </c>
      <c r="D115" s="276">
        <v>13937712</v>
      </c>
      <c r="E115" s="276">
        <v>14838455</v>
      </c>
      <c r="F115" s="276">
        <v>14270093</v>
      </c>
      <c r="G115" s="276">
        <v>15197648</v>
      </c>
      <c r="H115" s="276">
        <v>16246241</v>
      </c>
      <c r="I115" s="276">
        <v>16630843</v>
      </c>
      <c r="J115" s="276">
        <v>15564270</v>
      </c>
      <c r="K115" s="276">
        <v>16405174</v>
      </c>
      <c r="L115" s="276">
        <v>17847300</v>
      </c>
      <c r="M115" s="276">
        <v>18506667</v>
      </c>
      <c r="N115" s="276">
        <v>17340329</v>
      </c>
      <c r="O115" s="276">
        <v>17585263</v>
      </c>
      <c r="P115" s="276">
        <v>19342190</v>
      </c>
      <c r="Q115" s="276">
        <v>18232672</v>
      </c>
      <c r="R115" s="276">
        <v>16648209</v>
      </c>
      <c r="S115" s="276">
        <v>17298736</v>
      </c>
      <c r="T115" s="276">
        <v>19583285</v>
      </c>
      <c r="U115" s="276">
        <v>19463435</v>
      </c>
      <c r="V115" s="276">
        <v>19700378</v>
      </c>
      <c r="W115" s="276">
        <v>19383490</v>
      </c>
      <c r="X115" s="276">
        <v>21184551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628456</v>
      </c>
      <c r="C118" s="273">
        <v>938217</v>
      </c>
      <c r="D118" s="273">
        <v>1118850</v>
      </c>
      <c r="E118" s="273">
        <v>1304436</v>
      </c>
      <c r="F118" s="273">
        <v>1608635</v>
      </c>
      <c r="G118" s="273">
        <v>1769001</v>
      </c>
      <c r="H118" s="273">
        <v>2248605</v>
      </c>
      <c r="I118" s="273">
        <v>143016</v>
      </c>
      <c r="J118" s="273">
        <v>182790</v>
      </c>
      <c r="K118" s="273">
        <v>1528897</v>
      </c>
      <c r="L118" s="273">
        <v>664675</v>
      </c>
      <c r="M118" s="273">
        <v>664020</v>
      </c>
      <c r="N118" s="273">
        <v>1164241</v>
      </c>
      <c r="O118" s="273">
        <v>2840187</v>
      </c>
      <c r="P118" s="273">
        <v>3292256</v>
      </c>
      <c r="Q118" s="273">
        <v>1210316</v>
      </c>
      <c r="R118" s="273">
        <v>1684445</v>
      </c>
      <c r="S118" s="273">
        <v>1873666</v>
      </c>
      <c r="T118" s="273">
        <v>1282105</v>
      </c>
      <c r="U118" s="68">
        <v>0</v>
      </c>
      <c r="V118" s="273">
        <v>2210000</v>
      </c>
      <c r="W118" s="273">
        <v>1450300</v>
      </c>
      <c r="X118" s="273">
        <v>1458255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5">
        <v>50000</v>
      </c>
      <c r="I119" s="274">
        <v>0</v>
      </c>
      <c r="J119" s="274">
        <v>0</v>
      </c>
      <c r="K119" s="275">
        <v>10000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68">
        <v>0</v>
      </c>
      <c r="C120" s="273">
        <v>5062026</v>
      </c>
      <c r="D120" s="68">
        <v>0</v>
      </c>
      <c r="E120" s="273">
        <v>5849864</v>
      </c>
      <c r="F120" s="273">
        <v>4743239</v>
      </c>
      <c r="G120" s="273">
        <v>5342044</v>
      </c>
      <c r="H120" s="273">
        <v>6188528</v>
      </c>
      <c r="I120" s="273">
        <v>7508462</v>
      </c>
      <c r="J120" s="273">
        <v>7204929</v>
      </c>
      <c r="K120" s="273">
        <v>6430474</v>
      </c>
      <c r="L120" s="273">
        <v>8393150</v>
      </c>
      <c r="M120" s="273">
        <v>8533969</v>
      </c>
      <c r="N120" s="273">
        <v>6955431</v>
      </c>
      <c r="O120" s="273">
        <v>5960216</v>
      </c>
      <c r="P120" s="273">
        <v>7510725</v>
      </c>
      <c r="Q120" s="273">
        <v>8484887</v>
      </c>
      <c r="R120" s="273">
        <v>6478738</v>
      </c>
      <c r="S120" s="273">
        <v>6519438</v>
      </c>
      <c r="T120" s="273">
        <v>9161524</v>
      </c>
      <c r="U120" s="273">
        <v>9644524</v>
      </c>
      <c r="V120" s="273">
        <v>7325973</v>
      </c>
      <c r="W120" s="273">
        <v>7526488</v>
      </c>
      <c r="X120" s="273">
        <v>9539798</v>
      </c>
    </row>
    <row r="121" spans="1:24" ht="14.25" thickBot="1" x14ac:dyDescent="0.3">
      <c r="A121" s="225" t="s">
        <v>267</v>
      </c>
      <c r="B121" s="274">
        <v>0</v>
      </c>
      <c r="C121" s="275">
        <v>46841</v>
      </c>
      <c r="D121" s="274">
        <v>0</v>
      </c>
      <c r="E121" s="275">
        <v>22842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273">
        <v>356763</v>
      </c>
      <c r="I122" s="68">
        <v>0</v>
      </c>
      <c r="J122" s="68">
        <v>0</v>
      </c>
      <c r="K122" s="68">
        <v>0</v>
      </c>
      <c r="L122" s="273">
        <v>395525</v>
      </c>
      <c r="M122" s="273">
        <v>411060</v>
      </c>
      <c r="N122" s="273">
        <v>406965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7761343</v>
      </c>
      <c r="C123" s="275">
        <v>1317180</v>
      </c>
      <c r="D123" s="275">
        <v>6904171</v>
      </c>
      <c r="E123" s="275">
        <v>1341213</v>
      </c>
      <c r="F123" s="275">
        <v>1363529</v>
      </c>
      <c r="G123" s="275">
        <v>1863511</v>
      </c>
      <c r="H123" s="275">
        <v>1348365</v>
      </c>
      <c r="I123" s="275">
        <v>1695323</v>
      </c>
      <c r="J123" s="275">
        <v>1924564</v>
      </c>
      <c r="K123" s="275">
        <v>2422917</v>
      </c>
      <c r="L123" s="275">
        <v>2022428</v>
      </c>
      <c r="M123" s="275">
        <v>2212453</v>
      </c>
      <c r="N123" s="275">
        <v>2043156</v>
      </c>
      <c r="O123" s="275">
        <v>2866105</v>
      </c>
      <c r="P123" s="275">
        <v>2378633</v>
      </c>
      <c r="Q123" s="275">
        <v>1841389</v>
      </c>
      <c r="R123" s="275">
        <v>1542337</v>
      </c>
      <c r="S123" s="275">
        <v>2342246</v>
      </c>
      <c r="T123" s="275">
        <v>1947998</v>
      </c>
      <c r="U123" s="275">
        <v>2491314</v>
      </c>
      <c r="V123" s="275">
        <v>2387413</v>
      </c>
      <c r="W123" s="275">
        <v>3287618</v>
      </c>
      <c r="X123" s="275">
        <v>2660131</v>
      </c>
    </row>
    <row r="124" spans="1:24" ht="14.25" thickBot="1" x14ac:dyDescent="0.3">
      <c r="A124" s="224" t="s">
        <v>268</v>
      </c>
      <c r="B124" s="273">
        <v>8389799</v>
      </c>
      <c r="C124" s="273">
        <v>7364264</v>
      </c>
      <c r="D124" s="273">
        <v>8023021</v>
      </c>
      <c r="E124" s="273">
        <v>8518355</v>
      </c>
      <c r="F124" s="273">
        <v>7715403</v>
      </c>
      <c r="G124" s="273">
        <v>8974556</v>
      </c>
      <c r="H124" s="273">
        <v>10192261</v>
      </c>
      <c r="I124" s="273">
        <v>9346801</v>
      </c>
      <c r="J124" s="273">
        <v>9312283</v>
      </c>
      <c r="K124" s="273">
        <v>10392288</v>
      </c>
      <c r="L124" s="273">
        <v>11475778</v>
      </c>
      <c r="M124" s="273">
        <v>11821502</v>
      </c>
      <c r="N124" s="273">
        <v>10569793</v>
      </c>
      <c r="O124" s="273">
        <v>11666508</v>
      </c>
      <c r="P124" s="273">
        <v>13181614</v>
      </c>
      <c r="Q124" s="273">
        <v>11536592</v>
      </c>
      <c r="R124" s="273">
        <v>9705520</v>
      </c>
      <c r="S124" s="273">
        <v>10735350</v>
      </c>
      <c r="T124" s="273">
        <v>12391627</v>
      </c>
      <c r="U124" s="273">
        <v>12135838</v>
      </c>
      <c r="V124" s="273">
        <v>11923386</v>
      </c>
      <c r="W124" s="273">
        <v>12264406</v>
      </c>
      <c r="X124" s="273">
        <v>13658184</v>
      </c>
    </row>
    <row r="125" spans="1:24" ht="14.25" thickBot="1" x14ac:dyDescent="0.3">
      <c r="A125" s="225" t="s">
        <v>32</v>
      </c>
      <c r="B125" s="275">
        <v>96555</v>
      </c>
      <c r="C125" s="275">
        <v>1523370</v>
      </c>
      <c r="D125" s="275">
        <v>1569286</v>
      </c>
      <c r="E125" s="275">
        <v>1541281</v>
      </c>
      <c r="F125" s="275">
        <v>1738017</v>
      </c>
      <c r="G125" s="275">
        <v>1743951</v>
      </c>
      <c r="H125" s="275">
        <v>1242760</v>
      </c>
      <c r="I125" s="275">
        <v>1282214</v>
      </c>
      <c r="J125" s="275">
        <v>33380</v>
      </c>
      <c r="K125" s="275">
        <v>28243</v>
      </c>
      <c r="L125" s="275">
        <v>52368</v>
      </c>
      <c r="M125" s="275">
        <v>56861</v>
      </c>
      <c r="N125" s="275">
        <v>58758</v>
      </c>
      <c r="O125" s="275">
        <v>59240</v>
      </c>
      <c r="P125" s="275">
        <v>62547</v>
      </c>
      <c r="Q125" s="275">
        <v>71618</v>
      </c>
      <c r="R125" s="275">
        <v>167834</v>
      </c>
      <c r="S125" s="275">
        <v>168999</v>
      </c>
      <c r="T125" s="275">
        <v>168535</v>
      </c>
      <c r="U125" s="275">
        <v>175769</v>
      </c>
      <c r="V125" s="275">
        <v>175058</v>
      </c>
      <c r="W125" s="275">
        <v>175723</v>
      </c>
      <c r="X125" s="275">
        <v>174246</v>
      </c>
    </row>
    <row r="126" spans="1:24" ht="14.25" thickBot="1" x14ac:dyDescent="0.3">
      <c r="A126" s="224" t="s">
        <v>33</v>
      </c>
      <c r="B126" s="68">
        <v>0</v>
      </c>
      <c r="C126" s="273">
        <v>98948</v>
      </c>
      <c r="D126" s="68">
        <v>0</v>
      </c>
      <c r="E126" s="273">
        <v>136799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8486354</v>
      </c>
      <c r="C127" s="275">
        <v>8986582</v>
      </c>
      <c r="D127" s="275">
        <v>9592307</v>
      </c>
      <c r="E127" s="275">
        <v>10196435</v>
      </c>
      <c r="F127" s="275">
        <v>9453420</v>
      </c>
      <c r="G127" s="275">
        <v>10718507</v>
      </c>
      <c r="H127" s="275">
        <v>11435021</v>
      </c>
      <c r="I127" s="275">
        <v>10629015</v>
      </c>
      <c r="J127" s="275">
        <v>9345663</v>
      </c>
      <c r="K127" s="275">
        <v>10420531</v>
      </c>
      <c r="L127" s="275">
        <v>11528146</v>
      </c>
      <c r="M127" s="275">
        <v>11878363</v>
      </c>
      <c r="N127" s="275">
        <v>10628551</v>
      </c>
      <c r="O127" s="275">
        <v>11725748</v>
      </c>
      <c r="P127" s="275">
        <v>13244161</v>
      </c>
      <c r="Q127" s="275">
        <v>11608210</v>
      </c>
      <c r="R127" s="275">
        <v>9873354</v>
      </c>
      <c r="S127" s="275">
        <v>10904349</v>
      </c>
      <c r="T127" s="275">
        <v>12560162</v>
      </c>
      <c r="U127" s="275">
        <v>12311607</v>
      </c>
      <c r="V127" s="275">
        <v>12098444</v>
      </c>
      <c r="W127" s="275">
        <v>12440129</v>
      </c>
      <c r="X127" s="275">
        <v>13832430</v>
      </c>
    </row>
    <row r="128" spans="1:24" ht="14.25" thickBot="1" x14ac:dyDescent="0.3">
      <c r="A128" s="224" t="s">
        <v>34</v>
      </c>
      <c r="B128" s="273">
        <v>4039822</v>
      </c>
      <c r="C128" s="273">
        <v>4030624</v>
      </c>
      <c r="D128" s="273">
        <v>4345405</v>
      </c>
      <c r="E128" s="273">
        <v>4642020</v>
      </c>
      <c r="F128" s="273">
        <v>4816673</v>
      </c>
      <c r="G128" s="273">
        <v>4479141</v>
      </c>
      <c r="H128" s="273">
        <v>4811220</v>
      </c>
      <c r="I128" s="273">
        <v>6001828</v>
      </c>
      <c r="J128" s="273">
        <v>6218607</v>
      </c>
      <c r="K128" s="273">
        <v>5984643</v>
      </c>
      <c r="L128" s="273">
        <v>6319154</v>
      </c>
      <c r="M128" s="273">
        <v>6628304</v>
      </c>
      <c r="N128" s="273">
        <v>6711778</v>
      </c>
      <c r="O128" s="273">
        <v>5859515</v>
      </c>
      <c r="P128" s="273">
        <v>6098029</v>
      </c>
      <c r="Q128" s="273">
        <v>6624462</v>
      </c>
      <c r="R128" s="273">
        <v>6774855</v>
      </c>
      <c r="S128" s="273">
        <v>6394387</v>
      </c>
      <c r="T128" s="273">
        <v>7023123</v>
      </c>
      <c r="U128" s="273">
        <v>7151828</v>
      </c>
      <c r="V128" s="273">
        <v>7601934</v>
      </c>
      <c r="W128" s="273">
        <v>6943361</v>
      </c>
      <c r="X128" s="273">
        <v>7352121</v>
      </c>
    </row>
    <row r="129" spans="1:24" ht="14.25" thickBot="1" x14ac:dyDescent="0.3">
      <c r="A129" s="225" t="s">
        <v>35</v>
      </c>
      <c r="B129" s="276">
        <v>12526176</v>
      </c>
      <c r="C129" s="276">
        <v>13017206</v>
      </c>
      <c r="D129" s="276">
        <v>13937712</v>
      </c>
      <c r="E129" s="276">
        <v>14838455</v>
      </c>
      <c r="F129" s="276">
        <v>14270093</v>
      </c>
      <c r="G129" s="276">
        <v>15197648</v>
      </c>
      <c r="H129" s="276">
        <v>16246241</v>
      </c>
      <c r="I129" s="276">
        <v>16630843</v>
      </c>
      <c r="J129" s="276">
        <v>15564270</v>
      </c>
      <c r="K129" s="276">
        <v>16405174</v>
      </c>
      <c r="L129" s="276">
        <v>17847300</v>
      </c>
      <c r="M129" s="276">
        <v>18506667</v>
      </c>
      <c r="N129" s="276">
        <v>17340329</v>
      </c>
      <c r="O129" s="276">
        <v>17585263</v>
      </c>
      <c r="P129" s="276">
        <v>19342190</v>
      </c>
      <c r="Q129" s="276">
        <v>18232672</v>
      </c>
      <c r="R129" s="276">
        <v>16648209</v>
      </c>
      <c r="S129" s="276">
        <v>17298736</v>
      </c>
      <c r="T129" s="276">
        <v>19583285</v>
      </c>
      <c r="U129" s="276">
        <v>19463435</v>
      </c>
      <c r="V129" s="276">
        <v>19700378</v>
      </c>
      <c r="W129" s="276">
        <v>19383490</v>
      </c>
      <c r="X129" s="276">
        <v>21184551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3.65</v>
      </c>
      <c r="C132" s="68">
        <v>7.01</v>
      </c>
      <c r="D132" s="68">
        <v>6.18</v>
      </c>
      <c r="E132" s="68">
        <v>5.73</v>
      </c>
      <c r="F132" s="68">
        <v>6.74</v>
      </c>
    </row>
    <row r="133" spans="1:24" ht="14.25" thickBot="1" x14ac:dyDescent="0.3">
      <c r="A133" s="225" t="s">
        <v>37</v>
      </c>
      <c r="B133" s="274">
        <v>-2.61</v>
      </c>
      <c r="C133" s="274">
        <v>-3.03</v>
      </c>
      <c r="D133" s="274">
        <v>-3.19</v>
      </c>
      <c r="E133" s="274">
        <v>-3.07</v>
      </c>
      <c r="F133" s="274">
        <v>-0.22</v>
      </c>
    </row>
    <row r="134" spans="1:24" ht="14.25" thickBot="1" x14ac:dyDescent="0.3">
      <c r="A134" s="224" t="s">
        <v>38</v>
      </c>
      <c r="B134" s="68">
        <v>-1.01</v>
      </c>
      <c r="C134" s="68">
        <v>-4.3899999999999997</v>
      </c>
      <c r="D134" s="68">
        <v>-1.86</v>
      </c>
      <c r="E134" s="68">
        <v>-3.01</v>
      </c>
      <c r="F134" s="68">
        <v>-5.76</v>
      </c>
    </row>
    <row r="135" spans="1:24" ht="14.25" thickBot="1" x14ac:dyDescent="0.3">
      <c r="A135" s="225" t="s">
        <v>270</v>
      </c>
      <c r="B135" s="274">
        <v>1.05</v>
      </c>
      <c r="C135" s="274">
        <v>3.99</v>
      </c>
      <c r="D135" s="274">
        <v>2.99</v>
      </c>
      <c r="E135" s="274">
        <v>2.66</v>
      </c>
      <c r="F135" s="274">
        <v>6.52</v>
      </c>
    </row>
    <row r="136" spans="1:24" ht="14.25" thickBot="1" x14ac:dyDescent="0.3">
      <c r="A136" s="229" t="s">
        <v>39</v>
      </c>
      <c r="B136" s="72">
        <v>0.03</v>
      </c>
      <c r="C136" s="72">
        <v>-0.4</v>
      </c>
      <c r="D136" s="72">
        <v>1.1299999999999999</v>
      </c>
      <c r="E136" s="72">
        <v>-0.35</v>
      </c>
      <c r="F136" s="72">
        <v>0.75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1.95</v>
      </c>
      <c r="C140" s="68">
        <v>1.95</v>
      </c>
      <c r="D140" s="68">
        <v>2.2999999999999998</v>
      </c>
      <c r="E140" s="68">
        <v>2.35</v>
      </c>
      <c r="F140" s="68">
        <v>2.75</v>
      </c>
    </row>
    <row r="141" spans="1:24" ht="14.25" thickBot="1" x14ac:dyDescent="0.3">
      <c r="A141" s="227" t="s">
        <v>1</v>
      </c>
      <c r="B141" s="73">
        <v>0.05</v>
      </c>
      <c r="C141" s="73">
        <v>0.05</v>
      </c>
      <c r="D141" s="73">
        <v>0.05</v>
      </c>
      <c r="E141" s="73">
        <v>0.05</v>
      </c>
      <c r="F141" s="73">
        <v>0.05</v>
      </c>
    </row>
    <row r="142" spans="1:24" x14ac:dyDescent="0.25">
      <c r="A142" s="233" t="s">
        <v>272</v>
      </c>
      <c r="B142" s="234" t="e">
        <f>B140/(HLOOKUP(B139*10+1,81:82,2,FALSE)+HLOOKUP(B139*10+2,81:82,2,FALSE)+HLOOKUP(B139*10+3,81:82,2,FALSE)+HLOOKUP(B139*10+4,81:82,2,FALSE))</f>
        <v>#VALUE!</v>
      </c>
      <c r="C142" s="234">
        <f>IF(C140&lt;&gt;"無",IF(ISNA(HLOOKUP(C139,$B$64:$F$69,6,FALSE)),"",C140/HLOOKUP(C139,$B$64:$F$69,6,FALSE)),"")</f>
        <v>0.79591836734693888</v>
      </c>
      <c r="D142" s="234">
        <f>IF(D140&lt;&gt;"無",IF(ISNA(HLOOKUP(D139,$B$64:$F$69,6,FALSE)),"",D140/HLOOKUP(D139,$B$64:$F$69,6,FALSE)),"")</f>
        <v>0.72784810126582267</v>
      </c>
      <c r="E142" s="234">
        <f>IF(E140&lt;&gt;"無",IF(ISNA(HLOOKUP(E139,$B$64:$F$69,6,FALSE)),"",E140/HLOOKUP(E139,$B$64:$F$69,6,FALSE)),"")</f>
        <v>0.7320872274143303</v>
      </c>
      <c r="F142" s="234">
        <f>IF(F140&lt;&gt;"無",IF(ISNA(HLOOKUP(F139,$B$64:$F$69,6,FALSE)),"",F140/HLOOKUP(F139,$B$64:$F$69,6,FALSE)),"")</f>
        <v>0.739247311827957</v>
      </c>
    </row>
    <row r="143" spans="1:24" x14ac:dyDescent="0.25">
      <c r="A143" s="233" t="s">
        <v>216</v>
      </c>
      <c r="B143" s="234">
        <f>IF(OR(B140=0,B140="無"),"",B135/B140)</f>
        <v>0.53846153846153855</v>
      </c>
      <c r="C143" s="234">
        <f>IF(OR(C140=0,C140="無"),"",C135/C140)</f>
        <v>2.0461538461538464</v>
      </c>
      <c r="D143" s="234">
        <f>IF(OR(D140=0,D140="無"),"",D135/D140)</f>
        <v>1.3000000000000003</v>
      </c>
      <c r="E143" s="234">
        <f>IF(OR(E140=0,E140="無"),"",E135/E140)</f>
        <v>1.1319148936170214</v>
      </c>
      <c r="F143" s="234">
        <f>IF(OR(F140=0,F140="無"),"",F135/F140)</f>
        <v>2.3709090909090906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 t="s">
        <v>43</v>
      </c>
      <c r="C146" s="68" t="s">
        <v>43</v>
      </c>
      <c r="D146" s="68" t="s">
        <v>43</v>
      </c>
      <c r="E146" s="68" t="s">
        <v>43</v>
      </c>
      <c r="F146" s="68">
        <v>14.06</v>
      </c>
      <c r="G146" s="68">
        <v>13.36</v>
      </c>
      <c r="H146" s="68">
        <v>15.57</v>
      </c>
      <c r="I146" s="68">
        <v>16.690000000000001</v>
      </c>
      <c r="J146" s="68">
        <v>14.34</v>
      </c>
      <c r="K146" s="68">
        <v>14.1</v>
      </c>
      <c r="L146" s="68">
        <v>14.1</v>
      </c>
      <c r="M146" s="68">
        <v>15.02</v>
      </c>
      <c r="N146" s="68">
        <v>14.47</v>
      </c>
      <c r="O146" s="68">
        <v>14.84</v>
      </c>
      <c r="P146" s="68">
        <v>15.85</v>
      </c>
      <c r="Q146" s="68">
        <v>16.72</v>
      </c>
      <c r="R146" s="68">
        <v>14.52</v>
      </c>
      <c r="S146" s="68">
        <v>15.3</v>
      </c>
      <c r="T146" s="68">
        <v>17.73</v>
      </c>
      <c r="U146" s="68">
        <v>18.27</v>
      </c>
      <c r="V146" s="68">
        <v>16.8</v>
      </c>
      <c r="W146" s="68">
        <v>16.829999999999998</v>
      </c>
      <c r="X146" s="68">
        <v>17.309999999999999</v>
      </c>
    </row>
    <row r="147" spans="1:24" s="93" customFormat="1" ht="14.25" thickBot="1" x14ac:dyDescent="0.3">
      <c r="A147" s="225" t="s">
        <v>19</v>
      </c>
      <c r="B147" s="274" t="s">
        <v>43</v>
      </c>
      <c r="C147" s="274" t="s">
        <v>43</v>
      </c>
      <c r="D147" s="274" t="s">
        <v>43</v>
      </c>
      <c r="E147" s="274" t="s">
        <v>43</v>
      </c>
      <c r="F147" s="274">
        <v>3.39</v>
      </c>
      <c r="G147" s="274">
        <v>4.25</v>
      </c>
      <c r="H147" s="274">
        <v>5.5</v>
      </c>
      <c r="I147" s="274">
        <v>6.89</v>
      </c>
      <c r="J147" s="274">
        <v>2.72</v>
      </c>
      <c r="K147" s="274">
        <v>4.49</v>
      </c>
      <c r="L147" s="274">
        <v>4.72</v>
      </c>
      <c r="M147" s="274">
        <v>3.83</v>
      </c>
      <c r="N147" s="274">
        <v>2.93</v>
      </c>
      <c r="O147" s="274">
        <v>4.1900000000000004</v>
      </c>
      <c r="P147" s="274">
        <v>4.38</v>
      </c>
      <c r="Q147" s="274">
        <v>6.6</v>
      </c>
      <c r="R147" s="274">
        <v>1.85</v>
      </c>
      <c r="S147" s="274">
        <v>4.5599999999999996</v>
      </c>
      <c r="T147" s="274">
        <v>6.8</v>
      </c>
      <c r="U147" s="274">
        <v>6.56</v>
      </c>
      <c r="V147" s="274">
        <v>3.88</v>
      </c>
      <c r="W147" s="274">
        <v>5.96</v>
      </c>
      <c r="X147" s="274">
        <v>7.05</v>
      </c>
    </row>
    <row r="148" spans="1:24" s="93" customFormat="1" ht="14.25" thickBot="1" x14ac:dyDescent="0.3">
      <c r="A148" s="224" t="s">
        <v>41</v>
      </c>
      <c r="B148" s="68" t="s">
        <v>43</v>
      </c>
      <c r="C148" s="68" t="s">
        <v>43</v>
      </c>
      <c r="D148" s="68" t="s">
        <v>43</v>
      </c>
      <c r="E148" s="68" t="s">
        <v>43</v>
      </c>
      <c r="F148" s="68">
        <v>3.03</v>
      </c>
      <c r="G148" s="68">
        <v>4.53</v>
      </c>
      <c r="H148" s="68">
        <v>5.81</v>
      </c>
      <c r="I148" s="68">
        <v>3.2</v>
      </c>
      <c r="J148" s="68">
        <v>2.92</v>
      </c>
      <c r="K148" s="68">
        <v>5.34</v>
      </c>
      <c r="L148" s="68">
        <v>5.53</v>
      </c>
      <c r="M148" s="68">
        <v>5.51</v>
      </c>
      <c r="N148" s="68">
        <v>2.88</v>
      </c>
      <c r="O148" s="68">
        <v>5.44</v>
      </c>
      <c r="P148" s="68">
        <v>5.23</v>
      </c>
      <c r="Q148" s="68">
        <v>7.26</v>
      </c>
      <c r="R148" s="68">
        <v>3.77</v>
      </c>
      <c r="S148" s="68">
        <v>4.95</v>
      </c>
      <c r="T148" s="68">
        <v>2.61</v>
      </c>
      <c r="U148" s="68">
        <v>12.4</v>
      </c>
      <c r="V148" s="68">
        <v>4.66</v>
      </c>
      <c r="W148" s="68">
        <v>7.61</v>
      </c>
      <c r="X148" s="68">
        <v>7.75</v>
      </c>
    </row>
    <row r="149" spans="1:24" s="93" customFormat="1" ht="14.25" thickBot="1" x14ac:dyDescent="0.3">
      <c r="A149" s="225" t="s">
        <v>13</v>
      </c>
      <c r="B149" s="73" t="s">
        <v>43</v>
      </c>
      <c r="C149" s="73" t="s">
        <v>43</v>
      </c>
      <c r="D149" s="73" t="s">
        <v>43</v>
      </c>
      <c r="E149" s="73" t="s">
        <v>43</v>
      </c>
      <c r="F149" s="73">
        <v>2.06</v>
      </c>
      <c r="G149" s="73">
        <v>3.81</v>
      </c>
      <c r="H149" s="73">
        <v>4.96</v>
      </c>
      <c r="I149" s="73">
        <v>1.95</v>
      </c>
      <c r="J149" s="73">
        <v>2.39</v>
      </c>
      <c r="K149" s="73">
        <v>4.3600000000000003</v>
      </c>
      <c r="L149" s="73">
        <v>4.7699999999999996</v>
      </c>
      <c r="M149" s="73">
        <v>4.67</v>
      </c>
      <c r="N149" s="73">
        <v>2.4</v>
      </c>
      <c r="O149" s="73">
        <v>4.59</v>
      </c>
      <c r="P149" s="73">
        <v>4.17</v>
      </c>
      <c r="Q149" s="73">
        <v>5.88</v>
      </c>
      <c r="R149" s="73">
        <v>3.17</v>
      </c>
      <c r="S149" s="73">
        <v>4.2</v>
      </c>
      <c r="T149" s="73">
        <v>1.41</v>
      </c>
      <c r="U149" s="73">
        <v>9.8699999999999992</v>
      </c>
      <c r="V149" s="73">
        <v>3.74</v>
      </c>
      <c r="W149" s="73">
        <v>5.9</v>
      </c>
      <c r="X149" s="73">
        <v>6.45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13.41</v>
      </c>
      <c r="C152" s="68">
        <v>15.07</v>
      </c>
      <c r="D152" s="68">
        <v>14.39</v>
      </c>
      <c r="E152" s="68">
        <v>15.54</v>
      </c>
      <c r="F152" s="68">
        <v>16.7</v>
      </c>
    </row>
    <row r="153" spans="1:24" s="93" customFormat="1" ht="14.25" thickBot="1" x14ac:dyDescent="0.3">
      <c r="A153" s="225" t="s">
        <v>19</v>
      </c>
      <c r="B153" s="274">
        <v>4.5599999999999996</v>
      </c>
      <c r="C153" s="274">
        <v>5.18</v>
      </c>
      <c r="D153" s="274">
        <v>4.0199999999999996</v>
      </c>
      <c r="E153" s="274">
        <v>4.6100000000000003</v>
      </c>
      <c r="F153" s="274">
        <v>5.24</v>
      </c>
    </row>
    <row r="154" spans="1:24" s="93" customFormat="1" ht="14.25" thickBot="1" x14ac:dyDescent="0.3">
      <c r="A154" s="224" t="s">
        <v>41</v>
      </c>
      <c r="B154" s="68">
        <v>4.46</v>
      </c>
      <c r="C154" s="68">
        <v>4.16</v>
      </c>
      <c r="D154" s="68">
        <v>4.95</v>
      </c>
      <c r="E154" s="68">
        <v>5.3</v>
      </c>
      <c r="F154" s="68">
        <v>6.24</v>
      </c>
    </row>
    <row r="155" spans="1:24" s="93" customFormat="1" ht="14.25" thickBot="1" x14ac:dyDescent="0.3">
      <c r="A155" s="225" t="s">
        <v>13</v>
      </c>
      <c r="B155" s="73">
        <v>3.86</v>
      </c>
      <c r="C155" s="73">
        <v>3.2</v>
      </c>
      <c r="D155" s="73">
        <v>4.16</v>
      </c>
      <c r="E155" s="73">
        <v>4.33</v>
      </c>
      <c r="F155" s="73">
        <v>4.88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 t="s">
        <v>43</v>
      </c>
      <c r="C158" s="68" t="s">
        <v>43</v>
      </c>
      <c r="D158" s="68" t="s">
        <v>43</v>
      </c>
      <c r="E158" s="68" t="s">
        <v>43</v>
      </c>
      <c r="F158" s="68">
        <v>0.79</v>
      </c>
      <c r="G158" s="68">
        <v>1.6</v>
      </c>
      <c r="H158" s="68">
        <v>2.17</v>
      </c>
      <c r="I158" s="68">
        <v>0.94</v>
      </c>
      <c r="J158" s="68">
        <v>0.86</v>
      </c>
      <c r="K158" s="68">
        <v>1.89</v>
      </c>
      <c r="L158" s="68">
        <v>2.16</v>
      </c>
      <c r="M158" s="68">
        <v>1.89</v>
      </c>
      <c r="N158" s="68">
        <v>0.85</v>
      </c>
      <c r="O158" s="68">
        <v>1.68</v>
      </c>
      <c r="P158" s="68">
        <v>1.63</v>
      </c>
      <c r="Q158" s="68">
        <v>2.3199999999999998</v>
      </c>
      <c r="R158" s="68">
        <v>1.02</v>
      </c>
      <c r="S158" s="68">
        <v>1.61</v>
      </c>
      <c r="T158" s="68">
        <v>0.62</v>
      </c>
      <c r="U158" s="68">
        <v>4.09</v>
      </c>
      <c r="V158" s="68">
        <v>1.1599999999999999</v>
      </c>
      <c r="W158" s="68">
        <v>2.14</v>
      </c>
      <c r="X158" s="68">
        <v>2.6</v>
      </c>
    </row>
    <row r="159" spans="1:24" s="93" customFormat="1" ht="14.25" thickBot="1" x14ac:dyDescent="0.3">
      <c r="A159" s="225" t="s">
        <v>45</v>
      </c>
      <c r="B159" s="73" t="s">
        <v>43</v>
      </c>
      <c r="C159" s="73" t="s">
        <v>43</v>
      </c>
      <c r="D159" s="73" t="s">
        <v>43</v>
      </c>
      <c r="E159" s="73" t="s">
        <v>43</v>
      </c>
      <c r="F159" s="73">
        <v>2.2599999999999998</v>
      </c>
      <c r="G159" s="73">
        <v>4.79</v>
      </c>
      <c r="H159" s="73">
        <v>7.07</v>
      </c>
      <c r="I159" s="73">
        <v>2.67</v>
      </c>
      <c r="J159" s="73">
        <v>2.13</v>
      </c>
      <c r="K159" s="73">
        <v>4.8499999999999996</v>
      </c>
      <c r="L159" s="73">
        <v>5.89</v>
      </c>
      <c r="M159" s="73">
        <v>5.2</v>
      </c>
      <c r="N159" s="73">
        <v>2.1800000000000002</v>
      </c>
      <c r="O159" s="73">
        <v>4.53</v>
      </c>
      <c r="P159" s="73">
        <v>4.87</v>
      </c>
      <c r="Q159" s="73">
        <v>6.72</v>
      </c>
      <c r="R159" s="73">
        <v>2.54</v>
      </c>
      <c r="S159" s="73">
        <v>4.03</v>
      </c>
      <c r="T159" s="73">
        <v>1.62</v>
      </c>
      <c r="U159" s="73">
        <v>11.18</v>
      </c>
      <c r="V159" s="73">
        <v>3</v>
      </c>
      <c r="W159" s="73">
        <v>5.65</v>
      </c>
      <c r="X159" s="73">
        <v>7.26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3.86</v>
      </c>
      <c r="C162" s="68">
        <v>3.2</v>
      </c>
      <c r="D162" s="68">
        <v>4.16</v>
      </c>
      <c r="E162" s="68">
        <v>4.33</v>
      </c>
      <c r="F162" s="68">
        <v>4.88</v>
      </c>
    </row>
    <row r="163" spans="1:72" s="93" customFormat="1" ht="14.25" thickBot="1" x14ac:dyDescent="0.3">
      <c r="A163" s="225" t="s">
        <v>18</v>
      </c>
      <c r="B163" s="274">
        <v>1.59</v>
      </c>
      <c r="C163" s="274">
        <v>1.51</v>
      </c>
      <c r="D163" s="274">
        <v>1.46</v>
      </c>
      <c r="E163" s="274">
        <v>1.45</v>
      </c>
      <c r="F163" s="274">
        <v>1.41</v>
      </c>
    </row>
    <row r="164" spans="1:72" s="93" customFormat="1" ht="14.25" thickBot="1" x14ac:dyDescent="0.3">
      <c r="A164" s="224" t="s">
        <v>15</v>
      </c>
      <c r="B164" s="68">
        <v>3.2</v>
      </c>
      <c r="C164" s="68">
        <v>2.77</v>
      </c>
      <c r="D164" s="68">
        <v>2.79</v>
      </c>
      <c r="E164" s="68">
        <v>2.75</v>
      </c>
      <c r="F164" s="68">
        <v>2.72</v>
      </c>
    </row>
    <row r="165" spans="1:72" s="93" customFormat="1" ht="14.25" thickBot="1" x14ac:dyDescent="0.3">
      <c r="A165" s="225" t="s">
        <v>45</v>
      </c>
      <c r="B165" s="73">
        <v>21.41</v>
      </c>
      <c r="C165" s="73">
        <v>15.08</v>
      </c>
      <c r="D165" s="73">
        <v>17.809999999999999</v>
      </c>
      <c r="E165" s="73">
        <v>17.34</v>
      </c>
      <c r="F165" s="73">
        <v>19.41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 t="s">
        <v>43</v>
      </c>
      <c r="C168" s="68" t="s">
        <v>43</v>
      </c>
      <c r="D168" s="68" t="s">
        <v>43</v>
      </c>
      <c r="E168" s="68" t="s">
        <v>43</v>
      </c>
      <c r="F168" s="68">
        <v>116.88</v>
      </c>
      <c r="G168" s="68">
        <v>107.14</v>
      </c>
      <c r="H168" s="68">
        <v>105.88</v>
      </c>
      <c r="I168" s="68">
        <v>97.83</v>
      </c>
      <c r="J168" s="68">
        <v>118.42</v>
      </c>
      <c r="K168" s="68">
        <v>91.84</v>
      </c>
      <c r="L168" s="68">
        <v>93.75</v>
      </c>
      <c r="M168" s="68">
        <v>102.27</v>
      </c>
      <c r="N168" s="68">
        <v>115.38</v>
      </c>
      <c r="O168" s="68">
        <v>113.92</v>
      </c>
      <c r="P168" s="68">
        <v>113.92</v>
      </c>
      <c r="Q168" s="68">
        <v>109.76</v>
      </c>
      <c r="R168" s="68">
        <v>128.57</v>
      </c>
      <c r="S168" s="68">
        <v>103.45</v>
      </c>
      <c r="T168" s="68">
        <v>94.74</v>
      </c>
      <c r="U168" s="68">
        <v>96.77</v>
      </c>
      <c r="V168" s="68">
        <v>116.88</v>
      </c>
      <c r="W168" s="68">
        <v>96.77</v>
      </c>
      <c r="X168" s="68">
        <v>100</v>
      </c>
    </row>
    <row r="169" spans="1:72" s="93" customFormat="1" ht="14.25" thickBot="1" x14ac:dyDescent="0.3">
      <c r="A169" s="225" t="s">
        <v>17</v>
      </c>
      <c r="B169" s="274" t="s">
        <v>43</v>
      </c>
      <c r="C169" s="274" t="s">
        <v>43</v>
      </c>
      <c r="D169" s="274" t="s">
        <v>43</v>
      </c>
      <c r="E169" s="274" t="s">
        <v>43</v>
      </c>
      <c r="F169" s="274">
        <v>61.22</v>
      </c>
      <c r="G169" s="274">
        <v>49.45</v>
      </c>
      <c r="H169" s="274">
        <v>45.92</v>
      </c>
      <c r="I169" s="274">
        <v>47.12</v>
      </c>
      <c r="J169" s="274">
        <v>64.75</v>
      </c>
      <c r="K169" s="274">
        <v>48.91</v>
      </c>
      <c r="L169" s="274">
        <v>43.27</v>
      </c>
      <c r="M169" s="274">
        <v>51.72</v>
      </c>
      <c r="N169" s="274">
        <v>60.4</v>
      </c>
      <c r="O169" s="274">
        <v>52.02</v>
      </c>
      <c r="P169" s="274">
        <v>46.15</v>
      </c>
      <c r="Q169" s="274">
        <v>47.12</v>
      </c>
      <c r="R169" s="274">
        <v>60.4</v>
      </c>
      <c r="S169" s="274">
        <v>49.18</v>
      </c>
      <c r="T169" s="274">
        <v>48.91</v>
      </c>
      <c r="U169" s="274">
        <v>55.21</v>
      </c>
      <c r="V169" s="274">
        <v>72.58</v>
      </c>
      <c r="W169" s="274">
        <v>59.6</v>
      </c>
      <c r="X169" s="274">
        <v>55.21</v>
      </c>
    </row>
    <row r="170" spans="1:72" s="93" customFormat="1" ht="14.25" thickBot="1" x14ac:dyDescent="0.3">
      <c r="A170" s="224" t="s">
        <v>42</v>
      </c>
      <c r="B170" s="72" t="s">
        <v>43</v>
      </c>
      <c r="C170" s="72" t="s">
        <v>43</v>
      </c>
      <c r="D170" s="72" t="s">
        <v>43</v>
      </c>
      <c r="E170" s="72" t="s">
        <v>43</v>
      </c>
      <c r="F170" s="72">
        <v>178.11</v>
      </c>
      <c r="G170" s="72">
        <v>156.59</v>
      </c>
      <c r="H170" s="72">
        <v>151.80000000000001</v>
      </c>
      <c r="I170" s="72">
        <v>144.94999999999999</v>
      </c>
      <c r="J170" s="72">
        <v>183.17</v>
      </c>
      <c r="K170" s="72">
        <v>140.75</v>
      </c>
      <c r="L170" s="72">
        <v>137.02000000000001</v>
      </c>
      <c r="M170" s="72">
        <v>154</v>
      </c>
      <c r="N170" s="72">
        <v>175.79</v>
      </c>
      <c r="O170" s="72">
        <v>165.95</v>
      </c>
      <c r="P170" s="72">
        <v>160.08000000000001</v>
      </c>
      <c r="Q170" s="72">
        <v>156.88</v>
      </c>
      <c r="R170" s="72">
        <v>188.97</v>
      </c>
      <c r="S170" s="72">
        <v>152.63</v>
      </c>
      <c r="T170" s="72">
        <v>143.65</v>
      </c>
      <c r="U170" s="72">
        <v>151.99</v>
      </c>
      <c r="V170" s="72">
        <v>189.46</v>
      </c>
      <c r="W170" s="72">
        <v>156.38</v>
      </c>
      <c r="X170" s="72">
        <v>155.21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128.21</v>
      </c>
      <c r="C173" s="72">
        <v>286.85000000000002</v>
      </c>
      <c r="D173" s="72">
        <v>196.51</v>
      </c>
      <c r="E173" s="72">
        <v>178.71</v>
      </c>
      <c r="F173" s="72">
        <v>182.14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 t="s">
        <v>43</v>
      </c>
      <c r="C176" s="72" t="s">
        <v>43</v>
      </c>
      <c r="D176" s="72" t="s">
        <v>43</v>
      </c>
      <c r="E176" s="72" t="s">
        <v>43</v>
      </c>
      <c r="F176" s="72" t="s">
        <v>43</v>
      </c>
      <c r="G176" s="72" t="s">
        <v>43</v>
      </c>
      <c r="H176" s="72" t="s">
        <v>43</v>
      </c>
      <c r="I176" s="72" t="s">
        <v>43</v>
      </c>
      <c r="J176" s="72" t="s">
        <v>43</v>
      </c>
      <c r="K176" s="72" t="s">
        <v>43</v>
      </c>
      <c r="L176" s="72" t="s">
        <v>43</v>
      </c>
      <c r="M176" s="72" t="s">
        <v>43</v>
      </c>
      <c r="N176" s="72" t="s">
        <v>43</v>
      </c>
      <c r="O176" s="72" t="s">
        <v>43</v>
      </c>
      <c r="P176" s="72" t="s">
        <v>43</v>
      </c>
      <c r="Q176" s="72" t="s">
        <v>43</v>
      </c>
      <c r="R176" s="72">
        <v>14.95</v>
      </c>
      <c r="S176" s="72">
        <v>14.86</v>
      </c>
      <c r="T176" s="72">
        <v>14.71</v>
      </c>
      <c r="U176" s="72">
        <v>15.5</v>
      </c>
      <c r="V176" s="72">
        <v>15.79</v>
      </c>
      <c r="W176" s="72">
        <v>18.260000000000002</v>
      </c>
      <c r="X176" s="72">
        <v>14.93</v>
      </c>
      <c r="Y176" s="72">
        <v>15.33</v>
      </c>
      <c r="Z176" s="72">
        <v>14.88</v>
      </c>
      <c r="AA176" s="72">
        <v>14.54</v>
      </c>
      <c r="AB176" s="72">
        <v>17.89</v>
      </c>
      <c r="AC176" s="72">
        <v>18.12</v>
      </c>
      <c r="AD176" s="72">
        <v>18.96</v>
      </c>
      <c r="AE176" s="72">
        <v>19.670000000000002</v>
      </c>
      <c r="AF176" s="72">
        <v>19.86</v>
      </c>
      <c r="AG176" s="72">
        <v>18.36</v>
      </c>
      <c r="AH176" s="72">
        <v>18.05</v>
      </c>
      <c r="AI176" s="72">
        <v>17.55</v>
      </c>
      <c r="AJ176" s="72">
        <v>16.920000000000002</v>
      </c>
      <c r="AK176" s="72">
        <v>16.88</v>
      </c>
      <c r="AL176" s="72">
        <v>16.91</v>
      </c>
      <c r="AM176" s="72">
        <v>16.809999999999999</v>
      </c>
      <c r="AN176" s="72">
        <v>13.77</v>
      </c>
      <c r="AO176" s="72">
        <v>13.84</v>
      </c>
      <c r="AP176" s="72">
        <v>13.23</v>
      </c>
      <c r="AQ176" s="72">
        <v>13.05</v>
      </c>
      <c r="AR176" s="72">
        <v>13.34</v>
      </c>
      <c r="AS176" s="72">
        <v>11.16</v>
      </c>
      <c r="AT176" s="72">
        <v>11.54</v>
      </c>
      <c r="AU176" s="72">
        <v>12.28</v>
      </c>
      <c r="AV176" s="72">
        <v>11.48</v>
      </c>
      <c r="AW176" s="72">
        <v>11.94</v>
      </c>
      <c r="AX176" s="72">
        <v>12.65</v>
      </c>
      <c r="AY176" s="72">
        <v>12.67</v>
      </c>
      <c r="AZ176" s="72">
        <v>11.83</v>
      </c>
      <c r="BA176" s="72">
        <v>11.5</v>
      </c>
      <c r="BB176" s="72">
        <v>10.57</v>
      </c>
      <c r="BC176" s="72">
        <v>10.83</v>
      </c>
      <c r="BD176" s="72">
        <v>10.79</v>
      </c>
      <c r="BE176" s="72">
        <v>11.54</v>
      </c>
      <c r="BF176" s="72">
        <v>12.7</v>
      </c>
      <c r="BG176" s="72">
        <v>14.92</v>
      </c>
      <c r="BH176" s="72">
        <v>18.64</v>
      </c>
      <c r="BI176" s="72">
        <v>18.38</v>
      </c>
      <c r="BJ176" s="72">
        <v>17.84</v>
      </c>
      <c r="BK176" s="72">
        <v>17.600000000000001</v>
      </c>
      <c r="BL176" s="72">
        <v>13.27</v>
      </c>
      <c r="BM176" s="72">
        <v>13.38</v>
      </c>
      <c r="BN176" s="72">
        <v>16.2</v>
      </c>
      <c r="BO176" s="72">
        <v>16.7</v>
      </c>
      <c r="BP176" s="72">
        <v>16.329999999999998</v>
      </c>
      <c r="BQ176" s="72">
        <v>14.45</v>
      </c>
      <c r="BR176" s="72">
        <v>14.06</v>
      </c>
      <c r="BS176" s="72">
        <v>14.81</v>
      </c>
      <c r="BT176" s="72">
        <v>11.65</v>
      </c>
    </row>
  </sheetData>
  <phoneticPr fontId="3" type="noConversion"/>
  <conditionalFormatting sqref="E4">
    <cfRule type="cellIs" dxfId="1574" priority="101" operator="greaterThan">
      <formula>0.2</formula>
    </cfRule>
    <cfRule type="cellIs" dxfId="157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157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571" priority="95" operator="greaterThan">
      <formula>$B$19</formula>
    </cfRule>
  </conditionalFormatting>
  <conditionalFormatting sqref="D33:D34">
    <cfRule type="cellIs" dxfId="157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1569" priority="89" operator="lessThan">
      <formula>$H$62</formula>
    </cfRule>
    <cfRule type="cellIs" dxfId="1568" priority="90" operator="greaterThan">
      <formula>$H$62</formula>
    </cfRule>
  </conditionalFormatting>
  <conditionalFormatting sqref="J62">
    <cfRule type="cellIs" dxfId="1567" priority="87" operator="lessThan">
      <formula>$K$62</formula>
    </cfRule>
    <cfRule type="cellIs" dxfId="1566" priority="88" operator="greaterThan">
      <formula>$K$62</formula>
    </cfRule>
  </conditionalFormatting>
  <conditionalFormatting sqref="M62">
    <cfRule type="cellIs" dxfId="1565" priority="85" operator="lessThan">
      <formula>$N$62</formula>
    </cfRule>
    <cfRule type="cellIs" dxfId="1564" priority="86" operator="greaterThan">
      <formula>$N$62</formula>
    </cfRule>
  </conditionalFormatting>
  <conditionalFormatting sqref="B44:E44">
    <cfRule type="cellIs" dxfId="1563" priority="83" operator="greaterThan">
      <formula>0</formula>
    </cfRule>
    <cfRule type="cellIs" dxfId="1562" priority="84" operator="lessThan">
      <formula>0</formula>
    </cfRule>
  </conditionalFormatting>
  <conditionalFormatting sqref="F72">
    <cfRule type="cellIs" dxfId="1561" priority="82" operator="lessThan">
      <formula>$E$72*90%</formula>
    </cfRule>
  </conditionalFormatting>
  <conditionalFormatting sqref="F73">
    <cfRule type="cellIs" dxfId="1560" priority="81" operator="lessThan">
      <formula>$E$73*90%</formula>
    </cfRule>
  </conditionalFormatting>
  <conditionalFormatting sqref="F74">
    <cfRule type="cellIs" dxfId="1559" priority="80" operator="lessThan">
      <formula>$E$74*90%</formula>
    </cfRule>
  </conditionalFormatting>
  <conditionalFormatting sqref="F75">
    <cfRule type="cellIs" dxfId="1558" priority="79" operator="lessThan">
      <formula>$E$75*90%</formula>
    </cfRule>
  </conditionalFormatting>
  <conditionalFormatting sqref="H44:K44">
    <cfRule type="cellIs" dxfId="1557" priority="77" operator="greaterThan">
      <formula>0</formula>
    </cfRule>
    <cfRule type="cellIs" dxfId="1556" priority="78" operator="lessThan">
      <formula>0</formula>
    </cfRule>
  </conditionalFormatting>
  <conditionalFormatting sqref="H51:K51">
    <cfRule type="cellIs" dxfId="1555" priority="75" operator="greaterThan">
      <formula>0</formula>
    </cfRule>
    <cfRule type="cellIs" dxfId="1554" priority="76" operator="lessThan">
      <formula>0</formula>
    </cfRule>
  </conditionalFormatting>
  <conditionalFormatting sqref="B51:E51">
    <cfRule type="cellIs" dxfId="1553" priority="73" operator="greaterThan">
      <formula>0</formula>
    </cfRule>
    <cfRule type="cellIs" dxfId="155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55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55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549" priority="56" operator="lessThan">
      <formula>0</formula>
    </cfRule>
  </conditionalFormatting>
  <conditionalFormatting sqref="A25 E25 C25">
    <cfRule type="cellIs" dxfId="1548" priority="57" operator="lessThan">
      <formula>0</formula>
    </cfRule>
  </conditionalFormatting>
  <conditionalFormatting sqref="F25">
    <cfRule type="cellIs" dxfId="1547" priority="55" operator="lessThan">
      <formula>0</formula>
    </cfRule>
  </conditionalFormatting>
  <conditionalFormatting sqref="E1">
    <cfRule type="containsText" dxfId="1546" priority="54" operator="containsText" text="本季業外損益/平均=-">
      <formula>NOT(ISERROR(SEARCH("本季業外損益/平均=-",E1)))</formula>
    </cfRule>
  </conditionalFormatting>
  <conditionalFormatting sqref="M65">
    <cfRule type="cellIs" dxfId="1545" priority="53" operator="lessThan">
      <formula>$L$65*90%</formula>
    </cfRule>
  </conditionalFormatting>
  <conditionalFormatting sqref="M66">
    <cfRule type="cellIs" dxfId="1544" priority="52" operator="lessThan">
      <formula>$L$66*90%</formula>
    </cfRule>
  </conditionalFormatting>
  <conditionalFormatting sqref="M67">
    <cfRule type="cellIs" dxfId="1543" priority="51" operator="lessThan">
      <formula>$L$67*90%</formula>
    </cfRule>
  </conditionalFormatting>
  <conditionalFormatting sqref="M68">
    <cfRule type="cellIs" dxfId="1542" priority="50" operator="lessThan">
      <formula>$L$68*90%</formula>
    </cfRule>
  </conditionalFormatting>
  <conditionalFormatting sqref="B60">
    <cfRule type="cellIs" dxfId="1541" priority="49" operator="lessThan">
      <formula>0</formula>
    </cfRule>
  </conditionalFormatting>
  <conditionalFormatting sqref="B59:F59">
    <cfRule type="cellIs" dxfId="1540" priority="48" operator="lessThanOrEqual">
      <formula>0</formula>
    </cfRule>
  </conditionalFormatting>
  <conditionalFormatting sqref="D62">
    <cfRule type="cellIs" dxfId="1539" priority="46" operator="lessThan">
      <formula>$E$62</formula>
    </cfRule>
    <cfRule type="cellIs" dxfId="1538" priority="47" operator="greaterThan">
      <formula>$E$62</formula>
    </cfRule>
  </conditionalFormatting>
  <conditionalFormatting sqref="F69">
    <cfRule type="cellIs" dxfId="1537" priority="44" operator="lessThan">
      <formula>0</formula>
    </cfRule>
  </conditionalFormatting>
  <conditionalFormatting sqref="B65:E67 B69:E69 B68:D68">
    <cfRule type="cellIs" dxfId="1536" priority="45" operator="lessThan">
      <formula>0</formula>
    </cfRule>
  </conditionalFormatting>
  <conditionalFormatting sqref="E68">
    <cfRule type="cellIs" dxfId="1535" priority="43" operator="lessThan">
      <formula>0</formula>
    </cfRule>
  </conditionalFormatting>
  <conditionalFormatting sqref="F65:F68">
    <cfRule type="cellIs" dxfId="1534" priority="42" operator="lessThan">
      <formula>0</formula>
    </cfRule>
  </conditionalFormatting>
  <conditionalFormatting sqref="F65:F68">
    <cfRule type="cellIs" dxfId="1533" priority="41" operator="lessThan">
      <formula>$E$65*0.9</formula>
    </cfRule>
  </conditionalFormatting>
  <conditionalFormatting sqref="F66">
    <cfRule type="cellIs" dxfId="1532" priority="40" operator="lessThan">
      <formula>$E$66*0.9</formula>
    </cfRule>
  </conditionalFormatting>
  <conditionalFormatting sqref="F67:F68">
    <cfRule type="cellIs" dxfId="1531" priority="39" operator="lessThan">
      <formula>$E$67*0.9</formula>
    </cfRule>
  </conditionalFormatting>
  <conditionalFormatting sqref="F68">
    <cfRule type="cellIs" dxfId="1530" priority="38" operator="lessThan">
      <formula>$E$68*0.9</formula>
    </cfRule>
  </conditionalFormatting>
  <conditionalFormatting sqref="B13:F13">
    <cfRule type="cellIs" dxfId="1529" priority="27" operator="greaterThan">
      <formula>$I$16</formula>
    </cfRule>
    <cfRule type="cellIs" dxfId="1528" priority="28" operator="lessThanOrEqual">
      <formula>$I$16</formula>
    </cfRule>
  </conditionalFormatting>
  <conditionalFormatting sqref="B10:F10">
    <cfRule type="cellIs" dxfId="1527" priority="29" operator="greaterThan">
      <formula>15</formula>
    </cfRule>
    <cfRule type="cellIs" dxfId="1526" priority="36" operator="lessThan">
      <formula>$I$9</formula>
    </cfRule>
    <cfRule type="cellIs" dxfId="1525" priority="37" operator="greaterThan">
      <formula>$I$9</formula>
    </cfRule>
  </conditionalFormatting>
  <conditionalFormatting sqref="B16:F16">
    <cfRule type="cellIs" dxfId="1524" priority="34" operator="greaterThan">
      <formula>$I$16</formula>
    </cfRule>
    <cfRule type="cellIs" dxfId="1523" priority="35" operator="lessThanOrEqual">
      <formula>$I$16</formula>
    </cfRule>
  </conditionalFormatting>
  <conditionalFormatting sqref="B15:F15">
    <cfRule type="cellIs" dxfId="1522" priority="32" operator="lessThanOrEqual">
      <formula>$I$16</formula>
    </cfRule>
    <cfRule type="cellIs" dxfId="1521" priority="33" operator="greaterThan">
      <formula>$I$16</formula>
    </cfRule>
  </conditionalFormatting>
  <conditionalFormatting sqref="B14:F14">
    <cfRule type="cellIs" dxfId="1520" priority="30" operator="greaterThan">
      <formula>$I$16</formula>
    </cfRule>
    <cfRule type="cellIs" dxfId="1519" priority="31" operator="lessThanOrEqual">
      <formula>$I$16</formula>
    </cfRule>
  </conditionalFormatting>
  <conditionalFormatting sqref="K6">
    <cfRule type="containsText" dxfId="1518" priority="25" operator="containsText" text="衰退">
      <formula>NOT(ISERROR(SEARCH("衰退",K6)))</formula>
    </cfRule>
    <cfRule type="containsText" dxfId="1517" priority="26" operator="containsText" text="成長">
      <formula>NOT(ISERROR(SEARCH("成長",K6)))</formula>
    </cfRule>
  </conditionalFormatting>
  <conditionalFormatting sqref="I4:K4">
    <cfRule type="cellIs" dxfId="1516" priority="23" operator="lessThan">
      <formula>0</formula>
    </cfRule>
    <cfRule type="cellIs" dxfId="151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514" priority="20" operator="lessThanOrEqual">
      <formula>$I$16</formula>
    </cfRule>
    <cfRule type="cellIs" dxfId="1513" priority="21" operator="greaterThan">
      <formula>$I$16</formula>
    </cfRule>
  </conditionalFormatting>
  <conditionalFormatting sqref="I6">
    <cfRule type="containsText" dxfId="1512" priority="18" operator="containsText" text="衰退">
      <formula>NOT(ISERROR(SEARCH("衰退",I6)))</formula>
    </cfRule>
    <cfRule type="containsText" dxfId="1511" priority="19" operator="containsText" text="成長">
      <formula>NOT(ISERROR(SEARCH("成長",I6)))</formula>
    </cfRule>
  </conditionalFormatting>
  <conditionalFormatting sqref="M9">
    <cfRule type="cellIs" dxfId="1510" priority="17" operator="lessThan">
      <formula>$I$9</formula>
    </cfRule>
  </conditionalFormatting>
  <conditionalFormatting sqref="M10">
    <cfRule type="cellIs" dxfId="1509" priority="16" operator="greaterThan">
      <formula>$I$9</formula>
    </cfRule>
  </conditionalFormatting>
  <conditionalFormatting sqref="M11">
    <cfRule type="cellIs" dxfId="150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507" priority="12" operator="lessThan">
      <formula>0</formula>
    </cfRule>
    <cfRule type="cellIs" dxfId="1506" priority="13" operator="greaterThan">
      <formula>0.5</formula>
    </cfRule>
  </conditionalFormatting>
  <conditionalFormatting sqref="N14">
    <cfRule type="cellIs" dxfId="150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504" priority="8" operator="lessThan">
      <formula>0.1</formula>
    </cfRule>
  </conditionalFormatting>
  <conditionalFormatting sqref="I14">
    <cfRule type="cellIs" dxfId="150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50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501" priority="1" operator="lessThan">
      <formula>$N$5*0.9</formula>
    </cfRule>
    <cfRule type="cellIs" dxfId="1500" priority="2" operator="greaterThan">
      <formula>$N$5*1.1</formula>
    </cfRule>
  </conditionalFormatting>
  <hyperlinks>
    <hyperlink ref="L1" location="儀表板!A1" display="(回首頁)" xr:uid="{00000000-0004-0000-5300-000000000000}"/>
  </hyperlink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201801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14.47 ~ 43.13</v>
      </c>
      <c r="L1" s="83" t="s">
        <v>176</v>
      </c>
      <c r="M1" s="84" t="str">
        <f ca="1">VLOOKUP(_xlfn.NUMBERVALUE(N1),儀表板!A:B,2,FALSE)</f>
        <v>崑鼎</v>
      </c>
      <c r="N1" s="85" t="str">
        <f ca="1">MID(CELL("filename",L1),FIND("]",CELL("filename",L1))+1,255)</f>
        <v>6803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0.13717775368096272</v>
      </c>
    </row>
    <row r="3" spans="1:15" s="93" customFormat="1" x14ac:dyDescent="0.25">
      <c r="A3" s="81" t="s">
        <v>179</v>
      </c>
      <c r="B3" s="94">
        <f>SUM(F19:F22,F24:F27,J19)</f>
        <v>89.019753168101431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168.38434493720948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174.72565180774325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180.67062699886867</v>
      </c>
      <c r="L3" s="100"/>
      <c r="M3" s="79" t="s">
        <v>385</v>
      </c>
      <c r="N3" s="92">
        <f>(F69-E69)/E69</f>
        <v>-8.2549500699890185E-2</v>
      </c>
    </row>
    <row r="4" spans="1:15" s="93" customFormat="1" x14ac:dyDescent="0.25">
      <c r="A4" s="81" t="s">
        <v>182</v>
      </c>
      <c r="B4" s="96">
        <f>SUM(G36:G40)*2</f>
        <v>80</v>
      </c>
      <c r="C4" s="101"/>
      <c r="D4" s="102">
        <f>F4*(1+F141/10)</f>
        <v>6.65</v>
      </c>
      <c r="E4" s="82">
        <f>(D4-F4)/F4</f>
        <v>0</v>
      </c>
      <c r="F4" s="103">
        <v>6.65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11.752540896034406</v>
      </c>
    </row>
    <row r="5" spans="1:15" s="93" customFormat="1" x14ac:dyDescent="0.25">
      <c r="A5" s="81" t="s">
        <v>184</v>
      </c>
      <c r="B5" s="107">
        <f>SUM(F30:F34)*2</f>
        <v>99.344321517272519</v>
      </c>
      <c r="C5" s="87"/>
      <c r="D5" s="87"/>
      <c r="E5" s="87"/>
      <c r="F5" s="86"/>
      <c r="G5" s="88"/>
      <c r="M5" s="79" t="s">
        <v>386</v>
      </c>
      <c r="N5" s="152">
        <f>D62</f>
        <v>11.139999999999999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12.578860590094566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18.57</v>
      </c>
      <c r="N9" s="129"/>
    </row>
    <row r="10" spans="1:15" s="93" customFormat="1" x14ac:dyDescent="0.25">
      <c r="A10" s="123" t="s">
        <v>194</v>
      </c>
      <c r="B10" s="126">
        <f>PERCENTILE(176:176,B9)</f>
        <v>14.43</v>
      </c>
      <c r="C10" s="126">
        <f>PERCENTILE(176:176,C9)</f>
        <v>14.870000000000001</v>
      </c>
      <c r="D10" s="126">
        <f>PERCENTILE(176:176,D9)</f>
        <v>15.43</v>
      </c>
      <c r="E10" s="126">
        <f>PERCENTILE(176:176,E9)</f>
        <v>15.955</v>
      </c>
      <c r="F10" s="126">
        <f>PERCENTILE(176:176,F9)</f>
        <v>16.37</v>
      </c>
      <c r="G10" s="95"/>
      <c r="H10" s="135"/>
      <c r="I10" s="135"/>
      <c r="J10" s="135"/>
      <c r="K10" s="135"/>
      <c r="L10" s="136" t="s">
        <v>374</v>
      </c>
      <c r="M10" s="130">
        <f>MIN(176:176)</f>
        <v>13.67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67.62</v>
      </c>
      <c r="L11" s="272" t="s">
        <v>193</v>
      </c>
      <c r="M11" s="128">
        <f>STDEV(176:176)</f>
        <v>1.2997170873087167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138.13025210084035</v>
      </c>
      <c r="C13" s="141">
        <f>$B$34/5.88%</f>
        <v>167.72959183673467</v>
      </c>
      <c r="D13" s="141">
        <f>$B$34/5%</f>
        <v>197.24999999999997</v>
      </c>
      <c r="E13" s="141">
        <f>$B$34/4.35%</f>
        <v>226.72413793103448</v>
      </c>
      <c r="F13" s="141">
        <f>$B$34/3.85%</f>
        <v>256.16883116883116</v>
      </c>
      <c r="G13" s="138" t="str">
        <f>"$"&amp;ROUND(B34,2)&amp;"/"&amp;IF(STDEV(C140:F140)/AVERAGE(C140:F140)&lt;15%,"高",IF(STDEV(C140:F140)/AVERAGE(C140:F140)&lt;30%,"中","低"))</f>
        <v>$9.86/高</v>
      </c>
      <c r="H13" s="142" t="s">
        <v>199</v>
      </c>
      <c r="I13" s="143">
        <f>MAX(0,1-J15)</f>
        <v>0.11241217798594849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159.77617499999997</v>
      </c>
      <c r="C14" s="141">
        <f>$B$33*C10</f>
        <v>164.64807499999998</v>
      </c>
      <c r="D14" s="141">
        <f>$B$33*D10</f>
        <v>170.84867499999996</v>
      </c>
      <c r="E14" s="141">
        <f>$B$33*E10</f>
        <v>176.66173749999996</v>
      </c>
      <c r="F14" s="141">
        <f>$B$33*F10</f>
        <v>181.25682499999999</v>
      </c>
      <c r="G14" s="138" t="str">
        <f>"$"&amp;ROUND(B33,2)&amp;"/"&amp;IF(STDEV(B69:E69)/AVERAGE(B69:E69)&lt;15%,"高",IF(STDEV(B69:E69)/AVERAGE(B69:E69)&lt;30%,"中","低"))</f>
        <v>$11.07/高</v>
      </c>
      <c r="H14" s="142" t="s">
        <v>203</v>
      </c>
      <c r="I14" s="145">
        <f>G62/100*I13</f>
        <v>2.0582669789227171E-2</v>
      </c>
      <c r="J14" s="76" t="s">
        <v>204</v>
      </c>
      <c r="K14" s="146"/>
      <c r="L14" s="147">
        <f>(HLOOKUP($C$1,$105:$106,2,FALSE)-HLOOKUP($C$1,$117:$127,9,FALSE))/(HLOOKUP($C$1,$117:$128,12,FALSE)/K11)</f>
        <v>12.983308382688788</v>
      </c>
      <c r="M14" s="148">
        <f>E135/E69</f>
        <v>1.3294301327088214</v>
      </c>
      <c r="N14" s="149">
        <f>F173/100</f>
        <v>0.61109999999999998</v>
      </c>
    </row>
    <row r="15" spans="1:15" s="93" customFormat="1" x14ac:dyDescent="0.25">
      <c r="A15" s="140" t="s">
        <v>375</v>
      </c>
      <c r="B15" s="141">
        <f>$D$62*B10</f>
        <v>160.75019999999998</v>
      </c>
      <c r="C15" s="141">
        <f>$D$62*C10</f>
        <v>165.65179999999998</v>
      </c>
      <c r="D15" s="141">
        <f>$D$62*D10</f>
        <v>171.89019999999996</v>
      </c>
      <c r="E15" s="141">
        <f>$D$62*E10</f>
        <v>177.73869999999999</v>
      </c>
      <c r="F15" s="141">
        <f>$D$62*F10</f>
        <v>182.36179999999999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0.88758782201405151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169.58916512977646</v>
      </c>
      <c r="C16" s="141">
        <f>$F$69*C10</f>
        <v>174.76028312403162</v>
      </c>
      <c r="D16" s="141">
        <f>$F$69*D10</f>
        <v>181.34170602581088</v>
      </c>
      <c r="E16" s="141">
        <f>$F$69*E10</f>
        <v>187.51178999622894</v>
      </c>
      <c r="F16" s="141">
        <f>$F$69*F10</f>
        <v>192.38909446808324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121</v>
      </c>
      <c r="J17" s="92">
        <f ca="1">IF(I17&lt;=0,"",IF(I17&lt;=MIN($B$13:$F$16),(I17-MIN($B$13:$F$16))/MIN($B$13:$F$16),IF(I17&gt;=MAX($B$13:$F$16),I17/MAX($B$13:$F$16),PERCENTRANK($B$13:$F$16,I17))))</f>
        <v>-0.12401520912547538</v>
      </c>
      <c r="K17" s="78" t="s">
        <v>206</v>
      </c>
      <c r="L17" s="153">
        <f ca="1">VLOOKUP(_xlfn.NUMBERVALUE(N1),儀表板!A:G,6,FALSE)</f>
        <v>168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17.8325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14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1.808111533586819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0.16609246915223744</v>
      </c>
      <c r="J20" s="171">
        <f>HLOOKUP($C$1,$117:$127,11,FALSE)/HLOOKUP($C$1,$105:$115,11,FALSE)</f>
        <v>0.26753113323489391</v>
      </c>
      <c r="K20" s="163"/>
    </row>
    <row r="21" spans="1:14" s="93" customFormat="1" x14ac:dyDescent="0.25">
      <c r="A21" s="151" t="s">
        <v>201</v>
      </c>
      <c r="B21" s="161">
        <f>AVERAGE(C173:F173)/100</f>
        <v>1.411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2.768176584549245</v>
      </c>
      <c r="J21" s="78"/>
      <c r="K21" s="164" t="s">
        <v>356</v>
      </c>
      <c r="L21" s="165">
        <f>HLOOKUP($C$1,$105:$115,7,FALSE)/HLOOKUP($C$1,$105:$115,11,FALSE)</f>
        <v>0.51299540010842126</v>
      </c>
      <c r="M21" s="123" t="s">
        <v>268</v>
      </c>
      <c r="N21" s="165">
        <f>HLOOKUP($C$1,$117:$127,8,FALSE)/HLOOKUP($C$1,$117:$127,11,FALSE)</f>
        <v>0.69270026061359335</v>
      </c>
    </row>
    <row r="22" spans="1:14" s="93" customFormat="1" x14ac:dyDescent="0.25">
      <c r="A22" s="140" t="s">
        <v>222</v>
      </c>
      <c r="B22" s="161">
        <f>(-1)*SUM(C133:F133)/SUM(C132:F132)</f>
        <v>4.779068215191562E-2</v>
      </c>
      <c r="C22" s="157"/>
      <c r="D22" s="166"/>
      <c r="E22" s="140"/>
      <c r="F22" s="159">
        <f>IF(B22&lt;=0,10,IF(B22&gt;=100%,0,(1-B22)*10))</f>
        <v>9.5220931784808442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2.7310009313365269</v>
      </c>
      <c r="J22" s="78"/>
      <c r="K22" s="142" t="s">
        <v>357</v>
      </c>
      <c r="L22" s="165">
        <f>HLOOKUP($C$1,$105:$115,4,FALSE)/HLOOKUP($C$1,$105:$115,11,FALSE)</f>
        <v>0.16267947252867612</v>
      </c>
      <c r="M22" s="123" t="s">
        <v>353</v>
      </c>
      <c r="N22" s="165">
        <f>HLOOKUP($C$1,$117:$127,4,FALSE)/HLOOKUP($C$1,$117:$127,11,FALSE)</f>
        <v>0.37916582962175371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1.3652457399540068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6.8893506290732603E-3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0.78565779330679097</v>
      </c>
      <c r="C24" s="169">
        <f>STDEV(C103:F103)</f>
        <v>0.12858876566626948</v>
      </c>
      <c r="D24" s="76" t="str">
        <f>IF(C24/B24&lt;15%,"高",IF(C24/B24&lt;30%,"中","低"))</f>
        <v>中</v>
      </c>
      <c r="E24" s="149"/>
      <c r="F24" s="160">
        <f>MIN(100%,B24)*5</f>
        <v>3.9282889665339549</v>
      </c>
      <c r="G24" s="88" t="s">
        <v>229</v>
      </c>
      <c r="H24" s="123" t="s">
        <v>16</v>
      </c>
      <c r="I24" s="170">
        <f>HLOOKUP(C1,167:170,2,FALSE)</f>
        <v>82.57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0.37885515104254208</v>
      </c>
      <c r="M24" s="123" t="s">
        <v>355</v>
      </c>
      <c r="N24" s="165">
        <f>HLOOKUP($C$1,$117:$127,9,FALSE)/HLOOKUP($C$1,$117:$127,11,FALSE)</f>
        <v>0.30729973938640659</v>
      </c>
    </row>
    <row r="25" spans="1:14" s="93" customFormat="1" x14ac:dyDescent="0.25">
      <c r="A25" s="151" t="s">
        <v>366</v>
      </c>
      <c r="B25" s="255">
        <f>AVERAGE(94:94)</f>
        <v>11864</v>
      </c>
      <c r="C25" s="254">
        <f>STDEV(94:94)/AVERAGE(94:94)</f>
        <v>0.93062897691336988</v>
      </c>
      <c r="D25" s="76" t="str">
        <f>IF(C25&lt;=1,"高",IF(C25&lt;=2,"中","低"))</f>
        <v>高</v>
      </c>
      <c r="E25" s="149"/>
      <c r="F25" s="160">
        <f>MAX(0,10-ABS(C25))</f>
        <v>9.0693710230866298</v>
      </c>
      <c r="G25" s="88" t="s">
        <v>213</v>
      </c>
      <c r="H25" s="123" t="s">
        <v>232</v>
      </c>
      <c r="I25" s="170">
        <f>IF(HLOOKUP(C1,167:170,3,FALSE)="無",0,HLOOKUP(C1,167:170,3,FALSE))</f>
        <v>5.01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85.481739130434775</v>
      </c>
      <c r="C26" s="172">
        <f>IF(COUNTIF(168:168,"&gt;0")=0,0,STDEV(168:168))</f>
        <v>12.436928388755652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4.9734782608695651</v>
      </c>
      <c r="C27" s="172">
        <f>IF(COUNTIF(169:169,"&gt;0")=0,0,STDEV(169:169))</f>
        <v>1.0105021645231287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0.28725000000000001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0.222575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20.452500000000001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11.072499999999998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9.8624999999999989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9.6721607586362612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4177430.25</v>
      </c>
      <c r="C36" s="178">
        <f>STDEV(C97:F97)</f>
        <v>535821.37007238704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28.724999999999998</v>
      </c>
      <c r="C37" s="180">
        <f>STDEV(C152:F152)</f>
        <v>5.0727671606990423</v>
      </c>
      <c r="D37" s="76" t="str">
        <f>IF(C37/B37&lt;15%,"高",IF(C37/B37&lt;30%,"中","低"))</f>
        <v>中</v>
      </c>
      <c r="E37" s="107">
        <f>IF(F152&gt;E152,1,0)+IF(E152&gt;D152,1,0)+IF(D152&gt;C152,1,0)</f>
        <v>1</v>
      </c>
      <c r="F37" s="179"/>
      <c r="G37" s="160">
        <f>IF(D37="高",6,IF(D37="中",4,2))+E37+1</f>
        <v>6</v>
      </c>
    </row>
    <row r="38" spans="1:14" x14ac:dyDescent="0.25">
      <c r="A38" s="164" t="s">
        <v>249</v>
      </c>
      <c r="B38" s="180">
        <f>AVERAGE(C153:F153)</f>
        <v>24.650000000000002</v>
      </c>
      <c r="C38" s="180">
        <f>STDEV(C153:F153)</f>
        <v>5.4606104664832724</v>
      </c>
      <c r="D38" s="76" t="str">
        <f>IF(C38/B38&lt;15%,"高",IF(C38/B38&lt;30%,"中","低"))</f>
        <v>中</v>
      </c>
      <c r="E38" s="107">
        <f>IF(F153&gt;E153,1,0)+IF(E153&gt;D153,1,0)+IF(D153&gt;C153,1,0)</f>
        <v>2</v>
      </c>
      <c r="F38" s="179"/>
      <c r="G38" s="160">
        <f>IF(D38="高",6,IF(D38="中",4,2))+E38+1</f>
        <v>7</v>
      </c>
    </row>
    <row r="39" spans="1:14" x14ac:dyDescent="0.25">
      <c r="A39" s="142" t="s">
        <v>46</v>
      </c>
      <c r="B39" s="181">
        <f>AVERAGE(C165:F165)</f>
        <v>20.452500000000001</v>
      </c>
      <c r="C39" s="181">
        <f>STDEV(C165:F165)</f>
        <v>5.1562413636291247</v>
      </c>
      <c r="D39" s="76" t="str">
        <f>IF(C39/B39&lt;15%,"高",IF(C39/B39&lt;30%,"中","低"))</f>
        <v>中</v>
      </c>
      <c r="E39" s="107">
        <f>IF(F165&gt;E165,1,0)+IF(E165&gt;D165,1,0)+IF(D165&gt;C165,1,0)</f>
        <v>2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11.072499999999998</v>
      </c>
      <c r="C40" s="183">
        <f>STDEV(B69:E69)</f>
        <v>1.1981756966321755</v>
      </c>
      <c r="D40" s="76" t="str">
        <f>IF(C40/B40&lt;15%,"高",IF(C40/B40&lt;30%,"中","低"))</f>
        <v>高</v>
      </c>
      <c r="E40" s="107">
        <f>IF(E69&gt;D69,1,0)+IF(D69&gt;C69,1,0)+IF(C69&gt;B69,1,0)</f>
        <v>3</v>
      </c>
      <c r="G40" s="160">
        <f>IF(D40="高",6,IF(D40="中",4,2))+E40+1</f>
        <v>10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-4.3076923076923117E-2</v>
      </c>
      <c r="C44" s="186">
        <f>(C46-C49)/C49</f>
        <v>4.7619047619047665E-2</v>
      </c>
      <c r="D44" s="186">
        <f>(D46-D49)/D49</f>
        <v>-0.3847926267281106</v>
      </c>
      <c r="E44" s="186">
        <f>(E46-E49)/E49</f>
        <v>0.1176470588235293</v>
      </c>
      <c r="G44" s="86" t="s">
        <v>175</v>
      </c>
      <c r="H44" s="186">
        <f>(H47-H50)/H50</f>
        <v>-3.5858178887993628E-2</v>
      </c>
      <c r="I44" s="186">
        <f>(I47-I50)/I50</f>
        <v>-5.1738075990299025E-2</v>
      </c>
      <c r="J44" s="186">
        <f>(J47-J50)/J50</f>
        <v>-0.49073716711694321</v>
      </c>
      <c r="K44" s="186">
        <f>(K47-K50)/K50</f>
        <v>0.22504327755337586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3.11</v>
      </c>
      <c r="C46" s="152">
        <f>HLOOKUP(C45,$81:$82,2,FALSE)</f>
        <v>3.08</v>
      </c>
      <c r="D46" s="152">
        <f>HLOOKUP(D45,$81:$82,2,FALSE)</f>
        <v>2.67</v>
      </c>
      <c r="E46" s="152">
        <f>HLOOKUP(E45,$81:$82,2,FALSE)</f>
        <v>2.2799999999999998</v>
      </c>
      <c r="G46" s="86" t="s">
        <v>164</v>
      </c>
      <c r="H46" s="145">
        <f>HLOOKUP(H45,$145:$147,2,FALSE)/100</f>
        <v>0.28129999999999999</v>
      </c>
      <c r="I46" s="145">
        <f>HLOOKUP(I45,$145:$147,2,FALSE)/100</f>
        <v>0.26550000000000001</v>
      </c>
      <c r="J46" s="145">
        <f>HLOOKUP(J45,$145:$147,2,FALSE)/100</f>
        <v>0.30659999999999998</v>
      </c>
      <c r="K46" s="145">
        <f>HLOOKUP(K45,$145:$147,2,FALSE)/100</f>
        <v>0.2621</v>
      </c>
    </row>
    <row r="47" spans="1:14" x14ac:dyDescent="0.25">
      <c r="A47" s="188" t="s">
        <v>165</v>
      </c>
      <c r="B47" s="189">
        <f>HLOOKUP(B45,$157:$159,3,FALSE)</f>
        <v>5.73</v>
      </c>
      <c r="C47" s="189">
        <f>HLOOKUP(C45,$157:$159,3,FALSE)</f>
        <v>4.78</v>
      </c>
      <c r="D47" s="189">
        <f>HLOOKUP(D45,$157:$159,3,FALSE)</f>
        <v>4.24</v>
      </c>
      <c r="E47" s="189">
        <f>HLOOKUP(E45,$157:$159,3,FALSE)</f>
        <v>3.56</v>
      </c>
      <c r="G47" s="190" t="s">
        <v>166</v>
      </c>
      <c r="H47" s="145">
        <f>HLOOKUP(H45,$145:$147,3,FALSE)/100</f>
        <v>0.23929999999999998</v>
      </c>
      <c r="I47" s="145">
        <f>HLOOKUP(I45,$145:$147,3,FALSE)/100</f>
        <v>0.2346</v>
      </c>
      <c r="J47" s="145">
        <f>HLOOKUP(J45,$145:$147,3,FALSE)/100</f>
        <v>0.26390000000000002</v>
      </c>
      <c r="K47" s="145">
        <f>HLOOKUP(K45,$145:$147,3,FALSE)/100</f>
        <v>0.21230000000000002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3.25</v>
      </c>
      <c r="C49" s="152">
        <f>HLOOKUP(C48,$81:$82,2,FALSE)</f>
        <v>2.94</v>
      </c>
      <c r="D49" s="152">
        <f>HLOOKUP(D48,$81:$82,2,FALSE)</f>
        <v>4.34</v>
      </c>
      <c r="E49" s="152">
        <f>HLOOKUP(E48,$81:$82,2,FALSE)</f>
        <v>2.04</v>
      </c>
      <c r="G49" s="86" t="s">
        <v>164</v>
      </c>
      <c r="H49" s="145">
        <f>HLOOKUP(H48,$145:$147,2,FALSE)/100</f>
        <v>0.28800000000000003</v>
      </c>
      <c r="I49" s="145">
        <f>HLOOKUP(I48,$145:$147,2,FALSE)/100</f>
        <v>0.27829999999999999</v>
      </c>
      <c r="J49" s="145">
        <f>HLOOKUP(J48,$145:$147,2,FALSE)/100</f>
        <v>0.54280000000000006</v>
      </c>
      <c r="K49" s="145">
        <f>HLOOKUP(K48,$145:$147,2,FALSE)/100</f>
        <v>0.2157</v>
      </c>
    </row>
    <row r="50" spans="1:15" x14ac:dyDescent="0.25">
      <c r="A50" s="188" t="s">
        <v>165</v>
      </c>
      <c r="B50" s="189">
        <f>HLOOKUP(B48,$157:$159,3,FALSE)</f>
        <v>6.34</v>
      </c>
      <c r="C50" s="189">
        <f>HLOOKUP(C48,$157:$159,3,FALSE)</f>
        <v>4.5999999999999996</v>
      </c>
      <c r="D50" s="189">
        <f>HLOOKUP(D48,$157:$159,3,FALSE)</f>
        <v>13.24</v>
      </c>
      <c r="E50" s="189">
        <f>HLOOKUP(E48,$157:$159,3,FALSE)</f>
        <v>3.37</v>
      </c>
      <c r="G50" s="190" t="s">
        <v>166</v>
      </c>
      <c r="H50" s="145">
        <f>HLOOKUP(H48,$145:$147,3,FALSE)/100</f>
        <v>0.2482</v>
      </c>
      <c r="I50" s="145">
        <f>HLOOKUP(I48,$145:$147,3,FALSE)/100</f>
        <v>0.24739999999999998</v>
      </c>
      <c r="J50" s="145">
        <f>HLOOKUP(J48,$145:$147,3,FALSE)/100</f>
        <v>0.51819999999999999</v>
      </c>
      <c r="K50" s="145">
        <f>HLOOKUP(K48,$145:$147,3,FALSE)/100</f>
        <v>0.17329999999999998</v>
      </c>
    </row>
    <row r="51" spans="1:15" x14ac:dyDescent="0.25">
      <c r="A51" s="86" t="s">
        <v>351</v>
      </c>
      <c r="B51" s="186">
        <f>(B47-B50)/B50</f>
        <v>-9.6214511041009379E-2</v>
      </c>
      <c r="C51" s="186">
        <f>(C47-C50)/C50</f>
        <v>3.9130434782608831E-2</v>
      </c>
      <c r="D51" s="186">
        <f>(D47-D50)/D50</f>
        <v>-0.6797583081570997</v>
      </c>
      <c r="E51" s="186">
        <f>(E47-E50)/E50</f>
        <v>5.6379821958456956E-2</v>
      </c>
      <c r="G51" s="235" t="s">
        <v>174</v>
      </c>
      <c r="H51" s="186">
        <f>(H46-H49)/H49</f>
        <v>-2.3263888888889021E-2</v>
      </c>
      <c r="I51" s="186">
        <f>(I46-I49)/I49</f>
        <v>-4.5993532159539989E-2</v>
      </c>
      <c r="J51" s="186">
        <f>(J46-J49)/J49</f>
        <v>-0.43515106853352992</v>
      </c>
      <c r="K51" s="186">
        <f>(K46-K49)/K49</f>
        <v>0.21511358368103847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12.578860590094566</v>
      </c>
      <c r="B53" s="193">
        <f>B46</f>
        <v>3.11</v>
      </c>
      <c r="C53" s="193">
        <f>E46/HLOOKUP(E45,$87:$94,5,FALSE)*HLOOKUP(E45,$87:$94,4,FALSE)*($B$25/HLOOKUP(E45,$87:$94,4,FALSE)+SUM($B$57:$D$57)/SUM($B58:$D$58)*$G$69/100/K46)</f>
        <v>2.8925408960344061</v>
      </c>
      <c r="D53" s="193">
        <f>D46/HLOOKUP(D45,$87:$94,5,FALSE)*HLOOKUP(D45,$87:$94,4,FALSE)*($B$25/HLOOKUP(D45,$87:$94,4,FALSE)+SUM($B$57:$D$57)/SUM($B58:$D$58)*$G$69/100/J46)</f>
        <v>3.0172203780759497</v>
      </c>
      <c r="E53" s="193">
        <f>C46/HLOOKUP(C45,$87:$94,5,FALSE)*HLOOKUP(C45,$87:$94,4,FALSE)*($B$25/HLOOKUP(C45,$87:$94,4,FALSE)+SUM($B$57:$D$57)/SUM($B58:$D$58)*$G$69/100/I46)</f>
        <v>3.5590993159842106</v>
      </c>
    </row>
    <row r="54" spans="1:15" x14ac:dyDescent="0.25">
      <c r="A54" s="278">
        <f>SUM(B54:E54)</f>
        <v>11.28</v>
      </c>
      <c r="B54" s="277">
        <f t="shared" ref="B54:D54" si="0">HLOOKUP(B52-10,81:82,2,FALSE)</f>
        <v>3.25</v>
      </c>
      <c r="C54" s="277">
        <f t="shared" si="0"/>
        <v>2.2799999999999998</v>
      </c>
      <c r="D54" s="277">
        <f t="shared" si="0"/>
        <v>2.67</v>
      </c>
      <c r="E54" s="277">
        <f>HLOOKUP(E52-10,81:82,2,FALSE)</f>
        <v>3.08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201801</v>
      </c>
      <c r="C56" s="194">
        <f>IF(B56-ROUNDDOWN(B56/100,0)*100-1=0,(ROUNDDOWN(B56/100,0)-1)*100+12,B56-1)</f>
        <v>201712</v>
      </c>
      <c r="D56" s="194">
        <f>IF(C56-ROUNDDOWN(C56/100,0)*100-1=0,(ROUNDDOWN(C56/100,0)-1)*100+12,C56-1)</f>
        <v>201711</v>
      </c>
      <c r="E56" s="194">
        <f>IF(D56-ROUNDDOWN(D56/100,0)*100-1=0,(ROUNDDOWN(D56/100,0)-1)*100+12,D56-1)</f>
        <v>201710</v>
      </c>
      <c r="F56" s="194">
        <f>IF(E56-ROUNDDOWN(E56/100,0)*100-1=0,(ROUNDDOWN(E56/100,0)-1)*100+12,E56-1)</f>
        <v>201709</v>
      </c>
      <c r="G56" s="194">
        <f t="shared" ref="G56:M56" si="1">IF(F56-ROUNDDOWN(F56/100,0)*100-1=0,(ROUNDDOWN(F56/100,0)-1)*100+12,F56-1)</f>
        <v>201708</v>
      </c>
      <c r="H56" s="194">
        <f t="shared" si="1"/>
        <v>201707</v>
      </c>
      <c r="I56" s="194">
        <f t="shared" si="1"/>
        <v>201706</v>
      </c>
      <c r="J56" s="194">
        <f t="shared" si="1"/>
        <v>201705</v>
      </c>
      <c r="K56" s="194">
        <f t="shared" si="1"/>
        <v>201704</v>
      </c>
      <c r="L56" s="194">
        <f t="shared" si="1"/>
        <v>201703</v>
      </c>
      <c r="M56" s="194">
        <f t="shared" si="1"/>
        <v>201702</v>
      </c>
      <c r="N56" s="138"/>
    </row>
    <row r="57" spans="1:15" x14ac:dyDescent="0.25">
      <c r="A57" s="195" t="s">
        <v>252</v>
      </c>
      <c r="B57" s="196">
        <f>HLOOKUP(B56,78:79,2,FALSE)</f>
        <v>406918</v>
      </c>
      <c r="C57" s="196">
        <f>HLOOKUP(C56,78:79,2,FALSE)</f>
        <v>381580</v>
      </c>
      <c r="D57" s="196">
        <f>HLOOKUP(D56,78:79,2,FALSE)</f>
        <v>380287</v>
      </c>
      <c r="E57" s="196">
        <f>HLOOKUP(E56,78:79,2,FALSE)</f>
        <v>349268</v>
      </c>
      <c r="F57" s="196">
        <f>HLOOKUP(F56,78:79,2,FALSE)</f>
        <v>401003</v>
      </c>
      <c r="G57" s="196">
        <f t="shared" ref="G57:M57" si="2">HLOOKUP(G56,78:79,2,FALSE)</f>
        <v>393740</v>
      </c>
      <c r="H57" s="196">
        <f t="shared" si="2"/>
        <v>406036</v>
      </c>
      <c r="I57" s="196">
        <f t="shared" si="2"/>
        <v>399526</v>
      </c>
      <c r="J57" s="196">
        <f t="shared" si="2"/>
        <v>381143</v>
      </c>
      <c r="K57" s="196">
        <f t="shared" si="2"/>
        <v>335134</v>
      </c>
      <c r="L57" s="196">
        <f t="shared" si="2"/>
        <v>349155</v>
      </c>
      <c r="M57" s="196">
        <f t="shared" si="2"/>
        <v>345302</v>
      </c>
      <c r="N57" s="197"/>
    </row>
    <row r="58" spans="1:15" x14ac:dyDescent="0.25">
      <c r="A58" s="198" t="s">
        <v>253</v>
      </c>
      <c r="B58" s="196">
        <f>HLOOKUP(B56-100,78:79,2,FALSE)</f>
        <v>364424</v>
      </c>
      <c r="C58" s="196">
        <f>HLOOKUP(C56-100,78:79,2,FALSE)</f>
        <v>352912</v>
      </c>
      <c r="D58" s="196">
        <f>HLOOKUP(D56-100,78:79,2,FALSE)</f>
        <v>353752</v>
      </c>
      <c r="E58" s="196">
        <f>HLOOKUP(E56-100,78:79,2,FALSE)</f>
        <v>358790</v>
      </c>
      <c r="F58" s="196">
        <f>HLOOKUP(F56-100,78:79,2,FALSE)</f>
        <v>376808</v>
      </c>
      <c r="G58" s="196">
        <f t="shared" ref="G58:M58" si="3">HLOOKUP(G56-100,78:79,2,FALSE)</f>
        <v>387540</v>
      </c>
      <c r="H58" s="196">
        <f t="shared" si="3"/>
        <v>405651</v>
      </c>
      <c r="I58" s="196">
        <f t="shared" si="3"/>
        <v>401091</v>
      </c>
      <c r="J58" s="196">
        <f t="shared" si="3"/>
        <v>364746</v>
      </c>
      <c r="K58" s="196">
        <f t="shared" si="3"/>
        <v>359546</v>
      </c>
      <c r="L58" s="196">
        <f t="shared" si="3"/>
        <v>944081</v>
      </c>
      <c r="M58" s="196">
        <f t="shared" si="3"/>
        <v>335789</v>
      </c>
      <c r="N58" s="197"/>
    </row>
    <row r="59" spans="1:15" x14ac:dyDescent="0.25">
      <c r="A59" s="199" t="s">
        <v>254</v>
      </c>
      <c r="B59" s="165">
        <f>IF(B57&lt;&gt;"",(B57-B58)/B58,"")</f>
        <v>0.1166059315522578</v>
      </c>
      <c r="C59" s="165">
        <f>IF(C57&lt;&gt;"",(C57-C58)/C58,"")</f>
        <v>8.1232715237792991E-2</v>
      </c>
      <c r="D59" s="165">
        <f>IF(D57&lt;&gt;"",(D57-D58)/D58,"")</f>
        <v>7.5010176620909558E-2</v>
      </c>
      <c r="E59" s="165">
        <f>IF(E57&lt;&gt;"",(E57-E58)/E58,"")</f>
        <v>-2.6539201204046934E-2</v>
      </c>
      <c r="F59" s="165">
        <f>IF(F57&lt;&gt;"",(F57-F58)/F58,"")</f>
        <v>6.4210420160930759E-2</v>
      </c>
      <c r="G59" s="165">
        <f t="shared" ref="G59:M59" si="4">IF(G57&lt;&gt;"",(G57-G58)/G58,"")</f>
        <v>1.5998348557568251E-2</v>
      </c>
      <c r="H59" s="165">
        <f t="shared" si="4"/>
        <v>9.4909170691062021E-4</v>
      </c>
      <c r="I59" s="165">
        <f t="shared" si="4"/>
        <v>-3.9018576831691561E-3</v>
      </c>
      <c r="J59" s="165">
        <f t="shared" si="4"/>
        <v>4.4954571126208376E-2</v>
      </c>
      <c r="K59" s="165">
        <f t="shared" si="4"/>
        <v>-6.7896736439843577E-2</v>
      </c>
      <c r="L59" s="165">
        <f t="shared" si="4"/>
        <v>-0.63016414905077001</v>
      </c>
      <c r="M59" s="165">
        <f t="shared" si="4"/>
        <v>2.833029074805905E-2</v>
      </c>
    </row>
    <row r="60" spans="1:15" x14ac:dyDescent="0.25">
      <c r="A60" s="195" t="s">
        <v>255</v>
      </c>
      <c r="B60" s="196">
        <f>SUM(B57:M57)</f>
        <v>4529092</v>
      </c>
    </row>
    <row r="61" spans="1:15" x14ac:dyDescent="0.25">
      <c r="A61" s="198" t="s">
        <v>256</v>
      </c>
      <c r="B61" s="196">
        <f>SUM(B58:M58)</f>
        <v>5005130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0.90488998287756761</v>
      </c>
      <c r="D62" s="152">
        <f>SUM(B46:E46)</f>
        <v>11.139999999999999</v>
      </c>
      <c r="E62" s="152">
        <f>SUM(B49:E49)</f>
        <v>12.57</v>
      </c>
      <c r="G62" s="126">
        <f>SUM(B47:E47)</f>
        <v>18.310000000000002</v>
      </c>
      <c r="H62" s="126">
        <f>SUM(B50:E50)</f>
        <v>27.55</v>
      </c>
      <c r="J62" s="200">
        <f>AVERAGE(H46:K46)</f>
        <v>0.27887499999999998</v>
      </c>
      <c r="K62" s="200">
        <f>AVERAGE(H49:K49)</f>
        <v>0.33120000000000005</v>
      </c>
      <c r="M62" s="200">
        <f>AVERAGE(H47:K47)</f>
        <v>0.23752500000000001</v>
      </c>
      <c r="N62" s="200">
        <f>AVERAGE(H50:K50)</f>
        <v>0.29677500000000001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2" x14ac:dyDescent="0.25">
      <c r="A65" s="204">
        <v>1</v>
      </c>
      <c r="B65" s="205">
        <f t="shared" ref="B65:E67" si="5">HLOOKUP(B$64*10+$A65,$81:$82,2,FALSE)</f>
        <v>2.3199999999999998</v>
      </c>
      <c r="C65" s="205">
        <f t="shared" si="5"/>
        <v>2.2999999999999998</v>
      </c>
      <c r="D65" s="205">
        <f t="shared" si="5"/>
        <v>2.5099999999999998</v>
      </c>
      <c r="E65" s="205">
        <f t="shared" si="5"/>
        <v>4.34</v>
      </c>
      <c r="F65" s="206">
        <f>IF(ISNA(HLOOKUP(F$64*10+$A65,$81:$82,2,FALSE)),(HLOOKUP(E$64*10+$A65,$87:$94,4,FALSE)*$G65+$B$25)/HLOOKUP(E$64*10+$A65,$87:$94,5,FALSE)*$E65,HLOOKUP(F$64*10+$A65,$81:$82,2,FALSE))</f>
        <v>2.67</v>
      </c>
      <c r="G65" s="101">
        <f>MIN(130%,SUM($B$57:$D$57)/SUM($B$58:$D$58)*$G$69/HLOOKUP(E$64*10+$A65,$145:$146,2,FALSE))</f>
        <v>0.60657947904717491</v>
      </c>
      <c r="H65" s="204">
        <v>1</v>
      </c>
      <c r="I65" s="208">
        <f t="shared" ref="I65:M68" si="6">IF(ISNA(HLOOKUP(I$64*10+$H65,$145:$147,3,FALSE)),"",HLOOKUP(I$64*10+$H65,$145:$147,3,FALSE)/100)</f>
        <v>0.21600000000000003</v>
      </c>
      <c r="J65" s="208">
        <f t="shared" si="6"/>
        <v>0.2137</v>
      </c>
      <c r="K65" s="208">
        <f t="shared" si="6"/>
        <v>0.23309999999999997</v>
      </c>
      <c r="L65" s="208">
        <f t="shared" si="6"/>
        <v>0.51819999999999999</v>
      </c>
      <c r="M65" s="209">
        <f t="shared" si="6"/>
        <v>0.26390000000000002</v>
      </c>
      <c r="N65" s="256">
        <f t="shared" ref="N65:O68" si="7">HLOOKUP(E$64*10+$A65,$87:$94,8,FALSE)</f>
        <v>2404</v>
      </c>
      <c r="O65" s="256">
        <f t="shared" si="7"/>
        <v>-3389</v>
      </c>
      <c r="P65" s="210"/>
    </row>
    <row r="66" spans="1:72" x14ac:dyDescent="0.25">
      <c r="A66" s="204">
        <v>2</v>
      </c>
      <c r="B66" s="205">
        <f t="shared" si="5"/>
        <v>2.92</v>
      </c>
      <c r="C66" s="205">
        <f t="shared" si="5"/>
        <v>2.84</v>
      </c>
      <c r="D66" s="205">
        <f t="shared" si="5"/>
        <v>3.11</v>
      </c>
      <c r="E66" s="205">
        <f t="shared" si="5"/>
        <v>2.94</v>
      </c>
      <c r="F66" s="206">
        <f>IF(ISNA(HLOOKUP(F$64*10+$A66,$81:$82,2,FALSE)),(HLOOKUP(E$64*10+$A66,$87:$94,4,FALSE)*$G66+$B$25)/HLOOKUP(E$64*10+$A66,$87:$94,5,FALSE)*$E66,HLOOKUP(F$64*10+$A66,$81:$82,2,FALSE))</f>
        <v>3.08</v>
      </c>
      <c r="G66" s="101">
        <f>MIN(130%,SUM($B$57:$D$57)/SUM($B$58:$D$58)*$G$69/HLOOKUP(E$64*10+$A66,$145:$146,2,FALSE))</f>
        <v>1.1830806368192834</v>
      </c>
      <c r="H66" s="204">
        <v>2</v>
      </c>
      <c r="I66" s="208">
        <f t="shared" si="6"/>
        <v>0.24539999999999998</v>
      </c>
      <c r="J66" s="208">
        <f t="shared" si="6"/>
        <v>0.24010000000000001</v>
      </c>
      <c r="K66" s="208">
        <f t="shared" si="6"/>
        <v>0.24410000000000001</v>
      </c>
      <c r="L66" s="208">
        <f t="shared" si="6"/>
        <v>0.24739999999999998</v>
      </c>
      <c r="M66" s="209">
        <f t="shared" si="6"/>
        <v>0.2346</v>
      </c>
      <c r="N66" s="256">
        <f t="shared" si="7"/>
        <v>13928</v>
      </c>
      <c r="O66" s="256">
        <f t="shared" si="7"/>
        <v>29425</v>
      </c>
      <c r="P66" s="210"/>
    </row>
    <row r="67" spans="1:72" x14ac:dyDescent="0.25">
      <c r="A67" s="204">
        <v>3</v>
      </c>
      <c r="B67" s="205">
        <f t="shared" si="5"/>
        <v>2.93</v>
      </c>
      <c r="C67" s="205">
        <f t="shared" si="5"/>
        <v>3.13</v>
      </c>
      <c r="D67" s="205">
        <f t="shared" si="5"/>
        <v>3.2</v>
      </c>
      <c r="E67" s="205">
        <f t="shared" si="5"/>
        <v>3.25</v>
      </c>
      <c r="F67" s="206">
        <f>IF(ISNA(HLOOKUP(F$64*10+$A67,$81:$82,2,FALSE)),(HLOOKUP(E$64*10+$A67,$87:$94,4,FALSE)*$G67+$B$25)/HLOOKUP(E$64*10+$A67,$87:$94,5,FALSE)*$E67,HLOOKUP(F$64*10+$A67,$81:$82,2,FALSE))</f>
        <v>3.11</v>
      </c>
      <c r="G67" s="101">
        <f>MIN(130%,SUM($B$57:$D$57)/SUM($B$58:$D$58)*$G$69/HLOOKUP(E$64*10+$A67,$145:$146,2,FALSE))</f>
        <v>1.1432338237041892</v>
      </c>
      <c r="H67" s="204">
        <v>3</v>
      </c>
      <c r="I67" s="208">
        <f t="shared" si="6"/>
        <v>0.24329999999999999</v>
      </c>
      <c r="J67" s="208">
        <f t="shared" si="6"/>
        <v>0.2361</v>
      </c>
      <c r="K67" s="208">
        <f t="shared" si="6"/>
        <v>0.22670000000000001</v>
      </c>
      <c r="L67" s="208">
        <f t="shared" si="6"/>
        <v>0.2482</v>
      </c>
      <c r="M67" s="209">
        <f t="shared" si="6"/>
        <v>0.23929999999999998</v>
      </c>
      <c r="N67" s="256">
        <f t="shared" si="7"/>
        <v>7440</v>
      </c>
      <c r="O67" s="256">
        <f t="shared" si="7"/>
        <v>11159</v>
      </c>
      <c r="P67" s="210"/>
    </row>
    <row r="68" spans="1:72" x14ac:dyDescent="0.25">
      <c r="A68" s="204">
        <v>4</v>
      </c>
      <c r="B68" s="205">
        <f>HLOOKUP(B$64*10+$A68,$81:$82,2,FALSE)</f>
        <v>1.94</v>
      </c>
      <c r="C68" s="205">
        <f>HLOOKUP(C$64*10+$A68,$81:$82,2,FALSE)</f>
        <v>2.2400000000000002</v>
      </c>
      <c r="D68" s="205">
        <f>HLOOKUP(D$64*10+$A68,$81:$82,2,FALSE)</f>
        <v>2.04</v>
      </c>
      <c r="E68" s="206">
        <f>IF(ISNA(HLOOKUP(E$64*10+$A68,$81:$82,2,FALSE)),D68*(1-$N68)*#REF!*(1+$B$25)/(1+$E$4),HLOOKUP(E$64*10+$A68,$81:$82,2,FALSE))</f>
        <v>2.2799999999999998</v>
      </c>
      <c r="F68" s="206">
        <f>IF(ISNA(HLOOKUP(F$64*10+$A68,$81:$82,2,FALSE)),(HLOOKUP(E$64*10+$A68,$87:$94,4,FALSE)*$G68+$B$25)/HLOOKUP(E$64*10+$A68,$87:$94,5,FALSE)*$E68,HLOOKUP(F$64*10+$A68,$81:$82,2,FALSE))</f>
        <v>2.8925408960344057</v>
      </c>
      <c r="G68" s="101">
        <f>MIN(130%,SUM($B$57:$D$57)/SUM($B$58:$D$58)*$G$69/HLOOKUP(E$64*10+$A68,$145:$146,2,FALSE))</f>
        <v>1.256205040926389</v>
      </c>
      <c r="H68" s="204">
        <v>4</v>
      </c>
      <c r="I68" s="208">
        <f t="shared" si="6"/>
        <v>0.1741</v>
      </c>
      <c r="J68" s="208">
        <f t="shared" si="6"/>
        <v>0.183</v>
      </c>
      <c r="K68" s="208">
        <f t="shared" si="6"/>
        <v>0.17329999999999998</v>
      </c>
      <c r="L68" s="208">
        <f t="shared" si="6"/>
        <v>0.21230000000000002</v>
      </c>
      <c r="M68" s="209" t="str">
        <f t="shared" si="6"/>
        <v/>
      </c>
      <c r="N68" s="256">
        <f t="shared" si="7"/>
        <v>7171</v>
      </c>
      <c r="O68" s="256" t="e">
        <f t="shared" si="7"/>
        <v>#N/A</v>
      </c>
    </row>
    <row r="69" spans="1:72" x14ac:dyDescent="0.25">
      <c r="A69" s="212" t="s">
        <v>162</v>
      </c>
      <c r="B69" s="213">
        <f>SUM(B65:B68)</f>
        <v>10.11</v>
      </c>
      <c r="C69" s="213">
        <f>SUM(C65:C68)</f>
        <v>10.51</v>
      </c>
      <c r="D69" s="213">
        <f>SUM(D65:D68)</f>
        <v>10.86</v>
      </c>
      <c r="E69" s="213">
        <f>SUM(E65:E68)</f>
        <v>12.809999999999999</v>
      </c>
      <c r="F69" s="213">
        <f>SUM(F65:F68)</f>
        <v>11.752540896034406</v>
      </c>
      <c r="G69" s="257">
        <f>_xlfn.FORECAST.ETS(23,B146:W146,{1,2,3,4,5,6,7,8,9,10,11,12,13,14,15,16,17,18,19,20,21,22})</f>
        <v>30.17297112573636</v>
      </c>
      <c r="H69" s="214" t="s">
        <v>19</v>
      </c>
      <c r="I69" s="215">
        <f>HLOOKUP(I64,151:155,3,FALSE)/100</f>
        <v>0.22020000000000001</v>
      </c>
      <c r="J69" s="215">
        <f>HLOOKUP(J64,151:155,3,FALSE)/100</f>
        <v>0.21820000000000001</v>
      </c>
      <c r="K69" s="215">
        <f>HLOOKUP(K64,151:155,3,FALSE)/100</f>
        <v>0.21920000000000001</v>
      </c>
      <c r="L69" s="215">
        <f>IF(ISNA(HLOOKUP(L64,151:155,3,FALSE)/100),AVERAGE(L65:L68),HLOOKUP(L64,151:155,3,FALSE)/100)</f>
        <v>0.32840000000000003</v>
      </c>
      <c r="M69" s="215"/>
      <c r="N69" s="216"/>
    </row>
    <row r="70" spans="1:72" s="135" customFormat="1" x14ac:dyDescent="0.25">
      <c r="A70" s="217"/>
      <c r="B70" s="218"/>
      <c r="C70" s="218"/>
      <c r="D70" s="218"/>
      <c r="E70" s="218"/>
      <c r="F70" s="218"/>
    </row>
    <row r="71" spans="1:72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2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4.43</v>
      </c>
      <c r="C72" s="205">
        <f t="shared" si="8"/>
        <v>3.88</v>
      </c>
      <c r="D72" s="205">
        <f t="shared" si="8"/>
        <v>4.05</v>
      </c>
      <c r="E72" s="205">
        <f t="shared" si="8"/>
        <v>13.24</v>
      </c>
      <c r="F72" s="205">
        <f t="shared" si="8"/>
        <v>4.24</v>
      </c>
    </row>
    <row r="73" spans="1:72" s="135" customFormat="1" x14ac:dyDescent="0.25">
      <c r="A73" s="204">
        <v>2</v>
      </c>
      <c r="B73" s="205">
        <f t="shared" si="8"/>
        <v>5.19</v>
      </c>
      <c r="C73" s="205">
        <f t="shared" si="8"/>
        <v>4.8099999999999996</v>
      </c>
      <c r="D73" s="205">
        <f t="shared" si="8"/>
        <v>4.99</v>
      </c>
      <c r="E73" s="205">
        <f t="shared" si="8"/>
        <v>4.5999999999999996</v>
      </c>
      <c r="F73" s="205">
        <f t="shared" si="8"/>
        <v>4.78</v>
      </c>
    </row>
    <row r="74" spans="1:72" s="135" customFormat="1" x14ac:dyDescent="0.25">
      <c r="A74" s="204">
        <v>3</v>
      </c>
      <c r="B74" s="205">
        <f t="shared" si="8"/>
        <v>5.37</v>
      </c>
      <c r="C74" s="205">
        <f t="shared" si="8"/>
        <v>5.41</v>
      </c>
      <c r="D74" s="205">
        <f t="shared" si="8"/>
        <v>5.41</v>
      </c>
      <c r="E74" s="205">
        <f t="shared" si="8"/>
        <v>6.34</v>
      </c>
      <c r="F74" s="205">
        <f t="shared" si="8"/>
        <v>5.73</v>
      </c>
    </row>
    <row r="75" spans="1:72" s="135" customFormat="1" x14ac:dyDescent="0.25">
      <c r="A75" s="204">
        <v>4</v>
      </c>
      <c r="B75" s="205">
        <f t="shared" si="8"/>
        <v>3.14</v>
      </c>
      <c r="C75" s="205">
        <f t="shared" si="8"/>
        <v>3.63</v>
      </c>
      <c r="D75" s="205">
        <f t="shared" si="8"/>
        <v>3.37</v>
      </c>
      <c r="E75" s="205">
        <f t="shared" si="8"/>
        <v>3.56</v>
      </c>
      <c r="F75" s="205" t="str">
        <f t="shared" si="8"/>
        <v/>
      </c>
    </row>
    <row r="76" spans="1:72" s="135" customFormat="1" x14ac:dyDescent="0.25">
      <c r="A76" s="212" t="s">
        <v>165</v>
      </c>
      <c r="B76" s="213">
        <f>SUM(B72:B75)</f>
        <v>18.130000000000003</v>
      </c>
      <c r="C76" s="213">
        <f>SUM(C72:C75)</f>
        <v>17.73</v>
      </c>
      <c r="D76" s="213">
        <f>SUM(D72:D75)</f>
        <v>17.82</v>
      </c>
      <c r="E76" s="213">
        <f>AVERAGE(E72:E75)*4</f>
        <v>27.74</v>
      </c>
      <c r="F76" s="213"/>
    </row>
    <row r="77" spans="1:72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2" s="135" customFormat="1" ht="14.25" thickBot="1" x14ac:dyDescent="0.3">
      <c r="A78" s="217"/>
      <c r="B78" s="69">
        <v>201301</v>
      </c>
      <c r="C78" s="70">
        <v>201302</v>
      </c>
      <c r="D78" s="70">
        <v>201303</v>
      </c>
      <c r="E78" s="70">
        <v>201304</v>
      </c>
      <c r="F78" s="70">
        <v>201305</v>
      </c>
      <c r="G78" s="70">
        <v>201306</v>
      </c>
      <c r="H78" s="70">
        <v>201307</v>
      </c>
      <c r="I78" s="70">
        <v>201308</v>
      </c>
      <c r="J78" s="70">
        <v>201309</v>
      </c>
      <c r="K78" s="70">
        <v>201310</v>
      </c>
      <c r="L78" s="70">
        <v>201311</v>
      </c>
      <c r="M78" s="70">
        <v>201312</v>
      </c>
      <c r="N78" s="70">
        <v>201401</v>
      </c>
      <c r="O78" s="70">
        <v>201402</v>
      </c>
      <c r="P78" s="70">
        <v>201403</v>
      </c>
      <c r="Q78" s="70">
        <v>201404</v>
      </c>
      <c r="R78" s="70">
        <v>201405</v>
      </c>
      <c r="S78" s="70">
        <v>201406</v>
      </c>
      <c r="T78" s="70">
        <v>201407</v>
      </c>
      <c r="U78" s="70">
        <v>201408</v>
      </c>
      <c r="V78" s="70">
        <v>201409</v>
      </c>
      <c r="W78" s="70">
        <v>201410</v>
      </c>
      <c r="X78" s="70">
        <v>201411</v>
      </c>
      <c r="Y78" s="70">
        <v>201412</v>
      </c>
      <c r="Z78" s="70">
        <v>201501</v>
      </c>
      <c r="AA78" s="70">
        <v>201502</v>
      </c>
      <c r="AB78" s="70">
        <v>201503</v>
      </c>
      <c r="AC78" s="70">
        <v>201504</v>
      </c>
      <c r="AD78" s="70">
        <v>201505</v>
      </c>
      <c r="AE78" s="70">
        <v>201506</v>
      </c>
      <c r="AF78" s="70">
        <v>201507</v>
      </c>
      <c r="AG78" s="70">
        <v>201508</v>
      </c>
      <c r="AH78" s="70">
        <v>201509</v>
      </c>
      <c r="AI78" s="70">
        <v>201510</v>
      </c>
      <c r="AJ78" s="70">
        <v>201511</v>
      </c>
      <c r="AK78" s="70">
        <v>201512</v>
      </c>
      <c r="AL78" s="70">
        <v>201601</v>
      </c>
      <c r="AM78" s="70">
        <v>201602</v>
      </c>
      <c r="AN78" s="70">
        <v>201603</v>
      </c>
      <c r="AO78" s="70">
        <v>201604</v>
      </c>
      <c r="AP78" s="70">
        <v>201605</v>
      </c>
      <c r="AQ78" s="70">
        <v>201606</v>
      </c>
      <c r="AR78" s="70">
        <v>201607</v>
      </c>
      <c r="AS78" s="70">
        <v>201608</v>
      </c>
      <c r="AT78" s="70">
        <v>201609</v>
      </c>
      <c r="AU78" s="70">
        <v>201610</v>
      </c>
      <c r="AV78" s="70">
        <v>201611</v>
      </c>
      <c r="AW78" s="70">
        <v>201612</v>
      </c>
      <c r="AX78" s="70">
        <v>201701</v>
      </c>
      <c r="AY78" s="70">
        <v>201702</v>
      </c>
      <c r="AZ78" s="70">
        <v>201703</v>
      </c>
      <c r="BA78" s="70">
        <v>201704</v>
      </c>
      <c r="BB78" s="70">
        <v>201705</v>
      </c>
      <c r="BC78" s="70">
        <v>201706</v>
      </c>
      <c r="BD78" s="70">
        <v>201707</v>
      </c>
      <c r="BE78" s="70">
        <v>201708</v>
      </c>
      <c r="BF78" s="70">
        <v>201709</v>
      </c>
      <c r="BG78" s="70">
        <v>201710</v>
      </c>
      <c r="BH78" s="70">
        <v>201711</v>
      </c>
      <c r="BI78" s="70">
        <v>201712</v>
      </c>
      <c r="BJ78" s="71">
        <v>201801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0">
        <v>201710</v>
      </c>
      <c r="BT78" s="71">
        <v>201711</v>
      </c>
    </row>
    <row r="79" spans="1:72" ht="14.25" thickBot="1" x14ac:dyDescent="0.3">
      <c r="A79" s="222" t="s">
        <v>9</v>
      </c>
      <c r="B79" s="270">
        <v>295964</v>
      </c>
      <c r="C79" s="270">
        <v>272406</v>
      </c>
      <c r="D79" s="270">
        <v>291575</v>
      </c>
      <c r="E79" s="270">
        <v>300728</v>
      </c>
      <c r="F79" s="270">
        <v>307718</v>
      </c>
      <c r="G79" s="270">
        <v>339883</v>
      </c>
      <c r="H79" s="270">
        <v>348164</v>
      </c>
      <c r="I79" s="270">
        <v>342471</v>
      </c>
      <c r="J79" s="270">
        <v>310216</v>
      </c>
      <c r="K79" s="270">
        <v>310039</v>
      </c>
      <c r="L79" s="270">
        <v>316059</v>
      </c>
      <c r="M79" s="270">
        <v>315533</v>
      </c>
      <c r="N79" s="270">
        <v>305023</v>
      </c>
      <c r="O79" s="270">
        <v>304484</v>
      </c>
      <c r="P79" s="270">
        <v>308549</v>
      </c>
      <c r="Q79" s="270">
        <v>330212</v>
      </c>
      <c r="R79" s="270">
        <v>319057</v>
      </c>
      <c r="S79" s="270">
        <v>343178</v>
      </c>
      <c r="T79" s="270">
        <v>351077</v>
      </c>
      <c r="U79" s="270">
        <v>351956</v>
      </c>
      <c r="V79" s="270">
        <v>331993</v>
      </c>
      <c r="W79" s="270">
        <v>325969</v>
      </c>
      <c r="X79" s="270">
        <v>326601</v>
      </c>
      <c r="Y79" s="270">
        <v>326927</v>
      </c>
      <c r="Z79" s="270">
        <v>328311</v>
      </c>
      <c r="AA79" s="270">
        <v>311100</v>
      </c>
      <c r="AB79" s="270">
        <v>324613</v>
      </c>
      <c r="AC79" s="270">
        <v>315276</v>
      </c>
      <c r="AD79" s="270">
        <v>331887</v>
      </c>
      <c r="AE79" s="270">
        <v>370249</v>
      </c>
      <c r="AF79" s="270">
        <v>372411</v>
      </c>
      <c r="AG79" s="270">
        <v>360729</v>
      </c>
      <c r="AH79" s="270">
        <v>344315</v>
      </c>
      <c r="AI79" s="270">
        <v>341432</v>
      </c>
      <c r="AJ79" s="270">
        <v>348662</v>
      </c>
      <c r="AK79" s="270">
        <v>329767</v>
      </c>
      <c r="AL79" s="270">
        <v>334076</v>
      </c>
      <c r="AM79" s="270">
        <v>335789</v>
      </c>
      <c r="AN79" s="270">
        <v>944081</v>
      </c>
      <c r="AO79" s="270">
        <v>359546</v>
      </c>
      <c r="AP79" s="270">
        <v>364746</v>
      </c>
      <c r="AQ79" s="270">
        <v>401091</v>
      </c>
      <c r="AR79" s="270">
        <v>405651</v>
      </c>
      <c r="AS79" s="270">
        <v>387540</v>
      </c>
      <c r="AT79" s="270">
        <v>376808</v>
      </c>
      <c r="AU79" s="270">
        <v>358790</v>
      </c>
      <c r="AV79" s="270">
        <v>353752</v>
      </c>
      <c r="AW79" s="270">
        <v>352912</v>
      </c>
      <c r="AX79" s="270">
        <v>364424</v>
      </c>
      <c r="AY79" s="270">
        <v>345302</v>
      </c>
      <c r="AZ79" s="270">
        <v>349155</v>
      </c>
      <c r="BA79" s="270">
        <v>335134</v>
      </c>
      <c r="BB79" s="270">
        <v>381143</v>
      </c>
      <c r="BC79" s="270">
        <v>399526</v>
      </c>
      <c r="BD79" s="270">
        <v>406036</v>
      </c>
      <c r="BE79" s="270">
        <v>393740</v>
      </c>
      <c r="BF79" s="270">
        <v>401003</v>
      </c>
      <c r="BG79" s="270">
        <v>349268</v>
      </c>
      <c r="BH79" s="270">
        <v>380287</v>
      </c>
      <c r="BI79" s="270">
        <v>381580</v>
      </c>
      <c r="BJ79" s="270">
        <v>406918</v>
      </c>
      <c r="BK79" s="270">
        <v>345302</v>
      </c>
      <c r="BL79" s="270">
        <v>349155</v>
      </c>
      <c r="BM79" s="270">
        <v>335134</v>
      </c>
      <c r="BN79" s="270">
        <v>381143</v>
      </c>
      <c r="BO79" s="270">
        <v>399526</v>
      </c>
      <c r="BP79" s="270">
        <v>406036</v>
      </c>
      <c r="BQ79" s="270">
        <v>393740</v>
      </c>
      <c r="BR79" s="270">
        <v>401003</v>
      </c>
      <c r="BS79" s="270">
        <v>349268</v>
      </c>
      <c r="BT79" s="270">
        <v>380287</v>
      </c>
    </row>
    <row r="80" spans="1:72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2.06</v>
      </c>
      <c r="C82" s="72">
        <v>2.75</v>
      </c>
      <c r="D82" s="72">
        <v>3.46</v>
      </c>
      <c r="E82" s="72">
        <v>2.2000000000000002</v>
      </c>
      <c r="F82" s="72">
        <v>2.3199999999999998</v>
      </c>
      <c r="G82" s="72">
        <v>2.92</v>
      </c>
      <c r="H82" s="72">
        <v>2.93</v>
      </c>
      <c r="I82" s="72">
        <v>1.94</v>
      </c>
      <c r="J82" s="72">
        <v>2.2999999999999998</v>
      </c>
      <c r="K82" s="72">
        <v>2.84</v>
      </c>
      <c r="L82" s="72">
        <v>3.13</v>
      </c>
      <c r="M82" s="72">
        <v>2.2400000000000002</v>
      </c>
      <c r="N82" s="72">
        <v>2.5099999999999998</v>
      </c>
      <c r="O82" s="72">
        <v>3.11</v>
      </c>
      <c r="P82" s="72">
        <v>3.2</v>
      </c>
      <c r="Q82" s="72">
        <v>2.04</v>
      </c>
      <c r="R82" s="72">
        <v>4.34</v>
      </c>
      <c r="S82" s="72">
        <v>2.94</v>
      </c>
      <c r="T82" s="72">
        <v>3.25</v>
      </c>
      <c r="U82" s="72">
        <v>2.2799999999999998</v>
      </c>
      <c r="V82" s="72">
        <v>2.67</v>
      </c>
      <c r="W82" s="72">
        <v>3.08</v>
      </c>
      <c r="X82" s="72">
        <v>3.11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47.07</v>
      </c>
      <c r="C85" s="72">
        <v>42.02</v>
      </c>
      <c r="D85" s="72">
        <v>45.69</v>
      </c>
      <c r="E85" s="72">
        <v>48.26</v>
      </c>
      <c r="F85" s="72">
        <v>61.29</v>
      </c>
      <c r="G85" s="72">
        <v>55.66</v>
      </c>
      <c r="H85" s="72">
        <v>60.08</v>
      </c>
      <c r="I85" s="72">
        <v>62.62</v>
      </c>
      <c r="J85" s="72">
        <v>65.02</v>
      </c>
      <c r="K85" s="72">
        <v>58.95</v>
      </c>
      <c r="L85" s="72">
        <v>62.56</v>
      </c>
      <c r="M85" s="72">
        <v>65.03</v>
      </c>
      <c r="N85" s="72">
        <v>67.849999999999994</v>
      </c>
      <c r="O85" s="72">
        <v>61.57</v>
      </c>
      <c r="P85" s="72">
        <v>65.239999999999995</v>
      </c>
      <c r="Q85" s="72">
        <v>67.400000000000006</v>
      </c>
      <c r="R85" s="72">
        <v>71.64</v>
      </c>
      <c r="S85" s="72">
        <v>65.14</v>
      </c>
      <c r="T85" s="72">
        <v>68.23</v>
      </c>
      <c r="U85" s="72">
        <v>70.45</v>
      </c>
      <c r="V85" s="72">
        <v>72.709999999999994</v>
      </c>
      <c r="W85" s="72">
        <v>64.53</v>
      </c>
      <c r="X85" s="72">
        <v>67.62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848669</v>
      </c>
      <c r="C88" s="273">
        <v>907061</v>
      </c>
      <c r="D88" s="273">
        <v>1046500</v>
      </c>
      <c r="E88" s="273">
        <v>952302</v>
      </c>
      <c r="F88" s="273">
        <v>859946</v>
      </c>
      <c r="G88" s="273">
        <v>948328</v>
      </c>
      <c r="H88" s="273">
        <v>1000831</v>
      </c>
      <c r="I88" s="273">
        <v>941271</v>
      </c>
      <c r="J88" s="273">
        <v>918056</v>
      </c>
      <c r="K88" s="273">
        <v>992448</v>
      </c>
      <c r="L88" s="273">
        <v>1035026</v>
      </c>
      <c r="M88" s="273">
        <v>979497</v>
      </c>
      <c r="N88" s="273">
        <v>964024</v>
      </c>
      <c r="O88" s="273">
        <v>1017413</v>
      </c>
      <c r="P88" s="273">
        <v>1077455</v>
      </c>
      <c r="Q88" s="273">
        <v>1019861</v>
      </c>
      <c r="R88" s="273">
        <v>1613946</v>
      </c>
      <c r="S88" s="273">
        <v>1125383</v>
      </c>
      <c r="T88" s="273">
        <v>1170000</v>
      </c>
      <c r="U88" s="273">
        <v>1046236</v>
      </c>
      <c r="V88" s="273">
        <v>1058881</v>
      </c>
      <c r="W88" s="273">
        <v>1115803</v>
      </c>
      <c r="X88" s="273">
        <v>1200779</v>
      </c>
    </row>
    <row r="89" spans="1:25" ht="14.25" thickBot="1" x14ac:dyDescent="0.3">
      <c r="A89" s="250" t="s">
        <v>4</v>
      </c>
      <c r="B89" s="275">
        <v>207571</v>
      </c>
      <c r="C89" s="275">
        <v>245044</v>
      </c>
      <c r="D89" s="275">
        <v>309769</v>
      </c>
      <c r="E89" s="275">
        <v>204300</v>
      </c>
      <c r="F89" s="275">
        <v>230179</v>
      </c>
      <c r="G89" s="275">
        <v>266421</v>
      </c>
      <c r="H89" s="275">
        <v>286162</v>
      </c>
      <c r="I89" s="275">
        <v>207381</v>
      </c>
      <c r="J89" s="275">
        <v>237685</v>
      </c>
      <c r="K89" s="275">
        <v>272505</v>
      </c>
      <c r="L89" s="275">
        <v>288673</v>
      </c>
      <c r="M89" s="275">
        <v>230133</v>
      </c>
      <c r="N89" s="275">
        <v>264921</v>
      </c>
      <c r="O89" s="275">
        <v>286455</v>
      </c>
      <c r="P89" s="275">
        <v>288670</v>
      </c>
      <c r="Q89" s="275">
        <v>219942</v>
      </c>
      <c r="R89" s="275">
        <v>876043</v>
      </c>
      <c r="S89" s="275">
        <v>313198</v>
      </c>
      <c r="T89" s="275">
        <v>336942</v>
      </c>
      <c r="U89" s="275">
        <v>274229</v>
      </c>
      <c r="V89" s="275">
        <v>324607</v>
      </c>
      <c r="W89" s="275">
        <v>296225</v>
      </c>
      <c r="X89" s="275">
        <v>337791</v>
      </c>
    </row>
    <row r="90" spans="1:25" ht="14.25" thickBot="1" x14ac:dyDescent="0.3">
      <c r="A90" s="251" t="s">
        <v>5</v>
      </c>
      <c r="B90" s="273">
        <v>166613</v>
      </c>
      <c r="C90" s="273">
        <v>210256</v>
      </c>
      <c r="D90" s="273">
        <v>265443</v>
      </c>
      <c r="E90" s="273">
        <v>156660</v>
      </c>
      <c r="F90" s="273">
        <v>185730</v>
      </c>
      <c r="G90" s="273">
        <v>232678</v>
      </c>
      <c r="H90" s="273">
        <v>243463</v>
      </c>
      <c r="I90" s="273">
        <v>163877</v>
      </c>
      <c r="J90" s="273">
        <v>196207</v>
      </c>
      <c r="K90" s="273">
        <v>238317</v>
      </c>
      <c r="L90" s="273">
        <v>244391</v>
      </c>
      <c r="M90" s="273">
        <v>179267</v>
      </c>
      <c r="N90" s="273">
        <v>224728</v>
      </c>
      <c r="O90" s="273">
        <v>248372</v>
      </c>
      <c r="P90" s="273">
        <v>244222</v>
      </c>
      <c r="Q90" s="273">
        <v>176792</v>
      </c>
      <c r="R90" s="273">
        <v>836272</v>
      </c>
      <c r="S90" s="273">
        <v>278418</v>
      </c>
      <c r="T90" s="273">
        <v>290346</v>
      </c>
      <c r="U90" s="273">
        <v>222147</v>
      </c>
      <c r="V90" s="273">
        <v>279417</v>
      </c>
      <c r="W90" s="273">
        <v>261784</v>
      </c>
      <c r="X90" s="273">
        <v>287317</v>
      </c>
    </row>
    <row r="91" spans="1:25" ht="14.25" thickBot="1" x14ac:dyDescent="0.3">
      <c r="A91" s="250" t="s">
        <v>6</v>
      </c>
      <c r="B91" s="275">
        <v>164560</v>
      </c>
      <c r="C91" s="275">
        <v>217535</v>
      </c>
      <c r="D91" s="275">
        <v>271035</v>
      </c>
      <c r="E91" s="275">
        <v>183319</v>
      </c>
      <c r="F91" s="275">
        <v>192747</v>
      </c>
      <c r="G91" s="275">
        <v>240832</v>
      </c>
      <c r="H91" s="275">
        <v>251661</v>
      </c>
      <c r="I91" s="275">
        <v>163757</v>
      </c>
      <c r="J91" s="275">
        <v>203304</v>
      </c>
      <c r="K91" s="275">
        <v>251270</v>
      </c>
      <c r="L91" s="275">
        <v>274697</v>
      </c>
      <c r="M91" s="275">
        <v>198154</v>
      </c>
      <c r="N91" s="275">
        <v>227381</v>
      </c>
      <c r="O91" s="275">
        <v>274890</v>
      </c>
      <c r="P91" s="275">
        <v>280907</v>
      </c>
      <c r="Q91" s="275">
        <v>185701</v>
      </c>
      <c r="R91" s="275">
        <v>838676</v>
      </c>
      <c r="S91" s="275">
        <v>292346</v>
      </c>
      <c r="T91" s="275">
        <v>297786</v>
      </c>
      <c r="U91" s="275">
        <v>229318</v>
      </c>
      <c r="V91" s="275">
        <v>276028</v>
      </c>
      <c r="W91" s="275">
        <v>291209</v>
      </c>
      <c r="X91" s="275">
        <v>298476</v>
      </c>
    </row>
    <row r="92" spans="1:25" ht="14.25" thickBot="1" x14ac:dyDescent="0.3">
      <c r="A92" s="251" t="s">
        <v>7</v>
      </c>
      <c r="B92" s="273">
        <v>142283</v>
      </c>
      <c r="C92" s="273">
        <v>183964</v>
      </c>
      <c r="D92" s="273">
        <v>231186</v>
      </c>
      <c r="E92" s="273">
        <v>153867</v>
      </c>
      <c r="F92" s="273">
        <v>166376</v>
      </c>
      <c r="G92" s="273">
        <v>209207</v>
      </c>
      <c r="H92" s="273">
        <v>217019</v>
      </c>
      <c r="I92" s="273">
        <v>136217</v>
      </c>
      <c r="J92" s="273">
        <v>176362</v>
      </c>
      <c r="K92" s="273">
        <v>213438</v>
      </c>
      <c r="L92" s="273">
        <v>236187</v>
      </c>
      <c r="M92" s="273">
        <v>166420</v>
      </c>
      <c r="N92" s="273">
        <v>194562</v>
      </c>
      <c r="O92" s="273">
        <v>233344</v>
      </c>
      <c r="P92" s="273">
        <v>248054</v>
      </c>
      <c r="Q92" s="273">
        <v>162599</v>
      </c>
      <c r="R92" s="273">
        <v>696159</v>
      </c>
      <c r="S92" s="273">
        <v>238374</v>
      </c>
      <c r="T92" s="273">
        <v>312156</v>
      </c>
      <c r="U92" s="273">
        <v>183979</v>
      </c>
      <c r="V92" s="273">
        <v>227200</v>
      </c>
      <c r="W92" s="273">
        <v>243981</v>
      </c>
      <c r="X92" s="273">
        <v>280279</v>
      </c>
    </row>
    <row r="93" spans="1:25" ht="26.25" thickBot="1" x14ac:dyDescent="0.3">
      <c r="A93" s="252" t="s">
        <v>8</v>
      </c>
      <c r="B93" s="276">
        <v>120820</v>
      </c>
      <c r="C93" s="276">
        <v>162023</v>
      </c>
      <c r="D93" s="276">
        <v>205244</v>
      </c>
      <c r="E93" s="276">
        <v>130914</v>
      </c>
      <c r="F93" s="276">
        <v>140801</v>
      </c>
      <c r="G93" s="276">
        <v>178975</v>
      </c>
      <c r="H93" s="276">
        <v>181190</v>
      </c>
      <c r="I93" s="276">
        <v>119352</v>
      </c>
      <c r="J93" s="276">
        <v>146207</v>
      </c>
      <c r="K93" s="276">
        <v>182215</v>
      </c>
      <c r="L93" s="276">
        <v>202344</v>
      </c>
      <c r="M93" s="276">
        <v>144100</v>
      </c>
      <c r="N93" s="276">
        <v>163544</v>
      </c>
      <c r="O93" s="276">
        <v>203473</v>
      </c>
      <c r="P93" s="276">
        <v>209891</v>
      </c>
      <c r="Q93" s="276">
        <v>133462</v>
      </c>
      <c r="R93" s="276">
        <v>286141</v>
      </c>
      <c r="S93" s="276">
        <v>195062</v>
      </c>
      <c r="T93" s="276">
        <v>215820</v>
      </c>
      <c r="U93" s="276">
        <v>151074</v>
      </c>
      <c r="V93" s="276">
        <v>177919</v>
      </c>
      <c r="W93" s="276">
        <v>205862</v>
      </c>
      <c r="X93" s="276">
        <v>207546</v>
      </c>
    </row>
    <row r="94" spans="1:25" x14ac:dyDescent="0.25">
      <c r="A94" s="233" t="s">
        <v>365</v>
      </c>
      <c r="B94" s="253">
        <f>IF(B91="","",B91-B90)</f>
        <v>-2053</v>
      </c>
      <c r="C94" s="253">
        <f>IF(C91="","",C91-C90)</f>
        <v>7279</v>
      </c>
      <c r="D94" s="253">
        <f t="shared" ref="D94:Y94" si="9">IF(D91="","",D91-D90)</f>
        <v>5592</v>
      </c>
      <c r="E94" s="253">
        <f t="shared" si="9"/>
        <v>26659</v>
      </c>
      <c r="F94" s="253">
        <f t="shared" si="9"/>
        <v>7017</v>
      </c>
      <c r="G94" s="253">
        <f t="shared" si="9"/>
        <v>8154</v>
      </c>
      <c r="H94" s="253">
        <f t="shared" si="9"/>
        <v>8198</v>
      </c>
      <c r="I94" s="253">
        <f t="shared" si="9"/>
        <v>-120</v>
      </c>
      <c r="J94" s="253">
        <f t="shared" si="9"/>
        <v>7097</v>
      </c>
      <c r="K94" s="253">
        <f t="shared" si="9"/>
        <v>12953</v>
      </c>
      <c r="L94" s="253">
        <f t="shared" si="9"/>
        <v>30306</v>
      </c>
      <c r="M94" s="253">
        <f t="shared" si="9"/>
        <v>18887</v>
      </c>
      <c r="N94" s="253">
        <f t="shared" si="9"/>
        <v>2653</v>
      </c>
      <c r="O94" s="253">
        <f t="shared" si="9"/>
        <v>26518</v>
      </c>
      <c r="P94" s="253">
        <f t="shared" si="9"/>
        <v>36685</v>
      </c>
      <c r="Q94" s="253">
        <f t="shared" si="9"/>
        <v>8909</v>
      </c>
      <c r="R94" s="253">
        <f t="shared" si="9"/>
        <v>2404</v>
      </c>
      <c r="S94" s="253">
        <f t="shared" si="9"/>
        <v>13928</v>
      </c>
      <c r="T94" s="253">
        <f t="shared" si="9"/>
        <v>7440</v>
      </c>
      <c r="U94" s="253">
        <f t="shared" si="9"/>
        <v>7171</v>
      </c>
      <c r="V94" s="253">
        <f t="shared" si="9"/>
        <v>-3389</v>
      </c>
      <c r="W94" s="253">
        <f t="shared" si="9"/>
        <v>29425</v>
      </c>
      <c r="X94" s="253">
        <f t="shared" si="9"/>
        <v>11159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3754532</v>
      </c>
      <c r="C97" s="273">
        <v>3750376</v>
      </c>
      <c r="D97" s="273">
        <v>3925027</v>
      </c>
      <c r="E97" s="273">
        <v>4078753</v>
      </c>
      <c r="F97" s="273">
        <v>4955565</v>
      </c>
    </row>
    <row r="98" spans="1:24" ht="14.25" thickBot="1" x14ac:dyDescent="0.3">
      <c r="A98" s="225" t="s">
        <v>4</v>
      </c>
      <c r="B98" s="275">
        <v>966684</v>
      </c>
      <c r="C98" s="275">
        <v>990143</v>
      </c>
      <c r="D98" s="275">
        <v>1027584</v>
      </c>
      <c r="E98" s="275">
        <v>1059988</v>
      </c>
      <c r="F98" s="275">
        <v>1800412</v>
      </c>
    </row>
    <row r="99" spans="1:24" ht="14.25" thickBot="1" x14ac:dyDescent="0.3">
      <c r="A99" s="224" t="s">
        <v>5</v>
      </c>
      <c r="B99" s="273">
        <v>798972</v>
      </c>
      <c r="C99" s="273">
        <v>825748</v>
      </c>
      <c r="D99" s="273">
        <v>856631</v>
      </c>
      <c r="E99" s="273">
        <v>894114</v>
      </c>
      <c r="F99" s="273">
        <v>1627183</v>
      </c>
    </row>
    <row r="100" spans="1:24" ht="14.25" thickBot="1" x14ac:dyDescent="0.3">
      <c r="A100" s="225" t="s">
        <v>6</v>
      </c>
      <c r="B100" s="275">
        <v>836449</v>
      </c>
      <c r="C100" s="275">
        <v>848997</v>
      </c>
      <c r="D100" s="275">
        <v>926273</v>
      </c>
      <c r="E100" s="275">
        <v>968879</v>
      </c>
      <c r="F100" s="275">
        <v>1658126</v>
      </c>
    </row>
    <row r="101" spans="1:24" ht="14.25" thickBot="1" x14ac:dyDescent="0.3">
      <c r="A101" s="224" t="s">
        <v>7</v>
      </c>
      <c r="B101" s="273">
        <v>711300</v>
      </c>
      <c r="C101" s="273">
        <v>728819</v>
      </c>
      <c r="D101" s="273">
        <v>791518</v>
      </c>
      <c r="E101" s="273">
        <v>838559</v>
      </c>
      <c r="F101" s="273">
        <v>1430668</v>
      </c>
    </row>
    <row r="102" spans="1:24" ht="14.25" thickBot="1" x14ac:dyDescent="0.3">
      <c r="A102" s="227" t="s">
        <v>8</v>
      </c>
      <c r="B102" s="276">
        <v>619001</v>
      </c>
      <c r="C102" s="276">
        <v>620318</v>
      </c>
      <c r="D102" s="276">
        <v>674036</v>
      </c>
      <c r="E102" s="276">
        <v>710370</v>
      </c>
      <c r="F102" s="276">
        <v>848097</v>
      </c>
    </row>
    <row r="103" spans="1:24" x14ac:dyDescent="0.25">
      <c r="A103" s="233" t="s">
        <v>262</v>
      </c>
      <c r="B103" s="234">
        <f>IF(OR(B102="",B102="無"),"",B102/B101)</f>
        <v>0.87023899901588642</v>
      </c>
      <c r="C103" s="234">
        <f>IF(OR(C102="",C102="無"),"",C102/C101)</f>
        <v>0.85112764623315251</v>
      </c>
      <c r="D103" s="234">
        <f>IF(OR(D102="",D102="無"),"",D102/D101)</f>
        <v>0.85157381133467591</v>
      </c>
      <c r="E103" s="234">
        <f>IF(OR(E102="",E102="無"),"",E102/E101)</f>
        <v>0.84713180587173953</v>
      </c>
      <c r="F103" s="234">
        <f>IF(OR(F102="",F102="無"),"",F102/F101)</f>
        <v>0.59279790978759572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988588</v>
      </c>
      <c r="C106" s="273">
        <v>1402193</v>
      </c>
      <c r="D106" s="273">
        <v>1178522</v>
      </c>
      <c r="E106" s="273">
        <v>1543049</v>
      </c>
      <c r="F106" s="273">
        <v>1457611</v>
      </c>
      <c r="G106" s="273">
        <v>1316667</v>
      </c>
      <c r="H106" s="273">
        <v>1590835</v>
      </c>
      <c r="I106" s="273">
        <v>2004685</v>
      </c>
      <c r="J106" s="273">
        <v>2122450</v>
      </c>
      <c r="K106" s="273">
        <v>2117957</v>
      </c>
      <c r="L106" s="273">
        <v>1652333</v>
      </c>
      <c r="M106" s="273">
        <v>1830051</v>
      </c>
      <c r="N106" s="273">
        <v>2085725</v>
      </c>
      <c r="O106" s="273">
        <v>2236116</v>
      </c>
      <c r="P106" s="273">
        <v>1778720</v>
      </c>
      <c r="Q106" s="273">
        <v>2159130</v>
      </c>
      <c r="R106" s="273">
        <v>2057546</v>
      </c>
      <c r="S106" s="273">
        <v>1798298</v>
      </c>
      <c r="T106" s="273">
        <v>1418182</v>
      </c>
      <c r="U106" s="273">
        <v>1229944</v>
      </c>
      <c r="V106" s="273">
        <v>1273884</v>
      </c>
      <c r="W106" s="273">
        <v>2021193</v>
      </c>
      <c r="X106" s="273">
        <v>1530041</v>
      </c>
    </row>
    <row r="107" spans="1:24" ht="14.25" thickBot="1" x14ac:dyDescent="0.3">
      <c r="A107" s="225" t="s">
        <v>22</v>
      </c>
      <c r="B107" s="275">
        <v>886484</v>
      </c>
      <c r="C107" s="275">
        <v>569574</v>
      </c>
      <c r="D107" s="275">
        <v>485363</v>
      </c>
      <c r="E107" s="275">
        <v>546157</v>
      </c>
      <c r="F107" s="275">
        <v>762930</v>
      </c>
      <c r="G107" s="275">
        <v>950532</v>
      </c>
      <c r="H107" s="275">
        <v>405875</v>
      </c>
      <c r="I107" s="275">
        <v>194678</v>
      </c>
      <c r="J107" s="275">
        <v>250650</v>
      </c>
      <c r="K107" s="275">
        <v>406675</v>
      </c>
      <c r="L107" s="275">
        <v>269863</v>
      </c>
      <c r="M107" s="275">
        <v>397507</v>
      </c>
      <c r="N107" s="275">
        <v>324571</v>
      </c>
      <c r="O107" s="275">
        <v>290179</v>
      </c>
      <c r="P107" s="275">
        <v>318910</v>
      </c>
      <c r="Q107" s="275">
        <v>453088</v>
      </c>
      <c r="R107" s="275">
        <v>324944</v>
      </c>
      <c r="S107" s="275">
        <v>307135</v>
      </c>
      <c r="T107" s="275">
        <v>449005</v>
      </c>
      <c r="U107" s="275">
        <v>867038</v>
      </c>
      <c r="V107" s="275">
        <v>298685</v>
      </c>
      <c r="W107" s="275">
        <v>347432</v>
      </c>
      <c r="X107" s="275">
        <v>441072</v>
      </c>
    </row>
    <row r="108" spans="1:24" ht="14.25" thickBot="1" x14ac:dyDescent="0.3">
      <c r="A108" s="224" t="s">
        <v>263</v>
      </c>
      <c r="B108" s="273">
        <v>617849</v>
      </c>
      <c r="C108" s="273">
        <v>725555</v>
      </c>
      <c r="D108" s="273">
        <v>816895</v>
      </c>
      <c r="E108" s="273">
        <v>614268</v>
      </c>
      <c r="F108" s="273">
        <v>900895</v>
      </c>
      <c r="G108" s="273">
        <v>1075407</v>
      </c>
      <c r="H108" s="273">
        <v>1054397</v>
      </c>
      <c r="I108" s="273">
        <v>870552</v>
      </c>
      <c r="J108" s="273">
        <v>885875</v>
      </c>
      <c r="K108" s="273">
        <v>962989</v>
      </c>
      <c r="L108" s="273">
        <v>1099990</v>
      </c>
      <c r="M108" s="273">
        <v>942770</v>
      </c>
      <c r="N108" s="273">
        <v>939809</v>
      </c>
      <c r="O108" s="273">
        <v>1056755</v>
      </c>
      <c r="P108" s="273">
        <v>1277069</v>
      </c>
      <c r="Q108" s="273">
        <v>1045561</v>
      </c>
      <c r="R108" s="273">
        <v>1185678</v>
      </c>
      <c r="S108" s="273">
        <v>1264501</v>
      </c>
      <c r="T108" s="273">
        <v>1349548</v>
      </c>
      <c r="U108" s="273">
        <v>931927</v>
      </c>
      <c r="V108" s="273">
        <v>1062826</v>
      </c>
      <c r="W108" s="273">
        <v>1082882</v>
      </c>
      <c r="X108" s="273">
        <v>1116927</v>
      </c>
    </row>
    <row r="109" spans="1:24" ht="14.25" thickBot="1" x14ac:dyDescent="0.3">
      <c r="A109" s="225" t="s">
        <v>264</v>
      </c>
      <c r="B109" s="275">
        <v>27815</v>
      </c>
      <c r="C109" s="275">
        <v>29038</v>
      </c>
      <c r="D109" s="275">
        <v>32333</v>
      </c>
      <c r="E109" s="275">
        <v>25105</v>
      </c>
      <c r="F109" s="275">
        <v>30954</v>
      </c>
      <c r="G109" s="275">
        <v>29369</v>
      </c>
      <c r="H109" s="275">
        <v>30837</v>
      </c>
      <c r="I109" s="275">
        <v>32150</v>
      </c>
      <c r="J109" s="275">
        <v>35340</v>
      </c>
      <c r="K109" s="275">
        <v>38051</v>
      </c>
      <c r="L109" s="275">
        <v>41771</v>
      </c>
      <c r="M109" s="275">
        <v>44258</v>
      </c>
      <c r="N109" s="275">
        <v>47381</v>
      </c>
      <c r="O109" s="275">
        <v>52571</v>
      </c>
      <c r="P109" s="275">
        <v>54154</v>
      </c>
      <c r="Q109" s="275">
        <v>54325</v>
      </c>
      <c r="R109" s="275">
        <v>52509</v>
      </c>
      <c r="S109" s="275">
        <v>53872</v>
      </c>
      <c r="T109" s="275">
        <v>51123</v>
      </c>
      <c r="U109" s="275">
        <v>52287</v>
      </c>
      <c r="V109" s="275">
        <v>48037</v>
      </c>
      <c r="W109" s="275">
        <v>48707</v>
      </c>
      <c r="X109" s="275">
        <v>47301</v>
      </c>
    </row>
    <row r="110" spans="1:24" ht="14.25" thickBot="1" x14ac:dyDescent="0.3">
      <c r="A110" s="224" t="s">
        <v>23</v>
      </c>
      <c r="B110" s="273">
        <v>136726</v>
      </c>
      <c r="C110" s="273">
        <v>94218</v>
      </c>
      <c r="D110" s="273">
        <v>149287</v>
      </c>
      <c r="E110" s="273">
        <v>123662</v>
      </c>
      <c r="F110" s="273">
        <v>139517</v>
      </c>
      <c r="G110" s="273">
        <v>103890</v>
      </c>
      <c r="H110" s="273">
        <v>91759</v>
      </c>
      <c r="I110" s="273">
        <v>116244</v>
      </c>
      <c r="J110" s="273">
        <v>153096</v>
      </c>
      <c r="K110" s="273">
        <v>180822</v>
      </c>
      <c r="L110" s="273">
        <v>107814</v>
      </c>
      <c r="M110" s="273">
        <v>108630</v>
      </c>
      <c r="N110" s="273">
        <v>127508</v>
      </c>
      <c r="O110" s="273">
        <v>129897</v>
      </c>
      <c r="P110" s="273">
        <v>140136</v>
      </c>
      <c r="Q110" s="273">
        <v>171100</v>
      </c>
      <c r="R110" s="273">
        <v>434683</v>
      </c>
      <c r="S110" s="273">
        <v>569900</v>
      </c>
      <c r="T110" s="273">
        <v>458371</v>
      </c>
      <c r="U110" s="273">
        <v>799937</v>
      </c>
      <c r="V110" s="273">
        <v>1292432</v>
      </c>
      <c r="W110" s="273">
        <v>571945</v>
      </c>
      <c r="X110" s="273">
        <v>386790</v>
      </c>
    </row>
    <row r="111" spans="1:24" ht="14.25" thickBot="1" x14ac:dyDescent="0.3">
      <c r="A111" s="225" t="s">
        <v>24</v>
      </c>
      <c r="B111" s="275">
        <v>2657462</v>
      </c>
      <c r="C111" s="275">
        <v>2820578</v>
      </c>
      <c r="D111" s="275">
        <v>2662400</v>
      </c>
      <c r="E111" s="275">
        <v>2852241</v>
      </c>
      <c r="F111" s="275">
        <v>3291907</v>
      </c>
      <c r="G111" s="275">
        <v>3475865</v>
      </c>
      <c r="H111" s="275">
        <v>3173703</v>
      </c>
      <c r="I111" s="275">
        <v>3218309</v>
      </c>
      <c r="J111" s="275">
        <v>3447411</v>
      </c>
      <c r="K111" s="275">
        <v>3706494</v>
      </c>
      <c r="L111" s="275">
        <v>3171771</v>
      </c>
      <c r="M111" s="275">
        <v>3323216</v>
      </c>
      <c r="N111" s="275">
        <v>3524994</v>
      </c>
      <c r="O111" s="275">
        <v>3765518</v>
      </c>
      <c r="P111" s="275">
        <v>3568989</v>
      </c>
      <c r="Q111" s="275">
        <v>3883204</v>
      </c>
      <c r="R111" s="275">
        <v>4055360</v>
      </c>
      <c r="S111" s="275">
        <v>3993706</v>
      </c>
      <c r="T111" s="275">
        <v>3726229</v>
      </c>
      <c r="U111" s="275">
        <v>3881133</v>
      </c>
      <c r="V111" s="275">
        <v>3975864</v>
      </c>
      <c r="W111" s="275">
        <v>4072159</v>
      </c>
      <c r="X111" s="275">
        <v>3522131</v>
      </c>
    </row>
    <row r="112" spans="1:24" ht="14.25" thickBot="1" x14ac:dyDescent="0.3">
      <c r="A112" s="224" t="s">
        <v>25</v>
      </c>
      <c r="B112" s="273">
        <v>63872</v>
      </c>
      <c r="C112" s="273">
        <v>56280</v>
      </c>
      <c r="D112" s="273">
        <v>63588</v>
      </c>
      <c r="E112" s="273">
        <v>70917</v>
      </c>
      <c r="F112" s="273">
        <v>123200</v>
      </c>
      <c r="G112" s="273">
        <v>145308</v>
      </c>
      <c r="H112" s="273">
        <v>158456</v>
      </c>
      <c r="I112" s="273">
        <v>155369</v>
      </c>
      <c r="J112" s="273">
        <v>162583</v>
      </c>
      <c r="K112" s="273">
        <v>154234</v>
      </c>
      <c r="L112" s="273">
        <v>481858</v>
      </c>
      <c r="M112" s="273">
        <v>497401</v>
      </c>
      <c r="N112" s="273">
        <v>593247</v>
      </c>
      <c r="O112" s="273">
        <v>587149</v>
      </c>
      <c r="P112" s="273">
        <v>608314</v>
      </c>
      <c r="Q112" s="273">
        <v>618658</v>
      </c>
      <c r="R112" s="273">
        <v>610397</v>
      </c>
      <c r="S112" s="273">
        <v>595678</v>
      </c>
      <c r="T112" s="273">
        <v>597317</v>
      </c>
      <c r="U112" s="273">
        <v>594580</v>
      </c>
      <c r="V112" s="273">
        <v>667753</v>
      </c>
      <c r="W112" s="273">
        <v>680664</v>
      </c>
      <c r="X112" s="273">
        <v>681495</v>
      </c>
    </row>
    <row r="113" spans="1:24" ht="14.25" thickBot="1" x14ac:dyDescent="0.3">
      <c r="A113" s="225" t="s">
        <v>26</v>
      </c>
      <c r="B113" s="275">
        <v>3427217</v>
      </c>
      <c r="C113" s="275">
        <v>3383369</v>
      </c>
      <c r="D113" s="275">
        <v>3328303</v>
      </c>
      <c r="E113" s="275">
        <v>3260348</v>
      </c>
      <c r="F113" s="275">
        <v>58320</v>
      </c>
      <c r="G113" s="275">
        <v>57501</v>
      </c>
      <c r="H113" s="275">
        <v>53655</v>
      </c>
      <c r="I113" s="275">
        <v>52927</v>
      </c>
      <c r="J113" s="275">
        <v>50235</v>
      </c>
      <c r="K113" s="275">
        <v>49168</v>
      </c>
      <c r="L113" s="275">
        <v>50811</v>
      </c>
      <c r="M113" s="275">
        <v>60915</v>
      </c>
      <c r="N113" s="275">
        <v>54619</v>
      </c>
      <c r="O113" s="275">
        <v>53001</v>
      </c>
      <c r="P113" s="275">
        <v>50634</v>
      </c>
      <c r="Q113" s="275">
        <v>51075</v>
      </c>
      <c r="R113" s="275">
        <v>53618</v>
      </c>
      <c r="S113" s="275">
        <v>50227</v>
      </c>
      <c r="T113" s="275">
        <v>48890</v>
      </c>
      <c r="U113" s="275">
        <v>54433</v>
      </c>
      <c r="V113" s="275">
        <v>56392</v>
      </c>
      <c r="W113" s="275">
        <v>60511</v>
      </c>
      <c r="X113" s="275">
        <v>61039</v>
      </c>
    </row>
    <row r="114" spans="1:24" ht="14.25" thickBot="1" x14ac:dyDescent="0.3">
      <c r="A114" s="224" t="s">
        <v>27</v>
      </c>
      <c r="B114" s="273">
        <v>300880</v>
      </c>
      <c r="C114" s="273">
        <v>287252</v>
      </c>
      <c r="D114" s="273">
        <v>299334</v>
      </c>
      <c r="E114" s="273">
        <v>190232</v>
      </c>
      <c r="F114" s="273">
        <v>3783911</v>
      </c>
      <c r="G114" s="273">
        <v>3723519</v>
      </c>
      <c r="H114" s="273">
        <v>3663461</v>
      </c>
      <c r="I114" s="273">
        <v>3609126</v>
      </c>
      <c r="J114" s="273">
        <v>3545492</v>
      </c>
      <c r="K114" s="273">
        <v>3482625</v>
      </c>
      <c r="L114" s="273">
        <v>3454548</v>
      </c>
      <c r="M114" s="273">
        <v>3354338</v>
      </c>
      <c r="N114" s="273">
        <v>3295472</v>
      </c>
      <c r="O114" s="273">
        <v>3241029</v>
      </c>
      <c r="P114" s="273">
        <v>3174579</v>
      </c>
      <c r="Q114" s="273">
        <v>3103177</v>
      </c>
      <c r="R114" s="273">
        <v>3034906</v>
      </c>
      <c r="S114" s="273">
        <v>2966763</v>
      </c>
      <c r="T114" s="273">
        <v>2851529</v>
      </c>
      <c r="U114" s="273">
        <v>2791081</v>
      </c>
      <c r="V114" s="273">
        <v>2722260</v>
      </c>
      <c r="W114" s="273">
        <v>2667701</v>
      </c>
      <c r="X114" s="273">
        <v>2601149</v>
      </c>
    </row>
    <row r="115" spans="1:24" ht="14.25" thickBot="1" x14ac:dyDescent="0.3">
      <c r="A115" s="225" t="s">
        <v>265</v>
      </c>
      <c r="B115" s="276">
        <v>6449431</v>
      </c>
      <c r="C115" s="276">
        <v>6547479</v>
      </c>
      <c r="D115" s="276">
        <v>6353625</v>
      </c>
      <c r="E115" s="276">
        <v>6373738</v>
      </c>
      <c r="F115" s="276">
        <v>7257338</v>
      </c>
      <c r="G115" s="276">
        <v>7402193</v>
      </c>
      <c r="H115" s="276">
        <v>7049275</v>
      </c>
      <c r="I115" s="276">
        <v>7035731</v>
      </c>
      <c r="J115" s="276">
        <v>7205721</v>
      </c>
      <c r="K115" s="276">
        <v>7392521</v>
      </c>
      <c r="L115" s="276">
        <v>7158988</v>
      </c>
      <c r="M115" s="276">
        <v>7235870</v>
      </c>
      <c r="N115" s="276">
        <v>7468332</v>
      </c>
      <c r="O115" s="276">
        <v>7646697</v>
      </c>
      <c r="P115" s="276">
        <v>7402516</v>
      </c>
      <c r="Q115" s="276">
        <v>7656114</v>
      </c>
      <c r="R115" s="276">
        <v>7754281</v>
      </c>
      <c r="S115" s="276">
        <v>7606374</v>
      </c>
      <c r="T115" s="276">
        <v>7223965</v>
      </c>
      <c r="U115" s="276">
        <v>7321227</v>
      </c>
      <c r="V115" s="276">
        <v>7422269</v>
      </c>
      <c r="W115" s="276">
        <v>7481035</v>
      </c>
      <c r="X115" s="276">
        <v>6865814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50160</v>
      </c>
      <c r="C118" s="273">
        <v>75000</v>
      </c>
      <c r="D118" s="273">
        <v>65000</v>
      </c>
      <c r="E118" s="273">
        <v>47000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532581</v>
      </c>
      <c r="C120" s="273">
        <v>595334</v>
      </c>
      <c r="D120" s="273">
        <v>649699</v>
      </c>
      <c r="E120" s="273">
        <v>501805</v>
      </c>
      <c r="F120" s="273">
        <v>496776</v>
      </c>
      <c r="G120" s="273">
        <v>539988</v>
      </c>
      <c r="H120" s="273">
        <v>491115</v>
      </c>
      <c r="I120" s="273">
        <v>511566</v>
      </c>
      <c r="J120" s="273">
        <v>558926</v>
      </c>
      <c r="K120" s="273">
        <v>546336</v>
      </c>
      <c r="L120" s="273">
        <v>604578</v>
      </c>
      <c r="M120" s="273">
        <v>631875</v>
      </c>
      <c r="N120" s="273">
        <v>696465</v>
      </c>
      <c r="O120" s="273">
        <v>680500</v>
      </c>
      <c r="P120" s="273">
        <v>674082</v>
      </c>
      <c r="Q120" s="273">
        <v>799586</v>
      </c>
      <c r="R120" s="273">
        <v>761396</v>
      </c>
      <c r="S120" s="273">
        <v>748655</v>
      </c>
      <c r="T120" s="273">
        <v>794473</v>
      </c>
      <c r="U120" s="273">
        <v>728545</v>
      </c>
      <c r="V120" s="273">
        <v>692474</v>
      </c>
      <c r="W120" s="273">
        <v>727817</v>
      </c>
      <c r="X120" s="273">
        <v>696459</v>
      </c>
    </row>
    <row r="121" spans="1:24" ht="14.25" thickBot="1" x14ac:dyDescent="0.3">
      <c r="A121" s="225" t="s">
        <v>267</v>
      </c>
      <c r="B121" s="275">
        <v>76296</v>
      </c>
      <c r="C121" s="275">
        <v>90583</v>
      </c>
      <c r="D121" s="275">
        <v>117400</v>
      </c>
      <c r="E121" s="275">
        <v>45954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269780</v>
      </c>
      <c r="C122" s="273">
        <v>349660</v>
      </c>
      <c r="D122" s="273">
        <v>351214</v>
      </c>
      <c r="E122" s="273">
        <v>317905</v>
      </c>
      <c r="F122" s="273">
        <v>547896</v>
      </c>
      <c r="G122" s="273">
        <v>534635</v>
      </c>
      <c r="H122" s="273">
        <v>392874</v>
      </c>
      <c r="I122" s="273">
        <v>347147</v>
      </c>
      <c r="J122" s="273">
        <v>347274</v>
      </c>
      <c r="K122" s="273">
        <v>325177</v>
      </c>
      <c r="L122" s="273">
        <v>323242</v>
      </c>
      <c r="M122" s="273">
        <v>177624</v>
      </c>
      <c r="N122" s="273">
        <v>175518</v>
      </c>
      <c r="O122" s="273">
        <v>175485</v>
      </c>
      <c r="P122" s="273">
        <v>162289</v>
      </c>
      <c r="Q122" s="273">
        <v>158400</v>
      </c>
      <c r="R122" s="273">
        <v>167200</v>
      </c>
      <c r="S122" s="273">
        <v>176000</v>
      </c>
      <c r="T122" s="273">
        <v>176000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205030</v>
      </c>
      <c r="C123" s="275">
        <v>790307</v>
      </c>
      <c r="D123" s="275">
        <v>236287</v>
      </c>
      <c r="E123" s="275">
        <v>462011</v>
      </c>
      <c r="F123" s="275">
        <v>319366</v>
      </c>
      <c r="G123" s="275">
        <v>1119043</v>
      </c>
      <c r="H123" s="275">
        <v>568008</v>
      </c>
      <c r="I123" s="275">
        <v>620289</v>
      </c>
      <c r="J123" s="275">
        <v>542968</v>
      </c>
      <c r="K123" s="275">
        <v>1289821</v>
      </c>
      <c r="L123" s="275">
        <v>757224</v>
      </c>
      <c r="M123" s="275">
        <v>828960</v>
      </c>
      <c r="N123" s="275">
        <v>754044</v>
      </c>
      <c r="O123" s="275">
        <v>1506633</v>
      </c>
      <c r="P123" s="275">
        <v>969102</v>
      </c>
      <c r="Q123" s="275">
        <v>991888</v>
      </c>
      <c r="R123" s="275">
        <v>402986</v>
      </c>
      <c r="S123" s="275">
        <v>1199132</v>
      </c>
      <c r="T123" s="275">
        <v>460198</v>
      </c>
      <c r="U123" s="275">
        <v>688736</v>
      </c>
      <c r="V123" s="275">
        <v>611727</v>
      </c>
      <c r="W123" s="275">
        <v>1451198</v>
      </c>
      <c r="X123" s="275">
        <v>575906</v>
      </c>
    </row>
    <row r="124" spans="1:24" ht="14.25" thickBot="1" x14ac:dyDescent="0.3">
      <c r="A124" s="224" t="s">
        <v>268</v>
      </c>
      <c r="B124" s="273">
        <v>1133847</v>
      </c>
      <c r="C124" s="273">
        <v>1900884</v>
      </c>
      <c r="D124" s="273">
        <v>1419600</v>
      </c>
      <c r="E124" s="273">
        <v>1374675</v>
      </c>
      <c r="F124" s="273">
        <v>1364038</v>
      </c>
      <c r="G124" s="273">
        <v>2193666</v>
      </c>
      <c r="H124" s="273">
        <v>1451997</v>
      </c>
      <c r="I124" s="273">
        <v>1479002</v>
      </c>
      <c r="J124" s="273">
        <v>1449168</v>
      </c>
      <c r="K124" s="273">
        <v>2161334</v>
      </c>
      <c r="L124" s="273">
        <v>1685044</v>
      </c>
      <c r="M124" s="273">
        <v>1638459</v>
      </c>
      <c r="N124" s="273">
        <v>1626027</v>
      </c>
      <c r="O124" s="273">
        <v>2362618</v>
      </c>
      <c r="P124" s="273">
        <v>1805473</v>
      </c>
      <c r="Q124" s="273">
        <v>1949874</v>
      </c>
      <c r="R124" s="273">
        <v>1331582</v>
      </c>
      <c r="S124" s="273">
        <v>2123787</v>
      </c>
      <c r="T124" s="273">
        <v>1430671</v>
      </c>
      <c r="U124" s="273">
        <v>1417281</v>
      </c>
      <c r="V124" s="273">
        <v>1304201</v>
      </c>
      <c r="W124" s="273">
        <v>2179015</v>
      </c>
      <c r="X124" s="273">
        <v>1272365</v>
      </c>
    </row>
    <row r="125" spans="1:24" ht="14.25" thickBot="1" x14ac:dyDescent="0.3">
      <c r="A125" s="225" t="s">
        <v>32</v>
      </c>
      <c r="B125" s="275">
        <v>1951627</v>
      </c>
      <c r="C125" s="275">
        <v>1621402</v>
      </c>
      <c r="D125" s="275">
        <v>1632388</v>
      </c>
      <c r="E125" s="275">
        <v>1499424</v>
      </c>
      <c r="F125" s="275">
        <v>1677873</v>
      </c>
      <c r="G125" s="275">
        <v>1360125</v>
      </c>
      <c r="H125" s="275">
        <v>1367602</v>
      </c>
      <c r="I125" s="275">
        <v>1111993</v>
      </c>
      <c r="J125" s="275">
        <v>1119364</v>
      </c>
      <c r="K125" s="275">
        <v>990848</v>
      </c>
      <c r="L125" s="275">
        <v>989495</v>
      </c>
      <c r="M125" s="275">
        <v>918757</v>
      </c>
      <c r="N125" s="275">
        <v>921817</v>
      </c>
      <c r="O125" s="275">
        <v>849265</v>
      </c>
      <c r="P125" s="275">
        <v>863375</v>
      </c>
      <c r="Q125" s="275">
        <v>794592</v>
      </c>
      <c r="R125" s="275">
        <v>820628</v>
      </c>
      <c r="S125" s="275">
        <v>715156</v>
      </c>
      <c r="T125" s="275">
        <v>717090</v>
      </c>
      <c r="U125" s="275">
        <v>639172</v>
      </c>
      <c r="V125" s="275">
        <v>653748</v>
      </c>
      <c r="W125" s="275">
        <v>552797</v>
      </c>
      <c r="X125" s="275">
        <v>564454</v>
      </c>
    </row>
    <row r="126" spans="1:24" ht="14.25" thickBot="1" x14ac:dyDescent="0.3">
      <c r="A126" s="224" t="s">
        <v>33</v>
      </c>
      <c r="B126" s="273">
        <v>199945</v>
      </c>
      <c r="C126" s="273">
        <v>202696</v>
      </c>
      <c r="D126" s="273">
        <v>206323</v>
      </c>
      <c r="E126" s="273">
        <v>212038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3285419</v>
      </c>
      <c r="C127" s="275">
        <v>3724982</v>
      </c>
      <c r="D127" s="275">
        <v>3258311</v>
      </c>
      <c r="E127" s="275">
        <v>3086137</v>
      </c>
      <c r="F127" s="275">
        <v>3041911</v>
      </c>
      <c r="G127" s="275">
        <v>3553791</v>
      </c>
      <c r="H127" s="275">
        <v>2819599</v>
      </c>
      <c r="I127" s="275">
        <v>2590995</v>
      </c>
      <c r="J127" s="275">
        <v>2568532</v>
      </c>
      <c r="K127" s="275">
        <v>3152182</v>
      </c>
      <c r="L127" s="275">
        <v>2674539</v>
      </c>
      <c r="M127" s="275">
        <v>2557216</v>
      </c>
      <c r="N127" s="275">
        <v>2547844</v>
      </c>
      <c r="O127" s="275">
        <v>3211883</v>
      </c>
      <c r="P127" s="275">
        <v>2668848</v>
      </c>
      <c r="Q127" s="275">
        <v>2744466</v>
      </c>
      <c r="R127" s="275">
        <v>2152210</v>
      </c>
      <c r="S127" s="275">
        <v>2838943</v>
      </c>
      <c r="T127" s="275">
        <v>2147761</v>
      </c>
      <c r="U127" s="275">
        <v>2056453</v>
      </c>
      <c r="V127" s="275">
        <v>1957949</v>
      </c>
      <c r="W127" s="275">
        <v>2731812</v>
      </c>
      <c r="X127" s="275">
        <v>1836819</v>
      </c>
    </row>
    <row r="128" spans="1:24" ht="14.25" thickBot="1" x14ac:dyDescent="0.3">
      <c r="A128" s="224" t="s">
        <v>34</v>
      </c>
      <c r="B128" s="273">
        <v>3164012</v>
      </c>
      <c r="C128" s="273">
        <v>2822497</v>
      </c>
      <c r="D128" s="273">
        <v>3095314</v>
      </c>
      <c r="E128" s="273">
        <v>3287601</v>
      </c>
      <c r="F128" s="273">
        <v>4215427</v>
      </c>
      <c r="G128" s="273">
        <v>3848402</v>
      </c>
      <c r="H128" s="273">
        <v>4229676</v>
      </c>
      <c r="I128" s="273">
        <v>4444736</v>
      </c>
      <c r="J128" s="273">
        <v>4637189</v>
      </c>
      <c r="K128" s="273">
        <v>4240339</v>
      </c>
      <c r="L128" s="273">
        <v>4484449</v>
      </c>
      <c r="M128" s="273">
        <v>4678654</v>
      </c>
      <c r="N128" s="273">
        <v>4920488</v>
      </c>
      <c r="O128" s="273">
        <v>4434814</v>
      </c>
      <c r="P128" s="273">
        <v>4733668</v>
      </c>
      <c r="Q128" s="273">
        <v>4911648</v>
      </c>
      <c r="R128" s="273">
        <v>5602071</v>
      </c>
      <c r="S128" s="273">
        <v>4767431</v>
      </c>
      <c r="T128" s="273">
        <v>5076204</v>
      </c>
      <c r="U128" s="273">
        <v>5264774</v>
      </c>
      <c r="V128" s="273">
        <v>5464320</v>
      </c>
      <c r="W128" s="273">
        <v>4749223</v>
      </c>
      <c r="X128" s="273">
        <v>5028995</v>
      </c>
    </row>
    <row r="129" spans="1:24" ht="14.25" thickBot="1" x14ac:dyDescent="0.3">
      <c r="A129" s="225" t="s">
        <v>35</v>
      </c>
      <c r="B129" s="276">
        <v>6449431</v>
      </c>
      <c r="C129" s="276">
        <v>6547479</v>
      </c>
      <c r="D129" s="276">
        <v>6353625</v>
      </c>
      <c r="E129" s="276">
        <v>6373738</v>
      </c>
      <c r="F129" s="276">
        <v>7257338</v>
      </c>
      <c r="G129" s="276">
        <v>7402193</v>
      </c>
      <c r="H129" s="276">
        <v>7049275</v>
      </c>
      <c r="I129" s="276">
        <v>7035731</v>
      </c>
      <c r="J129" s="276">
        <v>7205721</v>
      </c>
      <c r="K129" s="276">
        <v>7392521</v>
      </c>
      <c r="L129" s="276">
        <v>7158988</v>
      </c>
      <c r="M129" s="276">
        <v>7235870</v>
      </c>
      <c r="N129" s="276">
        <v>7468332</v>
      </c>
      <c r="O129" s="276">
        <v>7646697</v>
      </c>
      <c r="P129" s="276">
        <v>7402516</v>
      </c>
      <c r="Q129" s="276">
        <v>7656114</v>
      </c>
      <c r="R129" s="276">
        <v>7754281</v>
      </c>
      <c r="S129" s="276">
        <v>7606374</v>
      </c>
      <c r="T129" s="276">
        <v>7223965</v>
      </c>
      <c r="U129" s="276">
        <v>7321227</v>
      </c>
      <c r="V129" s="276">
        <v>7422269</v>
      </c>
      <c r="W129" s="276">
        <v>7481035</v>
      </c>
      <c r="X129" s="276">
        <v>6865814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25.29</v>
      </c>
      <c r="C132" s="68">
        <v>24.46</v>
      </c>
      <c r="D132" s="68">
        <v>18.600000000000001</v>
      </c>
      <c r="E132" s="68">
        <v>18.66</v>
      </c>
      <c r="F132" s="68">
        <v>13.19</v>
      </c>
    </row>
    <row r="133" spans="1:24" ht="14.25" thickBot="1" x14ac:dyDescent="0.3">
      <c r="A133" s="225" t="s">
        <v>37</v>
      </c>
      <c r="B133" s="274">
        <v>0.28000000000000003</v>
      </c>
      <c r="C133" s="274">
        <v>-0.74</v>
      </c>
      <c r="D133" s="274">
        <v>-6.14</v>
      </c>
      <c r="E133" s="274">
        <v>-1.64</v>
      </c>
      <c r="F133" s="274">
        <v>4.9400000000000004</v>
      </c>
    </row>
    <row r="134" spans="1:24" ht="14.25" thickBot="1" x14ac:dyDescent="0.3">
      <c r="A134" s="224" t="s">
        <v>38</v>
      </c>
      <c r="B134" s="68">
        <v>-14.93</v>
      </c>
      <c r="C134" s="68">
        <v>-16.059999999999999</v>
      </c>
      <c r="D134" s="68">
        <v>-15.17</v>
      </c>
      <c r="E134" s="68">
        <v>-12</v>
      </c>
      <c r="F134" s="68">
        <v>-18.149999999999999</v>
      </c>
    </row>
    <row r="135" spans="1:24" ht="14.25" thickBot="1" x14ac:dyDescent="0.3">
      <c r="A135" s="225" t="s">
        <v>270</v>
      </c>
      <c r="B135" s="274">
        <v>25.56</v>
      </c>
      <c r="C135" s="274">
        <v>23.71</v>
      </c>
      <c r="D135" s="274">
        <v>12.46</v>
      </c>
      <c r="E135" s="274">
        <v>17.03</v>
      </c>
      <c r="F135" s="274">
        <v>18.13</v>
      </c>
    </row>
    <row r="136" spans="1:24" ht="14.25" thickBot="1" x14ac:dyDescent="0.3">
      <c r="A136" s="229" t="s">
        <v>39</v>
      </c>
      <c r="B136" s="72">
        <v>10.64</v>
      </c>
      <c r="C136" s="72">
        <v>7.66</v>
      </c>
      <c r="D136" s="72">
        <v>-2.71</v>
      </c>
      <c r="E136" s="72">
        <v>5.03</v>
      </c>
      <c r="F136" s="72">
        <v>-0.02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8.99</v>
      </c>
      <c r="C140" s="68">
        <v>9.09</v>
      </c>
      <c r="D140" s="68">
        <v>9.3000000000000007</v>
      </c>
      <c r="E140" s="68">
        <v>9.69</v>
      </c>
      <c r="F140" s="68">
        <v>11.37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0.85864374403056365</v>
      </c>
      <c r="C142" s="234">
        <f>IF(C140&lt;&gt;"無",IF(ISNA(HLOOKUP(C139,$B$64:$F$69,6,FALSE)),"",C140/HLOOKUP(C139,$B$64:$F$69,6,FALSE)),"")</f>
        <v>0.89910979228486654</v>
      </c>
      <c r="D142" s="234">
        <f>IF(D140&lt;&gt;"無",IF(ISNA(HLOOKUP(D139,$B$64:$F$69,6,FALSE)),"",D140/HLOOKUP(D139,$B$64:$F$69,6,FALSE)),"")</f>
        <v>0.88487155090390113</v>
      </c>
      <c r="E142" s="234">
        <f>IF(E140&lt;&gt;"無",IF(ISNA(HLOOKUP(E139,$B$64:$F$69,6,FALSE)),"",E140/HLOOKUP(E139,$B$64:$F$69,6,FALSE)),"")</f>
        <v>0.89226519337016574</v>
      </c>
      <c r="F142" s="234">
        <f>IF(F140&lt;&gt;"無",IF(ISNA(HLOOKUP(F139,$B$64:$F$69,6,FALSE)),"",F140/HLOOKUP(F139,$B$64:$F$69,6,FALSE)),"")</f>
        <v>0.88758782201405151</v>
      </c>
    </row>
    <row r="143" spans="1:24" x14ac:dyDescent="0.25">
      <c r="A143" s="233" t="s">
        <v>216</v>
      </c>
      <c r="B143" s="234">
        <f>IF(OR(B140=0,B140="無"),"",B135/B140)</f>
        <v>2.843159065628476</v>
      </c>
      <c r="C143" s="234">
        <f>IF(OR(C140=0,C140="無"),"",C135/C140)</f>
        <v>2.6083608360836084</v>
      </c>
      <c r="D143" s="234">
        <f>IF(OR(D140=0,D140="無"),"",D135/D140)</f>
        <v>1.3397849462365592</v>
      </c>
      <c r="E143" s="234">
        <f>IF(OR(E140=0,E140="無"),"",E135/E140)</f>
        <v>1.757481940144479</v>
      </c>
      <c r="F143" s="234">
        <f>IF(OR(F140=0,F140="無"),"",F135/F140)</f>
        <v>1.594547053649956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24.46</v>
      </c>
      <c r="C146" s="68">
        <v>27.02</v>
      </c>
      <c r="D146" s="68">
        <v>29.6</v>
      </c>
      <c r="E146" s="68">
        <v>21.45</v>
      </c>
      <c r="F146" s="68">
        <v>26.77</v>
      </c>
      <c r="G146" s="68">
        <v>28.09</v>
      </c>
      <c r="H146" s="68">
        <v>28.59</v>
      </c>
      <c r="I146" s="68">
        <v>22.03</v>
      </c>
      <c r="J146" s="68">
        <v>25.89</v>
      </c>
      <c r="K146" s="68">
        <v>27.46</v>
      </c>
      <c r="L146" s="68">
        <v>27.89</v>
      </c>
      <c r="M146" s="68">
        <v>23.49</v>
      </c>
      <c r="N146" s="68">
        <v>27.48</v>
      </c>
      <c r="O146" s="68">
        <v>28.16</v>
      </c>
      <c r="P146" s="68">
        <v>26.79</v>
      </c>
      <c r="Q146" s="68">
        <v>21.57</v>
      </c>
      <c r="R146" s="68">
        <v>54.28</v>
      </c>
      <c r="S146" s="68">
        <v>27.83</v>
      </c>
      <c r="T146" s="68">
        <v>28.8</v>
      </c>
      <c r="U146" s="68">
        <v>26.21</v>
      </c>
      <c r="V146" s="68">
        <v>30.66</v>
      </c>
      <c r="W146" s="68">
        <v>26.55</v>
      </c>
      <c r="X146" s="68">
        <v>28.13</v>
      </c>
    </row>
    <row r="147" spans="1:24" s="93" customFormat="1" ht="14.25" thickBot="1" x14ac:dyDescent="0.3">
      <c r="A147" s="225" t="s">
        <v>19</v>
      </c>
      <c r="B147" s="274">
        <v>19.63</v>
      </c>
      <c r="C147" s="274">
        <v>23.18</v>
      </c>
      <c r="D147" s="274">
        <v>25.36</v>
      </c>
      <c r="E147" s="274">
        <v>16.45</v>
      </c>
      <c r="F147" s="274">
        <v>21.6</v>
      </c>
      <c r="G147" s="274">
        <v>24.54</v>
      </c>
      <c r="H147" s="274">
        <v>24.33</v>
      </c>
      <c r="I147" s="274">
        <v>17.41</v>
      </c>
      <c r="J147" s="274">
        <v>21.37</v>
      </c>
      <c r="K147" s="274">
        <v>24.01</v>
      </c>
      <c r="L147" s="274">
        <v>23.61</v>
      </c>
      <c r="M147" s="274">
        <v>18.3</v>
      </c>
      <c r="N147" s="274">
        <v>23.31</v>
      </c>
      <c r="O147" s="274">
        <v>24.41</v>
      </c>
      <c r="P147" s="274">
        <v>22.67</v>
      </c>
      <c r="Q147" s="274">
        <v>17.329999999999998</v>
      </c>
      <c r="R147" s="274">
        <v>51.82</v>
      </c>
      <c r="S147" s="274">
        <v>24.74</v>
      </c>
      <c r="T147" s="274">
        <v>24.82</v>
      </c>
      <c r="U147" s="274">
        <v>21.23</v>
      </c>
      <c r="V147" s="274">
        <v>26.39</v>
      </c>
      <c r="W147" s="274">
        <v>23.46</v>
      </c>
      <c r="X147" s="274">
        <v>23.93</v>
      </c>
    </row>
    <row r="148" spans="1:24" s="93" customFormat="1" ht="14.25" thickBot="1" x14ac:dyDescent="0.3">
      <c r="A148" s="224" t="s">
        <v>41</v>
      </c>
      <c r="B148" s="68">
        <v>19.39</v>
      </c>
      <c r="C148" s="68">
        <v>23.98</v>
      </c>
      <c r="D148" s="68">
        <v>25.9</v>
      </c>
      <c r="E148" s="68">
        <v>19.25</v>
      </c>
      <c r="F148" s="68">
        <v>22.41</v>
      </c>
      <c r="G148" s="68">
        <v>25.4</v>
      </c>
      <c r="H148" s="68">
        <v>25.15</v>
      </c>
      <c r="I148" s="68">
        <v>17.399999999999999</v>
      </c>
      <c r="J148" s="68">
        <v>22.15</v>
      </c>
      <c r="K148" s="68">
        <v>25.32</v>
      </c>
      <c r="L148" s="68">
        <v>26.54</v>
      </c>
      <c r="M148" s="68">
        <v>20.23</v>
      </c>
      <c r="N148" s="68">
        <v>23.59</v>
      </c>
      <c r="O148" s="68">
        <v>27.02</v>
      </c>
      <c r="P148" s="68">
        <v>26.07</v>
      </c>
      <c r="Q148" s="68">
        <v>18.21</v>
      </c>
      <c r="R148" s="68">
        <v>51.96</v>
      </c>
      <c r="S148" s="68">
        <v>25.98</v>
      </c>
      <c r="T148" s="68">
        <v>25.45</v>
      </c>
      <c r="U148" s="68">
        <v>21.92</v>
      </c>
      <c r="V148" s="68">
        <v>26.07</v>
      </c>
      <c r="W148" s="68">
        <v>26.1</v>
      </c>
      <c r="X148" s="68">
        <v>24.86</v>
      </c>
    </row>
    <row r="149" spans="1:24" s="93" customFormat="1" ht="14.25" thickBot="1" x14ac:dyDescent="0.3">
      <c r="A149" s="225" t="s">
        <v>13</v>
      </c>
      <c r="B149" s="73">
        <v>16.77</v>
      </c>
      <c r="C149" s="73">
        <v>20.28</v>
      </c>
      <c r="D149" s="73">
        <v>22.09</v>
      </c>
      <c r="E149" s="73">
        <v>16.16</v>
      </c>
      <c r="F149" s="73">
        <v>19.350000000000001</v>
      </c>
      <c r="G149" s="73">
        <v>22.06</v>
      </c>
      <c r="H149" s="73">
        <v>21.68</v>
      </c>
      <c r="I149" s="73">
        <v>14.47</v>
      </c>
      <c r="J149" s="73">
        <v>19.21</v>
      </c>
      <c r="K149" s="73">
        <v>21.51</v>
      </c>
      <c r="L149" s="73">
        <v>22.82</v>
      </c>
      <c r="M149" s="73">
        <v>16.989999999999998</v>
      </c>
      <c r="N149" s="73">
        <v>20.18</v>
      </c>
      <c r="O149" s="73">
        <v>22.94</v>
      </c>
      <c r="P149" s="73">
        <v>23.02</v>
      </c>
      <c r="Q149" s="73">
        <v>15.94</v>
      </c>
      <c r="R149" s="73">
        <v>43.13</v>
      </c>
      <c r="S149" s="73">
        <v>21.18</v>
      </c>
      <c r="T149" s="73">
        <v>26.68</v>
      </c>
      <c r="U149" s="73">
        <v>17.579999999999998</v>
      </c>
      <c r="V149" s="73">
        <v>21.46</v>
      </c>
      <c r="W149" s="73">
        <v>21.87</v>
      </c>
      <c r="X149" s="73">
        <v>23.34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25.75</v>
      </c>
      <c r="C152" s="68">
        <v>26.4</v>
      </c>
      <c r="D152" s="68">
        <v>26.18</v>
      </c>
      <c r="E152" s="68">
        <v>25.99</v>
      </c>
      <c r="F152" s="68">
        <v>36.33</v>
      </c>
    </row>
    <row r="153" spans="1:24" s="93" customFormat="1" ht="14.25" thickBot="1" x14ac:dyDescent="0.3">
      <c r="A153" s="225" t="s">
        <v>19</v>
      </c>
      <c r="B153" s="274">
        <v>21.28</v>
      </c>
      <c r="C153" s="274">
        <v>22.02</v>
      </c>
      <c r="D153" s="274">
        <v>21.82</v>
      </c>
      <c r="E153" s="274">
        <v>21.92</v>
      </c>
      <c r="F153" s="274">
        <v>32.840000000000003</v>
      </c>
    </row>
    <row r="154" spans="1:24" s="93" customFormat="1" ht="14.25" thickBot="1" x14ac:dyDescent="0.3">
      <c r="A154" s="224" t="s">
        <v>41</v>
      </c>
      <c r="B154" s="68">
        <v>22.28</v>
      </c>
      <c r="C154" s="68">
        <v>22.64</v>
      </c>
      <c r="D154" s="68">
        <v>23.6</v>
      </c>
      <c r="E154" s="68">
        <v>23.75</v>
      </c>
      <c r="F154" s="68">
        <v>33.46</v>
      </c>
    </row>
    <row r="155" spans="1:24" s="93" customFormat="1" ht="14.25" thickBot="1" x14ac:dyDescent="0.3">
      <c r="A155" s="225" t="s">
        <v>13</v>
      </c>
      <c r="B155" s="73">
        <v>18.95</v>
      </c>
      <c r="C155" s="73">
        <v>19.43</v>
      </c>
      <c r="D155" s="73">
        <v>20.170000000000002</v>
      </c>
      <c r="E155" s="73">
        <v>20.56</v>
      </c>
      <c r="F155" s="73">
        <v>28.87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2.33</v>
      </c>
      <c r="C158" s="68">
        <v>2.94</v>
      </c>
      <c r="D158" s="68">
        <v>3.69</v>
      </c>
      <c r="E158" s="68">
        <v>2.5099999999999998</v>
      </c>
      <c r="F158" s="68">
        <v>2.5099999999999998</v>
      </c>
      <c r="G158" s="68">
        <v>2.92</v>
      </c>
      <c r="H158" s="68">
        <v>3.06</v>
      </c>
      <c r="I158" s="68">
        <v>1.99</v>
      </c>
      <c r="J158" s="68">
        <v>2.52</v>
      </c>
      <c r="K158" s="68">
        <v>2.97</v>
      </c>
      <c r="L158" s="68">
        <v>3.29</v>
      </c>
      <c r="M158" s="68">
        <v>2.35</v>
      </c>
      <c r="N158" s="68">
        <v>2.68</v>
      </c>
      <c r="O158" s="68">
        <v>3.11</v>
      </c>
      <c r="P158" s="68">
        <v>3.32</v>
      </c>
      <c r="Q158" s="68">
        <v>2.19</v>
      </c>
      <c r="R158" s="68">
        <v>9.06</v>
      </c>
      <c r="S158" s="68">
        <v>3.11</v>
      </c>
      <c r="T158" s="68">
        <v>4.2300000000000004</v>
      </c>
      <c r="U158" s="68">
        <v>2.54</v>
      </c>
      <c r="V158" s="68">
        <v>3.1</v>
      </c>
      <c r="W158" s="68">
        <v>3.29</v>
      </c>
      <c r="X158" s="68">
        <v>3.92</v>
      </c>
    </row>
    <row r="159" spans="1:24" s="93" customFormat="1" ht="14.25" thickBot="1" x14ac:dyDescent="0.3">
      <c r="A159" s="225" t="s">
        <v>45</v>
      </c>
      <c r="B159" s="73">
        <v>4.6500000000000004</v>
      </c>
      <c r="C159" s="73">
        <v>6.15</v>
      </c>
      <c r="D159" s="73">
        <v>7.81</v>
      </c>
      <c r="E159" s="73">
        <v>4.82</v>
      </c>
      <c r="F159" s="73">
        <v>4.43</v>
      </c>
      <c r="G159" s="73">
        <v>5.19</v>
      </c>
      <c r="H159" s="73">
        <v>5.37</v>
      </c>
      <c r="I159" s="73">
        <v>3.14</v>
      </c>
      <c r="J159" s="73">
        <v>3.88</v>
      </c>
      <c r="K159" s="73">
        <v>4.8099999999999996</v>
      </c>
      <c r="L159" s="73">
        <v>5.41</v>
      </c>
      <c r="M159" s="73">
        <v>3.63</v>
      </c>
      <c r="N159" s="73">
        <v>4.05</v>
      </c>
      <c r="O159" s="73">
        <v>4.99</v>
      </c>
      <c r="P159" s="73">
        <v>5.41</v>
      </c>
      <c r="Q159" s="73">
        <v>3.37</v>
      </c>
      <c r="R159" s="73">
        <v>13.24</v>
      </c>
      <c r="S159" s="73">
        <v>4.5999999999999996</v>
      </c>
      <c r="T159" s="73">
        <v>6.34</v>
      </c>
      <c r="U159" s="73">
        <v>3.56</v>
      </c>
      <c r="V159" s="73">
        <v>4.24</v>
      </c>
      <c r="W159" s="73">
        <v>4.78</v>
      </c>
      <c r="X159" s="73">
        <v>5.73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18.95</v>
      </c>
      <c r="C162" s="68">
        <v>19.43</v>
      </c>
      <c r="D162" s="68">
        <v>20.170000000000002</v>
      </c>
      <c r="E162" s="68">
        <v>20.56</v>
      </c>
      <c r="F162" s="68">
        <v>28.87</v>
      </c>
    </row>
    <row r="163" spans="1:72" s="93" customFormat="1" ht="14.25" thickBot="1" x14ac:dyDescent="0.3">
      <c r="A163" s="225" t="s">
        <v>18</v>
      </c>
      <c r="B163" s="274">
        <v>0.59</v>
      </c>
      <c r="C163" s="274">
        <v>0.53</v>
      </c>
      <c r="D163" s="274">
        <v>0.54</v>
      </c>
      <c r="E163" s="274">
        <v>0.53</v>
      </c>
      <c r="F163" s="274">
        <v>0.68</v>
      </c>
    </row>
    <row r="164" spans="1:72" s="93" customFormat="1" ht="14.25" thickBot="1" x14ac:dyDescent="0.3">
      <c r="A164" s="224" t="s">
        <v>15</v>
      </c>
      <c r="B164" s="68">
        <v>1.94</v>
      </c>
      <c r="C164" s="68">
        <v>1.58</v>
      </c>
      <c r="D164" s="68">
        <v>1.55</v>
      </c>
      <c r="E164" s="68">
        <v>1.56</v>
      </c>
      <c r="F164" s="68">
        <v>1.39</v>
      </c>
    </row>
    <row r="165" spans="1:72" s="93" customFormat="1" ht="14.25" thickBot="1" x14ac:dyDescent="0.3">
      <c r="A165" s="225" t="s">
        <v>45</v>
      </c>
      <c r="B165" s="73">
        <v>22.79</v>
      </c>
      <c r="C165" s="73">
        <v>18.850000000000001</v>
      </c>
      <c r="D165" s="73">
        <v>17.350000000000001</v>
      </c>
      <c r="E165" s="73">
        <v>17.489999999999998</v>
      </c>
      <c r="F165" s="73">
        <v>28.12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63.38</v>
      </c>
      <c r="C168" s="68">
        <v>66.67</v>
      </c>
      <c r="D168" s="68">
        <v>66.180000000000007</v>
      </c>
      <c r="E168" s="68">
        <v>67.67</v>
      </c>
      <c r="F168" s="68">
        <v>78.95</v>
      </c>
      <c r="G168" s="68">
        <v>93.75</v>
      </c>
      <c r="H168" s="68">
        <v>95.74</v>
      </c>
      <c r="I168" s="68">
        <v>91.84</v>
      </c>
      <c r="J168" s="68">
        <v>85.71</v>
      </c>
      <c r="K168" s="68">
        <v>84.11</v>
      </c>
      <c r="L168" s="68">
        <v>90</v>
      </c>
      <c r="M168" s="68">
        <v>93.75</v>
      </c>
      <c r="N168" s="68">
        <v>88.24</v>
      </c>
      <c r="O168" s="68">
        <v>88.24</v>
      </c>
      <c r="P168" s="68">
        <v>97.83</v>
      </c>
      <c r="Q168" s="68">
        <v>102.27</v>
      </c>
      <c r="R168" s="68">
        <v>62.07</v>
      </c>
      <c r="S168" s="68">
        <v>97.83</v>
      </c>
      <c r="T168" s="68">
        <v>100</v>
      </c>
      <c r="U168" s="68">
        <v>97.83</v>
      </c>
      <c r="V168" s="68">
        <v>84.91</v>
      </c>
      <c r="W168" s="68">
        <v>86.54</v>
      </c>
      <c r="X168" s="68">
        <v>82.57</v>
      </c>
    </row>
    <row r="169" spans="1:72" s="93" customFormat="1" ht="14.25" thickBot="1" x14ac:dyDescent="0.3">
      <c r="A169" s="225" t="s">
        <v>17</v>
      </c>
      <c r="B169" s="274">
        <v>3.84</v>
      </c>
      <c r="C169" s="274">
        <v>3.86</v>
      </c>
      <c r="D169" s="274">
        <v>3.75</v>
      </c>
      <c r="E169" s="274">
        <v>3.45</v>
      </c>
      <c r="F169" s="274">
        <v>4.01</v>
      </c>
      <c r="G169" s="274">
        <v>3.98</v>
      </c>
      <c r="H169" s="274">
        <v>3.79</v>
      </c>
      <c r="I169" s="274">
        <v>3.86</v>
      </c>
      <c r="J169" s="274">
        <v>4.46</v>
      </c>
      <c r="K169" s="274">
        <v>4.59</v>
      </c>
      <c r="L169" s="274">
        <v>4.8099999999999996</v>
      </c>
      <c r="M169" s="274">
        <v>5.17</v>
      </c>
      <c r="N169" s="274">
        <v>5.9</v>
      </c>
      <c r="O169" s="274">
        <v>6.15</v>
      </c>
      <c r="P169" s="274">
        <v>6.09</v>
      </c>
      <c r="Q169" s="274">
        <v>6.1</v>
      </c>
      <c r="R169" s="274">
        <v>6.52</v>
      </c>
      <c r="S169" s="274">
        <v>5.89</v>
      </c>
      <c r="T169" s="274">
        <v>5.67</v>
      </c>
      <c r="U169" s="274">
        <v>6.03</v>
      </c>
      <c r="V169" s="274">
        <v>6.15</v>
      </c>
      <c r="W169" s="274">
        <v>5.31</v>
      </c>
      <c r="X169" s="274">
        <v>5.01</v>
      </c>
    </row>
    <row r="170" spans="1:72" s="93" customFormat="1" ht="14.25" thickBot="1" x14ac:dyDescent="0.3">
      <c r="A170" s="224" t="s">
        <v>42</v>
      </c>
      <c r="B170" s="72">
        <v>67.22</v>
      </c>
      <c r="C170" s="72">
        <v>70.53</v>
      </c>
      <c r="D170" s="72">
        <v>69.92</v>
      </c>
      <c r="E170" s="72">
        <v>71.12</v>
      </c>
      <c r="F170" s="72">
        <v>82.95</v>
      </c>
      <c r="G170" s="72">
        <v>97.73</v>
      </c>
      <c r="H170" s="72">
        <v>99.54</v>
      </c>
      <c r="I170" s="72">
        <v>95.7</v>
      </c>
      <c r="J170" s="72">
        <v>90.18</v>
      </c>
      <c r="K170" s="72">
        <v>88.7</v>
      </c>
      <c r="L170" s="72">
        <v>94.81</v>
      </c>
      <c r="M170" s="72">
        <v>98.92</v>
      </c>
      <c r="N170" s="72">
        <v>94.13</v>
      </c>
      <c r="O170" s="72">
        <v>94.39</v>
      </c>
      <c r="P170" s="72">
        <v>103.92</v>
      </c>
      <c r="Q170" s="72">
        <v>108.37</v>
      </c>
      <c r="R170" s="72">
        <v>68.59</v>
      </c>
      <c r="S170" s="72">
        <v>103.72</v>
      </c>
      <c r="T170" s="72">
        <v>105.67</v>
      </c>
      <c r="U170" s="72">
        <v>103.85</v>
      </c>
      <c r="V170" s="72">
        <v>91.05</v>
      </c>
      <c r="W170" s="72">
        <v>91.85</v>
      </c>
      <c r="X170" s="72">
        <v>87.57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211.55</v>
      </c>
      <c r="C173" s="72">
        <v>206.45</v>
      </c>
      <c r="D173" s="72">
        <v>151.22999999999999</v>
      </c>
      <c r="E173" s="72">
        <v>145.61000000000001</v>
      </c>
      <c r="F173" s="72">
        <v>61.11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14.91</v>
      </c>
      <c r="C176" s="72">
        <v>15.96</v>
      </c>
      <c r="D176" s="72">
        <v>16.260000000000002</v>
      </c>
      <c r="E176" s="72">
        <v>15.6</v>
      </c>
      <c r="F176" s="72">
        <v>15.16</v>
      </c>
      <c r="G176" s="72">
        <v>14.84</v>
      </c>
      <c r="H176" s="72">
        <v>14.93</v>
      </c>
      <c r="I176" s="72">
        <v>14.95</v>
      </c>
      <c r="J176" s="72">
        <v>15.15</v>
      </c>
      <c r="K176" s="72">
        <v>15.23</v>
      </c>
      <c r="L176" s="72">
        <v>14.14</v>
      </c>
      <c r="M176" s="72">
        <v>14.31</v>
      </c>
      <c r="N176" s="72">
        <v>14.43</v>
      </c>
      <c r="O176" s="72">
        <v>15.09</v>
      </c>
      <c r="P176" s="72">
        <v>15.68</v>
      </c>
      <c r="Q176" s="72">
        <v>15.46</v>
      </c>
      <c r="R176" s="72">
        <v>15.74</v>
      </c>
      <c r="S176" s="72">
        <v>15.43</v>
      </c>
      <c r="T176" s="72">
        <v>15.95</v>
      </c>
      <c r="U176" s="72">
        <v>16.07</v>
      </c>
      <c r="V176" s="72">
        <v>15.93</v>
      </c>
      <c r="W176" s="72">
        <v>16.57</v>
      </c>
      <c r="X176" s="72">
        <v>18.04</v>
      </c>
      <c r="Y176" s="72">
        <v>18.29</v>
      </c>
      <c r="Z176" s="72">
        <v>18.37</v>
      </c>
      <c r="AA176" s="72">
        <v>17.77</v>
      </c>
      <c r="AB176" s="72">
        <v>18.57</v>
      </c>
      <c r="AC176" s="72">
        <v>17.579999999999998</v>
      </c>
      <c r="AD176" s="72">
        <v>17.84</v>
      </c>
      <c r="AE176" s="72">
        <v>18.22</v>
      </c>
      <c r="AF176" s="72">
        <v>18.03</v>
      </c>
      <c r="AG176" s="72">
        <v>17.28</v>
      </c>
      <c r="AH176" s="72">
        <v>17.5</v>
      </c>
      <c r="AI176" s="72">
        <v>17.04</v>
      </c>
      <c r="AJ176" s="72">
        <v>16.37</v>
      </c>
      <c r="AK176" s="72">
        <v>16.170000000000002</v>
      </c>
      <c r="AL176" s="72">
        <v>16.260000000000002</v>
      </c>
      <c r="AM176" s="72">
        <v>16.37</v>
      </c>
      <c r="AN176" s="72">
        <v>16.309999999999999</v>
      </c>
      <c r="AO176" s="72">
        <v>16.690000000000001</v>
      </c>
      <c r="AP176" s="72">
        <v>16.29</v>
      </c>
      <c r="AQ176" s="72">
        <v>16.09</v>
      </c>
      <c r="AR176" s="72">
        <v>15.92</v>
      </c>
      <c r="AS176" s="72">
        <v>14.59</v>
      </c>
      <c r="AT176" s="72">
        <v>14.53</v>
      </c>
      <c r="AU176" s="72">
        <v>14.71</v>
      </c>
      <c r="AV176" s="72">
        <v>14.94</v>
      </c>
      <c r="AW176" s="72">
        <v>14.63</v>
      </c>
      <c r="AX176" s="72">
        <v>14.24</v>
      </c>
      <c r="AY176" s="72">
        <v>14.73</v>
      </c>
      <c r="AZ176" s="72">
        <v>15.21</v>
      </c>
      <c r="BA176" s="72">
        <v>16.16</v>
      </c>
      <c r="BB176" s="72">
        <v>13.74</v>
      </c>
      <c r="BC176" s="72">
        <v>14.04</v>
      </c>
      <c r="BD176" s="72">
        <v>14.59</v>
      </c>
      <c r="BE176" s="72">
        <v>14.2</v>
      </c>
      <c r="BF176" s="72">
        <v>14.11</v>
      </c>
      <c r="BG176" s="72">
        <v>14.2</v>
      </c>
      <c r="BH176" s="72">
        <v>13.96</v>
      </c>
      <c r="BI176" s="72">
        <v>13.95</v>
      </c>
      <c r="BJ176" s="72">
        <v>13.96</v>
      </c>
      <c r="BK176" s="72">
        <v>14.17</v>
      </c>
      <c r="BL176" s="72">
        <v>14.06</v>
      </c>
      <c r="BM176" s="72">
        <v>13.67</v>
      </c>
      <c r="BN176" s="72">
        <v>15.66</v>
      </c>
      <c r="BO176" s="72">
        <v>15.91</v>
      </c>
      <c r="BP176" s="72">
        <v>15.84</v>
      </c>
      <c r="BQ176" s="72">
        <v>14.76</v>
      </c>
      <c r="BR176" s="72">
        <v>14.8</v>
      </c>
      <c r="BS176" s="72">
        <v>14.86</v>
      </c>
      <c r="BT176" s="72">
        <v>14.88</v>
      </c>
    </row>
  </sheetData>
  <phoneticPr fontId="3" type="noConversion"/>
  <conditionalFormatting sqref="E4">
    <cfRule type="cellIs" dxfId="1499" priority="103" operator="greaterThan">
      <formula>0.2</formula>
    </cfRule>
    <cfRule type="cellIs" dxfId="149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149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496" priority="97" operator="greaterThan">
      <formula>$B$19</formula>
    </cfRule>
  </conditionalFormatting>
  <conditionalFormatting sqref="D33:D34">
    <cfRule type="cellIs" dxfId="149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1494" priority="91" operator="lessThan">
      <formula>$H$62</formula>
    </cfRule>
    <cfRule type="cellIs" dxfId="1493" priority="92" operator="greaterThan">
      <formula>$H$62</formula>
    </cfRule>
  </conditionalFormatting>
  <conditionalFormatting sqref="J62">
    <cfRule type="cellIs" dxfId="1492" priority="89" operator="lessThan">
      <formula>$K$62</formula>
    </cfRule>
    <cfRule type="cellIs" dxfId="1491" priority="90" operator="greaterThan">
      <formula>$K$62</formula>
    </cfRule>
  </conditionalFormatting>
  <conditionalFormatting sqref="M62">
    <cfRule type="cellIs" dxfId="1490" priority="87" operator="lessThan">
      <formula>$N$62</formula>
    </cfRule>
    <cfRule type="cellIs" dxfId="1489" priority="88" operator="greaterThan">
      <formula>$N$62</formula>
    </cfRule>
  </conditionalFormatting>
  <conditionalFormatting sqref="B44:E44">
    <cfRule type="cellIs" dxfId="1488" priority="85" operator="greaterThan">
      <formula>0</formula>
    </cfRule>
    <cfRule type="cellIs" dxfId="1487" priority="86" operator="lessThan">
      <formula>0</formula>
    </cfRule>
  </conditionalFormatting>
  <conditionalFormatting sqref="F72">
    <cfRule type="cellIs" dxfId="1486" priority="84" operator="lessThan">
      <formula>$E$72*90%</formula>
    </cfRule>
  </conditionalFormatting>
  <conditionalFormatting sqref="F73">
    <cfRule type="cellIs" dxfId="1485" priority="83" operator="lessThan">
      <formula>$E$73*90%</formula>
    </cfRule>
  </conditionalFormatting>
  <conditionalFormatting sqref="F74">
    <cfRule type="cellIs" dxfId="1484" priority="82" operator="lessThan">
      <formula>$E$74*90%</formula>
    </cfRule>
  </conditionalFormatting>
  <conditionalFormatting sqref="F75">
    <cfRule type="cellIs" dxfId="1483" priority="81" operator="lessThan">
      <formula>$E$75*90%</formula>
    </cfRule>
  </conditionalFormatting>
  <conditionalFormatting sqref="H44:K44">
    <cfRule type="cellIs" dxfId="1482" priority="79" operator="greaterThan">
      <formula>0</formula>
    </cfRule>
    <cfRule type="cellIs" dxfId="1481" priority="80" operator="lessThan">
      <formula>0</formula>
    </cfRule>
  </conditionalFormatting>
  <conditionalFormatting sqref="H51:K51">
    <cfRule type="cellIs" dxfId="1480" priority="77" operator="greaterThan">
      <formula>0</formula>
    </cfRule>
    <cfRule type="cellIs" dxfId="1479" priority="78" operator="lessThan">
      <formula>0</formula>
    </cfRule>
  </conditionalFormatting>
  <conditionalFormatting sqref="B51:E51">
    <cfRule type="cellIs" dxfId="1478" priority="75" operator="greaterThan">
      <formula>0</formula>
    </cfRule>
    <cfRule type="cellIs" dxfId="147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47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47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474" priority="58" operator="lessThan">
      <formula>0</formula>
    </cfRule>
  </conditionalFormatting>
  <conditionalFormatting sqref="A25 E25 C25">
    <cfRule type="cellIs" dxfId="1473" priority="59" operator="lessThan">
      <formula>0</formula>
    </cfRule>
  </conditionalFormatting>
  <conditionalFormatting sqref="F25">
    <cfRule type="cellIs" dxfId="1472" priority="57" operator="lessThan">
      <formula>0</formula>
    </cfRule>
  </conditionalFormatting>
  <conditionalFormatting sqref="E1">
    <cfRule type="containsText" dxfId="1471" priority="56" operator="containsText" text="本季業外損益/平均=-">
      <formula>NOT(ISERROR(SEARCH("本季業外損益/平均=-",E1)))</formula>
    </cfRule>
  </conditionalFormatting>
  <conditionalFormatting sqref="M65">
    <cfRule type="cellIs" dxfId="1470" priority="55" operator="lessThan">
      <formula>$L$65*90%</formula>
    </cfRule>
  </conditionalFormatting>
  <conditionalFormatting sqref="M66">
    <cfRule type="cellIs" dxfId="1469" priority="54" operator="lessThan">
      <formula>$L$66*90%</formula>
    </cfRule>
  </conditionalFormatting>
  <conditionalFormatting sqref="M67">
    <cfRule type="cellIs" dxfId="1468" priority="53" operator="lessThan">
      <formula>$L$67*90%</formula>
    </cfRule>
  </conditionalFormatting>
  <conditionalFormatting sqref="M68">
    <cfRule type="cellIs" dxfId="1467" priority="52" operator="lessThan">
      <formula>$L$68*90%</formula>
    </cfRule>
  </conditionalFormatting>
  <conditionalFormatting sqref="B60">
    <cfRule type="cellIs" dxfId="1466" priority="51" operator="lessThan">
      <formula>0</formula>
    </cfRule>
  </conditionalFormatting>
  <conditionalFormatting sqref="B59:F59">
    <cfRule type="cellIs" dxfId="1465" priority="50" operator="lessThanOrEqual">
      <formula>0</formula>
    </cfRule>
  </conditionalFormatting>
  <conditionalFormatting sqref="D62">
    <cfRule type="cellIs" dxfId="1464" priority="48" operator="lessThan">
      <formula>$E$62</formula>
    </cfRule>
    <cfRule type="cellIs" dxfId="1463" priority="49" operator="greaterThan">
      <formula>$E$62</formula>
    </cfRule>
  </conditionalFormatting>
  <conditionalFormatting sqref="F69">
    <cfRule type="cellIs" dxfId="1462" priority="46" operator="lessThan">
      <formula>0</formula>
    </cfRule>
  </conditionalFormatting>
  <conditionalFormatting sqref="B65:E67 B69:E69 B68:D68">
    <cfRule type="cellIs" dxfId="1461" priority="47" operator="lessThan">
      <formula>0</formula>
    </cfRule>
  </conditionalFormatting>
  <conditionalFormatting sqref="E68">
    <cfRule type="cellIs" dxfId="1460" priority="45" operator="lessThan">
      <formula>0</formula>
    </cfRule>
  </conditionalFormatting>
  <conditionalFormatting sqref="F65:F68">
    <cfRule type="cellIs" dxfId="1459" priority="44" operator="lessThan">
      <formula>0</formula>
    </cfRule>
  </conditionalFormatting>
  <conditionalFormatting sqref="F65:F68">
    <cfRule type="cellIs" dxfId="1458" priority="43" operator="lessThan">
      <formula>$E$65*0.9</formula>
    </cfRule>
  </conditionalFormatting>
  <conditionalFormatting sqref="F66">
    <cfRule type="cellIs" dxfId="1457" priority="42" operator="lessThan">
      <formula>$E$66*0.9</formula>
    </cfRule>
  </conditionalFormatting>
  <conditionalFormatting sqref="F67:F68">
    <cfRule type="cellIs" dxfId="1456" priority="41" operator="lessThan">
      <formula>$E$67*0.9</formula>
    </cfRule>
  </conditionalFormatting>
  <conditionalFormatting sqref="F68">
    <cfRule type="cellIs" dxfId="1455" priority="40" operator="lessThan">
      <formula>$E$68*0.9</formula>
    </cfRule>
  </conditionalFormatting>
  <conditionalFormatting sqref="B13:F13">
    <cfRule type="cellIs" dxfId="1454" priority="29" operator="greaterThan">
      <formula>$I$16</formula>
    </cfRule>
    <cfRule type="cellIs" dxfId="1453" priority="30" operator="lessThanOrEqual">
      <formula>$I$16</formula>
    </cfRule>
  </conditionalFormatting>
  <conditionalFormatting sqref="B10:F10">
    <cfRule type="cellIs" dxfId="1452" priority="31" operator="greaterThan">
      <formula>15</formula>
    </cfRule>
    <cfRule type="cellIs" dxfId="1451" priority="38" operator="lessThan">
      <formula>$I$9</formula>
    </cfRule>
    <cfRule type="cellIs" dxfId="1450" priority="39" operator="greaterThan">
      <formula>$I$9</formula>
    </cfRule>
  </conditionalFormatting>
  <conditionalFormatting sqref="B16:F16">
    <cfRule type="cellIs" dxfId="1449" priority="36" operator="greaterThan">
      <formula>$I$16</formula>
    </cfRule>
    <cfRule type="cellIs" dxfId="1448" priority="37" operator="lessThanOrEqual">
      <formula>$I$16</formula>
    </cfRule>
  </conditionalFormatting>
  <conditionalFormatting sqref="B15:F15">
    <cfRule type="cellIs" dxfId="1447" priority="34" operator="lessThanOrEqual">
      <formula>$I$16</formula>
    </cfRule>
    <cfRule type="cellIs" dxfId="1446" priority="35" operator="greaterThan">
      <formula>$I$16</formula>
    </cfRule>
  </conditionalFormatting>
  <conditionalFormatting sqref="B14:F14">
    <cfRule type="cellIs" dxfId="1445" priority="32" operator="greaterThan">
      <formula>$I$16</formula>
    </cfRule>
    <cfRule type="cellIs" dxfId="1444" priority="33" operator="lessThanOrEqual">
      <formula>$I$16</formula>
    </cfRule>
  </conditionalFormatting>
  <conditionalFormatting sqref="K6">
    <cfRule type="containsText" dxfId="1443" priority="27" operator="containsText" text="衰退">
      <formula>NOT(ISERROR(SEARCH("衰退",K6)))</formula>
    </cfRule>
    <cfRule type="containsText" dxfId="1442" priority="28" operator="containsText" text="成長">
      <formula>NOT(ISERROR(SEARCH("成長",K6)))</formula>
    </cfRule>
  </conditionalFormatting>
  <conditionalFormatting sqref="I4:K4">
    <cfRule type="cellIs" dxfId="1441" priority="25" operator="lessThan">
      <formula>0</formula>
    </cfRule>
    <cfRule type="cellIs" dxfId="144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439" priority="22" operator="lessThanOrEqual">
      <formula>$I$16</formula>
    </cfRule>
    <cfRule type="cellIs" dxfId="1438" priority="23" operator="greaterThan">
      <formula>$I$16</formula>
    </cfRule>
  </conditionalFormatting>
  <conditionalFormatting sqref="I6">
    <cfRule type="containsText" dxfId="1437" priority="20" operator="containsText" text="衰退">
      <formula>NOT(ISERROR(SEARCH("衰退",I6)))</formula>
    </cfRule>
    <cfRule type="containsText" dxfId="1436" priority="21" operator="containsText" text="成長">
      <formula>NOT(ISERROR(SEARCH("成長",I6)))</formula>
    </cfRule>
  </conditionalFormatting>
  <conditionalFormatting sqref="M9">
    <cfRule type="cellIs" dxfId="1435" priority="19" operator="lessThan">
      <formula>$I$9</formula>
    </cfRule>
  </conditionalFormatting>
  <conditionalFormatting sqref="M10">
    <cfRule type="cellIs" dxfId="1434" priority="18" operator="greaterThan">
      <formula>$I$9</formula>
    </cfRule>
  </conditionalFormatting>
  <conditionalFormatting sqref="M11">
    <cfRule type="cellIs" dxfId="143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432" priority="14" operator="lessThan">
      <formula>0</formula>
    </cfRule>
    <cfRule type="cellIs" dxfId="1431" priority="15" operator="greaterThan">
      <formula>0.5</formula>
    </cfRule>
  </conditionalFormatting>
  <conditionalFormatting sqref="N14">
    <cfRule type="cellIs" dxfId="143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429" priority="10" operator="lessThan">
      <formula>0.1</formula>
    </cfRule>
  </conditionalFormatting>
  <conditionalFormatting sqref="I14">
    <cfRule type="cellIs" dxfId="142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42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426" priority="1" operator="lessThan">
      <formula>$N$5*0.9</formula>
    </cfRule>
    <cfRule type="cellIs" dxfId="1425" priority="2" operator="greaterThan">
      <formula>$N$5*1.1</formula>
    </cfRule>
  </conditionalFormatting>
  <hyperlinks>
    <hyperlink ref="L1" location="儀表板!A1" display="(回首頁)" xr:uid="{00000000-0004-0000-5400-000000000000}"/>
  </hyperlink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5.24 ~ 11.54</v>
      </c>
      <c r="L1" s="83" t="s">
        <v>176</v>
      </c>
      <c r="M1" s="84" t="str">
        <f ca="1">VLOOKUP(_xlfn.NUMBERVALUE(N1),儀表板!A:B,2,FALSE)</f>
        <v>矽創</v>
      </c>
      <c r="N1" s="85" t="str">
        <f ca="1">MID(CELL("filename",L1),FIND("]",CELL("filename",L1))+1,255)</f>
        <v>8016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0.12670631751669667</v>
      </c>
    </row>
    <row r="3" spans="1:15" s="93" customFormat="1" x14ac:dyDescent="0.25">
      <c r="A3" s="81" t="s">
        <v>179</v>
      </c>
      <c r="B3" s="94">
        <f>SUM(F19:F22,F24:F27,J19)</f>
        <v>81.395047401172206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94.676445525507546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99.274498520436609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103.51050009844209</v>
      </c>
      <c r="L3" s="100"/>
      <c r="M3" s="79" t="s">
        <v>385</v>
      </c>
      <c r="N3" s="92">
        <f>(F69-E69)/E69</f>
        <v>-0.185787537233636</v>
      </c>
    </row>
    <row r="4" spans="1:15" s="93" customFormat="1" x14ac:dyDescent="0.25">
      <c r="A4" s="81" t="s">
        <v>182</v>
      </c>
      <c r="B4" s="96">
        <f>SUM(G36:G40)*2</f>
        <v>78</v>
      </c>
      <c r="C4" s="101"/>
      <c r="D4" s="102">
        <f>F4*(1+F141/10)</f>
        <v>12.1</v>
      </c>
      <c r="E4" s="82">
        <f>(D4-F4)/F4</f>
        <v>0</v>
      </c>
      <c r="F4" s="103">
        <v>12.1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7.1487854230886754</v>
      </c>
    </row>
    <row r="5" spans="1:15" s="93" customFormat="1" x14ac:dyDescent="0.25">
      <c r="A5" s="81" t="s">
        <v>184</v>
      </c>
      <c r="B5" s="107">
        <f>SUM(F30:F34)*2</f>
        <v>96.151357927786506</v>
      </c>
      <c r="C5" s="87"/>
      <c r="D5" s="87"/>
      <c r="E5" s="87"/>
      <c r="F5" s="86"/>
      <c r="G5" s="88"/>
      <c r="M5" s="79" t="s">
        <v>386</v>
      </c>
      <c r="N5" s="152">
        <f>D62</f>
        <v>7.61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連3年成長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6.7543111710564094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19.86</v>
      </c>
      <c r="N9" s="129"/>
    </row>
    <row r="10" spans="1:15" s="93" customFormat="1" x14ac:dyDescent="0.25">
      <c r="A10" s="123" t="s">
        <v>194</v>
      </c>
      <c r="B10" s="126">
        <f>PERCENTILE(176:176,B9)</f>
        <v>12.38</v>
      </c>
      <c r="C10" s="126">
        <f>PERCENTILE(176:176,C9)</f>
        <v>13.074999999999999</v>
      </c>
      <c r="D10" s="126">
        <f>PERCENTILE(176:176,D9)</f>
        <v>13.71</v>
      </c>
      <c r="E10" s="126">
        <f>PERCENTILE(176:176,E9)</f>
        <v>14.295</v>
      </c>
      <c r="F10" s="126">
        <f>PERCENTILE(176:176,F9)</f>
        <v>15.17</v>
      </c>
      <c r="G10" s="95"/>
      <c r="H10" s="135"/>
      <c r="I10" s="135"/>
      <c r="J10" s="135"/>
      <c r="K10" s="135"/>
      <c r="L10" s="136" t="s">
        <v>374</v>
      </c>
      <c r="M10" s="130">
        <f>MIN(176:176)</f>
        <v>10.55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38.9</v>
      </c>
      <c r="L11" s="272" t="s">
        <v>193</v>
      </c>
      <c r="M11" s="128">
        <f>STDEV(176:176)</f>
        <v>1.8641927819756545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64.775910364145673</v>
      </c>
      <c r="C13" s="141">
        <f>$B$34/5.88%</f>
        <v>78.656462585034021</v>
      </c>
      <c r="D13" s="141">
        <f>$B$34/5%</f>
        <v>92.5</v>
      </c>
      <c r="E13" s="141">
        <f>$B$34/4.35%</f>
        <v>106.32183908045978</v>
      </c>
      <c r="F13" s="141">
        <f>$B$34/3.85%</f>
        <v>120.12987012987013</v>
      </c>
      <c r="G13" s="138" t="str">
        <f>"$"&amp;ROUND(B34,2)&amp;"/"&amp;IF(STDEV(C140:F140)/AVERAGE(C140:F140)&lt;15%,"高",IF(STDEV(C140:F140)/AVERAGE(C140:F140)&lt;30%,"中","低"))</f>
        <v>$4.63/中</v>
      </c>
      <c r="H13" s="142" t="s">
        <v>199</v>
      </c>
      <c r="I13" s="143">
        <f>MAX(0,1-J15)</f>
        <v>0.31662870159453294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78.860600000000019</v>
      </c>
      <c r="C14" s="141">
        <f>$B$33*C10</f>
        <v>83.287750000000003</v>
      </c>
      <c r="D14" s="141">
        <f>$B$33*D10</f>
        <v>87.332700000000017</v>
      </c>
      <c r="E14" s="141">
        <f>$B$33*E10</f>
        <v>91.059150000000017</v>
      </c>
      <c r="F14" s="141">
        <f>$B$33*F10</f>
        <v>96.632900000000021</v>
      </c>
      <c r="G14" s="138" t="str">
        <f>"$"&amp;ROUND(B33,2)&amp;"/"&amp;IF(STDEV(B69:E69)/AVERAGE(B69:E69)&lt;15%,"高",IF(STDEV(B69:E69)/AVERAGE(B69:E69)&lt;30%,"中","低"))</f>
        <v>$6.37/低</v>
      </c>
      <c r="H14" s="142" t="s">
        <v>203</v>
      </c>
      <c r="I14" s="145">
        <f>G62/100*I13</f>
        <v>6.0222779043280168E-2</v>
      </c>
      <c r="J14" s="76" t="s">
        <v>204</v>
      </c>
      <c r="K14" s="146"/>
      <c r="L14" s="147">
        <f>(HLOOKUP($C$1,$105:$106,2,FALSE)-HLOOKUP($C$1,$117:$127,9,FALSE))/(HLOOKUP($C$1,$117:$128,12,FALSE)/K11)</f>
        <v>12.167413366018563</v>
      </c>
      <c r="M14" s="148">
        <f>E135/E69</f>
        <v>1.088838268792711</v>
      </c>
      <c r="N14" s="149">
        <f>F173/100</f>
        <v>0.99879999999999991</v>
      </c>
    </row>
    <row r="15" spans="1:15" s="93" customFormat="1" x14ac:dyDescent="0.25">
      <c r="A15" s="140" t="s">
        <v>375</v>
      </c>
      <c r="B15" s="141">
        <f>$D$62*B10</f>
        <v>94.211800000000011</v>
      </c>
      <c r="C15" s="141">
        <f>$D$62*C10</f>
        <v>99.500749999999996</v>
      </c>
      <c r="D15" s="141">
        <f>$D$62*D10</f>
        <v>104.33310000000002</v>
      </c>
      <c r="E15" s="141">
        <f>$D$62*E10</f>
        <v>108.78495000000001</v>
      </c>
      <c r="F15" s="141">
        <f>$D$62*F10</f>
        <v>115.44370000000001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0.68337129840546706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88.50196353783781</v>
      </c>
      <c r="C16" s="141">
        <f>$F$69*C10</f>
        <v>93.47036940688443</v>
      </c>
      <c r="D16" s="141">
        <f>$F$69*D10</f>
        <v>98.00984815054575</v>
      </c>
      <c r="E16" s="141">
        <f>$F$69*E10</f>
        <v>102.19188762305261</v>
      </c>
      <c r="F16" s="141">
        <f>$F$69*F10</f>
        <v>108.4470748682552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416</v>
      </c>
      <c r="J17" s="92">
        <f ca="1">IF(I17&lt;=0,"",IF(I17&lt;=MIN($B$13:$F$16),(I17-MIN($B$13:$F$16))/MIN($B$13:$F$16),IF(I17&gt;=MAX($B$13:$F$16),I17/MAX($B$13:$F$16),PERCENTRANK($B$13:$F$16,I17))))</f>
        <v>3.4629189189189189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4.8574999999999999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1.0502702702702702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0.1286165575850701</v>
      </c>
      <c r="J20" s="171">
        <f>HLOOKUP($C$1,$117:$127,11,FALSE)/HLOOKUP($C$1,$105:$115,11,FALSE)</f>
        <v>0.32106202282673674</v>
      </c>
      <c r="K20" s="163"/>
    </row>
    <row r="21" spans="1:14" s="93" customFormat="1" x14ac:dyDescent="0.25">
      <c r="A21" s="151" t="s">
        <v>201</v>
      </c>
      <c r="B21" s="161">
        <f>AVERAGE(C173:F173)/100</f>
        <v>1.1757249999999999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2.5324018160451347</v>
      </c>
      <c r="J21" s="78"/>
      <c r="K21" s="164" t="s">
        <v>356</v>
      </c>
      <c r="L21" s="165">
        <f>HLOOKUP($C$1,$105:$115,7,FALSE)/HLOOKUP($C$1,$105:$115,11,FALSE)</f>
        <v>0.77254681837961148</v>
      </c>
      <c r="M21" s="123" t="s">
        <v>268</v>
      </c>
      <c r="N21" s="165">
        <f>HLOOKUP($C$1,$117:$127,8,FALSE)/HLOOKUP($C$1,$117:$127,11,FALSE)</f>
        <v>0.95017424486922442</v>
      </c>
    </row>
    <row r="22" spans="1:14" s="93" customFormat="1" x14ac:dyDescent="0.25">
      <c r="A22" s="140" t="s">
        <v>222</v>
      </c>
      <c r="B22" s="161">
        <f>(-1)*SUM(C133:F133)/SUM(C132:F132)</f>
        <v>0.39770613763174217</v>
      </c>
      <c r="C22" s="157"/>
      <c r="D22" s="166"/>
      <c r="E22" s="140"/>
      <c r="F22" s="159">
        <f>IF(B22&lt;=0,10,IF(B22&gt;=100%,0,(1-B22)*10))</f>
        <v>6.0229386236825793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1.7430055907756381</v>
      </c>
      <c r="J22" s="78"/>
      <c r="K22" s="142" t="s">
        <v>357</v>
      </c>
      <c r="L22" s="165">
        <f>HLOOKUP($C$1,$105:$115,4,FALSE)/HLOOKUP($C$1,$105:$115,11,FALSE)</f>
        <v>0.14291447449836828</v>
      </c>
      <c r="M22" s="123" t="s">
        <v>353</v>
      </c>
      <c r="N22" s="165">
        <f>HLOOKUP($C$1,$117:$127,4,FALSE)/HLOOKUP($C$1,$117:$127,11,FALSE)</f>
        <v>0.5994027681857631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1.4728885901529154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0.24081705296879921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1.0038168970994181</v>
      </c>
      <c r="C24" s="169">
        <f>STDEV(C103:F103)</f>
        <v>6.0255321958185164E-2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34.619999999999997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5.4580796216464486E-2</v>
      </c>
      <c r="M24" s="123" t="s">
        <v>355</v>
      </c>
      <c r="N24" s="165">
        <f>HLOOKUP($C$1,$117:$127,9,FALSE)/HLOOKUP($C$1,$117:$127,11,FALSE)</f>
        <v>4.9825755130775626E-2</v>
      </c>
    </row>
    <row r="25" spans="1:14" s="93" customFormat="1" x14ac:dyDescent="0.25">
      <c r="A25" s="151" t="s">
        <v>366</v>
      </c>
      <c r="B25" s="255">
        <f>AVERAGE(94:94)</f>
        <v>16582.217391304348</v>
      </c>
      <c r="C25" s="254">
        <f>STDEV(94:94)/AVERAGE(94:94)</f>
        <v>1.1278912225103706</v>
      </c>
      <c r="D25" s="76" t="str">
        <f>IF(C25&lt;=1,"高",IF(C25&lt;=2,"中","低"))</f>
        <v>中</v>
      </c>
      <c r="E25" s="149"/>
      <c r="F25" s="160">
        <f>MAX(0,10-ABS(C25))</f>
        <v>8.872108777489629</v>
      </c>
      <c r="G25" s="88" t="s">
        <v>213</v>
      </c>
      <c r="H25" s="123" t="s">
        <v>232</v>
      </c>
      <c r="I25" s="170">
        <f>IF(HLOOKUP(C1,167:170,3,FALSE)="無",0,HLOOKUP(C1,167:170,3,FALSE))</f>
        <v>84.11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40.45695652173913</v>
      </c>
      <c r="C26" s="172">
        <f>IF(COUNTIF(168:168,"&gt;0")=0,0,STDEV(168:168))</f>
        <v>9.7614959894766677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80.085217391304354</v>
      </c>
      <c r="C27" s="172">
        <f>IF(COUNTIF(169:169,"&gt;0")=0,0,STDEV(169:169))</f>
        <v>17.444236836681256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7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0.26552500000000001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8.8975000000000012E-2</v>
      </c>
      <c r="C31" s="157" t="s">
        <v>217</v>
      </c>
      <c r="D31" s="174">
        <f>COUNTIF(149:149,"&gt;8")/COUNT(149:149)</f>
        <v>0.60869565217391308</v>
      </c>
      <c r="E31" s="140" t="s">
        <v>241</v>
      </c>
      <c r="F31" s="159">
        <f>MIN(B31/10%*10,10)</f>
        <v>8.8975000000000009</v>
      </c>
      <c r="G31" s="175"/>
    </row>
    <row r="32" spans="1:14" x14ac:dyDescent="0.25">
      <c r="A32" s="155" t="s">
        <v>47</v>
      </c>
      <c r="B32" s="177">
        <f>AVERAGE(C165:F165)</f>
        <v>18.200000000000003</v>
      </c>
      <c r="C32" s="157" t="s">
        <v>217</v>
      </c>
      <c r="D32" s="174">
        <f>COUNTIF(159:159,"&gt;3")/COUNT(159:159)</f>
        <v>0.73913043478260865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6.370000000000001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4.625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9.1781789638932487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8347167</v>
      </c>
      <c r="C36" s="178">
        <f>STDEV(C97:F97)</f>
        <v>1716895.4066556685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26.552500000000002</v>
      </c>
      <c r="C37" s="180">
        <f>STDEV(C152:F152)</f>
        <v>1.8464628347194001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9.73</v>
      </c>
      <c r="C38" s="180">
        <f>STDEV(C153:F153)</f>
        <v>2.41780892545296</v>
      </c>
      <c r="D38" s="76" t="str">
        <f>IF(C38/B38&lt;15%,"高",IF(C38/B38&lt;30%,"中","低"))</f>
        <v>中</v>
      </c>
      <c r="E38" s="107">
        <f>IF(F153&gt;E153,1,0)+IF(E153&gt;D153,1,0)+IF(D153&gt;C153,1,0)</f>
        <v>3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18.200000000000003</v>
      </c>
      <c r="C39" s="181">
        <f>STDEV(C165:F165)</f>
        <v>5.3109886085360634</v>
      </c>
      <c r="D39" s="76" t="str">
        <f>IF(C39/B39&lt;15%,"高",IF(C39/B39&lt;30%,"中","低"))</f>
        <v>中</v>
      </c>
      <c r="E39" s="107">
        <f>IF(F165&gt;E165,1,0)+IF(E165&gt;D165,1,0)+IF(D165&gt;C165,1,0)</f>
        <v>3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6.370000000000001</v>
      </c>
      <c r="C40" s="183">
        <f>STDEV(B69:E69)</f>
        <v>2.1525643621813781</v>
      </c>
      <c r="D40" s="76" t="str">
        <f>IF(C40/B40&lt;15%,"高",IF(C40/B40&lt;30%,"中","低"))</f>
        <v>低</v>
      </c>
      <c r="E40" s="107">
        <f>IF(E69&gt;D69,1,0)+IF(D69&gt;C69,1,0)+IF(C69&gt;B69,1,0)</f>
        <v>3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-0.17786561264822126</v>
      </c>
      <c r="C44" s="186">
        <f>(C46-C49)/C49</f>
        <v>-6.9518716577540163E-2</v>
      </c>
      <c r="D44" s="186">
        <f>(D46-D49)/D49</f>
        <v>-0.2994923857868021</v>
      </c>
      <c r="E44" s="186">
        <f>(E46-E49)/E49</f>
        <v>0.14761904761904765</v>
      </c>
      <c r="G44" s="86" t="s">
        <v>175</v>
      </c>
      <c r="H44" s="186">
        <f>(H47-H50)/H50</f>
        <v>-0.20081300813008141</v>
      </c>
      <c r="I44" s="186">
        <f>(I47-I50)/I50</f>
        <v>-0.14897413024085654</v>
      </c>
      <c r="J44" s="186">
        <f>(J47-J50)/J50</f>
        <v>-0.29955621301775137</v>
      </c>
      <c r="K44" s="186">
        <f>(K47-K50)/K50</f>
        <v>4.279475982532753E-2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2.08</v>
      </c>
      <c r="C46" s="152">
        <f>HLOOKUP(C45,$81:$82,2,FALSE)</f>
        <v>1.74</v>
      </c>
      <c r="D46" s="152">
        <f>HLOOKUP(D45,$81:$82,2,FALSE)</f>
        <v>1.38</v>
      </c>
      <c r="E46" s="152">
        <f>HLOOKUP(E45,$81:$82,2,FALSE)</f>
        <v>2.41</v>
      </c>
      <c r="G46" s="86" t="s">
        <v>164</v>
      </c>
      <c r="H46" s="145">
        <f>HLOOKUP(H45,$145:$147,2,FALSE)/100</f>
        <v>0.25780000000000003</v>
      </c>
      <c r="I46" s="145">
        <f>HLOOKUP(I45,$145:$147,2,FALSE)/100</f>
        <v>0.26769999999999999</v>
      </c>
      <c r="J46" s="145">
        <f>HLOOKUP(J45,$145:$147,2,FALSE)/100</f>
        <v>0.29109999999999997</v>
      </c>
      <c r="K46" s="145">
        <f>HLOOKUP(K45,$145:$147,2,FALSE)/100</f>
        <v>0.28320000000000001</v>
      </c>
    </row>
    <row r="47" spans="1:14" x14ac:dyDescent="0.25">
      <c r="A47" s="188" t="s">
        <v>165</v>
      </c>
      <c r="B47" s="189">
        <f>HLOOKUP(B45,$157:$159,3,FALSE)</f>
        <v>5.2</v>
      </c>
      <c r="C47" s="189">
        <f>HLOOKUP(C45,$157:$159,3,FALSE)</f>
        <v>4.37</v>
      </c>
      <c r="D47" s="189">
        <f>HLOOKUP(D45,$157:$159,3,FALSE)</f>
        <v>3.19</v>
      </c>
      <c r="E47" s="189">
        <f>HLOOKUP(E45,$157:$159,3,FALSE)</f>
        <v>6.26</v>
      </c>
      <c r="G47" s="190" t="s">
        <v>166</v>
      </c>
      <c r="H47" s="145">
        <f>HLOOKUP(H45,$145:$147,3,FALSE)/100</f>
        <v>9.8299999999999998E-2</v>
      </c>
      <c r="I47" s="145">
        <f>HLOOKUP(I45,$145:$147,3,FALSE)/100</f>
        <v>9.5399999999999985E-2</v>
      </c>
      <c r="J47" s="145">
        <f>HLOOKUP(J45,$145:$147,3,FALSE)/100</f>
        <v>9.4700000000000006E-2</v>
      </c>
      <c r="K47" s="145">
        <f>HLOOKUP(K45,$145:$147,3,FALSE)/100</f>
        <v>0.11939999999999999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2.5299999999999998</v>
      </c>
      <c r="C49" s="152">
        <f>HLOOKUP(C48,$81:$82,2,FALSE)</f>
        <v>1.87</v>
      </c>
      <c r="D49" s="152">
        <f>HLOOKUP(D48,$81:$82,2,FALSE)</f>
        <v>1.97</v>
      </c>
      <c r="E49" s="152">
        <f>HLOOKUP(E48,$81:$82,2,FALSE)</f>
        <v>2.1</v>
      </c>
      <c r="G49" s="86" t="s">
        <v>164</v>
      </c>
      <c r="H49" s="145">
        <f>HLOOKUP(H48,$145:$147,2,FALSE)/100</f>
        <v>0.2727</v>
      </c>
      <c r="I49" s="145">
        <f>HLOOKUP(I48,$145:$147,2,FALSE)/100</f>
        <v>0.2742</v>
      </c>
      <c r="J49" s="145">
        <f>HLOOKUP(J48,$145:$147,2,FALSE)/100</f>
        <v>0.30399999999999999</v>
      </c>
      <c r="K49" s="145">
        <f>HLOOKUP(K48,$145:$147,2,FALSE)/100</f>
        <v>0.2661</v>
      </c>
    </row>
    <row r="50" spans="1:15" x14ac:dyDescent="0.25">
      <c r="A50" s="188" t="s">
        <v>165</v>
      </c>
      <c r="B50" s="189">
        <f>HLOOKUP(B48,$157:$159,3,FALSE)</f>
        <v>7.08</v>
      </c>
      <c r="C50" s="189">
        <f>HLOOKUP(C48,$157:$159,3,FALSE)</f>
        <v>5.24</v>
      </c>
      <c r="D50" s="189">
        <f>HLOOKUP(D48,$157:$159,3,FALSE)</f>
        <v>5.38</v>
      </c>
      <c r="E50" s="189">
        <f>HLOOKUP(E48,$157:$159,3,FALSE)</f>
        <v>5.95</v>
      </c>
      <c r="G50" s="190" t="s">
        <v>166</v>
      </c>
      <c r="H50" s="145">
        <f>HLOOKUP(H48,$145:$147,3,FALSE)/100</f>
        <v>0.12300000000000001</v>
      </c>
      <c r="I50" s="145">
        <f>HLOOKUP(I48,$145:$147,3,FALSE)/100</f>
        <v>0.11210000000000001</v>
      </c>
      <c r="J50" s="145">
        <f>HLOOKUP(J48,$145:$147,3,FALSE)/100</f>
        <v>0.13519999999999999</v>
      </c>
      <c r="K50" s="145">
        <f>HLOOKUP(K48,$145:$147,3,FALSE)/100</f>
        <v>0.11449999999999999</v>
      </c>
    </row>
    <row r="51" spans="1:15" x14ac:dyDescent="0.25">
      <c r="A51" s="86" t="s">
        <v>351</v>
      </c>
      <c r="B51" s="186">
        <f>(B47-B50)/B50</f>
        <v>-0.2655367231638418</v>
      </c>
      <c r="C51" s="186">
        <f>(C47-C50)/C50</f>
        <v>-0.16603053435114506</v>
      </c>
      <c r="D51" s="186">
        <f>(D47-D50)/D50</f>
        <v>-0.40706319702602228</v>
      </c>
      <c r="E51" s="186">
        <f>(E47-E50)/E50</f>
        <v>5.2100840336134387E-2</v>
      </c>
      <c r="G51" s="235" t="s">
        <v>174</v>
      </c>
      <c r="H51" s="186">
        <f>(H46-H49)/H49</f>
        <v>-5.4638797213054528E-2</v>
      </c>
      <c r="I51" s="186">
        <f>(I46-I49)/I49</f>
        <v>-2.3705324580598125E-2</v>
      </c>
      <c r="J51" s="186">
        <f>(J46-J49)/J49</f>
        <v>-4.2434210526315866E-2</v>
      </c>
      <c r="K51" s="186">
        <f>(K46-K49)/K49</f>
        <v>6.4261555806087958E-2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6.7543111710564094</v>
      </c>
      <c r="B53" s="193">
        <f>B46</f>
        <v>2.08</v>
      </c>
      <c r="C53" s="193">
        <f>E46/HLOOKUP(E45,$87:$94,5,FALSE)*HLOOKUP(E45,$87:$94,4,FALSE)*($B$25/HLOOKUP(E45,$87:$94,4,FALSE)+SUM($B$57:$D$57)/SUM($B58:$D$58)*$G$69/100/K46)</f>
        <v>1.9487854230886754</v>
      </c>
      <c r="D53" s="193">
        <f>D46/HLOOKUP(D45,$87:$94,5,FALSE)*HLOOKUP(D45,$87:$94,4,FALSE)*($B$25/HLOOKUP(D45,$87:$94,4,FALSE)+SUM($B$57:$D$57)/SUM($B58:$D$58)*$G$69/100/J46)</f>
        <v>1.2197579895106097</v>
      </c>
      <c r="E53" s="193">
        <f>C46/HLOOKUP(C45,$87:$94,5,FALSE)*HLOOKUP(C45,$87:$94,4,FALSE)*($B$25/HLOOKUP(C45,$87:$94,4,FALSE)+SUM($B$57:$D$57)/SUM($B58:$D$58)*$G$69/100/I46)</f>
        <v>1.5057677584571239</v>
      </c>
    </row>
    <row r="54" spans="1:15" x14ac:dyDescent="0.25">
      <c r="A54" s="278">
        <f>SUM(B54:E54)</f>
        <v>8.0599999999999987</v>
      </c>
      <c r="B54" s="277">
        <f t="shared" ref="B54:D54" si="0">HLOOKUP(B52-10,81:82,2,FALSE)</f>
        <v>2.5299999999999998</v>
      </c>
      <c r="C54" s="277">
        <f t="shared" si="0"/>
        <v>2.41</v>
      </c>
      <c r="D54" s="277">
        <f t="shared" si="0"/>
        <v>1.38</v>
      </c>
      <c r="E54" s="277">
        <f>HLOOKUP(E52-10,81:82,2,FALSE)</f>
        <v>1.74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781637</v>
      </c>
      <c r="C57" s="196">
        <f>HLOOKUP(C56,78:79,2,FALSE)</f>
        <v>870484</v>
      </c>
      <c r="D57" s="196">
        <f>HLOOKUP(D56,78:79,2,FALSE)</f>
        <v>891613</v>
      </c>
      <c r="E57" s="196">
        <f>HLOOKUP(E56,78:79,2,FALSE)</f>
        <v>881044</v>
      </c>
      <c r="F57" s="196">
        <f>HLOOKUP(F56,78:79,2,FALSE)</f>
        <v>856789</v>
      </c>
      <c r="G57" s="196">
        <f t="shared" ref="G57:M57" si="2">HLOOKUP(G56,78:79,2,FALSE)</f>
        <v>710736</v>
      </c>
      <c r="H57" s="196">
        <f t="shared" si="2"/>
        <v>750792</v>
      </c>
      <c r="I57" s="196">
        <f t="shared" si="2"/>
        <v>811458</v>
      </c>
      <c r="J57" s="196">
        <f t="shared" si="2"/>
        <v>622643</v>
      </c>
      <c r="K57" s="196">
        <f t="shared" si="2"/>
        <v>600199</v>
      </c>
      <c r="L57" s="196">
        <f t="shared" si="2"/>
        <v>750708</v>
      </c>
      <c r="M57" s="196">
        <f t="shared" si="2"/>
        <v>890832</v>
      </c>
      <c r="N57" s="197"/>
    </row>
    <row r="58" spans="1:15" x14ac:dyDescent="0.25">
      <c r="A58" s="198" t="s">
        <v>253</v>
      </c>
      <c r="B58" s="196">
        <f>HLOOKUP(B56-100,78:79,2,FALSE)</f>
        <v>981718</v>
      </c>
      <c r="C58" s="196">
        <f>HLOOKUP(C56-100,78:79,2,FALSE)</f>
        <v>1082464</v>
      </c>
      <c r="D58" s="196">
        <f>HLOOKUP(D56-100,78:79,2,FALSE)</f>
        <v>981682</v>
      </c>
      <c r="E58" s="196">
        <f>HLOOKUP(E56-100,78:79,2,FALSE)</f>
        <v>810932</v>
      </c>
      <c r="F58" s="196">
        <f>HLOOKUP(F56-100,78:79,2,FALSE)</f>
        <v>775766</v>
      </c>
      <c r="G58" s="196">
        <f t="shared" ref="G58:M58" si="3">HLOOKUP(G56-100,78:79,2,FALSE)</f>
        <v>791445</v>
      </c>
      <c r="H58" s="196">
        <f t="shared" si="3"/>
        <v>830363</v>
      </c>
      <c r="I58" s="196">
        <f t="shared" si="3"/>
        <v>860069</v>
      </c>
      <c r="J58" s="196">
        <f t="shared" si="3"/>
        <v>551635</v>
      </c>
      <c r="K58" s="196">
        <f t="shared" si="3"/>
        <v>882133</v>
      </c>
      <c r="L58" s="196">
        <f t="shared" si="3"/>
        <v>898019</v>
      </c>
      <c r="M58" s="196">
        <f t="shared" si="3"/>
        <v>860924</v>
      </c>
      <c r="N58" s="197"/>
    </row>
    <row r="59" spans="1:15" x14ac:dyDescent="0.25">
      <c r="A59" s="199" t="s">
        <v>254</v>
      </c>
      <c r="B59" s="165">
        <f>IF(B57&lt;&gt;"",(B57-B58)/B58,"")</f>
        <v>-0.20380699956606682</v>
      </c>
      <c r="C59" s="165">
        <f>IF(C57&lt;&gt;"",(C57-C58)/C58,"")</f>
        <v>-0.19583099299376239</v>
      </c>
      <c r="D59" s="165">
        <f>IF(D57&lt;&gt;"",(D57-D58)/D58,"")</f>
        <v>-9.1749670463551328E-2</v>
      </c>
      <c r="E59" s="165">
        <f>IF(E57&lt;&gt;"",(E57-E58)/E58,"")</f>
        <v>8.6458543996290688E-2</v>
      </c>
      <c r="F59" s="165">
        <f>IF(F57&lt;&gt;"",(F57-F58)/F58,"")</f>
        <v>0.10444257675639304</v>
      </c>
      <c r="G59" s="165">
        <f t="shared" ref="G59:M59" si="4">IF(G57&lt;&gt;"",(G57-G58)/G58,"")</f>
        <v>-0.10197676402024146</v>
      </c>
      <c r="H59" s="165">
        <f t="shared" si="4"/>
        <v>-9.5826764920884003E-2</v>
      </c>
      <c r="I59" s="165">
        <f t="shared" si="4"/>
        <v>-5.6519883869782538E-2</v>
      </c>
      <c r="J59" s="165">
        <f t="shared" si="4"/>
        <v>0.12872279677685425</v>
      </c>
      <c r="K59" s="165">
        <f t="shared" si="4"/>
        <v>-0.3196048668398076</v>
      </c>
      <c r="L59" s="165">
        <f t="shared" si="4"/>
        <v>-0.16403995906545407</v>
      </c>
      <c r="M59" s="165">
        <f t="shared" si="4"/>
        <v>3.4739419507412966E-2</v>
      </c>
    </row>
    <row r="60" spans="1:15" x14ac:dyDescent="0.25">
      <c r="A60" s="195" t="s">
        <v>255</v>
      </c>
      <c r="B60" s="196">
        <f>SUM(B57:M57)</f>
        <v>9418935</v>
      </c>
    </row>
    <row r="61" spans="1:15" x14ac:dyDescent="0.25">
      <c r="A61" s="198" t="s">
        <v>256</v>
      </c>
      <c r="B61" s="196">
        <f>SUM(B58:M58)</f>
        <v>10307150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0.91382535424438371</v>
      </c>
      <c r="D62" s="152">
        <f>SUM(B46:E46)</f>
        <v>7.61</v>
      </c>
      <c r="E62" s="152">
        <f>SUM(B49:E49)</f>
        <v>8.4700000000000006</v>
      </c>
      <c r="G62" s="126">
        <f>SUM(B47:E47)</f>
        <v>19.02</v>
      </c>
      <c r="H62" s="126">
        <f>SUM(B50:E50)</f>
        <v>23.65</v>
      </c>
      <c r="J62" s="200">
        <f>AVERAGE(H46:K46)</f>
        <v>0.27495000000000003</v>
      </c>
      <c r="K62" s="200">
        <f>AVERAGE(H49:K49)</f>
        <v>0.27925</v>
      </c>
      <c r="M62" s="200">
        <f>AVERAGE(H47:K47)</f>
        <v>0.10195</v>
      </c>
      <c r="N62" s="200">
        <f>AVERAGE(H50:K50)</f>
        <v>0.1212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0.72</v>
      </c>
      <c r="C65" s="205">
        <f t="shared" si="5"/>
        <v>1.22</v>
      </c>
      <c r="D65" s="205">
        <f t="shared" si="5"/>
        <v>1.65</v>
      </c>
      <c r="E65" s="205">
        <f t="shared" si="5"/>
        <v>1.97</v>
      </c>
      <c r="F65" s="206">
        <f>IF(ISNA(HLOOKUP(F$64*10+$A65,$81:$82,2,FALSE)),(HLOOKUP(E$64*10+$A65,$87:$94,4,FALSE)*$G65+$B$25)/HLOOKUP(E$64*10+$A65,$87:$94,5,FALSE)*$E65,HLOOKUP(F$64*10+$A65,$81:$82,2,FALSE))</f>
        <v>1.38</v>
      </c>
      <c r="G65" s="101">
        <f>MIN(130%,SUM($B$57:$D$57)/SUM($B$58:$D$58)*$G$69/HLOOKUP(E$64*10+$A65,$145:$146,2,FALSE))</f>
        <v>0.74812732419983763</v>
      </c>
      <c r="H65" s="204">
        <v>1</v>
      </c>
      <c r="I65" s="208">
        <f t="shared" ref="I65:M68" si="6">IF(ISNA(HLOOKUP(I$64*10+$H65,$145:$147,3,FALSE)),"",HLOOKUP(I$64*10+$H65,$145:$147,3,FALSE)/100)</f>
        <v>4.6600000000000003E-2</v>
      </c>
      <c r="J65" s="208">
        <f t="shared" si="6"/>
        <v>9.9299999999999999E-2</v>
      </c>
      <c r="K65" s="208">
        <f t="shared" si="6"/>
        <v>0.1159</v>
      </c>
      <c r="L65" s="208">
        <f t="shared" si="6"/>
        <v>0.13519999999999999</v>
      </c>
      <c r="M65" s="209">
        <f t="shared" si="6"/>
        <v>9.4700000000000006E-2</v>
      </c>
      <c r="N65" s="256">
        <f t="shared" ref="N65:O68" si="7">HLOOKUP(E$64*10+$A65,$87:$94,8,FALSE)</f>
        <v>-9115</v>
      </c>
      <c r="O65" s="256">
        <f t="shared" si="7"/>
        <v>-3598</v>
      </c>
      <c r="P65" s="210"/>
    </row>
    <row r="66" spans="1:71" x14ac:dyDescent="0.25">
      <c r="A66" s="204">
        <v>2</v>
      </c>
      <c r="B66" s="205">
        <f t="shared" si="5"/>
        <v>0.77</v>
      </c>
      <c r="C66" s="205">
        <f t="shared" si="5"/>
        <v>1.23</v>
      </c>
      <c r="D66" s="205">
        <f t="shared" si="5"/>
        <v>1.33</v>
      </c>
      <c r="E66" s="205">
        <f t="shared" si="5"/>
        <v>1.87</v>
      </c>
      <c r="F66" s="206">
        <f>IF(ISNA(HLOOKUP(F$64*10+$A66,$81:$82,2,FALSE)),(HLOOKUP(E$64*10+$A66,$87:$94,4,FALSE)*$G66+$B$25)/HLOOKUP(E$64*10+$A66,$87:$94,5,FALSE)*$E66,HLOOKUP(F$64*10+$A66,$81:$82,2,FALSE))</f>
        <v>1.74</v>
      </c>
      <c r="G66" s="101">
        <f>MIN(130%,SUM($B$57:$D$57)/SUM($B$58:$D$58)*$G$69/HLOOKUP(E$64*10+$A66,$145:$146,2,FALSE))</f>
        <v>0.82943364900346683</v>
      </c>
      <c r="H66" s="204">
        <v>2</v>
      </c>
      <c r="I66" s="208">
        <f t="shared" si="6"/>
        <v>6.2699999999999992E-2</v>
      </c>
      <c r="J66" s="208">
        <f t="shared" si="6"/>
        <v>0.1033</v>
      </c>
      <c r="K66" s="208">
        <f t="shared" si="6"/>
        <v>8.4199999999999997E-2</v>
      </c>
      <c r="L66" s="208">
        <f t="shared" si="6"/>
        <v>0.11210000000000001</v>
      </c>
      <c r="M66" s="209">
        <f t="shared" si="6"/>
        <v>9.5399999999999985E-2</v>
      </c>
      <c r="N66" s="256">
        <f t="shared" si="7"/>
        <v>7872</v>
      </c>
      <c r="O66" s="256">
        <f t="shared" si="7"/>
        <v>15120</v>
      </c>
      <c r="P66" s="210"/>
    </row>
    <row r="67" spans="1:71" x14ac:dyDescent="0.25">
      <c r="A67" s="204">
        <v>3</v>
      </c>
      <c r="B67" s="205">
        <f t="shared" si="5"/>
        <v>0.99</v>
      </c>
      <c r="C67" s="205">
        <f t="shared" si="5"/>
        <v>1.6</v>
      </c>
      <c r="D67" s="205">
        <f t="shared" si="5"/>
        <v>1.97</v>
      </c>
      <c r="E67" s="205">
        <f t="shared" si="5"/>
        <v>2.5299999999999998</v>
      </c>
      <c r="F67" s="206">
        <f>IF(ISNA(HLOOKUP(F$64*10+$A67,$81:$82,2,FALSE)),(HLOOKUP(E$64*10+$A67,$87:$94,4,FALSE)*$G67+$B$25)/HLOOKUP(E$64*10+$A67,$87:$94,5,FALSE)*$E67,HLOOKUP(F$64*10+$A67,$81:$82,2,FALSE))</f>
        <v>2.08</v>
      </c>
      <c r="G67" s="101">
        <f>MIN(130%,SUM($B$57:$D$57)/SUM($B$58:$D$58)*$G$69/HLOOKUP(E$64*10+$A67,$145:$146,2,FALSE))</f>
        <v>0.83399599030711635</v>
      </c>
      <c r="H67" s="204">
        <v>3</v>
      </c>
      <c r="I67" s="208">
        <f t="shared" si="6"/>
        <v>7.4999999999999997E-2</v>
      </c>
      <c r="J67" s="208">
        <f t="shared" si="6"/>
        <v>9.8100000000000007E-2</v>
      </c>
      <c r="K67" s="208">
        <f t="shared" si="6"/>
        <v>9.9399999999999988E-2</v>
      </c>
      <c r="L67" s="208">
        <f t="shared" si="6"/>
        <v>0.12300000000000001</v>
      </c>
      <c r="M67" s="209">
        <f t="shared" si="6"/>
        <v>9.8299999999999998E-2</v>
      </c>
      <c r="N67" s="256">
        <f t="shared" si="7"/>
        <v>-4353</v>
      </c>
      <c r="O67" s="256">
        <f t="shared" si="7"/>
        <v>20294</v>
      </c>
      <c r="P67" s="210"/>
    </row>
    <row r="68" spans="1:71" x14ac:dyDescent="0.25">
      <c r="A68" s="204">
        <v>4</v>
      </c>
      <c r="B68" s="205">
        <f>HLOOKUP(B$64*10+$A68,$81:$82,2,FALSE)</f>
        <v>1.1499999999999999</v>
      </c>
      <c r="C68" s="205">
        <f>HLOOKUP(C$64*10+$A68,$81:$82,2,FALSE)</f>
        <v>1.97</v>
      </c>
      <c r="D68" s="205">
        <f>HLOOKUP(D$64*10+$A68,$81:$82,2,FALSE)</f>
        <v>2.1</v>
      </c>
      <c r="E68" s="206">
        <f>IF(ISNA(HLOOKUP(E$64*10+$A68,$81:$82,2,FALSE)),D68*(1-$N68)*#REF!*(1+$B$25)/(1+$E$4),HLOOKUP(E$64*10+$A68,$81:$82,2,FALSE))</f>
        <v>2.41</v>
      </c>
      <c r="F68" s="206">
        <f>IF(ISNA(HLOOKUP(F$64*10+$A68,$81:$82,2,FALSE)),(HLOOKUP(E$64*10+$A68,$87:$94,4,FALSE)*$G68+$B$25)/HLOOKUP(E$64*10+$A68,$87:$94,5,FALSE)*$E68,HLOOKUP(F$64*10+$A68,$81:$82,2,FALSE))</f>
        <v>1.9487854230886752</v>
      </c>
      <c r="G68" s="101">
        <f>MIN(130%,SUM($B$57:$D$57)/SUM($B$58:$D$58)*$G$69/HLOOKUP(E$64*10+$A68,$145:$146,2,FALSE))</f>
        <v>0.80307452880208552</v>
      </c>
      <c r="H68" s="204">
        <v>4</v>
      </c>
      <c r="I68" s="208">
        <f t="shared" si="6"/>
        <v>6.93E-2</v>
      </c>
      <c r="J68" s="208">
        <f t="shared" si="6"/>
        <v>9.4499999999999987E-2</v>
      </c>
      <c r="K68" s="208">
        <f t="shared" si="6"/>
        <v>0.11449999999999999</v>
      </c>
      <c r="L68" s="208">
        <f t="shared" si="6"/>
        <v>0.11939999999999999</v>
      </c>
      <c r="M68" s="209" t="str">
        <f t="shared" si="6"/>
        <v/>
      </c>
      <c r="N68" s="256">
        <f t="shared" si="7"/>
        <v>18357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3.63</v>
      </c>
      <c r="C69" s="213">
        <f>SUM(C65:C68)</f>
        <v>6.0200000000000005</v>
      </c>
      <c r="D69" s="213">
        <f>SUM(D65:D68)</f>
        <v>7.0500000000000007</v>
      </c>
      <c r="E69" s="213">
        <f>SUM(E65:E68)</f>
        <v>8.7799999999999994</v>
      </c>
      <c r="F69" s="213">
        <f>SUM(F65:F68)</f>
        <v>7.1487854230886754</v>
      </c>
      <c r="G69" s="257">
        <f>_xlfn.FORECAST.ETS(23,B146:W146,{1,2,3,4,5,6,7,8,9,10,11,12,13,14,15,16,17,18,19,20,21,22})</f>
        <v>27.232525161662764</v>
      </c>
      <c r="H69" s="214" t="s">
        <v>19</v>
      </c>
      <c r="I69" s="215">
        <f>HLOOKUP(I64,151:155,3,FALSE)/100</f>
        <v>6.4399999999999999E-2</v>
      </c>
      <c r="J69" s="215">
        <f>HLOOKUP(J64,151:155,3,FALSE)/100</f>
        <v>9.849999999999999E-2</v>
      </c>
      <c r="K69" s="215">
        <f>HLOOKUP(K64,151:155,3,FALSE)/100</f>
        <v>0.10400000000000001</v>
      </c>
      <c r="L69" s="215">
        <f>IF(ISNA(HLOOKUP(L64,151:155,3,FALSE)/100),AVERAGE(L65:L68),HLOOKUP(L64,151:155,3,FALSE)/100)</f>
        <v>0.12230000000000001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2.04</v>
      </c>
      <c r="C72" s="205">
        <f t="shared" si="8"/>
        <v>3.71</v>
      </c>
      <c r="D72" s="205">
        <f t="shared" si="8"/>
        <v>4.7300000000000004</v>
      </c>
      <c r="E72" s="205">
        <f t="shared" si="8"/>
        <v>5.38</v>
      </c>
      <c r="F72" s="205">
        <f t="shared" si="8"/>
        <v>3.19</v>
      </c>
    </row>
    <row r="73" spans="1:71" s="135" customFormat="1" x14ac:dyDescent="0.25">
      <c r="A73" s="204">
        <v>2</v>
      </c>
      <c r="B73" s="205">
        <f t="shared" si="8"/>
        <v>2.31</v>
      </c>
      <c r="C73" s="205">
        <f t="shared" si="8"/>
        <v>3.91</v>
      </c>
      <c r="D73" s="205">
        <f t="shared" si="8"/>
        <v>3.78</v>
      </c>
      <c r="E73" s="205">
        <f t="shared" si="8"/>
        <v>5.24</v>
      </c>
      <c r="F73" s="205">
        <f t="shared" si="8"/>
        <v>4.37</v>
      </c>
    </row>
    <row r="74" spans="1:71" s="135" customFormat="1" x14ac:dyDescent="0.25">
      <c r="A74" s="204">
        <v>3</v>
      </c>
      <c r="B74" s="205">
        <f t="shared" si="8"/>
        <v>3.1</v>
      </c>
      <c r="C74" s="205">
        <f t="shared" si="8"/>
        <v>5.23</v>
      </c>
      <c r="D74" s="205">
        <f t="shared" si="8"/>
        <v>6.1</v>
      </c>
      <c r="E74" s="205">
        <f t="shared" si="8"/>
        <v>7.08</v>
      </c>
      <c r="F74" s="205">
        <f t="shared" si="8"/>
        <v>5.2</v>
      </c>
    </row>
    <row r="75" spans="1:71" s="135" customFormat="1" x14ac:dyDescent="0.25">
      <c r="A75" s="204">
        <v>4</v>
      </c>
      <c r="B75" s="205">
        <f t="shared" si="8"/>
        <v>3.62</v>
      </c>
      <c r="C75" s="205">
        <f t="shared" si="8"/>
        <v>5.99</v>
      </c>
      <c r="D75" s="205">
        <f t="shared" si="8"/>
        <v>5.95</v>
      </c>
      <c r="E75" s="205">
        <f t="shared" si="8"/>
        <v>6.26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11.07</v>
      </c>
      <c r="C76" s="213">
        <f>SUM(C72:C75)</f>
        <v>18.840000000000003</v>
      </c>
      <c r="D76" s="213">
        <f>SUM(D72:D75)</f>
        <v>20.56</v>
      </c>
      <c r="E76" s="213">
        <f>AVERAGE(E72:E75)*4</f>
        <v>23.96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267303</v>
      </c>
      <c r="C79" s="270">
        <v>333041</v>
      </c>
      <c r="D79" s="270">
        <v>445985</v>
      </c>
      <c r="E79" s="270">
        <v>417497</v>
      </c>
      <c r="F79" s="270">
        <v>420515</v>
      </c>
      <c r="G79" s="270">
        <v>470044</v>
      </c>
      <c r="H79" s="270">
        <v>468761</v>
      </c>
      <c r="I79" s="270">
        <v>498191</v>
      </c>
      <c r="J79" s="270">
        <v>482742</v>
      </c>
      <c r="K79" s="270">
        <v>448434</v>
      </c>
      <c r="L79" s="270">
        <v>480814</v>
      </c>
      <c r="M79" s="270">
        <v>446716</v>
      </c>
      <c r="N79" s="270">
        <v>481202</v>
      </c>
      <c r="O79" s="270">
        <v>360529</v>
      </c>
      <c r="P79" s="270">
        <v>562878</v>
      </c>
      <c r="Q79" s="270">
        <v>514822</v>
      </c>
      <c r="R79" s="270">
        <v>470939</v>
      </c>
      <c r="S79" s="270">
        <v>436088</v>
      </c>
      <c r="T79" s="270">
        <v>533193</v>
      </c>
      <c r="U79" s="270">
        <v>559603</v>
      </c>
      <c r="V79" s="270">
        <v>610670</v>
      </c>
      <c r="W79" s="270">
        <v>611181</v>
      </c>
      <c r="X79" s="270">
        <v>587379</v>
      </c>
      <c r="Y79" s="270">
        <v>609179</v>
      </c>
      <c r="Z79" s="270">
        <v>553150</v>
      </c>
      <c r="AA79" s="270">
        <v>416200</v>
      </c>
      <c r="AB79" s="270">
        <v>560904</v>
      </c>
      <c r="AC79" s="270">
        <v>612759</v>
      </c>
      <c r="AD79" s="270">
        <v>610847</v>
      </c>
      <c r="AE79" s="270">
        <v>574885</v>
      </c>
      <c r="AF79" s="270">
        <v>632679</v>
      </c>
      <c r="AG79" s="270">
        <v>689981</v>
      </c>
      <c r="AH79" s="270">
        <v>762373</v>
      </c>
      <c r="AI79" s="270">
        <v>739879</v>
      </c>
      <c r="AJ79" s="270">
        <v>700228</v>
      </c>
      <c r="AK79" s="270">
        <v>741265</v>
      </c>
      <c r="AL79" s="270">
        <v>790106</v>
      </c>
      <c r="AM79" s="270">
        <v>528502</v>
      </c>
      <c r="AN79" s="270">
        <v>780067</v>
      </c>
      <c r="AO79" s="270">
        <v>737812</v>
      </c>
      <c r="AP79" s="270">
        <v>641564</v>
      </c>
      <c r="AQ79" s="270">
        <v>703388</v>
      </c>
      <c r="AR79" s="270">
        <v>770813</v>
      </c>
      <c r="AS79" s="270">
        <v>811272</v>
      </c>
      <c r="AT79" s="270">
        <v>891903</v>
      </c>
      <c r="AU79" s="270">
        <v>851738</v>
      </c>
      <c r="AV79" s="270">
        <v>860924</v>
      </c>
      <c r="AW79" s="270">
        <v>898019</v>
      </c>
      <c r="AX79" s="270">
        <v>882133</v>
      </c>
      <c r="AY79" s="270">
        <v>551635</v>
      </c>
      <c r="AZ79" s="270">
        <v>860069</v>
      </c>
      <c r="BA79" s="270">
        <v>830363</v>
      </c>
      <c r="BB79" s="270">
        <v>791445</v>
      </c>
      <c r="BC79" s="270">
        <v>775766</v>
      </c>
      <c r="BD79" s="270">
        <v>810932</v>
      </c>
      <c r="BE79" s="270">
        <v>981682</v>
      </c>
      <c r="BF79" s="270">
        <v>1082464</v>
      </c>
      <c r="BG79" s="270">
        <v>981718</v>
      </c>
      <c r="BH79" s="270">
        <v>890832</v>
      </c>
      <c r="BI79" s="270">
        <v>750708</v>
      </c>
      <c r="BJ79" s="270">
        <v>600199</v>
      </c>
      <c r="BK79" s="270">
        <v>622643</v>
      </c>
      <c r="BL79" s="270">
        <v>811458</v>
      </c>
      <c r="BM79" s="270">
        <v>750792</v>
      </c>
      <c r="BN79" s="270">
        <v>710736</v>
      </c>
      <c r="BO79" s="270">
        <v>856789</v>
      </c>
      <c r="BP79" s="270">
        <v>881044</v>
      </c>
      <c r="BQ79" s="270">
        <v>891613</v>
      </c>
      <c r="BR79" s="270">
        <v>870484</v>
      </c>
      <c r="BS79" s="270">
        <v>781637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0.61</v>
      </c>
      <c r="C82" s="72">
        <v>0.87</v>
      </c>
      <c r="D82" s="72">
        <v>0.78</v>
      </c>
      <c r="E82" s="72">
        <v>0.74</v>
      </c>
      <c r="F82" s="72">
        <v>0.72</v>
      </c>
      <c r="G82" s="72">
        <v>0.77</v>
      </c>
      <c r="H82" s="72">
        <v>0.99</v>
      </c>
      <c r="I82" s="72">
        <v>1.1499999999999999</v>
      </c>
      <c r="J82" s="72">
        <v>1.22</v>
      </c>
      <c r="K82" s="72">
        <v>1.23</v>
      </c>
      <c r="L82" s="72">
        <v>1.6</v>
      </c>
      <c r="M82" s="72">
        <v>1.97</v>
      </c>
      <c r="N82" s="72">
        <v>1.65</v>
      </c>
      <c r="O82" s="72">
        <v>1.33</v>
      </c>
      <c r="P82" s="72">
        <v>1.97</v>
      </c>
      <c r="Q82" s="72">
        <v>2.1</v>
      </c>
      <c r="R82" s="72">
        <v>1.97</v>
      </c>
      <c r="S82" s="72">
        <v>1.87</v>
      </c>
      <c r="T82" s="72">
        <v>2.5299999999999998</v>
      </c>
      <c r="U82" s="72">
        <v>2.41</v>
      </c>
      <c r="V82" s="72">
        <v>1.38</v>
      </c>
      <c r="W82" s="72">
        <v>1.74</v>
      </c>
      <c r="X82" s="72">
        <v>2.08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29</v>
      </c>
      <c r="C85" s="72">
        <v>28.2</v>
      </c>
      <c r="D85" s="72">
        <v>29</v>
      </c>
      <c r="E85" s="72">
        <v>29.91</v>
      </c>
      <c r="F85" s="72">
        <v>30.01</v>
      </c>
      <c r="G85" s="72">
        <v>28.18</v>
      </c>
      <c r="H85" s="72">
        <v>28.8</v>
      </c>
      <c r="I85" s="72">
        <v>30</v>
      </c>
      <c r="J85" s="72">
        <v>31.49</v>
      </c>
      <c r="K85" s="72">
        <v>29.7</v>
      </c>
      <c r="L85" s="72">
        <v>31.1</v>
      </c>
      <c r="M85" s="72">
        <v>33.33</v>
      </c>
      <c r="N85" s="72">
        <v>34.89</v>
      </c>
      <c r="O85" s="72">
        <v>30.98</v>
      </c>
      <c r="P85" s="72">
        <v>33.04</v>
      </c>
      <c r="Q85" s="72">
        <v>35.01</v>
      </c>
      <c r="R85" s="72">
        <v>37.03</v>
      </c>
      <c r="S85" s="72">
        <v>34.08</v>
      </c>
      <c r="T85" s="72">
        <v>36.049999999999997</v>
      </c>
      <c r="U85" s="72">
        <v>38.86</v>
      </c>
      <c r="V85" s="72">
        <v>40.479999999999997</v>
      </c>
      <c r="W85" s="72">
        <v>36.46</v>
      </c>
      <c r="X85" s="72">
        <v>38.9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1046328</v>
      </c>
      <c r="C88" s="273">
        <v>1308057</v>
      </c>
      <c r="D88" s="273">
        <v>1449694</v>
      </c>
      <c r="E88" s="273">
        <v>1375790</v>
      </c>
      <c r="F88" s="273">
        <v>1404609</v>
      </c>
      <c r="G88" s="273">
        <v>1421849</v>
      </c>
      <c r="H88" s="273">
        <v>1703466</v>
      </c>
      <c r="I88" s="273">
        <v>1807739</v>
      </c>
      <c r="J88" s="273">
        <v>1530254</v>
      </c>
      <c r="K88" s="273">
        <v>1798491</v>
      </c>
      <c r="L88" s="273">
        <v>2085033</v>
      </c>
      <c r="M88" s="273">
        <v>2181372</v>
      </c>
      <c r="N88" s="273">
        <v>2098675</v>
      </c>
      <c r="O88" s="273">
        <v>2082764</v>
      </c>
      <c r="P88" s="273">
        <v>2473988</v>
      </c>
      <c r="Q88" s="273">
        <v>2610681</v>
      </c>
      <c r="R88" s="273">
        <v>2293837</v>
      </c>
      <c r="S88" s="273">
        <v>2397574</v>
      </c>
      <c r="T88" s="273">
        <v>2875078</v>
      </c>
      <c r="U88" s="273">
        <v>2623258</v>
      </c>
      <c r="V88" s="273">
        <v>2034300</v>
      </c>
      <c r="W88" s="273">
        <v>2318317</v>
      </c>
      <c r="X88" s="273">
        <v>2643141</v>
      </c>
    </row>
    <row r="89" spans="1:25" ht="14.25" thickBot="1" x14ac:dyDescent="0.3">
      <c r="A89" s="250" t="s">
        <v>4</v>
      </c>
      <c r="B89" s="275">
        <v>300297</v>
      </c>
      <c r="C89" s="275">
        <v>342966</v>
      </c>
      <c r="D89" s="275">
        <v>342977</v>
      </c>
      <c r="E89" s="275">
        <v>330018</v>
      </c>
      <c r="F89" s="275">
        <v>334658</v>
      </c>
      <c r="G89" s="275">
        <v>364254</v>
      </c>
      <c r="H89" s="275">
        <v>405975</v>
      </c>
      <c r="I89" s="275">
        <v>412950</v>
      </c>
      <c r="J89" s="275">
        <v>437647</v>
      </c>
      <c r="K89" s="275">
        <v>497039</v>
      </c>
      <c r="L89" s="275">
        <v>539932</v>
      </c>
      <c r="M89" s="275">
        <v>591124</v>
      </c>
      <c r="N89" s="275">
        <v>609386</v>
      </c>
      <c r="O89" s="275">
        <v>525675</v>
      </c>
      <c r="P89" s="275">
        <v>651189</v>
      </c>
      <c r="Q89" s="275">
        <v>694774</v>
      </c>
      <c r="R89" s="275">
        <v>697352</v>
      </c>
      <c r="S89" s="275">
        <v>657498</v>
      </c>
      <c r="T89" s="275">
        <v>784176</v>
      </c>
      <c r="U89" s="275">
        <v>742856</v>
      </c>
      <c r="V89" s="275">
        <v>592252</v>
      </c>
      <c r="W89" s="275">
        <v>620526</v>
      </c>
      <c r="X89" s="275">
        <v>681435</v>
      </c>
    </row>
    <row r="90" spans="1:25" ht="14.25" thickBot="1" x14ac:dyDescent="0.3">
      <c r="A90" s="251" t="s">
        <v>5</v>
      </c>
      <c r="B90" s="273">
        <v>62965</v>
      </c>
      <c r="C90" s="273">
        <v>79294</v>
      </c>
      <c r="D90" s="273">
        <v>80454</v>
      </c>
      <c r="E90" s="273">
        <v>59516</v>
      </c>
      <c r="F90" s="273">
        <v>65521</v>
      </c>
      <c r="G90" s="273">
        <v>89118</v>
      </c>
      <c r="H90" s="273">
        <v>127758</v>
      </c>
      <c r="I90" s="273">
        <v>125357</v>
      </c>
      <c r="J90" s="273">
        <v>152025</v>
      </c>
      <c r="K90" s="273">
        <v>185825</v>
      </c>
      <c r="L90" s="273">
        <v>204522</v>
      </c>
      <c r="M90" s="273">
        <v>206122</v>
      </c>
      <c r="N90" s="273">
        <v>243172</v>
      </c>
      <c r="O90" s="273">
        <v>175340</v>
      </c>
      <c r="P90" s="273">
        <v>246033</v>
      </c>
      <c r="Q90" s="273">
        <v>298917</v>
      </c>
      <c r="R90" s="273">
        <v>310083</v>
      </c>
      <c r="S90" s="273">
        <v>268799</v>
      </c>
      <c r="T90" s="273">
        <v>353643</v>
      </c>
      <c r="U90" s="273">
        <v>313199</v>
      </c>
      <c r="V90" s="273">
        <v>192612</v>
      </c>
      <c r="W90" s="273">
        <v>221218</v>
      </c>
      <c r="X90" s="273">
        <v>259795</v>
      </c>
    </row>
    <row r="91" spans="1:25" ht="14.25" thickBot="1" x14ac:dyDescent="0.3">
      <c r="A91" s="250" t="s">
        <v>6</v>
      </c>
      <c r="B91" s="275">
        <v>72702</v>
      </c>
      <c r="C91" s="275">
        <v>107124</v>
      </c>
      <c r="D91" s="275">
        <v>95809</v>
      </c>
      <c r="E91" s="275">
        <v>87582</v>
      </c>
      <c r="F91" s="275">
        <v>86962</v>
      </c>
      <c r="G91" s="275">
        <v>99255</v>
      </c>
      <c r="H91" s="275">
        <v>144429</v>
      </c>
      <c r="I91" s="275">
        <v>169662</v>
      </c>
      <c r="J91" s="275">
        <v>168400</v>
      </c>
      <c r="K91" s="275">
        <v>177955</v>
      </c>
      <c r="L91" s="275">
        <v>231901</v>
      </c>
      <c r="M91" s="275">
        <v>269520</v>
      </c>
      <c r="N91" s="275">
        <v>241853</v>
      </c>
      <c r="O91" s="275">
        <v>179122</v>
      </c>
      <c r="P91" s="275">
        <v>300896</v>
      </c>
      <c r="Q91" s="275">
        <v>305581</v>
      </c>
      <c r="R91" s="275">
        <v>300968</v>
      </c>
      <c r="S91" s="275">
        <v>276671</v>
      </c>
      <c r="T91" s="275">
        <v>349290</v>
      </c>
      <c r="U91" s="275">
        <v>331556</v>
      </c>
      <c r="V91" s="275">
        <v>189014</v>
      </c>
      <c r="W91" s="275">
        <v>236338</v>
      </c>
      <c r="X91" s="275">
        <v>280089</v>
      </c>
    </row>
    <row r="92" spans="1:25" ht="14.25" thickBot="1" x14ac:dyDescent="0.3">
      <c r="A92" s="251" t="s">
        <v>7</v>
      </c>
      <c r="B92" s="273">
        <v>64645</v>
      </c>
      <c r="C92" s="273">
        <v>95723</v>
      </c>
      <c r="D92" s="273">
        <v>85506</v>
      </c>
      <c r="E92" s="273">
        <v>77301</v>
      </c>
      <c r="F92" s="273">
        <v>73636</v>
      </c>
      <c r="G92" s="273">
        <v>81523</v>
      </c>
      <c r="H92" s="273">
        <v>107960</v>
      </c>
      <c r="I92" s="273">
        <v>130271</v>
      </c>
      <c r="J92" s="273">
        <v>139402</v>
      </c>
      <c r="K92" s="273">
        <v>146576</v>
      </c>
      <c r="L92" s="273">
        <v>195579</v>
      </c>
      <c r="M92" s="273">
        <v>237017</v>
      </c>
      <c r="N92" s="273">
        <v>197709</v>
      </c>
      <c r="O92" s="273">
        <v>153078</v>
      </c>
      <c r="P92" s="273">
        <v>242063</v>
      </c>
      <c r="Q92" s="273">
        <v>252979</v>
      </c>
      <c r="R92" s="273">
        <v>242994</v>
      </c>
      <c r="S92" s="273">
        <v>235518</v>
      </c>
      <c r="T92" s="273">
        <v>317921</v>
      </c>
      <c r="U92" s="273">
        <v>302594</v>
      </c>
      <c r="V92" s="273">
        <v>163645</v>
      </c>
      <c r="W92" s="273">
        <v>217299</v>
      </c>
      <c r="X92" s="273">
        <v>254116</v>
      </c>
    </row>
    <row r="93" spans="1:25" ht="26.25" thickBot="1" x14ac:dyDescent="0.3">
      <c r="A93" s="252" t="s">
        <v>8</v>
      </c>
      <c r="B93" s="276">
        <v>72508</v>
      </c>
      <c r="C93" s="276">
        <v>102611</v>
      </c>
      <c r="D93" s="276">
        <v>92727</v>
      </c>
      <c r="E93" s="276">
        <v>87332</v>
      </c>
      <c r="F93" s="276">
        <v>85023</v>
      </c>
      <c r="G93" s="276">
        <v>90723</v>
      </c>
      <c r="H93" s="276">
        <v>117140</v>
      </c>
      <c r="I93" s="276">
        <v>135679</v>
      </c>
      <c r="J93" s="276">
        <v>143925</v>
      </c>
      <c r="K93" s="276">
        <v>145874</v>
      </c>
      <c r="L93" s="276">
        <v>188924</v>
      </c>
      <c r="M93" s="276">
        <v>232794</v>
      </c>
      <c r="N93" s="276">
        <v>195722</v>
      </c>
      <c r="O93" s="276">
        <v>157843</v>
      </c>
      <c r="P93" s="276">
        <v>233418</v>
      </c>
      <c r="Q93" s="276">
        <v>248451</v>
      </c>
      <c r="R93" s="276">
        <v>234061</v>
      </c>
      <c r="S93" s="276">
        <v>221562</v>
      </c>
      <c r="T93" s="276">
        <v>299919</v>
      </c>
      <c r="U93" s="276">
        <v>286295</v>
      </c>
      <c r="V93" s="276">
        <v>164840</v>
      </c>
      <c r="W93" s="276">
        <v>207274</v>
      </c>
      <c r="X93" s="276">
        <v>247653</v>
      </c>
    </row>
    <row r="94" spans="1:25" x14ac:dyDescent="0.25">
      <c r="A94" s="233" t="s">
        <v>365</v>
      </c>
      <c r="B94" s="253">
        <f>IF(B91="","",B91-B90)</f>
        <v>9737</v>
      </c>
      <c r="C94" s="253">
        <f>IF(C91="","",C91-C90)</f>
        <v>27830</v>
      </c>
      <c r="D94" s="253">
        <f t="shared" ref="D94:Y94" si="9">IF(D91="","",D91-D90)</f>
        <v>15355</v>
      </c>
      <c r="E94" s="253">
        <f t="shared" si="9"/>
        <v>28066</v>
      </c>
      <c r="F94" s="253">
        <f t="shared" si="9"/>
        <v>21441</v>
      </c>
      <c r="G94" s="253">
        <f t="shared" si="9"/>
        <v>10137</v>
      </c>
      <c r="H94" s="253">
        <f t="shared" si="9"/>
        <v>16671</v>
      </c>
      <c r="I94" s="253">
        <f t="shared" si="9"/>
        <v>44305</v>
      </c>
      <c r="J94" s="253">
        <f t="shared" si="9"/>
        <v>16375</v>
      </c>
      <c r="K94" s="253">
        <f t="shared" si="9"/>
        <v>-7870</v>
      </c>
      <c r="L94" s="253">
        <f t="shared" si="9"/>
        <v>27379</v>
      </c>
      <c r="M94" s="253">
        <f t="shared" si="9"/>
        <v>63398</v>
      </c>
      <c r="N94" s="253">
        <f t="shared" si="9"/>
        <v>-1319</v>
      </c>
      <c r="O94" s="253">
        <f t="shared" si="9"/>
        <v>3782</v>
      </c>
      <c r="P94" s="253">
        <f t="shared" si="9"/>
        <v>54863</v>
      </c>
      <c r="Q94" s="253">
        <f t="shared" si="9"/>
        <v>6664</v>
      </c>
      <c r="R94" s="253">
        <f t="shared" si="9"/>
        <v>-9115</v>
      </c>
      <c r="S94" s="253">
        <f t="shared" si="9"/>
        <v>7872</v>
      </c>
      <c r="T94" s="253">
        <f t="shared" si="9"/>
        <v>-4353</v>
      </c>
      <c r="U94" s="253">
        <f t="shared" si="9"/>
        <v>18357</v>
      </c>
      <c r="V94" s="253">
        <f t="shared" si="9"/>
        <v>-3598</v>
      </c>
      <c r="W94" s="253">
        <f t="shared" si="9"/>
        <v>15120</v>
      </c>
      <c r="X94" s="253">
        <f t="shared" si="9"/>
        <v>20294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5179869</v>
      </c>
      <c r="C97" s="273">
        <v>6337663</v>
      </c>
      <c r="D97" s="273">
        <v>7595150</v>
      </c>
      <c r="E97" s="273">
        <v>9266108</v>
      </c>
      <c r="F97" s="273">
        <v>10189747</v>
      </c>
    </row>
    <row r="98" spans="1:24" ht="14.25" thickBot="1" x14ac:dyDescent="0.3">
      <c r="A98" s="225" t="s">
        <v>4</v>
      </c>
      <c r="B98" s="275">
        <v>1316258</v>
      </c>
      <c r="C98" s="275">
        <v>1517837</v>
      </c>
      <c r="D98" s="275">
        <v>2065742</v>
      </c>
      <c r="E98" s="275">
        <v>2481024</v>
      </c>
      <c r="F98" s="275">
        <v>2881882</v>
      </c>
    </row>
    <row r="99" spans="1:24" ht="14.25" thickBot="1" x14ac:dyDescent="0.3">
      <c r="A99" s="224" t="s">
        <v>5</v>
      </c>
      <c r="B99" s="273">
        <v>282229</v>
      </c>
      <c r="C99" s="273">
        <v>407829</v>
      </c>
      <c r="D99" s="273">
        <v>748494</v>
      </c>
      <c r="E99" s="273">
        <v>963462</v>
      </c>
      <c r="F99" s="273">
        <v>1245724</v>
      </c>
    </row>
    <row r="100" spans="1:24" ht="14.25" thickBot="1" x14ac:dyDescent="0.3">
      <c r="A100" s="225" t="s">
        <v>6</v>
      </c>
      <c r="B100" s="275">
        <v>363217</v>
      </c>
      <c r="C100" s="275">
        <v>500308</v>
      </c>
      <c r="D100" s="275">
        <v>847776</v>
      </c>
      <c r="E100" s="275">
        <v>1027452</v>
      </c>
      <c r="F100" s="275">
        <v>1258485</v>
      </c>
    </row>
    <row r="101" spans="1:24" ht="14.25" thickBot="1" x14ac:dyDescent="0.3">
      <c r="A101" s="224" t="s">
        <v>7</v>
      </c>
      <c r="B101" s="273">
        <v>323175</v>
      </c>
      <c r="C101" s="273">
        <v>393390</v>
      </c>
      <c r="D101" s="273">
        <v>718574</v>
      </c>
      <c r="E101" s="273">
        <v>845829</v>
      </c>
      <c r="F101" s="273">
        <v>1099027</v>
      </c>
    </row>
    <row r="102" spans="1:24" ht="14.25" thickBot="1" x14ac:dyDescent="0.3">
      <c r="A102" s="227" t="s">
        <v>8</v>
      </c>
      <c r="B102" s="276">
        <v>355178</v>
      </c>
      <c r="C102" s="276">
        <v>428565</v>
      </c>
      <c r="D102" s="276">
        <v>711517</v>
      </c>
      <c r="E102" s="276">
        <v>835434</v>
      </c>
      <c r="F102" s="276">
        <v>1041837</v>
      </c>
    </row>
    <row r="103" spans="1:24" x14ac:dyDescent="0.25">
      <c r="A103" s="233" t="s">
        <v>262</v>
      </c>
      <c r="B103" s="234">
        <f>IF(OR(B102="",B102="無"),"",B102/B101)</f>
        <v>1.0990268430416956</v>
      </c>
      <c r="C103" s="234">
        <f>IF(OR(C102="",C102="無"),"",C102/C101)</f>
        <v>1.0894150842675208</v>
      </c>
      <c r="D103" s="234">
        <f>IF(OR(D102="",D102="無"),"",D102/D101)</f>
        <v>0.99017916039266662</v>
      </c>
      <c r="E103" s="234">
        <f>IF(OR(E102="",E102="無"),"",E102/E101)</f>
        <v>0.98771028186548349</v>
      </c>
      <c r="F103" s="234">
        <f>IF(OR(F102="",F102="無"),"",F102/F101)</f>
        <v>0.9479630618720013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988266</v>
      </c>
      <c r="C106" s="273">
        <v>968102</v>
      </c>
      <c r="D106" s="273">
        <v>1013815</v>
      </c>
      <c r="E106" s="273">
        <v>1273594</v>
      </c>
      <c r="F106" s="273">
        <v>1082328</v>
      </c>
      <c r="G106" s="273">
        <v>706933</v>
      </c>
      <c r="H106" s="273">
        <v>689088</v>
      </c>
      <c r="I106" s="273">
        <v>979279</v>
      </c>
      <c r="J106" s="273">
        <v>1232547</v>
      </c>
      <c r="K106" s="273">
        <v>839208</v>
      </c>
      <c r="L106" s="273">
        <v>1461285</v>
      </c>
      <c r="M106" s="273">
        <v>1198436</v>
      </c>
      <c r="N106" s="273">
        <v>1285325</v>
      </c>
      <c r="O106" s="273">
        <v>1260175</v>
      </c>
      <c r="P106" s="273">
        <v>1127178</v>
      </c>
      <c r="Q106" s="273">
        <v>1758239</v>
      </c>
      <c r="R106" s="273">
        <v>1836009</v>
      </c>
      <c r="S106" s="273">
        <v>1979971</v>
      </c>
      <c r="T106" s="273">
        <v>2124860</v>
      </c>
      <c r="U106" s="273">
        <v>2104983</v>
      </c>
      <c r="V106" s="273">
        <v>1904997</v>
      </c>
      <c r="W106" s="273">
        <v>1915400</v>
      </c>
      <c r="X106" s="273">
        <v>1701371</v>
      </c>
    </row>
    <row r="107" spans="1:24" ht="14.25" thickBot="1" x14ac:dyDescent="0.3">
      <c r="A107" s="225" t="s">
        <v>22</v>
      </c>
      <c r="B107" s="275">
        <v>535723</v>
      </c>
      <c r="C107" s="275">
        <v>455814</v>
      </c>
      <c r="D107" s="275">
        <v>412977</v>
      </c>
      <c r="E107" s="275">
        <v>347551</v>
      </c>
      <c r="F107" s="275">
        <v>775952</v>
      </c>
      <c r="G107" s="275">
        <v>683507</v>
      </c>
      <c r="H107" s="275">
        <v>542711</v>
      </c>
      <c r="I107" s="275">
        <v>767149</v>
      </c>
      <c r="J107" s="275">
        <v>803612</v>
      </c>
      <c r="K107" s="275">
        <v>1223191</v>
      </c>
      <c r="L107" s="275">
        <v>751032</v>
      </c>
      <c r="M107" s="275">
        <v>1368222</v>
      </c>
      <c r="N107" s="275">
        <v>1339221</v>
      </c>
      <c r="O107" s="275">
        <v>1549083</v>
      </c>
      <c r="P107" s="275">
        <v>1006229</v>
      </c>
      <c r="Q107" s="275">
        <v>1073210</v>
      </c>
      <c r="R107" s="275">
        <v>998178</v>
      </c>
      <c r="S107" s="275">
        <v>1173726</v>
      </c>
      <c r="T107" s="275">
        <v>915320</v>
      </c>
      <c r="U107" s="275">
        <v>857524</v>
      </c>
      <c r="V107" s="275">
        <v>940145</v>
      </c>
      <c r="W107" s="275">
        <v>931251</v>
      </c>
      <c r="X107" s="275">
        <v>1081018</v>
      </c>
    </row>
    <row r="108" spans="1:24" ht="14.25" thickBot="1" x14ac:dyDescent="0.3">
      <c r="A108" s="224" t="s">
        <v>263</v>
      </c>
      <c r="B108" s="273">
        <v>756235</v>
      </c>
      <c r="C108" s="273">
        <v>827413</v>
      </c>
      <c r="D108" s="273">
        <v>867786</v>
      </c>
      <c r="E108" s="273">
        <v>788959</v>
      </c>
      <c r="F108" s="273">
        <v>761190</v>
      </c>
      <c r="G108" s="273">
        <v>715027</v>
      </c>
      <c r="H108" s="273">
        <v>749082</v>
      </c>
      <c r="I108" s="273">
        <v>748912</v>
      </c>
      <c r="J108" s="273">
        <v>707720</v>
      </c>
      <c r="K108" s="273">
        <v>753387</v>
      </c>
      <c r="L108" s="273">
        <v>894974</v>
      </c>
      <c r="M108" s="273">
        <v>913775</v>
      </c>
      <c r="N108" s="273">
        <v>994373</v>
      </c>
      <c r="O108" s="273">
        <v>943147</v>
      </c>
      <c r="P108" s="273">
        <v>1056958</v>
      </c>
      <c r="Q108" s="273">
        <v>799677</v>
      </c>
      <c r="R108" s="273">
        <v>820068</v>
      </c>
      <c r="S108" s="273">
        <v>798234</v>
      </c>
      <c r="T108" s="273">
        <v>844236</v>
      </c>
      <c r="U108" s="273">
        <v>925263</v>
      </c>
      <c r="V108" s="273">
        <v>814051</v>
      </c>
      <c r="W108" s="273">
        <v>966750</v>
      </c>
      <c r="X108" s="273">
        <v>1064768</v>
      </c>
    </row>
    <row r="109" spans="1:24" ht="14.25" thickBot="1" x14ac:dyDescent="0.3">
      <c r="A109" s="225" t="s">
        <v>264</v>
      </c>
      <c r="B109" s="275">
        <v>759895</v>
      </c>
      <c r="C109" s="275">
        <v>800638</v>
      </c>
      <c r="D109" s="275">
        <v>651450</v>
      </c>
      <c r="E109" s="275">
        <v>632139</v>
      </c>
      <c r="F109" s="275">
        <v>1040876</v>
      </c>
      <c r="G109" s="275">
        <v>1573619</v>
      </c>
      <c r="H109" s="275">
        <v>1446562</v>
      </c>
      <c r="I109" s="275">
        <v>1099663</v>
      </c>
      <c r="J109" s="275">
        <v>1332576</v>
      </c>
      <c r="K109" s="275">
        <v>1213008</v>
      </c>
      <c r="L109" s="275">
        <v>935256</v>
      </c>
      <c r="M109" s="275">
        <v>1048468</v>
      </c>
      <c r="N109" s="275">
        <v>1317271</v>
      </c>
      <c r="O109" s="275">
        <v>1759585</v>
      </c>
      <c r="P109" s="275">
        <v>1486734</v>
      </c>
      <c r="Q109" s="275">
        <v>1268817</v>
      </c>
      <c r="R109" s="275">
        <v>1415024</v>
      </c>
      <c r="S109" s="275">
        <v>1499057</v>
      </c>
      <c r="T109" s="275">
        <v>1483129</v>
      </c>
      <c r="U109" s="275">
        <v>1619849</v>
      </c>
      <c r="V109" s="275">
        <v>2082906</v>
      </c>
      <c r="W109" s="275">
        <v>1870276</v>
      </c>
      <c r="X109" s="275">
        <v>1794180</v>
      </c>
    </row>
    <row r="110" spans="1:24" ht="14.25" thickBot="1" x14ac:dyDescent="0.3">
      <c r="A110" s="224" t="s">
        <v>23</v>
      </c>
      <c r="B110" s="273">
        <v>303754</v>
      </c>
      <c r="C110" s="273">
        <v>297404</v>
      </c>
      <c r="D110" s="273">
        <v>311658</v>
      </c>
      <c r="E110" s="273">
        <v>308468</v>
      </c>
      <c r="F110" s="273">
        <v>79302</v>
      </c>
      <c r="G110" s="273">
        <v>82720</v>
      </c>
      <c r="H110" s="273">
        <v>111245</v>
      </c>
      <c r="I110" s="273">
        <v>102181</v>
      </c>
      <c r="J110" s="273">
        <v>90795</v>
      </c>
      <c r="K110" s="273">
        <v>73708</v>
      </c>
      <c r="L110" s="273">
        <v>98374</v>
      </c>
      <c r="M110" s="273">
        <v>97491</v>
      </c>
      <c r="N110" s="273">
        <v>122790</v>
      </c>
      <c r="O110" s="273">
        <v>102374</v>
      </c>
      <c r="P110" s="273">
        <v>131644</v>
      </c>
      <c r="Q110" s="273">
        <v>320276</v>
      </c>
      <c r="R110" s="273">
        <v>260303</v>
      </c>
      <c r="S110" s="273">
        <v>200658</v>
      </c>
      <c r="T110" s="273">
        <v>239147</v>
      </c>
      <c r="U110" s="273">
        <v>196541</v>
      </c>
      <c r="V110" s="273">
        <v>168177</v>
      </c>
      <c r="W110" s="273">
        <v>93719</v>
      </c>
      <c r="X110" s="273">
        <v>114435</v>
      </c>
    </row>
    <row r="111" spans="1:24" ht="14.25" thickBot="1" x14ac:dyDescent="0.3">
      <c r="A111" s="225" t="s">
        <v>24</v>
      </c>
      <c r="B111" s="275">
        <v>3343873</v>
      </c>
      <c r="C111" s="275">
        <v>3349371</v>
      </c>
      <c r="D111" s="275">
        <v>3257686</v>
      </c>
      <c r="E111" s="275">
        <v>3350711</v>
      </c>
      <c r="F111" s="275">
        <v>3739648</v>
      </c>
      <c r="G111" s="275">
        <v>3761806</v>
      </c>
      <c r="H111" s="275">
        <v>3538688</v>
      </c>
      <c r="I111" s="275">
        <v>3697184</v>
      </c>
      <c r="J111" s="275">
        <v>4167250</v>
      </c>
      <c r="K111" s="275">
        <v>4102502</v>
      </c>
      <c r="L111" s="275">
        <v>4140921</v>
      </c>
      <c r="M111" s="275">
        <v>4626392</v>
      </c>
      <c r="N111" s="275">
        <v>5058980</v>
      </c>
      <c r="O111" s="275">
        <v>5614364</v>
      </c>
      <c r="P111" s="275">
        <v>4808743</v>
      </c>
      <c r="Q111" s="275">
        <v>5220219</v>
      </c>
      <c r="R111" s="275">
        <v>5329582</v>
      </c>
      <c r="S111" s="275">
        <v>5651646</v>
      </c>
      <c r="T111" s="275">
        <v>5606692</v>
      </c>
      <c r="U111" s="275">
        <v>5704160</v>
      </c>
      <c r="V111" s="275">
        <v>5910276</v>
      </c>
      <c r="W111" s="275">
        <v>5777396</v>
      </c>
      <c r="X111" s="275">
        <v>5755772</v>
      </c>
    </row>
    <row r="112" spans="1:24" ht="14.25" thickBot="1" x14ac:dyDescent="0.3">
      <c r="A112" s="224" t="s">
        <v>25</v>
      </c>
      <c r="B112" s="273">
        <v>290497</v>
      </c>
      <c r="C112" s="273">
        <v>375117</v>
      </c>
      <c r="D112" s="273">
        <v>364913</v>
      </c>
      <c r="E112" s="273">
        <v>362013</v>
      </c>
      <c r="F112" s="273">
        <v>316301</v>
      </c>
      <c r="G112" s="273">
        <v>329662</v>
      </c>
      <c r="H112" s="273">
        <v>285249</v>
      </c>
      <c r="I112" s="273">
        <v>209503</v>
      </c>
      <c r="J112" s="273">
        <v>205495</v>
      </c>
      <c r="K112" s="273">
        <v>201077</v>
      </c>
      <c r="L112" s="273">
        <v>232487</v>
      </c>
      <c r="M112" s="273">
        <v>654270</v>
      </c>
      <c r="N112" s="273">
        <v>635455</v>
      </c>
      <c r="O112" s="273">
        <v>593005</v>
      </c>
      <c r="P112" s="273">
        <v>609473</v>
      </c>
      <c r="Q112" s="273">
        <v>563874</v>
      </c>
      <c r="R112" s="273">
        <v>440074</v>
      </c>
      <c r="S112" s="273">
        <v>448010</v>
      </c>
      <c r="T112" s="273">
        <v>490634</v>
      </c>
      <c r="U112" s="273">
        <v>515847</v>
      </c>
      <c r="V112" s="273">
        <v>526509</v>
      </c>
      <c r="W112" s="273">
        <v>546824</v>
      </c>
      <c r="X112" s="273">
        <v>521169</v>
      </c>
    </row>
    <row r="113" spans="1:24" ht="14.25" thickBot="1" x14ac:dyDescent="0.3">
      <c r="A113" s="225" t="s">
        <v>26</v>
      </c>
      <c r="B113" s="275">
        <v>540379</v>
      </c>
      <c r="C113" s="275">
        <v>541546</v>
      </c>
      <c r="D113" s="275">
        <v>540676</v>
      </c>
      <c r="E113" s="275">
        <v>560562</v>
      </c>
      <c r="F113" s="275">
        <v>769020</v>
      </c>
      <c r="G113" s="275">
        <v>755833</v>
      </c>
      <c r="H113" s="275">
        <v>740346</v>
      </c>
      <c r="I113" s="275">
        <v>703092</v>
      </c>
      <c r="J113" s="275">
        <v>700664</v>
      </c>
      <c r="K113" s="275">
        <v>721057</v>
      </c>
      <c r="L113" s="275">
        <v>719842</v>
      </c>
      <c r="M113" s="275">
        <v>724565</v>
      </c>
      <c r="N113" s="275">
        <v>718709</v>
      </c>
      <c r="O113" s="275">
        <v>720888</v>
      </c>
      <c r="P113" s="275">
        <v>676819</v>
      </c>
      <c r="Q113" s="275">
        <v>684503</v>
      </c>
      <c r="R113" s="275">
        <v>741089</v>
      </c>
      <c r="S113" s="275">
        <v>747251</v>
      </c>
      <c r="T113" s="275">
        <v>738837</v>
      </c>
      <c r="U113" s="275">
        <v>863693</v>
      </c>
      <c r="V113" s="275">
        <v>864452</v>
      </c>
      <c r="W113" s="275">
        <v>765392</v>
      </c>
      <c r="X113" s="275">
        <v>766797</v>
      </c>
    </row>
    <row r="114" spans="1:24" ht="14.25" thickBot="1" x14ac:dyDescent="0.3">
      <c r="A114" s="224" t="s">
        <v>27</v>
      </c>
      <c r="B114" s="273">
        <v>480625</v>
      </c>
      <c r="C114" s="273">
        <v>470632</v>
      </c>
      <c r="D114" s="273">
        <v>475845</v>
      </c>
      <c r="E114" s="273">
        <v>461549</v>
      </c>
      <c r="F114" s="273">
        <v>291325</v>
      </c>
      <c r="G114" s="273">
        <v>282567</v>
      </c>
      <c r="H114" s="273">
        <v>264246</v>
      </c>
      <c r="I114" s="273">
        <v>331585</v>
      </c>
      <c r="J114" s="273">
        <v>349409</v>
      </c>
      <c r="K114" s="273">
        <v>325775</v>
      </c>
      <c r="L114" s="273">
        <v>335064</v>
      </c>
      <c r="M114" s="273">
        <v>317475</v>
      </c>
      <c r="N114" s="273">
        <v>375457</v>
      </c>
      <c r="O114" s="273">
        <v>371541</v>
      </c>
      <c r="P114" s="273">
        <v>420633</v>
      </c>
      <c r="Q114" s="273">
        <v>357651</v>
      </c>
      <c r="R114" s="273">
        <v>288185</v>
      </c>
      <c r="S114" s="273">
        <v>287635</v>
      </c>
      <c r="T114" s="273">
        <v>300675</v>
      </c>
      <c r="U114" s="273">
        <v>278768</v>
      </c>
      <c r="V114" s="273">
        <v>305361</v>
      </c>
      <c r="W114" s="273">
        <v>414106</v>
      </c>
      <c r="X114" s="273">
        <v>406648</v>
      </c>
    </row>
    <row r="115" spans="1:24" ht="14.25" thickBot="1" x14ac:dyDescent="0.3">
      <c r="A115" s="225" t="s">
        <v>265</v>
      </c>
      <c r="B115" s="276">
        <v>4655374</v>
      </c>
      <c r="C115" s="276">
        <v>4736666</v>
      </c>
      <c r="D115" s="276">
        <v>4639120</v>
      </c>
      <c r="E115" s="276">
        <v>4734835</v>
      </c>
      <c r="F115" s="276">
        <v>5116294</v>
      </c>
      <c r="G115" s="276">
        <v>5129868</v>
      </c>
      <c r="H115" s="276">
        <v>4828529</v>
      </c>
      <c r="I115" s="276">
        <v>4941364</v>
      </c>
      <c r="J115" s="276">
        <v>5422818</v>
      </c>
      <c r="K115" s="276">
        <v>5350411</v>
      </c>
      <c r="L115" s="276">
        <v>5428314</v>
      </c>
      <c r="M115" s="276">
        <v>6322702</v>
      </c>
      <c r="N115" s="276">
        <v>6788601</v>
      </c>
      <c r="O115" s="276">
        <v>7299798</v>
      </c>
      <c r="P115" s="276">
        <v>6515668</v>
      </c>
      <c r="Q115" s="276">
        <v>6826247</v>
      </c>
      <c r="R115" s="276">
        <v>6798930</v>
      </c>
      <c r="S115" s="276">
        <v>7134542</v>
      </c>
      <c r="T115" s="276">
        <v>7136838</v>
      </c>
      <c r="U115" s="276">
        <v>7362468</v>
      </c>
      <c r="V115" s="276">
        <v>7606598</v>
      </c>
      <c r="W115" s="276">
        <v>7503718</v>
      </c>
      <c r="X115" s="276">
        <v>7450386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49510</v>
      </c>
      <c r="C118" s="273">
        <v>34952</v>
      </c>
      <c r="D118" s="273">
        <v>62046</v>
      </c>
      <c r="E118" s="273">
        <v>53586</v>
      </c>
      <c r="F118" s="273">
        <v>35000</v>
      </c>
      <c r="G118" s="273">
        <v>43307</v>
      </c>
      <c r="H118" s="273">
        <v>36000</v>
      </c>
      <c r="I118" s="273">
        <v>44805</v>
      </c>
      <c r="J118" s="273">
        <v>162350</v>
      </c>
      <c r="K118" s="273">
        <v>83468</v>
      </c>
      <c r="L118" s="273">
        <v>59623</v>
      </c>
      <c r="M118" s="273">
        <v>507235</v>
      </c>
      <c r="N118" s="273">
        <v>654170</v>
      </c>
      <c r="O118" s="273">
        <v>894215</v>
      </c>
      <c r="P118" s="273">
        <v>554484</v>
      </c>
      <c r="Q118" s="273">
        <v>345090</v>
      </c>
      <c r="R118" s="273">
        <v>92081</v>
      </c>
      <c r="S118" s="273">
        <v>24685</v>
      </c>
      <c r="T118" s="273">
        <v>21272</v>
      </c>
      <c r="U118" s="273">
        <v>19580</v>
      </c>
      <c r="V118" s="273">
        <v>6000</v>
      </c>
      <c r="W118" s="273">
        <v>11500</v>
      </c>
      <c r="X118" s="273">
        <v>38558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694293</v>
      </c>
      <c r="C120" s="273">
        <v>673687</v>
      </c>
      <c r="D120" s="273">
        <v>614065</v>
      </c>
      <c r="E120" s="273">
        <v>646935</v>
      </c>
      <c r="F120" s="273">
        <v>923313</v>
      </c>
      <c r="G120" s="273">
        <v>843900</v>
      </c>
      <c r="H120" s="273">
        <v>668812</v>
      </c>
      <c r="I120" s="273">
        <v>606823</v>
      </c>
      <c r="J120" s="273">
        <v>794596</v>
      </c>
      <c r="K120" s="273">
        <v>675301</v>
      </c>
      <c r="L120" s="273">
        <v>812049</v>
      </c>
      <c r="M120" s="273">
        <v>964759</v>
      </c>
      <c r="N120" s="273">
        <v>1054514</v>
      </c>
      <c r="O120" s="273">
        <v>1293716</v>
      </c>
      <c r="P120" s="273">
        <v>972241</v>
      </c>
      <c r="Q120" s="273">
        <v>1195636</v>
      </c>
      <c r="R120" s="273">
        <v>1110311</v>
      </c>
      <c r="S120" s="273">
        <v>1251273</v>
      </c>
      <c r="T120" s="273">
        <v>1427808</v>
      </c>
      <c r="U120" s="273">
        <v>1366303</v>
      </c>
      <c r="V120" s="273">
        <v>1377563</v>
      </c>
      <c r="W120" s="273">
        <v>1102191</v>
      </c>
      <c r="X120" s="273">
        <v>1433793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398678</v>
      </c>
      <c r="C123" s="275">
        <v>607181</v>
      </c>
      <c r="D123" s="275">
        <v>451197</v>
      </c>
      <c r="E123" s="275">
        <v>414009</v>
      </c>
      <c r="F123" s="275">
        <v>440470</v>
      </c>
      <c r="G123" s="275">
        <v>715147</v>
      </c>
      <c r="H123" s="275">
        <v>510424</v>
      </c>
      <c r="I123" s="275">
        <v>531434</v>
      </c>
      <c r="J123" s="275">
        <v>544292</v>
      </c>
      <c r="K123" s="275">
        <v>864064</v>
      </c>
      <c r="L123" s="275">
        <v>661665</v>
      </c>
      <c r="M123" s="275">
        <v>667135</v>
      </c>
      <c r="N123" s="275">
        <v>722647</v>
      </c>
      <c r="O123" s="275">
        <v>1220883</v>
      </c>
      <c r="P123" s="275">
        <v>781876</v>
      </c>
      <c r="Q123" s="275">
        <v>801584</v>
      </c>
      <c r="R123" s="275">
        <v>824525</v>
      </c>
      <c r="S123" s="275">
        <v>1415750</v>
      </c>
      <c r="T123" s="275">
        <v>916892</v>
      </c>
      <c r="U123" s="275">
        <v>833792</v>
      </c>
      <c r="V123" s="275">
        <v>870863</v>
      </c>
      <c r="W123" s="275">
        <v>1571420</v>
      </c>
      <c r="X123" s="275">
        <v>800500</v>
      </c>
    </row>
    <row r="124" spans="1:24" ht="14.25" thickBot="1" x14ac:dyDescent="0.3">
      <c r="A124" s="224" t="s">
        <v>268</v>
      </c>
      <c r="B124" s="273">
        <v>1142481</v>
      </c>
      <c r="C124" s="273">
        <v>1315820</v>
      </c>
      <c r="D124" s="273">
        <v>1127308</v>
      </c>
      <c r="E124" s="273">
        <v>1114530</v>
      </c>
      <c r="F124" s="273">
        <v>1398783</v>
      </c>
      <c r="G124" s="273">
        <v>1602354</v>
      </c>
      <c r="H124" s="273">
        <v>1215236</v>
      </c>
      <c r="I124" s="273">
        <v>1183062</v>
      </c>
      <c r="J124" s="273">
        <v>1501238</v>
      </c>
      <c r="K124" s="273">
        <v>1622833</v>
      </c>
      <c r="L124" s="273">
        <v>1533337</v>
      </c>
      <c r="M124" s="273">
        <v>2139129</v>
      </c>
      <c r="N124" s="273">
        <v>2431331</v>
      </c>
      <c r="O124" s="273">
        <v>3408814</v>
      </c>
      <c r="P124" s="273">
        <v>2308601</v>
      </c>
      <c r="Q124" s="273">
        <v>2342310</v>
      </c>
      <c r="R124" s="273">
        <v>2026917</v>
      </c>
      <c r="S124" s="273">
        <v>2691708</v>
      </c>
      <c r="T124" s="273">
        <v>2365972</v>
      </c>
      <c r="U124" s="273">
        <v>2219675</v>
      </c>
      <c r="V124" s="273">
        <v>2254426</v>
      </c>
      <c r="W124" s="273">
        <v>2685111</v>
      </c>
      <c r="X124" s="273">
        <v>2272851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99559</v>
      </c>
      <c r="G125" s="275">
        <v>92889</v>
      </c>
      <c r="H125" s="275">
        <v>85989</v>
      </c>
      <c r="I125" s="275">
        <v>93302</v>
      </c>
      <c r="J125" s="275">
        <v>74316</v>
      </c>
      <c r="K125" s="275">
        <v>75488</v>
      </c>
      <c r="L125" s="275">
        <v>74384</v>
      </c>
      <c r="M125" s="275">
        <v>93815</v>
      </c>
      <c r="N125" s="275">
        <v>78634</v>
      </c>
      <c r="O125" s="275">
        <v>78276</v>
      </c>
      <c r="P125" s="275">
        <v>76965</v>
      </c>
      <c r="Q125" s="275">
        <v>114390</v>
      </c>
      <c r="R125" s="275">
        <v>114624</v>
      </c>
      <c r="S125" s="275">
        <v>114271</v>
      </c>
      <c r="T125" s="275">
        <v>114353</v>
      </c>
      <c r="U125" s="275">
        <v>126265</v>
      </c>
      <c r="V125" s="275">
        <v>118994</v>
      </c>
      <c r="W125" s="275">
        <v>109773</v>
      </c>
      <c r="X125" s="275">
        <v>119185</v>
      </c>
    </row>
    <row r="126" spans="1:24" ht="14.25" thickBot="1" x14ac:dyDescent="0.3">
      <c r="A126" s="224" t="s">
        <v>33</v>
      </c>
      <c r="B126" s="273">
        <v>9415</v>
      </c>
      <c r="C126" s="273">
        <v>18279</v>
      </c>
      <c r="D126" s="273">
        <v>21267</v>
      </c>
      <c r="E126" s="273">
        <v>32764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1151896</v>
      </c>
      <c r="C127" s="275">
        <v>1334099</v>
      </c>
      <c r="D127" s="275">
        <v>1148575</v>
      </c>
      <c r="E127" s="275">
        <v>1147294</v>
      </c>
      <c r="F127" s="275">
        <v>1498342</v>
      </c>
      <c r="G127" s="275">
        <v>1695243</v>
      </c>
      <c r="H127" s="275">
        <v>1301225</v>
      </c>
      <c r="I127" s="275">
        <v>1276364</v>
      </c>
      <c r="J127" s="275">
        <v>1575554</v>
      </c>
      <c r="K127" s="275">
        <v>1698321</v>
      </c>
      <c r="L127" s="275">
        <v>1607721</v>
      </c>
      <c r="M127" s="275">
        <v>2232944</v>
      </c>
      <c r="N127" s="275">
        <v>2509965</v>
      </c>
      <c r="O127" s="275">
        <v>3487090</v>
      </c>
      <c r="P127" s="275">
        <v>2385566</v>
      </c>
      <c r="Q127" s="275">
        <v>2456700</v>
      </c>
      <c r="R127" s="275">
        <v>2141541</v>
      </c>
      <c r="S127" s="275">
        <v>2805979</v>
      </c>
      <c r="T127" s="275">
        <v>2480325</v>
      </c>
      <c r="U127" s="275">
        <v>2345940</v>
      </c>
      <c r="V127" s="275">
        <v>2373420</v>
      </c>
      <c r="W127" s="275">
        <v>2794884</v>
      </c>
      <c r="X127" s="275">
        <v>2392036</v>
      </c>
    </row>
    <row r="128" spans="1:24" ht="14.25" thickBot="1" x14ac:dyDescent="0.3">
      <c r="A128" s="224" t="s">
        <v>34</v>
      </c>
      <c r="B128" s="273">
        <v>3503478</v>
      </c>
      <c r="C128" s="273">
        <v>3402567</v>
      </c>
      <c r="D128" s="273">
        <v>3490545</v>
      </c>
      <c r="E128" s="273">
        <v>3587541</v>
      </c>
      <c r="F128" s="273">
        <v>3617952</v>
      </c>
      <c r="G128" s="273">
        <v>3434625</v>
      </c>
      <c r="H128" s="273">
        <v>3527304</v>
      </c>
      <c r="I128" s="273">
        <v>3665000</v>
      </c>
      <c r="J128" s="273">
        <v>3847264</v>
      </c>
      <c r="K128" s="273">
        <v>3652090</v>
      </c>
      <c r="L128" s="273">
        <v>3820593</v>
      </c>
      <c r="M128" s="273">
        <v>4089758</v>
      </c>
      <c r="N128" s="273">
        <v>4278636</v>
      </c>
      <c r="O128" s="273">
        <v>3812708</v>
      </c>
      <c r="P128" s="273">
        <v>4130102</v>
      </c>
      <c r="Q128" s="273">
        <v>4369547</v>
      </c>
      <c r="R128" s="273">
        <v>4657389</v>
      </c>
      <c r="S128" s="273">
        <v>4328563</v>
      </c>
      <c r="T128" s="273">
        <v>4656513</v>
      </c>
      <c r="U128" s="273">
        <v>5016528</v>
      </c>
      <c r="V128" s="273">
        <v>5233178</v>
      </c>
      <c r="W128" s="273">
        <v>4708834</v>
      </c>
      <c r="X128" s="273">
        <v>5058350</v>
      </c>
    </row>
    <row r="129" spans="1:24" ht="14.25" thickBot="1" x14ac:dyDescent="0.3">
      <c r="A129" s="225" t="s">
        <v>35</v>
      </c>
      <c r="B129" s="276">
        <v>4655374</v>
      </c>
      <c r="C129" s="276">
        <v>4736666</v>
      </c>
      <c r="D129" s="276">
        <v>4639120</v>
      </c>
      <c r="E129" s="276">
        <v>4734835</v>
      </c>
      <c r="F129" s="276">
        <v>5116294</v>
      </c>
      <c r="G129" s="276">
        <v>5129868</v>
      </c>
      <c r="H129" s="276">
        <v>4828529</v>
      </c>
      <c r="I129" s="276">
        <v>4941364</v>
      </c>
      <c r="J129" s="276">
        <v>5422818</v>
      </c>
      <c r="K129" s="276">
        <v>5350411</v>
      </c>
      <c r="L129" s="276">
        <v>5428314</v>
      </c>
      <c r="M129" s="276">
        <v>6322702</v>
      </c>
      <c r="N129" s="276">
        <v>6788601</v>
      </c>
      <c r="O129" s="276">
        <v>7299798</v>
      </c>
      <c r="P129" s="276">
        <v>6515668</v>
      </c>
      <c r="Q129" s="276">
        <v>6826247</v>
      </c>
      <c r="R129" s="276">
        <v>6798930</v>
      </c>
      <c r="S129" s="276">
        <v>7134542</v>
      </c>
      <c r="T129" s="276">
        <v>7136838</v>
      </c>
      <c r="U129" s="276">
        <v>7362468</v>
      </c>
      <c r="V129" s="276">
        <v>7606598</v>
      </c>
      <c r="W129" s="276">
        <v>7503718</v>
      </c>
      <c r="X129" s="276">
        <v>7450386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3.49</v>
      </c>
      <c r="C132" s="68">
        <v>1.49</v>
      </c>
      <c r="D132" s="68">
        <v>9.99</v>
      </c>
      <c r="E132" s="68">
        <v>11.54</v>
      </c>
      <c r="F132" s="68">
        <v>9.24</v>
      </c>
    </row>
    <row r="133" spans="1:24" ht="14.25" thickBot="1" x14ac:dyDescent="0.3">
      <c r="A133" s="225" t="s">
        <v>37</v>
      </c>
      <c r="B133" s="274">
        <v>-1.85</v>
      </c>
      <c r="C133" s="274">
        <v>-1.89</v>
      </c>
      <c r="D133" s="274">
        <v>-9.65</v>
      </c>
      <c r="E133" s="274">
        <v>-1.98</v>
      </c>
      <c r="F133" s="274">
        <v>0.69</v>
      </c>
    </row>
    <row r="134" spans="1:24" ht="14.25" thickBot="1" x14ac:dyDescent="0.3">
      <c r="A134" s="224" t="s">
        <v>38</v>
      </c>
      <c r="B134" s="68">
        <v>-1.55</v>
      </c>
      <c r="C134" s="68">
        <v>-2.12</v>
      </c>
      <c r="D134" s="68">
        <v>1.23</v>
      </c>
      <c r="E134" s="68">
        <v>-5.05</v>
      </c>
      <c r="F134" s="68">
        <v>-6.88</v>
      </c>
    </row>
    <row r="135" spans="1:24" ht="14.25" thickBot="1" x14ac:dyDescent="0.3">
      <c r="A135" s="225" t="s">
        <v>270</v>
      </c>
      <c r="B135" s="274">
        <v>1.64</v>
      </c>
      <c r="C135" s="274">
        <v>-0.4</v>
      </c>
      <c r="D135" s="274">
        <v>0.34</v>
      </c>
      <c r="E135" s="274">
        <v>9.56</v>
      </c>
      <c r="F135" s="274">
        <v>9.93</v>
      </c>
    </row>
    <row r="136" spans="1:24" ht="14.25" thickBot="1" x14ac:dyDescent="0.3">
      <c r="A136" s="229" t="s">
        <v>39</v>
      </c>
      <c r="B136" s="72">
        <v>0.09</v>
      </c>
      <c r="C136" s="72">
        <v>-2.5299999999999998</v>
      </c>
      <c r="D136" s="72">
        <v>1.57</v>
      </c>
      <c r="E136" s="72">
        <v>4.51</v>
      </c>
      <c r="F136" s="72">
        <v>3.06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2.5</v>
      </c>
      <c r="C140" s="68">
        <v>3</v>
      </c>
      <c r="D140" s="68">
        <v>4.5</v>
      </c>
      <c r="E140" s="68">
        <v>5</v>
      </c>
      <c r="F140" s="68">
        <v>6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0.83333333333333337</v>
      </c>
      <c r="C142" s="234">
        <f>IF(C140&lt;&gt;"無",IF(ISNA(HLOOKUP(C139,$B$64:$F$69,6,FALSE)),"",C140/HLOOKUP(C139,$B$64:$F$69,6,FALSE)),"")</f>
        <v>0.82644628099173556</v>
      </c>
      <c r="D142" s="234">
        <f>IF(D140&lt;&gt;"無",IF(ISNA(HLOOKUP(D139,$B$64:$F$69,6,FALSE)),"",D140/HLOOKUP(D139,$B$64:$F$69,6,FALSE)),"")</f>
        <v>0.74750830564784043</v>
      </c>
      <c r="E142" s="234">
        <f>IF(E140&lt;&gt;"無",IF(ISNA(HLOOKUP(E139,$B$64:$F$69,6,FALSE)),"",E140/HLOOKUP(E139,$B$64:$F$69,6,FALSE)),"")</f>
        <v>0.70921985815602828</v>
      </c>
      <c r="F142" s="234">
        <f>IF(F140&lt;&gt;"無",IF(ISNA(HLOOKUP(F139,$B$64:$F$69,6,FALSE)),"",F140/HLOOKUP(F139,$B$64:$F$69,6,FALSE)),"")</f>
        <v>0.68337129840546706</v>
      </c>
    </row>
    <row r="143" spans="1:24" x14ac:dyDescent="0.25">
      <c r="A143" s="233" t="s">
        <v>216</v>
      </c>
      <c r="B143" s="234">
        <f>IF(OR(B140=0,B140="無"),"",B135/B140)</f>
        <v>0.65599999999999992</v>
      </c>
      <c r="C143" s="234">
        <f>IF(OR(C140=0,C140="無"),"",C135/C140)</f>
        <v>-0.13333333333333333</v>
      </c>
      <c r="D143" s="234">
        <f>IF(OR(D140=0,D140="無"),"",D135/D140)</f>
        <v>7.5555555555555556E-2</v>
      </c>
      <c r="E143" s="234">
        <f>IF(OR(E140=0,E140="無"),"",E135/E140)</f>
        <v>1.9120000000000001</v>
      </c>
      <c r="F143" s="234">
        <f>IF(OR(F140=0,F140="無"),"",F135/F140)</f>
        <v>1.655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28.7</v>
      </c>
      <c r="C146" s="68">
        <v>26.22</v>
      </c>
      <c r="D146" s="68">
        <v>23.66</v>
      </c>
      <c r="E146" s="68">
        <v>23.99</v>
      </c>
      <c r="F146" s="68">
        <v>23.83</v>
      </c>
      <c r="G146" s="68">
        <v>25.62</v>
      </c>
      <c r="H146" s="68">
        <v>23.83</v>
      </c>
      <c r="I146" s="68">
        <v>22.84</v>
      </c>
      <c r="J146" s="68">
        <v>28.6</v>
      </c>
      <c r="K146" s="68">
        <v>27.64</v>
      </c>
      <c r="L146" s="68">
        <v>25.9</v>
      </c>
      <c r="M146" s="68">
        <v>27.1</v>
      </c>
      <c r="N146" s="68">
        <v>29.04</v>
      </c>
      <c r="O146" s="68">
        <v>25.24</v>
      </c>
      <c r="P146" s="68">
        <v>26.32</v>
      </c>
      <c r="Q146" s="68">
        <v>26.61</v>
      </c>
      <c r="R146" s="68">
        <v>30.4</v>
      </c>
      <c r="S146" s="68">
        <v>27.42</v>
      </c>
      <c r="T146" s="68">
        <v>27.27</v>
      </c>
      <c r="U146" s="68">
        <v>28.32</v>
      </c>
      <c r="V146" s="68">
        <v>29.11</v>
      </c>
      <c r="W146" s="68">
        <v>26.77</v>
      </c>
      <c r="X146" s="68">
        <v>25.78</v>
      </c>
    </row>
    <row r="147" spans="1:24" s="93" customFormat="1" ht="14.25" thickBot="1" x14ac:dyDescent="0.3">
      <c r="A147" s="225" t="s">
        <v>19</v>
      </c>
      <c r="B147" s="274">
        <v>6.02</v>
      </c>
      <c r="C147" s="274">
        <v>6.06</v>
      </c>
      <c r="D147" s="274">
        <v>5.55</v>
      </c>
      <c r="E147" s="274">
        <v>4.33</v>
      </c>
      <c r="F147" s="274">
        <v>4.66</v>
      </c>
      <c r="G147" s="274">
        <v>6.27</v>
      </c>
      <c r="H147" s="274">
        <v>7.5</v>
      </c>
      <c r="I147" s="274">
        <v>6.93</v>
      </c>
      <c r="J147" s="274">
        <v>9.93</v>
      </c>
      <c r="K147" s="274">
        <v>10.33</v>
      </c>
      <c r="L147" s="274">
        <v>9.81</v>
      </c>
      <c r="M147" s="274">
        <v>9.4499999999999993</v>
      </c>
      <c r="N147" s="274">
        <v>11.59</v>
      </c>
      <c r="O147" s="274">
        <v>8.42</v>
      </c>
      <c r="P147" s="274">
        <v>9.94</v>
      </c>
      <c r="Q147" s="274">
        <v>11.45</v>
      </c>
      <c r="R147" s="274">
        <v>13.52</v>
      </c>
      <c r="S147" s="274">
        <v>11.21</v>
      </c>
      <c r="T147" s="274">
        <v>12.3</v>
      </c>
      <c r="U147" s="274">
        <v>11.94</v>
      </c>
      <c r="V147" s="274">
        <v>9.4700000000000006</v>
      </c>
      <c r="W147" s="274">
        <v>9.5399999999999991</v>
      </c>
      <c r="X147" s="274">
        <v>9.83</v>
      </c>
    </row>
    <row r="148" spans="1:24" s="93" customFormat="1" ht="14.25" thickBot="1" x14ac:dyDescent="0.3">
      <c r="A148" s="224" t="s">
        <v>41</v>
      </c>
      <c r="B148" s="68">
        <v>6.95</v>
      </c>
      <c r="C148" s="68">
        <v>8.19</v>
      </c>
      <c r="D148" s="68">
        <v>6.61</v>
      </c>
      <c r="E148" s="68">
        <v>6.37</v>
      </c>
      <c r="F148" s="68">
        <v>6.19</v>
      </c>
      <c r="G148" s="68">
        <v>6.98</v>
      </c>
      <c r="H148" s="68">
        <v>8.48</v>
      </c>
      <c r="I148" s="68">
        <v>9.39</v>
      </c>
      <c r="J148" s="68">
        <v>11</v>
      </c>
      <c r="K148" s="68">
        <v>9.89</v>
      </c>
      <c r="L148" s="68">
        <v>11.12</v>
      </c>
      <c r="M148" s="68">
        <v>12.36</v>
      </c>
      <c r="N148" s="68">
        <v>11.52</v>
      </c>
      <c r="O148" s="68">
        <v>8.6</v>
      </c>
      <c r="P148" s="68">
        <v>12.16</v>
      </c>
      <c r="Q148" s="68">
        <v>11.71</v>
      </c>
      <c r="R148" s="68">
        <v>13.12</v>
      </c>
      <c r="S148" s="68">
        <v>11.54</v>
      </c>
      <c r="T148" s="68">
        <v>12.15</v>
      </c>
      <c r="U148" s="68">
        <v>12.64</v>
      </c>
      <c r="V148" s="68">
        <v>9.2899999999999991</v>
      </c>
      <c r="W148" s="68">
        <v>10.19</v>
      </c>
      <c r="X148" s="68">
        <v>10.6</v>
      </c>
    </row>
    <row r="149" spans="1:24" s="93" customFormat="1" ht="14.25" thickBot="1" x14ac:dyDescent="0.3">
      <c r="A149" s="225" t="s">
        <v>13</v>
      </c>
      <c r="B149" s="73">
        <v>6.18</v>
      </c>
      <c r="C149" s="73">
        <v>7.32</v>
      </c>
      <c r="D149" s="73">
        <v>5.9</v>
      </c>
      <c r="E149" s="73">
        <v>5.62</v>
      </c>
      <c r="F149" s="73">
        <v>5.24</v>
      </c>
      <c r="G149" s="73">
        <v>5.73</v>
      </c>
      <c r="H149" s="73">
        <v>6.34</v>
      </c>
      <c r="I149" s="73">
        <v>7.21</v>
      </c>
      <c r="J149" s="73">
        <v>9.11</v>
      </c>
      <c r="K149" s="73">
        <v>8.15</v>
      </c>
      <c r="L149" s="73">
        <v>9.3800000000000008</v>
      </c>
      <c r="M149" s="73">
        <v>10.87</v>
      </c>
      <c r="N149" s="73">
        <v>9.42</v>
      </c>
      <c r="O149" s="73">
        <v>7.35</v>
      </c>
      <c r="P149" s="73">
        <v>9.7799999999999994</v>
      </c>
      <c r="Q149" s="73">
        <v>9.69</v>
      </c>
      <c r="R149" s="73">
        <v>10.59</v>
      </c>
      <c r="S149" s="73">
        <v>9.82</v>
      </c>
      <c r="T149" s="73">
        <v>11.06</v>
      </c>
      <c r="U149" s="73">
        <v>11.54</v>
      </c>
      <c r="V149" s="73">
        <v>8.0399999999999991</v>
      </c>
      <c r="W149" s="73">
        <v>9.3699999999999992</v>
      </c>
      <c r="X149" s="73">
        <v>9.61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25.41</v>
      </c>
      <c r="C152" s="68">
        <v>23.95</v>
      </c>
      <c r="D152" s="68">
        <v>27.2</v>
      </c>
      <c r="E152" s="68">
        <v>26.78</v>
      </c>
      <c r="F152" s="68">
        <v>28.28</v>
      </c>
    </row>
    <row r="153" spans="1:24" s="93" customFormat="1" ht="14.25" thickBot="1" x14ac:dyDescent="0.3">
      <c r="A153" s="225" t="s">
        <v>19</v>
      </c>
      <c r="B153" s="274">
        <v>5.45</v>
      </c>
      <c r="C153" s="274">
        <v>6.44</v>
      </c>
      <c r="D153" s="274">
        <v>9.85</v>
      </c>
      <c r="E153" s="274">
        <v>10.4</v>
      </c>
      <c r="F153" s="274">
        <v>12.23</v>
      </c>
    </row>
    <row r="154" spans="1:24" s="93" customFormat="1" ht="14.25" thickBot="1" x14ac:dyDescent="0.3">
      <c r="A154" s="224" t="s">
        <v>41</v>
      </c>
      <c r="B154" s="68">
        <v>7.01</v>
      </c>
      <c r="C154" s="68">
        <v>7.89</v>
      </c>
      <c r="D154" s="68">
        <v>11.16</v>
      </c>
      <c r="E154" s="68">
        <v>11.09</v>
      </c>
      <c r="F154" s="68">
        <v>12.35</v>
      </c>
    </row>
    <row r="155" spans="1:24" s="93" customFormat="1" ht="14.25" thickBot="1" x14ac:dyDescent="0.3">
      <c r="A155" s="225" t="s">
        <v>13</v>
      </c>
      <c r="B155" s="73">
        <v>6.24</v>
      </c>
      <c r="C155" s="73">
        <v>6.21</v>
      </c>
      <c r="D155" s="73">
        <v>9.4600000000000009</v>
      </c>
      <c r="E155" s="73">
        <v>9.1300000000000008</v>
      </c>
      <c r="F155" s="73">
        <v>10.79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1.41</v>
      </c>
      <c r="C158" s="68">
        <v>2.04</v>
      </c>
      <c r="D158" s="68">
        <v>1.83</v>
      </c>
      <c r="E158" s="68">
        <v>1.65</v>
      </c>
      <c r="F158" s="68">
        <v>1.5</v>
      </c>
      <c r="G158" s="68">
        <v>1.59</v>
      </c>
      <c r="H158" s="68">
        <v>2.1800000000000002</v>
      </c>
      <c r="I158" s="68">
        <v>2.67</v>
      </c>
      <c r="J158" s="68">
        <v>2.7</v>
      </c>
      <c r="K158" s="68">
        <v>2.73</v>
      </c>
      <c r="L158" s="68">
        <v>3.64</v>
      </c>
      <c r="M158" s="68">
        <v>4.04</v>
      </c>
      <c r="N158" s="68">
        <v>3.04</v>
      </c>
      <c r="O158" s="68">
        <v>2.2000000000000002</v>
      </c>
      <c r="P158" s="68">
        <v>3.53</v>
      </c>
      <c r="Q158" s="68">
        <v>3.82</v>
      </c>
      <c r="R158" s="68">
        <v>3.58</v>
      </c>
      <c r="S158" s="68">
        <v>3.38</v>
      </c>
      <c r="T158" s="68">
        <v>4.46</v>
      </c>
      <c r="U158" s="68">
        <v>4.18</v>
      </c>
      <c r="V158" s="68">
        <v>2.19</v>
      </c>
      <c r="W158" s="68">
        <v>2.9</v>
      </c>
      <c r="X158" s="68">
        <v>3.42</v>
      </c>
    </row>
    <row r="159" spans="1:24" s="93" customFormat="1" ht="14.25" thickBot="1" x14ac:dyDescent="0.3">
      <c r="A159" s="225" t="s">
        <v>45</v>
      </c>
      <c r="B159" s="73">
        <v>1.87</v>
      </c>
      <c r="C159" s="73">
        <v>2.77</v>
      </c>
      <c r="D159" s="73">
        <v>2.48</v>
      </c>
      <c r="E159" s="73">
        <v>2.1800000000000002</v>
      </c>
      <c r="F159" s="73">
        <v>2.04</v>
      </c>
      <c r="G159" s="73">
        <v>2.31</v>
      </c>
      <c r="H159" s="73">
        <v>3.1</v>
      </c>
      <c r="I159" s="73">
        <v>3.62</v>
      </c>
      <c r="J159" s="73">
        <v>3.71</v>
      </c>
      <c r="K159" s="73">
        <v>3.91</v>
      </c>
      <c r="L159" s="73">
        <v>5.23</v>
      </c>
      <c r="M159" s="73">
        <v>5.99</v>
      </c>
      <c r="N159" s="73">
        <v>4.7300000000000004</v>
      </c>
      <c r="O159" s="73">
        <v>3.78</v>
      </c>
      <c r="P159" s="73">
        <v>6.1</v>
      </c>
      <c r="Q159" s="73">
        <v>5.95</v>
      </c>
      <c r="R159" s="73">
        <v>5.38</v>
      </c>
      <c r="S159" s="73">
        <v>5.24</v>
      </c>
      <c r="T159" s="73">
        <v>7.08</v>
      </c>
      <c r="U159" s="73">
        <v>6.26</v>
      </c>
      <c r="V159" s="73">
        <v>3.19</v>
      </c>
      <c r="W159" s="73">
        <v>4.37</v>
      </c>
      <c r="X159" s="73">
        <v>5.2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6.24</v>
      </c>
      <c r="C162" s="68">
        <v>6.21</v>
      </c>
      <c r="D162" s="68">
        <v>9.4600000000000009</v>
      </c>
      <c r="E162" s="68">
        <v>9.1300000000000008</v>
      </c>
      <c r="F162" s="68">
        <v>10.79</v>
      </c>
    </row>
    <row r="163" spans="1:72" s="93" customFormat="1" ht="14.25" thickBot="1" x14ac:dyDescent="0.3">
      <c r="A163" s="225" t="s">
        <v>18</v>
      </c>
      <c r="B163" s="274">
        <v>1.0900000000000001</v>
      </c>
      <c r="C163" s="274">
        <v>1.28</v>
      </c>
      <c r="D163" s="274">
        <v>1.2</v>
      </c>
      <c r="E163" s="274">
        <v>1.36</v>
      </c>
      <c r="F163" s="274">
        <v>1.38</v>
      </c>
    </row>
    <row r="164" spans="1:72" s="93" customFormat="1" ht="14.25" thickBot="1" x14ac:dyDescent="0.3">
      <c r="A164" s="224" t="s">
        <v>15</v>
      </c>
      <c r="B164" s="68">
        <v>1.32</v>
      </c>
      <c r="C164" s="68">
        <v>1.35</v>
      </c>
      <c r="D164" s="68">
        <v>1.55</v>
      </c>
      <c r="E164" s="68">
        <v>1.56</v>
      </c>
      <c r="F164" s="68">
        <v>1.47</v>
      </c>
    </row>
    <row r="165" spans="1:72" s="93" customFormat="1" ht="14.25" thickBot="1" x14ac:dyDescent="0.3">
      <c r="A165" s="225" t="s">
        <v>45</v>
      </c>
      <c r="B165" s="73">
        <v>9.2100000000000009</v>
      </c>
      <c r="C165" s="73">
        <v>10.85</v>
      </c>
      <c r="D165" s="73">
        <v>18.53</v>
      </c>
      <c r="E165" s="73">
        <v>20</v>
      </c>
      <c r="F165" s="73">
        <v>23.42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67.16</v>
      </c>
      <c r="C168" s="68">
        <v>54.55</v>
      </c>
      <c r="D168" s="68">
        <v>52.63</v>
      </c>
      <c r="E168" s="68">
        <v>54.22</v>
      </c>
      <c r="F168" s="68">
        <v>49.72</v>
      </c>
      <c r="G168" s="68">
        <v>46.63</v>
      </c>
      <c r="H168" s="68">
        <v>38.630000000000003</v>
      </c>
      <c r="I168" s="68">
        <v>37.340000000000003</v>
      </c>
      <c r="J168" s="68">
        <v>42.86</v>
      </c>
      <c r="K168" s="68">
        <v>36.590000000000003</v>
      </c>
      <c r="L168" s="68">
        <v>35.57</v>
      </c>
      <c r="M168" s="68">
        <v>37.340000000000003</v>
      </c>
      <c r="N168" s="68">
        <v>40.909999999999997</v>
      </c>
      <c r="O168" s="68">
        <v>41.86</v>
      </c>
      <c r="P168" s="68">
        <v>36.44</v>
      </c>
      <c r="Q168" s="68">
        <v>32.03</v>
      </c>
      <c r="R168" s="68">
        <v>31.8</v>
      </c>
      <c r="S168" s="68">
        <v>30.41</v>
      </c>
      <c r="T168" s="68">
        <v>25.71</v>
      </c>
      <c r="U168" s="68">
        <v>30.41</v>
      </c>
      <c r="V168" s="68">
        <v>38.46</v>
      </c>
      <c r="W168" s="68">
        <v>34.619999999999997</v>
      </c>
      <c r="X168" s="68">
        <v>34.619999999999997</v>
      </c>
    </row>
    <row r="169" spans="1:72" s="93" customFormat="1" ht="14.25" thickBot="1" x14ac:dyDescent="0.3">
      <c r="A169" s="225" t="s">
        <v>17</v>
      </c>
      <c r="B169" s="274">
        <v>80.36</v>
      </c>
      <c r="C169" s="274">
        <v>72.58</v>
      </c>
      <c r="D169" s="274">
        <v>59.21</v>
      </c>
      <c r="E169" s="274">
        <v>55.21</v>
      </c>
      <c r="F169" s="274">
        <v>70.31</v>
      </c>
      <c r="G169" s="274">
        <v>111.11</v>
      </c>
      <c r="H169" s="274">
        <v>104.65</v>
      </c>
      <c r="I169" s="274">
        <v>81.819999999999993</v>
      </c>
      <c r="J169" s="274">
        <v>100</v>
      </c>
      <c r="K169" s="274">
        <v>88.24</v>
      </c>
      <c r="L169" s="274">
        <v>62.5</v>
      </c>
      <c r="M169" s="274">
        <v>56.25</v>
      </c>
      <c r="N169" s="274">
        <v>71.430000000000007</v>
      </c>
      <c r="O169" s="274">
        <v>89.11</v>
      </c>
      <c r="P169" s="274">
        <v>80.36</v>
      </c>
      <c r="Q169" s="274">
        <v>64.75</v>
      </c>
      <c r="R169" s="274">
        <v>75.63</v>
      </c>
      <c r="S169" s="274">
        <v>75.63</v>
      </c>
      <c r="T169" s="274">
        <v>64.290000000000006</v>
      </c>
      <c r="U169" s="274">
        <v>74.38</v>
      </c>
      <c r="V169" s="274">
        <v>115.38</v>
      </c>
      <c r="W169" s="274">
        <v>104.65</v>
      </c>
      <c r="X169" s="274">
        <v>84.11</v>
      </c>
    </row>
    <row r="170" spans="1:72" s="93" customFormat="1" ht="14.25" thickBot="1" x14ac:dyDescent="0.3">
      <c r="A170" s="224" t="s">
        <v>42</v>
      </c>
      <c r="B170" s="72">
        <v>147.52000000000001</v>
      </c>
      <c r="C170" s="72">
        <v>127.13</v>
      </c>
      <c r="D170" s="72">
        <v>111.84</v>
      </c>
      <c r="E170" s="72">
        <v>109.43</v>
      </c>
      <c r="F170" s="72">
        <v>120.04</v>
      </c>
      <c r="G170" s="72">
        <v>157.74</v>
      </c>
      <c r="H170" s="72">
        <v>143.28</v>
      </c>
      <c r="I170" s="72">
        <v>119.16</v>
      </c>
      <c r="J170" s="72">
        <v>142.86000000000001</v>
      </c>
      <c r="K170" s="72">
        <v>124.82</v>
      </c>
      <c r="L170" s="72">
        <v>98.07</v>
      </c>
      <c r="M170" s="72">
        <v>93.59</v>
      </c>
      <c r="N170" s="72">
        <v>112.34</v>
      </c>
      <c r="O170" s="72">
        <v>130.97</v>
      </c>
      <c r="P170" s="72">
        <v>116.79</v>
      </c>
      <c r="Q170" s="72">
        <v>96.78</v>
      </c>
      <c r="R170" s="72">
        <v>107.43</v>
      </c>
      <c r="S170" s="72">
        <v>106.04</v>
      </c>
      <c r="T170" s="72">
        <v>90</v>
      </c>
      <c r="U170" s="72">
        <v>104.79</v>
      </c>
      <c r="V170" s="72">
        <v>153.85</v>
      </c>
      <c r="W170" s="72">
        <v>139.27000000000001</v>
      </c>
      <c r="X170" s="72">
        <v>118.73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127.31</v>
      </c>
      <c r="C173" s="72">
        <v>44.68</v>
      </c>
      <c r="D173" s="72">
        <v>164.25</v>
      </c>
      <c r="E173" s="72">
        <v>161.47999999999999</v>
      </c>
      <c r="F173" s="72">
        <v>99.88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12.55</v>
      </c>
      <c r="C176" s="72">
        <v>15.44</v>
      </c>
      <c r="D176" s="72">
        <v>16.04</v>
      </c>
      <c r="E176" s="72">
        <v>15.17</v>
      </c>
      <c r="F176" s="72">
        <v>13.68</v>
      </c>
      <c r="G176" s="72">
        <v>13.01</v>
      </c>
      <c r="H176" s="72">
        <v>12.55</v>
      </c>
      <c r="I176" s="72">
        <v>13.31</v>
      </c>
      <c r="J176" s="72">
        <v>14.84</v>
      </c>
      <c r="K176" s="72">
        <v>13.91</v>
      </c>
      <c r="L176" s="72">
        <v>13.15</v>
      </c>
      <c r="M176" s="72">
        <v>13.56</v>
      </c>
      <c r="N176" s="72">
        <v>14.48</v>
      </c>
      <c r="O176" s="72">
        <v>15.23</v>
      </c>
      <c r="P176" s="72">
        <v>15.35</v>
      </c>
      <c r="Q176" s="72">
        <v>14.18</v>
      </c>
      <c r="R176" s="72">
        <v>13.33</v>
      </c>
      <c r="S176" s="72">
        <v>12.52</v>
      </c>
      <c r="T176" s="72">
        <v>11.56</v>
      </c>
      <c r="U176" s="72">
        <v>12.38</v>
      </c>
      <c r="V176" s="72">
        <v>12.89</v>
      </c>
      <c r="W176" s="72">
        <v>13.59</v>
      </c>
      <c r="X176" s="72">
        <v>14.42</v>
      </c>
      <c r="Y176" s="72">
        <v>14.06</v>
      </c>
      <c r="Z176" s="72">
        <v>16.37</v>
      </c>
      <c r="AA176" s="72">
        <v>16.63</v>
      </c>
      <c r="AB176" s="72">
        <v>14.79</v>
      </c>
      <c r="AC176" s="72">
        <v>15.03</v>
      </c>
      <c r="AD176" s="72">
        <v>14.28</v>
      </c>
      <c r="AE176" s="72">
        <v>15.03</v>
      </c>
      <c r="AF176" s="72">
        <v>15.5</v>
      </c>
      <c r="AG176" s="72">
        <v>13.86</v>
      </c>
      <c r="AH176" s="72">
        <v>14.99</v>
      </c>
      <c r="AI176" s="72">
        <v>15.46</v>
      </c>
      <c r="AJ176" s="72">
        <v>13.71</v>
      </c>
      <c r="AK176" s="72">
        <v>15.08</v>
      </c>
      <c r="AL176" s="72">
        <v>17.88</v>
      </c>
      <c r="AM176" s="72">
        <v>19.86</v>
      </c>
      <c r="AN176" s="72">
        <v>18.46</v>
      </c>
      <c r="AO176" s="72">
        <v>17.350000000000001</v>
      </c>
      <c r="AP176" s="72">
        <v>15.61</v>
      </c>
      <c r="AQ176" s="72">
        <v>15.86</v>
      </c>
      <c r="AR176" s="72">
        <v>14.01</v>
      </c>
      <c r="AS176" s="72">
        <v>12.09</v>
      </c>
      <c r="AT176" s="72">
        <v>14.03</v>
      </c>
      <c r="AU176" s="72">
        <v>14.51</v>
      </c>
      <c r="AV176" s="72">
        <v>13.34</v>
      </c>
      <c r="AW176" s="72">
        <v>13.19</v>
      </c>
      <c r="AX176" s="72">
        <v>12.94</v>
      </c>
      <c r="AY176" s="72">
        <v>13.83</v>
      </c>
      <c r="AZ176" s="72">
        <v>13</v>
      </c>
      <c r="BA176" s="72">
        <v>13.11</v>
      </c>
      <c r="BB176" s="72">
        <v>12.82</v>
      </c>
      <c r="BC176" s="72">
        <v>13.91</v>
      </c>
      <c r="BD176" s="72">
        <v>14.31</v>
      </c>
      <c r="BE176" s="72">
        <v>12.93</v>
      </c>
      <c r="BF176" s="72">
        <v>13.16</v>
      </c>
      <c r="BG176" s="72">
        <v>13.81</v>
      </c>
      <c r="BH176" s="72">
        <v>13.04</v>
      </c>
      <c r="BI176" s="72">
        <v>12.32</v>
      </c>
      <c r="BJ176" s="72">
        <v>11.28</v>
      </c>
      <c r="BK176" s="72">
        <v>11.59</v>
      </c>
      <c r="BL176" s="72">
        <v>11.35</v>
      </c>
      <c r="BM176" s="72">
        <v>10.55</v>
      </c>
      <c r="BN176" s="72">
        <v>10.99</v>
      </c>
      <c r="BO176" s="72">
        <v>11.27</v>
      </c>
      <c r="BP176" s="72">
        <v>11.42</v>
      </c>
      <c r="BQ176" s="72">
        <v>11.57</v>
      </c>
      <c r="BR176" s="72">
        <v>11.09</v>
      </c>
      <c r="BS176" s="72">
        <v>10.76</v>
      </c>
      <c r="BT176" s="72">
        <v>10.7</v>
      </c>
    </row>
  </sheetData>
  <phoneticPr fontId="3" type="noConversion"/>
  <conditionalFormatting sqref="E4">
    <cfRule type="cellIs" dxfId="1424" priority="103" operator="greaterThan">
      <formula>0.2</formula>
    </cfRule>
    <cfRule type="cellIs" dxfId="142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142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421" priority="97" operator="greaterThan">
      <formula>$B$19</formula>
    </cfRule>
  </conditionalFormatting>
  <conditionalFormatting sqref="D33:D34">
    <cfRule type="cellIs" dxfId="142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1419" priority="91" operator="lessThan">
      <formula>$H$62</formula>
    </cfRule>
    <cfRule type="cellIs" dxfId="1418" priority="92" operator="greaterThan">
      <formula>$H$62</formula>
    </cfRule>
  </conditionalFormatting>
  <conditionalFormatting sqref="J62">
    <cfRule type="cellIs" dxfId="1417" priority="89" operator="lessThan">
      <formula>$K$62</formula>
    </cfRule>
    <cfRule type="cellIs" dxfId="1416" priority="90" operator="greaterThan">
      <formula>$K$62</formula>
    </cfRule>
  </conditionalFormatting>
  <conditionalFormatting sqref="M62">
    <cfRule type="cellIs" dxfId="1415" priority="87" operator="lessThan">
      <formula>$N$62</formula>
    </cfRule>
    <cfRule type="cellIs" dxfId="1414" priority="88" operator="greaterThan">
      <formula>$N$62</formula>
    </cfRule>
  </conditionalFormatting>
  <conditionalFormatting sqref="B44:E44">
    <cfRule type="cellIs" dxfId="1413" priority="85" operator="greaterThan">
      <formula>0</formula>
    </cfRule>
    <cfRule type="cellIs" dxfId="1412" priority="86" operator="lessThan">
      <formula>0</formula>
    </cfRule>
  </conditionalFormatting>
  <conditionalFormatting sqref="F72">
    <cfRule type="cellIs" dxfId="1411" priority="84" operator="lessThan">
      <formula>$E$72*90%</formula>
    </cfRule>
  </conditionalFormatting>
  <conditionalFormatting sqref="F73">
    <cfRule type="cellIs" dxfId="1410" priority="83" operator="lessThan">
      <formula>$E$73*90%</formula>
    </cfRule>
  </conditionalFormatting>
  <conditionalFormatting sqref="F74">
    <cfRule type="cellIs" dxfId="1409" priority="82" operator="lessThan">
      <formula>$E$74*90%</formula>
    </cfRule>
  </conditionalFormatting>
  <conditionalFormatting sqref="F75">
    <cfRule type="cellIs" dxfId="1408" priority="81" operator="lessThan">
      <formula>$E$75*90%</formula>
    </cfRule>
  </conditionalFormatting>
  <conditionalFormatting sqref="H44:K44">
    <cfRule type="cellIs" dxfId="1407" priority="79" operator="greaterThan">
      <formula>0</formula>
    </cfRule>
    <cfRule type="cellIs" dxfId="1406" priority="80" operator="lessThan">
      <formula>0</formula>
    </cfRule>
  </conditionalFormatting>
  <conditionalFormatting sqref="H51:K51">
    <cfRule type="cellIs" dxfId="1405" priority="77" operator="greaterThan">
      <formula>0</formula>
    </cfRule>
    <cfRule type="cellIs" dxfId="1404" priority="78" operator="lessThan">
      <formula>0</formula>
    </cfRule>
  </conditionalFormatting>
  <conditionalFormatting sqref="B51:E51">
    <cfRule type="cellIs" dxfId="1403" priority="75" operator="greaterThan">
      <formula>0</formula>
    </cfRule>
    <cfRule type="cellIs" dxfId="140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40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40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399" priority="58" operator="lessThan">
      <formula>0</formula>
    </cfRule>
  </conditionalFormatting>
  <conditionalFormatting sqref="A25 E25 C25">
    <cfRule type="cellIs" dxfId="1398" priority="59" operator="lessThan">
      <formula>0</formula>
    </cfRule>
  </conditionalFormatting>
  <conditionalFormatting sqref="F25">
    <cfRule type="cellIs" dxfId="1397" priority="57" operator="lessThan">
      <formula>0</formula>
    </cfRule>
  </conditionalFormatting>
  <conditionalFormatting sqref="E1">
    <cfRule type="containsText" dxfId="1396" priority="56" operator="containsText" text="本季業外損益/平均=-">
      <formula>NOT(ISERROR(SEARCH("本季業外損益/平均=-",E1)))</formula>
    </cfRule>
  </conditionalFormatting>
  <conditionalFormatting sqref="M65">
    <cfRule type="cellIs" dxfId="1395" priority="55" operator="lessThan">
      <formula>$L$65*90%</formula>
    </cfRule>
  </conditionalFormatting>
  <conditionalFormatting sqref="M66">
    <cfRule type="cellIs" dxfId="1394" priority="54" operator="lessThan">
      <formula>$L$66*90%</formula>
    </cfRule>
  </conditionalFormatting>
  <conditionalFormatting sqref="M67">
    <cfRule type="cellIs" dxfId="1393" priority="53" operator="lessThan">
      <formula>$L$67*90%</formula>
    </cfRule>
  </conditionalFormatting>
  <conditionalFormatting sqref="M68">
    <cfRule type="cellIs" dxfId="1392" priority="52" operator="lessThan">
      <formula>$L$68*90%</formula>
    </cfRule>
  </conditionalFormatting>
  <conditionalFormatting sqref="B60">
    <cfRule type="cellIs" dxfId="1391" priority="51" operator="lessThan">
      <formula>0</formula>
    </cfRule>
  </conditionalFormatting>
  <conditionalFormatting sqref="B59:F59">
    <cfRule type="cellIs" dxfId="1390" priority="50" operator="lessThanOrEqual">
      <formula>0</formula>
    </cfRule>
  </conditionalFormatting>
  <conditionalFormatting sqref="D62">
    <cfRule type="cellIs" dxfId="1389" priority="48" operator="lessThan">
      <formula>$E$62</formula>
    </cfRule>
    <cfRule type="cellIs" dxfId="1388" priority="49" operator="greaterThan">
      <formula>$E$62</formula>
    </cfRule>
  </conditionalFormatting>
  <conditionalFormatting sqref="F69">
    <cfRule type="cellIs" dxfId="1387" priority="46" operator="lessThan">
      <formula>0</formula>
    </cfRule>
  </conditionalFormatting>
  <conditionalFormatting sqref="B65:E67 B69:E69 B68:D68">
    <cfRule type="cellIs" dxfId="1386" priority="47" operator="lessThan">
      <formula>0</formula>
    </cfRule>
  </conditionalFormatting>
  <conditionalFormatting sqref="E68">
    <cfRule type="cellIs" dxfId="1385" priority="45" operator="lessThan">
      <formula>0</formula>
    </cfRule>
  </conditionalFormatting>
  <conditionalFormatting sqref="F65:F68">
    <cfRule type="cellIs" dxfId="1384" priority="44" operator="lessThan">
      <formula>0</formula>
    </cfRule>
  </conditionalFormatting>
  <conditionalFormatting sqref="F65:F68">
    <cfRule type="cellIs" dxfId="1383" priority="43" operator="lessThan">
      <formula>$E$65*0.9</formula>
    </cfRule>
  </conditionalFormatting>
  <conditionalFormatting sqref="F66">
    <cfRule type="cellIs" dxfId="1382" priority="42" operator="lessThan">
      <formula>$E$66*0.9</formula>
    </cfRule>
  </conditionalFormatting>
  <conditionalFormatting sqref="F67:F68">
    <cfRule type="cellIs" dxfId="1381" priority="41" operator="lessThan">
      <formula>$E$67*0.9</formula>
    </cfRule>
  </conditionalFormatting>
  <conditionalFormatting sqref="F68">
    <cfRule type="cellIs" dxfId="1380" priority="40" operator="lessThan">
      <formula>$E$68*0.9</formula>
    </cfRule>
  </conditionalFormatting>
  <conditionalFormatting sqref="B13:F13">
    <cfRule type="cellIs" dxfId="1379" priority="29" operator="greaterThan">
      <formula>$I$16</formula>
    </cfRule>
    <cfRule type="cellIs" dxfId="1378" priority="30" operator="lessThanOrEqual">
      <formula>$I$16</formula>
    </cfRule>
  </conditionalFormatting>
  <conditionalFormatting sqref="B10:F10">
    <cfRule type="cellIs" dxfId="1377" priority="31" operator="greaterThan">
      <formula>15</formula>
    </cfRule>
    <cfRule type="cellIs" dxfId="1376" priority="38" operator="lessThan">
      <formula>$I$9</formula>
    </cfRule>
    <cfRule type="cellIs" dxfId="1375" priority="39" operator="greaterThan">
      <formula>$I$9</formula>
    </cfRule>
  </conditionalFormatting>
  <conditionalFormatting sqref="B16:F16">
    <cfRule type="cellIs" dxfId="1374" priority="36" operator="greaterThan">
      <formula>$I$16</formula>
    </cfRule>
    <cfRule type="cellIs" dxfId="1373" priority="37" operator="lessThanOrEqual">
      <formula>$I$16</formula>
    </cfRule>
  </conditionalFormatting>
  <conditionalFormatting sqref="B15:F15">
    <cfRule type="cellIs" dxfId="1372" priority="34" operator="lessThanOrEqual">
      <formula>$I$16</formula>
    </cfRule>
    <cfRule type="cellIs" dxfId="1371" priority="35" operator="greaterThan">
      <formula>$I$16</formula>
    </cfRule>
  </conditionalFormatting>
  <conditionalFormatting sqref="B14:F14">
    <cfRule type="cellIs" dxfId="1370" priority="32" operator="greaterThan">
      <formula>$I$16</formula>
    </cfRule>
    <cfRule type="cellIs" dxfId="1369" priority="33" operator="lessThanOrEqual">
      <formula>$I$16</formula>
    </cfRule>
  </conditionalFormatting>
  <conditionalFormatting sqref="K6">
    <cfRule type="containsText" dxfId="1368" priority="27" operator="containsText" text="衰退">
      <formula>NOT(ISERROR(SEARCH("衰退",K6)))</formula>
    </cfRule>
    <cfRule type="containsText" dxfId="1367" priority="28" operator="containsText" text="成長">
      <formula>NOT(ISERROR(SEARCH("成長",K6)))</formula>
    </cfRule>
  </conditionalFormatting>
  <conditionalFormatting sqref="I4:K4">
    <cfRule type="cellIs" dxfId="1366" priority="25" operator="lessThan">
      <formula>0</formula>
    </cfRule>
    <cfRule type="cellIs" dxfId="136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364" priority="22" operator="lessThanOrEqual">
      <formula>$I$16</formula>
    </cfRule>
    <cfRule type="cellIs" dxfId="1363" priority="23" operator="greaterThan">
      <formula>$I$16</formula>
    </cfRule>
  </conditionalFormatting>
  <conditionalFormatting sqref="I6">
    <cfRule type="containsText" dxfId="1362" priority="20" operator="containsText" text="衰退">
      <formula>NOT(ISERROR(SEARCH("衰退",I6)))</formula>
    </cfRule>
    <cfRule type="containsText" dxfId="1361" priority="21" operator="containsText" text="成長">
      <formula>NOT(ISERROR(SEARCH("成長",I6)))</formula>
    </cfRule>
  </conditionalFormatting>
  <conditionalFormatting sqref="M9">
    <cfRule type="cellIs" dxfId="1360" priority="19" operator="lessThan">
      <formula>$I$9</formula>
    </cfRule>
  </conditionalFormatting>
  <conditionalFormatting sqref="M10">
    <cfRule type="cellIs" dxfId="1359" priority="18" operator="greaterThan">
      <formula>$I$9</formula>
    </cfRule>
  </conditionalFormatting>
  <conditionalFormatting sqref="M11">
    <cfRule type="cellIs" dxfId="135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357" priority="14" operator="lessThan">
      <formula>0</formula>
    </cfRule>
    <cfRule type="cellIs" dxfId="1356" priority="15" operator="greaterThan">
      <formula>0.5</formula>
    </cfRule>
  </conditionalFormatting>
  <conditionalFormatting sqref="N14">
    <cfRule type="cellIs" dxfId="135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354" priority="10" operator="lessThan">
      <formula>0.1</formula>
    </cfRule>
  </conditionalFormatting>
  <conditionalFormatting sqref="I14">
    <cfRule type="cellIs" dxfId="135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35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351" priority="1" operator="lessThan">
      <formula>$N$5*0.9</formula>
    </cfRule>
    <cfRule type="cellIs" dxfId="1350" priority="2" operator="greaterThan">
      <formula>$N$5*1.1</formula>
    </cfRule>
  </conditionalFormatting>
  <hyperlinks>
    <hyperlink ref="L1" location="儀表板!A1" display="(回首頁)" xr:uid="{00000000-0004-0000-5500-000000000000}"/>
  </hyperlink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3.99 ~ 16.72</v>
      </c>
      <c r="L1" s="83" t="s">
        <v>176</v>
      </c>
      <c r="M1" s="84" t="str">
        <f ca="1">VLOOKUP(_xlfn.NUMBERVALUE(N1),儀表板!A:B,2,FALSE)</f>
        <v>德勝</v>
      </c>
      <c r="N1" s="85" t="str">
        <f ca="1">MID(CELL("filename",L1),FIND("]",CELL("filename",L1))+1,255)</f>
        <v>8048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0.1911052270850053</v>
      </c>
    </row>
    <row r="3" spans="1:15" s="93" customFormat="1" x14ac:dyDescent="0.25">
      <c r="A3" s="81" t="s">
        <v>179</v>
      </c>
      <c r="B3" s="94">
        <f>SUM(F19:F22,F24:F27,J19)</f>
        <v>84.429121725731903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36.277295230505338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42.115430910013089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47.085574930449418</v>
      </c>
      <c r="L3" s="100"/>
      <c r="M3" s="79" t="s">
        <v>385</v>
      </c>
      <c r="N3" s="92">
        <f>(F69-E69)/E69</f>
        <v>-0.10725127398386607</v>
      </c>
    </row>
    <row r="4" spans="1:15" s="93" customFormat="1" x14ac:dyDescent="0.25">
      <c r="A4" s="81" t="s">
        <v>182</v>
      </c>
      <c r="B4" s="96">
        <f>SUM(G36:G40)*2</f>
        <v>62</v>
      </c>
      <c r="C4" s="101"/>
      <c r="D4" s="102">
        <f>F4*(1+F141/10)</f>
        <v>5.33</v>
      </c>
      <c r="E4" s="82">
        <f>(D4-F4)/F4</f>
        <v>0</v>
      </c>
      <c r="F4" s="103">
        <v>5.33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2.3300741749021094</v>
      </c>
    </row>
    <row r="5" spans="1:15" s="93" customFormat="1" x14ac:dyDescent="0.25">
      <c r="A5" s="81" t="s">
        <v>184</v>
      </c>
      <c r="B5" s="107">
        <f>SUM(F30:F34)*2</f>
        <v>97.582355932203384</v>
      </c>
      <c r="C5" s="87"/>
      <c r="D5" s="87"/>
      <c r="E5" s="87"/>
      <c r="F5" s="86"/>
      <c r="G5" s="88"/>
      <c r="M5" s="79" t="s">
        <v>386</v>
      </c>
      <c r="N5" s="152">
        <f>D62</f>
        <v>2.57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2.5443594672538463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29.98</v>
      </c>
      <c r="N9" s="129"/>
    </row>
    <row r="10" spans="1:15" s="93" customFormat="1" x14ac:dyDescent="0.25">
      <c r="A10" s="123" t="s">
        <v>194</v>
      </c>
      <c r="B10" s="126">
        <f>PERCENTILE(176:176,B9)</f>
        <v>12</v>
      </c>
      <c r="C10" s="126">
        <f>PERCENTILE(176:176,C9)</f>
        <v>15.254999999999999</v>
      </c>
      <c r="D10" s="126">
        <f>PERCENTILE(176:176,D9)</f>
        <v>17.71</v>
      </c>
      <c r="E10" s="126">
        <f>PERCENTILE(176:176,E9)</f>
        <v>19.8</v>
      </c>
      <c r="F10" s="126">
        <f>PERCENTILE(176:176,F9)</f>
        <v>24.06</v>
      </c>
      <c r="G10" s="95"/>
      <c r="H10" s="135"/>
      <c r="I10" s="135"/>
      <c r="J10" s="135"/>
      <c r="K10" s="135"/>
      <c r="L10" s="136" t="s">
        <v>374</v>
      </c>
      <c r="M10" s="130">
        <f>MIN(176:176)</f>
        <v>8.31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15.41</v>
      </c>
      <c r="L11" s="272" t="s">
        <v>193</v>
      </c>
      <c r="M11" s="128">
        <f>STDEV(176:176)</f>
        <v>5.6363916743462381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22.759103641456587</v>
      </c>
      <c r="C13" s="141">
        <f>$B$34/5.88%</f>
        <v>27.636054421768709</v>
      </c>
      <c r="D13" s="141">
        <f>$B$34/5%</f>
        <v>32.5</v>
      </c>
      <c r="E13" s="141">
        <f>$B$34/4.35%</f>
        <v>37.356321839080465</v>
      </c>
      <c r="F13" s="141">
        <f>$B$34/3.85%</f>
        <v>42.20779220779221</v>
      </c>
      <c r="G13" s="138" t="str">
        <f>"$"&amp;ROUND(B34,2)&amp;"/"&amp;IF(STDEV(C140:F140)/AVERAGE(C140:F140)&lt;15%,"高",IF(STDEV(C140:F140)/AVERAGE(C140:F140)&lt;30%,"中","低"))</f>
        <v>$1.63/低</v>
      </c>
      <c r="H13" s="142" t="s">
        <v>199</v>
      </c>
      <c r="I13" s="143">
        <f>MAX(0,1-J15)</f>
        <v>0.23371647509578541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28.32</v>
      </c>
      <c r="C14" s="141">
        <f>$B$33*C10</f>
        <v>36.001799999999996</v>
      </c>
      <c r="D14" s="141">
        <f>$B$33*D10</f>
        <v>41.7956</v>
      </c>
      <c r="E14" s="141">
        <f>$B$33*E10</f>
        <v>46.728000000000002</v>
      </c>
      <c r="F14" s="141">
        <f>$B$33*F10</f>
        <v>56.781599999999997</v>
      </c>
      <c r="G14" s="138" t="str">
        <f>"$"&amp;ROUND(B33,2)&amp;"/"&amp;IF(STDEV(B69:E69)/AVERAGE(B69:E69)&lt;15%,"高",IF(STDEV(B69:E69)/AVERAGE(B69:E69)&lt;30%,"中","低"))</f>
        <v>$2.36/低</v>
      </c>
      <c r="H14" s="142" t="s">
        <v>203</v>
      </c>
      <c r="I14" s="145">
        <f>G62/100*I13</f>
        <v>3.9264367816091945E-2</v>
      </c>
      <c r="J14" s="76" t="s">
        <v>204</v>
      </c>
      <c r="K14" s="146"/>
      <c r="L14" s="147">
        <f>(HLOOKUP($C$1,$105:$106,2,FALSE)-HLOOKUP($C$1,$117:$127,9,FALSE))/(HLOOKUP($C$1,$117:$128,12,FALSE)/K11)</f>
        <v>6.959635457556657</v>
      </c>
      <c r="M14" s="148">
        <f>E135/E69</f>
        <v>2.0651340996168583</v>
      </c>
      <c r="N14" s="149">
        <f>F173/100</f>
        <v>1.3068</v>
      </c>
    </row>
    <row r="15" spans="1:15" s="93" customFormat="1" x14ac:dyDescent="0.25">
      <c r="A15" s="140" t="s">
        <v>375</v>
      </c>
      <c r="B15" s="141">
        <f>$D$62*B10</f>
        <v>30.839999999999996</v>
      </c>
      <c r="C15" s="141">
        <f>$D$62*C10</f>
        <v>39.205349999999996</v>
      </c>
      <c r="D15" s="141">
        <f>$D$62*D10</f>
        <v>45.514699999999998</v>
      </c>
      <c r="E15" s="141">
        <f>$D$62*E10</f>
        <v>50.885999999999996</v>
      </c>
      <c r="F15" s="141">
        <f>$D$62*F10</f>
        <v>61.834199999999996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0.76628352490421459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27.960890098825313</v>
      </c>
      <c r="C16" s="141">
        <f>$F$69*C10</f>
        <v>35.545281538131675</v>
      </c>
      <c r="D16" s="141">
        <f>$F$69*D10</f>
        <v>41.26561363751636</v>
      </c>
      <c r="E16" s="141">
        <f>$F$69*E10</f>
        <v>46.135468663061772</v>
      </c>
      <c r="F16" s="141">
        <f>$F$69*F10</f>
        <v>56.061584648144752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86</v>
      </c>
      <c r="J17" s="92">
        <f ca="1">IF(I17&lt;=0,"",IF(I17&lt;=MIN($B$13:$F$16),(I17-MIN($B$13:$F$16))/MIN($B$13:$F$16),IF(I17&gt;=MAX($B$13:$F$16),I17/MAX($B$13:$F$16),PERCENTRANK($B$13:$F$16,I17))))</f>
        <v>1.390816085596644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2.895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1.7815384615384615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0.13844027896279926</v>
      </c>
      <c r="J20" s="171">
        <f>HLOOKUP($C$1,$117:$127,11,FALSE)/HLOOKUP($C$1,$105:$115,11,FALSE)</f>
        <v>0.27853574199627246</v>
      </c>
      <c r="K20" s="163"/>
    </row>
    <row r="21" spans="1:14" s="93" customFormat="1" x14ac:dyDescent="0.25">
      <c r="A21" s="151" t="s">
        <v>201</v>
      </c>
      <c r="B21" s="161">
        <f>AVERAGE(C173:F173)/100</f>
        <v>1.4390499999999999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2.9370821528779247</v>
      </c>
      <c r="J21" s="78"/>
      <c r="K21" s="164" t="s">
        <v>356</v>
      </c>
      <c r="L21" s="165">
        <f>HLOOKUP($C$1,$105:$115,7,FALSE)/HLOOKUP($C$1,$105:$115,11,FALSE)</f>
        <v>0.77454882523288104</v>
      </c>
      <c r="M21" s="123" t="s">
        <v>268</v>
      </c>
      <c r="N21" s="165">
        <f>HLOOKUP($C$1,$117:$127,8,FALSE)/HLOOKUP($C$1,$117:$127,11,FALSE)</f>
        <v>0.94678588144155196</v>
      </c>
    </row>
    <row r="22" spans="1:14" s="93" customFormat="1" x14ac:dyDescent="0.25">
      <c r="A22" s="140" t="s">
        <v>222</v>
      </c>
      <c r="B22" s="161">
        <f>(-1)*SUM(C133:F133)/SUM(C132:F132)</f>
        <v>0.10708782742681049</v>
      </c>
      <c r="C22" s="157"/>
      <c r="D22" s="166"/>
      <c r="E22" s="140"/>
      <c r="F22" s="159">
        <f>IF(B22&lt;=0,10,IF(B22&gt;=100%,0,(1-B22)*10))</f>
        <v>8.9291217257318962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2.4920922272338308</v>
      </c>
      <c r="J22" s="78"/>
      <c r="K22" s="142" t="s">
        <v>357</v>
      </c>
      <c r="L22" s="165">
        <f>HLOOKUP($C$1,$105:$115,4,FALSE)/HLOOKUP($C$1,$105:$115,11,FALSE)</f>
        <v>0.10930508342001846</v>
      </c>
      <c r="M22" s="123" t="s">
        <v>353</v>
      </c>
      <c r="N22" s="165">
        <f>HLOOKUP($C$1,$117:$127,4,FALSE)/HLOOKUP($C$1,$117:$127,11,FALSE)</f>
        <v>0.50297122383434745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1.3860700497720753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0.11734994331376662</v>
      </c>
      <c r="M23" s="123" t="s">
        <v>354</v>
      </c>
      <c r="N23" s="165">
        <f>IF(HLOOKUP($C$1,$117:$127,5,FALSE)="無",0,HLOOKUP($C$1,$117:$127,5,FALSE))/HLOOKUP($C$1,$117:$127,11,FALSE)</f>
        <v>8.5395652103742684E-2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32.61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8.6094745577260049E-3</v>
      </c>
      <c r="M24" s="123" t="s">
        <v>355</v>
      </c>
      <c r="N24" s="165">
        <f>HLOOKUP($C$1,$117:$127,9,FALSE)/HLOOKUP($C$1,$117:$127,11,FALSE)</f>
        <v>5.3214118558448056E-2</v>
      </c>
    </row>
    <row r="25" spans="1:14" s="93" customFormat="1" x14ac:dyDescent="0.25">
      <c r="A25" s="151" t="s">
        <v>366</v>
      </c>
      <c r="B25" s="255">
        <f>AVERAGE(94:94)</f>
        <v>320.04347826086956</v>
      </c>
      <c r="C25" s="254">
        <f>STDEV(94:94)/AVERAGE(94:94)</f>
        <v>28.655588765558196</v>
      </c>
      <c r="D25" s="76" t="str">
        <f>IF(C25&lt;=1,"高",IF(C25&lt;=2,"中","低"))</f>
        <v>低</v>
      </c>
      <c r="E25" s="149"/>
      <c r="F25" s="160">
        <f>MAX(0,10-ABS(C25))</f>
        <v>0</v>
      </c>
      <c r="G25" s="88" t="s">
        <v>213</v>
      </c>
      <c r="H25" s="123" t="s">
        <v>232</v>
      </c>
      <c r="I25" s="170">
        <f>IF(HLOOKUP(C1,167:170,3,FALSE)="無",0,HLOOKUP(C1,167:170,3,FALSE))</f>
        <v>50.85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36.448260869565217</v>
      </c>
      <c r="C26" s="172">
        <f>IF(COUNTIF(168:168,"&gt;0")=0,0,STDEV(168:168))</f>
        <v>6.1918345439588807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61.041739130434784</v>
      </c>
      <c r="C27" s="172">
        <f>IF(COUNTIF(169:169,"&gt;0")=0,0,STDEV(169:169))</f>
        <v>12.197973249003249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0.24982499999999999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9.9930000000000003</v>
      </c>
      <c r="G30" s="175"/>
      <c r="H30" s="176"/>
    </row>
    <row r="31" spans="1:14" x14ac:dyDescent="0.25">
      <c r="A31" s="164" t="s">
        <v>240</v>
      </c>
      <c r="B31" s="173">
        <f>AVERAGE(C155:F155)/100</f>
        <v>9.7324999999999995E-2</v>
      </c>
      <c r="C31" s="157" t="s">
        <v>217</v>
      </c>
      <c r="D31" s="174">
        <f>COUNTIF(149:149,"&gt;8")/COUNT(149:149)</f>
        <v>0.60869565217391308</v>
      </c>
      <c r="E31" s="140" t="s">
        <v>241</v>
      </c>
      <c r="F31" s="159">
        <f>MIN(B31/10%*10,10)</f>
        <v>9.7324999999999999</v>
      </c>
      <c r="G31" s="175"/>
    </row>
    <row r="32" spans="1:14" x14ac:dyDescent="0.25">
      <c r="A32" s="155" t="s">
        <v>47</v>
      </c>
      <c r="B32" s="177">
        <f>AVERAGE(C165:F165)</f>
        <v>16.402499999999996</v>
      </c>
      <c r="C32" s="157" t="s">
        <v>217</v>
      </c>
      <c r="D32" s="174">
        <f>COUNTIF(159:159,"&gt;3")/COUNT(159:159)</f>
        <v>0.56521739130434778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2.36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1.625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9.0656779661016955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1206432.5</v>
      </c>
      <c r="C36" s="178">
        <f>STDEV(C97:F97)</f>
        <v>374737.37305344926</v>
      </c>
      <c r="D36" s="76" t="str">
        <f>IF(C36/B36&lt;15%,"高",IF(C36/B36&lt;30%,"中","低"))</f>
        <v>低</v>
      </c>
      <c r="E36" s="107">
        <f>IF(F97&gt;E97,1,0)+IF(E97&gt;D97,1,0)+IF(D97&gt;C97,1,0)</f>
        <v>2</v>
      </c>
      <c r="F36" s="179"/>
      <c r="G36" s="160">
        <f>IF(D36="高",6,IF(D36="中",4,2))+E36+1</f>
        <v>5</v>
      </c>
    </row>
    <row r="37" spans="1:14" x14ac:dyDescent="0.25">
      <c r="A37" s="164" t="s">
        <v>248</v>
      </c>
      <c r="B37" s="180">
        <f>AVERAGE(C152:F152)</f>
        <v>24.982499999999998</v>
      </c>
      <c r="C37" s="180">
        <f>STDEV(C152:F152)</f>
        <v>1.2987269407641719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11.695</v>
      </c>
      <c r="C38" s="180">
        <f>STDEV(C153:F153)</f>
        <v>1.8166360853694989</v>
      </c>
      <c r="D38" s="76" t="str">
        <f>IF(C38/B38&lt;15%,"高",IF(C38/B38&lt;30%,"中","低"))</f>
        <v>中</v>
      </c>
      <c r="E38" s="107">
        <f>IF(F153&gt;E153,1,0)+IF(E153&gt;D153,1,0)+IF(D153&gt;C153,1,0)</f>
        <v>3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16.402499999999996</v>
      </c>
      <c r="C39" s="181">
        <f>STDEV(C165:F165)</f>
        <v>5.5955838241718352</v>
      </c>
      <c r="D39" s="76" t="str">
        <f>IF(C39/B39&lt;15%,"高",IF(C39/B39&lt;30%,"中","低"))</f>
        <v>低</v>
      </c>
      <c r="E39" s="107">
        <f>IF(F165&gt;E165,1,0)+IF(E165&gt;D165,1,0)+IF(D165&gt;C165,1,0)</f>
        <v>2</v>
      </c>
      <c r="F39" s="182"/>
      <c r="G39" s="160">
        <f>IF(D39="高",6,IF(D39="中",4,2))+E39+1</f>
        <v>5</v>
      </c>
    </row>
    <row r="40" spans="1:14" x14ac:dyDescent="0.25">
      <c r="A40" s="164" t="s">
        <v>14</v>
      </c>
      <c r="B40" s="183">
        <f>AVERAGE(B69:E69)</f>
        <v>2.36</v>
      </c>
      <c r="C40" s="183">
        <f>STDEV(B69:E69)</f>
        <v>0.93811868474445403</v>
      </c>
      <c r="D40" s="76" t="str">
        <f>IF(C40/B40&lt;15%,"高",IF(C40/B40&lt;30%,"中","低"))</f>
        <v>低</v>
      </c>
      <c r="E40" s="107">
        <f>IF(E69&gt;D69,1,0)+IF(D69&gt;C69,1,0)+IF(C69&gt;B69,1,0)</f>
        <v>2</v>
      </c>
      <c r="G40" s="160">
        <f>IF(D40="高",6,IF(D40="中",4,2))+E40+1</f>
        <v>5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0.95348837209302317</v>
      </c>
      <c r="C44" s="186">
        <f>(C46-C49)/C49</f>
        <v>-3.2258064516129059E-2</v>
      </c>
      <c r="D44" s="186">
        <f>(D46-D49)/D49</f>
        <v>-0.62318840579710144</v>
      </c>
      <c r="E44" s="186">
        <f>(E46-E49)/E49</f>
        <v>0.42622950819672134</v>
      </c>
      <c r="G44" s="86" t="s">
        <v>175</v>
      </c>
      <c r="H44" s="186">
        <f>(H47-H50)/H50</f>
        <v>0.22203245089666945</v>
      </c>
      <c r="I44" s="186">
        <f>(I47-I50)/I50</f>
        <v>-8.4905660377358486E-2</v>
      </c>
      <c r="J44" s="186">
        <f>(J47-J50)/J50</f>
        <v>4.6546546546546413E-2</v>
      </c>
      <c r="K44" s="186">
        <f>(K47-K50)/K50</f>
        <v>0.1176470588235296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0.84</v>
      </c>
      <c r="C46" s="152">
        <f>HLOOKUP(C45,$81:$82,2,FALSE)</f>
        <v>0.6</v>
      </c>
      <c r="D46" s="152">
        <f>HLOOKUP(D45,$81:$82,2,FALSE)</f>
        <v>0.26</v>
      </c>
      <c r="E46" s="152">
        <f>HLOOKUP(E45,$81:$82,2,FALSE)</f>
        <v>0.87</v>
      </c>
      <c r="G46" s="86" t="s">
        <v>164</v>
      </c>
      <c r="H46" s="145">
        <f>HLOOKUP(H45,$145:$147,2,FALSE)/100</f>
        <v>0.27289999999999998</v>
      </c>
      <c r="I46" s="145">
        <f>HLOOKUP(I45,$145:$147,2,FALSE)/100</f>
        <v>0.29120000000000001</v>
      </c>
      <c r="J46" s="145">
        <f>HLOOKUP(J45,$145:$147,2,FALSE)/100</f>
        <v>0.3075</v>
      </c>
      <c r="K46" s="145">
        <f>HLOOKUP(K45,$145:$147,2,FALSE)/100</f>
        <v>0.29089999999999999</v>
      </c>
    </row>
    <row r="47" spans="1:14" x14ac:dyDescent="0.25">
      <c r="A47" s="188" t="s">
        <v>165</v>
      </c>
      <c r="B47" s="189">
        <f>HLOOKUP(B45,$157:$159,3,FALSE)</f>
        <v>5.62</v>
      </c>
      <c r="C47" s="189">
        <f>HLOOKUP(C45,$157:$159,3,FALSE)</f>
        <v>3.95</v>
      </c>
      <c r="D47" s="189">
        <f>HLOOKUP(D45,$157:$159,3,FALSE)</f>
        <v>1.63</v>
      </c>
      <c r="E47" s="189">
        <f>HLOOKUP(E45,$157:$159,3,FALSE)</f>
        <v>5.6</v>
      </c>
      <c r="G47" s="190" t="s">
        <v>166</v>
      </c>
      <c r="H47" s="145">
        <f>HLOOKUP(H45,$145:$147,3,FALSE)/100</f>
        <v>0.1431</v>
      </c>
      <c r="I47" s="145">
        <f>HLOOKUP(I45,$145:$147,3,FALSE)/100</f>
        <v>0.1358</v>
      </c>
      <c r="J47" s="145">
        <f>HLOOKUP(J45,$145:$147,3,FALSE)/100</f>
        <v>0.1394</v>
      </c>
      <c r="K47" s="145">
        <f>HLOOKUP(K45,$145:$147,3,FALSE)/100</f>
        <v>0.14630000000000001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0.43</v>
      </c>
      <c r="C49" s="152">
        <f>HLOOKUP(C48,$81:$82,2,FALSE)</f>
        <v>0.62</v>
      </c>
      <c r="D49" s="152">
        <f>HLOOKUP(D48,$81:$82,2,FALSE)</f>
        <v>0.69</v>
      </c>
      <c r="E49" s="152">
        <f>HLOOKUP(E48,$81:$82,2,FALSE)</f>
        <v>0.61</v>
      </c>
      <c r="G49" s="86" t="s">
        <v>164</v>
      </c>
      <c r="H49" s="145">
        <f>HLOOKUP(H48,$145:$147,2,FALSE)/100</f>
        <v>0.2384</v>
      </c>
      <c r="I49" s="145">
        <f>HLOOKUP(I48,$145:$147,2,FALSE)/100</f>
        <v>0.2445</v>
      </c>
      <c r="J49" s="145">
        <f>HLOOKUP(J48,$145:$147,2,FALSE)/100</f>
        <v>0.23670000000000002</v>
      </c>
      <c r="K49" s="145">
        <f>HLOOKUP(K48,$145:$147,2,FALSE)/100</f>
        <v>0.24760000000000001</v>
      </c>
    </row>
    <row r="50" spans="1:15" x14ac:dyDescent="0.25">
      <c r="A50" s="188" t="s">
        <v>165</v>
      </c>
      <c r="B50" s="189">
        <f>HLOOKUP(B48,$157:$159,3,FALSE)</f>
        <v>2.89</v>
      </c>
      <c r="C50" s="189">
        <f>HLOOKUP(C48,$157:$159,3,FALSE)</f>
        <v>4.0599999999999996</v>
      </c>
      <c r="D50" s="189">
        <f>HLOOKUP(D48,$157:$159,3,FALSE)</f>
        <v>4.24</v>
      </c>
      <c r="E50" s="189">
        <f>HLOOKUP(E48,$157:$159,3,FALSE)</f>
        <v>3.94</v>
      </c>
      <c r="G50" s="190" t="s">
        <v>166</v>
      </c>
      <c r="H50" s="145">
        <f>HLOOKUP(H48,$145:$147,3,FALSE)/100</f>
        <v>0.11710000000000001</v>
      </c>
      <c r="I50" s="145">
        <f>HLOOKUP(I48,$145:$147,3,FALSE)/100</f>
        <v>0.1484</v>
      </c>
      <c r="J50" s="145">
        <f>HLOOKUP(J48,$145:$147,3,FALSE)/100</f>
        <v>0.13320000000000001</v>
      </c>
      <c r="K50" s="145">
        <f>HLOOKUP(K48,$145:$147,3,FALSE)/100</f>
        <v>0.13089999999999999</v>
      </c>
    </row>
    <row r="51" spans="1:15" x14ac:dyDescent="0.25">
      <c r="A51" s="86" t="s">
        <v>351</v>
      </c>
      <c r="B51" s="186">
        <f>(B47-B50)/B50</f>
        <v>0.94463667820069197</v>
      </c>
      <c r="C51" s="186">
        <f>(C47-C50)/C50</f>
        <v>-2.7093596059113163E-2</v>
      </c>
      <c r="D51" s="186">
        <f>(D47-D50)/D50</f>
        <v>-0.61556603773584906</v>
      </c>
      <c r="E51" s="186">
        <f>(E47-E50)/E50</f>
        <v>0.42131979695431465</v>
      </c>
      <c r="G51" s="235" t="s">
        <v>174</v>
      </c>
      <c r="H51" s="186">
        <f>(H46-H49)/H49</f>
        <v>0.14471476510067102</v>
      </c>
      <c r="I51" s="186">
        <f>(I46-I49)/I49</f>
        <v>0.19100204498977513</v>
      </c>
      <c r="J51" s="186">
        <f>(J46-J49)/J49</f>
        <v>0.29911280101394155</v>
      </c>
      <c r="K51" s="186">
        <f>(K46-K49)/K49</f>
        <v>0.17487883683360247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2.5443594672538463</v>
      </c>
      <c r="B53" s="193">
        <f>B46</f>
        <v>0.84</v>
      </c>
      <c r="C53" s="193">
        <f>E46/HLOOKUP(E45,$87:$94,5,FALSE)*HLOOKUP(E45,$87:$94,4,FALSE)*($B$25/HLOOKUP(E45,$87:$94,4,FALSE)+SUM($B$57:$D$57)/SUM($B58:$D$58)*$G$69/100/K46)</f>
        <v>0.63007417490210915</v>
      </c>
      <c r="D53" s="193">
        <f>D46/HLOOKUP(D45,$87:$94,5,FALSE)*HLOOKUP(D45,$87:$94,4,FALSE)*($B$25/HLOOKUP(D45,$87:$94,4,FALSE)+SUM($B$57:$D$57)/SUM($B58:$D$58)*$G$69/100/J46)</f>
        <v>0.54665457980617871</v>
      </c>
      <c r="E53" s="193">
        <f>C46/HLOOKUP(C45,$87:$94,5,FALSE)*HLOOKUP(C45,$87:$94,4,FALSE)*($B$25/HLOOKUP(C45,$87:$94,4,FALSE)+SUM($B$57:$D$57)/SUM($B58:$D$58)*$G$69/100/I46)</f>
        <v>0.52763071254555849</v>
      </c>
    </row>
    <row r="54" spans="1:15" x14ac:dyDescent="0.25">
      <c r="A54" s="278">
        <f>SUM(B54:E54)</f>
        <v>2.16</v>
      </c>
      <c r="B54" s="277">
        <f t="shared" ref="B54:D54" si="0">HLOOKUP(B52-10,81:82,2,FALSE)</f>
        <v>0.43</v>
      </c>
      <c r="C54" s="277">
        <f t="shared" si="0"/>
        <v>0.87</v>
      </c>
      <c r="D54" s="277">
        <f t="shared" si="0"/>
        <v>0.26</v>
      </c>
      <c r="E54" s="277">
        <f>HLOOKUP(E52-10,81:82,2,FALSE)</f>
        <v>0.6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101702</v>
      </c>
      <c r="C57" s="196">
        <f>HLOOKUP(C56,78:79,2,FALSE)</f>
        <v>103052</v>
      </c>
      <c r="D57" s="196">
        <f>HLOOKUP(D56,78:79,2,FALSE)</f>
        <v>116478</v>
      </c>
      <c r="E57" s="196">
        <f>HLOOKUP(E56,78:79,2,FALSE)</f>
        <v>111148</v>
      </c>
      <c r="F57" s="196">
        <f>HLOOKUP(F56,78:79,2,FALSE)</f>
        <v>107924</v>
      </c>
      <c r="G57" s="196">
        <f t="shared" ref="G57:M57" si="2">HLOOKUP(G56,78:79,2,FALSE)</f>
        <v>87613</v>
      </c>
      <c r="H57" s="196">
        <f t="shared" si="2"/>
        <v>81410</v>
      </c>
      <c r="I57" s="196">
        <f t="shared" si="2"/>
        <v>84700</v>
      </c>
      <c r="J57" s="196">
        <f t="shared" si="2"/>
        <v>59237</v>
      </c>
      <c r="K57" s="196">
        <f t="shared" si="2"/>
        <v>60512</v>
      </c>
      <c r="L57" s="196">
        <f t="shared" si="2"/>
        <v>75600</v>
      </c>
      <c r="M57" s="196">
        <f t="shared" si="2"/>
        <v>100473</v>
      </c>
      <c r="N57" s="197"/>
    </row>
    <row r="58" spans="1:15" x14ac:dyDescent="0.25">
      <c r="A58" s="198" t="s">
        <v>253</v>
      </c>
      <c r="B58" s="196">
        <f>HLOOKUP(B56-100,78:79,2,FALSE)</f>
        <v>100290</v>
      </c>
      <c r="C58" s="196">
        <f>HLOOKUP(C56-100,78:79,2,FALSE)</f>
        <v>101238</v>
      </c>
      <c r="D58" s="196">
        <f>HLOOKUP(D56-100,78:79,2,FALSE)</f>
        <v>100577</v>
      </c>
      <c r="E58" s="196">
        <f>HLOOKUP(E56-100,78:79,2,FALSE)</f>
        <v>120766</v>
      </c>
      <c r="F58" s="196">
        <f>HLOOKUP(F56-100,78:79,2,FALSE)</f>
        <v>159668</v>
      </c>
      <c r="G58" s="196">
        <f t="shared" ref="G58:M58" si="3">HLOOKUP(G56-100,78:79,2,FALSE)</f>
        <v>138151</v>
      </c>
      <c r="H58" s="196">
        <f t="shared" si="3"/>
        <v>137915</v>
      </c>
      <c r="I58" s="196">
        <f t="shared" si="3"/>
        <v>148563</v>
      </c>
      <c r="J58" s="196">
        <f t="shared" si="3"/>
        <v>101630</v>
      </c>
      <c r="K58" s="196">
        <f t="shared" si="3"/>
        <v>115226</v>
      </c>
      <c r="L58" s="196">
        <f t="shared" si="3"/>
        <v>134567</v>
      </c>
      <c r="M58" s="196">
        <f t="shared" si="3"/>
        <v>121420</v>
      </c>
      <c r="N58" s="197"/>
    </row>
    <row r="59" spans="1:15" x14ac:dyDescent="0.25">
      <c r="A59" s="199" t="s">
        <v>254</v>
      </c>
      <c r="B59" s="165">
        <f>IF(B57&lt;&gt;"",(B57-B58)/B58,"")</f>
        <v>1.4079170405823113E-2</v>
      </c>
      <c r="C59" s="165">
        <f>IF(C57&lt;&gt;"",(C57-C58)/C58,"")</f>
        <v>1.7918173018036707E-2</v>
      </c>
      <c r="D59" s="165">
        <f>IF(D57&lt;&gt;"",(D57-D58)/D58,"")</f>
        <v>0.15809777583344103</v>
      </c>
      <c r="E59" s="165">
        <f>IF(E57&lt;&gt;"",(E57-E58)/E58,"")</f>
        <v>-7.9641620986039122E-2</v>
      </c>
      <c r="F59" s="165">
        <f>IF(F57&lt;&gt;"",(F57-F58)/F58,"")</f>
        <v>-0.32407245033444398</v>
      </c>
      <c r="G59" s="165">
        <f t="shared" ref="G59:M59" si="4">IF(G57&lt;&gt;"",(G57-G58)/G58,"")</f>
        <v>-0.36581711315879001</v>
      </c>
      <c r="H59" s="165">
        <f t="shared" si="4"/>
        <v>-0.40970887865714389</v>
      </c>
      <c r="I59" s="165">
        <f t="shared" si="4"/>
        <v>-0.42987150232561272</v>
      </c>
      <c r="J59" s="165">
        <f t="shared" si="4"/>
        <v>-0.41713076847387581</v>
      </c>
      <c r="K59" s="165">
        <f t="shared" si="4"/>
        <v>-0.47484074774790413</v>
      </c>
      <c r="L59" s="165">
        <f t="shared" si="4"/>
        <v>-0.43819807233571378</v>
      </c>
      <c r="M59" s="165">
        <f t="shared" si="4"/>
        <v>-0.17251688354472081</v>
      </c>
    </row>
    <row r="60" spans="1:15" x14ac:dyDescent="0.25">
      <c r="A60" s="195" t="s">
        <v>255</v>
      </c>
      <c r="B60" s="196">
        <f>SUM(B57:M57)</f>
        <v>1089849</v>
      </c>
    </row>
    <row r="61" spans="1:15" x14ac:dyDescent="0.25">
      <c r="A61" s="198" t="s">
        <v>256</v>
      </c>
      <c r="B61" s="196">
        <f>SUM(B58:M58)</f>
        <v>1480011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0.73637898637239863</v>
      </c>
      <c r="D62" s="152">
        <f>SUM(B46:E46)</f>
        <v>2.57</v>
      </c>
      <c r="E62" s="152">
        <f>SUM(B49:E49)</f>
        <v>2.35</v>
      </c>
      <c r="G62" s="126">
        <f>SUM(B47:E47)</f>
        <v>16.799999999999997</v>
      </c>
      <c r="H62" s="126">
        <f>SUM(B50:E50)</f>
        <v>15.129999999999999</v>
      </c>
      <c r="J62" s="200">
        <f>AVERAGE(H46:K46)</f>
        <v>0.29062500000000002</v>
      </c>
      <c r="K62" s="200">
        <f>AVERAGE(H49:K49)</f>
        <v>0.24180000000000001</v>
      </c>
      <c r="M62" s="200">
        <f>AVERAGE(H47:K47)</f>
        <v>0.14115</v>
      </c>
      <c r="N62" s="200">
        <f>AVERAGE(H50:K50)</f>
        <v>0.13240000000000002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0.19</v>
      </c>
      <c r="C65" s="205">
        <f t="shared" si="5"/>
        <v>0.61</v>
      </c>
      <c r="D65" s="205">
        <f t="shared" si="5"/>
        <v>0.43</v>
      </c>
      <c r="E65" s="205">
        <f t="shared" si="5"/>
        <v>0.69</v>
      </c>
      <c r="F65" s="206">
        <f>IF(ISNA(HLOOKUP(F$64*10+$A65,$81:$82,2,FALSE)),(HLOOKUP(E$64*10+$A65,$87:$94,4,FALSE)*$G65+$B$25)/HLOOKUP(E$64*10+$A65,$87:$94,5,FALSE)*$E65,HLOOKUP(F$64*10+$A65,$81:$82,2,FALSE))</f>
        <v>0.26</v>
      </c>
      <c r="G65" s="101">
        <f>MIN(130%,SUM($B$57:$D$57)/SUM($B$58:$D$58)*$G$69/HLOOKUP(E$64*10+$A65,$145:$146,2,FALSE))</f>
        <v>1.172280358914165</v>
      </c>
      <c r="H65" s="204">
        <v>1</v>
      </c>
      <c r="I65" s="208">
        <f t="shared" ref="I65:M68" si="6">IF(ISNA(HLOOKUP(I$64*10+$H65,$145:$147,3,FALSE)),"",HLOOKUP(I$64*10+$H65,$145:$147,3,FALSE)/100)</f>
        <v>7.1599999999999997E-2</v>
      </c>
      <c r="J65" s="208">
        <f t="shared" si="6"/>
        <v>0.13669999999999999</v>
      </c>
      <c r="K65" s="208">
        <f t="shared" si="6"/>
        <v>0.10550000000000001</v>
      </c>
      <c r="L65" s="208">
        <f t="shared" si="6"/>
        <v>0.13320000000000001</v>
      </c>
      <c r="M65" s="209">
        <f t="shared" si="6"/>
        <v>0.1394</v>
      </c>
      <c r="N65" s="256">
        <f t="shared" ref="N65:O68" si="7">HLOOKUP(E$64*10+$A65,$87:$94,8,FALSE)</f>
        <v>-7078</v>
      </c>
      <c r="O65" s="256">
        <f t="shared" si="7"/>
        <v>-16112</v>
      </c>
      <c r="P65" s="210"/>
    </row>
    <row r="66" spans="1:71" x14ac:dyDescent="0.25">
      <c r="A66" s="204">
        <v>2</v>
      </c>
      <c r="B66" s="205">
        <f t="shared" si="5"/>
        <v>0.28999999999999998</v>
      </c>
      <c r="C66" s="205">
        <f t="shared" si="5"/>
        <v>0.3</v>
      </c>
      <c r="D66" s="205">
        <f t="shared" si="5"/>
        <v>0.97</v>
      </c>
      <c r="E66" s="205">
        <f t="shared" si="5"/>
        <v>0.62</v>
      </c>
      <c r="F66" s="206">
        <f>IF(ISNA(HLOOKUP(F$64*10+$A66,$81:$82,2,FALSE)),(HLOOKUP(E$64*10+$A66,$87:$94,4,FALSE)*$G66+$B$25)/HLOOKUP(E$64*10+$A66,$87:$94,5,FALSE)*$E66,HLOOKUP(F$64*10+$A66,$81:$82,2,FALSE))</f>
        <v>0.6</v>
      </c>
      <c r="G66" s="101">
        <f>MIN(130%,SUM($B$57:$D$57)/SUM($B$58:$D$58)*$G$69/HLOOKUP(E$64*10+$A66,$145:$146,2,FALSE))</f>
        <v>1.1348824578935905</v>
      </c>
      <c r="H66" s="204">
        <v>2</v>
      </c>
      <c r="I66" s="208">
        <f t="shared" si="6"/>
        <v>0.1232</v>
      </c>
      <c r="J66" s="208">
        <f t="shared" si="6"/>
        <v>7.9600000000000004E-2</v>
      </c>
      <c r="K66" s="208">
        <f t="shared" si="6"/>
        <v>0.13039999999999999</v>
      </c>
      <c r="L66" s="208">
        <f t="shared" si="6"/>
        <v>0.1484</v>
      </c>
      <c r="M66" s="209">
        <f t="shared" si="6"/>
        <v>0.1358</v>
      </c>
      <c r="N66" s="256">
        <f t="shared" si="7"/>
        <v>-17355</v>
      </c>
      <c r="O66" s="256">
        <f t="shared" si="7"/>
        <v>3507</v>
      </c>
      <c r="P66" s="210"/>
    </row>
    <row r="67" spans="1:71" x14ac:dyDescent="0.25">
      <c r="A67" s="204">
        <v>3</v>
      </c>
      <c r="B67" s="205">
        <f t="shared" si="5"/>
        <v>0.32</v>
      </c>
      <c r="C67" s="205">
        <f t="shared" si="5"/>
        <v>0.43</v>
      </c>
      <c r="D67" s="205">
        <f t="shared" si="5"/>
        <v>1.49</v>
      </c>
      <c r="E67" s="205">
        <f t="shared" si="5"/>
        <v>0.43</v>
      </c>
      <c r="F67" s="206">
        <f>IF(ISNA(HLOOKUP(F$64*10+$A67,$81:$82,2,FALSE)),(HLOOKUP(E$64*10+$A67,$87:$94,4,FALSE)*$G67+$B$25)/HLOOKUP(E$64*10+$A67,$87:$94,5,FALSE)*$E67,HLOOKUP(F$64*10+$A67,$81:$82,2,FALSE))</f>
        <v>0.84</v>
      </c>
      <c r="G67" s="101">
        <f>MIN(130%,SUM($B$57:$D$57)/SUM($B$58:$D$58)*$G$69/HLOOKUP(E$64*10+$A67,$145:$146,2,FALSE))</f>
        <v>1.1639209771601631</v>
      </c>
      <c r="H67" s="204">
        <v>3</v>
      </c>
      <c r="I67" s="208">
        <f t="shared" si="6"/>
        <v>9.3699999999999992E-2</v>
      </c>
      <c r="J67" s="208">
        <f t="shared" si="6"/>
        <v>8.2200000000000009E-2</v>
      </c>
      <c r="K67" s="208">
        <f t="shared" si="6"/>
        <v>0.13600000000000001</v>
      </c>
      <c r="L67" s="208">
        <f t="shared" si="6"/>
        <v>0.11710000000000001</v>
      </c>
      <c r="M67" s="209">
        <f t="shared" si="6"/>
        <v>0.1431</v>
      </c>
      <c r="N67" s="256">
        <f t="shared" si="7"/>
        <v>-9662</v>
      </c>
      <c r="O67" s="256">
        <f t="shared" si="7"/>
        <v>4459</v>
      </c>
      <c r="P67" s="210"/>
    </row>
    <row r="68" spans="1:71" x14ac:dyDescent="0.25">
      <c r="A68" s="204">
        <v>4</v>
      </c>
      <c r="B68" s="205">
        <f>HLOOKUP(B$64*10+$A68,$81:$82,2,FALSE)</f>
        <v>0.47</v>
      </c>
      <c r="C68" s="205">
        <f>HLOOKUP(C$64*10+$A68,$81:$82,2,FALSE)</f>
        <v>0.72</v>
      </c>
      <c r="D68" s="205">
        <f>HLOOKUP(D$64*10+$A68,$81:$82,2,FALSE)</f>
        <v>0.61</v>
      </c>
      <c r="E68" s="206">
        <f>IF(ISNA(HLOOKUP(E$64*10+$A68,$81:$82,2,FALSE)),D68*(1-$N68)*#REF!*(1+$B$25)/(1+$E$4),HLOOKUP(E$64*10+$A68,$81:$82,2,FALSE))</f>
        <v>0.87</v>
      </c>
      <c r="F68" s="206">
        <f>IF(ISNA(HLOOKUP(F$64*10+$A68,$81:$82,2,FALSE)),(HLOOKUP(E$64*10+$A68,$87:$94,4,FALSE)*$G68+$B$25)/HLOOKUP(E$64*10+$A68,$87:$94,5,FALSE)*$E68,HLOOKUP(F$64*10+$A68,$81:$82,2,FALSE))</f>
        <v>0.63007417490210937</v>
      </c>
      <c r="G68" s="101">
        <f>MIN(130%,SUM($B$57:$D$57)/SUM($B$58:$D$58)*$G$69/HLOOKUP(E$64*10+$A68,$145:$146,2,FALSE))</f>
        <v>0.95386304900303498</v>
      </c>
      <c r="H68" s="204">
        <v>4</v>
      </c>
      <c r="I68" s="208">
        <f t="shared" si="6"/>
        <v>0.107</v>
      </c>
      <c r="J68" s="208">
        <f t="shared" si="6"/>
        <v>0.1128</v>
      </c>
      <c r="K68" s="208">
        <f t="shared" si="6"/>
        <v>0.13089999999999999</v>
      </c>
      <c r="L68" s="208">
        <f t="shared" si="6"/>
        <v>0.14630000000000001</v>
      </c>
      <c r="M68" s="209" t="str">
        <f t="shared" si="6"/>
        <v/>
      </c>
      <c r="N68" s="256">
        <f t="shared" si="7"/>
        <v>13261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1.27</v>
      </c>
      <c r="C69" s="213">
        <f>SUM(C65:C68)</f>
        <v>2.0599999999999996</v>
      </c>
      <c r="D69" s="213">
        <f>SUM(D65:D68)</f>
        <v>3.4999999999999996</v>
      </c>
      <c r="E69" s="213">
        <f>SUM(E65:E68)</f>
        <v>2.61</v>
      </c>
      <c r="F69" s="213">
        <f>SUM(F65:F68)</f>
        <v>2.3300741749021094</v>
      </c>
      <c r="G69" s="257">
        <f>_xlfn.FORECAST.ETS(23,B146:W146,{1,2,3,4,5,6,7,8,9,10,11,12,13,14,15,16,17,18,19,20,21,22})</f>
        <v>26.095694413478451</v>
      </c>
      <c r="H69" s="214" t="s">
        <v>19</v>
      </c>
      <c r="I69" s="215">
        <f>HLOOKUP(I64,151:155,3,FALSE)/100</f>
        <v>0.10060000000000001</v>
      </c>
      <c r="J69" s="215">
        <f>HLOOKUP(J64,151:155,3,FALSE)/100</f>
        <v>0.10249999999999999</v>
      </c>
      <c r="K69" s="215">
        <f>HLOOKUP(K64,151:155,3,FALSE)/100</f>
        <v>0.12789999999999999</v>
      </c>
      <c r="L69" s="215">
        <f>IF(ISNA(HLOOKUP(L64,151:155,3,FALSE)/100),AVERAGE(L65:L68),HLOOKUP(L64,151:155,3,FALSE)/100)</f>
        <v>0.1368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1.51</v>
      </c>
      <c r="C72" s="205">
        <f t="shared" si="8"/>
        <v>4.6100000000000003</v>
      </c>
      <c r="D72" s="205">
        <f t="shared" si="8"/>
        <v>3.03</v>
      </c>
      <c r="E72" s="205">
        <f t="shared" si="8"/>
        <v>4.24</v>
      </c>
      <c r="F72" s="205">
        <f t="shared" si="8"/>
        <v>1.63</v>
      </c>
    </row>
    <row r="73" spans="1:71" s="135" customFormat="1" x14ac:dyDescent="0.25">
      <c r="A73" s="204">
        <v>2</v>
      </c>
      <c r="B73" s="205">
        <f t="shared" si="8"/>
        <v>2.41</v>
      </c>
      <c r="C73" s="205">
        <f t="shared" si="8"/>
        <v>2.35</v>
      </c>
      <c r="D73" s="205">
        <f t="shared" si="8"/>
        <v>6.97</v>
      </c>
      <c r="E73" s="205">
        <f t="shared" si="8"/>
        <v>4.0599999999999996</v>
      </c>
      <c r="F73" s="205">
        <f t="shared" si="8"/>
        <v>3.95</v>
      </c>
    </row>
    <row r="74" spans="1:71" s="135" customFormat="1" x14ac:dyDescent="0.25">
      <c r="A74" s="204">
        <v>3</v>
      </c>
      <c r="B74" s="205">
        <f t="shared" si="8"/>
        <v>2.62</v>
      </c>
      <c r="C74" s="205">
        <f t="shared" si="8"/>
        <v>3.27</v>
      </c>
      <c r="D74" s="205">
        <f t="shared" si="8"/>
        <v>10.38</v>
      </c>
      <c r="E74" s="205">
        <f t="shared" si="8"/>
        <v>2.89</v>
      </c>
      <c r="F74" s="205">
        <f t="shared" si="8"/>
        <v>5.62</v>
      </c>
    </row>
    <row r="75" spans="1:71" s="135" customFormat="1" x14ac:dyDescent="0.25">
      <c r="A75" s="204">
        <v>4</v>
      </c>
      <c r="B75" s="205">
        <f t="shared" si="8"/>
        <v>3.7</v>
      </c>
      <c r="C75" s="205">
        <f t="shared" si="8"/>
        <v>5.34</v>
      </c>
      <c r="D75" s="205">
        <f t="shared" si="8"/>
        <v>3.94</v>
      </c>
      <c r="E75" s="205">
        <f t="shared" si="8"/>
        <v>5.6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10.24</v>
      </c>
      <c r="C76" s="213">
        <f>SUM(C72:C75)</f>
        <v>15.57</v>
      </c>
      <c r="D76" s="213">
        <f>SUM(D72:D75)</f>
        <v>24.320000000000004</v>
      </c>
      <c r="E76" s="213">
        <f>AVERAGE(E72:E75)*4</f>
        <v>16.79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33096</v>
      </c>
      <c r="C79" s="270">
        <v>35818</v>
      </c>
      <c r="D79" s="270">
        <v>39846</v>
      </c>
      <c r="E79" s="270">
        <v>31584</v>
      </c>
      <c r="F79" s="270">
        <v>46399</v>
      </c>
      <c r="G79" s="270">
        <v>38076</v>
      </c>
      <c r="H79" s="270">
        <v>34765</v>
      </c>
      <c r="I79" s="270">
        <v>46831</v>
      </c>
      <c r="J79" s="270">
        <v>38281</v>
      </c>
      <c r="K79" s="270">
        <v>50504</v>
      </c>
      <c r="L79" s="270">
        <v>48372</v>
      </c>
      <c r="M79" s="270">
        <v>42800</v>
      </c>
      <c r="N79" s="270">
        <v>43988</v>
      </c>
      <c r="O79" s="270">
        <v>42366</v>
      </c>
      <c r="P79" s="270">
        <v>52238</v>
      </c>
      <c r="Q79" s="270">
        <v>50996</v>
      </c>
      <c r="R79" s="270">
        <v>48802</v>
      </c>
      <c r="S79" s="270">
        <v>69825</v>
      </c>
      <c r="T79" s="270">
        <v>78649</v>
      </c>
      <c r="U79" s="270">
        <v>63800</v>
      </c>
      <c r="V79" s="270">
        <v>60108</v>
      </c>
      <c r="W79" s="270">
        <v>81117</v>
      </c>
      <c r="X79" s="270">
        <v>79671</v>
      </c>
      <c r="Y79" s="270">
        <v>88697</v>
      </c>
      <c r="Z79" s="270">
        <v>80306</v>
      </c>
      <c r="AA79" s="270">
        <v>81859</v>
      </c>
      <c r="AB79" s="270">
        <v>80447</v>
      </c>
      <c r="AC79" s="270">
        <v>84330</v>
      </c>
      <c r="AD79" s="270">
        <v>82601</v>
      </c>
      <c r="AE79" s="270">
        <v>88336</v>
      </c>
      <c r="AF79" s="270">
        <v>83521</v>
      </c>
      <c r="AG79" s="270">
        <v>88317</v>
      </c>
      <c r="AH79" s="270">
        <v>95647</v>
      </c>
      <c r="AI79" s="270">
        <v>96542</v>
      </c>
      <c r="AJ79" s="270">
        <v>96957</v>
      </c>
      <c r="AK79" s="270">
        <v>97397</v>
      </c>
      <c r="AL79" s="270">
        <v>84651</v>
      </c>
      <c r="AM79" s="270">
        <v>87453</v>
      </c>
      <c r="AN79" s="270">
        <v>103924</v>
      </c>
      <c r="AO79" s="270">
        <v>120721</v>
      </c>
      <c r="AP79" s="270">
        <v>170147</v>
      </c>
      <c r="AQ79" s="270">
        <v>205268</v>
      </c>
      <c r="AR79" s="270">
        <v>184770</v>
      </c>
      <c r="AS79" s="270">
        <v>154539</v>
      </c>
      <c r="AT79" s="270">
        <v>135689</v>
      </c>
      <c r="AU79" s="270">
        <v>105967</v>
      </c>
      <c r="AV79" s="270">
        <v>121420</v>
      </c>
      <c r="AW79" s="270">
        <v>134567</v>
      </c>
      <c r="AX79" s="270">
        <v>115226</v>
      </c>
      <c r="AY79" s="270">
        <v>101630</v>
      </c>
      <c r="AZ79" s="270">
        <v>148563</v>
      </c>
      <c r="BA79" s="270">
        <v>137915</v>
      </c>
      <c r="BB79" s="270">
        <v>138151</v>
      </c>
      <c r="BC79" s="270">
        <v>159668</v>
      </c>
      <c r="BD79" s="270">
        <v>120766</v>
      </c>
      <c r="BE79" s="270">
        <v>100577</v>
      </c>
      <c r="BF79" s="270">
        <v>101238</v>
      </c>
      <c r="BG79" s="270">
        <v>100290</v>
      </c>
      <c r="BH79" s="270">
        <v>100473</v>
      </c>
      <c r="BI79" s="270">
        <v>75600</v>
      </c>
      <c r="BJ79" s="270">
        <v>60512</v>
      </c>
      <c r="BK79" s="270">
        <v>59237</v>
      </c>
      <c r="BL79" s="270">
        <v>84700</v>
      </c>
      <c r="BM79" s="270">
        <v>81410</v>
      </c>
      <c r="BN79" s="270">
        <v>87613</v>
      </c>
      <c r="BO79" s="270">
        <v>107924</v>
      </c>
      <c r="BP79" s="270">
        <v>111148</v>
      </c>
      <c r="BQ79" s="270">
        <v>116478</v>
      </c>
      <c r="BR79" s="270">
        <v>103052</v>
      </c>
      <c r="BS79" s="270">
        <v>101702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0.21</v>
      </c>
      <c r="C82" s="72">
        <v>0.24</v>
      </c>
      <c r="D82" s="72">
        <v>0.14000000000000001</v>
      </c>
      <c r="E82" s="72">
        <v>0.12</v>
      </c>
      <c r="F82" s="72">
        <v>0.19</v>
      </c>
      <c r="G82" s="72">
        <v>0.28999999999999998</v>
      </c>
      <c r="H82" s="72">
        <v>0.32</v>
      </c>
      <c r="I82" s="72">
        <v>0.47</v>
      </c>
      <c r="J82" s="72">
        <v>0.61</v>
      </c>
      <c r="K82" s="72">
        <v>0.3</v>
      </c>
      <c r="L82" s="72">
        <v>0.43</v>
      </c>
      <c r="M82" s="72">
        <v>0.72</v>
      </c>
      <c r="N82" s="72">
        <v>0.43</v>
      </c>
      <c r="O82" s="72">
        <v>0.97</v>
      </c>
      <c r="P82" s="72">
        <v>1.49</v>
      </c>
      <c r="Q82" s="72">
        <v>0.61</v>
      </c>
      <c r="R82" s="72">
        <v>0.69</v>
      </c>
      <c r="S82" s="72">
        <v>0.62</v>
      </c>
      <c r="T82" s="72">
        <v>0.43</v>
      </c>
      <c r="U82" s="72">
        <v>0.87</v>
      </c>
      <c r="V82" s="72">
        <v>0.26</v>
      </c>
      <c r="W82" s="72">
        <v>0.6</v>
      </c>
      <c r="X82" s="72">
        <v>0.84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12.62</v>
      </c>
      <c r="C85" s="72">
        <v>12.47</v>
      </c>
      <c r="D85" s="72">
        <v>12.61</v>
      </c>
      <c r="E85" s="72">
        <v>12.71</v>
      </c>
      <c r="F85" s="72">
        <v>12.31</v>
      </c>
      <c r="G85" s="72">
        <v>12.06</v>
      </c>
      <c r="H85" s="72">
        <v>12.4</v>
      </c>
      <c r="I85" s="72">
        <v>12.87</v>
      </c>
      <c r="J85" s="72">
        <v>13.56</v>
      </c>
      <c r="K85" s="72">
        <v>13.69</v>
      </c>
      <c r="L85" s="72">
        <v>13.17</v>
      </c>
      <c r="M85" s="72">
        <v>13.85</v>
      </c>
      <c r="N85" s="72">
        <v>14.29</v>
      </c>
      <c r="O85" s="72">
        <v>13.68</v>
      </c>
      <c r="P85" s="72">
        <v>15.14</v>
      </c>
      <c r="Q85" s="72">
        <v>15.92</v>
      </c>
      <c r="R85" s="72">
        <v>16.62</v>
      </c>
      <c r="S85" s="72">
        <v>15.13</v>
      </c>
      <c r="T85" s="72">
        <v>15.08</v>
      </c>
      <c r="U85" s="72">
        <v>15.9</v>
      </c>
      <c r="V85" s="72">
        <v>16.05</v>
      </c>
      <c r="W85" s="72">
        <v>14.55</v>
      </c>
      <c r="X85" s="72">
        <v>15.41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109498</v>
      </c>
      <c r="C88" s="273">
        <v>116817</v>
      </c>
      <c r="D88" s="273">
        <v>120528</v>
      </c>
      <c r="E88" s="273">
        <v>142205</v>
      </c>
      <c r="F88" s="273">
        <v>138592</v>
      </c>
      <c r="G88" s="273">
        <v>169623</v>
      </c>
      <c r="H88" s="273">
        <v>202557</v>
      </c>
      <c r="I88" s="273">
        <v>249485</v>
      </c>
      <c r="J88" s="273">
        <v>242612</v>
      </c>
      <c r="K88" s="273">
        <v>255267</v>
      </c>
      <c r="L88" s="273">
        <v>267485</v>
      </c>
      <c r="M88" s="273">
        <v>290896</v>
      </c>
      <c r="N88" s="273">
        <v>276028</v>
      </c>
      <c r="O88" s="273">
        <v>496136</v>
      </c>
      <c r="P88" s="273">
        <v>474998</v>
      </c>
      <c r="Q88" s="273">
        <v>361954</v>
      </c>
      <c r="R88" s="273">
        <v>365419</v>
      </c>
      <c r="S88" s="273">
        <v>435734</v>
      </c>
      <c r="T88" s="273">
        <v>322581</v>
      </c>
      <c r="U88" s="273">
        <v>276363</v>
      </c>
      <c r="V88" s="273">
        <v>204449</v>
      </c>
      <c r="W88" s="273">
        <v>276947</v>
      </c>
      <c r="X88" s="273">
        <v>330678</v>
      </c>
    </row>
    <row r="89" spans="1:25" ht="14.25" thickBot="1" x14ac:dyDescent="0.3">
      <c r="A89" s="250" t="s">
        <v>4</v>
      </c>
      <c r="B89" s="275">
        <v>39764</v>
      </c>
      <c r="C89" s="275">
        <v>39981</v>
      </c>
      <c r="D89" s="275">
        <v>37073</v>
      </c>
      <c r="E89" s="275">
        <v>43654</v>
      </c>
      <c r="F89" s="275">
        <v>39231</v>
      </c>
      <c r="G89" s="275">
        <v>49981</v>
      </c>
      <c r="H89" s="275">
        <v>52983</v>
      </c>
      <c r="I89" s="275">
        <v>60269</v>
      </c>
      <c r="J89" s="275">
        <v>70490</v>
      </c>
      <c r="K89" s="275">
        <v>62606</v>
      </c>
      <c r="L89" s="275">
        <v>55937</v>
      </c>
      <c r="M89" s="275">
        <v>73166</v>
      </c>
      <c r="N89" s="275">
        <v>65662</v>
      </c>
      <c r="O89" s="275">
        <v>107615</v>
      </c>
      <c r="P89" s="275">
        <v>114526</v>
      </c>
      <c r="Q89" s="275">
        <v>89635</v>
      </c>
      <c r="R89" s="275">
        <v>86477</v>
      </c>
      <c r="S89" s="275">
        <v>106518</v>
      </c>
      <c r="T89" s="275">
        <v>76900</v>
      </c>
      <c r="U89" s="275">
        <v>80396</v>
      </c>
      <c r="V89" s="275">
        <v>62861</v>
      </c>
      <c r="W89" s="275">
        <v>80660</v>
      </c>
      <c r="X89" s="275">
        <v>90230</v>
      </c>
    </row>
    <row r="90" spans="1:25" ht="14.25" thickBot="1" x14ac:dyDescent="0.3">
      <c r="A90" s="251" t="s">
        <v>5</v>
      </c>
      <c r="B90" s="273">
        <v>12877</v>
      </c>
      <c r="C90" s="273">
        <v>10984</v>
      </c>
      <c r="D90" s="273">
        <v>9369</v>
      </c>
      <c r="E90" s="273">
        <v>15227</v>
      </c>
      <c r="F90" s="273">
        <v>9925</v>
      </c>
      <c r="G90" s="273">
        <v>20898</v>
      </c>
      <c r="H90" s="273">
        <v>18975</v>
      </c>
      <c r="I90" s="273">
        <v>26693</v>
      </c>
      <c r="J90" s="273">
        <v>33177</v>
      </c>
      <c r="K90" s="273">
        <v>20307</v>
      </c>
      <c r="L90" s="273">
        <v>21987</v>
      </c>
      <c r="M90" s="273">
        <v>32822</v>
      </c>
      <c r="N90" s="273">
        <v>29117</v>
      </c>
      <c r="O90" s="273">
        <v>64685</v>
      </c>
      <c r="P90" s="273">
        <v>64594</v>
      </c>
      <c r="Q90" s="273">
        <v>47392</v>
      </c>
      <c r="R90" s="273">
        <v>48688</v>
      </c>
      <c r="S90" s="273">
        <v>64646</v>
      </c>
      <c r="T90" s="273">
        <v>37779</v>
      </c>
      <c r="U90" s="273">
        <v>40428</v>
      </c>
      <c r="V90" s="273">
        <v>28493</v>
      </c>
      <c r="W90" s="273">
        <v>37607</v>
      </c>
      <c r="X90" s="273">
        <v>47312</v>
      </c>
    </row>
    <row r="91" spans="1:25" ht="14.25" thickBot="1" x14ac:dyDescent="0.3">
      <c r="A91" s="250" t="s">
        <v>6</v>
      </c>
      <c r="B91" s="275">
        <v>12971</v>
      </c>
      <c r="C91" s="275">
        <v>14256</v>
      </c>
      <c r="D91" s="275">
        <v>10684</v>
      </c>
      <c r="E91" s="275">
        <v>16095</v>
      </c>
      <c r="F91" s="275">
        <v>11667</v>
      </c>
      <c r="G91" s="275">
        <v>18340</v>
      </c>
      <c r="H91" s="275">
        <v>19072</v>
      </c>
      <c r="I91" s="275">
        <v>24351</v>
      </c>
      <c r="J91" s="275">
        <v>35519</v>
      </c>
      <c r="K91" s="275">
        <v>19547</v>
      </c>
      <c r="L91" s="275">
        <v>26174</v>
      </c>
      <c r="M91" s="275">
        <v>44013</v>
      </c>
      <c r="N91" s="275">
        <v>27718</v>
      </c>
      <c r="O91" s="275">
        <v>63148</v>
      </c>
      <c r="P91" s="275">
        <v>91278</v>
      </c>
      <c r="Q91" s="275">
        <v>40537</v>
      </c>
      <c r="R91" s="275">
        <v>41610</v>
      </c>
      <c r="S91" s="275">
        <v>47291</v>
      </c>
      <c r="T91" s="275">
        <v>28117</v>
      </c>
      <c r="U91" s="275">
        <v>53689</v>
      </c>
      <c r="V91" s="275">
        <v>12381</v>
      </c>
      <c r="W91" s="275">
        <v>41114</v>
      </c>
      <c r="X91" s="275">
        <v>51771</v>
      </c>
    </row>
    <row r="92" spans="1:25" ht="14.25" thickBot="1" x14ac:dyDescent="0.3">
      <c r="A92" s="251" t="s">
        <v>7</v>
      </c>
      <c r="B92" s="273">
        <v>10369</v>
      </c>
      <c r="C92" s="273">
        <v>11803</v>
      </c>
      <c r="D92" s="273">
        <v>6685</v>
      </c>
      <c r="E92" s="273">
        <v>5680</v>
      </c>
      <c r="F92" s="273">
        <v>9017</v>
      </c>
      <c r="G92" s="273">
        <v>14002</v>
      </c>
      <c r="H92" s="273">
        <v>15284</v>
      </c>
      <c r="I92" s="273">
        <v>22298</v>
      </c>
      <c r="J92" s="273">
        <v>29029</v>
      </c>
      <c r="K92" s="273">
        <v>15389</v>
      </c>
      <c r="L92" s="273">
        <v>21980</v>
      </c>
      <c r="M92" s="273">
        <v>37293</v>
      </c>
      <c r="N92" s="273">
        <v>22077</v>
      </c>
      <c r="O92" s="273">
        <v>50415</v>
      </c>
      <c r="P92" s="273">
        <v>77306</v>
      </c>
      <c r="Q92" s="273">
        <v>31635</v>
      </c>
      <c r="R92" s="273">
        <v>35694</v>
      </c>
      <c r="S92" s="273">
        <v>33290</v>
      </c>
      <c r="T92" s="273">
        <v>22902</v>
      </c>
      <c r="U92" s="273">
        <v>46198</v>
      </c>
      <c r="V92" s="273">
        <v>13785</v>
      </c>
      <c r="W92" s="273">
        <v>31618</v>
      </c>
      <c r="X92" s="273">
        <v>43897</v>
      </c>
    </row>
    <row r="93" spans="1:25" ht="26.25" thickBot="1" x14ac:dyDescent="0.3">
      <c r="A93" s="252" t="s">
        <v>8</v>
      </c>
      <c r="B93" s="276">
        <v>10369</v>
      </c>
      <c r="C93" s="276">
        <v>11803</v>
      </c>
      <c r="D93" s="276">
        <v>6685</v>
      </c>
      <c r="E93" s="276">
        <v>5680</v>
      </c>
      <c r="F93" s="276">
        <v>9017</v>
      </c>
      <c r="G93" s="276">
        <v>14002</v>
      </c>
      <c r="H93" s="276">
        <v>15284</v>
      </c>
      <c r="I93" s="276">
        <v>22298</v>
      </c>
      <c r="J93" s="276">
        <v>29029</v>
      </c>
      <c r="K93" s="276">
        <v>15389</v>
      </c>
      <c r="L93" s="276">
        <v>21980</v>
      </c>
      <c r="M93" s="276">
        <v>37293</v>
      </c>
      <c r="N93" s="276">
        <v>22077</v>
      </c>
      <c r="O93" s="276">
        <v>50415</v>
      </c>
      <c r="P93" s="276">
        <v>77306</v>
      </c>
      <c r="Q93" s="276">
        <v>31635</v>
      </c>
      <c r="R93" s="276">
        <v>35694</v>
      </c>
      <c r="S93" s="276">
        <v>33290</v>
      </c>
      <c r="T93" s="276">
        <v>22902</v>
      </c>
      <c r="U93" s="276">
        <v>46198</v>
      </c>
      <c r="V93" s="276">
        <v>13785</v>
      </c>
      <c r="W93" s="276">
        <v>31618</v>
      </c>
      <c r="X93" s="276">
        <v>43897</v>
      </c>
    </row>
    <row r="94" spans="1:25" x14ac:dyDescent="0.25">
      <c r="A94" s="233" t="s">
        <v>365</v>
      </c>
      <c r="B94" s="253">
        <f>IF(B91="","",B91-B90)</f>
        <v>94</v>
      </c>
      <c r="C94" s="253">
        <f>IF(C91="","",C91-C90)</f>
        <v>3272</v>
      </c>
      <c r="D94" s="253">
        <f t="shared" ref="D94:Y94" si="9">IF(D91="","",D91-D90)</f>
        <v>1315</v>
      </c>
      <c r="E94" s="253">
        <f t="shared" si="9"/>
        <v>868</v>
      </c>
      <c r="F94" s="253">
        <f t="shared" si="9"/>
        <v>1742</v>
      </c>
      <c r="G94" s="253">
        <f t="shared" si="9"/>
        <v>-2558</v>
      </c>
      <c r="H94" s="253">
        <f t="shared" si="9"/>
        <v>97</v>
      </c>
      <c r="I94" s="253">
        <f t="shared" si="9"/>
        <v>-2342</v>
      </c>
      <c r="J94" s="253">
        <f t="shared" si="9"/>
        <v>2342</v>
      </c>
      <c r="K94" s="253">
        <f t="shared" si="9"/>
        <v>-760</v>
      </c>
      <c r="L94" s="253">
        <f t="shared" si="9"/>
        <v>4187</v>
      </c>
      <c r="M94" s="253">
        <f t="shared" si="9"/>
        <v>11191</v>
      </c>
      <c r="N94" s="253">
        <f t="shared" si="9"/>
        <v>-1399</v>
      </c>
      <c r="O94" s="253">
        <f t="shared" si="9"/>
        <v>-1537</v>
      </c>
      <c r="P94" s="253">
        <f t="shared" si="9"/>
        <v>26684</v>
      </c>
      <c r="Q94" s="253">
        <f t="shared" si="9"/>
        <v>-6855</v>
      </c>
      <c r="R94" s="253">
        <f t="shared" si="9"/>
        <v>-7078</v>
      </c>
      <c r="S94" s="253">
        <f t="shared" si="9"/>
        <v>-17355</v>
      </c>
      <c r="T94" s="253">
        <f t="shared" si="9"/>
        <v>-9662</v>
      </c>
      <c r="U94" s="253">
        <f t="shared" si="9"/>
        <v>13261</v>
      </c>
      <c r="V94" s="253">
        <f t="shared" si="9"/>
        <v>-16112</v>
      </c>
      <c r="W94" s="253">
        <f t="shared" si="9"/>
        <v>3507</v>
      </c>
      <c r="X94" s="253">
        <f t="shared" si="9"/>
        <v>4459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489048</v>
      </c>
      <c r="C97" s="273">
        <v>760257</v>
      </c>
      <c r="D97" s="273">
        <v>1056260</v>
      </c>
      <c r="E97" s="273">
        <v>1609116</v>
      </c>
      <c r="F97" s="273">
        <v>1400097</v>
      </c>
    </row>
    <row r="98" spans="1:24" ht="14.25" thickBot="1" x14ac:dyDescent="0.3">
      <c r="A98" s="225" t="s">
        <v>4</v>
      </c>
      <c r="B98" s="275">
        <v>160472</v>
      </c>
      <c r="C98" s="275">
        <v>202464</v>
      </c>
      <c r="D98" s="275">
        <v>262199</v>
      </c>
      <c r="E98" s="275">
        <v>377438</v>
      </c>
      <c r="F98" s="275">
        <v>350291</v>
      </c>
    </row>
    <row r="99" spans="1:24" ht="14.25" thickBot="1" x14ac:dyDescent="0.3">
      <c r="A99" s="224" t="s">
        <v>5</v>
      </c>
      <c r="B99" s="273">
        <v>48457</v>
      </c>
      <c r="C99" s="273">
        <v>76491</v>
      </c>
      <c r="D99" s="273">
        <v>108293</v>
      </c>
      <c r="E99" s="273">
        <v>205788</v>
      </c>
      <c r="F99" s="273">
        <v>191541</v>
      </c>
    </row>
    <row r="100" spans="1:24" ht="14.25" thickBot="1" x14ac:dyDescent="0.3">
      <c r="A100" s="225" t="s">
        <v>6</v>
      </c>
      <c r="B100" s="275">
        <v>54006</v>
      </c>
      <c r="C100" s="275">
        <v>73430</v>
      </c>
      <c r="D100" s="275">
        <v>125253</v>
      </c>
      <c r="E100" s="275">
        <v>222681</v>
      </c>
      <c r="F100" s="275">
        <v>170707</v>
      </c>
    </row>
    <row r="101" spans="1:24" ht="14.25" thickBot="1" x14ac:dyDescent="0.3">
      <c r="A101" s="224" t="s">
        <v>7</v>
      </c>
      <c r="B101" s="273">
        <v>34537</v>
      </c>
      <c r="C101" s="273">
        <v>60601</v>
      </c>
      <c r="D101" s="273">
        <v>103691</v>
      </c>
      <c r="E101" s="273">
        <v>181433</v>
      </c>
      <c r="F101" s="273">
        <v>138084</v>
      </c>
    </row>
    <row r="102" spans="1:24" ht="14.25" thickBot="1" x14ac:dyDescent="0.3">
      <c r="A102" s="227" t="s">
        <v>8</v>
      </c>
      <c r="B102" s="276">
        <v>34537</v>
      </c>
      <c r="C102" s="276">
        <v>60601</v>
      </c>
      <c r="D102" s="276">
        <v>103691</v>
      </c>
      <c r="E102" s="276">
        <v>181433</v>
      </c>
      <c r="F102" s="276">
        <v>138084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315284</v>
      </c>
      <c r="C106" s="273">
        <v>308071</v>
      </c>
      <c r="D106" s="273">
        <v>303088</v>
      </c>
      <c r="E106" s="273">
        <v>352029</v>
      </c>
      <c r="F106" s="273">
        <v>144790</v>
      </c>
      <c r="G106" s="273">
        <v>153791</v>
      </c>
      <c r="H106" s="273">
        <v>130791</v>
      </c>
      <c r="I106" s="273">
        <v>273545</v>
      </c>
      <c r="J106" s="273">
        <v>196847</v>
      </c>
      <c r="K106" s="273">
        <v>273455</v>
      </c>
      <c r="L106" s="273">
        <v>228604</v>
      </c>
      <c r="M106" s="273">
        <v>267234</v>
      </c>
      <c r="N106" s="273">
        <v>334569</v>
      </c>
      <c r="O106" s="273">
        <v>312016</v>
      </c>
      <c r="P106" s="273">
        <v>511339</v>
      </c>
      <c r="Q106" s="273">
        <v>469252</v>
      </c>
      <c r="R106" s="273">
        <v>504647</v>
      </c>
      <c r="S106" s="273">
        <v>488484</v>
      </c>
      <c r="T106" s="273">
        <v>422870</v>
      </c>
      <c r="U106" s="273">
        <v>499254</v>
      </c>
      <c r="V106" s="273">
        <v>460308</v>
      </c>
      <c r="W106" s="273">
        <v>516742</v>
      </c>
      <c r="X106" s="273">
        <v>378901</v>
      </c>
    </row>
    <row r="107" spans="1:24" ht="14.25" thickBot="1" x14ac:dyDescent="0.3">
      <c r="A107" s="225" t="s">
        <v>22</v>
      </c>
      <c r="B107" s="275">
        <v>3213</v>
      </c>
      <c r="C107" s="275">
        <v>3245</v>
      </c>
      <c r="D107" s="275">
        <v>3706</v>
      </c>
      <c r="E107" s="275">
        <v>3046</v>
      </c>
      <c r="F107" s="275">
        <v>9765</v>
      </c>
      <c r="G107" s="275">
        <v>10238</v>
      </c>
      <c r="H107" s="275">
        <v>5910</v>
      </c>
      <c r="I107" s="275">
        <v>8532</v>
      </c>
      <c r="J107" s="275">
        <v>14933</v>
      </c>
      <c r="K107" s="275">
        <v>16471</v>
      </c>
      <c r="L107" s="275">
        <v>13211</v>
      </c>
      <c r="M107" s="275">
        <v>11334</v>
      </c>
      <c r="N107" s="275">
        <v>12224</v>
      </c>
      <c r="O107" s="275">
        <v>8055</v>
      </c>
      <c r="P107" s="275">
        <v>4962</v>
      </c>
      <c r="Q107" s="275">
        <v>7838</v>
      </c>
      <c r="R107" s="275">
        <v>6601</v>
      </c>
      <c r="S107" s="275">
        <v>6015</v>
      </c>
      <c r="T107" s="275">
        <v>5101</v>
      </c>
      <c r="U107" s="275">
        <v>4666</v>
      </c>
      <c r="V107" s="275">
        <v>5056</v>
      </c>
      <c r="W107" s="275">
        <v>4689</v>
      </c>
      <c r="X107" s="275">
        <v>5551</v>
      </c>
    </row>
    <row r="108" spans="1:24" ht="14.25" thickBot="1" x14ac:dyDescent="0.3">
      <c r="A108" s="224" t="s">
        <v>263</v>
      </c>
      <c r="B108" s="273">
        <v>47016</v>
      </c>
      <c r="C108" s="273">
        <v>63739</v>
      </c>
      <c r="D108" s="273">
        <v>57966</v>
      </c>
      <c r="E108" s="273">
        <v>60808</v>
      </c>
      <c r="F108" s="273">
        <v>66084</v>
      </c>
      <c r="G108" s="273">
        <v>63407</v>
      </c>
      <c r="H108" s="273">
        <v>79142</v>
      </c>
      <c r="I108" s="273">
        <v>66330</v>
      </c>
      <c r="J108" s="273">
        <v>100226</v>
      </c>
      <c r="K108" s="273">
        <v>61194</v>
      </c>
      <c r="L108" s="273">
        <v>111224</v>
      </c>
      <c r="M108" s="273">
        <v>137754</v>
      </c>
      <c r="N108" s="273">
        <v>116125</v>
      </c>
      <c r="O108" s="273">
        <v>336585</v>
      </c>
      <c r="P108" s="273">
        <v>91447</v>
      </c>
      <c r="Q108" s="273">
        <v>150069</v>
      </c>
      <c r="R108" s="273">
        <v>101854</v>
      </c>
      <c r="S108" s="273">
        <v>236858</v>
      </c>
      <c r="T108" s="273">
        <v>133617</v>
      </c>
      <c r="U108" s="273">
        <v>85896</v>
      </c>
      <c r="V108" s="273">
        <v>88985</v>
      </c>
      <c r="W108" s="273">
        <v>118417</v>
      </c>
      <c r="X108" s="273">
        <v>121576</v>
      </c>
    </row>
    <row r="109" spans="1:24" ht="14.25" thickBot="1" x14ac:dyDescent="0.3">
      <c r="A109" s="225" t="s">
        <v>264</v>
      </c>
      <c r="B109" s="275">
        <v>50514</v>
      </c>
      <c r="C109" s="275">
        <v>52952</v>
      </c>
      <c r="D109" s="275">
        <v>76148</v>
      </c>
      <c r="E109" s="275">
        <v>55879</v>
      </c>
      <c r="F109" s="275">
        <v>85906</v>
      </c>
      <c r="G109" s="275">
        <v>101381</v>
      </c>
      <c r="H109" s="275">
        <v>139796</v>
      </c>
      <c r="I109" s="275">
        <v>134616</v>
      </c>
      <c r="J109" s="275">
        <v>180401</v>
      </c>
      <c r="K109" s="275">
        <v>174444</v>
      </c>
      <c r="L109" s="275">
        <v>205826</v>
      </c>
      <c r="M109" s="275">
        <v>124074</v>
      </c>
      <c r="N109" s="275">
        <v>189877</v>
      </c>
      <c r="O109" s="275">
        <v>230984</v>
      </c>
      <c r="P109" s="275">
        <v>133204</v>
      </c>
      <c r="Q109" s="275">
        <v>136316</v>
      </c>
      <c r="R109" s="275">
        <v>211406</v>
      </c>
      <c r="S109" s="275">
        <v>147142</v>
      </c>
      <c r="T109" s="275">
        <v>135957</v>
      </c>
      <c r="U109" s="275">
        <v>64277</v>
      </c>
      <c r="V109" s="275">
        <v>87423</v>
      </c>
      <c r="W109" s="275">
        <v>140490</v>
      </c>
      <c r="X109" s="275">
        <v>130524</v>
      </c>
    </row>
    <row r="110" spans="1:24" ht="14.25" thickBot="1" x14ac:dyDescent="0.3">
      <c r="A110" s="224" t="s">
        <v>23</v>
      </c>
      <c r="B110" s="273">
        <v>29242</v>
      </c>
      <c r="C110" s="273">
        <v>26914</v>
      </c>
      <c r="D110" s="273">
        <v>25068</v>
      </c>
      <c r="E110" s="273">
        <v>24831</v>
      </c>
      <c r="F110" s="273">
        <v>231338</v>
      </c>
      <c r="G110" s="273">
        <v>236459</v>
      </c>
      <c r="H110" s="273">
        <v>237819</v>
      </c>
      <c r="I110" s="273">
        <v>215654</v>
      </c>
      <c r="J110" s="273">
        <v>223726</v>
      </c>
      <c r="K110" s="273">
        <v>202377</v>
      </c>
      <c r="L110" s="273">
        <v>213731</v>
      </c>
      <c r="M110" s="273">
        <v>210303</v>
      </c>
      <c r="N110" s="273">
        <v>226217</v>
      </c>
      <c r="O110" s="273">
        <v>208281</v>
      </c>
      <c r="P110" s="273">
        <v>198649</v>
      </c>
      <c r="Q110" s="273">
        <v>228886</v>
      </c>
      <c r="R110" s="273">
        <v>230050</v>
      </c>
      <c r="S110" s="273">
        <v>203118</v>
      </c>
      <c r="T110" s="273">
        <v>259005</v>
      </c>
      <c r="U110" s="273">
        <v>254765</v>
      </c>
      <c r="V110" s="273">
        <v>250999</v>
      </c>
      <c r="W110" s="273">
        <v>256616</v>
      </c>
      <c r="X110" s="273">
        <v>224950</v>
      </c>
    </row>
    <row r="111" spans="1:24" ht="14.25" thickBot="1" x14ac:dyDescent="0.3">
      <c r="A111" s="225" t="s">
        <v>24</v>
      </c>
      <c r="B111" s="275">
        <v>445269</v>
      </c>
      <c r="C111" s="275">
        <v>454921</v>
      </c>
      <c r="D111" s="275">
        <v>465976</v>
      </c>
      <c r="E111" s="275">
        <v>496593</v>
      </c>
      <c r="F111" s="275">
        <v>537883</v>
      </c>
      <c r="G111" s="275">
        <v>565276</v>
      </c>
      <c r="H111" s="275">
        <v>593458</v>
      </c>
      <c r="I111" s="275">
        <v>698677</v>
      </c>
      <c r="J111" s="275">
        <v>716133</v>
      </c>
      <c r="K111" s="275">
        <v>727941</v>
      </c>
      <c r="L111" s="275">
        <v>772596</v>
      </c>
      <c r="M111" s="275">
        <v>750699</v>
      </c>
      <c r="N111" s="275">
        <v>879012</v>
      </c>
      <c r="O111" s="275">
        <v>1095921</v>
      </c>
      <c r="P111" s="275">
        <v>939601</v>
      </c>
      <c r="Q111" s="275">
        <v>992361</v>
      </c>
      <c r="R111" s="275">
        <v>1054558</v>
      </c>
      <c r="S111" s="275">
        <v>1081617</v>
      </c>
      <c r="T111" s="275">
        <v>956550</v>
      </c>
      <c r="U111" s="275">
        <v>908858</v>
      </c>
      <c r="V111" s="275">
        <v>892771</v>
      </c>
      <c r="W111" s="275">
        <v>1036954</v>
      </c>
      <c r="X111" s="275">
        <v>861502</v>
      </c>
    </row>
    <row r="112" spans="1:24" ht="14.25" thickBot="1" x14ac:dyDescent="0.3">
      <c r="A112" s="224" t="s">
        <v>25</v>
      </c>
      <c r="B112" s="273">
        <v>71176</v>
      </c>
      <c r="C112" s="273">
        <v>71176</v>
      </c>
      <c r="D112" s="273">
        <v>71176</v>
      </c>
      <c r="E112" s="273">
        <v>45963</v>
      </c>
      <c r="F112" s="273">
        <v>14463</v>
      </c>
      <c r="G112" s="273">
        <v>9463</v>
      </c>
      <c r="H112" s="273">
        <v>8163</v>
      </c>
      <c r="I112" s="273">
        <v>2463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185429</v>
      </c>
      <c r="C113" s="275">
        <v>184487</v>
      </c>
      <c r="D113" s="275">
        <v>183359</v>
      </c>
      <c r="E113" s="275">
        <v>181882</v>
      </c>
      <c r="F113" s="275">
        <v>181823</v>
      </c>
      <c r="G113" s="275">
        <v>180396</v>
      </c>
      <c r="H113" s="275">
        <v>179179</v>
      </c>
      <c r="I113" s="275">
        <v>180692</v>
      </c>
      <c r="J113" s="275">
        <v>181921</v>
      </c>
      <c r="K113" s="275">
        <v>181019</v>
      </c>
      <c r="L113" s="275">
        <v>180442</v>
      </c>
      <c r="M113" s="275">
        <v>181347</v>
      </c>
      <c r="N113" s="275">
        <v>180238</v>
      </c>
      <c r="O113" s="275">
        <v>178510</v>
      </c>
      <c r="P113" s="275">
        <v>178588</v>
      </c>
      <c r="Q113" s="275">
        <v>177002</v>
      </c>
      <c r="R113" s="275">
        <v>175172</v>
      </c>
      <c r="S113" s="275">
        <v>174138</v>
      </c>
      <c r="T113" s="275">
        <v>173278</v>
      </c>
      <c r="U113" s="275">
        <v>172136</v>
      </c>
      <c r="V113" s="275">
        <v>169805</v>
      </c>
      <c r="W113" s="275">
        <v>169620</v>
      </c>
      <c r="X113" s="275">
        <v>241185</v>
      </c>
    </row>
    <row r="114" spans="1:24" ht="14.25" thickBot="1" x14ac:dyDescent="0.3">
      <c r="A114" s="224" t="s">
        <v>27</v>
      </c>
      <c r="B114" s="273">
        <v>16709</v>
      </c>
      <c r="C114" s="273">
        <v>16817</v>
      </c>
      <c r="D114" s="273">
        <v>16297</v>
      </c>
      <c r="E114" s="273">
        <v>6972</v>
      </c>
      <c r="F114" s="273">
        <v>12741</v>
      </c>
      <c r="G114" s="273">
        <v>11842</v>
      </c>
      <c r="H114" s="273">
        <v>13940</v>
      </c>
      <c r="I114" s="273">
        <v>16982</v>
      </c>
      <c r="J114" s="273">
        <v>15960</v>
      </c>
      <c r="K114" s="273">
        <v>15215</v>
      </c>
      <c r="L114" s="273">
        <v>14630</v>
      </c>
      <c r="M114" s="273">
        <v>13257</v>
      </c>
      <c r="N114" s="273">
        <v>13135</v>
      </c>
      <c r="O114" s="273">
        <v>12233</v>
      </c>
      <c r="P114" s="273">
        <v>10727</v>
      </c>
      <c r="Q114" s="273">
        <v>10075</v>
      </c>
      <c r="R114" s="273">
        <v>9772</v>
      </c>
      <c r="S114" s="273">
        <v>9303</v>
      </c>
      <c r="T114" s="273">
        <v>8915</v>
      </c>
      <c r="U114" s="273">
        <v>8394</v>
      </c>
      <c r="V114" s="273">
        <v>8770</v>
      </c>
      <c r="W114" s="273">
        <v>8786</v>
      </c>
      <c r="X114" s="273">
        <v>9576</v>
      </c>
    </row>
    <row r="115" spans="1:24" ht="14.25" thickBot="1" x14ac:dyDescent="0.3">
      <c r="A115" s="225" t="s">
        <v>265</v>
      </c>
      <c r="B115" s="276">
        <v>718583</v>
      </c>
      <c r="C115" s="276">
        <v>727401</v>
      </c>
      <c r="D115" s="276">
        <v>736808</v>
      </c>
      <c r="E115" s="276">
        <v>731410</v>
      </c>
      <c r="F115" s="276">
        <v>746910</v>
      </c>
      <c r="G115" s="276">
        <v>766977</v>
      </c>
      <c r="H115" s="276">
        <v>794740</v>
      </c>
      <c r="I115" s="276">
        <v>898814</v>
      </c>
      <c r="J115" s="276">
        <v>914014</v>
      </c>
      <c r="K115" s="276">
        <v>924175</v>
      </c>
      <c r="L115" s="276">
        <v>967668</v>
      </c>
      <c r="M115" s="276">
        <v>945303</v>
      </c>
      <c r="N115" s="276">
        <v>1072385</v>
      </c>
      <c r="O115" s="276">
        <v>1286664</v>
      </c>
      <c r="P115" s="276">
        <v>1128916</v>
      </c>
      <c r="Q115" s="276">
        <v>1179438</v>
      </c>
      <c r="R115" s="276">
        <v>1239502</v>
      </c>
      <c r="S115" s="276">
        <v>1265058</v>
      </c>
      <c r="T115" s="276">
        <v>1138743</v>
      </c>
      <c r="U115" s="276">
        <v>1089388</v>
      </c>
      <c r="V115" s="276">
        <v>1071346</v>
      </c>
      <c r="W115" s="276">
        <v>1215360</v>
      </c>
      <c r="X115" s="276">
        <v>1112263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53462</v>
      </c>
      <c r="C120" s="273">
        <v>54472</v>
      </c>
      <c r="D120" s="273">
        <v>71649</v>
      </c>
      <c r="E120" s="273">
        <v>59638</v>
      </c>
      <c r="F120" s="273">
        <v>84490</v>
      </c>
      <c r="G120" s="273">
        <v>98335</v>
      </c>
      <c r="H120" s="273">
        <v>130515</v>
      </c>
      <c r="I120" s="273">
        <v>134957</v>
      </c>
      <c r="J120" s="273">
        <v>161613</v>
      </c>
      <c r="K120" s="273">
        <v>147077</v>
      </c>
      <c r="L120" s="273">
        <v>192867</v>
      </c>
      <c r="M120" s="273">
        <v>108937</v>
      </c>
      <c r="N120" s="273">
        <v>222977</v>
      </c>
      <c r="O120" s="273">
        <v>363014</v>
      </c>
      <c r="P120" s="273">
        <v>198458</v>
      </c>
      <c r="Q120" s="273">
        <v>187575</v>
      </c>
      <c r="R120" s="273">
        <v>239158</v>
      </c>
      <c r="S120" s="273">
        <v>198275</v>
      </c>
      <c r="T120" s="273">
        <v>189428</v>
      </c>
      <c r="U120" s="273">
        <v>91609</v>
      </c>
      <c r="V120" s="273">
        <v>117863</v>
      </c>
      <c r="W120" s="273">
        <v>216413</v>
      </c>
      <c r="X120" s="273">
        <v>155823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5">
        <v>56441</v>
      </c>
      <c r="J121" s="275">
        <v>17537</v>
      </c>
      <c r="K121" s="275">
        <v>9400</v>
      </c>
      <c r="L121" s="275">
        <v>8179</v>
      </c>
      <c r="M121" s="275">
        <v>18286</v>
      </c>
      <c r="N121" s="275">
        <v>19725</v>
      </c>
      <c r="O121" s="275">
        <v>14835</v>
      </c>
      <c r="P121" s="275">
        <v>18304</v>
      </c>
      <c r="Q121" s="275">
        <v>11852</v>
      </c>
      <c r="R121" s="275">
        <v>10277</v>
      </c>
      <c r="S121" s="275">
        <v>19056</v>
      </c>
      <c r="T121" s="275">
        <v>27899</v>
      </c>
      <c r="U121" s="275">
        <v>19374</v>
      </c>
      <c r="V121" s="275">
        <v>10582</v>
      </c>
      <c r="W121" s="275">
        <v>12866</v>
      </c>
      <c r="X121" s="275">
        <v>26456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40696</v>
      </c>
      <c r="C123" s="275">
        <v>64007</v>
      </c>
      <c r="D123" s="275">
        <v>43136</v>
      </c>
      <c r="E123" s="275">
        <v>44360</v>
      </c>
      <c r="F123" s="275">
        <v>52707</v>
      </c>
      <c r="G123" s="275">
        <v>78246</v>
      </c>
      <c r="H123" s="275">
        <v>57735</v>
      </c>
      <c r="I123" s="275">
        <v>76999</v>
      </c>
      <c r="J123" s="275">
        <v>71513</v>
      </c>
      <c r="K123" s="275">
        <v>89140</v>
      </c>
      <c r="L123" s="275">
        <v>68439</v>
      </c>
      <c r="M123" s="275">
        <v>83969</v>
      </c>
      <c r="N123" s="275">
        <v>72954</v>
      </c>
      <c r="O123" s="275">
        <v>183916</v>
      </c>
      <c r="P123" s="275">
        <v>111817</v>
      </c>
      <c r="Q123" s="275">
        <v>137622</v>
      </c>
      <c r="R123" s="275">
        <v>112575</v>
      </c>
      <c r="S123" s="275">
        <v>247693</v>
      </c>
      <c r="T123" s="275">
        <v>100761</v>
      </c>
      <c r="U123" s="275">
        <v>114812</v>
      </c>
      <c r="V123" s="275">
        <v>81750</v>
      </c>
      <c r="W123" s="275">
        <v>210463</v>
      </c>
      <c r="X123" s="275">
        <v>111040</v>
      </c>
    </row>
    <row r="124" spans="1:24" ht="14.25" thickBot="1" x14ac:dyDescent="0.3">
      <c r="A124" s="224" t="s">
        <v>268</v>
      </c>
      <c r="B124" s="273">
        <v>94158</v>
      </c>
      <c r="C124" s="273">
        <v>118479</v>
      </c>
      <c r="D124" s="273">
        <v>114785</v>
      </c>
      <c r="E124" s="273">
        <v>103998</v>
      </c>
      <c r="F124" s="273">
        <v>137197</v>
      </c>
      <c r="G124" s="273">
        <v>176581</v>
      </c>
      <c r="H124" s="273">
        <v>188250</v>
      </c>
      <c r="I124" s="273">
        <v>268397</v>
      </c>
      <c r="J124" s="273">
        <v>250663</v>
      </c>
      <c r="K124" s="273">
        <v>245617</v>
      </c>
      <c r="L124" s="273">
        <v>269485</v>
      </c>
      <c r="M124" s="273">
        <v>211192</v>
      </c>
      <c r="N124" s="273">
        <v>315656</v>
      </c>
      <c r="O124" s="273">
        <v>561765</v>
      </c>
      <c r="P124" s="273">
        <v>328579</v>
      </c>
      <c r="Q124" s="273">
        <v>337049</v>
      </c>
      <c r="R124" s="273">
        <v>362010</v>
      </c>
      <c r="S124" s="273">
        <v>465024</v>
      </c>
      <c r="T124" s="273">
        <v>318088</v>
      </c>
      <c r="U124" s="273">
        <v>225795</v>
      </c>
      <c r="V124" s="273">
        <v>210195</v>
      </c>
      <c r="W124" s="273">
        <v>439742</v>
      </c>
      <c r="X124" s="273">
        <v>293319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23263</v>
      </c>
      <c r="G125" s="275">
        <v>15762</v>
      </c>
      <c r="H125" s="275">
        <v>15677</v>
      </c>
      <c r="I125" s="275">
        <v>17068</v>
      </c>
      <c r="J125" s="275">
        <v>17016</v>
      </c>
      <c r="K125" s="275">
        <v>16963</v>
      </c>
      <c r="L125" s="275">
        <v>16912</v>
      </c>
      <c r="M125" s="275">
        <v>17650</v>
      </c>
      <c r="N125" s="275">
        <v>17611</v>
      </c>
      <c r="O125" s="275">
        <v>17572</v>
      </c>
      <c r="P125" s="275">
        <v>17535</v>
      </c>
      <c r="Q125" s="275">
        <v>18909</v>
      </c>
      <c r="R125" s="275">
        <v>18027</v>
      </c>
      <c r="S125" s="275">
        <v>17826</v>
      </c>
      <c r="T125" s="275">
        <v>17394</v>
      </c>
      <c r="U125" s="275">
        <v>17816</v>
      </c>
      <c r="V125" s="275">
        <v>17361</v>
      </c>
      <c r="W125" s="275">
        <v>16923</v>
      </c>
      <c r="X125" s="275">
        <v>16486</v>
      </c>
    </row>
    <row r="126" spans="1:24" ht="14.25" thickBot="1" x14ac:dyDescent="0.3">
      <c r="A126" s="224" t="s">
        <v>33</v>
      </c>
      <c r="B126" s="273">
        <v>11542</v>
      </c>
      <c r="C126" s="273">
        <v>11529</v>
      </c>
      <c r="D126" s="273">
        <v>18932</v>
      </c>
      <c r="E126" s="273">
        <v>18920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105700</v>
      </c>
      <c r="C127" s="275">
        <v>130008</v>
      </c>
      <c r="D127" s="275">
        <v>133717</v>
      </c>
      <c r="E127" s="275">
        <v>122918</v>
      </c>
      <c r="F127" s="275">
        <v>160460</v>
      </c>
      <c r="G127" s="275">
        <v>192343</v>
      </c>
      <c r="H127" s="275">
        <v>203927</v>
      </c>
      <c r="I127" s="275">
        <v>285465</v>
      </c>
      <c r="J127" s="275">
        <v>267679</v>
      </c>
      <c r="K127" s="275">
        <v>262580</v>
      </c>
      <c r="L127" s="275">
        <v>286397</v>
      </c>
      <c r="M127" s="275">
        <v>228842</v>
      </c>
      <c r="N127" s="275">
        <v>333267</v>
      </c>
      <c r="O127" s="275">
        <v>579337</v>
      </c>
      <c r="P127" s="275">
        <v>346114</v>
      </c>
      <c r="Q127" s="275">
        <v>355958</v>
      </c>
      <c r="R127" s="275">
        <v>380037</v>
      </c>
      <c r="S127" s="275">
        <v>482850</v>
      </c>
      <c r="T127" s="275">
        <v>335482</v>
      </c>
      <c r="U127" s="275">
        <v>243611</v>
      </c>
      <c r="V127" s="275">
        <v>227556</v>
      </c>
      <c r="W127" s="275">
        <v>456665</v>
      </c>
      <c r="X127" s="275">
        <v>309805</v>
      </c>
    </row>
    <row r="128" spans="1:24" ht="14.25" thickBot="1" x14ac:dyDescent="0.3">
      <c r="A128" s="224" t="s">
        <v>34</v>
      </c>
      <c r="B128" s="273">
        <v>612883</v>
      </c>
      <c r="C128" s="273">
        <v>597393</v>
      </c>
      <c r="D128" s="273">
        <v>603091</v>
      </c>
      <c r="E128" s="273">
        <v>608492</v>
      </c>
      <c r="F128" s="273">
        <v>586450</v>
      </c>
      <c r="G128" s="273">
        <v>574634</v>
      </c>
      <c r="H128" s="273">
        <v>590813</v>
      </c>
      <c r="I128" s="273">
        <v>613349</v>
      </c>
      <c r="J128" s="273">
        <v>646335</v>
      </c>
      <c r="K128" s="273">
        <v>661595</v>
      </c>
      <c r="L128" s="273">
        <v>681271</v>
      </c>
      <c r="M128" s="273">
        <v>716461</v>
      </c>
      <c r="N128" s="273">
        <v>739118</v>
      </c>
      <c r="O128" s="273">
        <v>707327</v>
      </c>
      <c r="P128" s="273">
        <v>782802</v>
      </c>
      <c r="Q128" s="273">
        <v>823480</v>
      </c>
      <c r="R128" s="273">
        <v>859465</v>
      </c>
      <c r="S128" s="273">
        <v>782208</v>
      </c>
      <c r="T128" s="273">
        <v>803261</v>
      </c>
      <c r="U128" s="273">
        <v>845777</v>
      </c>
      <c r="V128" s="273">
        <v>843790</v>
      </c>
      <c r="W128" s="273">
        <v>758695</v>
      </c>
      <c r="X128" s="273">
        <v>802458</v>
      </c>
    </row>
    <row r="129" spans="1:24" ht="14.25" thickBot="1" x14ac:dyDescent="0.3">
      <c r="A129" s="225" t="s">
        <v>35</v>
      </c>
      <c r="B129" s="276">
        <v>718583</v>
      </c>
      <c r="C129" s="276">
        <v>727401</v>
      </c>
      <c r="D129" s="276">
        <v>736808</v>
      </c>
      <c r="E129" s="276">
        <v>731410</v>
      </c>
      <c r="F129" s="276">
        <v>746910</v>
      </c>
      <c r="G129" s="276">
        <v>766977</v>
      </c>
      <c r="H129" s="276">
        <v>794740</v>
      </c>
      <c r="I129" s="276">
        <v>898814</v>
      </c>
      <c r="J129" s="276">
        <v>914014</v>
      </c>
      <c r="K129" s="276">
        <v>924175</v>
      </c>
      <c r="L129" s="276">
        <v>967668</v>
      </c>
      <c r="M129" s="276">
        <v>945303</v>
      </c>
      <c r="N129" s="276">
        <v>1072385</v>
      </c>
      <c r="O129" s="276">
        <v>1286664</v>
      </c>
      <c r="P129" s="276">
        <v>1128916</v>
      </c>
      <c r="Q129" s="276">
        <v>1179438</v>
      </c>
      <c r="R129" s="276">
        <v>1239502</v>
      </c>
      <c r="S129" s="276">
        <v>1265058</v>
      </c>
      <c r="T129" s="276">
        <v>1138743</v>
      </c>
      <c r="U129" s="276">
        <v>1089388</v>
      </c>
      <c r="V129" s="276">
        <v>1071346</v>
      </c>
      <c r="W129" s="276">
        <v>1215360</v>
      </c>
      <c r="X129" s="276">
        <v>1112263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1.18</v>
      </c>
      <c r="C132" s="68">
        <v>3.32</v>
      </c>
      <c r="D132" s="68">
        <v>0.26</v>
      </c>
      <c r="E132" s="68">
        <v>6.02</v>
      </c>
      <c r="F132" s="68">
        <v>3.38</v>
      </c>
    </row>
    <row r="133" spans="1:24" ht="14.25" thickBot="1" x14ac:dyDescent="0.3">
      <c r="A133" s="225" t="s">
        <v>37</v>
      </c>
      <c r="B133" s="274">
        <v>0.48</v>
      </c>
      <c r="C133" s="274">
        <v>-0.21</v>
      </c>
      <c r="D133" s="274">
        <v>-0.17</v>
      </c>
      <c r="E133" s="274">
        <v>-0.63</v>
      </c>
      <c r="F133" s="274">
        <v>-0.38</v>
      </c>
    </row>
    <row r="134" spans="1:24" ht="14.25" thickBot="1" x14ac:dyDescent="0.3">
      <c r="A134" s="224" t="s">
        <v>38</v>
      </c>
      <c r="B134" s="68">
        <v>-0.62</v>
      </c>
      <c r="C134" s="68">
        <v>-0.72</v>
      </c>
      <c r="D134" s="68">
        <v>-0.22</v>
      </c>
      <c r="E134" s="68">
        <v>-1.5</v>
      </c>
      <c r="F134" s="68">
        <v>-2.46</v>
      </c>
    </row>
    <row r="135" spans="1:24" ht="14.25" thickBot="1" x14ac:dyDescent="0.3">
      <c r="A135" s="225" t="s">
        <v>270</v>
      </c>
      <c r="B135" s="274">
        <v>1.65</v>
      </c>
      <c r="C135" s="274">
        <v>3.1</v>
      </c>
      <c r="D135" s="274">
        <v>0.09</v>
      </c>
      <c r="E135" s="274">
        <v>5.39</v>
      </c>
      <c r="F135" s="274">
        <v>3</v>
      </c>
    </row>
    <row r="136" spans="1:24" ht="14.25" thickBot="1" x14ac:dyDescent="0.3">
      <c r="A136" s="229" t="s">
        <v>39</v>
      </c>
      <c r="B136" s="72">
        <v>1.03</v>
      </c>
      <c r="C136" s="72">
        <v>2.39</v>
      </c>
      <c r="D136" s="72">
        <v>-0.13</v>
      </c>
      <c r="E136" s="72">
        <v>3.9</v>
      </c>
      <c r="F136" s="72">
        <v>0.54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0.5</v>
      </c>
      <c r="C140" s="68">
        <v>0.5</v>
      </c>
      <c r="D140" s="68">
        <v>1.5</v>
      </c>
      <c r="E140" s="68">
        <v>2.5</v>
      </c>
      <c r="F140" s="68">
        <v>2</v>
      </c>
    </row>
    <row r="141" spans="1:24" ht="14.25" thickBot="1" x14ac:dyDescent="0.3">
      <c r="A141" s="227" t="s">
        <v>1</v>
      </c>
      <c r="B141" s="73">
        <v>0</v>
      </c>
      <c r="C141" s="73">
        <v>0.7</v>
      </c>
      <c r="D141" s="73">
        <v>0</v>
      </c>
      <c r="E141" s="73">
        <v>0.3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0.70422535211267612</v>
      </c>
      <c r="C142" s="234">
        <f>IF(C140&lt;&gt;"無",IF(ISNA(HLOOKUP(C139,$B$64:$F$69,6,FALSE)),"",C140/HLOOKUP(C139,$B$64:$F$69,6,FALSE)),"")</f>
        <v>0.39370078740157477</v>
      </c>
      <c r="D142" s="234">
        <f>IF(D140&lt;&gt;"無",IF(ISNA(HLOOKUP(D139,$B$64:$F$69,6,FALSE)),"",D140/HLOOKUP(D139,$B$64:$F$69,6,FALSE)),"")</f>
        <v>0.72815533980582536</v>
      </c>
      <c r="E142" s="234">
        <f>IF(E140&lt;&gt;"無",IF(ISNA(HLOOKUP(E139,$B$64:$F$69,6,FALSE)),"",E140/HLOOKUP(E139,$B$64:$F$69,6,FALSE)),"")</f>
        <v>0.71428571428571441</v>
      </c>
      <c r="F142" s="234">
        <f>IF(F140&lt;&gt;"無",IF(ISNA(HLOOKUP(F139,$B$64:$F$69,6,FALSE)),"",F140/HLOOKUP(F139,$B$64:$F$69,6,FALSE)),"")</f>
        <v>0.76628352490421459</v>
      </c>
    </row>
    <row r="143" spans="1:24" x14ac:dyDescent="0.25">
      <c r="A143" s="233" t="s">
        <v>216</v>
      </c>
      <c r="B143" s="234">
        <f>IF(OR(B140=0,B140="無"),"",B135/B140)</f>
        <v>3.3</v>
      </c>
      <c r="C143" s="234">
        <f>IF(OR(C140=0,C140="無"),"",C135/C140)</f>
        <v>6.2</v>
      </c>
      <c r="D143" s="234">
        <f>IF(OR(D140=0,D140="無"),"",D135/D140)</f>
        <v>0.06</v>
      </c>
      <c r="E143" s="234">
        <f>IF(OR(E140=0,E140="無"),"",E135/E140)</f>
        <v>2.1559999999999997</v>
      </c>
      <c r="F143" s="234">
        <f>IF(OR(F140=0,F140="無"),"",F135/F140)</f>
        <v>1.5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36.31</v>
      </c>
      <c r="C146" s="68">
        <v>34.229999999999997</v>
      </c>
      <c r="D146" s="68">
        <v>30.76</v>
      </c>
      <c r="E146" s="68">
        <v>30.7</v>
      </c>
      <c r="F146" s="68">
        <v>28.31</v>
      </c>
      <c r="G146" s="68">
        <v>29.47</v>
      </c>
      <c r="H146" s="68">
        <v>26.16</v>
      </c>
      <c r="I146" s="68">
        <v>24.16</v>
      </c>
      <c r="J146" s="68">
        <v>29.05</v>
      </c>
      <c r="K146" s="68">
        <v>24.53</v>
      </c>
      <c r="L146" s="68">
        <v>20.91</v>
      </c>
      <c r="M146" s="68">
        <v>25.15</v>
      </c>
      <c r="N146" s="68">
        <v>23.79</v>
      </c>
      <c r="O146" s="68">
        <v>21.69</v>
      </c>
      <c r="P146" s="68">
        <v>24.11</v>
      </c>
      <c r="Q146" s="68">
        <v>24.76</v>
      </c>
      <c r="R146" s="68">
        <v>23.67</v>
      </c>
      <c r="S146" s="68">
        <v>24.45</v>
      </c>
      <c r="T146" s="68">
        <v>23.84</v>
      </c>
      <c r="U146" s="68">
        <v>29.09</v>
      </c>
      <c r="V146" s="68">
        <v>30.75</v>
      </c>
      <c r="W146" s="68">
        <v>29.12</v>
      </c>
      <c r="X146" s="68">
        <v>27.29</v>
      </c>
    </row>
    <row r="147" spans="1:24" s="93" customFormat="1" ht="14.25" thickBot="1" x14ac:dyDescent="0.3">
      <c r="A147" s="225" t="s">
        <v>19</v>
      </c>
      <c r="B147" s="274">
        <v>11.76</v>
      </c>
      <c r="C147" s="274">
        <v>9.4</v>
      </c>
      <c r="D147" s="274">
        <v>7.77</v>
      </c>
      <c r="E147" s="274">
        <v>10.71</v>
      </c>
      <c r="F147" s="274">
        <v>7.16</v>
      </c>
      <c r="G147" s="274">
        <v>12.32</v>
      </c>
      <c r="H147" s="274">
        <v>9.3699999999999992</v>
      </c>
      <c r="I147" s="274">
        <v>10.7</v>
      </c>
      <c r="J147" s="274">
        <v>13.67</v>
      </c>
      <c r="K147" s="274">
        <v>7.96</v>
      </c>
      <c r="L147" s="274">
        <v>8.2200000000000006</v>
      </c>
      <c r="M147" s="274">
        <v>11.28</v>
      </c>
      <c r="N147" s="274">
        <v>10.55</v>
      </c>
      <c r="O147" s="274">
        <v>13.04</v>
      </c>
      <c r="P147" s="274">
        <v>13.6</v>
      </c>
      <c r="Q147" s="274">
        <v>13.09</v>
      </c>
      <c r="R147" s="274">
        <v>13.32</v>
      </c>
      <c r="S147" s="274">
        <v>14.84</v>
      </c>
      <c r="T147" s="274">
        <v>11.71</v>
      </c>
      <c r="U147" s="274">
        <v>14.63</v>
      </c>
      <c r="V147" s="274">
        <v>13.94</v>
      </c>
      <c r="W147" s="274">
        <v>13.58</v>
      </c>
      <c r="X147" s="274">
        <v>14.31</v>
      </c>
    </row>
    <row r="148" spans="1:24" s="93" customFormat="1" ht="14.25" thickBot="1" x14ac:dyDescent="0.3">
      <c r="A148" s="224" t="s">
        <v>41</v>
      </c>
      <c r="B148" s="68">
        <v>11.85</v>
      </c>
      <c r="C148" s="68">
        <v>12.2</v>
      </c>
      <c r="D148" s="68">
        <v>8.86</v>
      </c>
      <c r="E148" s="68">
        <v>11.32</v>
      </c>
      <c r="F148" s="68">
        <v>8.42</v>
      </c>
      <c r="G148" s="68">
        <v>10.81</v>
      </c>
      <c r="H148" s="68">
        <v>9.42</v>
      </c>
      <c r="I148" s="68">
        <v>9.76</v>
      </c>
      <c r="J148" s="68">
        <v>14.64</v>
      </c>
      <c r="K148" s="68">
        <v>7.66</v>
      </c>
      <c r="L148" s="68">
        <v>9.7899999999999991</v>
      </c>
      <c r="M148" s="68">
        <v>15.13</v>
      </c>
      <c r="N148" s="68">
        <v>10.039999999999999</v>
      </c>
      <c r="O148" s="68">
        <v>12.73</v>
      </c>
      <c r="P148" s="68">
        <v>19.22</v>
      </c>
      <c r="Q148" s="68">
        <v>11.2</v>
      </c>
      <c r="R148" s="68">
        <v>11.39</v>
      </c>
      <c r="S148" s="68">
        <v>10.85</v>
      </c>
      <c r="T148" s="68">
        <v>8.7200000000000006</v>
      </c>
      <c r="U148" s="68">
        <v>19.43</v>
      </c>
      <c r="V148" s="68">
        <v>6.06</v>
      </c>
      <c r="W148" s="68">
        <v>14.85</v>
      </c>
      <c r="X148" s="68">
        <v>15.66</v>
      </c>
    </row>
    <row r="149" spans="1:24" s="93" customFormat="1" ht="14.25" thickBot="1" x14ac:dyDescent="0.3">
      <c r="A149" s="225" t="s">
        <v>13</v>
      </c>
      <c r="B149" s="73">
        <v>9.4700000000000006</v>
      </c>
      <c r="C149" s="73">
        <v>10.1</v>
      </c>
      <c r="D149" s="73">
        <v>5.55</v>
      </c>
      <c r="E149" s="73">
        <v>3.99</v>
      </c>
      <c r="F149" s="73">
        <v>6.51</v>
      </c>
      <c r="G149" s="73">
        <v>8.25</v>
      </c>
      <c r="H149" s="73">
        <v>7.55</v>
      </c>
      <c r="I149" s="73">
        <v>8.94</v>
      </c>
      <c r="J149" s="73">
        <v>11.97</v>
      </c>
      <c r="K149" s="73">
        <v>6.03</v>
      </c>
      <c r="L149" s="73">
        <v>8.2200000000000006</v>
      </c>
      <c r="M149" s="73">
        <v>12.82</v>
      </c>
      <c r="N149" s="73">
        <v>8</v>
      </c>
      <c r="O149" s="73">
        <v>10.16</v>
      </c>
      <c r="P149" s="73">
        <v>16.28</v>
      </c>
      <c r="Q149" s="73">
        <v>8.74</v>
      </c>
      <c r="R149" s="73">
        <v>9.77</v>
      </c>
      <c r="S149" s="73">
        <v>7.64</v>
      </c>
      <c r="T149" s="73">
        <v>7.1</v>
      </c>
      <c r="U149" s="73">
        <v>16.72</v>
      </c>
      <c r="V149" s="73">
        <v>6.74</v>
      </c>
      <c r="W149" s="73">
        <v>11.42</v>
      </c>
      <c r="X149" s="73">
        <v>13.27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32.81</v>
      </c>
      <c r="C152" s="68">
        <v>26.63</v>
      </c>
      <c r="D152" s="68">
        <v>24.82</v>
      </c>
      <c r="E152" s="68">
        <v>23.46</v>
      </c>
      <c r="F152" s="68">
        <v>25.02</v>
      </c>
    </row>
    <row r="153" spans="1:24" s="93" customFormat="1" ht="14.25" thickBot="1" x14ac:dyDescent="0.3">
      <c r="A153" s="225" t="s">
        <v>19</v>
      </c>
      <c r="B153" s="274">
        <v>9.91</v>
      </c>
      <c r="C153" s="274">
        <v>10.06</v>
      </c>
      <c r="D153" s="274">
        <v>10.25</v>
      </c>
      <c r="E153" s="274">
        <v>12.79</v>
      </c>
      <c r="F153" s="274">
        <v>13.68</v>
      </c>
    </row>
    <row r="154" spans="1:24" s="93" customFormat="1" ht="14.25" thickBot="1" x14ac:dyDescent="0.3">
      <c r="A154" s="224" t="s">
        <v>41</v>
      </c>
      <c r="B154" s="68">
        <v>11.04</v>
      </c>
      <c r="C154" s="68">
        <v>9.66</v>
      </c>
      <c r="D154" s="68">
        <v>11.86</v>
      </c>
      <c r="E154" s="68">
        <v>13.84</v>
      </c>
      <c r="F154" s="68">
        <v>12.19</v>
      </c>
    </row>
    <row r="155" spans="1:24" s="93" customFormat="1" ht="14.25" thickBot="1" x14ac:dyDescent="0.3">
      <c r="A155" s="225" t="s">
        <v>13</v>
      </c>
      <c r="B155" s="73">
        <v>7.06</v>
      </c>
      <c r="C155" s="73">
        <v>7.97</v>
      </c>
      <c r="D155" s="73">
        <v>9.82</v>
      </c>
      <c r="E155" s="73">
        <v>11.28</v>
      </c>
      <c r="F155" s="73">
        <v>9.86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1.44</v>
      </c>
      <c r="C158" s="68">
        <v>1.63</v>
      </c>
      <c r="D158" s="68">
        <v>0.91</v>
      </c>
      <c r="E158" s="68">
        <v>0.77</v>
      </c>
      <c r="F158" s="68">
        <v>1.22</v>
      </c>
      <c r="G158" s="68">
        <v>1.85</v>
      </c>
      <c r="H158" s="68">
        <v>1.96</v>
      </c>
      <c r="I158" s="68">
        <v>2.63</v>
      </c>
      <c r="J158" s="68">
        <v>3.2</v>
      </c>
      <c r="K158" s="68">
        <v>1.67</v>
      </c>
      <c r="L158" s="68">
        <v>2.3199999999999998</v>
      </c>
      <c r="M158" s="68">
        <v>3.9</v>
      </c>
      <c r="N158" s="68">
        <v>2.19</v>
      </c>
      <c r="O158" s="68">
        <v>4.2699999999999996</v>
      </c>
      <c r="P158" s="68">
        <v>6.4</v>
      </c>
      <c r="Q158" s="68">
        <v>2.74</v>
      </c>
      <c r="R158" s="68">
        <v>2.95</v>
      </c>
      <c r="S158" s="68">
        <v>2.66</v>
      </c>
      <c r="T158" s="68">
        <v>1.91</v>
      </c>
      <c r="U158" s="68">
        <v>4.1500000000000004</v>
      </c>
      <c r="V158" s="68">
        <v>1.28</v>
      </c>
      <c r="W158" s="68">
        <v>2.77</v>
      </c>
      <c r="X158" s="68">
        <v>3.77</v>
      </c>
    </row>
    <row r="159" spans="1:24" s="93" customFormat="1" ht="14.25" thickBot="1" x14ac:dyDescent="0.3">
      <c r="A159" s="225" t="s">
        <v>45</v>
      </c>
      <c r="B159" s="73">
        <v>1.7</v>
      </c>
      <c r="C159" s="73">
        <v>1.95</v>
      </c>
      <c r="D159" s="73">
        <v>1.1100000000000001</v>
      </c>
      <c r="E159" s="73">
        <v>0.94</v>
      </c>
      <c r="F159" s="73">
        <v>1.51</v>
      </c>
      <c r="G159" s="73">
        <v>2.41</v>
      </c>
      <c r="H159" s="73">
        <v>2.62</v>
      </c>
      <c r="I159" s="73">
        <v>3.7</v>
      </c>
      <c r="J159" s="73">
        <v>4.6100000000000003</v>
      </c>
      <c r="K159" s="73">
        <v>2.35</v>
      </c>
      <c r="L159" s="73">
        <v>3.27</v>
      </c>
      <c r="M159" s="73">
        <v>5.34</v>
      </c>
      <c r="N159" s="73">
        <v>3.03</v>
      </c>
      <c r="O159" s="73">
        <v>6.97</v>
      </c>
      <c r="P159" s="73">
        <v>10.38</v>
      </c>
      <c r="Q159" s="73">
        <v>3.94</v>
      </c>
      <c r="R159" s="73">
        <v>4.24</v>
      </c>
      <c r="S159" s="73">
        <v>4.0599999999999996</v>
      </c>
      <c r="T159" s="73">
        <v>2.89</v>
      </c>
      <c r="U159" s="73">
        <v>5.6</v>
      </c>
      <c r="V159" s="73">
        <v>1.63</v>
      </c>
      <c r="W159" s="73">
        <v>3.95</v>
      </c>
      <c r="X159" s="73">
        <v>5.62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7.06</v>
      </c>
      <c r="C162" s="68">
        <v>7.97</v>
      </c>
      <c r="D162" s="68">
        <v>9.82</v>
      </c>
      <c r="E162" s="68">
        <v>11.28</v>
      </c>
      <c r="F162" s="68">
        <v>9.86</v>
      </c>
    </row>
    <row r="163" spans="1:72" s="93" customFormat="1" ht="14.25" thickBot="1" x14ac:dyDescent="0.3">
      <c r="A163" s="225" t="s">
        <v>18</v>
      </c>
      <c r="B163" s="274">
        <v>0.67</v>
      </c>
      <c r="C163" s="274">
        <v>0.85</v>
      </c>
      <c r="D163" s="274">
        <v>1.1200000000000001</v>
      </c>
      <c r="E163" s="274">
        <v>1.36</v>
      </c>
      <c r="F163" s="274">
        <v>1.29</v>
      </c>
    </row>
    <row r="164" spans="1:72" s="93" customFormat="1" ht="14.25" thickBot="1" x14ac:dyDescent="0.3">
      <c r="A164" s="224" t="s">
        <v>15</v>
      </c>
      <c r="B164" s="68">
        <v>1.2</v>
      </c>
      <c r="C164" s="68">
        <v>1.47</v>
      </c>
      <c r="D164" s="68">
        <v>1.32</v>
      </c>
      <c r="E164" s="68">
        <v>1.43</v>
      </c>
      <c r="F164" s="68">
        <v>1.29</v>
      </c>
    </row>
    <row r="165" spans="1:72" s="93" customFormat="1" ht="14.25" thickBot="1" x14ac:dyDescent="0.3">
      <c r="A165" s="225" t="s">
        <v>45</v>
      </c>
      <c r="B165" s="73">
        <v>5.69</v>
      </c>
      <c r="C165" s="73">
        <v>9.92</v>
      </c>
      <c r="D165" s="73">
        <v>15.59</v>
      </c>
      <c r="E165" s="73">
        <v>23.56</v>
      </c>
      <c r="F165" s="73">
        <v>16.54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40.72</v>
      </c>
      <c r="C168" s="68">
        <v>42.65</v>
      </c>
      <c r="D168" s="68">
        <v>45.45</v>
      </c>
      <c r="E168" s="68">
        <v>37.659999999999997</v>
      </c>
      <c r="F168" s="68">
        <v>41.28</v>
      </c>
      <c r="G168" s="68">
        <v>34.35</v>
      </c>
      <c r="H168" s="68">
        <v>31.69</v>
      </c>
      <c r="I168" s="68">
        <v>26.24</v>
      </c>
      <c r="J168" s="68">
        <v>30.93</v>
      </c>
      <c r="K168" s="68">
        <v>28.48</v>
      </c>
      <c r="L168" s="68">
        <v>29.03</v>
      </c>
      <c r="M168" s="68">
        <v>38.46</v>
      </c>
      <c r="N168" s="68">
        <v>41.47</v>
      </c>
      <c r="O168" s="68">
        <v>41.1</v>
      </c>
      <c r="P168" s="68">
        <v>40.54</v>
      </c>
      <c r="Q168" s="68">
        <v>30</v>
      </c>
      <c r="R168" s="68">
        <v>31.03</v>
      </c>
      <c r="S168" s="68">
        <v>35.020000000000003</v>
      </c>
      <c r="T168" s="68">
        <v>51.72</v>
      </c>
      <c r="U168" s="68">
        <v>35.71</v>
      </c>
      <c r="V168" s="68">
        <v>38.46</v>
      </c>
      <c r="W168" s="68">
        <v>33.71</v>
      </c>
      <c r="X168" s="68">
        <v>32.61</v>
      </c>
    </row>
    <row r="169" spans="1:72" s="93" customFormat="1" ht="14.25" thickBot="1" x14ac:dyDescent="0.3">
      <c r="A169" s="225" t="s">
        <v>17</v>
      </c>
      <c r="B169" s="274">
        <v>66.67</v>
      </c>
      <c r="C169" s="274">
        <v>60.4</v>
      </c>
      <c r="D169" s="274">
        <v>69.77</v>
      </c>
      <c r="E169" s="274">
        <v>60.4</v>
      </c>
      <c r="F169" s="274">
        <v>64.290000000000006</v>
      </c>
      <c r="G169" s="274">
        <v>70.31</v>
      </c>
      <c r="H169" s="274">
        <v>72.58</v>
      </c>
      <c r="I169" s="274">
        <v>65.22</v>
      </c>
      <c r="J169" s="274">
        <v>82.57</v>
      </c>
      <c r="K169" s="274">
        <v>82.57</v>
      </c>
      <c r="L169" s="274">
        <v>81.08</v>
      </c>
      <c r="M169" s="274">
        <v>68.180000000000007</v>
      </c>
      <c r="N169" s="274">
        <v>67.16</v>
      </c>
      <c r="O169" s="274">
        <v>48.65</v>
      </c>
      <c r="P169" s="274">
        <v>45.45</v>
      </c>
      <c r="Q169" s="274">
        <v>44.55</v>
      </c>
      <c r="R169" s="274">
        <v>56.25</v>
      </c>
      <c r="S169" s="274">
        <v>48.91</v>
      </c>
      <c r="T169" s="274">
        <v>51.72</v>
      </c>
      <c r="U169" s="274">
        <v>45.92</v>
      </c>
      <c r="V169" s="274">
        <v>48.13</v>
      </c>
      <c r="W169" s="274">
        <v>52.33</v>
      </c>
      <c r="X169" s="274">
        <v>50.85</v>
      </c>
    </row>
    <row r="170" spans="1:72" s="93" customFormat="1" ht="14.25" thickBot="1" x14ac:dyDescent="0.3">
      <c r="A170" s="224" t="s">
        <v>42</v>
      </c>
      <c r="B170" s="72">
        <v>107.39</v>
      </c>
      <c r="C170" s="72">
        <v>103.06</v>
      </c>
      <c r="D170" s="72">
        <v>115.22</v>
      </c>
      <c r="E170" s="72">
        <v>98.06</v>
      </c>
      <c r="F170" s="72">
        <v>105.57</v>
      </c>
      <c r="G170" s="72">
        <v>104.66</v>
      </c>
      <c r="H170" s="72">
        <v>104.27</v>
      </c>
      <c r="I170" s="72">
        <v>91.46</v>
      </c>
      <c r="J170" s="72">
        <v>113.5</v>
      </c>
      <c r="K170" s="72">
        <v>111.05</v>
      </c>
      <c r="L170" s="72">
        <v>110.11</v>
      </c>
      <c r="M170" s="72">
        <v>106.64</v>
      </c>
      <c r="N170" s="72">
        <v>108.64</v>
      </c>
      <c r="O170" s="72">
        <v>89.74</v>
      </c>
      <c r="P170" s="72">
        <v>86</v>
      </c>
      <c r="Q170" s="72">
        <v>74.55</v>
      </c>
      <c r="R170" s="72">
        <v>87.28</v>
      </c>
      <c r="S170" s="72">
        <v>83.93</v>
      </c>
      <c r="T170" s="72">
        <v>103.45</v>
      </c>
      <c r="U170" s="72">
        <v>81.63</v>
      </c>
      <c r="V170" s="72">
        <v>86.59</v>
      </c>
      <c r="W170" s="72">
        <v>86.03</v>
      </c>
      <c r="X170" s="72">
        <v>83.46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161.09</v>
      </c>
      <c r="C173" s="72">
        <v>259.7</v>
      </c>
      <c r="D173" s="72">
        <v>13.17</v>
      </c>
      <c r="E173" s="72">
        <v>172.07</v>
      </c>
      <c r="F173" s="72">
        <v>130.68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21.82</v>
      </c>
      <c r="C176" s="72">
        <v>25.64</v>
      </c>
      <c r="D176" s="72">
        <v>24.75</v>
      </c>
      <c r="E176" s="72">
        <v>25.81</v>
      </c>
      <c r="F176" s="72">
        <v>24.75</v>
      </c>
      <c r="G176" s="72">
        <v>26.07</v>
      </c>
      <c r="H176" s="72">
        <v>24.39</v>
      </c>
      <c r="I176" s="72">
        <v>18.04</v>
      </c>
      <c r="J176" s="72">
        <v>19.59</v>
      </c>
      <c r="K176" s="72">
        <v>18.52</v>
      </c>
      <c r="L176" s="72">
        <v>15.8</v>
      </c>
      <c r="M176" s="72">
        <v>16.86</v>
      </c>
      <c r="N176" s="72">
        <v>17.809999999999999</v>
      </c>
      <c r="O176" s="72">
        <v>18.7</v>
      </c>
      <c r="P176" s="72">
        <v>18.2</v>
      </c>
      <c r="Q176" s="72">
        <v>19.87</v>
      </c>
      <c r="R176" s="72">
        <v>21.04</v>
      </c>
      <c r="S176" s="72">
        <v>19.73</v>
      </c>
      <c r="T176" s="72">
        <v>21.4</v>
      </c>
      <c r="U176" s="72">
        <v>22.62</v>
      </c>
      <c r="V176" s="72">
        <v>24.31</v>
      </c>
      <c r="W176" s="72">
        <v>27.1</v>
      </c>
      <c r="X176" s="72">
        <v>21.74</v>
      </c>
      <c r="Y176" s="72">
        <v>21.34</v>
      </c>
      <c r="Z176" s="72">
        <v>22.09</v>
      </c>
      <c r="AA176" s="72">
        <v>26.01</v>
      </c>
      <c r="AB176" s="72">
        <v>25.73</v>
      </c>
      <c r="AC176" s="72">
        <v>25.3</v>
      </c>
      <c r="AD176" s="72">
        <v>22.32</v>
      </c>
      <c r="AE176" s="72">
        <v>25.27</v>
      </c>
      <c r="AF176" s="72">
        <v>24.06</v>
      </c>
      <c r="AG176" s="72">
        <v>20.94</v>
      </c>
      <c r="AH176" s="72">
        <v>19.27</v>
      </c>
      <c r="AI176" s="72">
        <v>19.23</v>
      </c>
      <c r="AJ176" s="72">
        <v>16.309999999999999</v>
      </c>
      <c r="AK176" s="72">
        <v>16.59</v>
      </c>
      <c r="AL176" s="72">
        <v>17.71</v>
      </c>
      <c r="AM176" s="72">
        <v>17.55</v>
      </c>
      <c r="AN176" s="72">
        <v>15.68</v>
      </c>
      <c r="AO176" s="72">
        <v>16.84</v>
      </c>
      <c r="AP176" s="72">
        <v>19.010000000000002</v>
      </c>
      <c r="AQ176" s="72">
        <v>24.83</v>
      </c>
      <c r="AR176" s="72">
        <v>29.98</v>
      </c>
      <c r="AS176" s="72">
        <v>17.260000000000002</v>
      </c>
      <c r="AT176" s="72">
        <v>16.420000000000002</v>
      </c>
      <c r="AU176" s="72">
        <v>17.309999999999999</v>
      </c>
      <c r="AV176" s="72">
        <v>13.57</v>
      </c>
      <c r="AW176" s="72">
        <v>12.27</v>
      </c>
      <c r="AX176" s="72">
        <v>11.5</v>
      </c>
      <c r="AY176" s="72">
        <v>12.77</v>
      </c>
      <c r="AZ176" s="72">
        <v>13.15</v>
      </c>
      <c r="BA176" s="72">
        <v>12</v>
      </c>
      <c r="BB176" s="72">
        <v>10.44</v>
      </c>
      <c r="BC176" s="72">
        <v>10.07</v>
      </c>
      <c r="BD176" s="72">
        <v>9.89</v>
      </c>
      <c r="BE176" s="72">
        <v>9.58</v>
      </c>
      <c r="BF176" s="72">
        <v>8.61</v>
      </c>
      <c r="BG176" s="72">
        <v>8.31</v>
      </c>
      <c r="BH176" s="72">
        <v>10.050000000000001</v>
      </c>
      <c r="BI176" s="72">
        <v>10.72</v>
      </c>
      <c r="BJ176" s="72">
        <v>10.45</v>
      </c>
      <c r="BK176" s="72">
        <v>11</v>
      </c>
      <c r="BL176" s="72">
        <v>10</v>
      </c>
      <c r="BM176" s="72">
        <v>9.73</v>
      </c>
      <c r="BN176" s="72">
        <v>11.28</v>
      </c>
      <c r="BO176" s="72">
        <v>12.23</v>
      </c>
      <c r="BP176" s="72">
        <v>12.49</v>
      </c>
      <c r="BQ176" s="72">
        <v>12.27</v>
      </c>
      <c r="BR176" s="72">
        <v>13.96</v>
      </c>
      <c r="BS176" s="72">
        <v>14.83</v>
      </c>
      <c r="BT176" s="72">
        <v>12.46</v>
      </c>
    </row>
  </sheetData>
  <phoneticPr fontId="3" type="noConversion"/>
  <conditionalFormatting sqref="E4">
    <cfRule type="cellIs" dxfId="1349" priority="103" operator="greaterThan">
      <formula>0.2</formula>
    </cfRule>
    <cfRule type="cellIs" dxfId="134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134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346" priority="97" operator="greaterThan">
      <formula>$B$19</formula>
    </cfRule>
  </conditionalFormatting>
  <conditionalFormatting sqref="D33:D34">
    <cfRule type="cellIs" dxfId="134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1344" priority="91" operator="lessThan">
      <formula>$H$62</formula>
    </cfRule>
    <cfRule type="cellIs" dxfId="1343" priority="92" operator="greaterThan">
      <formula>$H$62</formula>
    </cfRule>
  </conditionalFormatting>
  <conditionalFormatting sqref="J62">
    <cfRule type="cellIs" dxfId="1342" priority="89" operator="lessThan">
      <formula>$K$62</formula>
    </cfRule>
    <cfRule type="cellIs" dxfId="1341" priority="90" operator="greaterThan">
      <formula>$K$62</formula>
    </cfRule>
  </conditionalFormatting>
  <conditionalFormatting sqref="M62">
    <cfRule type="cellIs" dxfId="1340" priority="87" operator="lessThan">
      <formula>$N$62</formula>
    </cfRule>
    <cfRule type="cellIs" dxfId="1339" priority="88" operator="greaterThan">
      <formula>$N$62</formula>
    </cfRule>
  </conditionalFormatting>
  <conditionalFormatting sqref="B44:E44">
    <cfRule type="cellIs" dxfId="1338" priority="85" operator="greaterThan">
      <formula>0</formula>
    </cfRule>
    <cfRule type="cellIs" dxfId="1337" priority="86" operator="lessThan">
      <formula>0</formula>
    </cfRule>
  </conditionalFormatting>
  <conditionalFormatting sqref="F72">
    <cfRule type="cellIs" dxfId="1336" priority="84" operator="lessThan">
      <formula>$E$72*90%</formula>
    </cfRule>
  </conditionalFormatting>
  <conditionalFormatting sqref="F73">
    <cfRule type="cellIs" dxfId="1335" priority="83" operator="lessThan">
      <formula>$E$73*90%</formula>
    </cfRule>
  </conditionalFormatting>
  <conditionalFormatting sqref="F74">
    <cfRule type="cellIs" dxfId="1334" priority="82" operator="lessThan">
      <formula>$E$74*90%</formula>
    </cfRule>
  </conditionalFormatting>
  <conditionalFormatting sqref="F75">
    <cfRule type="cellIs" dxfId="1333" priority="81" operator="lessThan">
      <formula>$E$75*90%</formula>
    </cfRule>
  </conditionalFormatting>
  <conditionalFormatting sqref="H44:K44">
    <cfRule type="cellIs" dxfId="1332" priority="79" operator="greaterThan">
      <formula>0</formula>
    </cfRule>
    <cfRule type="cellIs" dxfId="1331" priority="80" operator="lessThan">
      <formula>0</formula>
    </cfRule>
  </conditionalFormatting>
  <conditionalFormatting sqref="H51:K51">
    <cfRule type="cellIs" dxfId="1330" priority="77" operator="greaterThan">
      <formula>0</formula>
    </cfRule>
    <cfRule type="cellIs" dxfId="1329" priority="78" operator="lessThan">
      <formula>0</formula>
    </cfRule>
  </conditionalFormatting>
  <conditionalFormatting sqref="B51:E51">
    <cfRule type="cellIs" dxfId="1328" priority="75" operator="greaterThan">
      <formula>0</formula>
    </cfRule>
    <cfRule type="cellIs" dxfId="132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32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32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324" priority="58" operator="lessThan">
      <formula>0</formula>
    </cfRule>
  </conditionalFormatting>
  <conditionalFormatting sqref="A25 E25 C25">
    <cfRule type="cellIs" dxfId="1323" priority="59" operator="lessThan">
      <formula>0</formula>
    </cfRule>
  </conditionalFormatting>
  <conditionalFormatting sqref="F25">
    <cfRule type="cellIs" dxfId="1322" priority="57" operator="lessThan">
      <formula>0</formula>
    </cfRule>
  </conditionalFormatting>
  <conditionalFormatting sqref="E1">
    <cfRule type="containsText" dxfId="1321" priority="56" operator="containsText" text="本季業外損益/平均=-">
      <formula>NOT(ISERROR(SEARCH("本季業外損益/平均=-",E1)))</formula>
    </cfRule>
  </conditionalFormatting>
  <conditionalFormatting sqref="M65">
    <cfRule type="cellIs" dxfId="1320" priority="55" operator="lessThan">
      <formula>$L$65*90%</formula>
    </cfRule>
  </conditionalFormatting>
  <conditionalFormatting sqref="M66">
    <cfRule type="cellIs" dxfId="1319" priority="54" operator="lessThan">
      <formula>$L$66*90%</formula>
    </cfRule>
  </conditionalFormatting>
  <conditionalFormatting sqref="M67">
    <cfRule type="cellIs" dxfId="1318" priority="53" operator="lessThan">
      <formula>$L$67*90%</formula>
    </cfRule>
  </conditionalFormatting>
  <conditionalFormatting sqref="M68">
    <cfRule type="cellIs" dxfId="1317" priority="52" operator="lessThan">
      <formula>$L$68*90%</formula>
    </cfRule>
  </conditionalFormatting>
  <conditionalFormatting sqref="B60">
    <cfRule type="cellIs" dxfId="1316" priority="51" operator="lessThan">
      <formula>0</formula>
    </cfRule>
  </conditionalFormatting>
  <conditionalFormatting sqref="B59:F59">
    <cfRule type="cellIs" dxfId="1315" priority="50" operator="lessThanOrEqual">
      <formula>0</formula>
    </cfRule>
  </conditionalFormatting>
  <conditionalFormatting sqref="D62">
    <cfRule type="cellIs" dxfId="1314" priority="48" operator="lessThan">
      <formula>$E$62</formula>
    </cfRule>
    <cfRule type="cellIs" dxfId="1313" priority="49" operator="greaterThan">
      <formula>$E$62</formula>
    </cfRule>
  </conditionalFormatting>
  <conditionalFormatting sqref="F69">
    <cfRule type="cellIs" dxfId="1312" priority="46" operator="lessThan">
      <formula>0</formula>
    </cfRule>
  </conditionalFormatting>
  <conditionalFormatting sqref="B65:E67 B69:E69 B68:D68">
    <cfRule type="cellIs" dxfId="1311" priority="47" operator="lessThan">
      <formula>0</formula>
    </cfRule>
  </conditionalFormatting>
  <conditionalFormatting sqref="E68">
    <cfRule type="cellIs" dxfId="1310" priority="45" operator="lessThan">
      <formula>0</formula>
    </cfRule>
  </conditionalFormatting>
  <conditionalFormatting sqref="F65:F68">
    <cfRule type="cellIs" dxfId="1309" priority="44" operator="lessThan">
      <formula>0</formula>
    </cfRule>
  </conditionalFormatting>
  <conditionalFormatting sqref="F65:F68">
    <cfRule type="cellIs" dxfId="1308" priority="43" operator="lessThan">
      <formula>$E$65*0.9</formula>
    </cfRule>
  </conditionalFormatting>
  <conditionalFormatting sqref="F66">
    <cfRule type="cellIs" dxfId="1307" priority="42" operator="lessThan">
      <formula>$E$66*0.9</formula>
    </cfRule>
  </conditionalFormatting>
  <conditionalFormatting sqref="F67:F68">
    <cfRule type="cellIs" dxfId="1306" priority="41" operator="lessThan">
      <formula>$E$67*0.9</formula>
    </cfRule>
  </conditionalFormatting>
  <conditionalFormatting sqref="F68">
    <cfRule type="cellIs" dxfId="1305" priority="40" operator="lessThan">
      <formula>$E$68*0.9</formula>
    </cfRule>
  </conditionalFormatting>
  <conditionalFormatting sqref="B13:F13">
    <cfRule type="cellIs" dxfId="1304" priority="29" operator="greaterThan">
      <formula>$I$16</formula>
    </cfRule>
    <cfRule type="cellIs" dxfId="1303" priority="30" operator="lessThanOrEqual">
      <formula>$I$16</formula>
    </cfRule>
  </conditionalFormatting>
  <conditionalFormatting sqref="B10:F10">
    <cfRule type="cellIs" dxfId="1302" priority="31" operator="greaterThan">
      <formula>15</formula>
    </cfRule>
    <cfRule type="cellIs" dxfId="1301" priority="38" operator="lessThan">
      <formula>$I$9</formula>
    </cfRule>
    <cfRule type="cellIs" dxfId="1300" priority="39" operator="greaterThan">
      <formula>$I$9</formula>
    </cfRule>
  </conditionalFormatting>
  <conditionalFormatting sqref="B16:F16">
    <cfRule type="cellIs" dxfId="1299" priority="36" operator="greaterThan">
      <formula>$I$16</formula>
    </cfRule>
    <cfRule type="cellIs" dxfId="1298" priority="37" operator="lessThanOrEqual">
      <formula>$I$16</formula>
    </cfRule>
  </conditionalFormatting>
  <conditionalFormatting sqref="B15:F15">
    <cfRule type="cellIs" dxfId="1297" priority="34" operator="lessThanOrEqual">
      <formula>$I$16</formula>
    </cfRule>
    <cfRule type="cellIs" dxfId="1296" priority="35" operator="greaterThan">
      <formula>$I$16</formula>
    </cfRule>
  </conditionalFormatting>
  <conditionalFormatting sqref="B14:F14">
    <cfRule type="cellIs" dxfId="1295" priority="32" operator="greaterThan">
      <formula>$I$16</formula>
    </cfRule>
    <cfRule type="cellIs" dxfId="1294" priority="33" operator="lessThanOrEqual">
      <formula>$I$16</formula>
    </cfRule>
  </conditionalFormatting>
  <conditionalFormatting sqref="K6">
    <cfRule type="containsText" dxfId="1293" priority="27" operator="containsText" text="衰退">
      <formula>NOT(ISERROR(SEARCH("衰退",K6)))</formula>
    </cfRule>
    <cfRule type="containsText" dxfId="1292" priority="28" operator="containsText" text="成長">
      <formula>NOT(ISERROR(SEARCH("成長",K6)))</formula>
    </cfRule>
  </conditionalFormatting>
  <conditionalFormatting sqref="I4:K4">
    <cfRule type="cellIs" dxfId="1291" priority="25" operator="lessThan">
      <formula>0</formula>
    </cfRule>
    <cfRule type="cellIs" dxfId="129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289" priority="22" operator="lessThanOrEqual">
      <formula>$I$16</formula>
    </cfRule>
    <cfRule type="cellIs" dxfId="1288" priority="23" operator="greaterThan">
      <formula>$I$16</formula>
    </cfRule>
  </conditionalFormatting>
  <conditionalFormatting sqref="I6">
    <cfRule type="containsText" dxfId="1287" priority="20" operator="containsText" text="衰退">
      <formula>NOT(ISERROR(SEARCH("衰退",I6)))</formula>
    </cfRule>
    <cfRule type="containsText" dxfId="1286" priority="21" operator="containsText" text="成長">
      <formula>NOT(ISERROR(SEARCH("成長",I6)))</formula>
    </cfRule>
  </conditionalFormatting>
  <conditionalFormatting sqref="M9">
    <cfRule type="cellIs" dxfId="1285" priority="19" operator="lessThan">
      <formula>$I$9</formula>
    </cfRule>
  </conditionalFormatting>
  <conditionalFormatting sqref="M10">
    <cfRule type="cellIs" dxfId="1284" priority="18" operator="greaterThan">
      <formula>$I$9</formula>
    </cfRule>
  </conditionalFormatting>
  <conditionalFormatting sqref="M11">
    <cfRule type="cellIs" dxfId="128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282" priority="14" operator="lessThan">
      <formula>0</formula>
    </cfRule>
    <cfRule type="cellIs" dxfId="1281" priority="15" operator="greaterThan">
      <formula>0.5</formula>
    </cfRule>
  </conditionalFormatting>
  <conditionalFormatting sqref="N14">
    <cfRule type="cellIs" dxfId="128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279" priority="10" operator="lessThan">
      <formula>0.1</formula>
    </cfRule>
  </conditionalFormatting>
  <conditionalFormatting sqref="I14">
    <cfRule type="cellIs" dxfId="127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27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276" priority="1" operator="lessThan">
      <formula>$N$5*0.9</formula>
    </cfRule>
    <cfRule type="cellIs" dxfId="1275" priority="2" operator="greaterThan">
      <formula>$N$5*1.1</formula>
    </cfRule>
  </conditionalFormatting>
  <hyperlinks>
    <hyperlink ref="L1" location="儀表板!A1" display="(回首頁)" xr:uid="{00000000-0004-0000-5600-000000000000}"/>
  </hyperlink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-2.52 ~ 62.84</v>
      </c>
      <c r="L1" s="83" t="s">
        <v>176</v>
      </c>
      <c r="M1" s="84" t="str">
        <f ca="1">VLOOKUP(_xlfn.NUMBERVALUE(N1),儀表板!A:B,2,FALSE)</f>
        <v>博大</v>
      </c>
      <c r="N1" s="85" t="str">
        <f ca="1">MID(CELL("filename",L1),FIND("]",CELL("filename",L1))+1,255)</f>
        <v>8109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0.17156379514123651</v>
      </c>
    </row>
    <row r="3" spans="1:15" s="93" customFormat="1" x14ac:dyDescent="0.25">
      <c r="A3" s="81" t="s">
        <v>179</v>
      </c>
      <c r="B3" s="94">
        <f>SUM(F19:F22,F24:F27,J19)</f>
        <v>81.156342922600913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58.423301005172526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61.460451732825788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64.473687887820361</v>
      </c>
      <c r="L3" s="100"/>
      <c r="M3" s="79" t="s">
        <v>385</v>
      </c>
      <c r="N3" s="92">
        <f>(F69-E69)/E69</f>
        <v>-0.12246409578591649</v>
      </c>
    </row>
    <row r="4" spans="1:15" s="93" customFormat="1" x14ac:dyDescent="0.25">
      <c r="A4" s="81" t="s">
        <v>182</v>
      </c>
      <c r="B4" s="96">
        <f>SUM(G36:G40)*2</f>
        <v>94</v>
      </c>
      <c r="C4" s="101"/>
      <c r="D4" s="102">
        <f>F4*(1+F141/10)</f>
        <v>6.6000000000000005</v>
      </c>
      <c r="E4" s="82">
        <f>(D4-F4)/F4</f>
        <v>0.10000000000000009</v>
      </c>
      <c r="F4" s="103">
        <v>6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4.7211431646717692</v>
      </c>
    </row>
    <row r="5" spans="1:15" s="93" customFormat="1" x14ac:dyDescent="0.25">
      <c r="A5" s="81" t="s">
        <v>184</v>
      </c>
      <c r="B5" s="107">
        <f>SUM(F30:F34)*2</f>
        <v>98.05653441500823</v>
      </c>
      <c r="C5" s="87"/>
      <c r="D5" s="87"/>
      <c r="E5" s="87"/>
      <c r="F5" s="86"/>
      <c r="G5" s="88"/>
      <c r="M5" s="79" t="s">
        <v>375</v>
      </c>
      <c r="N5" s="152">
        <f>D62</f>
        <v>5.03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連2季成長</v>
      </c>
      <c r="L6" s="112"/>
      <c r="M6" s="79" t="s">
        <v>190</v>
      </c>
      <c r="N6" s="152">
        <f>A53</f>
        <v>7.2770904891450146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17.309999999999999</v>
      </c>
      <c r="N9" s="129"/>
    </row>
    <row r="10" spans="1:15" s="93" customFormat="1" x14ac:dyDescent="0.25">
      <c r="A10" s="123" t="s">
        <v>194</v>
      </c>
      <c r="B10" s="126">
        <f>PERCENTILE(176:176,B9)</f>
        <v>11</v>
      </c>
      <c r="C10" s="126">
        <f>PERCENTILE(176:176,C9)</f>
        <v>12.215</v>
      </c>
      <c r="D10" s="126">
        <f>PERCENTILE(176:176,D9)</f>
        <v>12.85</v>
      </c>
      <c r="E10" s="126">
        <f>PERCENTILE(176:176,E9)</f>
        <v>13.48</v>
      </c>
      <c r="F10" s="126">
        <f>PERCENTILE(176:176,F9)</f>
        <v>14.23</v>
      </c>
      <c r="G10" s="95"/>
      <c r="H10" s="135"/>
      <c r="I10" s="135"/>
      <c r="J10" s="135"/>
      <c r="K10" s="135"/>
      <c r="L10" s="136" t="s">
        <v>374</v>
      </c>
      <c r="M10" s="130">
        <f>MIN(176:176)</f>
        <v>9.01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19.14</v>
      </c>
      <c r="L11" s="272" t="s">
        <v>193</v>
      </c>
      <c r="M11" s="128">
        <f>STDEV(176:176)</f>
        <v>1.9054654210519832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57.072829131652668</v>
      </c>
      <c r="C13" s="141">
        <f>$B$34/5.88%</f>
        <v>69.302721088435376</v>
      </c>
      <c r="D13" s="141">
        <f>$B$34/5%</f>
        <v>81.5</v>
      </c>
      <c r="E13" s="141">
        <f>$B$34/4.35%</f>
        <v>93.678160919540247</v>
      </c>
      <c r="F13" s="141">
        <f>$B$34/3.85%</f>
        <v>105.84415584415585</v>
      </c>
      <c r="G13" s="138" t="str">
        <f>"$"&amp;ROUND(B34,2)&amp;"/"&amp;IF(STDEV(C140:F140)/AVERAGE(C140:F140)&lt;15%,"高",IF(STDEV(C140:F140)/AVERAGE(C140:F140)&lt;30%,"中","低"))</f>
        <v>$4.08/高</v>
      </c>
      <c r="H13" s="142" t="s">
        <v>199</v>
      </c>
      <c r="I13" s="143">
        <f>MAX(0,1-J15)</f>
        <v>0.34944237918215615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56.594999999999999</v>
      </c>
      <c r="C14" s="141">
        <f>$B$33*C10</f>
        <v>62.846174999999995</v>
      </c>
      <c r="D14" s="141">
        <f>$B$33*D10</f>
        <v>66.113249999999994</v>
      </c>
      <c r="E14" s="141">
        <f>$B$33*E10</f>
        <v>69.354599999999991</v>
      </c>
      <c r="F14" s="141">
        <f>$B$33*F10</f>
        <v>73.213349999999991</v>
      </c>
      <c r="G14" s="138" t="str">
        <f>"$"&amp;ROUND(B33,2)&amp;"/"&amp;IF(STDEV(B69:E69)/AVERAGE(B69:E69)&lt;15%,"高",IF(STDEV(B69:E69)/AVERAGE(B69:E69)&lt;30%,"中","低"))</f>
        <v>$5.15/高</v>
      </c>
      <c r="H14" s="142" t="s">
        <v>203</v>
      </c>
      <c r="I14" s="145">
        <f>G62/100*I13</f>
        <v>9.3580669144981407E-2</v>
      </c>
      <c r="J14" s="76" t="s">
        <v>204</v>
      </c>
      <c r="K14" s="146"/>
      <c r="L14" s="147">
        <f>(HLOOKUP($C$1,$105:$106,2,FALSE)-HLOOKUP($C$1,$117:$127,9,FALSE))/(HLOOKUP($C$1,$117:$128,12,FALSE)/K11)</f>
        <v>24.679297128875636</v>
      </c>
      <c r="M14" s="148">
        <f>E135/E69</f>
        <v>7.9925650557620811E-2</v>
      </c>
      <c r="N14" s="149">
        <f>F173/100</f>
        <v>0.9375</v>
      </c>
    </row>
    <row r="15" spans="1:15" s="93" customFormat="1" x14ac:dyDescent="0.25">
      <c r="A15" s="140" t="s">
        <v>375</v>
      </c>
      <c r="B15" s="141">
        <f>$D$62*B10</f>
        <v>55.330000000000005</v>
      </c>
      <c r="C15" s="141">
        <f>$D$62*C10</f>
        <v>61.441450000000003</v>
      </c>
      <c r="D15" s="141">
        <f>$D$62*D10</f>
        <v>64.635500000000008</v>
      </c>
      <c r="E15" s="141">
        <f>$D$62*E10</f>
        <v>67.804400000000001</v>
      </c>
      <c r="F15" s="141">
        <f>$D$62*F10</f>
        <v>71.576900000000009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0.65055762081784385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51.932574811389458</v>
      </c>
      <c r="C16" s="141">
        <f>$F$69*C10</f>
        <v>57.668763756465658</v>
      </c>
      <c r="D16" s="141">
        <f>$F$69*D10</f>
        <v>60.666689666032234</v>
      </c>
      <c r="E16" s="141">
        <f>$F$69*E10</f>
        <v>63.641009859775451</v>
      </c>
      <c r="F16" s="141">
        <f>$F$69*F10</f>
        <v>67.181867233279277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69</v>
      </c>
      <c r="J17" s="92">
        <f ca="1">IF(I17&lt;=0,"",IF(I17&lt;=MIN($B$13:$F$16),(I17-MIN($B$13:$F$16))/MIN($B$13:$F$16),IF(I17&gt;=MAX($B$13:$F$16),I17/MAX($B$13:$F$16),PERCENTRANK($B$13:$F$16,I17))))</f>
        <v>0.67300000000000004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4.4450000000000003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16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1.0907975460122699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0.47822928086669941</v>
      </c>
      <c r="J20" s="171">
        <f>HLOOKUP($C$1,$117:$127,11,FALSE)/HLOOKUP($C$1,$105:$115,11,FALSE)</f>
        <v>0.53292513661222518</v>
      </c>
      <c r="K20" s="163"/>
    </row>
    <row r="21" spans="1:14" s="93" customFormat="1" x14ac:dyDescent="0.25">
      <c r="A21" s="151" t="s">
        <v>201</v>
      </c>
      <c r="B21" s="161">
        <f>AVERAGE(C173:F173)/100</f>
        <v>0.99854999999999994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13.48695</v>
      </c>
      <c r="G21" s="88" t="s">
        <v>220</v>
      </c>
      <c r="H21" s="123" t="s">
        <v>221</v>
      </c>
      <c r="I21" s="162">
        <f>HLOOKUP($C$1,$105:$115,7,FALSE)/HLOOKUP($C$1,$117:$127,8,FALSE)</f>
        <v>1.7751627459574582</v>
      </c>
      <c r="J21" s="78"/>
      <c r="K21" s="164" t="s">
        <v>356</v>
      </c>
      <c r="L21" s="165">
        <f>HLOOKUP($C$1,$105:$115,7,FALSE)/HLOOKUP($C$1,$105:$115,11,FALSE)</f>
        <v>0.89798008469232538</v>
      </c>
      <c r="M21" s="123" t="s">
        <v>268</v>
      </c>
      <c r="N21" s="165">
        <f>HLOOKUP($C$1,$117:$127,8,FALSE)/HLOOKUP($C$1,$117:$127,11,FALSE)</f>
        <v>0.94921004337030479</v>
      </c>
    </row>
    <row r="22" spans="1:14" s="93" customFormat="1" x14ac:dyDescent="0.25">
      <c r="A22" s="140" t="s">
        <v>222</v>
      </c>
      <c r="B22" s="161">
        <f>(-1)*SUM(C133:F133)/SUM(C132:F132)</f>
        <v>0.12203557312252966</v>
      </c>
      <c r="C22" s="157"/>
      <c r="D22" s="166"/>
      <c r="E22" s="140"/>
      <c r="F22" s="159">
        <f>IF(B22&lt;=0,10,IF(B22&gt;=100%,0,(1-B22)*10))</f>
        <v>8.7796442687747032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1.6290407034037659</v>
      </c>
      <c r="J22" s="78"/>
      <c r="K22" s="142" t="s">
        <v>357</v>
      </c>
      <c r="L22" s="165">
        <f>HLOOKUP($C$1,$105:$115,4,FALSE)/HLOOKUP($C$1,$105:$115,11,FALSE)</f>
        <v>3.7320648209151278E-2</v>
      </c>
      <c r="M22" s="123" t="s">
        <v>353</v>
      </c>
      <c r="N22" s="165">
        <f>HLOOKUP($C$1,$117:$127,4,FALSE)/HLOOKUP($C$1,$117:$127,11,FALSE)</f>
        <v>0.10263328183996756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2.1409844082527303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7.3916988426324631E-2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28.48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1.13460038250307E-2</v>
      </c>
      <c r="M24" s="123" t="s">
        <v>355</v>
      </c>
      <c r="N24" s="165">
        <f>HLOOKUP($C$1,$117:$127,9,FALSE)/HLOOKUP($C$1,$117:$127,11,FALSE)</f>
        <v>5.0789956629695224E-2</v>
      </c>
    </row>
    <row r="25" spans="1:14" s="93" customFormat="1" x14ac:dyDescent="0.25">
      <c r="A25" s="151" t="s">
        <v>366</v>
      </c>
      <c r="B25" s="255">
        <f>AVERAGE(94:94)</f>
        <v>5031.913043478261</v>
      </c>
      <c r="C25" s="254">
        <f>STDEV(94:94)/AVERAGE(94:94)</f>
        <v>8.1102513461737882</v>
      </c>
      <c r="D25" s="76" t="str">
        <f>IF(C25&lt;=1,"高",IF(C25&lt;=2,"中","低"))</f>
        <v>低</v>
      </c>
      <c r="E25" s="149"/>
      <c r="F25" s="160">
        <f>MAX(0,10-ABS(C25))</f>
        <v>1.8897486538262118</v>
      </c>
      <c r="G25" s="88" t="s">
        <v>213</v>
      </c>
      <c r="H25" s="123" t="s">
        <v>232</v>
      </c>
      <c r="I25" s="170">
        <f>IF(HLOOKUP(C1,167:170,3,FALSE)="無",0,HLOOKUP(C1,167:170,3,FALSE))</f>
        <v>104.65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27.916956521739138</v>
      </c>
      <c r="C26" s="172">
        <f>IF(COUNTIF(168:168,"&gt;0")=0,0,STDEV(168:168))</f>
        <v>2.1564879587434596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98.416521739130445</v>
      </c>
      <c r="C27" s="172">
        <f>IF(COUNTIF(169:169,"&gt;0")=0,0,STDEV(169:169))</f>
        <v>9.6343394398727593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0.51105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0.34584999999999999</v>
      </c>
      <c r="C31" s="157" t="s">
        <v>217</v>
      </c>
      <c r="D31" s="174">
        <f>COUNTIF(149:149,"&gt;8")/COUNT(149:149)</f>
        <v>0.95652173913043481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27.432499999999997</v>
      </c>
      <c r="C32" s="157" t="s">
        <v>217</v>
      </c>
      <c r="D32" s="174">
        <f>COUNTIF(159:159,"&gt;3")/COUNT(159:159)</f>
        <v>0.91304347826086951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5.1449999999999996</v>
      </c>
      <c r="C33" s="157" t="s">
        <v>217</v>
      </c>
      <c r="D33" s="174">
        <f>COUNTIF(82:82,"&gt;0")/COUNT(82:82)</f>
        <v>0.95652173913043481</v>
      </c>
      <c r="E33" s="140" t="s">
        <v>243</v>
      </c>
      <c r="F33" s="159">
        <f>MIN(B33,2)+D33*8</f>
        <v>9.6521739130434785</v>
      </c>
      <c r="G33" s="135"/>
    </row>
    <row r="34" spans="1:14" x14ac:dyDescent="0.25">
      <c r="A34" s="155" t="s">
        <v>244</v>
      </c>
      <c r="B34" s="156">
        <f>AVERAGE(C140:F140)</f>
        <v>4.0750000000000002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9.3760932944606417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886694</v>
      </c>
      <c r="C36" s="178">
        <f>STDEV(C97:F97)</f>
        <v>108589.70180454498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51.104999999999997</v>
      </c>
      <c r="C37" s="180">
        <f>STDEV(C152:F152)</f>
        <v>2.0864723019169618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35.64</v>
      </c>
      <c r="C38" s="180">
        <f>STDEV(C153:F153)</f>
        <v>2.6998271549613433</v>
      </c>
      <c r="D38" s="76" t="str">
        <f>IF(C38/B38&lt;15%,"高",IF(C38/B38&lt;30%,"中","低"))</f>
        <v>高</v>
      </c>
      <c r="E38" s="107">
        <f>IF(F153&gt;E153,1,0)+IF(E153&gt;D153,1,0)+IF(D153&gt;C153,1,0)</f>
        <v>3</v>
      </c>
      <c r="F38" s="179"/>
      <c r="G38" s="160">
        <f>IF(D38="高",6,IF(D38="中",4,2))+E38+1</f>
        <v>10</v>
      </c>
    </row>
    <row r="39" spans="1:14" x14ac:dyDescent="0.25">
      <c r="A39" s="142" t="s">
        <v>46</v>
      </c>
      <c r="B39" s="181">
        <f>AVERAGE(C165:F165)</f>
        <v>27.432499999999997</v>
      </c>
      <c r="C39" s="181">
        <f>STDEV(C165:F165)</f>
        <v>1.2903584773232581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5.1449999999999996</v>
      </c>
      <c r="C40" s="183">
        <f>STDEV(B69:E69)</f>
        <v>0.53867120460134754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0.96250000000000002</v>
      </c>
      <c r="C44" s="186">
        <f>(C46-C49)/C49</f>
        <v>0.16447368421052633</v>
      </c>
      <c r="D44" s="186">
        <f>(D46-D49)/D49</f>
        <v>-1.0873015873015874</v>
      </c>
      <c r="E44" s="186">
        <f>(E46-E49)/E49</f>
        <v>0.40625</v>
      </c>
      <c r="G44" s="86" t="s">
        <v>175</v>
      </c>
      <c r="H44" s="186">
        <f>(H47-H50)/H50</f>
        <v>-6.6149745577901736E-2</v>
      </c>
      <c r="I44" s="186">
        <f>(I47-I50)/I50</f>
        <v>-1.4125032696834988E-2</v>
      </c>
      <c r="J44" s="186">
        <f>(J47-J50)/J50</f>
        <v>6.1146496815286534E-2</v>
      </c>
      <c r="K44" s="186">
        <f>(K47-K50)/K50</f>
        <v>-0.12653163290822714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1.57</v>
      </c>
      <c r="C46" s="152">
        <f>HLOOKUP(C45,$81:$82,2,FALSE)</f>
        <v>1.77</v>
      </c>
      <c r="D46" s="152">
        <f>HLOOKUP(D45,$81:$82,2,FALSE)</f>
        <v>-0.11</v>
      </c>
      <c r="E46" s="152">
        <f>HLOOKUP(E45,$81:$82,2,FALSE)</f>
        <v>1.8</v>
      </c>
      <c r="G46" s="86" t="s">
        <v>164</v>
      </c>
      <c r="H46" s="145">
        <f>HLOOKUP(H45,$145:$147,2,FALSE)/100</f>
        <v>0.51659999999999995</v>
      </c>
      <c r="I46" s="145">
        <f>HLOOKUP(I45,$145:$147,2,FALSE)/100</f>
        <v>0.51629999999999998</v>
      </c>
      <c r="J46" s="145">
        <f>HLOOKUP(J45,$145:$147,2,FALSE)/100</f>
        <v>0.53739999999999999</v>
      </c>
      <c r="K46" s="145">
        <f>HLOOKUP(K45,$145:$147,2,FALSE)/100</f>
        <v>0.52890000000000004</v>
      </c>
    </row>
    <row r="47" spans="1:14" x14ac:dyDescent="0.25">
      <c r="A47" s="188" t="s">
        <v>165</v>
      </c>
      <c r="B47" s="189">
        <f>HLOOKUP(B45,$157:$159,3,FALSE)</f>
        <v>8.59</v>
      </c>
      <c r="C47" s="189">
        <f>HLOOKUP(C45,$157:$159,3,FALSE)</f>
        <v>9.75</v>
      </c>
      <c r="D47" s="189">
        <f>HLOOKUP(D45,$157:$159,3,FALSE)</f>
        <v>-0.51</v>
      </c>
      <c r="E47" s="189">
        <f>HLOOKUP(E45,$157:$159,3,FALSE)</f>
        <v>8.9499999999999993</v>
      </c>
      <c r="G47" s="190" t="s">
        <v>166</v>
      </c>
      <c r="H47" s="145">
        <f>HLOOKUP(H45,$145:$147,3,FALSE)/100</f>
        <v>0.38539999999999996</v>
      </c>
      <c r="I47" s="145">
        <f>HLOOKUP(I45,$145:$147,3,FALSE)/100</f>
        <v>0.37689999999999996</v>
      </c>
      <c r="J47" s="145">
        <f>HLOOKUP(J45,$145:$147,3,FALSE)/100</f>
        <v>0.41649999999999998</v>
      </c>
      <c r="K47" s="145">
        <f>HLOOKUP(K45,$145:$147,3,FALSE)/100</f>
        <v>0.3493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0.8</v>
      </c>
      <c r="C49" s="152">
        <f>HLOOKUP(C48,$81:$82,2,FALSE)</f>
        <v>1.52</v>
      </c>
      <c r="D49" s="152">
        <f>HLOOKUP(D48,$81:$82,2,FALSE)</f>
        <v>1.26</v>
      </c>
      <c r="E49" s="152">
        <f>HLOOKUP(E48,$81:$82,2,FALSE)</f>
        <v>1.28</v>
      </c>
      <c r="G49" s="86" t="s">
        <v>164</v>
      </c>
      <c r="H49" s="145">
        <f>HLOOKUP(H48,$145:$147,2,FALSE)/100</f>
        <v>0.53890000000000005</v>
      </c>
      <c r="I49" s="145">
        <f>HLOOKUP(I48,$145:$147,2,FALSE)/100</f>
        <v>0.53539999999999999</v>
      </c>
      <c r="J49" s="145">
        <f>HLOOKUP(J48,$145:$147,2,FALSE)/100</f>
        <v>0.52800000000000002</v>
      </c>
      <c r="K49" s="145">
        <f>HLOOKUP(K48,$145:$147,2,FALSE)/100</f>
        <v>0.54649999999999999</v>
      </c>
    </row>
    <row r="50" spans="1:15" x14ac:dyDescent="0.25">
      <c r="A50" s="188" t="s">
        <v>165</v>
      </c>
      <c r="B50" s="189">
        <f>HLOOKUP(B48,$157:$159,3,FALSE)</f>
        <v>4.24</v>
      </c>
      <c r="C50" s="189">
        <f>HLOOKUP(C48,$157:$159,3,FALSE)</f>
        <v>7.57</v>
      </c>
      <c r="D50" s="189">
        <f>HLOOKUP(D48,$157:$159,3,FALSE)</f>
        <v>6</v>
      </c>
      <c r="E50" s="189">
        <f>HLOOKUP(E48,$157:$159,3,FALSE)</f>
        <v>6.47</v>
      </c>
      <c r="G50" s="190" t="s">
        <v>166</v>
      </c>
      <c r="H50" s="145">
        <f>HLOOKUP(H48,$145:$147,3,FALSE)/100</f>
        <v>0.41270000000000001</v>
      </c>
      <c r="I50" s="145">
        <f>HLOOKUP(I48,$145:$147,3,FALSE)/100</f>
        <v>0.38229999999999997</v>
      </c>
      <c r="J50" s="145">
        <f>HLOOKUP(J48,$145:$147,3,FALSE)/100</f>
        <v>0.39250000000000002</v>
      </c>
      <c r="K50" s="145">
        <f>HLOOKUP(K48,$145:$147,3,FALSE)/100</f>
        <v>0.39990000000000003</v>
      </c>
    </row>
    <row r="51" spans="1:15" x14ac:dyDescent="0.25">
      <c r="A51" s="86" t="s">
        <v>351</v>
      </c>
      <c r="B51" s="186">
        <f>(B47-B50)/B50</f>
        <v>1.0259433962264151</v>
      </c>
      <c r="C51" s="186">
        <f>(C47-C50)/C50</f>
        <v>0.28797886393659178</v>
      </c>
      <c r="D51" s="186">
        <f>(D47-D50)/D50</f>
        <v>-1.085</v>
      </c>
      <c r="E51" s="186">
        <f>(E47-E50)/E50</f>
        <v>0.38330757341576499</v>
      </c>
      <c r="G51" s="235" t="s">
        <v>174</v>
      </c>
      <c r="H51" s="186">
        <f>(H46-H49)/H49</f>
        <v>-4.1380590090926136E-2</v>
      </c>
      <c r="I51" s="186">
        <f>(I46-I49)/I49</f>
        <v>-3.5674262233843866E-2</v>
      </c>
      <c r="J51" s="186">
        <f>(J46-J49)/J49</f>
        <v>1.7803030303030234E-2</v>
      </c>
      <c r="K51" s="186">
        <f>(K46-K49)/K49</f>
        <v>-3.2204940530649498E-2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7.2770904891450146</v>
      </c>
      <c r="B53" s="193">
        <f>B46</f>
        <v>1.57</v>
      </c>
      <c r="C53" s="193">
        <f>E46/HLOOKUP(E45,$87:$94,5,FALSE)*HLOOKUP(E45,$87:$94,4,FALSE)*($B$25/HLOOKUP(E45,$87:$94,4,FALSE)+SUM($B$57:$D$57)/SUM($B58:$D$58)*$G$69/100/K46)</f>
        <v>1.4911431646717688</v>
      </c>
      <c r="D53" s="193">
        <f>D46/HLOOKUP(D45,$87:$94,5,FALSE)*HLOOKUP(D45,$87:$94,4,FALSE)*($B$25/HLOOKUP(D45,$87:$94,4,FALSE)+SUM($B$57:$D$57)/SUM($B58:$D$58)*$G$69/100/J46)</f>
        <v>2.2750337383017558</v>
      </c>
      <c r="E53" s="193">
        <f>C46/HLOOKUP(C45,$87:$94,5,FALSE)*HLOOKUP(C45,$87:$94,4,FALSE)*($B$25/HLOOKUP(C45,$87:$94,4,FALSE)+SUM($B$57:$D$57)/SUM($B58:$D$58)*$G$69/100/I46)</f>
        <v>1.940913586171489</v>
      </c>
    </row>
    <row r="54" spans="1:15" x14ac:dyDescent="0.25">
      <c r="A54" s="278">
        <f>SUM(B54:E54)</f>
        <v>4.26</v>
      </c>
      <c r="B54" s="277">
        <f t="shared" ref="B54:D54" si="0">HLOOKUP(B52-10,81:82,2,FALSE)</f>
        <v>0.8</v>
      </c>
      <c r="C54" s="277">
        <f t="shared" si="0"/>
        <v>1.8</v>
      </c>
      <c r="D54" s="277">
        <f t="shared" si="0"/>
        <v>-0.11</v>
      </c>
      <c r="E54" s="277">
        <f>HLOOKUP(E52-10,81:82,2,FALSE)</f>
        <v>1.77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100747</v>
      </c>
      <c r="C57" s="196">
        <f>HLOOKUP(C56,78:79,2,FALSE)</f>
        <v>104202</v>
      </c>
      <c r="D57" s="196">
        <f>HLOOKUP(D56,78:79,2,FALSE)</f>
        <v>107060</v>
      </c>
      <c r="E57" s="196">
        <f>HLOOKUP(E56,78:79,2,FALSE)</f>
        <v>104384</v>
      </c>
      <c r="F57" s="196">
        <f>HLOOKUP(F56,78:79,2,FALSE)</f>
        <v>102108</v>
      </c>
      <c r="G57" s="196">
        <f t="shared" ref="G57:M57" si="2">HLOOKUP(G56,78:79,2,FALSE)</f>
        <v>101471</v>
      </c>
      <c r="H57" s="196">
        <f t="shared" si="2"/>
        <v>99010</v>
      </c>
      <c r="I57" s="196">
        <f t="shared" si="2"/>
        <v>96073</v>
      </c>
      <c r="J57" s="196">
        <f t="shared" si="2"/>
        <v>71446</v>
      </c>
      <c r="K57" s="196">
        <f t="shared" si="2"/>
        <v>84110</v>
      </c>
      <c r="L57" s="196">
        <f t="shared" si="2"/>
        <v>70479</v>
      </c>
      <c r="M57" s="196">
        <f t="shared" si="2"/>
        <v>80127</v>
      </c>
      <c r="N57" s="197"/>
    </row>
    <row r="58" spans="1:15" x14ac:dyDescent="0.25">
      <c r="A58" s="198" t="s">
        <v>253</v>
      </c>
      <c r="B58" s="196">
        <f>HLOOKUP(B56-100,78:79,2,FALSE)</f>
        <v>80565</v>
      </c>
      <c r="C58" s="196">
        <f>HLOOKUP(C56-100,78:79,2,FALSE)</f>
        <v>82589</v>
      </c>
      <c r="D58" s="196">
        <f>HLOOKUP(D56-100,78:79,2,FALSE)</f>
        <v>86662</v>
      </c>
      <c r="E58" s="196">
        <f>HLOOKUP(E56-100,78:79,2,FALSE)</f>
        <v>87365</v>
      </c>
      <c r="F58" s="196">
        <f>HLOOKUP(F56-100,78:79,2,FALSE)</f>
        <v>91498</v>
      </c>
      <c r="G58" s="196">
        <f t="shared" ref="G58:M58" si="3">HLOOKUP(G56-100,78:79,2,FALSE)</f>
        <v>81463</v>
      </c>
      <c r="H58" s="196">
        <f t="shared" si="3"/>
        <v>83129</v>
      </c>
      <c r="I58" s="196">
        <f t="shared" si="3"/>
        <v>88916</v>
      </c>
      <c r="J58" s="196">
        <f t="shared" si="3"/>
        <v>71431</v>
      </c>
      <c r="K58" s="196">
        <f t="shared" si="3"/>
        <v>87072</v>
      </c>
      <c r="L58" s="196">
        <f t="shared" si="3"/>
        <v>74722</v>
      </c>
      <c r="M58" s="196">
        <f t="shared" si="3"/>
        <v>85853</v>
      </c>
      <c r="N58" s="197"/>
    </row>
    <row r="59" spans="1:15" x14ac:dyDescent="0.25">
      <c r="A59" s="199" t="s">
        <v>254</v>
      </c>
      <c r="B59" s="165">
        <f>IF(B57&lt;&gt;"",(B57-B58)/B58,"")</f>
        <v>0.25050580276795137</v>
      </c>
      <c r="C59" s="165">
        <f>IF(C57&lt;&gt;"",(C57-C58)/C58,"")</f>
        <v>0.26169344585840731</v>
      </c>
      <c r="D59" s="165">
        <f>IF(D57&lt;&gt;"",(D57-D58)/D58,"")</f>
        <v>0.23537421245759388</v>
      </c>
      <c r="E59" s="165">
        <f>IF(E57&lt;&gt;"",(E57-E58)/E58,"")</f>
        <v>0.19480341097693585</v>
      </c>
      <c r="F59" s="165">
        <f>IF(F57&lt;&gt;"",(F57-F58)/F58,"")</f>
        <v>0.11595881877199501</v>
      </c>
      <c r="G59" s="165">
        <f t="shared" ref="G59:M59" si="4">IF(G57&lt;&gt;"",(G57-G58)/G58,"")</f>
        <v>0.2456084357315591</v>
      </c>
      <c r="H59" s="165">
        <f t="shared" si="4"/>
        <v>0.19104043113714828</v>
      </c>
      <c r="I59" s="165">
        <f t="shared" si="4"/>
        <v>8.0491700031490393E-2</v>
      </c>
      <c r="J59" s="165">
        <f t="shared" si="4"/>
        <v>2.0999286024275175E-4</v>
      </c>
      <c r="K59" s="165">
        <f t="shared" si="4"/>
        <v>-3.4017824329290701E-2</v>
      </c>
      <c r="L59" s="165">
        <f t="shared" si="4"/>
        <v>-5.6783811996466906E-2</v>
      </c>
      <c r="M59" s="165">
        <f t="shared" si="4"/>
        <v>-6.6695397947654708E-2</v>
      </c>
    </row>
    <row r="60" spans="1:15" x14ac:dyDescent="0.25">
      <c r="A60" s="195" t="s">
        <v>255</v>
      </c>
      <c r="B60" s="196">
        <f>SUM(B57:M57)</f>
        <v>1121217</v>
      </c>
    </row>
    <row r="61" spans="1:15" x14ac:dyDescent="0.25">
      <c r="A61" s="198" t="s">
        <v>256</v>
      </c>
      <c r="B61" s="196">
        <f>SUM(B58:M58)</f>
        <v>1001265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1.119800452427679</v>
      </c>
      <c r="D62" s="152">
        <f>SUM(B46:E46)</f>
        <v>5.03</v>
      </c>
      <c r="E62" s="152">
        <f>SUM(B49:E49)</f>
        <v>4.8600000000000003</v>
      </c>
      <c r="G62" s="126">
        <f>SUM(B47:E47)</f>
        <v>26.779999999999998</v>
      </c>
      <c r="H62" s="126">
        <f>SUM(B50:E50)</f>
        <v>24.28</v>
      </c>
      <c r="J62" s="200">
        <f>AVERAGE(H46:K46)</f>
        <v>0.52480000000000004</v>
      </c>
      <c r="K62" s="200">
        <f>AVERAGE(H49:K49)</f>
        <v>0.53720000000000001</v>
      </c>
      <c r="M62" s="200">
        <f>AVERAGE(H47:K47)</f>
        <v>0.38202499999999995</v>
      </c>
      <c r="N62" s="200">
        <f>AVERAGE(H50:K50)</f>
        <v>0.39685000000000004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0.83</v>
      </c>
      <c r="C65" s="205">
        <f t="shared" si="5"/>
        <v>1.17</v>
      </c>
      <c r="D65" s="205">
        <f t="shared" si="5"/>
        <v>0.6</v>
      </c>
      <c r="E65" s="205">
        <f t="shared" si="5"/>
        <v>1.26</v>
      </c>
      <c r="F65" s="206">
        <f>IF(ISNA(HLOOKUP(F$64*10+$A65,$81:$82,2,FALSE)),(HLOOKUP(E$64*10+$A65,$87:$94,4,FALSE)*$G65+$B$25)/HLOOKUP(E$64*10+$A65,$87:$94,5,FALSE)*$E65,HLOOKUP(F$64*10+$A65,$81:$82,2,FALSE))</f>
        <v>-0.11</v>
      </c>
      <c r="G65" s="101">
        <f>MIN(130%,SUM($B$57:$D$57)/SUM($B$58:$D$58)*$G$69/HLOOKUP(E$64*10+$A65,$145:$146,2,FALSE))</f>
        <v>1.2728816083468044</v>
      </c>
      <c r="H65" s="204">
        <v>1</v>
      </c>
      <c r="I65" s="208">
        <f t="shared" ref="I65:M68" si="6">IF(ISNA(HLOOKUP(I$64*10+$H65,$145:$147,3,FALSE)),"",HLOOKUP(I$64*10+$H65,$145:$147,3,FALSE)/100)</f>
        <v>0.27660000000000001</v>
      </c>
      <c r="J65" s="208">
        <f t="shared" si="6"/>
        <v>0.29710000000000003</v>
      </c>
      <c r="K65" s="208">
        <f t="shared" si="6"/>
        <v>0.3821</v>
      </c>
      <c r="L65" s="208">
        <f t="shared" si="6"/>
        <v>0.39250000000000002</v>
      </c>
      <c r="M65" s="209">
        <f t="shared" si="6"/>
        <v>0.41649999999999998</v>
      </c>
      <c r="N65" s="256">
        <f t="shared" ref="N65:O68" si="7">HLOOKUP(E$64*10+$A65,$87:$94,8,FALSE)</f>
        <v>-7304</v>
      </c>
      <c r="O65" s="256">
        <f t="shared" si="7"/>
        <v>-111391</v>
      </c>
      <c r="P65" s="210"/>
    </row>
    <row r="66" spans="1:71" x14ac:dyDescent="0.25">
      <c r="A66" s="204">
        <v>2</v>
      </c>
      <c r="B66" s="205">
        <f t="shared" si="5"/>
        <v>1.0900000000000001</v>
      </c>
      <c r="C66" s="205">
        <f t="shared" si="5"/>
        <v>0.91</v>
      </c>
      <c r="D66" s="205">
        <f t="shared" si="5"/>
        <v>1.01</v>
      </c>
      <c r="E66" s="205">
        <f t="shared" si="5"/>
        <v>1.52</v>
      </c>
      <c r="F66" s="206">
        <f>IF(ISNA(HLOOKUP(F$64*10+$A66,$81:$82,2,FALSE)),(HLOOKUP(E$64*10+$A66,$87:$94,4,FALSE)*$G66+$B$25)/HLOOKUP(E$64*10+$A66,$87:$94,5,FALSE)*$E66,HLOOKUP(F$64*10+$A66,$81:$82,2,FALSE))</f>
        <v>1.77</v>
      </c>
      <c r="G66" s="101">
        <f>MIN(130%,SUM($B$57:$D$57)/SUM($B$58:$D$58)*$G$69/HLOOKUP(E$64*10+$A66,$145:$146,2,FALSE))</f>
        <v>1.2552885491354364</v>
      </c>
      <c r="H66" s="204">
        <v>2</v>
      </c>
      <c r="I66" s="208">
        <f t="shared" si="6"/>
        <v>0.33770000000000006</v>
      </c>
      <c r="J66" s="208">
        <f t="shared" si="6"/>
        <v>0.38869999999999999</v>
      </c>
      <c r="K66" s="208">
        <f t="shared" si="6"/>
        <v>0.36749999999999999</v>
      </c>
      <c r="L66" s="208">
        <f t="shared" si="6"/>
        <v>0.38229999999999997</v>
      </c>
      <c r="M66" s="209">
        <f t="shared" si="6"/>
        <v>0.37689999999999996</v>
      </c>
      <c r="N66" s="256">
        <f t="shared" si="7"/>
        <v>11496</v>
      </c>
      <c r="O66" s="256">
        <f t="shared" si="7"/>
        <v>25925</v>
      </c>
      <c r="P66" s="210"/>
    </row>
    <row r="67" spans="1:71" x14ac:dyDescent="0.25">
      <c r="A67" s="204">
        <v>3</v>
      </c>
      <c r="B67" s="205">
        <f t="shared" si="5"/>
        <v>1.1599999999999999</v>
      </c>
      <c r="C67" s="205">
        <f t="shared" si="5"/>
        <v>1.46</v>
      </c>
      <c r="D67" s="205">
        <f t="shared" si="5"/>
        <v>2.65</v>
      </c>
      <c r="E67" s="205">
        <f t="shared" si="5"/>
        <v>0.8</v>
      </c>
      <c r="F67" s="206">
        <f>IF(ISNA(HLOOKUP(F$64*10+$A67,$81:$82,2,FALSE)),(HLOOKUP(E$64*10+$A67,$87:$94,4,FALSE)*$G67+$B$25)/HLOOKUP(E$64*10+$A67,$87:$94,5,FALSE)*$E67,HLOOKUP(F$64*10+$A67,$81:$82,2,FALSE))</f>
        <v>1.57</v>
      </c>
      <c r="G67" s="101">
        <f>MIN(130%,SUM($B$57:$D$57)/SUM($B$58:$D$58)*$G$69/HLOOKUP(E$64*10+$A67,$145:$146,2,FALSE))</f>
        <v>1.2471358122232561</v>
      </c>
      <c r="H67" s="204">
        <v>3</v>
      </c>
      <c r="I67" s="208">
        <f t="shared" si="6"/>
        <v>0.34490000000000004</v>
      </c>
      <c r="J67" s="208">
        <f t="shared" si="6"/>
        <v>0.36310000000000003</v>
      </c>
      <c r="K67" s="208">
        <f t="shared" si="6"/>
        <v>0.32040000000000002</v>
      </c>
      <c r="L67" s="208">
        <f t="shared" si="6"/>
        <v>0.41270000000000001</v>
      </c>
      <c r="M67" s="209">
        <f t="shared" si="6"/>
        <v>0.38539999999999996</v>
      </c>
      <c r="N67" s="256">
        <f t="shared" si="7"/>
        <v>-47538</v>
      </c>
      <c r="O67" s="256">
        <f t="shared" si="7"/>
        <v>2893</v>
      </c>
      <c r="P67" s="210"/>
    </row>
    <row r="68" spans="1:71" x14ac:dyDescent="0.25">
      <c r="A68" s="204">
        <v>4</v>
      </c>
      <c r="B68" s="205">
        <f>HLOOKUP(B$64*10+$A68,$81:$82,2,FALSE)</f>
        <v>1.27</v>
      </c>
      <c r="C68" s="205">
        <f>HLOOKUP(C$64*10+$A68,$81:$82,2,FALSE)</f>
        <v>1.77</v>
      </c>
      <c r="D68" s="205">
        <f>HLOOKUP(D$64*10+$A68,$81:$82,2,FALSE)</f>
        <v>1.28</v>
      </c>
      <c r="E68" s="206">
        <f>IF(ISNA(HLOOKUP(E$64*10+$A68,$81:$82,2,FALSE)),D68*(1-$N68)*#REF!*(1+$B$25)/(1+$E$4),HLOOKUP(E$64*10+$A68,$81:$82,2,FALSE))</f>
        <v>1.8</v>
      </c>
      <c r="F68" s="206">
        <f>IF(ISNA(HLOOKUP(F$64*10+$A68,$81:$82,2,FALSE)),(HLOOKUP(E$64*10+$A68,$87:$94,4,FALSE)*$G68+$B$25)/HLOOKUP(E$64*10+$A68,$87:$94,5,FALSE)*$E68,HLOOKUP(F$64*10+$A68,$81:$82,2,FALSE))</f>
        <v>1.4911431646717688</v>
      </c>
      <c r="G68" s="101">
        <f>MIN(130%,SUM($B$57:$D$57)/SUM($B$58:$D$58)*$G$69/HLOOKUP(E$64*10+$A68,$145:$146,2,FALSE))</f>
        <v>1.2707156158198387</v>
      </c>
      <c r="H68" s="204">
        <v>4</v>
      </c>
      <c r="I68" s="208">
        <f t="shared" si="6"/>
        <v>0.31709999999999999</v>
      </c>
      <c r="J68" s="208">
        <f t="shared" si="6"/>
        <v>0.35289999999999999</v>
      </c>
      <c r="K68" s="208">
        <f t="shared" si="6"/>
        <v>0.39990000000000003</v>
      </c>
      <c r="L68" s="208">
        <f t="shared" si="6"/>
        <v>0.3493</v>
      </c>
      <c r="M68" s="209" t="str">
        <f t="shared" si="6"/>
        <v/>
      </c>
      <c r="N68" s="256">
        <f t="shared" si="7"/>
        <v>49190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4.3499999999999996</v>
      </c>
      <c r="C69" s="213">
        <f>SUM(C65:C68)</f>
        <v>5.3100000000000005</v>
      </c>
      <c r="D69" s="213">
        <f>SUM(D65:D68)</f>
        <v>5.54</v>
      </c>
      <c r="E69" s="213">
        <f>SUM(E65:E68)</f>
        <v>5.38</v>
      </c>
      <c r="F69" s="213">
        <f>SUM(F65:F68)</f>
        <v>4.7211431646717692</v>
      </c>
      <c r="G69" s="257">
        <f>_xlfn.FORECAST.ETS(23,B146:W146,{1,2,3,4,5,6,7,8,9,10,11,12,13,14,15,16,17,18,19,20,21,22})</f>
        <v>53.811495600371799</v>
      </c>
      <c r="H69" s="214" t="s">
        <v>19</v>
      </c>
      <c r="I69" s="215">
        <f>HLOOKUP(I64,151:155,3,FALSE)/100</f>
        <v>0.32100000000000001</v>
      </c>
      <c r="J69" s="215">
        <f>HLOOKUP(J64,151:155,3,FALSE)/100</f>
        <v>0.35299999999999998</v>
      </c>
      <c r="K69" s="215">
        <f>HLOOKUP(K64,151:155,3,FALSE)/100</f>
        <v>0.36659999999999998</v>
      </c>
      <c r="L69" s="215">
        <f>IF(ISNA(HLOOKUP(L64,151:155,3,FALSE)/100),AVERAGE(L65:L68),HLOOKUP(L64,151:155,3,FALSE)/100)</f>
        <v>0.38500000000000001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5.34</v>
      </c>
      <c r="C72" s="205">
        <f t="shared" si="8"/>
        <v>6.39</v>
      </c>
      <c r="D72" s="205">
        <f t="shared" si="8"/>
        <v>3.08</v>
      </c>
      <c r="E72" s="205">
        <f t="shared" si="8"/>
        <v>6</v>
      </c>
      <c r="F72" s="205">
        <f t="shared" si="8"/>
        <v>-0.51</v>
      </c>
    </row>
    <row r="73" spans="1:71" s="135" customFormat="1" x14ac:dyDescent="0.25">
      <c r="A73" s="204">
        <v>2</v>
      </c>
      <c r="B73" s="205">
        <f t="shared" si="8"/>
        <v>7.14</v>
      </c>
      <c r="C73" s="205">
        <f t="shared" si="8"/>
        <v>5.19</v>
      </c>
      <c r="D73" s="205">
        <f t="shared" si="8"/>
        <v>5.57</v>
      </c>
      <c r="E73" s="205">
        <f t="shared" si="8"/>
        <v>7.57</v>
      </c>
      <c r="F73" s="205">
        <f t="shared" si="8"/>
        <v>9.75</v>
      </c>
    </row>
    <row r="74" spans="1:71" s="135" customFormat="1" x14ac:dyDescent="0.25">
      <c r="A74" s="204">
        <v>3</v>
      </c>
      <c r="B74" s="205">
        <f t="shared" si="8"/>
        <v>7.58</v>
      </c>
      <c r="C74" s="205">
        <f t="shared" si="8"/>
        <v>8.6999999999999993</v>
      </c>
      <c r="D74" s="205">
        <f t="shared" si="8"/>
        <v>14.98</v>
      </c>
      <c r="E74" s="205">
        <f t="shared" si="8"/>
        <v>4.24</v>
      </c>
      <c r="F74" s="205">
        <f t="shared" si="8"/>
        <v>8.59</v>
      </c>
    </row>
    <row r="75" spans="1:71" s="135" customFormat="1" x14ac:dyDescent="0.25">
      <c r="A75" s="204">
        <v>4</v>
      </c>
      <c r="B75" s="205">
        <f t="shared" si="8"/>
        <v>7.61</v>
      </c>
      <c r="C75" s="205">
        <f t="shared" si="8"/>
        <v>9.58</v>
      </c>
      <c r="D75" s="205">
        <f t="shared" si="8"/>
        <v>6.47</v>
      </c>
      <c r="E75" s="205">
        <f t="shared" si="8"/>
        <v>8.9499999999999993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27.67</v>
      </c>
      <c r="C76" s="213">
        <f>SUM(C72:C75)</f>
        <v>29.86</v>
      </c>
      <c r="D76" s="213">
        <f>SUM(D72:D75)</f>
        <v>30.1</v>
      </c>
      <c r="E76" s="213">
        <f>AVERAGE(E72:E75)*4</f>
        <v>26.76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37631</v>
      </c>
      <c r="C79" s="270">
        <v>39658</v>
      </c>
      <c r="D79" s="270">
        <v>60811</v>
      </c>
      <c r="E79" s="270">
        <v>49756</v>
      </c>
      <c r="F79" s="270">
        <v>65929</v>
      </c>
      <c r="G79" s="270">
        <v>61941</v>
      </c>
      <c r="H79" s="270">
        <v>54729</v>
      </c>
      <c r="I79" s="270">
        <v>65825</v>
      </c>
      <c r="J79" s="270">
        <v>65129</v>
      </c>
      <c r="K79" s="270">
        <v>69190</v>
      </c>
      <c r="L79" s="270">
        <v>58316</v>
      </c>
      <c r="M79" s="270">
        <v>42807</v>
      </c>
      <c r="N79" s="270">
        <v>61392</v>
      </c>
      <c r="O79" s="270">
        <v>46589</v>
      </c>
      <c r="P79" s="270">
        <v>50408</v>
      </c>
      <c r="Q79" s="270">
        <v>70725</v>
      </c>
      <c r="R79" s="270">
        <v>53864</v>
      </c>
      <c r="S79" s="270">
        <v>63570</v>
      </c>
      <c r="T79" s="270">
        <v>69860</v>
      </c>
      <c r="U79" s="270">
        <v>62336</v>
      </c>
      <c r="V79" s="270">
        <v>62329</v>
      </c>
      <c r="W79" s="270">
        <v>77312</v>
      </c>
      <c r="X79" s="270">
        <v>57840</v>
      </c>
      <c r="Y79" s="270">
        <v>61272</v>
      </c>
      <c r="Z79" s="270">
        <v>69136</v>
      </c>
      <c r="AA79" s="270">
        <v>59529</v>
      </c>
      <c r="AB79" s="270">
        <v>63846</v>
      </c>
      <c r="AC79" s="270">
        <v>81354</v>
      </c>
      <c r="AD79" s="270">
        <v>75434</v>
      </c>
      <c r="AE79" s="270">
        <v>77570</v>
      </c>
      <c r="AF79" s="270">
        <v>82789</v>
      </c>
      <c r="AG79" s="270">
        <v>76311</v>
      </c>
      <c r="AH79" s="270">
        <v>75270</v>
      </c>
      <c r="AI79" s="270">
        <v>87483</v>
      </c>
      <c r="AJ79" s="270">
        <v>64955</v>
      </c>
      <c r="AK79" s="270">
        <v>71028</v>
      </c>
      <c r="AL79" s="270">
        <v>73055</v>
      </c>
      <c r="AM79" s="270">
        <v>64753</v>
      </c>
      <c r="AN79" s="270">
        <v>67857</v>
      </c>
      <c r="AO79" s="270">
        <v>77209</v>
      </c>
      <c r="AP79" s="270">
        <v>76642</v>
      </c>
      <c r="AQ79" s="270">
        <v>74281</v>
      </c>
      <c r="AR79" s="270">
        <v>84072</v>
      </c>
      <c r="AS79" s="270">
        <v>81863</v>
      </c>
      <c r="AT79" s="270">
        <v>86235</v>
      </c>
      <c r="AU79" s="270">
        <v>86735</v>
      </c>
      <c r="AV79" s="270">
        <v>85853</v>
      </c>
      <c r="AW79" s="270">
        <v>74722</v>
      </c>
      <c r="AX79" s="270">
        <v>87072</v>
      </c>
      <c r="AY79" s="270">
        <v>71431</v>
      </c>
      <c r="AZ79" s="270">
        <v>88916</v>
      </c>
      <c r="BA79" s="270">
        <v>83129</v>
      </c>
      <c r="BB79" s="270">
        <v>81463</v>
      </c>
      <c r="BC79" s="270">
        <v>91498</v>
      </c>
      <c r="BD79" s="270">
        <v>87365</v>
      </c>
      <c r="BE79" s="270">
        <v>86662</v>
      </c>
      <c r="BF79" s="270">
        <v>82589</v>
      </c>
      <c r="BG79" s="270">
        <v>80565</v>
      </c>
      <c r="BH79" s="270">
        <v>80127</v>
      </c>
      <c r="BI79" s="270">
        <v>70479</v>
      </c>
      <c r="BJ79" s="270">
        <v>84110</v>
      </c>
      <c r="BK79" s="270">
        <v>71446</v>
      </c>
      <c r="BL79" s="270">
        <v>96073</v>
      </c>
      <c r="BM79" s="270">
        <v>99010</v>
      </c>
      <c r="BN79" s="270">
        <v>101471</v>
      </c>
      <c r="BO79" s="270">
        <v>102108</v>
      </c>
      <c r="BP79" s="270">
        <v>104384</v>
      </c>
      <c r="BQ79" s="270">
        <v>107060</v>
      </c>
      <c r="BR79" s="270">
        <v>104202</v>
      </c>
      <c r="BS79" s="270">
        <v>100747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0.48</v>
      </c>
      <c r="C82" s="72">
        <v>0.73</v>
      </c>
      <c r="D82" s="72">
        <v>0.88</v>
      </c>
      <c r="E82" s="72">
        <v>0.68</v>
      </c>
      <c r="F82" s="72">
        <v>0.83</v>
      </c>
      <c r="G82" s="72">
        <v>1.0900000000000001</v>
      </c>
      <c r="H82" s="72">
        <v>1.1599999999999999</v>
      </c>
      <c r="I82" s="72">
        <v>1.27</v>
      </c>
      <c r="J82" s="72">
        <v>1.17</v>
      </c>
      <c r="K82" s="72">
        <v>0.91</v>
      </c>
      <c r="L82" s="72">
        <v>1.46</v>
      </c>
      <c r="M82" s="72">
        <v>1.77</v>
      </c>
      <c r="N82" s="72">
        <v>0.6</v>
      </c>
      <c r="O82" s="72">
        <v>1.01</v>
      </c>
      <c r="P82" s="72">
        <v>2.65</v>
      </c>
      <c r="Q82" s="72">
        <v>1.28</v>
      </c>
      <c r="R82" s="72">
        <v>1.26</v>
      </c>
      <c r="S82" s="72">
        <v>1.52</v>
      </c>
      <c r="T82" s="72">
        <v>0.8</v>
      </c>
      <c r="U82" s="72">
        <v>1.8</v>
      </c>
      <c r="V82" s="72">
        <v>-0.11</v>
      </c>
      <c r="W82" s="72">
        <v>1.77</v>
      </c>
      <c r="X82" s="72">
        <v>1.57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16.25</v>
      </c>
      <c r="C85" s="72">
        <v>13.7</v>
      </c>
      <c r="D85" s="72">
        <v>14.52</v>
      </c>
      <c r="E85" s="72">
        <v>15.08</v>
      </c>
      <c r="F85" s="72">
        <v>15.87</v>
      </c>
      <c r="G85" s="72">
        <v>14.7</v>
      </c>
      <c r="H85" s="72">
        <v>16.059999999999999</v>
      </c>
      <c r="I85" s="72">
        <v>17.39</v>
      </c>
      <c r="J85" s="72">
        <v>19.23</v>
      </c>
      <c r="K85" s="72">
        <v>16.04</v>
      </c>
      <c r="L85" s="72">
        <v>17.46</v>
      </c>
      <c r="M85" s="72">
        <v>19.350000000000001</v>
      </c>
      <c r="N85" s="72">
        <v>19.760000000000002</v>
      </c>
      <c r="O85" s="72">
        <v>16.34</v>
      </c>
      <c r="P85" s="72">
        <v>19.149999999999999</v>
      </c>
      <c r="Q85" s="72">
        <v>20.46</v>
      </c>
      <c r="R85" s="72">
        <v>21.65</v>
      </c>
      <c r="S85" s="72">
        <v>18.52</v>
      </c>
      <c r="T85" s="72">
        <v>19.2</v>
      </c>
      <c r="U85" s="72">
        <v>21.01</v>
      </c>
      <c r="V85" s="72">
        <v>20.73</v>
      </c>
      <c r="W85" s="72">
        <v>19.239999999999998</v>
      </c>
      <c r="X85" s="72">
        <v>19.14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139782</v>
      </c>
      <c r="C88" s="273">
        <v>179370</v>
      </c>
      <c r="D88" s="273">
        <v>187563</v>
      </c>
      <c r="E88" s="273">
        <v>172727</v>
      </c>
      <c r="F88" s="273">
        <v>158389</v>
      </c>
      <c r="G88" s="273">
        <v>188160</v>
      </c>
      <c r="H88" s="273">
        <v>194526</v>
      </c>
      <c r="I88" s="273">
        <v>196423</v>
      </c>
      <c r="J88" s="273">
        <v>192510</v>
      </c>
      <c r="K88" s="273">
        <v>234358</v>
      </c>
      <c r="L88" s="273">
        <v>234370</v>
      </c>
      <c r="M88" s="273">
        <v>223466</v>
      </c>
      <c r="N88" s="273">
        <v>205664</v>
      </c>
      <c r="O88" s="273">
        <v>228132</v>
      </c>
      <c r="P88" s="273">
        <v>252170</v>
      </c>
      <c r="Q88" s="273">
        <v>247311</v>
      </c>
      <c r="R88" s="273">
        <v>247419</v>
      </c>
      <c r="S88" s="273">
        <v>256090</v>
      </c>
      <c r="T88" s="273">
        <v>256616</v>
      </c>
      <c r="U88" s="273">
        <v>231172</v>
      </c>
      <c r="V88" s="273">
        <v>251628</v>
      </c>
      <c r="W88" s="273">
        <v>302590</v>
      </c>
      <c r="X88" s="273">
        <v>315645</v>
      </c>
    </row>
    <row r="89" spans="1:25" ht="14.25" thickBot="1" x14ac:dyDescent="0.3">
      <c r="A89" s="250" t="s">
        <v>4</v>
      </c>
      <c r="B89" s="275">
        <v>64182</v>
      </c>
      <c r="C89" s="275">
        <v>84122</v>
      </c>
      <c r="D89" s="275">
        <v>90208</v>
      </c>
      <c r="E89" s="275">
        <v>79099</v>
      </c>
      <c r="F89" s="275">
        <v>72168</v>
      </c>
      <c r="G89" s="275">
        <v>92539</v>
      </c>
      <c r="H89" s="275">
        <v>96111</v>
      </c>
      <c r="I89" s="275">
        <v>95833</v>
      </c>
      <c r="J89" s="275">
        <v>95951</v>
      </c>
      <c r="K89" s="275">
        <v>120402</v>
      </c>
      <c r="L89" s="275">
        <v>118296</v>
      </c>
      <c r="M89" s="275">
        <v>115128</v>
      </c>
      <c r="N89" s="275">
        <v>106296</v>
      </c>
      <c r="O89" s="275">
        <v>116309</v>
      </c>
      <c r="P89" s="275">
        <v>126869</v>
      </c>
      <c r="Q89" s="275">
        <v>135159</v>
      </c>
      <c r="R89" s="275">
        <v>130642</v>
      </c>
      <c r="S89" s="275">
        <v>137110</v>
      </c>
      <c r="T89" s="275">
        <v>138284</v>
      </c>
      <c r="U89" s="275">
        <v>122274</v>
      </c>
      <c r="V89" s="275">
        <v>135214</v>
      </c>
      <c r="W89" s="275">
        <v>156231</v>
      </c>
      <c r="X89" s="275">
        <v>163074</v>
      </c>
    </row>
    <row r="90" spans="1:25" ht="14.25" thickBot="1" x14ac:dyDescent="0.3">
      <c r="A90" s="251" t="s">
        <v>5</v>
      </c>
      <c r="B90" s="273">
        <v>38833</v>
      </c>
      <c r="C90" s="273">
        <v>56187</v>
      </c>
      <c r="D90" s="273">
        <v>63140</v>
      </c>
      <c r="E90" s="273">
        <v>52310</v>
      </c>
      <c r="F90" s="273">
        <v>43818</v>
      </c>
      <c r="G90" s="273">
        <v>63534</v>
      </c>
      <c r="H90" s="273">
        <v>67090</v>
      </c>
      <c r="I90" s="273">
        <v>62293</v>
      </c>
      <c r="J90" s="273">
        <v>57204</v>
      </c>
      <c r="K90" s="273">
        <v>91090</v>
      </c>
      <c r="L90" s="273">
        <v>85109</v>
      </c>
      <c r="M90" s="273">
        <v>78865</v>
      </c>
      <c r="N90" s="273">
        <v>78589</v>
      </c>
      <c r="O90" s="273">
        <v>83847</v>
      </c>
      <c r="P90" s="273">
        <v>80798</v>
      </c>
      <c r="Q90" s="273">
        <v>98909</v>
      </c>
      <c r="R90" s="273">
        <v>97113</v>
      </c>
      <c r="S90" s="273">
        <v>97899</v>
      </c>
      <c r="T90" s="273">
        <v>105896</v>
      </c>
      <c r="U90" s="273">
        <v>80754</v>
      </c>
      <c r="V90" s="273">
        <v>104810</v>
      </c>
      <c r="W90" s="273">
        <v>114037</v>
      </c>
      <c r="X90" s="273">
        <v>121646</v>
      </c>
    </row>
    <row r="91" spans="1:25" ht="14.25" thickBot="1" x14ac:dyDescent="0.3">
      <c r="A91" s="250" t="s">
        <v>6</v>
      </c>
      <c r="B91" s="275">
        <v>32989</v>
      </c>
      <c r="C91" s="275">
        <v>51094</v>
      </c>
      <c r="D91" s="275">
        <v>60620</v>
      </c>
      <c r="E91" s="275">
        <v>52640</v>
      </c>
      <c r="F91" s="275">
        <v>59142</v>
      </c>
      <c r="G91" s="275">
        <v>78327</v>
      </c>
      <c r="H91" s="275">
        <v>81412</v>
      </c>
      <c r="I91" s="275">
        <v>89475</v>
      </c>
      <c r="J91" s="275">
        <v>84057</v>
      </c>
      <c r="K91" s="275">
        <v>69217</v>
      </c>
      <c r="L91" s="275">
        <v>105952</v>
      </c>
      <c r="M91" s="275">
        <v>126641</v>
      </c>
      <c r="N91" s="275">
        <v>43458</v>
      </c>
      <c r="O91" s="275">
        <v>74304</v>
      </c>
      <c r="P91" s="275">
        <v>192675</v>
      </c>
      <c r="Q91" s="275">
        <v>92076</v>
      </c>
      <c r="R91" s="275">
        <v>89809</v>
      </c>
      <c r="S91" s="275">
        <v>109395</v>
      </c>
      <c r="T91" s="275">
        <v>58358</v>
      </c>
      <c r="U91" s="275">
        <v>129944</v>
      </c>
      <c r="V91" s="275">
        <v>-6581</v>
      </c>
      <c r="W91" s="275">
        <v>139962</v>
      </c>
      <c r="X91" s="275">
        <v>124539</v>
      </c>
    </row>
    <row r="92" spans="1:25" ht="14.25" thickBot="1" x14ac:dyDescent="0.3">
      <c r="A92" s="251" t="s">
        <v>7</v>
      </c>
      <c r="B92" s="273">
        <v>28313</v>
      </c>
      <c r="C92" s="273">
        <v>43265</v>
      </c>
      <c r="D92" s="273">
        <v>51986</v>
      </c>
      <c r="E92" s="273">
        <v>40236</v>
      </c>
      <c r="F92" s="273">
        <v>48638</v>
      </c>
      <c r="G92" s="273">
        <v>64430</v>
      </c>
      <c r="H92" s="273">
        <v>68836</v>
      </c>
      <c r="I92" s="273">
        <v>75160</v>
      </c>
      <c r="J92" s="273">
        <v>69351</v>
      </c>
      <c r="K92" s="273">
        <v>54460</v>
      </c>
      <c r="L92" s="273">
        <v>86747</v>
      </c>
      <c r="M92" s="273">
        <v>105004</v>
      </c>
      <c r="N92" s="273">
        <v>35910</v>
      </c>
      <c r="O92" s="273">
        <v>59885</v>
      </c>
      <c r="P92" s="273">
        <v>158459</v>
      </c>
      <c r="Q92" s="273">
        <v>76403</v>
      </c>
      <c r="R92" s="273">
        <v>75303</v>
      </c>
      <c r="S92" s="273">
        <v>90735</v>
      </c>
      <c r="T92" s="273">
        <v>47670</v>
      </c>
      <c r="U92" s="273">
        <v>107316</v>
      </c>
      <c r="V92" s="273">
        <v>-6338</v>
      </c>
      <c r="W92" s="273">
        <v>116281</v>
      </c>
      <c r="X92" s="273">
        <v>103228</v>
      </c>
    </row>
    <row r="93" spans="1:25" ht="26.25" thickBot="1" x14ac:dyDescent="0.3">
      <c r="A93" s="252" t="s">
        <v>8</v>
      </c>
      <c r="B93" s="276">
        <v>28313</v>
      </c>
      <c r="C93" s="276">
        <v>43265</v>
      </c>
      <c r="D93" s="276">
        <v>51986</v>
      </c>
      <c r="E93" s="276">
        <v>40236</v>
      </c>
      <c r="F93" s="276">
        <v>48638</v>
      </c>
      <c r="G93" s="276">
        <v>64430</v>
      </c>
      <c r="H93" s="276">
        <v>68836</v>
      </c>
      <c r="I93" s="276">
        <v>75160</v>
      </c>
      <c r="J93" s="276">
        <v>69351</v>
      </c>
      <c r="K93" s="276">
        <v>54460</v>
      </c>
      <c r="L93" s="276">
        <v>86747</v>
      </c>
      <c r="M93" s="276">
        <v>105004</v>
      </c>
      <c r="N93" s="276">
        <v>35910</v>
      </c>
      <c r="O93" s="276">
        <v>59885</v>
      </c>
      <c r="P93" s="276">
        <v>158459</v>
      </c>
      <c r="Q93" s="276">
        <v>76403</v>
      </c>
      <c r="R93" s="276">
        <v>75303</v>
      </c>
      <c r="S93" s="276">
        <v>90735</v>
      </c>
      <c r="T93" s="276">
        <v>47670</v>
      </c>
      <c r="U93" s="276">
        <v>107316</v>
      </c>
      <c r="V93" s="276">
        <v>-6338</v>
      </c>
      <c r="W93" s="276">
        <v>116281</v>
      </c>
      <c r="X93" s="276">
        <v>103228</v>
      </c>
    </row>
    <row r="94" spans="1:25" x14ac:dyDescent="0.25">
      <c r="A94" s="233" t="s">
        <v>365</v>
      </c>
      <c r="B94" s="253">
        <f>IF(B91="","",B91-B90)</f>
        <v>-5844</v>
      </c>
      <c r="C94" s="253">
        <f>IF(C91="","",C91-C90)</f>
        <v>-5093</v>
      </c>
      <c r="D94" s="253">
        <f t="shared" ref="D94:Y94" si="9">IF(D91="","",D91-D90)</f>
        <v>-2520</v>
      </c>
      <c r="E94" s="253">
        <f t="shared" si="9"/>
        <v>330</v>
      </c>
      <c r="F94" s="253">
        <f t="shared" si="9"/>
        <v>15324</v>
      </c>
      <c r="G94" s="253">
        <f t="shared" si="9"/>
        <v>14793</v>
      </c>
      <c r="H94" s="253">
        <f t="shared" si="9"/>
        <v>14322</v>
      </c>
      <c r="I94" s="253">
        <f t="shared" si="9"/>
        <v>27182</v>
      </c>
      <c r="J94" s="253">
        <f t="shared" si="9"/>
        <v>26853</v>
      </c>
      <c r="K94" s="253">
        <f t="shared" si="9"/>
        <v>-21873</v>
      </c>
      <c r="L94" s="253">
        <f t="shared" si="9"/>
        <v>20843</v>
      </c>
      <c r="M94" s="253">
        <f t="shared" si="9"/>
        <v>47776</v>
      </c>
      <c r="N94" s="253">
        <f t="shared" si="9"/>
        <v>-35131</v>
      </c>
      <c r="O94" s="253">
        <f t="shared" si="9"/>
        <v>-9543</v>
      </c>
      <c r="P94" s="253">
        <f t="shared" si="9"/>
        <v>111877</v>
      </c>
      <c r="Q94" s="253">
        <f t="shared" si="9"/>
        <v>-6833</v>
      </c>
      <c r="R94" s="253">
        <f t="shared" si="9"/>
        <v>-7304</v>
      </c>
      <c r="S94" s="253">
        <f t="shared" si="9"/>
        <v>11496</v>
      </c>
      <c r="T94" s="253">
        <f t="shared" si="9"/>
        <v>-47538</v>
      </c>
      <c r="U94" s="253">
        <f t="shared" si="9"/>
        <v>49190</v>
      </c>
      <c r="V94" s="253">
        <f t="shared" si="9"/>
        <v>-111391</v>
      </c>
      <c r="W94" s="253">
        <f t="shared" si="9"/>
        <v>25925</v>
      </c>
      <c r="X94" s="253">
        <f t="shared" si="9"/>
        <v>2893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679442</v>
      </c>
      <c r="C97" s="273">
        <v>737498</v>
      </c>
      <c r="D97" s="273">
        <v>884704</v>
      </c>
      <c r="E97" s="273">
        <v>933277</v>
      </c>
      <c r="F97" s="273">
        <v>991297</v>
      </c>
    </row>
    <row r="98" spans="1:24" ht="14.25" thickBot="1" x14ac:dyDescent="0.3">
      <c r="A98" s="225" t="s">
        <v>4</v>
      </c>
      <c r="B98" s="275">
        <v>317611</v>
      </c>
      <c r="C98" s="275">
        <v>356651</v>
      </c>
      <c r="D98" s="275">
        <v>449777</v>
      </c>
      <c r="E98" s="275">
        <v>484633</v>
      </c>
      <c r="F98" s="275">
        <v>528310</v>
      </c>
    </row>
    <row r="99" spans="1:24" ht="14.25" thickBot="1" x14ac:dyDescent="0.3">
      <c r="A99" s="224" t="s">
        <v>5</v>
      </c>
      <c r="B99" s="273">
        <v>210470</v>
      </c>
      <c r="C99" s="273">
        <v>236735</v>
      </c>
      <c r="D99" s="273">
        <v>312268</v>
      </c>
      <c r="E99" s="273">
        <v>342143</v>
      </c>
      <c r="F99" s="273">
        <v>381662</v>
      </c>
    </row>
    <row r="100" spans="1:24" ht="14.25" thickBot="1" x14ac:dyDescent="0.3">
      <c r="A100" s="225" t="s">
        <v>6</v>
      </c>
      <c r="B100" s="275">
        <v>197343</v>
      </c>
      <c r="C100" s="275">
        <v>308356</v>
      </c>
      <c r="D100" s="275">
        <v>385867</v>
      </c>
      <c r="E100" s="275">
        <v>402513</v>
      </c>
      <c r="F100" s="275">
        <v>387506</v>
      </c>
    </row>
    <row r="101" spans="1:24" ht="14.25" thickBot="1" x14ac:dyDescent="0.3">
      <c r="A101" s="224" t="s">
        <v>7</v>
      </c>
      <c r="B101" s="273">
        <v>163800</v>
      </c>
      <c r="C101" s="273">
        <v>257064</v>
      </c>
      <c r="D101" s="273">
        <v>315562</v>
      </c>
      <c r="E101" s="273">
        <v>330657</v>
      </c>
      <c r="F101" s="273">
        <v>321024</v>
      </c>
    </row>
    <row r="102" spans="1:24" ht="14.25" thickBot="1" x14ac:dyDescent="0.3">
      <c r="A102" s="227" t="s">
        <v>8</v>
      </c>
      <c r="B102" s="276">
        <v>163800</v>
      </c>
      <c r="C102" s="276">
        <v>257064</v>
      </c>
      <c r="D102" s="276">
        <v>315562</v>
      </c>
      <c r="E102" s="276">
        <v>330657</v>
      </c>
      <c r="F102" s="276">
        <v>321024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650480</v>
      </c>
      <c r="C106" s="273">
        <v>635266</v>
      </c>
      <c r="D106" s="273">
        <v>778789</v>
      </c>
      <c r="E106" s="273">
        <v>868427</v>
      </c>
      <c r="F106" s="273">
        <v>947356</v>
      </c>
      <c r="G106" s="273">
        <v>1103541</v>
      </c>
      <c r="H106" s="273">
        <v>1075288</v>
      </c>
      <c r="I106" s="273">
        <v>1210556</v>
      </c>
      <c r="J106" s="273">
        <v>1346216</v>
      </c>
      <c r="K106" s="273">
        <v>1479960</v>
      </c>
      <c r="L106" s="273">
        <v>1330057</v>
      </c>
      <c r="M106" s="273">
        <v>1421449</v>
      </c>
      <c r="N106" s="273">
        <v>1532523</v>
      </c>
      <c r="O106" s="273">
        <v>1517512</v>
      </c>
      <c r="P106" s="273">
        <v>1159657</v>
      </c>
      <c r="Q106" s="273">
        <v>1468651</v>
      </c>
      <c r="R106" s="273">
        <v>1460995</v>
      </c>
      <c r="S106" s="273">
        <v>1510978</v>
      </c>
      <c r="T106" s="273">
        <v>1552581</v>
      </c>
      <c r="U106" s="273">
        <v>1668629</v>
      </c>
      <c r="V106" s="273">
        <v>1670127</v>
      </c>
      <c r="W106" s="273">
        <v>1782370</v>
      </c>
      <c r="X106" s="273">
        <v>1691659</v>
      </c>
    </row>
    <row r="107" spans="1:24" ht="14.25" thickBot="1" x14ac:dyDescent="0.3">
      <c r="A107" s="225" t="s">
        <v>22</v>
      </c>
      <c r="B107" s="275">
        <v>100578</v>
      </c>
      <c r="C107" s="275">
        <v>83533</v>
      </c>
      <c r="D107" s="275">
        <v>91480</v>
      </c>
      <c r="E107" s="275">
        <v>87118</v>
      </c>
      <c r="F107" s="275">
        <v>93527</v>
      </c>
      <c r="G107" s="275">
        <v>105831</v>
      </c>
      <c r="H107" s="275">
        <v>94567</v>
      </c>
      <c r="I107" s="275">
        <v>88076</v>
      </c>
      <c r="J107" s="275">
        <v>97833</v>
      </c>
      <c r="K107" s="275">
        <v>95758</v>
      </c>
      <c r="L107" s="275">
        <v>75661</v>
      </c>
      <c r="M107" s="275">
        <v>85411</v>
      </c>
      <c r="N107" s="275">
        <v>52180</v>
      </c>
      <c r="O107" s="275">
        <v>52987</v>
      </c>
      <c r="P107" s="275">
        <v>53140</v>
      </c>
      <c r="Q107" s="275">
        <v>60368</v>
      </c>
      <c r="R107" s="275">
        <v>37359</v>
      </c>
      <c r="S107" s="275">
        <v>12994</v>
      </c>
      <c r="T107" s="275">
        <v>11613</v>
      </c>
      <c r="U107" s="275">
        <v>12953</v>
      </c>
      <c r="V107" s="275">
        <v>13294</v>
      </c>
      <c r="W107" s="275">
        <v>13005</v>
      </c>
      <c r="X107" s="275">
        <v>12847</v>
      </c>
    </row>
    <row r="108" spans="1:24" ht="14.25" thickBot="1" x14ac:dyDescent="0.3">
      <c r="A108" s="224" t="s">
        <v>263</v>
      </c>
      <c r="B108" s="273">
        <v>52963</v>
      </c>
      <c r="C108" s="273">
        <v>62422</v>
      </c>
      <c r="D108" s="273">
        <v>57645</v>
      </c>
      <c r="E108" s="273">
        <v>42733</v>
      </c>
      <c r="F108" s="273">
        <v>41313</v>
      </c>
      <c r="G108" s="273">
        <v>58899</v>
      </c>
      <c r="H108" s="273">
        <v>63300</v>
      </c>
      <c r="I108" s="273">
        <v>64266</v>
      </c>
      <c r="J108" s="273">
        <v>59356</v>
      </c>
      <c r="K108" s="273">
        <v>75959</v>
      </c>
      <c r="L108" s="273">
        <v>69045</v>
      </c>
      <c r="M108" s="273">
        <v>75470</v>
      </c>
      <c r="N108" s="273">
        <v>51696</v>
      </c>
      <c r="O108" s="273">
        <v>80868</v>
      </c>
      <c r="P108" s="273">
        <v>99141</v>
      </c>
      <c r="Q108" s="273">
        <v>66494</v>
      </c>
      <c r="R108" s="273">
        <v>73621</v>
      </c>
      <c r="S108" s="273">
        <v>77827</v>
      </c>
      <c r="T108" s="273">
        <v>68271</v>
      </c>
      <c r="U108" s="273">
        <v>76738</v>
      </c>
      <c r="V108" s="273">
        <v>100518</v>
      </c>
      <c r="W108" s="273">
        <v>99735</v>
      </c>
      <c r="X108" s="273">
        <v>100321</v>
      </c>
    </row>
    <row r="109" spans="1:24" ht="14.25" thickBot="1" x14ac:dyDescent="0.3">
      <c r="A109" s="225" t="s">
        <v>264</v>
      </c>
      <c r="B109" s="275">
        <v>83696</v>
      </c>
      <c r="C109" s="275">
        <v>88651</v>
      </c>
      <c r="D109" s="275">
        <v>103808</v>
      </c>
      <c r="E109" s="275">
        <v>100209</v>
      </c>
      <c r="F109" s="275">
        <v>90098</v>
      </c>
      <c r="G109" s="275">
        <v>94188</v>
      </c>
      <c r="H109" s="275">
        <v>97431</v>
      </c>
      <c r="I109" s="275">
        <v>102602</v>
      </c>
      <c r="J109" s="275">
        <v>110000</v>
      </c>
      <c r="K109" s="275">
        <v>109031</v>
      </c>
      <c r="L109" s="275">
        <v>123759</v>
      </c>
      <c r="M109" s="275">
        <v>127531</v>
      </c>
      <c r="N109" s="275">
        <v>126017</v>
      </c>
      <c r="O109" s="275">
        <v>125309</v>
      </c>
      <c r="P109" s="275">
        <v>129991</v>
      </c>
      <c r="Q109" s="275">
        <v>133508</v>
      </c>
      <c r="R109" s="275">
        <v>142201</v>
      </c>
      <c r="S109" s="275">
        <v>142648</v>
      </c>
      <c r="T109" s="275">
        <v>143378</v>
      </c>
      <c r="U109" s="275">
        <v>132810</v>
      </c>
      <c r="V109" s="275">
        <v>138241</v>
      </c>
      <c r="W109" s="275">
        <v>155840</v>
      </c>
      <c r="X109" s="275">
        <v>198695</v>
      </c>
    </row>
    <row r="110" spans="1:24" ht="14.25" thickBot="1" x14ac:dyDescent="0.3">
      <c r="A110" s="224" t="s">
        <v>23</v>
      </c>
      <c r="B110" s="273">
        <v>20473</v>
      </c>
      <c r="C110" s="273">
        <v>26051</v>
      </c>
      <c r="D110" s="273">
        <v>18420</v>
      </c>
      <c r="E110" s="273">
        <v>73293</v>
      </c>
      <c r="F110" s="273">
        <v>144046</v>
      </c>
      <c r="G110" s="273">
        <v>78333</v>
      </c>
      <c r="H110" s="273">
        <v>72700</v>
      </c>
      <c r="I110" s="273">
        <v>10850</v>
      </c>
      <c r="J110" s="273">
        <v>34970</v>
      </c>
      <c r="K110" s="273">
        <v>28019</v>
      </c>
      <c r="L110" s="273">
        <v>106032</v>
      </c>
      <c r="M110" s="273">
        <v>150050</v>
      </c>
      <c r="N110" s="273">
        <v>174898</v>
      </c>
      <c r="O110" s="273">
        <v>324302</v>
      </c>
      <c r="P110" s="273">
        <v>696686</v>
      </c>
      <c r="Q110" s="273">
        <v>518952</v>
      </c>
      <c r="R110" s="273">
        <v>326047</v>
      </c>
      <c r="S110" s="273">
        <v>341621</v>
      </c>
      <c r="T110" s="273">
        <v>400187</v>
      </c>
      <c r="U110" s="273">
        <v>398157</v>
      </c>
      <c r="V110" s="273">
        <v>390174</v>
      </c>
      <c r="W110" s="273">
        <v>418397</v>
      </c>
      <c r="X110" s="273">
        <v>410323</v>
      </c>
    </row>
    <row r="111" spans="1:24" ht="14.25" thickBot="1" x14ac:dyDescent="0.3">
      <c r="A111" s="225" t="s">
        <v>24</v>
      </c>
      <c r="B111" s="275">
        <v>908190</v>
      </c>
      <c r="C111" s="275">
        <v>895923</v>
      </c>
      <c r="D111" s="275">
        <v>1050142</v>
      </c>
      <c r="E111" s="275">
        <v>1171780</v>
      </c>
      <c r="F111" s="275">
        <v>1316340</v>
      </c>
      <c r="G111" s="275">
        <v>1440792</v>
      </c>
      <c r="H111" s="275">
        <v>1403286</v>
      </c>
      <c r="I111" s="275">
        <v>1476350</v>
      </c>
      <c r="J111" s="275">
        <v>1648375</v>
      </c>
      <c r="K111" s="275">
        <v>1788727</v>
      </c>
      <c r="L111" s="275">
        <v>1704554</v>
      </c>
      <c r="M111" s="275">
        <v>1859911</v>
      </c>
      <c r="N111" s="275">
        <v>1937314</v>
      </c>
      <c r="O111" s="275">
        <v>2100978</v>
      </c>
      <c r="P111" s="275">
        <v>2138615</v>
      </c>
      <c r="Q111" s="275">
        <v>2247973</v>
      </c>
      <c r="R111" s="275">
        <v>2040223</v>
      </c>
      <c r="S111" s="275">
        <v>2086068</v>
      </c>
      <c r="T111" s="275">
        <v>2176030</v>
      </c>
      <c r="U111" s="275">
        <v>2289287</v>
      </c>
      <c r="V111" s="275">
        <v>2312354</v>
      </c>
      <c r="W111" s="275">
        <v>2469347</v>
      </c>
      <c r="X111" s="275">
        <v>2413845</v>
      </c>
    </row>
    <row r="112" spans="1:24" ht="14.25" thickBot="1" x14ac:dyDescent="0.3">
      <c r="A112" s="224" t="s">
        <v>25</v>
      </c>
      <c r="B112" s="273">
        <v>8212</v>
      </c>
      <c r="C112" s="273">
        <v>7422</v>
      </c>
      <c r="D112" s="273">
        <v>7473</v>
      </c>
      <c r="E112" s="273">
        <v>7040</v>
      </c>
      <c r="F112" s="273">
        <v>8466</v>
      </c>
      <c r="G112" s="273">
        <v>8059</v>
      </c>
      <c r="H112" s="273">
        <v>10019</v>
      </c>
      <c r="I112" s="273">
        <v>12260</v>
      </c>
      <c r="J112" s="273">
        <v>14195</v>
      </c>
      <c r="K112" s="273">
        <v>12464</v>
      </c>
      <c r="L112" s="273">
        <v>11955</v>
      </c>
      <c r="M112" s="273">
        <v>13915</v>
      </c>
      <c r="N112" s="273">
        <v>14628</v>
      </c>
      <c r="O112" s="273">
        <v>11064</v>
      </c>
      <c r="P112" s="273">
        <v>10172</v>
      </c>
      <c r="Q112" s="273">
        <v>11089</v>
      </c>
      <c r="R112" s="273">
        <v>11140</v>
      </c>
      <c r="S112" s="273">
        <v>10936</v>
      </c>
      <c r="T112" s="273">
        <v>10503</v>
      </c>
      <c r="U112" s="273">
        <v>10401</v>
      </c>
      <c r="V112" s="273">
        <v>11267</v>
      </c>
      <c r="W112" s="273">
        <v>11267</v>
      </c>
      <c r="X112" s="273">
        <v>13559</v>
      </c>
    </row>
    <row r="113" spans="1:24" ht="14.25" thickBot="1" x14ac:dyDescent="0.3">
      <c r="A113" s="225" t="s">
        <v>26</v>
      </c>
      <c r="B113" s="275">
        <v>227034</v>
      </c>
      <c r="C113" s="275">
        <v>224906</v>
      </c>
      <c r="D113" s="275">
        <v>221503</v>
      </c>
      <c r="E113" s="275">
        <v>219245</v>
      </c>
      <c r="F113" s="275">
        <v>217155</v>
      </c>
      <c r="G113" s="275">
        <v>215326</v>
      </c>
      <c r="H113" s="275">
        <v>211286</v>
      </c>
      <c r="I113" s="275">
        <v>209878</v>
      </c>
      <c r="J113" s="275">
        <v>207045</v>
      </c>
      <c r="K113" s="275">
        <v>203336</v>
      </c>
      <c r="L113" s="275">
        <v>202369</v>
      </c>
      <c r="M113" s="275">
        <v>201100</v>
      </c>
      <c r="N113" s="275">
        <v>198977</v>
      </c>
      <c r="O113" s="275">
        <v>204140</v>
      </c>
      <c r="P113" s="275">
        <v>204720</v>
      </c>
      <c r="Q113" s="275">
        <v>205742</v>
      </c>
      <c r="R113" s="275">
        <v>207192</v>
      </c>
      <c r="S113" s="275">
        <v>206548</v>
      </c>
      <c r="T113" s="275">
        <v>203660</v>
      </c>
      <c r="U113" s="275">
        <v>218018</v>
      </c>
      <c r="V113" s="275">
        <v>218081</v>
      </c>
      <c r="W113" s="275">
        <v>220389</v>
      </c>
      <c r="X113" s="275">
        <v>230180</v>
      </c>
    </row>
    <row r="114" spans="1:24" ht="14.25" thickBot="1" x14ac:dyDescent="0.3">
      <c r="A114" s="224" t="s">
        <v>27</v>
      </c>
      <c r="B114" s="273">
        <v>22170</v>
      </c>
      <c r="C114" s="273">
        <v>27330</v>
      </c>
      <c r="D114" s="273">
        <v>26805</v>
      </c>
      <c r="E114" s="273">
        <v>26636</v>
      </c>
      <c r="F114" s="273">
        <v>30457</v>
      </c>
      <c r="G114" s="273">
        <v>28261</v>
      </c>
      <c r="H114" s="273">
        <v>29160</v>
      </c>
      <c r="I114" s="273">
        <v>29319</v>
      </c>
      <c r="J114" s="273">
        <v>28900</v>
      </c>
      <c r="K114" s="273">
        <v>27472</v>
      </c>
      <c r="L114" s="273">
        <v>28338</v>
      </c>
      <c r="M114" s="273">
        <v>28388</v>
      </c>
      <c r="N114" s="273">
        <v>21651</v>
      </c>
      <c r="O114" s="273">
        <v>20682</v>
      </c>
      <c r="P114" s="273">
        <v>20509</v>
      </c>
      <c r="Q114" s="273">
        <v>21166</v>
      </c>
      <c r="R114" s="273">
        <v>21474</v>
      </c>
      <c r="S114" s="273">
        <v>20678</v>
      </c>
      <c r="T114" s="273">
        <v>30881</v>
      </c>
      <c r="U114" s="273">
        <v>26674</v>
      </c>
      <c r="V114" s="273">
        <v>24426</v>
      </c>
      <c r="W114" s="273">
        <v>27378</v>
      </c>
      <c r="X114" s="273">
        <v>30499</v>
      </c>
    </row>
    <row r="115" spans="1:24" ht="14.25" thickBot="1" x14ac:dyDescent="0.3">
      <c r="A115" s="225" t="s">
        <v>265</v>
      </c>
      <c r="B115" s="276">
        <v>1165606</v>
      </c>
      <c r="C115" s="276">
        <v>1155581</v>
      </c>
      <c r="D115" s="276">
        <v>1305923</v>
      </c>
      <c r="E115" s="276">
        <v>1424701</v>
      </c>
      <c r="F115" s="276">
        <v>1572418</v>
      </c>
      <c r="G115" s="276">
        <v>1692438</v>
      </c>
      <c r="H115" s="276">
        <v>1653751</v>
      </c>
      <c r="I115" s="276">
        <v>1727807</v>
      </c>
      <c r="J115" s="276">
        <v>1898515</v>
      </c>
      <c r="K115" s="276">
        <v>2031999</v>
      </c>
      <c r="L115" s="276">
        <v>1947216</v>
      </c>
      <c r="M115" s="276">
        <v>2103314</v>
      </c>
      <c r="N115" s="276">
        <v>2172570</v>
      </c>
      <c r="O115" s="276">
        <v>2336864</v>
      </c>
      <c r="P115" s="276">
        <v>2374016</v>
      </c>
      <c r="Q115" s="276">
        <v>2485970</v>
      </c>
      <c r="R115" s="276">
        <v>2280029</v>
      </c>
      <c r="S115" s="276">
        <v>2324230</v>
      </c>
      <c r="T115" s="276">
        <v>2421074</v>
      </c>
      <c r="U115" s="276">
        <v>2544380</v>
      </c>
      <c r="V115" s="276">
        <v>2566128</v>
      </c>
      <c r="W115" s="276">
        <v>2728381</v>
      </c>
      <c r="X115" s="276">
        <v>2688083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26000</v>
      </c>
      <c r="C118" s="273">
        <v>10000</v>
      </c>
      <c r="D118" s="273">
        <v>188000</v>
      </c>
      <c r="E118" s="273">
        <v>303000</v>
      </c>
      <c r="F118" s="273">
        <v>374500</v>
      </c>
      <c r="G118" s="273">
        <v>383000</v>
      </c>
      <c r="H118" s="273">
        <v>422000</v>
      </c>
      <c r="I118" s="273">
        <v>353000</v>
      </c>
      <c r="J118" s="273">
        <v>377000</v>
      </c>
      <c r="K118" s="273">
        <v>448000</v>
      </c>
      <c r="L118" s="273">
        <v>518500</v>
      </c>
      <c r="M118" s="273">
        <v>548000</v>
      </c>
      <c r="N118" s="273">
        <v>587000</v>
      </c>
      <c r="O118" s="273">
        <v>688000</v>
      </c>
      <c r="P118" s="273">
        <v>790000</v>
      </c>
      <c r="Q118" s="273">
        <v>800000</v>
      </c>
      <c r="R118" s="273">
        <v>517000</v>
      </c>
      <c r="S118" s="273">
        <v>483000</v>
      </c>
      <c r="T118" s="273">
        <v>840000</v>
      </c>
      <c r="U118" s="273">
        <v>840000</v>
      </c>
      <c r="V118" s="273">
        <v>840000</v>
      </c>
      <c r="W118" s="273">
        <v>840000</v>
      </c>
      <c r="X118" s="273">
        <v>840000</v>
      </c>
    </row>
    <row r="119" spans="1:24" ht="14.25" thickBot="1" x14ac:dyDescent="0.3">
      <c r="A119" s="225" t="s">
        <v>29</v>
      </c>
      <c r="B119" s="275">
        <v>50000</v>
      </c>
      <c r="C119" s="274">
        <v>0</v>
      </c>
      <c r="D119" s="275">
        <v>100000</v>
      </c>
      <c r="E119" s="275">
        <v>100000</v>
      </c>
      <c r="F119" s="275">
        <v>100000</v>
      </c>
      <c r="G119" s="275">
        <v>100000</v>
      </c>
      <c r="H119" s="275">
        <v>100000</v>
      </c>
      <c r="I119" s="275">
        <v>131000</v>
      </c>
      <c r="J119" s="275">
        <v>150000</v>
      </c>
      <c r="K119" s="275">
        <v>150000</v>
      </c>
      <c r="L119" s="275">
        <v>150000</v>
      </c>
      <c r="M119" s="275">
        <v>150000</v>
      </c>
      <c r="N119" s="275">
        <v>180000</v>
      </c>
      <c r="O119" s="275">
        <v>180000</v>
      </c>
      <c r="P119" s="275">
        <v>180000</v>
      </c>
      <c r="Q119" s="275">
        <v>180000</v>
      </c>
      <c r="R119" s="275">
        <v>180000</v>
      </c>
      <c r="S119" s="275">
        <v>180000</v>
      </c>
      <c r="T119" s="275">
        <v>180000</v>
      </c>
      <c r="U119" s="275">
        <v>180000</v>
      </c>
      <c r="V119" s="275">
        <v>220000</v>
      </c>
      <c r="W119" s="275">
        <v>220000</v>
      </c>
      <c r="X119" s="275">
        <v>270000</v>
      </c>
    </row>
    <row r="120" spans="1:24" ht="14.25" thickBot="1" x14ac:dyDescent="0.3">
      <c r="A120" s="224" t="s">
        <v>266</v>
      </c>
      <c r="B120" s="273">
        <v>39288</v>
      </c>
      <c r="C120" s="273">
        <v>69655</v>
      </c>
      <c r="D120" s="273">
        <v>82713</v>
      </c>
      <c r="E120" s="273">
        <v>63036</v>
      </c>
      <c r="F120" s="273">
        <v>44335</v>
      </c>
      <c r="G120" s="273">
        <v>66032</v>
      </c>
      <c r="H120" s="273">
        <v>69340</v>
      </c>
      <c r="I120" s="273">
        <v>73798</v>
      </c>
      <c r="J120" s="273">
        <v>67137</v>
      </c>
      <c r="K120" s="273">
        <v>81108</v>
      </c>
      <c r="L120" s="273">
        <v>97283</v>
      </c>
      <c r="M120" s="273">
        <v>74779</v>
      </c>
      <c r="N120" s="273">
        <v>59788</v>
      </c>
      <c r="O120" s="273">
        <v>78480</v>
      </c>
      <c r="P120" s="273">
        <v>89546</v>
      </c>
      <c r="Q120" s="273">
        <v>80032</v>
      </c>
      <c r="R120" s="273">
        <v>90088</v>
      </c>
      <c r="S120" s="273">
        <v>85711</v>
      </c>
      <c r="T120" s="273">
        <v>84434</v>
      </c>
      <c r="U120" s="273">
        <v>62162</v>
      </c>
      <c r="V120" s="273">
        <v>83340</v>
      </c>
      <c r="W120" s="273">
        <v>121901</v>
      </c>
      <c r="X120" s="273">
        <v>147027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76639</v>
      </c>
      <c r="C123" s="275">
        <v>252762</v>
      </c>
      <c r="D123" s="275">
        <v>69227</v>
      </c>
      <c r="E123" s="275">
        <v>58207</v>
      </c>
      <c r="F123" s="275">
        <v>77818</v>
      </c>
      <c r="G123" s="275">
        <v>236691</v>
      </c>
      <c r="H123" s="275">
        <v>73517</v>
      </c>
      <c r="I123" s="275">
        <v>98776</v>
      </c>
      <c r="J123" s="275">
        <v>114075</v>
      </c>
      <c r="K123" s="275">
        <v>354314</v>
      </c>
      <c r="L123" s="275">
        <v>95747</v>
      </c>
      <c r="M123" s="275">
        <v>117129</v>
      </c>
      <c r="N123" s="275">
        <v>109343</v>
      </c>
      <c r="O123" s="275">
        <v>363138</v>
      </c>
      <c r="P123" s="275">
        <v>109899</v>
      </c>
      <c r="Q123" s="275">
        <v>129517</v>
      </c>
      <c r="R123" s="275">
        <v>125871</v>
      </c>
      <c r="S123" s="275">
        <v>396430</v>
      </c>
      <c r="T123" s="275">
        <v>98109</v>
      </c>
      <c r="U123" s="275">
        <v>135154</v>
      </c>
      <c r="V123" s="275">
        <v>114494</v>
      </c>
      <c r="W123" s="275">
        <v>326636</v>
      </c>
      <c r="X123" s="275">
        <v>102761</v>
      </c>
    </row>
    <row r="124" spans="1:24" ht="14.25" thickBot="1" x14ac:dyDescent="0.3">
      <c r="A124" s="224" t="s">
        <v>268</v>
      </c>
      <c r="B124" s="273">
        <v>191927</v>
      </c>
      <c r="C124" s="273">
        <v>332417</v>
      </c>
      <c r="D124" s="273">
        <v>439940</v>
      </c>
      <c r="E124" s="273">
        <v>524243</v>
      </c>
      <c r="F124" s="273">
        <v>596653</v>
      </c>
      <c r="G124" s="273">
        <v>785723</v>
      </c>
      <c r="H124" s="273">
        <v>664857</v>
      </c>
      <c r="I124" s="273">
        <v>656574</v>
      </c>
      <c r="J124" s="273">
        <v>708212</v>
      </c>
      <c r="K124" s="273">
        <v>1033422</v>
      </c>
      <c r="L124" s="273">
        <v>861530</v>
      </c>
      <c r="M124" s="273">
        <v>889908</v>
      </c>
      <c r="N124" s="273">
        <v>936131</v>
      </c>
      <c r="O124" s="273">
        <v>1309618</v>
      </c>
      <c r="P124" s="273">
        <v>1169445</v>
      </c>
      <c r="Q124" s="273">
        <v>1189549</v>
      </c>
      <c r="R124" s="273">
        <v>912959</v>
      </c>
      <c r="S124" s="273">
        <v>1145141</v>
      </c>
      <c r="T124" s="273">
        <v>1202543</v>
      </c>
      <c r="U124" s="273">
        <v>1217316</v>
      </c>
      <c r="V124" s="273">
        <v>1257834</v>
      </c>
      <c r="W124" s="273">
        <v>1508537</v>
      </c>
      <c r="X124" s="273">
        <v>1359788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38693</v>
      </c>
      <c r="G125" s="275">
        <v>38545</v>
      </c>
      <c r="H125" s="275">
        <v>40485</v>
      </c>
      <c r="I125" s="275">
        <v>44577</v>
      </c>
      <c r="J125" s="275">
        <v>45275</v>
      </c>
      <c r="K125" s="275">
        <v>43317</v>
      </c>
      <c r="L125" s="275">
        <v>45978</v>
      </c>
      <c r="M125" s="275">
        <v>61498</v>
      </c>
      <c r="N125" s="275">
        <v>59761</v>
      </c>
      <c r="O125" s="275">
        <v>54481</v>
      </c>
      <c r="P125" s="275">
        <v>62130</v>
      </c>
      <c r="Q125" s="275">
        <v>76229</v>
      </c>
      <c r="R125" s="275">
        <v>75483</v>
      </c>
      <c r="S125" s="275">
        <v>74509</v>
      </c>
      <c r="T125" s="275">
        <v>73075</v>
      </c>
      <c r="U125" s="275">
        <v>73853</v>
      </c>
      <c r="V125" s="275">
        <v>71592</v>
      </c>
      <c r="W125" s="275">
        <v>72271</v>
      </c>
      <c r="X125" s="275">
        <v>72759</v>
      </c>
    </row>
    <row r="126" spans="1:24" ht="14.25" thickBot="1" x14ac:dyDescent="0.3">
      <c r="A126" s="224" t="s">
        <v>33</v>
      </c>
      <c r="B126" s="273">
        <v>14013</v>
      </c>
      <c r="C126" s="273">
        <v>14367</v>
      </c>
      <c r="D126" s="273">
        <v>15317</v>
      </c>
      <c r="E126" s="273">
        <v>17569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205940</v>
      </c>
      <c r="C127" s="275">
        <v>346784</v>
      </c>
      <c r="D127" s="275">
        <v>455257</v>
      </c>
      <c r="E127" s="275">
        <v>541812</v>
      </c>
      <c r="F127" s="275">
        <v>635346</v>
      </c>
      <c r="G127" s="275">
        <v>824268</v>
      </c>
      <c r="H127" s="275">
        <v>705342</v>
      </c>
      <c r="I127" s="275">
        <v>701151</v>
      </c>
      <c r="J127" s="275">
        <v>753487</v>
      </c>
      <c r="K127" s="275">
        <v>1076739</v>
      </c>
      <c r="L127" s="275">
        <v>907508</v>
      </c>
      <c r="M127" s="275">
        <v>951406</v>
      </c>
      <c r="N127" s="275">
        <v>995892</v>
      </c>
      <c r="O127" s="275">
        <v>1364099</v>
      </c>
      <c r="P127" s="275">
        <v>1231575</v>
      </c>
      <c r="Q127" s="275">
        <v>1265778</v>
      </c>
      <c r="R127" s="275">
        <v>988442</v>
      </c>
      <c r="S127" s="275">
        <v>1219650</v>
      </c>
      <c r="T127" s="275">
        <v>1275618</v>
      </c>
      <c r="U127" s="275">
        <v>1291169</v>
      </c>
      <c r="V127" s="275">
        <v>1329426</v>
      </c>
      <c r="W127" s="275">
        <v>1580808</v>
      </c>
      <c r="X127" s="275">
        <v>1432547</v>
      </c>
    </row>
    <row r="128" spans="1:24" ht="14.25" thickBot="1" x14ac:dyDescent="0.3">
      <c r="A128" s="224" t="s">
        <v>34</v>
      </c>
      <c r="B128" s="273">
        <v>959666</v>
      </c>
      <c r="C128" s="273">
        <v>808797</v>
      </c>
      <c r="D128" s="273">
        <v>850666</v>
      </c>
      <c r="E128" s="273">
        <v>882889</v>
      </c>
      <c r="F128" s="273">
        <v>937072</v>
      </c>
      <c r="G128" s="273">
        <v>868170</v>
      </c>
      <c r="H128" s="273">
        <v>948409</v>
      </c>
      <c r="I128" s="273">
        <v>1026656</v>
      </c>
      <c r="J128" s="273">
        <v>1145028</v>
      </c>
      <c r="K128" s="273">
        <v>955260</v>
      </c>
      <c r="L128" s="273">
        <v>1039708</v>
      </c>
      <c r="M128" s="273">
        <v>1151908</v>
      </c>
      <c r="N128" s="273">
        <v>1176678</v>
      </c>
      <c r="O128" s="273">
        <v>972765</v>
      </c>
      <c r="P128" s="273">
        <v>1142441</v>
      </c>
      <c r="Q128" s="273">
        <v>1220192</v>
      </c>
      <c r="R128" s="273">
        <v>1291587</v>
      </c>
      <c r="S128" s="273">
        <v>1104580</v>
      </c>
      <c r="T128" s="273">
        <v>1145456</v>
      </c>
      <c r="U128" s="273">
        <v>1253211</v>
      </c>
      <c r="V128" s="273">
        <v>1236702</v>
      </c>
      <c r="W128" s="273">
        <v>1147573</v>
      </c>
      <c r="X128" s="273">
        <v>1255536</v>
      </c>
    </row>
    <row r="129" spans="1:24" ht="14.25" thickBot="1" x14ac:dyDescent="0.3">
      <c r="A129" s="225" t="s">
        <v>35</v>
      </c>
      <c r="B129" s="276">
        <v>1165606</v>
      </c>
      <c r="C129" s="276">
        <v>1155581</v>
      </c>
      <c r="D129" s="276">
        <v>1305923</v>
      </c>
      <c r="E129" s="276">
        <v>1424701</v>
      </c>
      <c r="F129" s="276">
        <v>1572418</v>
      </c>
      <c r="G129" s="276">
        <v>1692438</v>
      </c>
      <c r="H129" s="276">
        <v>1653751</v>
      </c>
      <c r="I129" s="276">
        <v>1727807</v>
      </c>
      <c r="J129" s="276">
        <v>1898515</v>
      </c>
      <c r="K129" s="276">
        <v>2031999</v>
      </c>
      <c r="L129" s="276">
        <v>1947216</v>
      </c>
      <c r="M129" s="276">
        <v>2103314</v>
      </c>
      <c r="N129" s="276">
        <v>2172570</v>
      </c>
      <c r="O129" s="276">
        <v>2336864</v>
      </c>
      <c r="P129" s="276">
        <v>2374016</v>
      </c>
      <c r="Q129" s="276">
        <v>2485970</v>
      </c>
      <c r="R129" s="276">
        <v>2280029</v>
      </c>
      <c r="S129" s="276">
        <v>2324230</v>
      </c>
      <c r="T129" s="276">
        <v>2421074</v>
      </c>
      <c r="U129" s="276">
        <v>2544380</v>
      </c>
      <c r="V129" s="276">
        <v>2566128</v>
      </c>
      <c r="W129" s="276">
        <v>2728381</v>
      </c>
      <c r="X129" s="276">
        <v>2688083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2.91</v>
      </c>
      <c r="C132" s="68">
        <v>5.78</v>
      </c>
      <c r="D132" s="68">
        <v>3.23</v>
      </c>
      <c r="E132" s="68">
        <v>6.19</v>
      </c>
      <c r="F132" s="68">
        <v>5.04</v>
      </c>
    </row>
    <row r="133" spans="1:24" ht="14.25" thickBot="1" x14ac:dyDescent="0.3">
      <c r="A133" s="225" t="s">
        <v>37</v>
      </c>
      <c r="B133" s="274">
        <v>-1.17</v>
      </c>
      <c r="C133" s="274">
        <v>0.7</v>
      </c>
      <c r="D133" s="274">
        <v>0.27</v>
      </c>
      <c r="E133" s="274">
        <v>-5.76</v>
      </c>
      <c r="F133" s="274">
        <v>2.3199999999999998</v>
      </c>
    </row>
    <row r="134" spans="1:24" ht="14.25" thickBot="1" x14ac:dyDescent="0.3">
      <c r="A134" s="224" t="s">
        <v>38</v>
      </c>
      <c r="B134" s="68">
        <v>2.5</v>
      </c>
      <c r="C134" s="68">
        <v>-0.83</v>
      </c>
      <c r="D134" s="68">
        <v>-7.0000000000000007E-2</v>
      </c>
      <c r="E134" s="68">
        <v>0.37</v>
      </c>
      <c r="F134" s="68">
        <v>-3.76</v>
      </c>
    </row>
    <row r="135" spans="1:24" ht="14.25" thickBot="1" x14ac:dyDescent="0.3">
      <c r="A135" s="225" t="s">
        <v>270</v>
      </c>
      <c r="B135" s="274">
        <v>1.74</v>
      </c>
      <c r="C135" s="274">
        <v>6.49</v>
      </c>
      <c r="D135" s="274">
        <v>3.5</v>
      </c>
      <c r="E135" s="274">
        <v>0.43</v>
      </c>
      <c r="F135" s="274">
        <v>7.36</v>
      </c>
    </row>
    <row r="136" spans="1:24" ht="14.25" thickBot="1" x14ac:dyDescent="0.3">
      <c r="A136" s="229" t="s">
        <v>39</v>
      </c>
      <c r="B136" s="72">
        <v>4.24</v>
      </c>
      <c r="C136" s="72">
        <v>5.66</v>
      </c>
      <c r="D136" s="72">
        <v>3.42</v>
      </c>
      <c r="E136" s="72">
        <v>0.8</v>
      </c>
      <c r="F136" s="72">
        <v>3.6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2.5</v>
      </c>
      <c r="C140" s="68">
        <v>4</v>
      </c>
      <c r="D140" s="68">
        <v>4.3</v>
      </c>
      <c r="E140" s="68">
        <v>4.5</v>
      </c>
      <c r="F140" s="68">
        <v>3.5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1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0.90252707581227432</v>
      </c>
      <c r="C142" s="234">
        <f>IF(C140&lt;&gt;"無",IF(ISNA(HLOOKUP(C139,$B$64:$F$69,6,FALSE)),"",C140/HLOOKUP(C139,$B$64:$F$69,6,FALSE)),"")</f>
        <v>0.91954022988505757</v>
      </c>
      <c r="D142" s="234">
        <f>IF(D140&lt;&gt;"無",IF(ISNA(HLOOKUP(D139,$B$64:$F$69,6,FALSE)),"",D140/HLOOKUP(D139,$B$64:$F$69,6,FALSE)),"")</f>
        <v>0.80979284369114868</v>
      </c>
      <c r="E142" s="234">
        <f>IF(E140&lt;&gt;"無",IF(ISNA(HLOOKUP(E139,$B$64:$F$69,6,FALSE)),"",E140/HLOOKUP(E139,$B$64:$F$69,6,FALSE)),"")</f>
        <v>0.81227436823104693</v>
      </c>
      <c r="F142" s="234">
        <f>IF(F140&lt;&gt;"無",IF(ISNA(HLOOKUP(F139,$B$64:$F$69,6,FALSE)),"",F140/HLOOKUP(F139,$B$64:$F$69,6,FALSE)),"")</f>
        <v>0.65055762081784385</v>
      </c>
    </row>
    <row r="143" spans="1:24" x14ac:dyDescent="0.25">
      <c r="A143" s="233" t="s">
        <v>216</v>
      </c>
      <c r="B143" s="234">
        <f>IF(OR(B140=0,B140="無"),"",B135/B140)</f>
        <v>0.69599999999999995</v>
      </c>
      <c r="C143" s="234">
        <f>IF(OR(C140=0,C140="無"),"",C135/C140)</f>
        <v>1.6225000000000001</v>
      </c>
      <c r="D143" s="234">
        <f>IF(OR(D140=0,D140="無"),"",D135/D140)</f>
        <v>0.81395348837209303</v>
      </c>
      <c r="E143" s="234">
        <f>IF(OR(E140=0,E140="無"),"",E135/E140)</f>
        <v>9.555555555555556E-2</v>
      </c>
      <c r="F143" s="234">
        <f>IF(OR(F140=0,F140="無"),"",F135/F140)</f>
        <v>2.1028571428571428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45.92</v>
      </c>
      <c r="C146" s="68">
        <v>46.9</v>
      </c>
      <c r="D146" s="68">
        <v>48.09</v>
      </c>
      <c r="E146" s="68">
        <v>45.79</v>
      </c>
      <c r="F146" s="68">
        <v>45.56</v>
      </c>
      <c r="G146" s="68">
        <v>49.18</v>
      </c>
      <c r="H146" s="68">
        <v>49.41</v>
      </c>
      <c r="I146" s="68">
        <v>48.79</v>
      </c>
      <c r="J146" s="68">
        <v>49.84</v>
      </c>
      <c r="K146" s="68">
        <v>51.38</v>
      </c>
      <c r="L146" s="68">
        <v>50.47</v>
      </c>
      <c r="M146" s="68">
        <v>51.52</v>
      </c>
      <c r="N146" s="68">
        <v>51.68</v>
      </c>
      <c r="O146" s="68">
        <v>50.98</v>
      </c>
      <c r="P146" s="68">
        <v>50.31</v>
      </c>
      <c r="Q146" s="68">
        <v>54.65</v>
      </c>
      <c r="R146" s="68">
        <v>52.8</v>
      </c>
      <c r="S146" s="68">
        <v>53.54</v>
      </c>
      <c r="T146" s="68">
        <v>53.89</v>
      </c>
      <c r="U146" s="68">
        <v>52.89</v>
      </c>
      <c r="V146" s="68">
        <v>53.74</v>
      </c>
      <c r="W146" s="68">
        <v>51.63</v>
      </c>
      <c r="X146" s="68">
        <v>51.66</v>
      </c>
    </row>
    <row r="147" spans="1:24" s="93" customFormat="1" ht="14.25" thickBot="1" x14ac:dyDescent="0.3">
      <c r="A147" s="225" t="s">
        <v>19</v>
      </c>
      <c r="B147" s="274">
        <v>27.78</v>
      </c>
      <c r="C147" s="274">
        <v>31.32</v>
      </c>
      <c r="D147" s="274">
        <v>33.659999999999997</v>
      </c>
      <c r="E147" s="274">
        <v>30.28</v>
      </c>
      <c r="F147" s="274">
        <v>27.66</v>
      </c>
      <c r="G147" s="274">
        <v>33.770000000000003</v>
      </c>
      <c r="H147" s="274">
        <v>34.49</v>
      </c>
      <c r="I147" s="274">
        <v>31.71</v>
      </c>
      <c r="J147" s="274">
        <v>29.71</v>
      </c>
      <c r="K147" s="274">
        <v>38.869999999999997</v>
      </c>
      <c r="L147" s="274">
        <v>36.31</v>
      </c>
      <c r="M147" s="274">
        <v>35.29</v>
      </c>
      <c r="N147" s="274">
        <v>38.21</v>
      </c>
      <c r="O147" s="274">
        <v>36.75</v>
      </c>
      <c r="P147" s="274">
        <v>32.04</v>
      </c>
      <c r="Q147" s="274">
        <v>39.99</v>
      </c>
      <c r="R147" s="274">
        <v>39.25</v>
      </c>
      <c r="S147" s="274">
        <v>38.229999999999997</v>
      </c>
      <c r="T147" s="274">
        <v>41.27</v>
      </c>
      <c r="U147" s="274">
        <v>34.93</v>
      </c>
      <c r="V147" s="274">
        <v>41.65</v>
      </c>
      <c r="W147" s="274">
        <v>37.69</v>
      </c>
      <c r="X147" s="274">
        <v>38.54</v>
      </c>
    </row>
    <row r="148" spans="1:24" s="93" customFormat="1" ht="14.25" thickBot="1" x14ac:dyDescent="0.3">
      <c r="A148" s="224" t="s">
        <v>41</v>
      </c>
      <c r="B148" s="68">
        <v>23.6</v>
      </c>
      <c r="C148" s="68">
        <v>28.49</v>
      </c>
      <c r="D148" s="68">
        <v>32.32</v>
      </c>
      <c r="E148" s="68">
        <v>30.48</v>
      </c>
      <c r="F148" s="68">
        <v>37.340000000000003</v>
      </c>
      <c r="G148" s="68">
        <v>41.63</v>
      </c>
      <c r="H148" s="68">
        <v>41.85</v>
      </c>
      <c r="I148" s="68">
        <v>45.55</v>
      </c>
      <c r="J148" s="68">
        <v>43.66</v>
      </c>
      <c r="K148" s="68">
        <v>29.53</v>
      </c>
      <c r="L148" s="68">
        <v>45.21</v>
      </c>
      <c r="M148" s="68">
        <v>56.67</v>
      </c>
      <c r="N148" s="68">
        <v>21.13</v>
      </c>
      <c r="O148" s="68">
        <v>32.57</v>
      </c>
      <c r="P148" s="68">
        <v>76.41</v>
      </c>
      <c r="Q148" s="68">
        <v>37.229999999999997</v>
      </c>
      <c r="R148" s="68">
        <v>36.299999999999997</v>
      </c>
      <c r="S148" s="68">
        <v>42.72</v>
      </c>
      <c r="T148" s="68">
        <v>22.74</v>
      </c>
      <c r="U148" s="68">
        <v>56.21</v>
      </c>
      <c r="V148" s="68">
        <v>-2.62</v>
      </c>
      <c r="W148" s="68">
        <v>46.25</v>
      </c>
      <c r="X148" s="68">
        <v>39.46</v>
      </c>
    </row>
    <row r="149" spans="1:24" s="93" customFormat="1" ht="14.25" thickBot="1" x14ac:dyDescent="0.3">
      <c r="A149" s="225" t="s">
        <v>13</v>
      </c>
      <c r="B149" s="73">
        <v>20.260000000000002</v>
      </c>
      <c r="C149" s="73">
        <v>24.12</v>
      </c>
      <c r="D149" s="73">
        <v>27.72</v>
      </c>
      <c r="E149" s="73">
        <v>23.29</v>
      </c>
      <c r="F149" s="73">
        <v>30.71</v>
      </c>
      <c r="G149" s="73">
        <v>34.24</v>
      </c>
      <c r="H149" s="73">
        <v>35.39</v>
      </c>
      <c r="I149" s="73">
        <v>38.26</v>
      </c>
      <c r="J149" s="73">
        <v>36.020000000000003</v>
      </c>
      <c r="K149" s="73">
        <v>23.24</v>
      </c>
      <c r="L149" s="73">
        <v>37.01</v>
      </c>
      <c r="M149" s="73">
        <v>46.99</v>
      </c>
      <c r="N149" s="73">
        <v>17.46</v>
      </c>
      <c r="O149" s="73">
        <v>26.25</v>
      </c>
      <c r="P149" s="73">
        <v>62.84</v>
      </c>
      <c r="Q149" s="73">
        <v>30.89</v>
      </c>
      <c r="R149" s="73">
        <v>30.44</v>
      </c>
      <c r="S149" s="73">
        <v>35.43</v>
      </c>
      <c r="T149" s="73">
        <v>18.579999999999998</v>
      </c>
      <c r="U149" s="73">
        <v>46.42</v>
      </c>
      <c r="V149" s="73">
        <v>-2.52</v>
      </c>
      <c r="W149" s="73">
        <v>38.43</v>
      </c>
      <c r="X149" s="73">
        <v>32.700000000000003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46.75</v>
      </c>
      <c r="C152" s="68">
        <v>48.36</v>
      </c>
      <c r="D152" s="68">
        <v>50.84</v>
      </c>
      <c r="E152" s="68">
        <v>51.93</v>
      </c>
      <c r="F152" s="68">
        <v>53.29</v>
      </c>
    </row>
    <row r="153" spans="1:24" s="93" customFormat="1" ht="14.25" thickBot="1" x14ac:dyDescent="0.3">
      <c r="A153" s="225" t="s">
        <v>19</v>
      </c>
      <c r="B153" s="274">
        <v>30.98</v>
      </c>
      <c r="C153" s="274">
        <v>32.1</v>
      </c>
      <c r="D153" s="274">
        <v>35.299999999999997</v>
      </c>
      <c r="E153" s="274">
        <v>36.659999999999997</v>
      </c>
      <c r="F153" s="274">
        <v>38.5</v>
      </c>
    </row>
    <row r="154" spans="1:24" s="93" customFormat="1" ht="14.25" thickBot="1" x14ac:dyDescent="0.3">
      <c r="A154" s="224" t="s">
        <v>41</v>
      </c>
      <c r="B154" s="68">
        <v>29.04</v>
      </c>
      <c r="C154" s="68">
        <v>41.81</v>
      </c>
      <c r="D154" s="68">
        <v>43.62</v>
      </c>
      <c r="E154" s="68">
        <v>43.13</v>
      </c>
      <c r="F154" s="68">
        <v>39.090000000000003</v>
      </c>
    </row>
    <row r="155" spans="1:24" s="93" customFormat="1" ht="14.25" thickBot="1" x14ac:dyDescent="0.3">
      <c r="A155" s="225" t="s">
        <v>13</v>
      </c>
      <c r="B155" s="73">
        <v>24.11</v>
      </c>
      <c r="C155" s="73">
        <v>34.86</v>
      </c>
      <c r="D155" s="73">
        <v>35.67</v>
      </c>
      <c r="E155" s="73">
        <v>35.43</v>
      </c>
      <c r="F155" s="73">
        <v>32.380000000000003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2.5099999999999998</v>
      </c>
      <c r="C158" s="68">
        <v>3.73</v>
      </c>
      <c r="D158" s="68">
        <v>4.2699999999999996</v>
      </c>
      <c r="E158" s="68">
        <v>3.01</v>
      </c>
      <c r="F158" s="68">
        <v>3.32</v>
      </c>
      <c r="G158" s="68">
        <v>4.0199999999999996</v>
      </c>
      <c r="H158" s="68">
        <v>4.2</v>
      </c>
      <c r="I158" s="68">
        <v>4.53</v>
      </c>
      <c r="J158" s="68">
        <v>3.89</v>
      </c>
      <c r="K158" s="68">
        <v>2.84</v>
      </c>
      <c r="L158" s="68">
        <v>4.45</v>
      </c>
      <c r="M158" s="68">
        <v>5.27</v>
      </c>
      <c r="N158" s="68">
        <v>1.77</v>
      </c>
      <c r="O158" s="68">
        <v>2.75</v>
      </c>
      <c r="P158" s="68">
        <v>6.83</v>
      </c>
      <c r="Q158" s="68">
        <v>3.25</v>
      </c>
      <c r="R158" s="68">
        <v>3.23</v>
      </c>
      <c r="S158" s="68">
        <v>4.01</v>
      </c>
      <c r="T158" s="68">
        <v>2.08</v>
      </c>
      <c r="U158" s="68">
        <v>4.41</v>
      </c>
      <c r="V158" s="68">
        <v>-0.15</v>
      </c>
      <c r="W158" s="68">
        <v>4.4800000000000004</v>
      </c>
      <c r="X158" s="68">
        <v>3.9</v>
      </c>
    </row>
    <row r="159" spans="1:24" s="93" customFormat="1" ht="14.25" thickBot="1" x14ac:dyDescent="0.3">
      <c r="A159" s="225" t="s">
        <v>45</v>
      </c>
      <c r="B159" s="73">
        <v>2.98</v>
      </c>
      <c r="C159" s="73">
        <v>4.8899999999999997</v>
      </c>
      <c r="D159" s="73">
        <v>6.27</v>
      </c>
      <c r="E159" s="73">
        <v>4.6399999999999997</v>
      </c>
      <c r="F159" s="73">
        <v>5.34</v>
      </c>
      <c r="G159" s="73">
        <v>7.14</v>
      </c>
      <c r="H159" s="73">
        <v>7.58</v>
      </c>
      <c r="I159" s="73">
        <v>7.61</v>
      </c>
      <c r="J159" s="73">
        <v>6.39</v>
      </c>
      <c r="K159" s="73">
        <v>5.19</v>
      </c>
      <c r="L159" s="73">
        <v>8.6999999999999993</v>
      </c>
      <c r="M159" s="73">
        <v>9.58</v>
      </c>
      <c r="N159" s="73">
        <v>3.08</v>
      </c>
      <c r="O159" s="73">
        <v>5.57</v>
      </c>
      <c r="P159" s="73">
        <v>14.98</v>
      </c>
      <c r="Q159" s="73">
        <v>6.47</v>
      </c>
      <c r="R159" s="73">
        <v>6</v>
      </c>
      <c r="S159" s="73">
        <v>7.57</v>
      </c>
      <c r="T159" s="73">
        <v>4.24</v>
      </c>
      <c r="U159" s="73">
        <v>8.9499999999999993</v>
      </c>
      <c r="V159" s="73">
        <v>-0.51</v>
      </c>
      <c r="W159" s="73">
        <v>9.75</v>
      </c>
      <c r="X159" s="73">
        <v>8.59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24.11</v>
      </c>
      <c r="C162" s="68">
        <v>34.86</v>
      </c>
      <c r="D162" s="68">
        <v>35.67</v>
      </c>
      <c r="E162" s="68">
        <v>35.43</v>
      </c>
      <c r="F162" s="68">
        <v>32.380000000000003</v>
      </c>
    </row>
    <row r="163" spans="1:72" s="93" customFormat="1" ht="14.25" thickBot="1" x14ac:dyDescent="0.3">
      <c r="A163" s="225" t="s">
        <v>18</v>
      </c>
      <c r="B163" s="274">
        <v>0.48</v>
      </c>
      <c r="C163" s="274">
        <v>0.43</v>
      </c>
      <c r="D163" s="274">
        <v>0.42</v>
      </c>
      <c r="E163" s="274">
        <v>0.38</v>
      </c>
      <c r="F163" s="274">
        <v>0.39</v>
      </c>
    </row>
    <row r="164" spans="1:72" s="93" customFormat="1" ht="14.25" thickBot="1" x14ac:dyDescent="0.3">
      <c r="A164" s="224" t="s">
        <v>15</v>
      </c>
      <c r="B164" s="68">
        <v>1.61</v>
      </c>
      <c r="C164" s="68">
        <v>1.68</v>
      </c>
      <c r="D164" s="68">
        <v>1.83</v>
      </c>
      <c r="E164" s="68">
        <v>2.04</v>
      </c>
      <c r="F164" s="68">
        <v>2.0299999999999998</v>
      </c>
    </row>
    <row r="165" spans="1:72" s="93" customFormat="1" ht="14.25" thickBot="1" x14ac:dyDescent="0.3">
      <c r="A165" s="225" t="s">
        <v>45</v>
      </c>
      <c r="B165" s="73">
        <v>17.97</v>
      </c>
      <c r="C165" s="73">
        <v>26.92</v>
      </c>
      <c r="D165" s="73">
        <v>28.97</v>
      </c>
      <c r="E165" s="73">
        <v>27.88</v>
      </c>
      <c r="F165" s="73">
        <v>25.96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28.66</v>
      </c>
      <c r="C168" s="68">
        <v>28.94</v>
      </c>
      <c r="D168" s="68">
        <v>28.85</v>
      </c>
      <c r="E168" s="68">
        <v>26.16</v>
      </c>
      <c r="F168" s="68">
        <v>23.87</v>
      </c>
      <c r="G168" s="68">
        <v>23.94</v>
      </c>
      <c r="H168" s="68">
        <v>28.3</v>
      </c>
      <c r="I168" s="68">
        <v>29.22</v>
      </c>
      <c r="J168" s="68">
        <v>28.94</v>
      </c>
      <c r="K168" s="68">
        <v>26.01</v>
      </c>
      <c r="L168" s="68">
        <v>27.86</v>
      </c>
      <c r="M168" s="68">
        <v>29.13</v>
      </c>
      <c r="N168" s="68">
        <v>27.86</v>
      </c>
      <c r="O168" s="68">
        <v>26.16</v>
      </c>
      <c r="P168" s="68">
        <v>32.14</v>
      </c>
      <c r="Q168" s="68">
        <v>30.1</v>
      </c>
      <c r="R168" s="68">
        <v>25.5</v>
      </c>
      <c r="S168" s="68">
        <v>26.63</v>
      </c>
      <c r="T168" s="68">
        <v>25.64</v>
      </c>
      <c r="U168" s="68">
        <v>28.21</v>
      </c>
      <c r="V168" s="68">
        <v>31.69</v>
      </c>
      <c r="W168" s="68">
        <v>29.8</v>
      </c>
      <c r="X168" s="68">
        <v>28.48</v>
      </c>
    </row>
    <row r="169" spans="1:72" s="93" customFormat="1" ht="14.25" thickBot="1" x14ac:dyDescent="0.3">
      <c r="A169" s="225" t="s">
        <v>17</v>
      </c>
      <c r="B169" s="274">
        <v>104.65</v>
      </c>
      <c r="C169" s="274">
        <v>81.08</v>
      </c>
      <c r="D169" s="274">
        <v>89.11</v>
      </c>
      <c r="E169" s="274">
        <v>97.83</v>
      </c>
      <c r="F169" s="274">
        <v>98.9</v>
      </c>
      <c r="G169" s="274">
        <v>86.54</v>
      </c>
      <c r="H169" s="274">
        <v>87.38</v>
      </c>
      <c r="I169" s="274">
        <v>89.11</v>
      </c>
      <c r="J169" s="274">
        <v>98.9</v>
      </c>
      <c r="K169" s="274">
        <v>86.54</v>
      </c>
      <c r="L169" s="274">
        <v>90</v>
      </c>
      <c r="M169" s="274">
        <v>104.65</v>
      </c>
      <c r="N169" s="274">
        <v>115.38</v>
      </c>
      <c r="O169" s="274">
        <v>101.12</v>
      </c>
      <c r="P169" s="274">
        <v>91.84</v>
      </c>
      <c r="Q169" s="274">
        <v>105.88</v>
      </c>
      <c r="R169" s="274">
        <v>105.88</v>
      </c>
      <c r="S169" s="274">
        <v>107.14</v>
      </c>
      <c r="T169" s="274">
        <v>108.43</v>
      </c>
      <c r="U169" s="274">
        <v>113.92</v>
      </c>
      <c r="V169" s="274">
        <v>104.65</v>
      </c>
      <c r="W169" s="274">
        <v>90</v>
      </c>
      <c r="X169" s="274">
        <v>104.65</v>
      </c>
    </row>
    <row r="170" spans="1:72" s="93" customFormat="1" ht="14.25" thickBot="1" x14ac:dyDescent="0.3">
      <c r="A170" s="224" t="s">
        <v>42</v>
      </c>
      <c r="B170" s="72">
        <v>133.31</v>
      </c>
      <c r="C170" s="72">
        <v>110.02</v>
      </c>
      <c r="D170" s="72">
        <v>117.96</v>
      </c>
      <c r="E170" s="72">
        <v>123.99</v>
      </c>
      <c r="F170" s="72">
        <v>122.77</v>
      </c>
      <c r="G170" s="72">
        <v>110.47</v>
      </c>
      <c r="H170" s="72">
        <v>115.68</v>
      </c>
      <c r="I170" s="72">
        <v>118.33</v>
      </c>
      <c r="J170" s="72">
        <v>127.84</v>
      </c>
      <c r="K170" s="72">
        <v>112.55</v>
      </c>
      <c r="L170" s="72">
        <v>117.86</v>
      </c>
      <c r="M170" s="72">
        <v>133.78</v>
      </c>
      <c r="N170" s="72">
        <v>143.25</v>
      </c>
      <c r="O170" s="72">
        <v>127.29</v>
      </c>
      <c r="P170" s="72">
        <v>123.98</v>
      </c>
      <c r="Q170" s="72">
        <v>135.97999999999999</v>
      </c>
      <c r="R170" s="72">
        <v>131.38</v>
      </c>
      <c r="S170" s="72">
        <v>133.77000000000001</v>
      </c>
      <c r="T170" s="72">
        <v>134.07</v>
      </c>
      <c r="U170" s="72">
        <v>142.13999999999999</v>
      </c>
      <c r="V170" s="72">
        <v>136.34</v>
      </c>
      <c r="W170" s="72">
        <v>119.8</v>
      </c>
      <c r="X170" s="72">
        <v>133.13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104.96</v>
      </c>
      <c r="C173" s="72">
        <v>133.16999999999999</v>
      </c>
      <c r="D173" s="72">
        <v>60.72</v>
      </c>
      <c r="E173" s="72">
        <v>111.78</v>
      </c>
      <c r="F173" s="72">
        <v>93.75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9.01</v>
      </c>
      <c r="C176" s="72">
        <v>10.07</v>
      </c>
      <c r="D176" s="72">
        <v>10.15</v>
      </c>
      <c r="E176" s="72">
        <v>10.09</v>
      </c>
      <c r="F176" s="72">
        <v>11.35</v>
      </c>
      <c r="G176" s="72">
        <v>11.27</v>
      </c>
      <c r="H176" s="72">
        <v>10.51</v>
      </c>
      <c r="I176" s="72">
        <v>11.48</v>
      </c>
      <c r="J176" s="72">
        <v>12.1</v>
      </c>
      <c r="K176" s="72">
        <v>11.58</v>
      </c>
      <c r="L176" s="72">
        <v>13.54</v>
      </c>
      <c r="M176" s="72">
        <v>13.65</v>
      </c>
      <c r="N176" s="72">
        <v>14.42</v>
      </c>
      <c r="O176" s="72">
        <v>15.13</v>
      </c>
      <c r="P176" s="72">
        <v>15.5</v>
      </c>
      <c r="Q176" s="72">
        <v>14.19</v>
      </c>
      <c r="R176" s="72">
        <v>12.89</v>
      </c>
      <c r="S176" s="72">
        <v>12.53</v>
      </c>
      <c r="T176" s="72">
        <v>12.66</v>
      </c>
      <c r="U176" s="72">
        <v>12.64</v>
      </c>
      <c r="V176" s="72">
        <v>12.8</v>
      </c>
      <c r="W176" s="72">
        <v>12.8</v>
      </c>
      <c r="X176" s="72">
        <v>12.39</v>
      </c>
      <c r="Y176" s="72">
        <v>13.64</v>
      </c>
      <c r="Z176" s="72">
        <v>15.7</v>
      </c>
      <c r="AA176" s="72">
        <v>17.309999999999999</v>
      </c>
      <c r="AB176" s="72">
        <v>15.19</v>
      </c>
      <c r="AC176" s="72">
        <v>14.53</v>
      </c>
      <c r="AD176" s="72">
        <v>13.41</v>
      </c>
      <c r="AE176" s="72">
        <v>13.63</v>
      </c>
      <c r="AF176" s="72">
        <v>13.95</v>
      </c>
      <c r="AG176" s="72">
        <v>13.6</v>
      </c>
      <c r="AH176" s="72">
        <v>13.36</v>
      </c>
      <c r="AI176" s="72">
        <v>12.88</v>
      </c>
      <c r="AJ176" s="72">
        <v>12.55</v>
      </c>
      <c r="AK176" s="72">
        <v>12.71</v>
      </c>
      <c r="AL176" s="72">
        <v>14.23</v>
      </c>
      <c r="AM176" s="72">
        <v>14.65</v>
      </c>
      <c r="AN176" s="72">
        <v>13.04</v>
      </c>
      <c r="AO176" s="72">
        <v>13.89</v>
      </c>
      <c r="AP176" s="72">
        <v>13.76</v>
      </c>
      <c r="AQ176" s="72">
        <v>13.42</v>
      </c>
      <c r="AR176" s="72">
        <v>12.08</v>
      </c>
      <c r="AS176" s="72">
        <v>10.94</v>
      </c>
      <c r="AT176" s="72">
        <v>11.72</v>
      </c>
      <c r="AU176" s="72">
        <v>12.7</v>
      </c>
      <c r="AV176" s="72">
        <v>10.43</v>
      </c>
      <c r="AW176" s="72">
        <v>10.050000000000001</v>
      </c>
      <c r="AX176" s="72">
        <v>9.59</v>
      </c>
      <c r="AY176" s="72">
        <v>11</v>
      </c>
      <c r="AZ176" s="72">
        <v>12.9</v>
      </c>
      <c r="BA176" s="72">
        <v>12.33</v>
      </c>
      <c r="BB176" s="72">
        <v>10.6</v>
      </c>
      <c r="BC176" s="72">
        <v>10.8</v>
      </c>
      <c r="BD176" s="72">
        <v>11.19</v>
      </c>
      <c r="BE176" s="72">
        <v>9.99</v>
      </c>
      <c r="BF176" s="72">
        <v>9.86</v>
      </c>
      <c r="BG176" s="72">
        <v>9.64</v>
      </c>
      <c r="BH176" s="72">
        <v>12.85</v>
      </c>
      <c r="BI176" s="72">
        <v>13.09</v>
      </c>
      <c r="BJ176" s="72">
        <v>13.01</v>
      </c>
      <c r="BK176" s="72">
        <v>12.86</v>
      </c>
      <c r="BL176" s="72">
        <v>11.85</v>
      </c>
      <c r="BM176" s="72">
        <v>11.93</v>
      </c>
      <c r="BN176" s="72">
        <v>15.87</v>
      </c>
      <c r="BO176" s="72">
        <v>16.59</v>
      </c>
      <c r="BP176" s="72">
        <v>15.35</v>
      </c>
      <c r="BQ176" s="72">
        <v>15.7</v>
      </c>
      <c r="BR176" s="72">
        <v>16.100000000000001</v>
      </c>
      <c r="BS176" s="72">
        <v>16.43</v>
      </c>
      <c r="BT176" s="72">
        <v>14.03</v>
      </c>
    </row>
  </sheetData>
  <phoneticPr fontId="3" type="noConversion"/>
  <conditionalFormatting sqref="E4">
    <cfRule type="cellIs" dxfId="1274" priority="101" operator="greaterThan">
      <formula>0.2</formula>
    </cfRule>
    <cfRule type="cellIs" dxfId="127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127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271" priority="95" operator="greaterThan">
      <formula>$B$19</formula>
    </cfRule>
  </conditionalFormatting>
  <conditionalFormatting sqref="D33:D34">
    <cfRule type="cellIs" dxfId="127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1269" priority="89" operator="lessThan">
      <formula>$H$62</formula>
    </cfRule>
    <cfRule type="cellIs" dxfId="1268" priority="90" operator="greaterThan">
      <formula>$H$62</formula>
    </cfRule>
  </conditionalFormatting>
  <conditionalFormatting sqref="J62">
    <cfRule type="cellIs" dxfId="1267" priority="87" operator="lessThan">
      <formula>$K$62</formula>
    </cfRule>
    <cfRule type="cellIs" dxfId="1266" priority="88" operator="greaterThan">
      <formula>$K$62</formula>
    </cfRule>
  </conditionalFormatting>
  <conditionalFormatting sqref="M62">
    <cfRule type="cellIs" dxfId="1265" priority="85" operator="lessThan">
      <formula>$N$62</formula>
    </cfRule>
    <cfRule type="cellIs" dxfId="1264" priority="86" operator="greaterThan">
      <formula>$N$62</formula>
    </cfRule>
  </conditionalFormatting>
  <conditionalFormatting sqref="B44:E44">
    <cfRule type="cellIs" dxfId="1263" priority="83" operator="greaterThan">
      <formula>0</formula>
    </cfRule>
    <cfRule type="cellIs" dxfId="1262" priority="84" operator="lessThan">
      <formula>0</formula>
    </cfRule>
  </conditionalFormatting>
  <conditionalFormatting sqref="F72">
    <cfRule type="cellIs" dxfId="1261" priority="82" operator="lessThan">
      <formula>$E$72*90%</formula>
    </cfRule>
  </conditionalFormatting>
  <conditionalFormatting sqref="F73">
    <cfRule type="cellIs" dxfId="1260" priority="81" operator="lessThan">
      <formula>$E$73*90%</formula>
    </cfRule>
  </conditionalFormatting>
  <conditionalFormatting sqref="F74">
    <cfRule type="cellIs" dxfId="1259" priority="80" operator="lessThan">
      <formula>$E$74*90%</formula>
    </cfRule>
  </conditionalFormatting>
  <conditionalFormatting sqref="F75">
    <cfRule type="cellIs" dxfId="1258" priority="79" operator="lessThan">
      <formula>$E$75*90%</formula>
    </cfRule>
  </conditionalFormatting>
  <conditionalFormatting sqref="H44:K44">
    <cfRule type="cellIs" dxfId="1257" priority="77" operator="greaterThan">
      <formula>0</formula>
    </cfRule>
    <cfRule type="cellIs" dxfId="1256" priority="78" operator="lessThan">
      <formula>0</formula>
    </cfRule>
  </conditionalFormatting>
  <conditionalFormatting sqref="H51:K51">
    <cfRule type="cellIs" dxfId="1255" priority="75" operator="greaterThan">
      <formula>0</formula>
    </cfRule>
    <cfRule type="cellIs" dxfId="1254" priority="76" operator="lessThan">
      <formula>0</formula>
    </cfRule>
  </conditionalFormatting>
  <conditionalFormatting sqref="B51:E51">
    <cfRule type="cellIs" dxfId="1253" priority="73" operator="greaterThan">
      <formula>0</formula>
    </cfRule>
    <cfRule type="cellIs" dxfId="125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25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25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249" priority="56" operator="lessThan">
      <formula>0</formula>
    </cfRule>
  </conditionalFormatting>
  <conditionalFormatting sqref="A25 E25 C25">
    <cfRule type="cellIs" dxfId="1248" priority="57" operator="lessThan">
      <formula>0</formula>
    </cfRule>
  </conditionalFormatting>
  <conditionalFormatting sqref="F25">
    <cfRule type="cellIs" dxfId="1247" priority="55" operator="lessThan">
      <formula>0</formula>
    </cfRule>
  </conditionalFormatting>
  <conditionalFormatting sqref="E1">
    <cfRule type="containsText" dxfId="1246" priority="54" operator="containsText" text="本季業外損益/平均=-">
      <formula>NOT(ISERROR(SEARCH("本季業外損益/平均=-",E1)))</formula>
    </cfRule>
  </conditionalFormatting>
  <conditionalFormatting sqref="M65">
    <cfRule type="cellIs" dxfId="1245" priority="53" operator="lessThan">
      <formula>$L$65*90%</formula>
    </cfRule>
  </conditionalFormatting>
  <conditionalFormatting sqref="M66">
    <cfRule type="cellIs" dxfId="1244" priority="52" operator="lessThan">
      <formula>$L$66*90%</formula>
    </cfRule>
  </conditionalFormatting>
  <conditionalFormatting sqref="M67">
    <cfRule type="cellIs" dxfId="1243" priority="51" operator="lessThan">
      <formula>$L$67*90%</formula>
    </cfRule>
  </conditionalFormatting>
  <conditionalFormatting sqref="M68">
    <cfRule type="cellIs" dxfId="1242" priority="50" operator="lessThan">
      <formula>$L$68*90%</formula>
    </cfRule>
  </conditionalFormatting>
  <conditionalFormatting sqref="B60">
    <cfRule type="cellIs" dxfId="1241" priority="49" operator="lessThan">
      <formula>0</formula>
    </cfRule>
  </conditionalFormatting>
  <conditionalFormatting sqref="B59:F59">
    <cfRule type="cellIs" dxfId="1240" priority="48" operator="lessThanOrEqual">
      <formula>0</formula>
    </cfRule>
  </conditionalFormatting>
  <conditionalFormatting sqref="D62">
    <cfRule type="cellIs" dxfId="1239" priority="46" operator="lessThan">
      <formula>$E$62</formula>
    </cfRule>
    <cfRule type="cellIs" dxfId="1238" priority="47" operator="greaterThan">
      <formula>$E$62</formula>
    </cfRule>
  </conditionalFormatting>
  <conditionalFormatting sqref="F69">
    <cfRule type="cellIs" dxfId="1237" priority="44" operator="lessThan">
      <formula>0</formula>
    </cfRule>
  </conditionalFormatting>
  <conditionalFormatting sqref="B65:E67 B69:E69 B68:D68">
    <cfRule type="cellIs" dxfId="1236" priority="45" operator="lessThan">
      <formula>0</formula>
    </cfRule>
  </conditionalFormatting>
  <conditionalFormatting sqref="E68">
    <cfRule type="cellIs" dxfId="1235" priority="43" operator="lessThan">
      <formula>0</formula>
    </cfRule>
  </conditionalFormatting>
  <conditionalFormatting sqref="F65:F68">
    <cfRule type="cellIs" dxfId="1234" priority="42" operator="lessThan">
      <formula>0</formula>
    </cfRule>
  </conditionalFormatting>
  <conditionalFormatting sqref="F65:F68">
    <cfRule type="cellIs" dxfId="1233" priority="41" operator="lessThan">
      <formula>$E$65*0.9</formula>
    </cfRule>
  </conditionalFormatting>
  <conditionalFormatting sqref="F66">
    <cfRule type="cellIs" dxfId="1232" priority="40" operator="lessThan">
      <formula>$E$66*0.9</formula>
    </cfRule>
  </conditionalFormatting>
  <conditionalFormatting sqref="F67:F68">
    <cfRule type="cellIs" dxfId="1231" priority="39" operator="lessThan">
      <formula>$E$67*0.9</formula>
    </cfRule>
  </conditionalFormatting>
  <conditionalFormatting sqref="F68">
    <cfRule type="cellIs" dxfId="1230" priority="38" operator="lessThan">
      <formula>$E$68*0.9</formula>
    </cfRule>
  </conditionalFormatting>
  <conditionalFormatting sqref="B13:F13">
    <cfRule type="cellIs" dxfId="1229" priority="27" operator="greaterThan">
      <formula>$I$16</formula>
    </cfRule>
    <cfRule type="cellIs" dxfId="1228" priority="28" operator="lessThanOrEqual">
      <formula>$I$16</formula>
    </cfRule>
  </conditionalFormatting>
  <conditionalFormatting sqref="B10:F10">
    <cfRule type="cellIs" dxfId="1227" priority="29" operator="greaterThan">
      <formula>15</formula>
    </cfRule>
    <cfRule type="cellIs" dxfId="1226" priority="36" operator="lessThan">
      <formula>$I$9</formula>
    </cfRule>
    <cfRule type="cellIs" dxfId="1225" priority="37" operator="greaterThan">
      <formula>$I$9</formula>
    </cfRule>
  </conditionalFormatting>
  <conditionalFormatting sqref="B16:F16">
    <cfRule type="cellIs" dxfId="1224" priority="34" operator="greaterThan">
      <formula>$I$16</formula>
    </cfRule>
    <cfRule type="cellIs" dxfId="1223" priority="35" operator="lessThanOrEqual">
      <formula>$I$16</formula>
    </cfRule>
  </conditionalFormatting>
  <conditionalFormatting sqref="B15:F15">
    <cfRule type="cellIs" dxfId="1222" priority="32" operator="lessThanOrEqual">
      <formula>$I$16</formula>
    </cfRule>
    <cfRule type="cellIs" dxfId="1221" priority="33" operator="greaterThan">
      <formula>$I$16</formula>
    </cfRule>
  </conditionalFormatting>
  <conditionalFormatting sqref="B14:F14">
    <cfRule type="cellIs" dxfId="1220" priority="30" operator="greaterThan">
      <formula>$I$16</formula>
    </cfRule>
    <cfRule type="cellIs" dxfId="1219" priority="31" operator="lessThanOrEqual">
      <formula>$I$16</formula>
    </cfRule>
  </conditionalFormatting>
  <conditionalFormatting sqref="K6">
    <cfRule type="containsText" dxfId="1218" priority="25" operator="containsText" text="衰退">
      <formula>NOT(ISERROR(SEARCH("衰退",K6)))</formula>
    </cfRule>
    <cfRule type="containsText" dxfId="1217" priority="26" operator="containsText" text="成長">
      <formula>NOT(ISERROR(SEARCH("成長",K6)))</formula>
    </cfRule>
  </conditionalFormatting>
  <conditionalFormatting sqref="I4:K4">
    <cfRule type="cellIs" dxfId="1216" priority="23" operator="lessThan">
      <formula>0</formula>
    </cfRule>
    <cfRule type="cellIs" dxfId="121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214" priority="20" operator="lessThanOrEqual">
      <formula>$I$16</formula>
    </cfRule>
    <cfRule type="cellIs" dxfId="1213" priority="21" operator="greaterThan">
      <formula>$I$16</formula>
    </cfRule>
  </conditionalFormatting>
  <conditionalFormatting sqref="I6">
    <cfRule type="containsText" dxfId="1212" priority="18" operator="containsText" text="衰退">
      <formula>NOT(ISERROR(SEARCH("衰退",I6)))</formula>
    </cfRule>
    <cfRule type="containsText" dxfId="1211" priority="19" operator="containsText" text="成長">
      <formula>NOT(ISERROR(SEARCH("成長",I6)))</formula>
    </cfRule>
  </conditionalFormatting>
  <conditionalFormatting sqref="M9">
    <cfRule type="cellIs" dxfId="1210" priority="17" operator="lessThan">
      <formula>$I$9</formula>
    </cfRule>
  </conditionalFormatting>
  <conditionalFormatting sqref="M10">
    <cfRule type="cellIs" dxfId="1209" priority="16" operator="greaterThan">
      <formula>$I$9</formula>
    </cfRule>
  </conditionalFormatting>
  <conditionalFormatting sqref="M11">
    <cfRule type="cellIs" dxfId="120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207" priority="12" operator="lessThan">
      <formula>0</formula>
    </cfRule>
    <cfRule type="cellIs" dxfId="1206" priority="13" operator="greaterThan">
      <formula>0.5</formula>
    </cfRule>
  </conditionalFormatting>
  <conditionalFormatting sqref="N14">
    <cfRule type="cellIs" dxfId="120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204" priority="8" operator="lessThan">
      <formula>0.1</formula>
    </cfRule>
  </conditionalFormatting>
  <conditionalFormatting sqref="I14">
    <cfRule type="cellIs" dxfId="120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20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201" priority="1" operator="lessThan">
      <formula>$N$5*0.9</formula>
    </cfRule>
    <cfRule type="cellIs" dxfId="1200" priority="2" operator="greaterThan">
      <formula>$N$5*1.1</formula>
    </cfRule>
  </conditionalFormatting>
  <hyperlinks>
    <hyperlink ref="L1" location="儀表板!A1" display="(回首頁)" xr:uid="{00000000-0004-0000-5700-000000000000}"/>
  </hyperlink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5.81 ~ 16.67</v>
      </c>
      <c r="L1" s="83" t="s">
        <v>176</v>
      </c>
      <c r="M1" s="84" t="str">
        <f ca="1">VLOOKUP(_xlfn.NUMBERVALUE(N1),儀表板!A:B,2,FALSE)</f>
        <v>勤誠</v>
      </c>
      <c r="N1" s="85" t="str">
        <f ca="1">MID(CELL("filename",L1),FIND("]",CELL("filename",L1))+1,255)</f>
        <v>8210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0.2647232856574071</v>
      </c>
    </row>
    <row r="3" spans="1:15" s="93" customFormat="1" x14ac:dyDescent="0.25">
      <c r="A3" s="81" t="s">
        <v>179</v>
      </c>
      <c r="B3" s="94">
        <f>SUM(F19:F22,F24:F27,J19)</f>
        <v>81.556455264926285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40.460833001040825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42.664145689216312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44.146374224898004</v>
      </c>
      <c r="L3" s="100"/>
      <c r="M3" s="79" t="s">
        <v>385</v>
      </c>
      <c r="N3" s="92">
        <f>(F69-E69)/E69</f>
        <v>-0.20451016613324882</v>
      </c>
    </row>
    <row r="4" spans="1:15" s="93" customFormat="1" x14ac:dyDescent="0.25">
      <c r="A4" s="81" t="s">
        <v>182</v>
      </c>
      <c r="B4" s="96">
        <f>SUM(G36:G40)*2</f>
        <v>82</v>
      </c>
      <c r="C4" s="101"/>
      <c r="D4" s="102">
        <f>F4*(1+F141/10)</f>
        <v>12</v>
      </c>
      <c r="E4" s="82">
        <f>(D4-F4)/F4</f>
        <v>0</v>
      </c>
      <c r="F4" s="103">
        <v>12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3.9933589660110913</v>
      </c>
    </row>
    <row r="5" spans="1:15" s="93" customFormat="1" x14ac:dyDescent="0.25">
      <c r="A5" s="81" t="s">
        <v>184</v>
      </c>
      <c r="B5" s="107">
        <f>SUM(F30:F34)*2</f>
        <v>98.01204819277109</v>
      </c>
      <c r="C5" s="87"/>
      <c r="D5" s="87"/>
      <c r="E5" s="87"/>
      <c r="F5" s="86"/>
      <c r="G5" s="88"/>
      <c r="M5" s="79" t="s">
        <v>386</v>
      </c>
      <c r="N5" s="152">
        <f>D62</f>
        <v>4.12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連2季衰退</v>
      </c>
      <c r="L6" s="112"/>
      <c r="M6" s="79" t="s">
        <v>190</v>
      </c>
      <c r="N6" s="152">
        <f>A53</f>
        <v>4.5662123078935055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18.899999999999999</v>
      </c>
      <c r="N9" s="129"/>
    </row>
    <row r="10" spans="1:15" s="93" customFormat="1" x14ac:dyDescent="0.25">
      <c r="A10" s="123" t="s">
        <v>194</v>
      </c>
      <c r="B10" s="126">
        <f>PERCENTILE(176:176,B9)</f>
        <v>9.19</v>
      </c>
      <c r="C10" s="126">
        <f>PERCENTILE(176:176,C9)</f>
        <v>10.100000000000001</v>
      </c>
      <c r="D10" s="126">
        <f>PERCENTILE(176:176,D9)</f>
        <v>10.65</v>
      </c>
      <c r="E10" s="126">
        <f>PERCENTILE(176:176,E9)</f>
        <v>11.02</v>
      </c>
      <c r="F10" s="126">
        <f>PERCENTILE(176:176,F9)</f>
        <v>11.89</v>
      </c>
      <c r="G10" s="95"/>
      <c r="H10" s="135"/>
      <c r="I10" s="135"/>
      <c r="J10" s="135"/>
      <c r="K10" s="135"/>
      <c r="L10" s="136" t="s">
        <v>374</v>
      </c>
      <c r="M10" s="130">
        <f>MIN(176:176)</f>
        <v>8.14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23.14</v>
      </c>
      <c r="L11" s="272" t="s">
        <v>193</v>
      </c>
      <c r="M11" s="128">
        <f>STDEV(176:176)</f>
        <v>1.9781744322751462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38.865546218487395</v>
      </c>
      <c r="C13" s="141">
        <f>$B$34/5.88%</f>
        <v>47.193877551020407</v>
      </c>
      <c r="D13" s="141">
        <f>$B$34/5%</f>
        <v>55.499999999999993</v>
      </c>
      <c r="E13" s="141">
        <f>$B$34/4.35%</f>
        <v>63.793103448275865</v>
      </c>
      <c r="F13" s="141">
        <f>$B$34/3.85%</f>
        <v>72.077922077922082</v>
      </c>
      <c r="G13" s="138" t="str">
        <f>"$"&amp;ROUND(B34,2)&amp;"/"&amp;IF(STDEV(C140:F140)/AVERAGE(C140:F140)&lt;15%,"高",IF(STDEV(C140:F140)/AVERAGE(C140:F140)&lt;30%,"中","低"))</f>
        <v>$2.78/高</v>
      </c>
      <c r="H13" s="142" t="s">
        <v>199</v>
      </c>
      <c r="I13" s="143">
        <f>MAX(0,1-J15)</f>
        <v>0.40239043824701204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38.138499999999993</v>
      </c>
      <c r="C14" s="141">
        <f>$B$33*C10</f>
        <v>41.914999999999999</v>
      </c>
      <c r="D14" s="141">
        <f>$B$33*D10</f>
        <v>44.197499999999998</v>
      </c>
      <c r="E14" s="141">
        <f>$B$33*E10</f>
        <v>45.73299999999999</v>
      </c>
      <c r="F14" s="141">
        <f>$B$33*F10</f>
        <v>49.343499999999999</v>
      </c>
      <c r="G14" s="138" t="str">
        <f>"$"&amp;ROUND(B33,2)&amp;"/"&amp;IF(STDEV(B69:E69)/AVERAGE(B69:E69)&lt;15%,"高",IF(STDEV(B69:E69)/AVERAGE(B69:E69)&lt;30%,"中","低"))</f>
        <v>$4.15/中</v>
      </c>
      <c r="H14" s="142" t="s">
        <v>203</v>
      </c>
      <c r="I14" s="145">
        <f>G62/100*I13</f>
        <v>7.1223107569721125E-2</v>
      </c>
      <c r="J14" s="76" t="s">
        <v>204</v>
      </c>
      <c r="K14" s="146"/>
      <c r="L14" s="147">
        <f>(HLOOKUP($C$1,$105:$106,2,FALSE)-HLOOKUP($C$1,$117:$127,9,FALSE))/(HLOOKUP($C$1,$117:$128,12,FALSE)/K11)</f>
        <v>8.38014096736336</v>
      </c>
      <c r="M14" s="148">
        <f>E135/E69</f>
        <v>0.48605577689243024</v>
      </c>
      <c r="N14" s="149">
        <f>F173/100</f>
        <v>1.2081999999999999</v>
      </c>
    </row>
    <row r="15" spans="1:15" s="93" customFormat="1" x14ac:dyDescent="0.25">
      <c r="A15" s="140" t="s">
        <v>375</v>
      </c>
      <c r="B15" s="141">
        <f>$D$62*B10</f>
        <v>37.8628</v>
      </c>
      <c r="C15" s="141">
        <f>$D$62*C10</f>
        <v>41.612000000000009</v>
      </c>
      <c r="D15" s="141">
        <f>$D$62*D10</f>
        <v>43.878</v>
      </c>
      <c r="E15" s="141">
        <f>$D$62*E10</f>
        <v>45.4024</v>
      </c>
      <c r="F15" s="141">
        <f>$D$62*F10</f>
        <v>48.986800000000002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0.59760956175298796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36.698968897641926</v>
      </c>
      <c r="C16" s="141">
        <f>$F$69*C10</f>
        <v>40.332925556712027</v>
      </c>
      <c r="D16" s="141">
        <f>$F$69*D10</f>
        <v>42.529272988018121</v>
      </c>
      <c r="E16" s="141">
        <f>$F$69*E10</f>
        <v>44.006815805442223</v>
      </c>
      <c r="F16" s="141">
        <f>$F$69*F10</f>
        <v>47.481038105871875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74</v>
      </c>
      <c r="J17" s="92">
        <f ca="1">IF(I17&lt;=0,"",IF(I17&lt;=MIN($B$13:$F$16),(I17-MIN($B$13:$F$16))/MIN($B$13:$F$16),IF(I17&gt;=MAX($B$13:$F$16),I17/MAX($B$13:$F$16),PERCENTRANK($B$13:$F$16,I17))))</f>
        <v>1.0266666666666666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1.7124999999999999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0.61711711711711714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0.24164280683959519</v>
      </c>
      <c r="J20" s="171">
        <f>HLOOKUP($C$1,$117:$127,11,FALSE)/HLOOKUP($C$1,$105:$115,11,FALSE)</f>
        <v>0.44100202599233379</v>
      </c>
      <c r="K20" s="163"/>
    </row>
    <row r="21" spans="1:14" s="93" customFormat="1" x14ac:dyDescent="0.25">
      <c r="A21" s="151" t="s">
        <v>201</v>
      </c>
      <c r="B21" s="161">
        <f>AVERAGE(C173:F173)/100</f>
        <v>1.0469249999999999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1.5682559876240081</v>
      </c>
      <c r="J21" s="78"/>
      <c r="K21" s="164" t="s">
        <v>356</v>
      </c>
      <c r="L21" s="165">
        <f>HLOOKUP($C$1,$105:$115,7,FALSE)/HLOOKUP($C$1,$105:$115,11,FALSE)</f>
        <v>0.62169137174992439</v>
      </c>
      <c r="M21" s="123" t="s">
        <v>268</v>
      </c>
      <c r="N21" s="165">
        <f>HLOOKUP($C$1,$117:$127,8,FALSE)/HLOOKUP($C$1,$117:$127,11,FALSE)</f>
        <v>0.89891225439496525</v>
      </c>
    </row>
    <row r="22" spans="1:14" s="93" customFormat="1" x14ac:dyDescent="0.25">
      <c r="A22" s="140" t="s">
        <v>222</v>
      </c>
      <c r="B22" s="161">
        <f>(-1)*SUM(C133:F133)/SUM(C132:F132)</f>
        <v>0.61616161616161613</v>
      </c>
      <c r="C22" s="157"/>
      <c r="D22" s="166"/>
      <c r="E22" s="140"/>
      <c r="F22" s="159">
        <f>IF(B22&lt;=0,10,IF(B22&gt;=100%,0,(1-B22)*10))</f>
        <v>3.8383838383838387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1.2715858520834871</v>
      </c>
      <c r="J22" s="78"/>
      <c r="K22" s="142" t="s">
        <v>357</v>
      </c>
      <c r="L22" s="165">
        <f>HLOOKUP($C$1,$105:$115,4,FALSE)/HLOOKUP($C$1,$105:$115,11,FALSE)</f>
        <v>0.23071015439138831</v>
      </c>
      <c r="M22" s="123" t="s">
        <v>353</v>
      </c>
      <c r="N22" s="165">
        <f>HLOOKUP($C$1,$117:$127,4,FALSE)/HLOOKUP($C$1,$117:$127,11,FALSE)</f>
        <v>0.45205964463347881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1.7889152492461196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0.11760660566700901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73.77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3.5058362014550107E-2</v>
      </c>
      <c r="M24" s="123" t="s">
        <v>355</v>
      </c>
      <c r="N24" s="165">
        <f>HLOOKUP($C$1,$117:$127,9,FALSE)/HLOOKUP($C$1,$117:$127,11,FALSE)</f>
        <v>0.10108774560503477</v>
      </c>
    </row>
    <row r="25" spans="1:14" s="93" customFormat="1" x14ac:dyDescent="0.25">
      <c r="A25" s="151" t="s">
        <v>366</v>
      </c>
      <c r="B25" s="255">
        <f>AVERAGE(94:94)</f>
        <v>7989.173913043478</v>
      </c>
      <c r="C25" s="254">
        <f>STDEV(94:94)/AVERAGE(94:94)</f>
        <v>2.2819285734575532</v>
      </c>
      <c r="D25" s="76" t="str">
        <f>IF(C25&lt;=1,"高",IF(C25&lt;=2,"中","低"))</f>
        <v>低</v>
      </c>
      <c r="E25" s="149"/>
      <c r="F25" s="160">
        <f>MAX(0,10-ABS(C25))</f>
        <v>7.7180714265424468</v>
      </c>
      <c r="G25" s="88" t="s">
        <v>213</v>
      </c>
      <c r="H25" s="123" t="s">
        <v>232</v>
      </c>
      <c r="I25" s="170">
        <f>IF(HLOOKUP(C1,167:170,3,FALSE)="無",0,HLOOKUP(C1,167:170,3,FALSE))</f>
        <v>52.63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59.419565217391302</v>
      </c>
      <c r="C26" s="172">
        <f>IF(COUNTIF(168:168,"&gt;0")=0,0,STDEV(168:168))</f>
        <v>10.653692692404382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57.350434782608701</v>
      </c>
      <c r="C27" s="172">
        <f>IF(COUNTIF(169:169,"&gt;0")=0,0,STDEV(169:169))</f>
        <v>8.7946603005670738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0.29367500000000002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0.11042500000000001</v>
      </c>
      <c r="C31" s="157" t="s">
        <v>217</v>
      </c>
      <c r="D31" s="174">
        <f>COUNTIF(149:149,"&gt;8")/COUNT(149:149)</f>
        <v>0.91304347826086951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19.46</v>
      </c>
      <c r="C32" s="157" t="s">
        <v>217</v>
      </c>
      <c r="D32" s="174">
        <f>COUNTIF(159:159,"&gt;3")/COUNT(159:159)</f>
        <v>0.95652173913043481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4.1499999999999995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2.7749999999999999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9.0060240963855414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4461436.75</v>
      </c>
      <c r="C36" s="178">
        <f>STDEV(C97:F97)</f>
        <v>607009.5610561528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29.3675</v>
      </c>
      <c r="C37" s="180">
        <f>STDEV(C152:F152)</f>
        <v>0.98736602466697587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13.545</v>
      </c>
      <c r="C38" s="180">
        <f>STDEV(C153:F153)</f>
        <v>1.6423052903363318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19.46</v>
      </c>
      <c r="C39" s="181">
        <f>STDEV(C165:F165)</f>
        <v>3.1472421790089928</v>
      </c>
      <c r="D39" s="76" t="str">
        <f>IF(C39/B39&lt;15%,"高",IF(C39/B39&lt;30%,"中","低"))</f>
        <v>中</v>
      </c>
      <c r="E39" s="107">
        <f>IF(F165&gt;E165,1,0)+IF(E165&gt;D165,1,0)+IF(D165&gt;C165,1,0)</f>
        <v>2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4.1499999999999995</v>
      </c>
      <c r="C40" s="183">
        <f>STDEV(B69:E69)</f>
        <v>0.93359520135870755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-0.41071428571428575</v>
      </c>
      <c r="C44" s="186">
        <f>(C46-C49)/C49</f>
        <v>-0.38732394366197181</v>
      </c>
      <c r="D44" s="186">
        <f>(D46-D49)/D49</f>
        <v>0.1182795698924731</v>
      </c>
      <c r="E44" s="186">
        <f>(E46-E49)/E49</f>
        <v>9.1549295774647974E-2</v>
      </c>
      <c r="G44" s="86" t="s">
        <v>175</v>
      </c>
      <c r="H44" s="186">
        <f>(H47-H50)/H50</f>
        <v>-0.46421663442940031</v>
      </c>
      <c r="I44" s="186">
        <f>(I47-I50)/I50</f>
        <v>-0.17844136926438461</v>
      </c>
      <c r="J44" s="186">
        <f>(J47-J50)/J50</f>
        <v>8.0624187256176802E-2</v>
      </c>
      <c r="K44" s="186">
        <f>(K47-K50)/K50</f>
        <v>-6.1312078479460339E-2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0.66</v>
      </c>
      <c r="C46" s="152">
        <f>HLOOKUP(C45,$81:$82,2,FALSE)</f>
        <v>0.87</v>
      </c>
      <c r="D46" s="152">
        <f>HLOOKUP(D45,$81:$82,2,FALSE)</f>
        <v>1.04</v>
      </c>
      <c r="E46" s="152">
        <f>HLOOKUP(E45,$81:$82,2,FALSE)</f>
        <v>1.55</v>
      </c>
      <c r="G46" s="86" t="s">
        <v>164</v>
      </c>
      <c r="H46" s="145">
        <f>HLOOKUP(H45,$145:$147,2,FALSE)/100</f>
        <v>0.22579999999999997</v>
      </c>
      <c r="I46" s="145">
        <f>HLOOKUP(I45,$145:$147,2,FALSE)/100</f>
        <v>0.26329999999999998</v>
      </c>
      <c r="J46" s="145">
        <f>HLOOKUP(J45,$145:$147,2,FALSE)/100</f>
        <v>0.3175</v>
      </c>
      <c r="K46" s="145">
        <f>HLOOKUP(K45,$145:$147,2,FALSE)/100</f>
        <v>0.30590000000000001</v>
      </c>
    </row>
    <row r="47" spans="1:14" x14ac:dyDescent="0.25">
      <c r="A47" s="188" t="s">
        <v>165</v>
      </c>
      <c r="B47" s="189">
        <f>HLOOKUP(B45,$157:$159,3,FALSE)</f>
        <v>2.92</v>
      </c>
      <c r="C47" s="189">
        <f>HLOOKUP(C45,$157:$159,3,FALSE)</f>
        <v>3.77</v>
      </c>
      <c r="D47" s="189">
        <f>HLOOKUP(D45,$157:$159,3,FALSE)</f>
        <v>4.3499999999999996</v>
      </c>
      <c r="E47" s="189">
        <f>HLOOKUP(E45,$157:$159,3,FALSE)</f>
        <v>6.66</v>
      </c>
      <c r="G47" s="190" t="s">
        <v>166</v>
      </c>
      <c r="H47" s="145">
        <f>HLOOKUP(H45,$145:$147,3,FALSE)/100</f>
        <v>8.3100000000000007E-2</v>
      </c>
      <c r="I47" s="145">
        <f>HLOOKUP(I45,$145:$147,3,FALSE)/100</f>
        <v>0.1128</v>
      </c>
      <c r="J47" s="145">
        <f>HLOOKUP(J45,$145:$147,3,FALSE)/100</f>
        <v>0.16620000000000001</v>
      </c>
      <c r="K47" s="145">
        <f>HLOOKUP(K45,$145:$147,3,FALSE)/100</f>
        <v>0.15310000000000001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1.1200000000000001</v>
      </c>
      <c r="C49" s="152">
        <f>HLOOKUP(C48,$81:$82,2,FALSE)</f>
        <v>1.42</v>
      </c>
      <c r="D49" s="152">
        <f>HLOOKUP(D48,$81:$82,2,FALSE)</f>
        <v>0.93</v>
      </c>
      <c r="E49" s="152">
        <f>HLOOKUP(E48,$81:$82,2,FALSE)</f>
        <v>1.42</v>
      </c>
      <c r="G49" s="86" t="s">
        <v>164</v>
      </c>
      <c r="H49" s="145">
        <f>HLOOKUP(H48,$145:$147,2,FALSE)/100</f>
        <v>0.29770000000000002</v>
      </c>
      <c r="I49" s="145">
        <f>HLOOKUP(I48,$145:$147,2,FALSE)/100</f>
        <v>0.28460000000000002</v>
      </c>
      <c r="J49" s="145">
        <f>HLOOKUP(J48,$145:$147,2,FALSE)/100</f>
        <v>0.30349999999999999</v>
      </c>
      <c r="K49" s="145">
        <f>HLOOKUP(K48,$145:$147,2,FALSE)/100</f>
        <v>0.3115</v>
      </c>
    </row>
    <row r="50" spans="1:15" x14ac:dyDescent="0.25">
      <c r="A50" s="188" t="s">
        <v>165</v>
      </c>
      <c r="B50" s="189">
        <f>HLOOKUP(B48,$157:$159,3,FALSE)</f>
        <v>5.03</v>
      </c>
      <c r="C50" s="189">
        <f>HLOOKUP(C48,$157:$159,3,FALSE)</f>
        <v>6.23</v>
      </c>
      <c r="D50" s="189">
        <f>HLOOKUP(D48,$157:$159,3,FALSE)</f>
        <v>4.03</v>
      </c>
      <c r="E50" s="189">
        <f>HLOOKUP(E48,$157:$159,3,FALSE)</f>
        <v>6.39</v>
      </c>
      <c r="G50" s="190" t="s">
        <v>166</v>
      </c>
      <c r="H50" s="145">
        <f>HLOOKUP(H48,$145:$147,3,FALSE)/100</f>
        <v>0.15509999999999999</v>
      </c>
      <c r="I50" s="145">
        <f>HLOOKUP(I48,$145:$147,3,FALSE)/100</f>
        <v>0.13730000000000001</v>
      </c>
      <c r="J50" s="145">
        <f>HLOOKUP(J48,$145:$147,3,FALSE)/100</f>
        <v>0.15380000000000002</v>
      </c>
      <c r="K50" s="145">
        <f>HLOOKUP(K48,$145:$147,3,FALSE)/100</f>
        <v>0.16309999999999999</v>
      </c>
    </row>
    <row r="51" spans="1:15" x14ac:dyDescent="0.25">
      <c r="A51" s="86" t="s">
        <v>351</v>
      </c>
      <c r="B51" s="186">
        <f>(B47-B50)/B50</f>
        <v>-0.41948310139165013</v>
      </c>
      <c r="C51" s="186">
        <f>(C47-C50)/C50</f>
        <v>-0.39486356340288931</v>
      </c>
      <c r="D51" s="186">
        <f>(D47-D50)/D50</f>
        <v>7.9404466501240542E-2</v>
      </c>
      <c r="E51" s="186">
        <f>(E47-E50)/E50</f>
        <v>4.2253521126760639E-2</v>
      </c>
      <c r="G51" s="235" t="s">
        <v>174</v>
      </c>
      <c r="H51" s="186">
        <f>(H46-H49)/H49</f>
        <v>-0.24151830702049057</v>
      </c>
      <c r="I51" s="186">
        <f>(I46-I49)/I49</f>
        <v>-7.4841883345045823E-2</v>
      </c>
      <c r="J51" s="186">
        <f>(J46-J49)/J49</f>
        <v>4.6128500823723273E-2</v>
      </c>
      <c r="K51" s="186">
        <f>(K46-K49)/K49</f>
        <v>-1.7977528089887621E-2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4.5662123078935055</v>
      </c>
      <c r="B53" s="193">
        <f>B46</f>
        <v>0.66</v>
      </c>
      <c r="C53" s="193">
        <f>E46/HLOOKUP(E45,$87:$94,5,FALSE)*HLOOKUP(E45,$87:$94,4,FALSE)*($B$25/HLOOKUP(E45,$87:$94,4,FALSE)+SUM($B$57:$D$57)/SUM($B58:$D$58)*$G$69/100/K46)</f>
        <v>1.423358966011091</v>
      </c>
      <c r="D53" s="193">
        <f>D46/HLOOKUP(D45,$87:$94,5,FALSE)*HLOOKUP(D45,$87:$94,4,FALSE)*($B$25/HLOOKUP(D45,$87:$94,4,FALSE)+SUM($B$57:$D$57)/SUM($B58:$D$58)*$G$69/100/J46)</f>
        <v>1.2818707546578423</v>
      </c>
      <c r="E53" s="193">
        <f>C46/HLOOKUP(C45,$87:$94,5,FALSE)*HLOOKUP(C45,$87:$94,4,FALSE)*($B$25/HLOOKUP(C45,$87:$94,4,FALSE)+SUM($B$57:$D$57)/SUM($B58:$D$58)*$G$69/100/I46)</f>
        <v>1.2009825872245721</v>
      </c>
    </row>
    <row r="54" spans="1:15" x14ac:dyDescent="0.25">
      <c r="A54" s="278">
        <f>SUM(B54:E54)</f>
        <v>4.58</v>
      </c>
      <c r="B54" s="277">
        <f t="shared" ref="B54:D54" si="0">HLOOKUP(B52-10,81:82,2,FALSE)</f>
        <v>1.1200000000000001</v>
      </c>
      <c r="C54" s="277">
        <f t="shared" si="0"/>
        <v>1.55</v>
      </c>
      <c r="D54" s="277">
        <f t="shared" si="0"/>
        <v>1.04</v>
      </c>
      <c r="E54" s="277">
        <f>HLOOKUP(E52-10,81:82,2,FALSE)</f>
        <v>0.87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472340</v>
      </c>
      <c r="C57" s="196">
        <f>HLOOKUP(C56,78:79,2,FALSE)</f>
        <v>490732</v>
      </c>
      <c r="D57" s="196">
        <f>HLOOKUP(D56,78:79,2,FALSE)</f>
        <v>462377</v>
      </c>
      <c r="E57" s="196">
        <f>HLOOKUP(E56,78:79,2,FALSE)</f>
        <v>412775</v>
      </c>
      <c r="F57" s="196">
        <f>HLOOKUP(F56,78:79,2,FALSE)</f>
        <v>434396</v>
      </c>
      <c r="G57" s="196">
        <f t="shared" ref="G57:M57" si="2">HLOOKUP(G56,78:79,2,FALSE)</f>
        <v>418071</v>
      </c>
      <c r="H57" s="196">
        <f t="shared" si="2"/>
        <v>462745</v>
      </c>
      <c r="I57" s="196">
        <f t="shared" si="2"/>
        <v>526027</v>
      </c>
      <c r="J57" s="196">
        <f t="shared" si="2"/>
        <v>324979</v>
      </c>
      <c r="K57" s="196">
        <f t="shared" si="2"/>
        <v>383796</v>
      </c>
      <c r="L57" s="196">
        <f t="shared" si="2"/>
        <v>447208</v>
      </c>
      <c r="M57" s="196">
        <f t="shared" si="2"/>
        <v>443895</v>
      </c>
      <c r="N57" s="197"/>
    </row>
    <row r="58" spans="1:15" x14ac:dyDescent="0.25">
      <c r="A58" s="198" t="s">
        <v>253</v>
      </c>
      <c r="B58" s="196">
        <f>HLOOKUP(B56-100,78:79,2,FALSE)</f>
        <v>449817</v>
      </c>
      <c r="C58" s="196">
        <f>HLOOKUP(C56-100,78:79,2,FALSE)</f>
        <v>438867</v>
      </c>
      <c r="D58" s="196">
        <f>HLOOKUP(D56-100,78:79,2,FALSE)</f>
        <v>399691</v>
      </c>
      <c r="E58" s="196">
        <f>HLOOKUP(E56-100,78:79,2,FALSE)</f>
        <v>430017</v>
      </c>
      <c r="F58" s="196">
        <f>HLOOKUP(F56-100,78:79,2,FALSE)</f>
        <v>452057</v>
      </c>
      <c r="G58" s="196">
        <f t="shared" ref="G58:M58" si="3">HLOOKUP(G56-100,78:79,2,FALSE)</f>
        <v>515062</v>
      </c>
      <c r="H58" s="196">
        <f t="shared" si="3"/>
        <v>459471</v>
      </c>
      <c r="I58" s="196">
        <f t="shared" si="3"/>
        <v>489053</v>
      </c>
      <c r="J58" s="196">
        <f t="shared" si="3"/>
        <v>243138</v>
      </c>
      <c r="K58" s="196">
        <f t="shared" si="3"/>
        <v>442065</v>
      </c>
      <c r="L58" s="196">
        <f t="shared" si="3"/>
        <v>473138</v>
      </c>
      <c r="M58" s="196">
        <f t="shared" si="3"/>
        <v>448224</v>
      </c>
      <c r="N58" s="197"/>
    </row>
    <row r="59" spans="1:15" x14ac:dyDescent="0.25">
      <c r="A59" s="199" t="s">
        <v>254</v>
      </c>
      <c r="B59" s="165">
        <f>IF(B57&lt;&gt;"",(B57-B58)/B58,"")</f>
        <v>5.0071473510338652E-2</v>
      </c>
      <c r="C59" s="165">
        <f>IF(C57&lt;&gt;"",(C57-C58)/C58,"")</f>
        <v>0.11817931172769883</v>
      </c>
      <c r="D59" s="165">
        <f>IF(D57&lt;&gt;"",(D57-D58)/D58,"")</f>
        <v>0.15683615593045627</v>
      </c>
      <c r="E59" s="165">
        <f>IF(E57&lt;&gt;"",(E57-E58)/E58,"")</f>
        <v>-4.0096089224379503E-2</v>
      </c>
      <c r="F59" s="165">
        <f>IF(F57&lt;&gt;"",(F57-F58)/F58,"")</f>
        <v>-3.9068082122387222E-2</v>
      </c>
      <c r="G59" s="165">
        <f t="shared" ref="G59:M59" si="4">IF(G57&lt;&gt;"",(G57-G58)/G58,"")</f>
        <v>-0.18830936858086988</v>
      </c>
      <c r="H59" s="165">
        <f t="shared" si="4"/>
        <v>7.1255857279349513E-3</v>
      </c>
      <c r="I59" s="165">
        <f t="shared" si="4"/>
        <v>7.5603257724622897E-2</v>
      </c>
      <c r="J59" s="165">
        <f t="shared" si="4"/>
        <v>0.33660308137765382</v>
      </c>
      <c r="K59" s="165">
        <f t="shared" si="4"/>
        <v>-0.13181093278137831</v>
      </c>
      <c r="L59" s="165">
        <f t="shared" si="4"/>
        <v>-5.4804306565949049E-2</v>
      </c>
      <c r="M59" s="165">
        <f t="shared" si="4"/>
        <v>-9.6581173698864851E-3</v>
      </c>
    </row>
    <row r="60" spans="1:15" x14ac:dyDescent="0.25">
      <c r="A60" s="195" t="s">
        <v>255</v>
      </c>
      <c r="B60" s="196">
        <f>SUM(B57:M57)</f>
        <v>5279341</v>
      </c>
    </row>
    <row r="61" spans="1:15" x14ac:dyDescent="0.25">
      <c r="A61" s="198" t="s">
        <v>256</v>
      </c>
      <c r="B61" s="196">
        <f>SUM(B58:M58)</f>
        <v>5240600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1.007392474144182</v>
      </c>
      <c r="D62" s="152">
        <f>SUM(B46:E46)</f>
        <v>4.12</v>
      </c>
      <c r="E62" s="152">
        <f>SUM(B49:E49)</f>
        <v>4.8900000000000006</v>
      </c>
      <c r="G62" s="126">
        <f>SUM(B47:E47)</f>
        <v>17.7</v>
      </c>
      <c r="H62" s="126">
        <f>SUM(B50:E50)</f>
        <v>21.680000000000003</v>
      </c>
      <c r="J62" s="200">
        <f>AVERAGE(H46:K46)</f>
        <v>0.27812500000000001</v>
      </c>
      <c r="K62" s="200">
        <f>AVERAGE(H49:K49)</f>
        <v>0.29932500000000001</v>
      </c>
      <c r="M62" s="200">
        <f>AVERAGE(H47:K47)</f>
        <v>0.12880000000000003</v>
      </c>
      <c r="N62" s="200">
        <f>AVERAGE(H50:K50)</f>
        <v>0.15232500000000002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0.66</v>
      </c>
      <c r="C65" s="205">
        <f t="shared" si="5"/>
        <v>1.1399999999999999</v>
      </c>
      <c r="D65" s="205">
        <f t="shared" si="5"/>
        <v>0.73</v>
      </c>
      <c r="E65" s="205">
        <f t="shared" si="5"/>
        <v>0.93</v>
      </c>
      <c r="F65" s="206">
        <f>IF(ISNA(HLOOKUP(F$64*10+$A65,$81:$82,2,FALSE)),(HLOOKUP(E$64*10+$A65,$87:$94,4,FALSE)*$G65+$B$25)/HLOOKUP(E$64*10+$A65,$87:$94,5,FALSE)*$E65,HLOOKUP(F$64*10+$A65,$81:$82,2,FALSE))</f>
        <v>1.04</v>
      </c>
      <c r="G65" s="101">
        <f>MIN(130%,SUM($B$57:$D$57)/SUM($B$58:$D$58)*$G$69/HLOOKUP(E$64*10+$A65,$145:$146,2,FALSE))</f>
        <v>1.0799649601834564</v>
      </c>
      <c r="H65" s="204">
        <v>1</v>
      </c>
      <c r="I65" s="208">
        <f t="shared" ref="I65:M68" si="6">IF(ISNA(HLOOKUP(I$64*10+$H65,$145:$147,3,FALSE)),"",HLOOKUP(I$64*10+$H65,$145:$147,3,FALSE)/100)</f>
        <v>0.12720000000000001</v>
      </c>
      <c r="J65" s="208">
        <f t="shared" si="6"/>
        <v>0.16190000000000002</v>
      </c>
      <c r="K65" s="208">
        <f t="shared" si="6"/>
        <v>0.12619999999999998</v>
      </c>
      <c r="L65" s="208">
        <f t="shared" si="6"/>
        <v>0.15380000000000002</v>
      </c>
      <c r="M65" s="209">
        <f t="shared" si="6"/>
        <v>0.16620000000000001</v>
      </c>
      <c r="N65" s="256">
        <f t="shared" ref="N65:O68" si="7">HLOOKUP(E$64*10+$A65,$87:$94,8,FALSE)</f>
        <v>-13158</v>
      </c>
      <c r="O65" s="256">
        <f t="shared" si="7"/>
        <v>-26858</v>
      </c>
      <c r="P65" s="210"/>
    </row>
    <row r="66" spans="1:71" x14ac:dyDescent="0.25">
      <c r="A66" s="204">
        <v>2</v>
      </c>
      <c r="B66" s="205">
        <f t="shared" si="5"/>
        <v>0.77</v>
      </c>
      <c r="C66" s="205">
        <f t="shared" si="5"/>
        <v>1.62</v>
      </c>
      <c r="D66" s="205">
        <f t="shared" si="5"/>
        <v>0.95</v>
      </c>
      <c r="E66" s="205">
        <f t="shared" si="5"/>
        <v>1.42</v>
      </c>
      <c r="F66" s="206">
        <f>IF(ISNA(HLOOKUP(F$64*10+$A66,$81:$82,2,FALSE)),(HLOOKUP(E$64*10+$A66,$87:$94,4,FALSE)*$G66+$B$25)/HLOOKUP(E$64*10+$A66,$87:$94,5,FALSE)*$E66,HLOOKUP(F$64*10+$A66,$81:$82,2,FALSE))</f>
        <v>0.87</v>
      </c>
      <c r="G66" s="101">
        <f>MIN(130%,SUM($B$57:$D$57)/SUM($B$58:$D$58)*$G$69/HLOOKUP(E$64*10+$A66,$145:$146,2,FALSE))</f>
        <v>1.1516843479117325</v>
      </c>
      <c r="H66" s="204">
        <v>2</v>
      </c>
      <c r="I66" s="208">
        <f t="shared" si="6"/>
        <v>0.1232</v>
      </c>
      <c r="J66" s="208">
        <f t="shared" si="6"/>
        <v>0.2011</v>
      </c>
      <c r="K66" s="208">
        <f t="shared" si="6"/>
        <v>0.13489999999999999</v>
      </c>
      <c r="L66" s="208">
        <f t="shared" si="6"/>
        <v>0.13730000000000001</v>
      </c>
      <c r="M66" s="209">
        <f t="shared" si="6"/>
        <v>0.1128</v>
      </c>
      <c r="N66" s="256">
        <f t="shared" si="7"/>
        <v>23714</v>
      </c>
      <c r="O66" s="256">
        <f t="shared" si="7"/>
        <v>-8789</v>
      </c>
      <c r="P66" s="210"/>
    </row>
    <row r="67" spans="1:71" x14ac:dyDescent="0.25">
      <c r="A67" s="204">
        <v>3</v>
      </c>
      <c r="B67" s="205">
        <f t="shared" si="5"/>
        <v>0.67</v>
      </c>
      <c r="C67" s="205">
        <f t="shared" si="5"/>
        <v>0.8</v>
      </c>
      <c r="D67" s="205">
        <f t="shared" si="5"/>
        <v>1.1200000000000001</v>
      </c>
      <c r="E67" s="205">
        <f t="shared" si="5"/>
        <v>1.1200000000000001</v>
      </c>
      <c r="F67" s="206">
        <f>IF(ISNA(HLOOKUP(F$64*10+$A67,$81:$82,2,FALSE)),(HLOOKUP(E$64*10+$A67,$87:$94,4,FALSE)*$G67+$B$25)/HLOOKUP(E$64*10+$A67,$87:$94,5,FALSE)*$E67,HLOOKUP(F$64*10+$A67,$81:$82,2,FALSE))</f>
        <v>0.66</v>
      </c>
      <c r="G67" s="101">
        <f>MIN(130%,SUM($B$57:$D$57)/SUM($B$58:$D$58)*$G$69/HLOOKUP(E$64*10+$A67,$145:$146,2,FALSE))</f>
        <v>1.1010055942750387</v>
      </c>
      <c r="H67" s="204">
        <v>3</v>
      </c>
      <c r="I67" s="208">
        <f t="shared" si="6"/>
        <v>9.6099999999999991E-2</v>
      </c>
      <c r="J67" s="208">
        <f t="shared" si="6"/>
        <v>0.1009</v>
      </c>
      <c r="K67" s="208">
        <f t="shared" si="6"/>
        <v>0.105</v>
      </c>
      <c r="L67" s="208">
        <f t="shared" si="6"/>
        <v>0.15509999999999999</v>
      </c>
      <c r="M67" s="209">
        <f t="shared" si="6"/>
        <v>8.3100000000000007E-2</v>
      </c>
      <c r="N67" s="256">
        <f t="shared" si="7"/>
        <v>-15618</v>
      </c>
      <c r="O67" s="256">
        <f t="shared" si="7"/>
        <v>-9714</v>
      </c>
      <c r="P67" s="210"/>
    </row>
    <row r="68" spans="1:71" x14ac:dyDescent="0.25">
      <c r="A68" s="204">
        <v>4</v>
      </c>
      <c r="B68" s="205">
        <f>HLOOKUP(B$64*10+$A68,$81:$82,2,FALSE)</f>
        <v>0.74</v>
      </c>
      <c r="C68" s="205">
        <f>HLOOKUP(C$64*10+$A68,$81:$82,2,FALSE)</f>
        <v>0.96</v>
      </c>
      <c r="D68" s="205">
        <f>HLOOKUP(D$64*10+$A68,$81:$82,2,FALSE)</f>
        <v>1.42</v>
      </c>
      <c r="E68" s="206">
        <f>IF(ISNA(HLOOKUP(E$64*10+$A68,$81:$82,2,FALSE)),D68*(1-$N68)*#REF!*(1+$B$25)/(1+$E$4),HLOOKUP(E$64*10+$A68,$81:$82,2,FALSE))</f>
        <v>1.55</v>
      </c>
      <c r="F68" s="206">
        <f>IF(ISNA(HLOOKUP(F$64*10+$A68,$81:$82,2,FALSE)),(HLOOKUP(E$64*10+$A68,$87:$94,4,FALSE)*$G68+$B$25)/HLOOKUP(E$64*10+$A68,$87:$94,5,FALSE)*$E68,HLOOKUP(F$64*10+$A68,$81:$82,2,FALSE))</f>
        <v>1.423358966011091</v>
      </c>
      <c r="G68" s="101">
        <f>MIN(130%,SUM($B$57:$D$57)/SUM($B$58:$D$58)*$G$69/HLOOKUP(E$64*10+$A68,$145:$146,2,FALSE))</f>
        <v>1.0714918777890783</v>
      </c>
      <c r="H68" s="204">
        <v>4</v>
      </c>
      <c r="I68" s="208">
        <f t="shared" si="6"/>
        <v>0.1075</v>
      </c>
      <c r="J68" s="208">
        <f t="shared" si="6"/>
        <v>0.121</v>
      </c>
      <c r="K68" s="208">
        <f t="shared" si="6"/>
        <v>0.16309999999999999</v>
      </c>
      <c r="L68" s="208">
        <f t="shared" si="6"/>
        <v>0.15310000000000001</v>
      </c>
      <c r="M68" s="209" t="str">
        <f t="shared" si="6"/>
        <v/>
      </c>
      <c r="N68" s="256">
        <f t="shared" si="7"/>
        <v>42881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2.84</v>
      </c>
      <c r="C69" s="213">
        <f>SUM(C65:C68)</f>
        <v>4.5199999999999996</v>
      </c>
      <c r="D69" s="213">
        <f>SUM(D65:D68)</f>
        <v>4.22</v>
      </c>
      <c r="E69" s="213">
        <f>SUM(E65:E68)</f>
        <v>5.0200000000000005</v>
      </c>
      <c r="F69" s="213">
        <f>SUM(F65:F68)</f>
        <v>3.9933589660110913</v>
      </c>
      <c r="G69" s="257">
        <f>_xlfn.FORECAST.ETS(23,B146:W146,{1,2,3,4,5,6,7,8,9,10,11,12,13,14,15,16,17,18,19,20,21,22})</f>
        <v>29.625041384674265</v>
      </c>
      <c r="H69" s="214" t="s">
        <v>19</v>
      </c>
      <c r="I69" s="215">
        <f>HLOOKUP(I64,151:155,3,FALSE)/100</f>
        <v>0.113</v>
      </c>
      <c r="J69" s="215">
        <f>HLOOKUP(J64,151:155,3,FALSE)/100</f>
        <v>0.14580000000000001</v>
      </c>
      <c r="K69" s="215">
        <f>HLOOKUP(K64,151:155,3,FALSE)/100</f>
        <v>0.1336</v>
      </c>
      <c r="L69" s="215">
        <f>IF(ISNA(HLOOKUP(L64,151:155,3,FALSE)/100),AVERAGE(L65:L68),HLOOKUP(L64,151:155,3,FALSE)/100)</f>
        <v>0.14940000000000001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3.5</v>
      </c>
      <c r="C72" s="205">
        <f t="shared" si="8"/>
        <v>5.75</v>
      </c>
      <c r="D72" s="205">
        <f t="shared" si="8"/>
        <v>3.33</v>
      </c>
      <c r="E72" s="205">
        <f t="shared" si="8"/>
        <v>4.03</v>
      </c>
      <c r="F72" s="205">
        <f t="shared" si="8"/>
        <v>4.3499999999999996</v>
      </c>
    </row>
    <row r="73" spans="1:71" s="135" customFormat="1" x14ac:dyDescent="0.25">
      <c r="A73" s="204">
        <v>2</v>
      </c>
      <c r="B73" s="205">
        <f t="shared" si="8"/>
        <v>4.1500000000000004</v>
      </c>
      <c r="C73" s="205">
        <f t="shared" si="8"/>
        <v>8.1999999999999993</v>
      </c>
      <c r="D73" s="205">
        <f t="shared" si="8"/>
        <v>4.4800000000000004</v>
      </c>
      <c r="E73" s="205">
        <f t="shared" si="8"/>
        <v>6.23</v>
      </c>
      <c r="F73" s="205">
        <f t="shared" si="8"/>
        <v>3.77</v>
      </c>
    </row>
    <row r="74" spans="1:71" s="135" customFormat="1" x14ac:dyDescent="0.25">
      <c r="A74" s="204">
        <v>3</v>
      </c>
      <c r="B74" s="205">
        <f t="shared" si="8"/>
        <v>3.74</v>
      </c>
      <c r="C74" s="205">
        <f t="shared" si="8"/>
        <v>4.03</v>
      </c>
      <c r="D74" s="205">
        <f t="shared" si="8"/>
        <v>5.35</v>
      </c>
      <c r="E74" s="205">
        <f t="shared" si="8"/>
        <v>5.03</v>
      </c>
      <c r="F74" s="205">
        <f t="shared" si="8"/>
        <v>2.92</v>
      </c>
    </row>
    <row r="75" spans="1:71" s="135" customFormat="1" x14ac:dyDescent="0.25">
      <c r="A75" s="204">
        <v>4</v>
      </c>
      <c r="B75" s="205">
        <f t="shared" si="8"/>
        <v>3.96</v>
      </c>
      <c r="C75" s="205">
        <f t="shared" si="8"/>
        <v>4.5599999999999996</v>
      </c>
      <c r="D75" s="205">
        <f t="shared" si="8"/>
        <v>6.39</v>
      </c>
      <c r="E75" s="205">
        <f t="shared" si="8"/>
        <v>6.66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15.350000000000001</v>
      </c>
      <c r="C76" s="213">
        <f>SUM(C72:C75)</f>
        <v>22.54</v>
      </c>
      <c r="D76" s="213">
        <f>SUM(D72:D75)</f>
        <v>19.55</v>
      </c>
      <c r="E76" s="213">
        <f>AVERAGE(E72:E75)*4</f>
        <v>21.950000000000003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286580</v>
      </c>
      <c r="C79" s="270">
        <v>296622</v>
      </c>
      <c r="D79" s="270">
        <v>388208</v>
      </c>
      <c r="E79" s="270">
        <v>308654</v>
      </c>
      <c r="F79" s="270">
        <v>316756</v>
      </c>
      <c r="G79" s="270">
        <v>353396</v>
      </c>
      <c r="H79" s="270">
        <v>304541</v>
      </c>
      <c r="I79" s="270">
        <v>348095</v>
      </c>
      <c r="J79" s="270">
        <v>323970</v>
      </c>
      <c r="K79" s="270">
        <v>349025</v>
      </c>
      <c r="L79" s="270">
        <v>350304</v>
      </c>
      <c r="M79" s="270">
        <v>356356</v>
      </c>
      <c r="N79" s="270">
        <v>350605</v>
      </c>
      <c r="O79" s="270">
        <v>210841</v>
      </c>
      <c r="P79" s="270">
        <v>290204</v>
      </c>
      <c r="Q79" s="270">
        <v>267810</v>
      </c>
      <c r="R79" s="270">
        <v>365452</v>
      </c>
      <c r="S79" s="270">
        <v>318377</v>
      </c>
      <c r="T79" s="270">
        <v>334291</v>
      </c>
      <c r="U79" s="270">
        <v>324228</v>
      </c>
      <c r="V79" s="270">
        <v>316372</v>
      </c>
      <c r="W79" s="270">
        <v>312530</v>
      </c>
      <c r="X79" s="270">
        <v>271526</v>
      </c>
      <c r="Y79" s="270">
        <v>362296</v>
      </c>
      <c r="Z79" s="270">
        <v>334251</v>
      </c>
      <c r="AA79" s="270">
        <v>252040</v>
      </c>
      <c r="AB79" s="270">
        <v>383146</v>
      </c>
      <c r="AC79" s="270">
        <v>400948</v>
      </c>
      <c r="AD79" s="270">
        <v>388267</v>
      </c>
      <c r="AE79" s="270">
        <v>381604</v>
      </c>
      <c r="AF79" s="270">
        <v>371653</v>
      </c>
      <c r="AG79" s="270">
        <v>310306</v>
      </c>
      <c r="AH79" s="270">
        <v>413974</v>
      </c>
      <c r="AI79" s="270">
        <v>390627</v>
      </c>
      <c r="AJ79" s="270">
        <v>362175</v>
      </c>
      <c r="AK79" s="270">
        <v>496440</v>
      </c>
      <c r="AL79" s="270">
        <v>381062</v>
      </c>
      <c r="AM79" s="270">
        <v>235444</v>
      </c>
      <c r="AN79" s="270">
        <v>400368</v>
      </c>
      <c r="AO79" s="270">
        <v>347067</v>
      </c>
      <c r="AP79" s="270">
        <v>389750</v>
      </c>
      <c r="AQ79" s="270">
        <v>322206</v>
      </c>
      <c r="AR79" s="270">
        <v>346452</v>
      </c>
      <c r="AS79" s="270">
        <v>379075</v>
      </c>
      <c r="AT79" s="270">
        <v>368062</v>
      </c>
      <c r="AU79" s="270">
        <v>348236</v>
      </c>
      <c r="AV79" s="270">
        <v>448224</v>
      </c>
      <c r="AW79" s="270">
        <v>473138</v>
      </c>
      <c r="AX79" s="270">
        <v>442065</v>
      </c>
      <c r="AY79" s="270">
        <v>243138</v>
      </c>
      <c r="AZ79" s="270">
        <v>489053</v>
      </c>
      <c r="BA79" s="270">
        <v>459471</v>
      </c>
      <c r="BB79" s="270">
        <v>515062</v>
      </c>
      <c r="BC79" s="270">
        <v>452057</v>
      </c>
      <c r="BD79" s="270">
        <v>430017</v>
      </c>
      <c r="BE79" s="270">
        <v>399691</v>
      </c>
      <c r="BF79" s="270">
        <v>438867</v>
      </c>
      <c r="BG79" s="270">
        <v>449817</v>
      </c>
      <c r="BH79" s="270">
        <v>443895</v>
      </c>
      <c r="BI79" s="270">
        <v>447208</v>
      </c>
      <c r="BJ79" s="270">
        <v>383796</v>
      </c>
      <c r="BK79" s="270">
        <v>324979</v>
      </c>
      <c r="BL79" s="270">
        <v>526027</v>
      </c>
      <c r="BM79" s="270">
        <v>462745</v>
      </c>
      <c r="BN79" s="270">
        <v>418071</v>
      </c>
      <c r="BO79" s="270">
        <v>434396</v>
      </c>
      <c r="BP79" s="270">
        <v>412775</v>
      </c>
      <c r="BQ79" s="270">
        <v>462377</v>
      </c>
      <c r="BR79" s="270">
        <v>490732</v>
      </c>
      <c r="BS79" s="270">
        <v>472340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0.88</v>
      </c>
      <c r="C82" s="72">
        <v>0.98</v>
      </c>
      <c r="D82" s="72">
        <v>0.97</v>
      </c>
      <c r="E82" s="72">
        <v>1.2</v>
      </c>
      <c r="F82" s="72">
        <v>0.66</v>
      </c>
      <c r="G82" s="72">
        <v>0.77</v>
      </c>
      <c r="H82" s="72">
        <v>0.67</v>
      </c>
      <c r="I82" s="72">
        <v>0.74</v>
      </c>
      <c r="J82" s="72">
        <v>1.1399999999999999</v>
      </c>
      <c r="K82" s="72">
        <v>1.62</v>
      </c>
      <c r="L82" s="72">
        <v>0.8</v>
      </c>
      <c r="M82" s="72">
        <v>0.96</v>
      </c>
      <c r="N82" s="72">
        <v>0.73</v>
      </c>
      <c r="O82" s="72">
        <v>0.95</v>
      </c>
      <c r="P82" s="72">
        <v>1.1200000000000001</v>
      </c>
      <c r="Q82" s="72">
        <v>1.42</v>
      </c>
      <c r="R82" s="72">
        <v>0.93</v>
      </c>
      <c r="S82" s="72">
        <v>1.42</v>
      </c>
      <c r="T82" s="72">
        <v>1.1200000000000001</v>
      </c>
      <c r="U82" s="72">
        <v>1.55</v>
      </c>
      <c r="V82" s="72">
        <v>1.04</v>
      </c>
      <c r="W82" s="72">
        <v>0.87</v>
      </c>
      <c r="X82" s="72">
        <v>0.66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18.36</v>
      </c>
      <c r="C85" s="72">
        <v>17</v>
      </c>
      <c r="D85" s="72">
        <v>17.010000000000002</v>
      </c>
      <c r="E85" s="72">
        <v>18.28</v>
      </c>
      <c r="F85" s="72">
        <v>19.309999999999999</v>
      </c>
      <c r="G85" s="72">
        <v>17.79</v>
      </c>
      <c r="H85" s="72">
        <v>18.3</v>
      </c>
      <c r="I85" s="72">
        <v>19.27</v>
      </c>
      <c r="J85" s="72">
        <v>20.38</v>
      </c>
      <c r="K85" s="72">
        <v>19.239999999999998</v>
      </c>
      <c r="L85" s="72">
        <v>20.34</v>
      </c>
      <c r="M85" s="72">
        <v>21.71</v>
      </c>
      <c r="N85" s="72">
        <v>22.24</v>
      </c>
      <c r="O85" s="72">
        <v>20.02</v>
      </c>
      <c r="P85" s="72">
        <v>21.81</v>
      </c>
      <c r="Q85" s="72">
        <v>22.62</v>
      </c>
      <c r="R85" s="72">
        <v>23.52</v>
      </c>
      <c r="S85" s="72">
        <v>21.97</v>
      </c>
      <c r="T85" s="72">
        <v>22.56</v>
      </c>
      <c r="U85" s="72">
        <v>23.86</v>
      </c>
      <c r="V85" s="72">
        <v>24.08</v>
      </c>
      <c r="W85" s="72">
        <v>22.27</v>
      </c>
      <c r="X85" s="72">
        <v>23.14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969585</v>
      </c>
      <c r="C88" s="273">
        <v>972601</v>
      </c>
      <c r="D88" s="273">
        <v>970912</v>
      </c>
      <c r="E88" s="273">
        <v>1051982</v>
      </c>
      <c r="F88" s="273">
        <v>851994</v>
      </c>
      <c r="G88" s="273">
        <v>950948</v>
      </c>
      <c r="H88" s="273">
        <v>972326</v>
      </c>
      <c r="I88" s="273">
        <v>948295</v>
      </c>
      <c r="J88" s="273">
        <v>967984</v>
      </c>
      <c r="K88" s="273">
        <v>1167203</v>
      </c>
      <c r="L88" s="273">
        <v>1093453</v>
      </c>
      <c r="M88" s="273">
        <v>1244348</v>
      </c>
      <c r="N88" s="273">
        <v>1014992</v>
      </c>
      <c r="O88" s="273">
        <v>1058692</v>
      </c>
      <c r="P88" s="273">
        <v>1093490</v>
      </c>
      <c r="Q88" s="273">
        <v>1272055</v>
      </c>
      <c r="R88" s="273">
        <v>1175155</v>
      </c>
      <c r="S88" s="273">
        <v>1428286</v>
      </c>
      <c r="T88" s="273">
        <v>1268253</v>
      </c>
      <c r="U88" s="273">
        <v>1338273</v>
      </c>
      <c r="V88" s="273">
        <v>1234802</v>
      </c>
      <c r="W88" s="273">
        <v>1315211</v>
      </c>
      <c r="X88" s="273">
        <v>1365883</v>
      </c>
    </row>
    <row r="89" spans="1:25" ht="14.25" thickBot="1" x14ac:dyDescent="0.3">
      <c r="A89" s="250" t="s">
        <v>4</v>
      </c>
      <c r="B89" s="275">
        <v>260608</v>
      </c>
      <c r="C89" s="275">
        <v>266977</v>
      </c>
      <c r="D89" s="275">
        <v>272730</v>
      </c>
      <c r="E89" s="275">
        <v>338136</v>
      </c>
      <c r="F89" s="275">
        <v>249522</v>
      </c>
      <c r="G89" s="275">
        <v>269771</v>
      </c>
      <c r="H89" s="275">
        <v>261530</v>
      </c>
      <c r="I89" s="275">
        <v>267651</v>
      </c>
      <c r="J89" s="275">
        <v>318276</v>
      </c>
      <c r="K89" s="275">
        <v>419280</v>
      </c>
      <c r="L89" s="275">
        <v>275127</v>
      </c>
      <c r="M89" s="275">
        <v>350497</v>
      </c>
      <c r="N89" s="275">
        <v>292586</v>
      </c>
      <c r="O89" s="275">
        <v>314568</v>
      </c>
      <c r="P89" s="275">
        <v>287453</v>
      </c>
      <c r="Q89" s="275">
        <v>396188</v>
      </c>
      <c r="R89" s="275">
        <v>356654</v>
      </c>
      <c r="S89" s="275">
        <v>406541</v>
      </c>
      <c r="T89" s="275">
        <v>377594</v>
      </c>
      <c r="U89" s="275">
        <v>409393</v>
      </c>
      <c r="V89" s="275">
        <v>392101</v>
      </c>
      <c r="W89" s="275">
        <v>346348</v>
      </c>
      <c r="X89" s="275">
        <v>308461</v>
      </c>
    </row>
    <row r="90" spans="1:25" ht="14.25" thickBot="1" x14ac:dyDescent="0.3">
      <c r="A90" s="251" t="s">
        <v>5</v>
      </c>
      <c r="B90" s="273">
        <v>132174</v>
      </c>
      <c r="C90" s="273">
        <v>130972</v>
      </c>
      <c r="D90" s="273">
        <v>136111</v>
      </c>
      <c r="E90" s="273">
        <v>172152</v>
      </c>
      <c r="F90" s="273">
        <v>108399</v>
      </c>
      <c r="G90" s="273">
        <v>117134</v>
      </c>
      <c r="H90" s="273">
        <v>93440</v>
      </c>
      <c r="I90" s="273">
        <v>101957</v>
      </c>
      <c r="J90" s="273">
        <v>156735</v>
      </c>
      <c r="K90" s="273">
        <v>234757</v>
      </c>
      <c r="L90" s="273">
        <v>110287</v>
      </c>
      <c r="M90" s="273">
        <v>150597</v>
      </c>
      <c r="N90" s="273">
        <v>128126</v>
      </c>
      <c r="O90" s="273">
        <v>142835</v>
      </c>
      <c r="P90" s="273">
        <v>114818</v>
      </c>
      <c r="Q90" s="273">
        <v>207430</v>
      </c>
      <c r="R90" s="273">
        <v>180751</v>
      </c>
      <c r="S90" s="273">
        <v>196142</v>
      </c>
      <c r="T90" s="273">
        <v>196673</v>
      </c>
      <c r="U90" s="273">
        <v>204890</v>
      </c>
      <c r="V90" s="273">
        <v>205238</v>
      </c>
      <c r="W90" s="273">
        <v>148404</v>
      </c>
      <c r="X90" s="273">
        <v>113477</v>
      </c>
    </row>
    <row r="91" spans="1:25" ht="14.25" thickBot="1" x14ac:dyDescent="0.3">
      <c r="A91" s="250" t="s">
        <v>6</v>
      </c>
      <c r="B91" s="275">
        <v>138022</v>
      </c>
      <c r="C91" s="275">
        <v>141637</v>
      </c>
      <c r="D91" s="275">
        <v>144290</v>
      </c>
      <c r="E91" s="275">
        <v>175531</v>
      </c>
      <c r="F91" s="275">
        <v>122157</v>
      </c>
      <c r="G91" s="275">
        <v>118943</v>
      </c>
      <c r="H91" s="275">
        <v>101042</v>
      </c>
      <c r="I91" s="275">
        <v>112794</v>
      </c>
      <c r="J91" s="275">
        <v>170916</v>
      </c>
      <c r="K91" s="275">
        <v>232144</v>
      </c>
      <c r="L91" s="275">
        <v>124366</v>
      </c>
      <c r="M91" s="275">
        <v>182468</v>
      </c>
      <c r="N91" s="275">
        <v>129944</v>
      </c>
      <c r="O91" s="275">
        <v>143399</v>
      </c>
      <c r="P91" s="275">
        <v>167460</v>
      </c>
      <c r="Q91" s="275">
        <v>224104</v>
      </c>
      <c r="R91" s="275">
        <v>167593</v>
      </c>
      <c r="S91" s="275">
        <v>219856</v>
      </c>
      <c r="T91" s="275">
        <v>181055</v>
      </c>
      <c r="U91" s="275">
        <v>247771</v>
      </c>
      <c r="V91" s="275">
        <v>178380</v>
      </c>
      <c r="W91" s="275">
        <v>139615</v>
      </c>
      <c r="X91" s="275">
        <v>103763</v>
      </c>
    </row>
    <row r="92" spans="1:25" ht="14.25" thickBot="1" x14ac:dyDescent="0.3">
      <c r="A92" s="251" t="s">
        <v>7</v>
      </c>
      <c r="B92" s="273">
        <v>101997</v>
      </c>
      <c r="C92" s="273">
        <v>117959</v>
      </c>
      <c r="D92" s="273">
        <v>116974</v>
      </c>
      <c r="E92" s="273">
        <v>144277</v>
      </c>
      <c r="F92" s="273">
        <v>79127</v>
      </c>
      <c r="G92" s="273">
        <v>92492</v>
      </c>
      <c r="H92" s="273">
        <v>81017</v>
      </c>
      <c r="I92" s="273">
        <v>89196</v>
      </c>
      <c r="J92" s="273">
        <v>136370</v>
      </c>
      <c r="K92" s="273">
        <v>194582</v>
      </c>
      <c r="L92" s="273">
        <v>95470</v>
      </c>
      <c r="M92" s="273">
        <v>114850</v>
      </c>
      <c r="N92" s="273">
        <v>87580</v>
      </c>
      <c r="O92" s="273">
        <v>113365</v>
      </c>
      <c r="P92" s="273">
        <v>134065</v>
      </c>
      <c r="Q92" s="273">
        <v>169824</v>
      </c>
      <c r="R92" s="273">
        <v>111430</v>
      </c>
      <c r="S92" s="273">
        <v>169569</v>
      </c>
      <c r="T92" s="273">
        <v>134007</v>
      </c>
      <c r="U92" s="273">
        <v>185182</v>
      </c>
      <c r="V92" s="273">
        <v>124918</v>
      </c>
      <c r="W92" s="273">
        <v>104519</v>
      </c>
      <c r="X92" s="273">
        <v>79315</v>
      </c>
    </row>
    <row r="93" spans="1:25" ht="26.25" thickBot="1" x14ac:dyDescent="0.3">
      <c r="A93" s="252" t="s">
        <v>8</v>
      </c>
      <c r="B93" s="276">
        <v>101997</v>
      </c>
      <c r="C93" s="276">
        <v>117959</v>
      </c>
      <c r="D93" s="276">
        <v>116974</v>
      </c>
      <c r="E93" s="276">
        <v>144277</v>
      </c>
      <c r="F93" s="276">
        <v>79127</v>
      </c>
      <c r="G93" s="276">
        <v>92492</v>
      </c>
      <c r="H93" s="276">
        <v>81017</v>
      </c>
      <c r="I93" s="276">
        <v>89196</v>
      </c>
      <c r="J93" s="276">
        <v>136370</v>
      </c>
      <c r="K93" s="276">
        <v>194582</v>
      </c>
      <c r="L93" s="276">
        <v>95470</v>
      </c>
      <c r="M93" s="276">
        <v>114850</v>
      </c>
      <c r="N93" s="276">
        <v>87580</v>
      </c>
      <c r="O93" s="276">
        <v>113365</v>
      </c>
      <c r="P93" s="276">
        <v>134065</v>
      </c>
      <c r="Q93" s="276">
        <v>169824</v>
      </c>
      <c r="R93" s="276">
        <v>111430</v>
      </c>
      <c r="S93" s="276">
        <v>169569</v>
      </c>
      <c r="T93" s="276">
        <v>134007</v>
      </c>
      <c r="U93" s="276">
        <v>185182</v>
      </c>
      <c r="V93" s="276">
        <v>124918</v>
      </c>
      <c r="W93" s="276">
        <v>104519</v>
      </c>
      <c r="X93" s="276">
        <v>79315</v>
      </c>
    </row>
    <row r="94" spans="1:25" x14ac:dyDescent="0.25">
      <c r="A94" s="233" t="s">
        <v>365</v>
      </c>
      <c r="B94" s="253">
        <f>IF(B91="","",B91-B90)</f>
        <v>5848</v>
      </c>
      <c r="C94" s="253">
        <f>IF(C91="","",C91-C90)</f>
        <v>10665</v>
      </c>
      <c r="D94" s="253">
        <f t="shared" ref="D94:Y94" si="9">IF(D91="","",D91-D90)</f>
        <v>8179</v>
      </c>
      <c r="E94" s="253">
        <f t="shared" si="9"/>
        <v>3379</v>
      </c>
      <c r="F94" s="253">
        <f t="shared" si="9"/>
        <v>13758</v>
      </c>
      <c r="G94" s="253">
        <f t="shared" si="9"/>
        <v>1809</v>
      </c>
      <c r="H94" s="253">
        <f t="shared" si="9"/>
        <v>7602</v>
      </c>
      <c r="I94" s="253">
        <f t="shared" si="9"/>
        <v>10837</v>
      </c>
      <c r="J94" s="253">
        <f t="shared" si="9"/>
        <v>14181</v>
      </c>
      <c r="K94" s="253">
        <f t="shared" si="9"/>
        <v>-2613</v>
      </c>
      <c r="L94" s="253">
        <f t="shared" si="9"/>
        <v>14079</v>
      </c>
      <c r="M94" s="253">
        <f t="shared" si="9"/>
        <v>31871</v>
      </c>
      <c r="N94" s="253">
        <f t="shared" si="9"/>
        <v>1818</v>
      </c>
      <c r="O94" s="253">
        <f t="shared" si="9"/>
        <v>564</v>
      </c>
      <c r="P94" s="253">
        <f t="shared" si="9"/>
        <v>52642</v>
      </c>
      <c r="Q94" s="253">
        <f t="shared" si="9"/>
        <v>16674</v>
      </c>
      <c r="R94" s="253">
        <f t="shared" si="9"/>
        <v>-13158</v>
      </c>
      <c r="S94" s="253">
        <f t="shared" si="9"/>
        <v>23714</v>
      </c>
      <c r="T94" s="253">
        <f t="shared" si="9"/>
        <v>-15618</v>
      </c>
      <c r="U94" s="253">
        <f t="shared" si="9"/>
        <v>42881</v>
      </c>
      <c r="V94" s="253">
        <f t="shared" si="9"/>
        <v>-26858</v>
      </c>
      <c r="W94" s="253">
        <f t="shared" si="9"/>
        <v>-8789</v>
      </c>
      <c r="X94" s="253">
        <f t="shared" si="9"/>
        <v>-9714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3965080</v>
      </c>
      <c r="C97" s="273">
        <v>3723563</v>
      </c>
      <c r="D97" s="273">
        <v>4472988</v>
      </c>
      <c r="E97" s="273">
        <v>4439229</v>
      </c>
      <c r="F97" s="273">
        <v>5209967</v>
      </c>
    </row>
    <row r="98" spans="1:24" ht="14.25" thickBot="1" x14ac:dyDescent="0.3">
      <c r="A98" s="225" t="s">
        <v>4</v>
      </c>
      <c r="B98" s="275">
        <v>1138451</v>
      </c>
      <c r="C98" s="275">
        <v>1048474</v>
      </c>
      <c r="D98" s="275">
        <v>1363180</v>
      </c>
      <c r="E98" s="275">
        <v>1290795</v>
      </c>
      <c r="F98" s="275">
        <v>1550182</v>
      </c>
    </row>
    <row r="99" spans="1:24" ht="14.25" thickBot="1" x14ac:dyDescent="0.3">
      <c r="A99" s="224" t="s">
        <v>5</v>
      </c>
      <c r="B99" s="273">
        <v>571409</v>
      </c>
      <c r="C99" s="273">
        <v>420930</v>
      </c>
      <c r="D99" s="273">
        <v>652376</v>
      </c>
      <c r="E99" s="273">
        <v>593209</v>
      </c>
      <c r="F99" s="273">
        <v>778456</v>
      </c>
    </row>
    <row r="100" spans="1:24" ht="14.25" thickBot="1" x14ac:dyDescent="0.3">
      <c r="A100" s="225" t="s">
        <v>6</v>
      </c>
      <c r="B100" s="275">
        <v>599480</v>
      </c>
      <c r="C100" s="275">
        <v>454936</v>
      </c>
      <c r="D100" s="275">
        <v>709894</v>
      </c>
      <c r="E100" s="275">
        <v>664907</v>
      </c>
      <c r="F100" s="275">
        <v>816275</v>
      </c>
    </row>
    <row r="101" spans="1:24" ht="14.25" thickBot="1" x14ac:dyDescent="0.3">
      <c r="A101" s="224" t="s">
        <v>7</v>
      </c>
      <c r="B101" s="273">
        <v>481207</v>
      </c>
      <c r="C101" s="273">
        <v>341832</v>
      </c>
      <c r="D101" s="273">
        <v>541272</v>
      </c>
      <c r="E101" s="273">
        <v>504834</v>
      </c>
      <c r="F101" s="273">
        <v>600188</v>
      </c>
    </row>
    <row r="102" spans="1:24" ht="14.25" thickBot="1" x14ac:dyDescent="0.3">
      <c r="A102" s="227" t="s">
        <v>8</v>
      </c>
      <c r="B102" s="276">
        <v>481207</v>
      </c>
      <c r="C102" s="276">
        <v>341832</v>
      </c>
      <c r="D102" s="276">
        <v>541272</v>
      </c>
      <c r="E102" s="276">
        <v>504834</v>
      </c>
      <c r="F102" s="276">
        <v>600188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1554737</v>
      </c>
      <c r="C106" s="273">
        <v>1809244</v>
      </c>
      <c r="D106" s="273">
        <v>1500208</v>
      </c>
      <c r="E106" s="273">
        <v>1771432</v>
      </c>
      <c r="F106" s="273">
        <v>1881617</v>
      </c>
      <c r="G106" s="273">
        <v>1803368</v>
      </c>
      <c r="H106" s="273">
        <v>1471661</v>
      </c>
      <c r="I106" s="273">
        <v>1412215</v>
      </c>
      <c r="J106" s="273">
        <v>1463026</v>
      </c>
      <c r="K106" s="273">
        <v>1653017</v>
      </c>
      <c r="L106" s="273">
        <v>1605672</v>
      </c>
      <c r="M106" s="273">
        <v>1597947</v>
      </c>
      <c r="N106" s="273">
        <v>1701949</v>
      </c>
      <c r="O106" s="273">
        <v>1681154</v>
      </c>
      <c r="P106" s="273">
        <v>1617088</v>
      </c>
      <c r="Q106" s="273">
        <v>1434077</v>
      </c>
      <c r="R106" s="273">
        <v>1336842</v>
      </c>
      <c r="S106" s="273">
        <v>1473871</v>
      </c>
      <c r="T106" s="273">
        <v>1318421</v>
      </c>
      <c r="U106" s="273">
        <v>1298218</v>
      </c>
      <c r="V106" s="273">
        <v>1144458</v>
      </c>
      <c r="W106" s="273">
        <v>1263162</v>
      </c>
      <c r="X106" s="273">
        <v>1224501</v>
      </c>
    </row>
    <row r="107" spans="1:24" ht="14.25" thickBot="1" x14ac:dyDescent="0.3">
      <c r="A107" s="225" t="s">
        <v>22</v>
      </c>
      <c r="B107" s="274">
        <v>50</v>
      </c>
      <c r="C107" s="274">
        <v>0</v>
      </c>
      <c r="D107" s="275">
        <v>1279</v>
      </c>
      <c r="E107" s="274">
        <v>342</v>
      </c>
      <c r="F107" s="274">
        <v>0</v>
      </c>
      <c r="G107" s="274">
        <v>3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5">
        <v>63625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516126</v>
      </c>
      <c r="C108" s="273">
        <v>532880</v>
      </c>
      <c r="D108" s="273">
        <v>546503</v>
      </c>
      <c r="E108" s="273">
        <v>535419</v>
      </c>
      <c r="F108" s="273">
        <v>434995</v>
      </c>
      <c r="G108" s="273">
        <v>590329</v>
      </c>
      <c r="H108" s="273">
        <v>571801</v>
      </c>
      <c r="I108" s="273">
        <v>558674</v>
      </c>
      <c r="J108" s="273">
        <v>592695</v>
      </c>
      <c r="K108" s="273">
        <v>685997</v>
      </c>
      <c r="L108" s="273">
        <v>640016</v>
      </c>
      <c r="M108" s="273">
        <v>748610</v>
      </c>
      <c r="N108" s="273">
        <v>671313</v>
      </c>
      <c r="O108" s="273">
        <v>723433</v>
      </c>
      <c r="P108" s="273">
        <v>857337</v>
      </c>
      <c r="Q108" s="273">
        <v>1018122</v>
      </c>
      <c r="R108" s="273">
        <v>932192</v>
      </c>
      <c r="S108" s="273">
        <v>1052348</v>
      </c>
      <c r="T108" s="273">
        <v>959899</v>
      </c>
      <c r="U108" s="273">
        <v>1141785</v>
      </c>
      <c r="V108" s="273">
        <v>1062279</v>
      </c>
      <c r="W108" s="273">
        <v>1093036</v>
      </c>
      <c r="X108" s="273">
        <v>1143648</v>
      </c>
    </row>
    <row r="109" spans="1:24" ht="14.25" thickBot="1" x14ac:dyDescent="0.3">
      <c r="A109" s="225" t="s">
        <v>264</v>
      </c>
      <c r="B109" s="275">
        <v>416231</v>
      </c>
      <c r="C109" s="275">
        <v>310775</v>
      </c>
      <c r="D109" s="275">
        <v>365967</v>
      </c>
      <c r="E109" s="275">
        <v>367367</v>
      </c>
      <c r="F109" s="275">
        <v>407426</v>
      </c>
      <c r="G109" s="275">
        <v>385581</v>
      </c>
      <c r="H109" s="275">
        <v>429738</v>
      </c>
      <c r="I109" s="275">
        <v>377276</v>
      </c>
      <c r="J109" s="275">
        <v>531570</v>
      </c>
      <c r="K109" s="275">
        <v>683887</v>
      </c>
      <c r="L109" s="275">
        <v>552078</v>
      </c>
      <c r="M109" s="275">
        <v>599103</v>
      </c>
      <c r="N109" s="275">
        <v>585331</v>
      </c>
      <c r="O109" s="275">
        <v>452439</v>
      </c>
      <c r="P109" s="275">
        <v>400643</v>
      </c>
      <c r="Q109" s="275">
        <v>519745</v>
      </c>
      <c r="R109" s="275">
        <v>595739</v>
      </c>
      <c r="S109" s="275">
        <v>578788</v>
      </c>
      <c r="T109" s="275">
        <v>581105</v>
      </c>
      <c r="U109" s="275">
        <v>647505</v>
      </c>
      <c r="V109" s="275">
        <v>685358</v>
      </c>
      <c r="W109" s="275">
        <v>655829</v>
      </c>
      <c r="X109" s="275">
        <v>582985</v>
      </c>
    </row>
    <row r="110" spans="1:24" ht="14.25" thickBot="1" x14ac:dyDescent="0.3">
      <c r="A110" s="224" t="s">
        <v>23</v>
      </c>
      <c r="B110" s="273">
        <v>158428</v>
      </c>
      <c r="C110" s="273">
        <v>138696</v>
      </c>
      <c r="D110" s="273">
        <v>158157</v>
      </c>
      <c r="E110" s="273">
        <v>164617</v>
      </c>
      <c r="F110" s="273">
        <v>102669</v>
      </c>
      <c r="G110" s="273">
        <v>109109</v>
      </c>
      <c r="H110" s="273">
        <v>119619</v>
      </c>
      <c r="I110" s="273">
        <v>131137</v>
      </c>
      <c r="J110" s="273">
        <v>141071</v>
      </c>
      <c r="K110" s="273">
        <v>131276</v>
      </c>
      <c r="L110" s="273">
        <v>161995</v>
      </c>
      <c r="M110" s="273">
        <v>117279</v>
      </c>
      <c r="N110" s="273">
        <v>111221</v>
      </c>
      <c r="O110" s="273">
        <v>101579</v>
      </c>
      <c r="P110" s="273">
        <v>138300</v>
      </c>
      <c r="Q110" s="273">
        <v>114568</v>
      </c>
      <c r="R110" s="273">
        <v>107407</v>
      </c>
      <c r="S110" s="273">
        <v>135916</v>
      </c>
      <c r="T110" s="273">
        <v>116164</v>
      </c>
      <c r="U110" s="273">
        <v>133800</v>
      </c>
      <c r="V110" s="273">
        <v>136236</v>
      </c>
      <c r="W110" s="273">
        <v>135588</v>
      </c>
      <c r="X110" s="273">
        <v>130638</v>
      </c>
    </row>
    <row r="111" spans="1:24" ht="14.25" thickBot="1" x14ac:dyDescent="0.3">
      <c r="A111" s="225" t="s">
        <v>24</v>
      </c>
      <c r="B111" s="275">
        <v>2645572</v>
      </c>
      <c r="C111" s="275">
        <v>2791595</v>
      </c>
      <c r="D111" s="275">
        <v>2572114</v>
      </c>
      <c r="E111" s="275">
        <v>2839177</v>
      </c>
      <c r="F111" s="275">
        <v>2826707</v>
      </c>
      <c r="G111" s="275">
        <v>2888390</v>
      </c>
      <c r="H111" s="275">
        <v>2592819</v>
      </c>
      <c r="I111" s="275">
        <v>2479302</v>
      </c>
      <c r="J111" s="275">
        <v>2728362</v>
      </c>
      <c r="K111" s="275">
        <v>3154177</v>
      </c>
      <c r="L111" s="275">
        <v>2959761</v>
      </c>
      <c r="M111" s="275">
        <v>3126564</v>
      </c>
      <c r="N111" s="275">
        <v>3069814</v>
      </c>
      <c r="O111" s="275">
        <v>2958605</v>
      </c>
      <c r="P111" s="275">
        <v>3013368</v>
      </c>
      <c r="Q111" s="275">
        <v>3086512</v>
      </c>
      <c r="R111" s="275">
        <v>2972180</v>
      </c>
      <c r="S111" s="275">
        <v>3240923</v>
      </c>
      <c r="T111" s="275">
        <v>2975589</v>
      </c>
      <c r="U111" s="275">
        <v>3221308</v>
      </c>
      <c r="V111" s="275">
        <v>3028331</v>
      </c>
      <c r="W111" s="275">
        <v>3147615</v>
      </c>
      <c r="X111" s="275">
        <v>3081772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273">
        <v>31625</v>
      </c>
      <c r="V112" s="273">
        <v>31625</v>
      </c>
      <c r="W112" s="273">
        <v>31625</v>
      </c>
      <c r="X112" s="273">
        <v>31625</v>
      </c>
    </row>
    <row r="113" spans="1:24" ht="14.25" thickBot="1" x14ac:dyDescent="0.3">
      <c r="A113" s="225" t="s">
        <v>26</v>
      </c>
      <c r="B113" s="275">
        <v>835709</v>
      </c>
      <c r="C113" s="275">
        <v>813580</v>
      </c>
      <c r="D113" s="275">
        <v>791953</v>
      </c>
      <c r="E113" s="275">
        <v>774916</v>
      </c>
      <c r="F113" s="275">
        <v>798189</v>
      </c>
      <c r="G113" s="275">
        <v>785459</v>
      </c>
      <c r="H113" s="275">
        <v>1018847</v>
      </c>
      <c r="I113" s="275">
        <v>1107108</v>
      </c>
      <c r="J113" s="275">
        <v>1101142</v>
      </c>
      <c r="K113" s="275">
        <v>1201045</v>
      </c>
      <c r="L113" s="275">
        <v>1215073</v>
      </c>
      <c r="M113" s="275">
        <v>1243760</v>
      </c>
      <c r="N113" s="275">
        <v>1210410</v>
      </c>
      <c r="O113" s="275">
        <v>1204783</v>
      </c>
      <c r="P113" s="275">
        <v>1225115</v>
      </c>
      <c r="Q113" s="275">
        <v>1209024</v>
      </c>
      <c r="R113" s="275">
        <v>1207064</v>
      </c>
      <c r="S113" s="275">
        <v>1222258</v>
      </c>
      <c r="T113" s="275">
        <v>1231698</v>
      </c>
      <c r="U113" s="275">
        <v>1569099</v>
      </c>
      <c r="V113" s="275">
        <v>1546728</v>
      </c>
      <c r="W113" s="275">
        <v>1593383</v>
      </c>
      <c r="X113" s="275">
        <v>1669893</v>
      </c>
    </row>
    <row r="114" spans="1:24" ht="14.25" thickBot="1" x14ac:dyDescent="0.3">
      <c r="A114" s="224" t="s">
        <v>27</v>
      </c>
      <c r="B114" s="273">
        <v>113484</v>
      </c>
      <c r="C114" s="273">
        <v>114756</v>
      </c>
      <c r="D114" s="273">
        <v>113286</v>
      </c>
      <c r="E114" s="273">
        <v>123111</v>
      </c>
      <c r="F114" s="273">
        <v>132194</v>
      </c>
      <c r="G114" s="273">
        <v>259799</v>
      </c>
      <c r="H114" s="273">
        <v>250186</v>
      </c>
      <c r="I114" s="273">
        <v>271244</v>
      </c>
      <c r="J114" s="273">
        <v>288504</v>
      </c>
      <c r="K114" s="273">
        <v>186216</v>
      </c>
      <c r="L114" s="273">
        <v>192481</v>
      </c>
      <c r="M114" s="273">
        <v>206985</v>
      </c>
      <c r="N114" s="273">
        <v>201283</v>
      </c>
      <c r="O114" s="273">
        <v>171357</v>
      </c>
      <c r="P114" s="273">
        <v>183859</v>
      </c>
      <c r="Q114" s="273">
        <v>331052</v>
      </c>
      <c r="R114" s="273">
        <v>440031</v>
      </c>
      <c r="S114" s="273">
        <v>440544</v>
      </c>
      <c r="T114" s="273">
        <v>455192</v>
      </c>
      <c r="U114" s="273">
        <v>166114</v>
      </c>
      <c r="V114" s="273">
        <v>160328</v>
      </c>
      <c r="W114" s="273">
        <v>206092</v>
      </c>
      <c r="X114" s="273">
        <v>173787</v>
      </c>
    </row>
    <row r="115" spans="1:24" ht="14.25" thickBot="1" x14ac:dyDescent="0.3">
      <c r="A115" s="225" t="s">
        <v>265</v>
      </c>
      <c r="B115" s="276">
        <v>3594765</v>
      </c>
      <c r="C115" s="276">
        <v>3719931</v>
      </c>
      <c r="D115" s="276">
        <v>3477353</v>
      </c>
      <c r="E115" s="276">
        <v>3737204</v>
      </c>
      <c r="F115" s="276">
        <v>3757090</v>
      </c>
      <c r="G115" s="276">
        <v>3933648</v>
      </c>
      <c r="H115" s="276">
        <v>3861852</v>
      </c>
      <c r="I115" s="276">
        <v>3857654</v>
      </c>
      <c r="J115" s="276">
        <v>4118008</v>
      </c>
      <c r="K115" s="276">
        <v>4541438</v>
      </c>
      <c r="L115" s="276">
        <v>4367315</v>
      </c>
      <c r="M115" s="276">
        <v>4577309</v>
      </c>
      <c r="N115" s="276">
        <v>4481507</v>
      </c>
      <c r="O115" s="276">
        <v>4334745</v>
      </c>
      <c r="P115" s="276">
        <v>4422342</v>
      </c>
      <c r="Q115" s="276">
        <v>4626588</v>
      </c>
      <c r="R115" s="276">
        <v>4619275</v>
      </c>
      <c r="S115" s="276">
        <v>4903725</v>
      </c>
      <c r="T115" s="276">
        <v>4662479</v>
      </c>
      <c r="U115" s="276">
        <v>4988146</v>
      </c>
      <c r="V115" s="276">
        <v>4767012</v>
      </c>
      <c r="W115" s="276">
        <v>4978715</v>
      </c>
      <c r="X115" s="276">
        <v>4957077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118940</v>
      </c>
      <c r="C118" s="273">
        <v>120097</v>
      </c>
      <c r="D118" s="68">
        <v>0</v>
      </c>
      <c r="E118" s="273">
        <v>26136</v>
      </c>
      <c r="F118" s="68">
        <v>0</v>
      </c>
      <c r="G118" s="273">
        <v>51000</v>
      </c>
      <c r="H118" s="273">
        <v>109629</v>
      </c>
      <c r="I118" s="273">
        <v>199727</v>
      </c>
      <c r="J118" s="273">
        <v>176726</v>
      </c>
      <c r="K118" s="273">
        <v>265843</v>
      </c>
      <c r="L118" s="273">
        <v>506124</v>
      </c>
      <c r="M118" s="273">
        <v>221550</v>
      </c>
      <c r="N118" s="273">
        <v>249516</v>
      </c>
      <c r="O118" s="273">
        <v>154412</v>
      </c>
      <c r="P118" s="273">
        <v>231480</v>
      </c>
      <c r="Q118" s="273">
        <v>131350</v>
      </c>
      <c r="R118" s="273">
        <v>90518</v>
      </c>
      <c r="S118" s="273">
        <v>90384</v>
      </c>
      <c r="T118" s="273">
        <v>257808</v>
      </c>
      <c r="U118" s="273">
        <v>94500</v>
      </c>
      <c r="V118" s="273">
        <v>60660</v>
      </c>
      <c r="W118" s="273">
        <v>69807</v>
      </c>
      <c r="X118" s="273">
        <v>400066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668022</v>
      </c>
      <c r="C120" s="273">
        <v>641288</v>
      </c>
      <c r="D120" s="273">
        <v>776110</v>
      </c>
      <c r="E120" s="273">
        <v>792592</v>
      </c>
      <c r="F120" s="273">
        <v>697039</v>
      </c>
      <c r="G120" s="273">
        <v>711233</v>
      </c>
      <c r="H120" s="273">
        <v>700013</v>
      </c>
      <c r="I120" s="273">
        <v>664496</v>
      </c>
      <c r="J120" s="273">
        <v>767805</v>
      </c>
      <c r="K120" s="273">
        <v>889112</v>
      </c>
      <c r="L120" s="273">
        <v>683161</v>
      </c>
      <c r="M120" s="273">
        <v>898022</v>
      </c>
      <c r="N120" s="273">
        <v>723393</v>
      </c>
      <c r="O120" s="273">
        <v>611890</v>
      </c>
      <c r="P120" s="273">
        <v>742479</v>
      </c>
      <c r="Q120" s="273">
        <v>965045</v>
      </c>
      <c r="R120" s="273">
        <v>911584</v>
      </c>
      <c r="S120" s="273">
        <v>978472</v>
      </c>
      <c r="T120" s="273">
        <v>912369</v>
      </c>
      <c r="U120" s="273">
        <v>1129663</v>
      </c>
      <c r="V120" s="273">
        <v>979693</v>
      </c>
      <c r="W120" s="273">
        <v>1021879</v>
      </c>
      <c r="X120" s="273">
        <v>988239</v>
      </c>
    </row>
    <row r="121" spans="1:24" ht="14.25" thickBot="1" x14ac:dyDescent="0.3">
      <c r="A121" s="225" t="s">
        <v>267</v>
      </c>
      <c r="B121" s="275">
        <v>9524</v>
      </c>
      <c r="C121" s="275">
        <v>18582</v>
      </c>
      <c r="D121" s="275">
        <v>13937</v>
      </c>
      <c r="E121" s="275">
        <v>10400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273">
        <v>8176</v>
      </c>
      <c r="I122" s="273">
        <v>5701</v>
      </c>
      <c r="J122" s="273">
        <v>5882</v>
      </c>
      <c r="K122" s="273">
        <v>5820</v>
      </c>
      <c r="L122" s="273">
        <v>5982</v>
      </c>
      <c r="M122" s="273">
        <v>6281</v>
      </c>
      <c r="N122" s="273">
        <v>6270</v>
      </c>
      <c r="O122" s="273">
        <v>6220</v>
      </c>
      <c r="P122" s="273">
        <v>6706</v>
      </c>
      <c r="Q122" s="273">
        <v>6759</v>
      </c>
      <c r="R122" s="273">
        <v>6649</v>
      </c>
      <c r="S122" s="273">
        <v>6771</v>
      </c>
      <c r="T122" s="273">
        <v>6638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433477</v>
      </c>
      <c r="C123" s="275">
        <v>725734</v>
      </c>
      <c r="D123" s="275">
        <v>395995</v>
      </c>
      <c r="E123" s="275">
        <v>461423</v>
      </c>
      <c r="F123" s="275">
        <v>659032</v>
      </c>
      <c r="G123" s="275">
        <v>945741</v>
      </c>
      <c r="H123" s="275">
        <v>607519</v>
      </c>
      <c r="I123" s="275">
        <v>424016</v>
      </c>
      <c r="J123" s="275">
        <v>468338</v>
      </c>
      <c r="K123" s="275">
        <v>826914</v>
      </c>
      <c r="L123" s="275">
        <v>473814</v>
      </c>
      <c r="M123" s="275">
        <v>589703</v>
      </c>
      <c r="N123" s="275">
        <v>582153</v>
      </c>
      <c r="O123" s="275">
        <v>915324</v>
      </c>
      <c r="P123" s="275">
        <v>490138</v>
      </c>
      <c r="Q123" s="275">
        <v>546970</v>
      </c>
      <c r="R123" s="275">
        <v>549396</v>
      </c>
      <c r="S123" s="275">
        <v>957699</v>
      </c>
      <c r="T123" s="275">
        <v>560438</v>
      </c>
      <c r="U123" s="275">
        <v>668732</v>
      </c>
      <c r="V123" s="275">
        <v>635054</v>
      </c>
      <c r="W123" s="275">
        <v>1006063</v>
      </c>
      <c r="X123" s="275">
        <v>576790</v>
      </c>
    </row>
    <row r="124" spans="1:24" ht="14.25" thickBot="1" x14ac:dyDescent="0.3">
      <c r="A124" s="224" t="s">
        <v>268</v>
      </c>
      <c r="B124" s="273">
        <v>1229963</v>
      </c>
      <c r="C124" s="273">
        <v>1505701</v>
      </c>
      <c r="D124" s="273">
        <v>1186042</v>
      </c>
      <c r="E124" s="273">
        <v>1290551</v>
      </c>
      <c r="F124" s="273">
        <v>1356071</v>
      </c>
      <c r="G124" s="273">
        <v>1707974</v>
      </c>
      <c r="H124" s="273">
        <v>1425337</v>
      </c>
      <c r="I124" s="273">
        <v>1293940</v>
      </c>
      <c r="J124" s="273">
        <v>1418751</v>
      </c>
      <c r="K124" s="273">
        <v>1987689</v>
      </c>
      <c r="L124" s="273">
        <v>1669081</v>
      </c>
      <c r="M124" s="273">
        <v>1715556</v>
      </c>
      <c r="N124" s="273">
        <v>1561332</v>
      </c>
      <c r="O124" s="273">
        <v>1687846</v>
      </c>
      <c r="P124" s="273">
        <v>1470803</v>
      </c>
      <c r="Q124" s="273">
        <v>1650124</v>
      </c>
      <c r="R124" s="273">
        <v>1558147</v>
      </c>
      <c r="S124" s="273">
        <v>2033326</v>
      </c>
      <c r="T124" s="273">
        <v>1737253</v>
      </c>
      <c r="U124" s="273">
        <v>1892895</v>
      </c>
      <c r="V124" s="273">
        <v>1675407</v>
      </c>
      <c r="W124" s="273">
        <v>2097749</v>
      </c>
      <c r="X124" s="273">
        <v>1965095</v>
      </c>
    </row>
    <row r="125" spans="1:24" ht="14.25" thickBot="1" x14ac:dyDescent="0.3">
      <c r="A125" s="225" t="s">
        <v>32</v>
      </c>
      <c r="B125" s="275">
        <v>186725</v>
      </c>
      <c r="C125" s="275">
        <v>189066</v>
      </c>
      <c r="D125" s="275">
        <v>185396</v>
      </c>
      <c r="E125" s="275">
        <v>183751</v>
      </c>
      <c r="F125" s="275">
        <v>81534</v>
      </c>
      <c r="G125" s="275">
        <v>88075</v>
      </c>
      <c r="H125" s="275">
        <v>241715</v>
      </c>
      <c r="I125" s="275">
        <v>256340</v>
      </c>
      <c r="J125" s="275">
        <v>259243</v>
      </c>
      <c r="K125" s="275">
        <v>249873</v>
      </c>
      <c r="L125" s="275">
        <v>263389</v>
      </c>
      <c r="M125" s="275">
        <v>262801</v>
      </c>
      <c r="N125" s="275">
        <v>256897</v>
      </c>
      <c r="O125" s="275">
        <v>250178</v>
      </c>
      <c r="P125" s="275">
        <v>340640</v>
      </c>
      <c r="Q125" s="275">
        <v>268449</v>
      </c>
      <c r="R125" s="275">
        <v>244923</v>
      </c>
      <c r="S125" s="275">
        <v>240321</v>
      </c>
      <c r="T125" s="275">
        <v>224060</v>
      </c>
      <c r="U125" s="275">
        <v>238457</v>
      </c>
      <c r="V125" s="275">
        <v>208904</v>
      </c>
      <c r="W125" s="275">
        <v>215264</v>
      </c>
      <c r="X125" s="275">
        <v>220986</v>
      </c>
    </row>
    <row r="126" spans="1:24" ht="14.25" thickBot="1" x14ac:dyDescent="0.3">
      <c r="A126" s="224" t="s">
        <v>33</v>
      </c>
      <c r="B126" s="273">
        <v>57045</v>
      </c>
      <c r="C126" s="273">
        <v>61162</v>
      </c>
      <c r="D126" s="273">
        <v>62628</v>
      </c>
      <c r="E126" s="273">
        <v>66781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1473733</v>
      </c>
      <c r="C127" s="275">
        <v>1755929</v>
      </c>
      <c r="D127" s="275">
        <v>1434066</v>
      </c>
      <c r="E127" s="275">
        <v>1541083</v>
      </c>
      <c r="F127" s="275">
        <v>1437605</v>
      </c>
      <c r="G127" s="275">
        <v>1796049</v>
      </c>
      <c r="H127" s="275">
        <v>1667052</v>
      </c>
      <c r="I127" s="275">
        <v>1550280</v>
      </c>
      <c r="J127" s="275">
        <v>1677994</v>
      </c>
      <c r="K127" s="275">
        <v>2237562</v>
      </c>
      <c r="L127" s="275">
        <v>1932470</v>
      </c>
      <c r="M127" s="275">
        <v>1978357</v>
      </c>
      <c r="N127" s="275">
        <v>1818229</v>
      </c>
      <c r="O127" s="275">
        <v>1938024</v>
      </c>
      <c r="P127" s="275">
        <v>1811443</v>
      </c>
      <c r="Q127" s="275">
        <v>1918573</v>
      </c>
      <c r="R127" s="275">
        <v>1803070</v>
      </c>
      <c r="S127" s="275">
        <v>2273647</v>
      </c>
      <c r="T127" s="275">
        <v>1961313</v>
      </c>
      <c r="U127" s="275">
        <v>2131352</v>
      </c>
      <c r="V127" s="275">
        <v>1884311</v>
      </c>
      <c r="W127" s="275">
        <v>2313013</v>
      </c>
      <c r="X127" s="275">
        <v>2186081</v>
      </c>
    </row>
    <row r="128" spans="1:24" ht="14.25" thickBot="1" x14ac:dyDescent="0.3">
      <c r="A128" s="224" t="s">
        <v>34</v>
      </c>
      <c r="B128" s="273">
        <v>2121032</v>
      </c>
      <c r="C128" s="273">
        <v>1964002</v>
      </c>
      <c r="D128" s="273">
        <v>2043287</v>
      </c>
      <c r="E128" s="273">
        <v>2196121</v>
      </c>
      <c r="F128" s="273">
        <v>2319485</v>
      </c>
      <c r="G128" s="273">
        <v>2137599</v>
      </c>
      <c r="H128" s="273">
        <v>2194800</v>
      </c>
      <c r="I128" s="273">
        <v>2307374</v>
      </c>
      <c r="J128" s="273">
        <v>2440014</v>
      </c>
      <c r="K128" s="273">
        <v>2303876</v>
      </c>
      <c r="L128" s="273">
        <v>2434845</v>
      </c>
      <c r="M128" s="273">
        <v>2598952</v>
      </c>
      <c r="N128" s="273">
        <v>2663278</v>
      </c>
      <c r="O128" s="273">
        <v>2396721</v>
      </c>
      <c r="P128" s="273">
        <v>2610899</v>
      </c>
      <c r="Q128" s="273">
        <v>2708015</v>
      </c>
      <c r="R128" s="273">
        <v>2816205</v>
      </c>
      <c r="S128" s="273">
        <v>2630078</v>
      </c>
      <c r="T128" s="273">
        <v>2701166</v>
      </c>
      <c r="U128" s="273">
        <v>2856794</v>
      </c>
      <c r="V128" s="273">
        <v>2882701</v>
      </c>
      <c r="W128" s="273">
        <v>2665702</v>
      </c>
      <c r="X128" s="273">
        <v>2770996</v>
      </c>
    </row>
    <row r="129" spans="1:24" ht="14.25" thickBot="1" x14ac:dyDescent="0.3">
      <c r="A129" s="225" t="s">
        <v>35</v>
      </c>
      <c r="B129" s="276">
        <v>3594765</v>
      </c>
      <c r="C129" s="276">
        <v>3719931</v>
      </c>
      <c r="D129" s="276">
        <v>3477353</v>
      </c>
      <c r="E129" s="276">
        <v>3737204</v>
      </c>
      <c r="F129" s="276">
        <v>3757090</v>
      </c>
      <c r="G129" s="276">
        <v>3933648</v>
      </c>
      <c r="H129" s="276">
        <v>3861852</v>
      </c>
      <c r="I129" s="276">
        <v>3857654</v>
      </c>
      <c r="J129" s="276">
        <v>4118008</v>
      </c>
      <c r="K129" s="276">
        <v>4541438</v>
      </c>
      <c r="L129" s="276">
        <v>4367315</v>
      </c>
      <c r="M129" s="276">
        <v>4577309</v>
      </c>
      <c r="N129" s="276">
        <v>4481507</v>
      </c>
      <c r="O129" s="276">
        <v>4334745</v>
      </c>
      <c r="P129" s="276">
        <v>4422342</v>
      </c>
      <c r="Q129" s="276">
        <v>4626588</v>
      </c>
      <c r="R129" s="276">
        <v>4619275</v>
      </c>
      <c r="S129" s="276">
        <v>4903725</v>
      </c>
      <c r="T129" s="276">
        <v>4662479</v>
      </c>
      <c r="U129" s="276">
        <v>4988146</v>
      </c>
      <c r="V129" s="276">
        <v>4767012</v>
      </c>
      <c r="W129" s="276">
        <v>4978715</v>
      </c>
      <c r="X129" s="276">
        <v>4957077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6.19</v>
      </c>
      <c r="C132" s="68">
        <v>2.39</v>
      </c>
      <c r="D132" s="68">
        <v>5.42</v>
      </c>
      <c r="E132" s="68">
        <v>3.96</v>
      </c>
      <c r="F132" s="68">
        <v>6.05</v>
      </c>
    </row>
    <row r="133" spans="1:24" ht="14.25" thickBot="1" x14ac:dyDescent="0.3">
      <c r="A133" s="225" t="s">
        <v>37</v>
      </c>
      <c r="B133" s="274">
        <v>-0.51</v>
      </c>
      <c r="C133" s="274">
        <v>-4.5</v>
      </c>
      <c r="D133" s="274">
        <v>-1.56</v>
      </c>
      <c r="E133" s="274">
        <v>-1.51</v>
      </c>
      <c r="F133" s="274">
        <v>-3.41</v>
      </c>
    </row>
    <row r="134" spans="1:24" ht="14.25" thickBot="1" x14ac:dyDescent="0.3">
      <c r="A134" s="224" t="s">
        <v>38</v>
      </c>
      <c r="B134" s="68">
        <v>-3.2</v>
      </c>
      <c r="C134" s="68">
        <v>-1.32</v>
      </c>
      <c r="D134" s="68">
        <v>-2.37</v>
      </c>
      <c r="E134" s="68">
        <v>-3.68</v>
      </c>
      <c r="F134" s="68">
        <v>-3.07</v>
      </c>
    </row>
    <row r="135" spans="1:24" ht="14.25" thickBot="1" x14ac:dyDescent="0.3">
      <c r="A135" s="225" t="s">
        <v>270</v>
      </c>
      <c r="B135" s="274">
        <v>5.68</v>
      </c>
      <c r="C135" s="274">
        <v>-2.1</v>
      </c>
      <c r="D135" s="274">
        <v>3.86</v>
      </c>
      <c r="E135" s="274">
        <v>2.44</v>
      </c>
      <c r="F135" s="274">
        <v>2.65</v>
      </c>
    </row>
    <row r="136" spans="1:24" ht="14.25" thickBot="1" x14ac:dyDescent="0.3">
      <c r="A136" s="229" t="s">
        <v>39</v>
      </c>
      <c r="B136" s="72">
        <v>2.48</v>
      </c>
      <c r="C136" s="72">
        <v>-3.42</v>
      </c>
      <c r="D136" s="72">
        <v>1.49</v>
      </c>
      <c r="E136" s="72">
        <v>-1.24</v>
      </c>
      <c r="F136" s="72">
        <v>-0.42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2.5</v>
      </c>
      <c r="C140" s="68">
        <v>2.5</v>
      </c>
      <c r="D140" s="68">
        <v>3</v>
      </c>
      <c r="E140" s="68">
        <v>2.6</v>
      </c>
      <c r="F140" s="68">
        <v>3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0.6203473945409429</v>
      </c>
      <c r="C142" s="234">
        <f>IF(C140&lt;&gt;"無",IF(ISNA(HLOOKUP(C139,$B$64:$F$69,6,FALSE)),"",C140/HLOOKUP(C139,$B$64:$F$69,6,FALSE)),"")</f>
        <v>0.88028169014084512</v>
      </c>
      <c r="D142" s="234">
        <f>IF(D140&lt;&gt;"無",IF(ISNA(HLOOKUP(D139,$B$64:$F$69,6,FALSE)),"",D140/HLOOKUP(D139,$B$64:$F$69,6,FALSE)),"")</f>
        <v>0.66371681415929207</v>
      </c>
      <c r="E142" s="234">
        <f>IF(E140&lt;&gt;"無",IF(ISNA(HLOOKUP(E139,$B$64:$F$69,6,FALSE)),"",E140/HLOOKUP(E139,$B$64:$F$69,6,FALSE)),"")</f>
        <v>0.61611374407582942</v>
      </c>
      <c r="F142" s="234">
        <f>IF(F140&lt;&gt;"無",IF(ISNA(HLOOKUP(F139,$B$64:$F$69,6,FALSE)),"",F140/HLOOKUP(F139,$B$64:$F$69,6,FALSE)),"")</f>
        <v>0.59760956175298796</v>
      </c>
    </row>
    <row r="143" spans="1:24" x14ac:dyDescent="0.25">
      <c r="A143" s="233" t="s">
        <v>216</v>
      </c>
      <c r="B143" s="234">
        <f>IF(OR(B140=0,B140="無"),"",B135/B140)</f>
        <v>2.2719999999999998</v>
      </c>
      <c r="C143" s="234">
        <f>IF(OR(C140=0,C140="無"),"",C135/C140)</f>
        <v>-0.84000000000000008</v>
      </c>
      <c r="D143" s="234">
        <f>IF(OR(D140=0,D140="無"),"",D135/D140)</f>
        <v>1.2866666666666666</v>
      </c>
      <c r="E143" s="234">
        <f>IF(OR(E140=0,E140="無"),"",E135/E140)</f>
        <v>0.93846153846153846</v>
      </c>
      <c r="F143" s="234">
        <f>IF(OR(F140=0,F140="無"),"",F135/F140)</f>
        <v>0.8833333333333333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26.88</v>
      </c>
      <c r="C146" s="68">
        <v>27.45</v>
      </c>
      <c r="D146" s="68">
        <v>28.09</v>
      </c>
      <c r="E146" s="68">
        <v>32.14</v>
      </c>
      <c r="F146" s="68">
        <v>29.29</v>
      </c>
      <c r="G146" s="68">
        <v>28.37</v>
      </c>
      <c r="H146" s="68">
        <v>26.9</v>
      </c>
      <c r="I146" s="68">
        <v>28.22</v>
      </c>
      <c r="J146" s="68">
        <v>32.880000000000003</v>
      </c>
      <c r="K146" s="68">
        <v>35.92</v>
      </c>
      <c r="L146" s="68">
        <v>25.16</v>
      </c>
      <c r="M146" s="68">
        <v>28.17</v>
      </c>
      <c r="N146" s="68">
        <v>28.83</v>
      </c>
      <c r="O146" s="68">
        <v>29.71</v>
      </c>
      <c r="P146" s="68">
        <v>26.29</v>
      </c>
      <c r="Q146" s="68">
        <v>31.15</v>
      </c>
      <c r="R146" s="68">
        <v>30.35</v>
      </c>
      <c r="S146" s="68">
        <v>28.46</v>
      </c>
      <c r="T146" s="68">
        <v>29.77</v>
      </c>
      <c r="U146" s="68">
        <v>30.59</v>
      </c>
      <c r="V146" s="68">
        <v>31.75</v>
      </c>
      <c r="W146" s="68">
        <v>26.33</v>
      </c>
      <c r="X146" s="68">
        <v>22.58</v>
      </c>
    </row>
    <row r="147" spans="1:24" s="93" customFormat="1" ht="14.25" thickBot="1" x14ac:dyDescent="0.3">
      <c r="A147" s="225" t="s">
        <v>19</v>
      </c>
      <c r="B147" s="274">
        <v>13.63</v>
      </c>
      <c r="C147" s="274">
        <v>13.47</v>
      </c>
      <c r="D147" s="274">
        <v>14.02</v>
      </c>
      <c r="E147" s="274">
        <v>16.36</v>
      </c>
      <c r="F147" s="274">
        <v>12.72</v>
      </c>
      <c r="G147" s="274">
        <v>12.32</v>
      </c>
      <c r="H147" s="274">
        <v>9.61</v>
      </c>
      <c r="I147" s="274">
        <v>10.75</v>
      </c>
      <c r="J147" s="274">
        <v>16.190000000000001</v>
      </c>
      <c r="K147" s="274">
        <v>20.11</v>
      </c>
      <c r="L147" s="274">
        <v>10.09</v>
      </c>
      <c r="M147" s="274">
        <v>12.1</v>
      </c>
      <c r="N147" s="274">
        <v>12.62</v>
      </c>
      <c r="O147" s="274">
        <v>13.49</v>
      </c>
      <c r="P147" s="274">
        <v>10.5</v>
      </c>
      <c r="Q147" s="274">
        <v>16.309999999999999</v>
      </c>
      <c r="R147" s="274">
        <v>15.38</v>
      </c>
      <c r="S147" s="274">
        <v>13.73</v>
      </c>
      <c r="T147" s="274">
        <v>15.51</v>
      </c>
      <c r="U147" s="274">
        <v>15.31</v>
      </c>
      <c r="V147" s="274">
        <v>16.62</v>
      </c>
      <c r="W147" s="274">
        <v>11.28</v>
      </c>
      <c r="X147" s="274">
        <v>8.31</v>
      </c>
    </row>
    <row r="148" spans="1:24" s="93" customFormat="1" ht="14.25" thickBot="1" x14ac:dyDescent="0.3">
      <c r="A148" s="224" t="s">
        <v>41</v>
      </c>
      <c r="B148" s="68">
        <v>14.24</v>
      </c>
      <c r="C148" s="68">
        <v>14.56</v>
      </c>
      <c r="D148" s="68">
        <v>14.86</v>
      </c>
      <c r="E148" s="68">
        <v>16.690000000000001</v>
      </c>
      <c r="F148" s="68">
        <v>14.34</v>
      </c>
      <c r="G148" s="68">
        <v>12.51</v>
      </c>
      <c r="H148" s="68">
        <v>10.39</v>
      </c>
      <c r="I148" s="68">
        <v>11.89</v>
      </c>
      <c r="J148" s="68">
        <v>17.66</v>
      </c>
      <c r="K148" s="68">
        <v>19.89</v>
      </c>
      <c r="L148" s="68">
        <v>11.37</v>
      </c>
      <c r="M148" s="68">
        <v>14.66</v>
      </c>
      <c r="N148" s="68">
        <v>12.8</v>
      </c>
      <c r="O148" s="68">
        <v>13.54</v>
      </c>
      <c r="P148" s="68">
        <v>15.31</v>
      </c>
      <c r="Q148" s="68">
        <v>17.62</v>
      </c>
      <c r="R148" s="68">
        <v>14.26</v>
      </c>
      <c r="S148" s="68">
        <v>15.39</v>
      </c>
      <c r="T148" s="68">
        <v>14.28</v>
      </c>
      <c r="U148" s="68">
        <v>18.510000000000002</v>
      </c>
      <c r="V148" s="68">
        <v>14.45</v>
      </c>
      <c r="W148" s="68">
        <v>10.62</v>
      </c>
      <c r="X148" s="68">
        <v>7.6</v>
      </c>
    </row>
    <row r="149" spans="1:24" s="93" customFormat="1" ht="14.25" thickBot="1" x14ac:dyDescent="0.3">
      <c r="A149" s="225" t="s">
        <v>13</v>
      </c>
      <c r="B149" s="73">
        <v>10.52</v>
      </c>
      <c r="C149" s="73">
        <v>12.13</v>
      </c>
      <c r="D149" s="73">
        <v>12.05</v>
      </c>
      <c r="E149" s="73">
        <v>13.71</v>
      </c>
      <c r="F149" s="73">
        <v>9.2899999999999991</v>
      </c>
      <c r="G149" s="73">
        <v>9.73</v>
      </c>
      <c r="H149" s="73">
        <v>8.33</v>
      </c>
      <c r="I149" s="73">
        <v>9.41</v>
      </c>
      <c r="J149" s="73">
        <v>14.09</v>
      </c>
      <c r="K149" s="73">
        <v>16.670000000000002</v>
      </c>
      <c r="L149" s="73">
        <v>8.73</v>
      </c>
      <c r="M149" s="73">
        <v>9.23</v>
      </c>
      <c r="N149" s="73">
        <v>8.6300000000000008</v>
      </c>
      <c r="O149" s="73">
        <v>10.71</v>
      </c>
      <c r="P149" s="73">
        <v>12.26</v>
      </c>
      <c r="Q149" s="73">
        <v>13.35</v>
      </c>
      <c r="R149" s="73">
        <v>9.48</v>
      </c>
      <c r="S149" s="73">
        <v>11.87</v>
      </c>
      <c r="T149" s="73">
        <v>10.57</v>
      </c>
      <c r="U149" s="73">
        <v>13.84</v>
      </c>
      <c r="V149" s="73">
        <v>10.119999999999999</v>
      </c>
      <c r="W149" s="73">
        <v>7.95</v>
      </c>
      <c r="X149" s="73">
        <v>5.81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28.71</v>
      </c>
      <c r="C152" s="68">
        <v>28.16</v>
      </c>
      <c r="D152" s="68">
        <v>30.48</v>
      </c>
      <c r="E152" s="68">
        <v>29.08</v>
      </c>
      <c r="F152" s="68">
        <v>29.75</v>
      </c>
    </row>
    <row r="153" spans="1:24" s="93" customFormat="1" ht="14.25" thickBot="1" x14ac:dyDescent="0.3">
      <c r="A153" s="225" t="s">
        <v>19</v>
      </c>
      <c r="B153" s="274">
        <v>14.41</v>
      </c>
      <c r="C153" s="274">
        <v>11.3</v>
      </c>
      <c r="D153" s="274">
        <v>14.58</v>
      </c>
      <c r="E153" s="274">
        <v>13.36</v>
      </c>
      <c r="F153" s="274">
        <v>14.94</v>
      </c>
    </row>
    <row r="154" spans="1:24" s="93" customFormat="1" ht="14.25" thickBot="1" x14ac:dyDescent="0.3">
      <c r="A154" s="224" t="s">
        <v>41</v>
      </c>
      <c r="B154" s="68">
        <v>15.12</v>
      </c>
      <c r="C154" s="68">
        <v>12.22</v>
      </c>
      <c r="D154" s="68">
        <v>15.87</v>
      </c>
      <c r="E154" s="68">
        <v>14.98</v>
      </c>
      <c r="F154" s="68">
        <v>15.67</v>
      </c>
    </row>
    <row r="155" spans="1:24" s="93" customFormat="1" ht="14.25" thickBot="1" x14ac:dyDescent="0.3">
      <c r="A155" s="225" t="s">
        <v>13</v>
      </c>
      <c r="B155" s="73">
        <v>12.14</v>
      </c>
      <c r="C155" s="73">
        <v>9.18</v>
      </c>
      <c r="D155" s="73">
        <v>12.1</v>
      </c>
      <c r="E155" s="73">
        <v>11.37</v>
      </c>
      <c r="F155" s="73">
        <v>11.52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2.87</v>
      </c>
      <c r="C158" s="68">
        <v>3.26</v>
      </c>
      <c r="D158" s="68">
        <v>3.29</v>
      </c>
      <c r="E158" s="68">
        <v>4.0199999999999996</v>
      </c>
      <c r="F158" s="68">
        <v>2.12</v>
      </c>
      <c r="G158" s="68">
        <v>2.42</v>
      </c>
      <c r="H158" s="68">
        <v>2.1</v>
      </c>
      <c r="I158" s="68">
        <v>2.36</v>
      </c>
      <c r="J158" s="68">
        <v>3.46</v>
      </c>
      <c r="K158" s="68">
        <v>4.54</v>
      </c>
      <c r="L158" s="68">
        <v>2.19</v>
      </c>
      <c r="M158" s="68">
        <v>2.61</v>
      </c>
      <c r="N158" s="68">
        <v>1.96</v>
      </c>
      <c r="O158" s="68">
        <v>2.6</v>
      </c>
      <c r="P158" s="68">
        <v>3.12</v>
      </c>
      <c r="Q158" s="68">
        <v>3.79</v>
      </c>
      <c r="R158" s="68">
        <v>2.44</v>
      </c>
      <c r="S158" s="68">
        <v>3.59</v>
      </c>
      <c r="T158" s="68">
        <v>2.83</v>
      </c>
      <c r="U158" s="68">
        <v>3.87</v>
      </c>
      <c r="V158" s="68">
        <v>2.59</v>
      </c>
      <c r="W158" s="68">
        <v>2.17</v>
      </c>
      <c r="X158" s="68">
        <v>1.63</v>
      </c>
    </row>
    <row r="159" spans="1:24" s="93" customFormat="1" ht="14.25" thickBot="1" x14ac:dyDescent="0.3">
      <c r="A159" s="225" t="s">
        <v>45</v>
      </c>
      <c r="B159" s="73">
        <v>4.88</v>
      </c>
      <c r="C159" s="73">
        <v>5.78</v>
      </c>
      <c r="D159" s="73">
        <v>5.84</v>
      </c>
      <c r="E159" s="73">
        <v>6.81</v>
      </c>
      <c r="F159" s="73">
        <v>3.5</v>
      </c>
      <c r="G159" s="73">
        <v>4.1500000000000004</v>
      </c>
      <c r="H159" s="73">
        <v>3.74</v>
      </c>
      <c r="I159" s="73">
        <v>3.96</v>
      </c>
      <c r="J159" s="73">
        <v>5.75</v>
      </c>
      <c r="K159" s="73">
        <v>8.1999999999999993</v>
      </c>
      <c r="L159" s="73">
        <v>4.03</v>
      </c>
      <c r="M159" s="73">
        <v>4.5599999999999996</v>
      </c>
      <c r="N159" s="73">
        <v>3.33</v>
      </c>
      <c r="O159" s="73">
        <v>4.4800000000000004</v>
      </c>
      <c r="P159" s="73">
        <v>5.35</v>
      </c>
      <c r="Q159" s="73">
        <v>6.39</v>
      </c>
      <c r="R159" s="73">
        <v>4.03</v>
      </c>
      <c r="S159" s="73">
        <v>6.23</v>
      </c>
      <c r="T159" s="73">
        <v>5.03</v>
      </c>
      <c r="U159" s="73">
        <v>6.66</v>
      </c>
      <c r="V159" s="73">
        <v>4.3499999999999996</v>
      </c>
      <c r="W159" s="73">
        <v>3.77</v>
      </c>
      <c r="X159" s="73">
        <v>2.92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12.14</v>
      </c>
      <c r="C162" s="68">
        <v>9.18</v>
      </c>
      <c r="D162" s="68">
        <v>12.1</v>
      </c>
      <c r="E162" s="68">
        <v>11.37</v>
      </c>
      <c r="F162" s="68">
        <v>11.52</v>
      </c>
    </row>
    <row r="163" spans="1:72" s="93" customFormat="1" ht="14.25" thickBot="1" x14ac:dyDescent="0.3">
      <c r="A163" s="225" t="s">
        <v>18</v>
      </c>
      <c r="B163" s="274">
        <v>1.06</v>
      </c>
      <c r="C163" s="274">
        <v>0.97</v>
      </c>
      <c r="D163" s="274">
        <v>0.98</v>
      </c>
      <c r="E163" s="274">
        <v>0.96</v>
      </c>
      <c r="F163" s="274">
        <v>1.04</v>
      </c>
    </row>
    <row r="164" spans="1:72" s="93" customFormat="1" ht="14.25" thickBot="1" x14ac:dyDescent="0.3">
      <c r="A164" s="224" t="s">
        <v>15</v>
      </c>
      <c r="B164" s="68">
        <v>1.7</v>
      </c>
      <c r="C164" s="68">
        <v>1.67</v>
      </c>
      <c r="D164" s="68">
        <v>1.76</v>
      </c>
      <c r="E164" s="68">
        <v>1.71</v>
      </c>
      <c r="F164" s="68">
        <v>1.75</v>
      </c>
    </row>
    <row r="165" spans="1:72" s="93" customFormat="1" ht="14.25" thickBot="1" x14ac:dyDescent="0.3">
      <c r="A165" s="225" t="s">
        <v>45</v>
      </c>
      <c r="B165" s="73">
        <v>22.62</v>
      </c>
      <c r="C165" s="73">
        <v>15.18</v>
      </c>
      <c r="D165" s="73">
        <v>22.06</v>
      </c>
      <c r="E165" s="73">
        <v>19.03</v>
      </c>
      <c r="F165" s="73">
        <v>21.57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46.15</v>
      </c>
      <c r="C168" s="68">
        <v>48.65</v>
      </c>
      <c r="D168" s="68">
        <v>50</v>
      </c>
      <c r="E168" s="68">
        <v>46.39</v>
      </c>
      <c r="F168" s="68">
        <v>51.14</v>
      </c>
      <c r="G168" s="68">
        <v>48.65</v>
      </c>
      <c r="H168" s="68">
        <v>53.89</v>
      </c>
      <c r="I168" s="68">
        <v>53.57</v>
      </c>
      <c r="J168" s="68">
        <v>53.57</v>
      </c>
      <c r="K168" s="68">
        <v>49.18</v>
      </c>
      <c r="L168" s="68">
        <v>54.55</v>
      </c>
      <c r="M168" s="68">
        <v>50.28</v>
      </c>
      <c r="N168" s="68">
        <v>62.94</v>
      </c>
      <c r="O168" s="68">
        <v>59.21</v>
      </c>
      <c r="P168" s="68">
        <v>65.22</v>
      </c>
      <c r="Q168" s="68">
        <v>66.180000000000007</v>
      </c>
      <c r="R168" s="68">
        <v>74.38</v>
      </c>
      <c r="S168" s="68">
        <v>62.5</v>
      </c>
      <c r="T168" s="68">
        <v>71.430000000000007</v>
      </c>
      <c r="U168" s="68">
        <v>70.87</v>
      </c>
      <c r="V168" s="68">
        <v>80.36</v>
      </c>
      <c r="W168" s="68">
        <v>73.77</v>
      </c>
      <c r="X168" s="68">
        <v>73.77</v>
      </c>
    </row>
    <row r="169" spans="1:72" s="93" customFormat="1" ht="14.25" thickBot="1" x14ac:dyDescent="0.3">
      <c r="A169" s="225" t="s">
        <v>17</v>
      </c>
      <c r="B169" s="274">
        <v>56.25</v>
      </c>
      <c r="C169" s="274">
        <v>46.39</v>
      </c>
      <c r="D169" s="274">
        <v>43.69</v>
      </c>
      <c r="E169" s="274">
        <v>46.15</v>
      </c>
      <c r="F169" s="274">
        <v>57.69</v>
      </c>
      <c r="G169" s="274">
        <v>52.33</v>
      </c>
      <c r="H169" s="274">
        <v>51.72</v>
      </c>
      <c r="I169" s="274">
        <v>53.25</v>
      </c>
      <c r="J169" s="274">
        <v>62.94</v>
      </c>
      <c r="K169" s="274">
        <v>73.17</v>
      </c>
      <c r="L169" s="274">
        <v>68.180000000000007</v>
      </c>
      <c r="M169" s="274">
        <v>58.06</v>
      </c>
      <c r="N169" s="274">
        <v>73.77</v>
      </c>
      <c r="O169" s="274">
        <v>62.94</v>
      </c>
      <c r="P169" s="274">
        <v>47.62</v>
      </c>
      <c r="Q169" s="274">
        <v>47.37</v>
      </c>
      <c r="R169" s="274">
        <v>61.22</v>
      </c>
      <c r="S169" s="274">
        <v>51.72</v>
      </c>
      <c r="T169" s="274">
        <v>58.44</v>
      </c>
      <c r="U169" s="274">
        <v>59.6</v>
      </c>
      <c r="V169" s="274">
        <v>71.430000000000007</v>
      </c>
      <c r="W169" s="274">
        <v>62.5</v>
      </c>
      <c r="X169" s="274">
        <v>52.63</v>
      </c>
    </row>
    <row r="170" spans="1:72" s="93" customFormat="1" ht="14.25" thickBot="1" x14ac:dyDescent="0.3">
      <c r="A170" s="224" t="s">
        <v>42</v>
      </c>
      <c r="B170" s="72">
        <v>102.4</v>
      </c>
      <c r="C170" s="72">
        <v>95.04</v>
      </c>
      <c r="D170" s="72">
        <v>93.69</v>
      </c>
      <c r="E170" s="72">
        <v>92.55</v>
      </c>
      <c r="F170" s="72">
        <v>108.83</v>
      </c>
      <c r="G170" s="72">
        <v>100.97</v>
      </c>
      <c r="H170" s="72">
        <v>105.62</v>
      </c>
      <c r="I170" s="72">
        <v>106.83</v>
      </c>
      <c r="J170" s="72">
        <v>116.51</v>
      </c>
      <c r="K170" s="72">
        <v>122.35</v>
      </c>
      <c r="L170" s="72">
        <v>122.73</v>
      </c>
      <c r="M170" s="72">
        <v>108.34</v>
      </c>
      <c r="N170" s="72">
        <v>136.71</v>
      </c>
      <c r="O170" s="72">
        <v>122.15</v>
      </c>
      <c r="P170" s="72">
        <v>112.84</v>
      </c>
      <c r="Q170" s="72">
        <v>113.54</v>
      </c>
      <c r="R170" s="72">
        <v>135.6</v>
      </c>
      <c r="S170" s="72">
        <v>114.22</v>
      </c>
      <c r="T170" s="72">
        <v>129.87</v>
      </c>
      <c r="U170" s="72">
        <v>130.47</v>
      </c>
      <c r="V170" s="72">
        <v>151.79</v>
      </c>
      <c r="W170" s="72">
        <v>136.27000000000001</v>
      </c>
      <c r="X170" s="72">
        <v>126.4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154.77000000000001</v>
      </c>
      <c r="C173" s="72">
        <v>84.4</v>
      </c>
      <c r="D173" s="72">
        <v>119.82</v>
      </c>
      <c r="E173" s="72">
        <v>93.73</v>
      </c>
      <c r="F173" s="72">
        <v>120.82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8.14</v>
      </c>
      <c r="C176" s="72">
        <v>9.42</v>
      </c>
      <c r="D176" s="72">
        <v>10.210000000000001</v>
      </c>
      <c r="E176" s="72">
        <v>9.82</v>
      </c>
      <c r="F176" s="72">
        <v>9.84</v>
      </c>
      <c r="G176" s="72">
        <v>8.86</v>
      </c>
      <c r="H176" s="72">
        <v>8.75</v>
      </c>
      <c r="I176" s="72">
        <v>9</v>
      </c>
      <c r="J176" s="72">
        <v>9.15</v>
      </c>
      <c r="K176" s="72">
        <v>8.7799999999999994</v>
      </c>
      <c r="L176" s="72">
        <v>8.83</v>
      </c>
      <c r="M176" s="72">
        <v>9.34</v>
      </c>
      <c r="N176" s="72">
        <v>9.94</v>
      </c>
      <c r="O176" s="72">
        <v>10.59</v>
      </c>
      <c r="P176" s="72">
        <v>10.52</v>
      </c>
      <c r="Q176" s="72">
        <v>9.0399999999999991</v>
      </c>
      <c r="R176" s="72">
        <v>9.2100000000000009</v>
      </c>
      <c r="S176" s="72">
        <v>9.19</v>
      </c>
      <c r="T176" s="72">
        <v>8.77</v>
      </c>
      <c r="U176" s="72">
        <v>8.81</v>
      </c>
      <c r="V176" s="72">
        <v>8.67</v>
      </c>
      <c r="W176" s="72">
        <v>8.86</v>
      </c>
      <c r="X176" s="72">
        <v>9.5299999999999994</v>
      </c>
      <c r="Y176" s="72">
        <v>9.91</v>
      </c>
      <c r="Z176" s="72">
        <v>10.77</v>
      </c>
      <c r="AA176" s="72">
        <v>10.76</v>
      </c>
      <c r="AB176" s="72">
        <v>12.67</v>
      </c>
      <c r="AC176" s="72">
        <v>14.5</v>
      </c>
      <c r="AD176" s="72">
        <v>14.57</v>
      </c>
      <c r="AE176" s="72">
        <v>17.559999999999999</v>
      </c>
      <c r="AF176" s="72">
        <v>18.899999999999999</v>
      </c>
      <c r="AG176" s="72">
        <v>14.86</v>
      </c>
      <c r="AH176" s="72">
        <v>14.14</v>
      </c>
      <c r="AI176" s="72">
        <v>11.43</v>
      </c>
      <c r="AJ176" s="72">
        <v>11.2</v>
      </c>
      <c r="AK176" s="72">
        <v>12.52</v>
      </c>
      <c r="AL176" s="72">
        <v>13.08</v>
      </c>
      <c r="AM176" s="72">
        <v>12.52</v>
      </c>
      <c r="AN176" s="72">
        <v>11.98</v>
      </c>
      <c r="AO176" s="72">
        <v>11.89</v>
      </c>
      <c r="AP176" s="72">
        <v>11.21</v>
      </c>
      <c r="AQ176" s="72">
        <v>10.130000000000001</v>
      </c>
      <c r="AR176" s="72">
        <v>8.69</v>
      </c>
      <c r="AS176" s="72">
        <v>8.9600000000000009</v>
      </c>
      <c r="AT176" s="72">
        <v>10.07</v>
      </c>
      <c r="AU176" s="72">
        <v>10.99</v>
      </c>
      <c r="AV176" s="72">
        <v>9.8699999999999992</v>
      </c>
      <c r="AW176" s="72">
        <v>11.34</v>
      </c>
      <c r="AX176" s="72">
        <v>10.3</v>
      </c>
      <c r="AY176" s="72">
        <v>10.58</v>
      </c>
      <c r="AZ176" s="72">
        <v>10.18</v>
      </c>
      <c r="BA176" s="72">
        <v>11.82</v>
      </c>
      <c r="BB176" s="72">
        <v>12.06</v>
      </c>
      <c r="BC176" s="72">
        <v>13.1</v>
      </c>
      <c r="BD176" s="72">
        <v>13.29</v>
      </c>
      <c r="BE176" s="72">
        <v>11.25</v>
      </c>
      <c r="BF176" s="72">
        <v>10.73</v>
      </c>
      <c r="BG176" s="72">
        <v>10.86</v>
      </c>
      <c r="BH176" s="72">
        <v>10.44</v>
      </c>
      <c r="BI176" s="72">
        <v>10.65</v>
      </c>
      <c r="BJ176" s="72">
        <v>10.43</v>
      </c>
      <c r="BK176" s="72">
        <v>11.21</v>
      </c>
      <c r="BL176" s="72">
        <v>11.29</v>
      </c>
      <c r="BM176" s="72">
        <v>10.67</v>
      </c>
      <c r="BN176" s="72">
        <v>10.65</v>
      </c>
      <c r="BO176" s="72">
        <v>10.93</v>
      </c>
      <c r="BP176" s="72">
        <v>10.14</v>
      </c>
      <c r="BQ176" s="72">
        <v>10.96</v>
      </c>
      <c r="BR176" s="72">
        <v>11.25</v>
      </c>
      <c r="BS176" s="72">
        <v>10.94</v>
      </c>
      <c r="BT176" s="72">
        <v>11.05</v>
      </c>
    </row>
  </sheetData>
  <phoneticPr fontId="3" type="noConversion"/>
  <conditionalFormatting sqref="E4">
    <cfRule type="cellIs" dxfId="1199" priority="103" operator="greaterThan">
      <formula>0.2</formula>
    </cfRule>
    <cfRule type="cellIs" dxfId="119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119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196" priority="97" operator="greaterThan">
      <formula>$B$19</formula>
    </cfRule>
  </conditionalFormatting>
  <conditionalFormatting sqref="D33:D34">
    <cfRule type="cellIs" dxfId="119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1194" priority="91" operator="lessThan">
      <formula>$H$62</formula>
    </cfRule>
    <cfRule type="cellIs" dxfId="1193" priority="92" operator="greaterThan">
      <formula>$H$62</formula>
    </cfRule>
  </conditionalFormatting>
  <conditionalFormatting sqref="J62">
    <cfRule type="cellIs" dxfId="1192" priority="89" operator="lessThan">
      <formula>$K$62</formula>
    </cfRule>
    <cfRule type="cellIs" dxfId="1191" priority="90" operator="greaterThan">
      <formula>$K$62</formula>
    </cfRule>
  </conditionalFormatting>
  <conditionalFormatting sqref="M62">
    <cfRule type="cellIs" dxfId="1190" priority="87" operator="lessThan">
      <formula>$N$62</formula>
    </cfRule>
    <cfRule type="cellIs" dxfId="1189" priority="88" operator="greaterThan">
      <formula>$N$62</formula>
    </cfRule>
  </conditionalFormatting>
  <conditionalFormatting sqref="B44:E44">
    <cfRule type="cellIs" dxfId="1188" priority="85" operator="greaterThan">
      <formula>0</formula>
    </cfRule>
    <cfRule type="cellIs" dxfId="1187" priority="86" operator="lessThan">
      <formula>0</formula>
    </cfRule>
  </conditionalFormatting>
  <conditionalFormatting sqref="F72">
    <cfRule type="cellIs" dxfId="1186" priority="84" operator="lessThan">
      <formula>$E$72*90%</formula>
    </cfRule>
  </conditionalFormatting>
  <conditionalFormatting sqref="F73">
    <cfRule type="cellIs" dxfId="1185" priority="83" operator="lessThan">
      <formula>$E$73*90%</formula>
    </cfRule>
  </conditionalFormatting>
  <conditionalFormatting sqref="F74">
    <cfRule type="cellIs" dxfId="1184" priority="82" operator="lessThan">
      <formula>$E$74*90%</formula>
    </cfRule>
  </conditionalFormatting>
  <conditionalFormatting sqref="F75">
    <cfRule type="cellIs" dxfId="1183" priority="81" operator="lessThan">
      <formula>$E$75*90%</formula>
    </cfRule>
  </conditionalFormatting>
  <conditionalFormatting sqref="H44:K44">
    <cfRule type="cellIs" dxfId="1182" priority="79" operator="greaterThan">
      <formula>0</formula>
    </cfRule>
    <cfRule type="cellIs" dxfId="1181" priority="80" operator="lessThan">
      <formula>0</formula>
    </cfRule>
  </conditionalFormatting>
  <conditionalFormatting sqref="H51:K51">
    <cfRule type="cellIs" dxfId="1180" priority="77" operator="greaterThan">
      <formula>0</formula>
    </cfRule>
    <cfRule type="cellIs" dxfId="1179" priority="78" operator="lessThan">
      <formula>0</formula>
    </cfRule>
  </conditionalFormatting>
  <conditionalFormatting sqref="B51:E51">
    <cfRule type="cellIs" dxfId="1178" priority="75" operator="greaterThan">
      <formula>0</formula>
    </cfRule>
    <cfRule type="cellIs" dxfId="117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17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17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174" priority="58" operator="lessThan">
      <formula>0</formula>
    </cfRule>
  </conditionalFormatting>
  <conditionalFormatting sqref="A25 E25 C25">
    <cfRule type="cellIs" dxfId="1173" priority="59" operator="lessThan">
      <formula>0</formula>
    </cfRule>
  </conditionalFormatting>
  <conditionalFormatting sqref="F25">
    <cfRule type="cellIs" dxfId="1172" priority="57" operator="lessThan">
      <formula>0</formula>
    </cfRule>
  </conditionalFormatting>
  <conditionalFormatting sqref="E1">
    <cfRule type="containsText" dxfId="1171" priority="56" operator="containsText" text="本季業外損益/平均=-">
      <formula>NOT(ISERROR(SEARCH("本季業外損益/平均=-",E1)))</formula>
    </cfRule>
  </conditionalFormatting>
  <conditionalFormatting sqref="M65">
    <cfRule type="cellIs" dxfId="1170" priority="55" operator="lessThan">
      <formula>$L$65*90%</formula>
    </cfRule>
  </conditionalFormatting>
  <conditionalFormatting sqref="M66">
    <cfRule type="cellIs" dxfId="1169" priority="54" operator="lessThan">
      <formula>$L$66*90%</formula>
    </cfRule>
  </conditionalFormatting>
  <conditionalFormatting sqref="M67">
    <cfRule type="cellIs" dxfId="1168" priority="53" operator="lessThan">
      <formula>$L$67*90%</formula>
    </cfRule>
  </conditionalFormatting>
  <conditionalFormatting sqref="M68">
    <cfRule type="cellIs" dxfId="1167" priority="52" operator="lessThan">
      <formula>$L$68*90%</formula>
    </cfRule>
  </conditionalFormatting>
  <conditionalFormatting sqref="B60">
    <cfRule type="cellIs" dxfId="1166" priority="51" operator="lessThan">
      <formula>0</formula>
    </cfRule>
  </conditionalFormatting>
  <conditionalFormatting sqref="B59:F59">
    <cfRule type="cellIs" dxfId="1165" priority="50" operator="lessThanOrEqual">
      <formula>0</formula>
    </cfRule>
  </conditionalFormatting>
  <conditionalFormatting sqref="D62">
    <cfRule type="cellIs" dxfId="1164" priority="48" operator="lessThan">
      <formula>$E$62</formula>
    </cfRule>
    <cfRule type="cellIs" dxfId="1163" priority="49" operator="greaterThan">
      <formula>$E$62</formula>
    </cfRule>
  </conditionalFormatting>
  <conditionalFormatting sqref="F69">
    <cfRule type="cellIs" dxfId="1162" priority="46" operator="lessThan">
      <formula>0</formula>
    </cfRule>
  </conditionalFormatting>
  <conditionalFormatting sqref="B65:E67 B69:E69 B68:D68">
    <cfRule type="cellIs" dxfId="1161" priority="47" operator="lessThan">
      <formula>0</formula>
    </cfRule>
  </conditionalFormatting>
  <conditionalFormatting sqref="E68">
    <cfRule type="cellIs" dxfId="1160" priority="45" operator="lessThan">
      <formula>0</formula>
    </cfRule>
  </conditionalFormatting>
  <conditionalFormatting sqref="F65:F68">
    <cfRule type="cellIs" dxfId="1159" priority="44" operator="lessThan">
      <formula>0</formula>
    </cfRule>
  </conditionalFormatting>
  <conditionalFormatting sqref="F65:F68">
    <cfRule type="cellIs" dxfId="1158" priority="43" operator="lessThan">
      <formula>$E$65*0.9</formula>
    </cfRule>
  </conditionalFormatting>
  <conditionalFormatting sqref="F66">
    <cfRule type="cellIs" dxfId="1157" priority="42" operator="lessThan">
      <formula>$E$66*0.9</formula>
    </cfRule>
  </conditionalFormatting>
  <conditionalFormatting sqref="F67:F68">
    <cfRule type="cellIs" dxfId="1156" priority="41" operator="lessThan">
      <formula>$E$67*0.9</formula>
    </cfRule>
  </conditionalFormatting>
  <conditionalFormatting sqref="F68">
    <cfRule type="cellIs" dxfId="1155" priority="40" operator="lessThan">
      <formula>$E$68*0.9</formula>
    </cfRule>
  </conditionalFormatting>
  <conditionalFormatting sqref="B13:F13">
    <cfRule type="cellIs" dxfId="1154" priority="29" operator="greaterThan">
      <formula>$I$16</formula>
    </cfRule>
    <cfRule type="cellIs" dxfId="1153" priority="30" operator="lessThanOrEqual">
      <formula>$I$16</formula>
    </cfRule>
  </conditionalFormatting>
  <conditionalFormatting sqref="B10:F10">
    <cfRule type="cellIs" dxfId="1152" priority="31" operator="greaterThan">
      <formula>15</formula>
    </cfRule>
    <cfRule type="cellIs" dxfId="1151" priority="38" operator="lessThan">
      <formula>$I$9</formula>
    </cfRule>
    <cfRule type="cellIs" dxfId="1150" priority="39" operator="greaterThan">
      <formula>$I$9</formula>
    </cfRule>
  </conditionalFormatting>
  <conditionalFormatting sqref="B16:F16">
    <cfRule type="cellIs" dxfId="1149" priority="36" operator="greaterThan">
      <formula>$I$16</formula>
    </cfRule>
    <cfRule type="cellIs" dxfId="1148" priority="37" operator="lessThanOrEqual">
      <formula>$I$16</formula>
    </cfRule>
  </conditionalFormatting>
  <conditionalFormatting sqref="B15:F15">
    <cfRule type="cellIs" dxfId="1147" priority="34" operator="lessThanOrEqual">
      <formula>$I$16</formula>
    </cfRule>
    <cfRule type="cellIs" dxfId="1146" priority="35" operator="greaterThan">
      <formula>$I$16</formula>
    </cfRule>
  </conditionalFormatting>
  <conditionalFormatting sqref="B14:F14">
    <cfRule type="cellIs" dxfId="1145" priority="32" operator="greaterThan">
      <formula>$I$16</formula>
    </cfRule>
    <cfRule type="cellIs" dxfId="1144" priority="33" operator="lessThanOrEqual">
      <formula>$I$16</formula>
    </cfRule>
  </conditionalFormatting>
  <conditionalFormatting sqref="K6">
    <cfRule type="containsText" dxfId="1143" priority="27" operator="containsText" text="衰退">
      <formula>NOT(ISERROR(SEARCH("衰退",K6)))</formula>
    </cfRule>
    <cfRule type="containsText" dxfId="1142" priority="28" operator="containsText" text="成長">
      <formula>NOT(ISERROR(SEARCH("成長",K6)))</formula>
    </cfRule>
  </conditionalFormatting>
  <conditionalFormatting sqref="I4:K4">
    <cfRule type="cellIs" dxfId="1141" priority="25" operator="lessThan">
      <formula>0</formula>
    </cfRule>
    <cfRule type="cellIs" dxfId="114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139" priority="22" operator="lessThanOrEqual">
      <formula>$I$16</formula>
    </cfRule>
    <cfRule type="cellIs" dxfId="1138" priority="23" operator="greaterThan">
      <formula>$I$16</formula>
    </cfRule>
  </conditionalFormatting>
  <conditionalFormatting sqref="I6">
    <cfRule type="containsText" dxfId="1137" priority="20" operator="containsText" text="衰退">
      <formula>NOT(ISERROR(SEARCH("衰退",I6)))</formula>
    </cfRule>
    <cfRule type="containsText" dxfId="1136" priority="21" operator="containsText" text="成長">
      <formula>NOT(ISERROR(SEARCH("成長",I6)))</formula>
    </cfRule>
  </conditionalFormatting>
  <conditionalFormatting sqref="M9">
    <cfRule type="cellIs" dxfId="1135" priority="19" operator="lessThan">
      <formula>$I$9</formula>
    </cfRule>
  </conditionalFormatting>
  <conditionalFormatting sqref="M10">
    <cfRule type="cellIs" dxfId="1134" priority="18" operator="greaterThan">
      <formula>$I$9</formula>
    </cfRule>
  </conditionalFormatting>
  <conditionalFormatting sqref="M11">
    <cfRule type="cellIs" dxfId="113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132" priority="14" operator="lessThan">
      <formula>0</formula>
    </cfRule>
    <cfRule type="cellIs" dxfId="1131" priority="15" operator="greaterThan">
      <formula>0.5</formula>
    </cfRule>
  </conditionalFormatting>
  <conditionalFormatting sqref="N14">
    <cfRule type="cellIs" dxfId="113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129" priority="10" operator="lessThan">
      <formula>0.1</formula>
    </cfRule>
  </conditionalFormatting>
  <conditionalFormatting sqref="I14">
    <cfRule type="cellIs" dxfId="112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12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126" priority="1" operator="lessThan">
      <formula>$N$5*0.9</formula>
    </cfRule>
    <cfRule type="cellIs" dxfId="1125" priority="2" operator="greaterThan">
      <formula>$N$5*1.1</formula>
    </cfRule>
  </conditionalFormatting>
  <hyperlinks>
    <hyperlink ref="L1" location="儀表板!A1" display="(回首頁)" xr:uid="{00000000-0004-0000-5800-000000000000}"/>
  </hyperlink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9.31 ~ 28.56</v>
      </c>
      <c r="L1" s="83" t="s">
        <v>176</v>
      </c>
      <c r="M1" s="84" t="str">
        <f ca="1">VLOOKUP(_xlfn.NUMBERVALUE(N1),儀表板!A:B,2,FALSE)</f>
        <v>朋程</v>
      </c>
      <c r="N1" s="85" t="str">
        <f ca="1">MID(CELL("filename",L1),FIND("]",CELL("filename",L1))+1,255)</f>
        <v>8255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0.1977984150158302</v>
      </c>
    </row>
    <row r="3" spans="1:15" s="93" customFormat="1" x14ac:dyDescent="0.25">
      <c r="A3" s="81" t="s">
        <v>179</v>
      </c>
      <c r="B3" s="94">
        <f>SUM(F19:F22,F24:F27,J19)</f>
        <v>84.866712188310757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105.49505314876981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111.32938826204091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114.37498457903149</v>
      </c>
      <c r="L3" s="100"/>
      <c r="M3" s="79" t="s">
        <v>385</v>
      </c>
      <c r="N3" s="92">
        <f>(F69-E69)/E69</f>
        <v>-2.7825265333026889E-2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7.49</v>
      </c>
      <c r="E4" s="82">
        <f>(D4-F4)/F4</f>
        <v>0</v>
      </c>
      <c r="F4" s="103">
        <v>7.49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7.2913105100022975</v>
      </c>
    </row>
    <row r="5" spans="1:15" s="93" customFormat="1" x14ac:dyDescent="0.25">
      <c r="A5" s="81" t="s">
        <v>184</v>
      </c>
      <c r="B5" s="107">
        <f>SUM(F30:F34)*2</f>
        <v>98.656319290465632</v>
      </c>
      <c r="C5" s="87"/>
      <c r="D5" s="87"/>
      <c r="E5" s="87"/>
      <c r="F5" s="86"/>
      <c r="G5" s="88"/>
      <c r="M5" s="79" t="s">
        <v>386</v>
      </c>
      <c r="N5" s="152">
        <f>D62</f>
        <v>7.4099999999999993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8.7025027533772636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22.99</v>
      </c>
      <c r="N9" s="129"/>
    </row>
    <row r="10" spans="1:15" s="93" customFormat="1" x14ac:dyDescent="0.25">
      <c r="A10" s="123" t="s">
        <v>194</v>
      </c>
      <c r="B10" s="126">
        <f>PERCENTILE(176:176,B9)</f>
        <v>13.59</v>
      </c>
      <c r="C10" s="126">
        <f>PERCENTILE(176:176,C9)</f>
        <v>14.375</v>
      </c>
      <c r="D10" s="126">
        <f>PERCENTILE(176:176,D9)</f>
        <v>15.17</v>
      </c>
      <c r="E10" s="126">
        <f>PERCENTILE(176:176,E9)</f>
        <v>15.585000000000001</v>
      </c>
      <c r="F10" s="126">
        <f>PERCENTILE(176:176,F9)</f>
        <v>17.309999999999999</v>
      </c>
      <c r="G10" s="95"/>
      <c r="H10" s="135"/>
      <c r="I10" s="135"/>
      <c r="J10" s="135"/>
      <c r="K10" s="135"/>
      <c r="L10" s="136" t="s">
        <v>374</v>
      </c>
      <c r="M10" s="130">
        <f>MIN(176:176)</f>
        <v>12.03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41.55</v>
      </c>
      <c r="L11" s="272" t="s">
        <v>193</v>
      </c>
      <c r="M11" s="128">
        <f>STDEV(176:176)</f>
        <v>2.4811652354394211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85.784313725490208</v>
      </c>
      <c r="C13" s="141">
        <f>$B$34/5.88%</f>
        <v>104.16666666666667</v>
      </c>
      <c r="D13" s="141">
        <f>$B$34/5%</f>
        <v>122.5</v>
      </c>
      <c r="E13" s="141">
        <f>$B$34/4.35%</f>
        <v>140.80459770114945</v>
      </c>
      <c r="F13" s="141">
        <f>$B$34/3.85%</f>
        <v>159.09090909090909</v>
      </c>
      <c r="G13" s="138" t="str">
        <f>"$"&amp;ROUND(B34,2)&amp;"/"&amp;IF(STDEV(C140:F140)/AVERAGE(C140:F140)&lt;15%,"高",IF(STDEV(C140:F140)/AVERAGE(C140:F140)&lt;30%,"中","低"))</f>
        <v>$6.13/高</v>
      </c>
      <c r="H13" s="142" t="s">
        <v>199</v>
      </c>
      <c r="I13" s="143">
        <f>MAX(0,1-J15)</f>
        <v>0.13333333333333319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107.259075</v>
      </c>
      <c r="C14" s="141">
        <f>$B$33*C10</f>
        <v>113.45468750000001</v>
      </c>
      <c r="D14" s="141">
        <f>$B$33*D10</f>
        <v>119.729225</v>
      </c>
      <c r="E14" s="141">
        <f>$B$33*E10</f>
        <v>123.00461250000001</v>
      </c>
      <c r="F14" s="141">
        <f>$B$33*F10</f>
        <v>136.61917499999998</v>
      </c>
      <c r="G14" s="138" t="str">
        <f>"$"&amp;ROUND(B33,2)&amp;"/"&amp;IF(STDEV(B69:E69)/AVERAGE(B69:E69)&lt;15%,"高",IF(STDEV(B69:E69)/AVERAGE(B69:E69)&lt;30%,"中","低"))</f>
        <v>$7.89/高</v>
      </c>
      <c r="H14" s="142" t="s">
        <v>203</v>
      </c>
      <c r="I14" s="145">
        <f>G62/100*I13</f>
        <v>2.2039999999999976E-2</v>
      </c>
      <c r="J14" s="76" t="s">
        <v>204</v>
      </c>
      <c r="K14" s="146"/>
      <c r="L14" s="147">
        <f>(HLOOKUP($C$1,$105:$106,2,FALSE)-HLOOKUP($C$1,$117:$127,9,FALSE))/(HLOOKUP($C$1,$117:$128,12,FALSE)/K11)</f>
        <v>7.8084140698573918</v>
      </c>
      <c r="M14" s="148">
        <f>E135/E69</f>
        <v>1.3773333333333335</v>
      </c>
      <c r="N14" s="149">
        <f>F173/100</f>
        <v>2.0018000000000002</v>
      </c>
    </row>
    <row r="15" spans="1:15" s="93" customFormat="1" x14ac:dyDescent="0.25">
      <c r="A15" s="140" t="s">
        <v>375</v>
      </c>
      <c r="B15" s="141">
        <f>$D$62*B10</f>
        <v>100.70189999999999</v>
      </c>
      <c r="C15" s="141">
        <f>$D$62*C10</f>
        <v>106.51874999999998</v>
      </c>
      <c r="D15" s="141">
        <f>$D$62*D10</f>
        <v>112.40969999999999</v>
      </c>
      <c r="E15" s="141">
        <f>$D$62*E10</f>
        <v>115.48484999999999</v>
      </c>
      <c r="F15" s="141">
        <f>$D$62*F10</f>
        <v>128.26709999999997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0.86666666666666681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99.088909830931215</v>
      </c>
      <c r="C16" s="141">
        <f>$F$69*C10</f>
        <v>104.81258858128302</v>
      </c>
      <c r="D16" s="141">
        <f>$F$69*D10</f>
        <v>110.60918043673485</v>
      </c>
      <c r="E16" s="141">
        <f>$F$69*E10</f>
        <v>113.63507429838582</v>
      </c>
      <c r="F16" s="141">
        <f>$F$69*F10</f>
        <v>126.21258492813976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274</v>
      </c>
      <c r="J17" s="92">
        <f ca="1">IF(I17&lt;=0,"",IF(I17&lt;=MIN($B$13:$F$16),(I17-MIN($B$13:$F$16))/MIN($B$13:$F$16),IF(I17&gt;=MAX($B$13:$F$16),I17/MAX($B$13:$F$16),PERCENTRANK($B$13:$F$16,I17))))</f>
        <v>1.7222857142857142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9.6974999999999998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1.5832653061224489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0.18259267742829932</v>
      </c>
      <c r="J20" s="171">
        <f>HLOOKUP($C$1,$117:$127,11,FALSE)/HLOOKUP($C$1,$105:$115,11,FALSE)</f>
        <v>0.23729689327176939</v>
      </c>
      <c r="K20" s="163"/>
    </row>
    <row r="21" spans="1:14" s="93" customFormat="1" x14ac:dyDescent="0.25">
      <c r="A21" s="151" t="s">
        <v>201</v>
      </c>
      <c r="B21" s="161">
        <f>AVERAGE(C173:F173)/100</f>
        <v>1.4747250000000003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1.7738901711502484</v>
      </c>
      <c r="J21" s="78"/>
      <c r="K21" s="164" t="s">
        <v>356</v>
      </c>
      <c r="L21" s="165">
        <f>HLOOKUP($C$1,$105:$115,7,FALSE)/HLOOKUP($C$1,$105:$115,11,FALSE)</f>
        <v>0.41675993682865375</v>
      </c>
      <c r="M21" s="123" t="s">
        <v>268</v>
      </c>
      <c r="N21" s="165">
        <f>HLOOKUP($C$1,$117:$127,8,FALSE)/HLOOKUP($C$1,$117:$127,11,FALSE)</f>
        <v>0.99007292387446566</v>
      </c>
    </row>
    <row r="22" spans="1:14" s="93" customFormat="1" x14ac:dyDescent="0.25">
      <c r="A22" s="140" t="s">
        <v>222</v>
      </c>
      <c r="B22" s="161">
        <f>(-1)*SUM(C133:F133)/SUM(C132:F132)</f>
        <v>0.15275349650349648</v>
      </c>
      <c r="C22" s="157"/>
      <c r="D22" s="166"/>
      <c r="E22" s="140"/>
      <c r="F22" s="159">
        <f>IF(B22&lt;=0,10,IF(B22&gt;=100%,0,(1-B22)*10))</f>
        <v>8.472465034965035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1.3011636821164052</v>
      </c>
      <c r="J22" s="78"/>
      <c r="K22" s="142" t="s">
        <v>357</v>
      </c>
      <c r="L22" s="165">
        <f>HLOOKUP($C$1,$105:$115,4,FALSE)/HLOOKUP($C$1,$105:$115,11,FALSE)</f>
        <v>0.14063195457449759</v>
      </c>
      <c r="M22" s="123" t="s">
        <v>353</v>
      </c>
      <c r="N22" s="165">
        <f>HLOOKUP($C$1,$117:$127,4,FALSE)/HLOOKUP($C$1,$117:$127,11,FALSE)</f>
        <v>0.23053068706137209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1.3111261658415192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0.11106294228984075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1.0080834040246376</v>
      </c>
      <c r="C24" s="169">
        <f>STDEV(C103:F103)</f>
        <v>3.2879449655268803E-2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62.94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8.6810932018469178E-2</v>
      </c>
      <c r="M24" s="123" t="s">
        <v>355</v>
      </c>
      <c r="N24" s="165">
        <f>HLOOKUP($C$1,$117:$127,9,FALSE)/HLOOKUP($C$1,$117:$127,11,FALSE)</f>
        <v>9.9270761255343294E-3</v>
      </c>
    </row>
    <row r="25" spans="1:14" s="93" customFormat="1" x14ac:dyDescent="0.25">
      <c r="A25" s="151" t="s">
        <v>366</v>
      </c>
      <c r="B25" s="255">
        <f>AVERAGE(94:94)</f>
        <v>4426.826086956522</v>
      </c>
      <c r="C25" s="254">
        <f>STDEV(94:94)/AVERAGE(94:94)</f>
        <v>8.6057528466542728</v>
      </c>
      <c r="D25" s="76" t="str">
        <f>IF(C25&lt;=1,"高",IF(C25&lt;=2,"中","低"))</f>
        <v>低</v>
      </c>
      <c r="E25" s="149"/>
      <c r="F25" s="160">
        <f>MAX(0,10-ABS(C25))</f>
        <v>1.3942471533457272</v>
      </c>
      <c r="G25" s="88" t="s">
        <v>213</v>
      </c>
      <c r="H25" s="123" t="s">
        <v>232</v>
      </c>
      <c r="I25" s="170">
        <f>IF(HLOOKUP(C1,167:170,3,FALSE)="無",0,HLOOKUP(C1,167:170,3,FALSE))</f>
        <v>70.31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60.018695652173925</v>
      </c>
      <c r="C26" s="172">
        <f>IF(COUNTIF(168:168,"&gt;0")=0,0,STDEV(168:168))</f>
        <v>4.2490419287473475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66.398695652173913</v>
      </c>
      <c r="C27" s="172">
        <f>IF(COUNTIF(169:169,"&gt;0")=0,0,STDEV(169:169))</f>
        <v>10.730081040254836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9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0.31492500000000001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0.1691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20.387499999999996</v>
      </c>
      <c r="C32" s="157" t="s">
        <v>217</v>
      </c>
      <c r="D32" s="174">
        <f>COUNTIF(159:159,"&gt;3")/COUNT(159:159)</f>
        <v>0.86956521739130432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7.8925000000000001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6.125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9.3281596452328159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3458455.25</v>
      </c>
      <c r="C36" s="178">
        <f>STDEV(C97:F97)</f>
        <v>119461.6910962813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31.4925</v>
      </c>
      <c r="C37" s="180">
        <f>STDEV(C152:F152)</f>
        <v>2.1809535376374547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19.045000000000002</v>
      </c>
      <c r="C38" s="180">
        <f>STDEV(C153:F153)</f>
        <v>0.96320645069822319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20.387499999999996</v>
      </c>
      <c r="C39" s="181">
        <f>STDEV(C165:F165)</f>
        <v>2.5936123457448668</v>
      </c>
      <c r="D39" s="76" t="str">
        <f>IF(C39/B39&lt;15%,"高",IF(C39/B39&lt;30%,"中","低"))</f>
        <v>高</v>
      </c>
      <c r="E39" s="107">
        <f>IF(F165&gt;E165,1,0)+IF(E165&gt;D165,1,0)+IF(D165&gt;C165,1,0)</f>
        <v>0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7.8925000000000001</v>
      </c>
      <c r="C40" s="183">
        <f>STDEV(B69:E69)</f>
        <v>0.27681221071332873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0.63478260869565217</v>
      </c>
      <c r="C44" s="186">
        <f>(C46-C49)/C49</f>
        <v>-4.7169811320754755E-2</v>
      </c>
      <c r="D44" s="186">
        <f>(D46-D49)/D49</f>
        <v>-0.37305699481865284</v>
      </c>
      <c r="E44" s="186">
        <f>(E46-E49)/E49</f>
        <v>0.17346938775510198</v>
      </c>
      <c r="G44" s="86" t="s">
        <v>175</v>
      </c>
      <c r="H44" s="186">
        <f>(H47-H50)/H50</f>
        <v>9.7238204833141703E-2</v>
      </c>
      <c r="I44" s="186">
        <f>(I47-I50)/I50</f>
        <v>-6.8391866913123878E-2</v>
      </c>
      <c r="J44" s="186">
        <f>(J47-J50)/J50</f>
        <v>-6.20782726045883E-2</v>
      </c>
      <c r="K44" s="186">
        <f>(K47-K50)/K50</f>
        <v>-0.13809034907597539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1.88</v>
      </c>
      <c r="C46" s="152">
        <f>HLOOKUP(C45,$81:$82,2,FALSE)</f>
        <v>2.02</v>
      </c>
      <c r="D46" s="152">
        <f>HLOOKUP(D45,$81:$82,2,FALSE)</f>
        <v>1.21</v>
      </c>
      <c r="E46" s="152">
        <f>HLOOKUP(E45,$81:$82,2,FALSE)</f>
        <v>2.2999999999999998</v>
      </c>
      <c r="G46" s="86" t="s">
        <v>164</v>
      </c>
      <c r="H46" s="145">
        <f>HLOOKUP(H45,$145:$147,2,FALSE)/100</f>
        <v>0.34619999999999995</v>
      </c>
      <c r="I46" s="145">
        <f>HLOOKUP(I45,$145:$147,2,FALSE)/100</f>
        <v>0.33799999999999997</v>
      </c>
      <c r="J46" s="145">
        <f>HLOOKUP(J45,$145:$147,2,FALSE)/100</f>
        <v>0.34520000000000001</v>
      </c>
      <c r="K46" s="145">
        <f>HLOOKUP(K45,$145:$147,2,FALSE)/100</f>
        <v>0.32450000000000001</v>
      </c>
    </row>
    <row r="47" spans="1:14" x14ac:dyDescent="0.25">
      <c r="A47" s="188" t="s">
        <v>165</v>
      </c>
      <c r="B47" s="189">
        <f>HLOOKUP(B45,$157:$159,3,FALSE)</f>
        <v>4.42</v>
      </c>
      <c r="C47" s="189">
        <f>HLOOKUP(C45,$157:$159,3,FALSE)</f>
        <v>4.72</v>
      </c>
      <c r="D47" s="189">
        <f>HLOOKUP(D45,$157:$159,3,FALSE)</f>
        <v>2.63</v>
      </c>
      <c r="E47" s="189">
        <f>HLOOKUP(E45,$157:$159,3,FALSE)</f>
        <v>4.76</v>
      </c>
      <c r="G47" s="190" t="s">
        <v>166</v>
      </c>
      <c r="H47" s="145">
        <f>HLOOKUP(H45,$145:$147,3,FALSE)/100</f>
        <v>0.19070000000000001</v>
      </c>
      <c r="I47" s="145">
        <f>HLOOKUP(I45,$145:$147,3,FALSE)/100</f>
        <v>0.2016</v>
      </c>
      <c r="J47" s="145">
        <f>HLOOKUP(J45,$145:$147,3,FALSE)/100</f>
        <v>0.20850000000000002</v>
      </c>
      <c r="K47" s="145">
        <f>HLOOKUP(K45,$145:$147,3,FALSE)/100</f>
        <v>0.16789999999999999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1.1499999999999999</v>
      </c>
      <c r="C49" s="152">
        <f>HLOOKUP(C48,$81:$82,2,FALSE)</f>
        <v>2.12</v>
      </c>
      <c r="D49" s="152">
        <f>HLOOKUP(D48,$81:$82,2,FALSE)</f>
        <v>1.93</v>
      </c>
      <c r="E49" s="152">
        <f>HLOOKUP(E48,$81:$82,2,FALSE)</f>
        <v>1.96</v>
      </c>
      <c r="G49" s="86" t="s">
        <v>164</v>
      </c>
      <c r="H49" s="145">
        <f>HLOOKUP(H48,$145:$147,2,FALSE)/100</f>
        <v>0.32700000000000001</v>
      </c>
      <c r="I49" s="145">
        <f>HLOOKUP(I48,$145:$147,2,FALSE)/100</f>
        <v>0.3518</v>
      </c>
      <c r="J49" s="145">
        <f>HLOOKUP(J48,$145:$147,2,FALSE)/100</f>
        <v>0.35100000000000003</v>
      </c>
      <c r="K49" s="145">
        <f>HLOOKUP(K48,$145:$147,2,FALSE)/100</f>
        <v>0.32</v>
      </c>
    </row>
    <row r="50" spans="1:15" x14ac:dyDescent="0.25">
      <c r="A50" s="188" t="s">
        <v>165</v>
      </c>
      <c r="B50" s="189">
        <f>HLOOKUP(B48,$157:$159,3,FALSE)</f>
        <v>2.69</v>
      </c>
      <c r="C50" s="189">
        <f>HLOOKUP(C48,$157:$159,3,FALSE)</f>
        <v>5.13</v>
      </c>
      <c r="D50" s="189">
        <f>HLOOKUP(D48,$157:$159,3,FALSE)</f>
        <v>4.62</v>
      </c>
      <c r="E50" s="189">
        <f>HLOOKUP(E48,$157:$159,3,FALSE)</f>
        <v>4.91</v>
      </c>
      <c r="G50" s="190" t="s">
        <v>166</v>
      </c>
      <c r="H50" s="145">
        <f>HLOOKUP(H48,$145:$147,3,FALSE)/100</f>
        <v>0.17379999999999998</v>
      </c>
      <c r="I50" s="145">
        <f>HLOOKUP(I48,$145:$147,3,FALSE)/100</f>
        <v>0.21640000000000001</v>
      </c>
      <c r="J50" s="145">
        <f>HLOOKUP(J48,$145:$147,3,FALSE)/100</f>
        <v>0.2223</v>
      </c>
      <c r="K50" s="145">
        <f>HLOOKUP(K48,$145:$147,3,FALSE)/100</f>
        <v>0.1948</v>
      </c>
    </row>
    <row r="51" spans="1:15" x14ac:dyDescent="0.25">
      <c r="A51" s="86" t="s">
        <v>351</v>
      </c>
      <c r="B51" s="186">
        <f>(B47-B50)/B50</f>
        <v>0.64312267657992561</v>
      </c>
      <c r="C51" s="186">
        <f>(C47-C50)/C50</f>
        <v>-7.9922027290448366E-2</v>
      </c>
      <c r="D51" s="186">
        <f>(D47-D50)/D50</f>
        <v>-0.43073593073593075</v>
      </c>
      <c r="E51" s="186">
        <f>(E47-E50)/E50</f>
        <v>-3.0549898167006182E-2</v>
      </c>
      <c r="G51" s="235" t="s">
        <v>174</v>
      </c>
      <c r="H51" s="186">
        <f>(H46-H49)/H49</f>
        <v>5.8715596330275038E-2</v>
      </c>
      <c r="I51" s="186">
        <f>(I46-I49)/I49</f>
        <v>-3.9226833428084237E-2</v>
      </c>
      <c r="J51" s="186">
        <f>(J46-J49)/J49</f>
        <v>-1.6524216524216602E-2</v>
      </c>
      <c r="K51" s="186">
        <f>(K46-K49)/K49</f>
        <v>1.4062500000000012E-2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8.7025027533772636</v>
      </c>
      <c r="B53" s="193">
        <f>B46</f>
        <v>1.88</v>
      </c>
      <c r="C53" s="193">
        <f>E46/HLOOKUP(E45,$87:$94,5,FALSE)*HLOOKUP(E45,$87:$94,4,FALSE)*($B$25/HLOOKUP(E45,$87:$94,4,FALSE)+SUM($B$57:$D$57)/SUM($B58:$D$58)*$G$69/100/K46)</f>
        <v>2.181310510002298</v>
      </c>
      <c r="D53" s="193">
        <f>D46/HLOOKUP(D45,$87:$94,5,FALSE)*HLOOKUP(D45,$87:$94,4,FALSE)*($B$25/HLOOKUP(D45,$87:$94,4,FALSE)+SUM($B$57:$D$57)/SUM($B58:$D$58)*$G$69/100/J46)</f>
        <v>2.3928505236433129</v>
      </c>
      <c r="E53" s="193">
        <f>C46/HLOOKUP(C45,$87:$94,5,FALSE)*HLOOKUP(C45,$87:$94,4,FALSE)*($B$25/HLOOKUP(C45,$87:$94,4,FALSE)+SUM($B$57:$D$57)/SUM($B58:$D$58)*$G$69/100/I46)</f>
        <v>2.248341719731652</v>
      </c>
    </row>
    <row r="54" spans="1:15" x14ac:dyDescent="0.25">
      <c r="A54" s="278">
        <f>SUM(B54:E54)</f>
        <v>6.68</v>
      </c>
      <c r="B54" s="277">
        <f t="shared" ref="B54:D54" si="0">HLOOKUP(B52-10,81:82,2,FALSE)</f>
        <v>1.1499999999999999</v>
      </c>
      <c r="C54" s="277">
        <f t="shared" si="0"/>
        <v>2.2999999999999998</v>
      </c>
      <c r="D54" s="277">
        <f t="shared" si="0"/>
        <v>1.21</v>
      </c>
      <c r="E54" s="277">
        <f>HLOOKUP(E52-10,81:82,2,FALSE)</f>
        <v>2.02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326743</v>
      </c>
      <c r="C57" s="196">
        <f>HLOOKUP(C56,78:79,2,FALSE)</f>
        <v>303106</v>
      </c>
      <c r="D57" s="196">
        <f>HLOOKUP(D56,78:79,2,FALSE)</f>
        <v>277230</v>
      </c>
      <c r="E57" s="196">
        <f>HLOOKUP(E56,78:79,2,FALSE)</f>
        <v>278931</v>
      </c>
      <c r="F57" s="196">
        <f>HLOOKUP(F56,78:79,2,FALSE)</f>
        <v>312924</v>
      </c>
      <c r="G57" s="196">
        <f t="shared" ref="G57:M57" si="2">HLOOKUP(G56,78:79,2,FALSE)</f>
        <v>317112</v>
      </c>
      <c r="H57" s="196">
        <f t="shared" si="2"/>
        <v>325710</v>
      </c>
      <c r="I57" s="196">
        <f t="shared" si="2"/>
        <v>325936</v>
      </c>
      <c r="J57" s="196">
        <f t="shared" si="2"/>
        <v>291406</v>
      </c>
      <c r="K57" s="196">
        <f t="shared" si="2"/>
        <v>293247</v>
      </c>
      <c r="L57" s="196">
        <f t="shared" si="2"/>
        <v>292511</v>
      </c>
      <c r="M57" s="196">
        <f t="shared" si="2"/>
        <v>310000</v>
      </c>
      <c r="N57" s="197"/>
    </row>
    <row r="58" spans="1:15" x14ac:dyDescent="0.25">
      <c r="A58" s="198" t="s">
        <v>253</v>
      </c>
      <c r="B58" s="196">
        <f>HLOOKUP(B56-100,78:79,2,FALSE)</f>
        <v>284878</v>
      </c>
      <c r="C58" s="196">
        <f>HLOOKUP(C56-100,78:79,2,FALSE)</f>
        <v>283019</v>
      </c>
      <c r="D58" s="196">
        <f>HLOOKUP(D56-100,78:79,2,FALSE)</f>
        <v>254179</v>
      </c>
      <c r="E58" s="196">
        <f>HLOOKUP(E56-100,78:79,2,FALSE)</f>
        <v>272519</v>
      </c>
      <c r="F58" s="196">
        <f>HLOOKUP(F56-100,78:79,2,FALSE)</f>
        <v>295302</v>
      </c>
      <c r="G58" s="196">
        <f t="shared" ref="G58:M58" si="3">HLOOKUP(G56-100,78:79,2,FALSE)</f>
        <v>312257</v>
      </c>
      <c r="H58" s="196">
        <f t="shared" si="3"/>
        <v>310787</v>
      </c>
      <c r="I58" s="196">
        <f t="shared" si="3"/>
        <v>316153</v>
      </c>
      <c r="J58" s="196">
        <f t="shared" si="3"/>
        <v>275475</v>
      </c>
      <c r="K58" s="196">
        <f t="shared" si="3"/>
        <v>319145</v>
      </c>
      <c r="L58" s="196">
        <f t="shared" si="3"/>
        <v>298918</v>
      </c>
      <c r="M58" s="196">
        <f t="shared" si="3"/>
        <v>309179</v>
      </c>
      <c r="N58" s="197"/>
    </row>
    <row r="59" spans="1:15" x14ac:dyDescent="0.25">
      <c r="A59" s="199" t="s">
        <v>254</v>
      </c>
      <c r="B59" s="165">
        <f>IF(B57&lt;&gt;"",(B57-B58)/B58,"")</f>
        <v>0.14695764502699402</v>
      </c>
      <c r="C59" s="165">
        <f>IF(C57&lt;&gt;"",(C57-C58)/C58,"")</f>
        <v>7.097403354545101E-2</v>
      </c>
      <c r="D59" s="165">
        <f>IF(D57&lt;&gt;"",(D57-D58)/D58,"")</f>
        <v>9.068805841552606E-2</v>
      </c>
      <c r="E59" s="165">
        <f>IF(E57&lt;&gt;"",(E57-E58)/E58,"")</f>
        <v>2.3528634700699769E-2</v>
      </c>
      <c r="F59" s="165">
        <f>IF(F57&lt;&gt;"",(F57-F58)/F58,"")</f>
        <v>5.9674502712477394E-2</v>
      </c>
      <c r="G59" s="165">
        <f t="shared" ref="G59:M59" si="4">IF(G57&lt;&gt;"",(G57-G58)/G58,"")</f>
        <v>1.5548090194935582E-2</v>
      </c>
      <c r="H59" s="165">
        <f t="shared" si="4"/>
        <v>4.8016808939884872E-2</v>
      </c>
      <c r="I59" s="165">
        <f t="shared" si="4"/>
        <v>3.0943878438604095E-2</v>
      </c>
      <c r="J59" s="165">
        <f t="shared" si="4"/>
        <v>5.7831019148743078E-2</v>
      </c>
      <c r="K59" s="165">
        <f t="shared" si="4"/>
        <v>-8.1148067492832418E-2</v>
      </c>
      <c r="L59" s="165">
        <f t="shared" si="4"/>
        <v>-2.1433971858503001E-2</v>
      </c>
      <c r="M59" s="165">
        <f t="shared" si="4"/>
        <v>2.655419675980581E-3</v>
      </c>
    </row>
    <row r="60" spans="1:15" x14ac:dyDescent="0.25">
      <c r="A60" s="195" t="s">
        <v>255</v>
      </c>
      <c r="B60" s="196">
        <f>SUM(B57:M57)</f>
        <v>3654856</v>
      </c>
    </row>
    <row r="61" spans="1:15" x14ac:dyDescent="0.25">
      <c r="A61" s="198" t="s">
        <v>256</v>
      </c>
      <c r="B61" s="196">
        <f>SUM(B58:M58)</f>
        <v>3531811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1.0348390669829162</v>
      </c>
      <c r="D62" s="152">
        <f>SUM(B46:E46)</f>
        <v>7.4099999999999993</v>
      </c>
      <c r="E62" s="152">
        <f>SUM(B49:E49)</f>
        <v>7.16</v>
      </c>
      <c r="G62" s="126">
        <f>SUM(B47:E47)</f>
        <v>16.53</v>
      </c>
      <c r="H62" s="126">
        <f>SUM(B50:E50)</f>
        <v>17.350000000000001</v>
      </c>
      <c r="J62" s="200">
        <f>AVERAGE(H46:K46)</f>
        <v>0.33847499999999997</v>
      </c>
      <c r="K62" s="200">
        <f>AVERAGE(H49:K49)</f>
        <v>0.33745000000000003</v>
      </c>
      <c r="M62" s="200">
        <f>AVERAGE(H47:K47)</f>
        <v>0.19217499999999998</v>
      </c>
      <c r="N62" s="200">
        <f>AVERAGE(H50:K50)</f>
        <v>0.201825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1.41</v>
      </c>
      <c r="C65" s="205">
        <f t="shared" si="5"/>
        <v>2.08</v>
      </c>
      <c r="D65" s="205">
        <f t="shared" si="5"/>
        <v>1.88</v>
      </c>
      <c r="E65" s="205">
        <f t="shared" si="5"/>
        <v>1.93</v>
      </c>
      <c r="F65" s="206">
        <f>IF(ISNA(HLOOKUP(F$64*10+$A65,$81:$82,2,FALSE)),(HLOOKUP(E$64*10+$A65,$87:$94,4,FALSE)*$G65+$B$25)/HLOOKUP(E$64*10+$A65,$87:$94,5,FALSE)*$E65,HLOOKUP(F$64*10+$A65,$81:$82,2,FALSE))</f>
        <v>1.21</v>
      </c>
      <c r="G65" s="101">
        <f>MIN(130%,SUM($B$57:$D$57)/SUM($B$58:$D$58)*$G$69/HLOOKUP(E$64*10+$A65,$145:$146,2,FALSE))</f>
        <v>1.0722368065513563</v>
      </c>
      <c r="H65" s="204">
        <v>1</v>
      </c>
      <c r="I65" s="208">
        <f t="shared" ref="I65:M68" si="6">IF(ISNA(HLOOKUP(I$64*10+$H65,$145:$147,3,FALSE)),"",HLOOKUP(I$64*10+$H65,$145:$147,3,FALSE)/100)</f>
        <v>0.1537</v>
      </c>
      <c r="J65" s="208">
        <f t="shared" si="6"/>
        <v>0.2051</v>
      </c>
      <c r="K65" s="208">
        <f t="shared" si="6"/>
        <v>0.20230000000000001</v>
      </c>
      <c r="L65" s="208">
        <f t="shared" si="6"/>
        <v>0.2223</v>
      </c>
      <c r="M65" s="209">
        <f t="shared" si="6"/>
        <v>0.20850000000000002</v>
      </c>
      <c r="N65" s="256">
        <f t="shared" ref="N65:O68" si="7">HLOOKUP(E$64*10+$A65,$87:$94,8,FALSE)</f>
        <v>-25527</v>
      </c>
      <c r="O65" s="256">
        <f t="shared" si="7"/>
        <v>-82906</v>
      </c>
      <c r="P65" s="210"/>
    </row>
    <row r="66" spans="1:71" x14ac:dyDescent="0.25">
      <c r="A66" s="204">
        <v>2</v>
      </c>
      <c r="B66" s="205">
        <f t="shared" si="5"/>
        <v>1.88</v>
      </c>
      <c r="C66" s="205">
        <f t="shared" si="5"/>
        <v>1.88</v>
      </c>
      <c r="D66" s="205">
        <f t="shared" si="5"/>
        <v>1.94</v>
      </c>
      <c r="E66" s="205">
        <f t="shared" si="5"/>
        <v>2.12</v>
      </c>
      <c r="F66" s="206">
        <f>IF(ISNA(HLOOKUP(F$64*10+$A66,$81:$82,2,FALSE)),(HLOOKUP(E$64*10+$A66,$87:$94,4,FALSE)*$G66+$B$25)/HLOOKUP(E$64*10+$A66,$87:$94,5,FALSE)*$E66,HLOOKUP(F$64*10+$A66,$81:$82,2,FALSE))</f>
        <v>2.02</v>
      </c>
      <c r="G66" s="101">
        <f>MIN(130%,SUM($B$57:$D$57)/SUM($B$58:$D$58)*$G$69/HLOOKUP(E$64*10+$A66,$145:$146,2,FALSE))</f>
        <v>1.0697985193278172</v>
      </c>
      <c r="H66" s="204">
        <v>2</v>
      </c>
      <c r="I66" s="208">
        <f t="shared" si="6"/>
        <v>0.19219999999999998</v>
      </c>
      <c r="J66" s="208">
        <f t="shared" si="6"/>
        <v>0.217</v>
      </c>
      <c r="K66" s="208">
        <f t="shared" si="6"/>
        <v>0.18590000000000001</v>
      </c>
      <c r="L66" s="208">
        <f t="shared" si="6"/>
        <v>0.21640000000000001</v>
      </c>
      <c r="M66" s="209">
        <f t="shared" si="6"/>
        <v>0.2016</v>
      </c>
      <c r="N66" s="256">
        <f t="shared" si="7"/>
        <v>-915</v>
      </c>
      <c r="O66" s="256">
        <f t="shared" si="7"/>
        <v>4053</v>
      </c>
      <c r="P66" s="210"/>
    </row>
    <row r="67" spans="1:71" x14ac:dyDescent="0.25">
      <c r="A67" s="204">
        <v>3</v>
      </c>
      <c r="B67" s="205">
        <f t="shared" si="5"/>
        <v>1.64</v>
      </c>
      <c r="C67" s="205">
        <f t="shared" si="5"/>
        <v>1.91</v>
      </c>
      <c r="D67" s="205">
        <f t="shared" si="5"/>
        <v>2.36</v>
      </c>
      <c r="E67" s="205">
        <f t="shared" si="5"/>
        <v>1.1499999999999999</v>
      </c>
      <c r="F67" s="206">
        <f>IF(ISNA(HLOOKUP(F$64*10+$A67,$81:$82,2,FALSE)),(HLOOKUP(E$64*10+$A67,$87:$94,4,FALSE)*$G67+$B$25)/HLOOKUP(E$64*10+$A67,$87:$94,5,FALSE)*$E67,HLOOKUP(F$64*10+$A67,$81:$82,2,FALSE))</f>
        <v>1.88</v>
      </c>
      <c r="G67" s="101">
        <f>MIN(130%,SUM($B$57:$D$57)/SUM($B$58:$D$58)*$G$69/HLOOKUP(E$64*10+$A67,$145:$146,2,FALSE))</f>
        <v>1.1509330859312725</v>
      </c>
      <c r="H67" s="204">
        <v>3</v>
      </c>
      <c r="I67" s="208">
        <f t="shared" si="6"/>
        <v>0.18989999999999999</v>
      </c>
      <c r="J67" s="208">
        <f t="shared" si="6"/>
        <v>0.19409999999999999</v>
      </c>
      <c r="K67" s="208">
        <f t="shared" si="6"/>
        <v>0.16449999999999998</v>
      </c>
      <c r="L67" s="208">
        <f t="shared" si="6"/>
        <v>0.17379999999999998</v>
      </c>
      <c r="M67" s="209">
        <f t="shared" si="6"/>
        <v>0.19070000000000001</v>
      </c>
      <c r="N67" s="256">
        <f t="shared" si="7"/>
        <v>-39322</v>
      </c>
      <c r="O67" s="256">
        <f t="shared" si="7"/>
        <v>333</v>
      </c>
      <c r="P67" s="210"/>
    </row>
    <row r="68" spans="1:71" x14ac:dyDescent="0.25">
      <c r="A68" s="204">
        <v>4</v>
      </c>
      <c r="B68" s="205">
        <f>HLOOKUP(B$64*10+$A68,$81:$82,2,FALSE)</f>
        <v>3.08</v>
      </c>
      <c r="C68" s="205">
        <f>HLOOKUP(C$64*10+$A68,$81:$82,2,FALSE)</f>
        <v>2.0499999999999998</v>
      </c>
      <c r="D68" s="205">
        <f>HLOOKUP(D$64*10+$A68,$81:$82,2,FALSE)</f>
        <v>1.96</v>
      </c>
      <c r="E68" s="206">
        <f>IF(ISNA(HLOOKUP(E$64*10+$A68,$81:$82,2,FALSE)),D68*(1-$N68)*#REF!*(1+$B$25)/(1+$E$4),HLOOKUP(E$64*10+$A68,$81:$82,2,FALSE))</f>
        <v>2.2999999999999998</v>
      </c>
      <c r="F68" s="206">
        <f>IF(ISNA(HLOOKUP(F$64*10+$A68,$81:$82,2,FALSE)),(HLOOKUP(E$64*10+$A68,$87:$94,4,FALSE)*$G68+$B$25)/HLOOKUP(E$64*10+$A68,$87:$94,5,FALSE)*$E68,HLOOKUP(F$64*10+$A68,$81:$82,2,FALSE))</f>
        <v>2.1813105100022976</v>
      </c>
      <c r="G68" s="101">
        <f>MIN(130%,SUM($B$57:$D$57)/SUM($B$58:$D$58)*$G$69/HLOOKUP(E$64*10+$A68,$145:$146,2,FALSE))</f>
        <v>1.1598000588583239</v>
      </c>
      <c r="H68" s="204">
        <v>4</v>
      </c>
      <c r="I68" s="208">
        <f t="shared" si="6"/>
        <v>0.17559999999999998</v>
      </c>
      <c r="J68" s="208">
        <f t="shared" si="6"/>
        <v>0.1825</v>
      </c>
      <c r="K68" s="208">
        <f t="shared" si="6"/>
        <v>0.1948</v>
      </c>
      <c r="L68" s="208">
        <f t="shared" si="6"/>
        <v>0.16789999999999999</v>
      </c>
      <c r="M68" s="209" t="str">
        <f t="shared" si="6"/>
        <v/>
      </c>
      <c r="N68" s="256">
        <f t="shared" si="7"/>
        <v>37927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8.01</v>
      </c>
      <c r="C69" s="213">
        <f>SUM(C65:C68)</f>
        <v>7.92</v>
      </c>
      <c r="D69" s="213">
        <f>SUM(D65:D68)</f>
        <v>8.14</v>
      </c>
      <c r="E69" s="213">
        <f>SUM(E65:E68)</f>
        <v>7.4999999999999991</v>
      </c>
      <c r="F69" s="213">
        <f>SUM(F65:F68)</f>
        <v>7.2913105100022975</v>
      </c>
      <c r="G69" s="257">
        <f>_xlfn.FORECAST.ETS(23,B146:W146,{1,2,3,4,5,6,7,8,9,10,11,12,13,14,15,16,17,18,19,20,21,22})</f>
        <v>34.108662077819247</v>
      </c>
      <c r="H69" s="214" t="s">
        <v>19</v>
      </c>
      <c r="I69" s="215">
        <f>HLOOKUP(I64,151:155,3,FALSE)/100</f>
        <v>0.17829999999999999</v>
      </c>
      <c r="J69" s="215">
        <f>HLOOKUP(J64,151:155,3,FALSE)/100</f>
        <v>0.2</v>
      </c>
      <c r="K69" s="215">
        <f>HLOOKUP(K64,151:155,3,FALSE)/100</f>
        <v>0.1875</v>
      </c>
      <c r="L69" s="215">
        <f>IF(ISNA(HLOOKUP(L64,151:155,3,FALSE)/100),AVERAGE(L65:L68),HLOOKUP(L64,151:155,3,FALSE)/100)</f>
        <v>0.19600000000000001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4.42</v>
      </c>
      <c r="C72" s="205">
        <f t="shared" si="8"/>
        <v>5.38</v>
      </c>
      <c r="D72" s="205">
        <f t="shared" si="8"/>
        <v>4.75</v>
      </c>
      <c r="E72" s="205">
        <f t="shared" si="8"/>
        <v>4.62</v>
      </c>
      <c r="F72" s="205">
        <f t="shared" si="8"/>
        <v>2.63</v>
      </c>
    </row>
    <row r="73" spans="1:71" s="135" customFormat="1" x14ac:dyDescent="0.25">
      <c r="A73" s="204">
        <v>2</v>
      </c>
      <c r="B73" s="205">
        <f t="shared" si="8"/>
        <v>5.91</v>
      </c>
      <c r="C73" s="205">
        <f t="shared" si="8"/>
        <v>4.84</v>
      </c>
      <c r="D73" s="205">
        <f t="shared" si="8"/>
        <v>5.0999999999999996</v>
      </c>
      <c r="E73" s="205">
        <f t="shared" si="8"/>
        <v>5.13</v>
      </c>
      <c r="F73" s="205">
        <f t="shared" si="8"/>
        <v>4.72</v>
      </c>
    </row>
    <row r="74" spans="1:71" s="135" customFormat="1" x14ac:dyDescent="0.25">
      <c r="A74" s="204">
        <v>3</v>
      </c>
      <c r="B74" s="205">
        <f t="shared" si="8"/>
        <v>5.15</v>
      </c>
      <c r="C74" s="205">
        <f t="shared" si="8"/>
        <v>5.28</v>
      </c>
      <c r="D74" s="205">
        <f t="shared" si="8"/>
        <v>6.31</v>
      </c>
      <c r="E74" s="205">
        <f t="shared" si="8"/>
        <v>2.69</v>
      </c>
      <c r="F74" s="205">
        <f t="shared" si="8"/>
        <v>4.42</v>
      </c>
    </row>
    <row r="75" spans="1:71" s="135" customFormat="1" x14ac:dyDescent="0.25">
      <c r="A75" s="204">
        <v>4</v>
      </c>
      <c r="B75" s="205">
        <f t="shared" si="8"/>
        <v>8.76</v>
      </c>
      <c r="C75" s="205">
        <f t="shared" si="8"/>
        <v>5.44</v>
      </c>
      <c r="D75" s="205">
        <f t="shared" si="8"/>
        <v>4.91</v>
      </c>
      <c r="E75" s="205">
        <f t="shared" si="8"/>
        <v>4.76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24.240000000000002</v>
      </c>
      <c r="C76" s="213">
        <f>SUM(C72:C75)</f>
        <v>20.94</v>
      </c>
      <c r="D76" s="213">
        <f>SUM(D72:D75)</f>
        <v>21.07</v>
      </c>
      <c r="E76" s="213">
        <f>AVERAGE(E72:E75)*4</f>
        <v>17.2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247917</v>
      </c>
      <c r="C79" s="270">
        <v>251446</v>
      </c>
      <c r="D79" s="270">
        <v>261245</v>
      </c>
      <c r="E79" s="270">
        <v>257575</v>
      </c>
      <c r="F79" s="270">
        <v>257078</v>
      </c>
      <c r="G79" s="270">
        <v>245662</v>
      </c>
      <c r="H79" s="270">
        <v>227773</v>
      </c>
      <c r="I79" s="270">
        <v>230577</v>
      </c>
      <c r="J79" s="270">
        <v>226629</v>
      </c>
      <c r="K79" s="270">
        <v>245044</v>
      </c>
      <c r="L79" s="270">
        <v>261056</v>
      </c>
      <c r="M79" s="270">
        <v>236626</v>
      </c>
      <c r="N79" s="270">
        <v>281127</v>
      </c>
      <c r="O79" s="270">
        <v>224239</v>
      </c>
      <c r="P79" s="270">
        <v>285549</v>
      </c>
      <c r="Q79" s="270">
        <v>305790</v>
      </c>
      <c r="R79" s="270">
        <v>310770</v>
      </c>
      <c r="S79" s="270">
        <v>265883</v>
      </c>
      <c r="T79" s="270">
        <v>283157</v>
      </c>
      <c r="U79" s="270">
        <v>269250</v>
      </c>
      <c r="V79" s="270">
        <v>252054</v>
      </c>
      <c r="W79" s="270">
        <v>282879</v>
      </c>
      <c r="X79" s="270">
        <v>275120</v>
      </c>
      <c r="Y79" s="270">
        <v>251630</v>
      </c>
      <c r="Z79" s="270">
        <v>304769</v>
      </c>
      <c r="AA79" s="270">
        <v>276774</v>
      </c>
      <c r="AB79" s="270">
        <v>303706</v>
      </c>
      <c r="AC79" s="270">
        <v>319555</v>
      </c>
      <c r="AD79" s="270">
        <v>310742</v>
      </c>
      <c r="AE79" s="270">
        <v>268064</v>
      </c>
      <c r="AF79" s="270">
        <v>302700</v>
      </c>
      <c r="AG79" s="270">
        <v>272562</v>
      </c>
      <c r="AH79" s="270">
        <v>285897</v>
      </c>
      <c r="AI79" s="270">
        <v>299964</v>
      </c>
      <c r="AJ79" s="270">
        <v>270535</v>
      </c>
      <c r="AK79" s="270">
        <v>263843</v>
      </c>
      <c r="AL79" s="270">
        <v>304121</v>
      </c>
      <c r="AM79" s="270">
        <v>281339</v>
      </c>
      <c r="AN79" s="270">
        <v>312098</v>
      </c>
      <c r="AO79" s="270">
        <v>329019</v>
      </c>
      <c r="AP79" s="270">
        <v>320145</v>
      </c>
      <c r="AQ79" s="270">
        <v>295077</v>
      </c>
      <c r="AR79" s="270">
        <v>278283</v>
      </c>
      <c r="AS79" s="270">
        <v>245375</v>
      </c>
      <c r="AT79" s="270">
        <v>276975</v>
      </c>
      <c r="AU79" s="270">
        <v>297769</v>
      </c>
      <c r="AV79" s="270">
        <v>309179</v>
      </c>
      <c r="AW79" s="270">
        <v>298918</v>
      </c>
      <c r="AX79" s="270">
        <v>319145</v>
      </c>
      <c r="AY79" s="270">
        <v>275475</v>
      </c>
      <c r="AZ79" s="270">
        <v>316153</v>
      </c>
      <c r="BA79" s="270">
        <v>310787</v>
      </c>
      <c r="BB79" s="270">
        <v>312257</v>
      </c>
      <c r="BC79" s="270">
        <v>295302</v>
      </c>
      <c r="BD79" s="270">
        <v>272519</v>
      </c>
      <c r="BE79" s="270">
        <v>254179</v>
      </c>
      <c r="BF79" s="270">
        <v>283019</v>
      </c>
      <c r="BG79" s="270">
        <v>284878</v>
      </c>
      <c r="BH79" s="270">
        <v>310000</v>
      </c>
      <c r="BI79" s="270">
        <v>292511</v>
      </c>
      <c r="BJ79" s="270">
        <v>293247</v>
      </c>
      <c r="BK79" s="270">
        <v>291406</v>
      </c>
      <c r="BL79" s="270">
        <v>325936</v>
      </c>
      <c r="BM79" s="270">
        <v>325710</v>
      </c>
      <c r="BN79" s="270">
        <v>317112</v>
      </c>
      <c r="BO79" s="270">
        <v>312924</v>
      </c>
      <c r="BP79" s="270">
        <v>278931</v>
      </c>
      <c r="BQ79" s="270">
        <v>277230</v>
      </c>
      <c r="BR79" s="270">
        <v>303106</v>
      </c>
      <c r="BS79" s="270">
        <v>326743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1.21</v>
      </c>
      <c r="C82" s="72">
        <v>1.05</v>
      </c>
      <c r="D82" s="72">
        <v>0.87</v>
      </c>
      <c r="E82" s="72">
        <v>1.34</v>
      </c>
      <c r="F82" s="72">
        <v>1.41</v>
      </c>
      <c r="G82" s="72">
        <v>1.88</v>
      </c>
      <c r="H82" s="72">
        <v>1.64</v>
      </c>
      <c r="I82" s="72">
        <v>3.08</v>
      </c>
      <c r="J82" s="72">
        <v>2.08</v>
      </c>
      <c r="K82" s="72">
        <v>1.88</v>
      </c>
      <c r="L82" s="72">
        <v>1.91</v>
      </c>
      <c r="M82" s="72">
        <v>2.0499999999999998</v>
      </c>
      <c r="N82" s="72">
        <v>1.88</v>
      </c>
      <c r="O82" s="72">
        <v>1.94</v>
      </c>
      <c r="P82" s="72">
        <v>2.36</v>
      </c>
      <c r="Q82" s="72">
        <v>1.96</v>
      </c>
      <c r="R82" s="72">
        <v>1.93</v>
      </c>
      <c r="S82" s="72">
        <v>2.12</v>
      </c>
      <c r="T82" s="72">
        <v>1.1499999999999999</v>
      </c>
      <c r="U82" s="72">
        <v>2.2999999999999998</v>
      </c>
      <c r="V82" s="72">
        <v>1.21</v>
      </c>
      <c r="W82" s="72">
        <v>2.02</v>
      </c>
      <c r="X82" s="72">
        <v>1.88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33.700000000000003</v>
      </c>
      <c r="C85" s="72">
        <v>30.77</v>
      </c>
      <c r="D85" s="72">
        <v>30.19</v>
      </c>
      <c r="E85" s="72">
        <v>30.62</v>
      </c>
      <c r="F85" s="72">
        <v>32.630000000000003</v>
      </c>
      <c r="G85" s="72">
        <v>31.02</v>
      </c>
      <c r="H85" s="72">
        <v>32.56</v>
      </c>
      <c r="I85" s="72">
        <v>35.880000000000003</v>
      </c>
      <c r="J85" s="72">
        <v>37.950000000000003</v>
      </c>
      <c r="K85" s="72">
        <v>34.31</v>
      </c>
      <c r="L85" s="72">
        <v>36.31</v>
      </c>
      <c r="M85" s="72">
        <v>38.380000000000003</v>
      </c>
      <c r="N85" s="72">
        <v>40.24</v>
      </c>
      <c r="O85" s="72">
        <v>36.15</v>
      </c>
      <c r="P85" s="72">
        <v>38.880000000000003</v>
      </c>
      <c r="Q85" s="72">
        <v>40.76</v>
      </c>
      <c r="R85" s="72">
        <v>42.68</v>
      </c>
      <c r="S85" s="72">
        <v>38.26</v>
      </c>
      <c r="T85" s="72">
        <v>39.369999999999997</v>
      </c>
      <c r="U85" s="72">
        <v>41.59</v>
      </c>
      <c r="V85" s="72">
        <v>42.75</v>
      </c>
      <c r="W85" s="72">
        <v>38.090000000000003</v>
      </c>
      <c r="X85" s="72">
        <v>41.55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762278</v>
      </c>
      <c r="C88" s="273">
        <v>760314</v>
      </c>
      <c r="D88" s="273">
        <v>685035</v>
      </c>
      <c r="E88" s="273">
        <v>742726</v>
      </c>
      <c r="F88" s="273">
        <v>791827</v>
      </c>
      <c r="G88" s="273">
        <v>879605</v>
      </c>
      <c r="H88" s="273">
        <v>803234</v>
      </c>
      <c r="I88" s="273">
        <v>809791</v>
      </c>
      <c r="J88" s="273">
        <v>882459</v>
      </c>
      <c r="K88" s="273">
        <v>900814</v>
      </c>
      <c r="L88" s="273">
        <v>861544</v>
      </c>
      <c r="M88" s="273">
        <v>834209</v>
      </c>
      <c r="N88" s="273">
        <v>897562</v>
      </c>
      <c r="O88" s="273">
        <v>944237</v>
      </c>
      <c r="P88" s="273">
        <v>800633</v>
      </c>
      <c r="Q88" s="273">
        <v>905866</v>
      </c>
      <c r="R88" s="273">
        <v>910773</v>
      </c>
      <c r="S88" s="273">
        <v>917067</v>
      </c>
      <c r="T88" s="273">
        <v>805464</v>
      </c>
      <c r="U88" s="273">
        <v>888736</v>
      </c>
      <c r="V88" s="273">
        <v>910188</v>
      </c>
      <c r="W88" s="273">
        <v>958646</v>
      </c>
      <c r="X88" s="273">
        <v>858907</v>
      </c>
    </row>
    <row r="89" spans="1:25" ht="14.25" thickBot="1" x14ac:dyDescent="0.3">
      <c r="A89" s="250" t="s">
        <v>4</v>
      </c>
      <c r="B89" s="275">
        <v>173580</v>
      </c>
      <c r="C89" s="275">
        <v>171039</v>
      </c>
      <c r="D89" s="275">
        <v>152376</v>
      </c>
      <c r="E89" s="275">
        <v>204251</v>
      </c>
      <c r="F89" s="275">
        <v>207412</v>
      </c>
      <c r="G89" s="275">
        <v>253206</v>
      </c>
      <c r="H89" s="275">
        <v>236834</v>
      </c>
      <c r="I89" s="275">
        <v>242226</v>
      </c>
      <c r="J89" s="275">
        <v>275356</v>
      </c>
      <c r="K89" s="275">
        <v>290447</v>
      </c>
      <c r="L89" s="275">
        <v>276019</v>
      </c>
      <c r="M89" s="275">
        <v>259649</v>
      </c>
      <c r="N89" s="275">
        <v>283518</v>
      </c>
      <c r="O89" s="275">
        <v>304446</v>
      </c>
      <c r="P89" s="275">
        <v>250224</v>
      </c>
      <c r="Q89" s="275">
        <v>289854</v>
      </c>
      <c r="R89" s="275">
        <v>319726</v>
      </c>
      <c r="S89" s="275">
        <v>322593</v>
      </c>
      <c r="T89" s="275">
        <v>263407</v>
      </c>
      <c r="U89" s="275">
        <v>288424</v>
      </c>
      <c r="V89" s="275">
        <v>314229</v>
      </c>
      <c r="W89" s="275">
        <v>323980</v>
      </c>
      <c r="X89" s="275">
        <v>297363</v>
      </c>
    </row>
    <row r="90" spans="1:25" ht="14.25" thickBot="1" x14ac:dyDescent="0.3">
      <c r="A90" s="251" t="s">
        <v>5</v>
      </c>
      <c r="B90" s="273">
        <v>106677</v>
      </c>
      <c r="C90" s="273">
        <v>97505</v>
      </c>
      <c r="D90" s="273">
        <v>85694</v>
      </c>
      <c r="E90" s="273">
        <v>133881</v>
      </c>
      <c r="F90" s="273">
        <v>121717</v>
      </c>
      <c r="G90" s="273">
        <v>169029</v>
      </c>
      <c r="H90" s="273">
        <v>152569</v>
      </c>
      <c r="I90" s="273">
        <v>142174</v>
      </c>
      <c r="J90" s="273">
        <v>181003</v>
      </c>
      <c r="K90" s="273">
        <v>195505</v>
      </c>
      <c r="L90" s="273">
        <v>167185</v>
      </c>
      <c r="M90" s="273">
        <v>152281</v>
      </c>
      <c r="N90" s="273">
        <v>181608</v>
      </c>
      <c r="O90" s="273">
        <v>175574</v>
      </c>
      <c r="P90" s="273">
        <v>131678</v>
      </c>
      <c r="Q90" s="273">
        <v>176506</v>
      </c>
      <c r="R90" s="273">
        <v>202507</v>
      </c>
      <c r="S90" s="273">
        <v>198455</v>
      </c>
      <c r="T90" s="273">
        <v>140009</v>
      </c>
      <c r="U90" s="273">
        <v>149207</v>
      </c>
      <c r="V90" s="273">
        <v>189763</v>
      </c>
      <c r="W90" s="273">
        <v>193309</v>
      </c>
      <c r="X90" s="273">
        <v>163764</v>
      </c>
    </row>
    <row r="91" spans="1:25" ht="14.25" thickBot="1" x14ac:dyDescent="0.3">
      <c r="A91" s="250" t="s">
        <v>6</v>
      </c>
      <c r="B91" s="275">
        <v>102985</v>
      </c>
      <c r="C91" s="275">
        <v>101747</v>
      </c>
      <c r="D91" s="275">
        <v>79464</v>
      </c>
      <c r="E91" s="275">
        <v>122772</v>
      </c>
      <c r="F91" s="275">
        <v>124590</v>
      </c>
      <c r="G91" s="275">
        <v>170898</v>
      </c>
      <c r="H91" s="275">
        <v>149382</v>
      </c>
      <c r="I91" s="275">
        <v>260920</v>
      </c>
      <c r="J91" s="275">
        <v>189785</v>
      </c>
      <c r="K91" s="275">
        <v>186284</v>
      </c>
      <c r="L91" s="275">
        <v>175712</v>
      </c>
      <c r="M91" s="275">
        <v>177359</v>
      </c>
      <c r="N91" s="275">
        <v>171303</v>
      </c>
      <c r="O91" s="275">
        <v>182739</v>
      </c>
      <c r="P91" s="275">
        <v>212180</v>
      </c>
      <c r="Q91" s="275">
        <v>170640</v>
      </c>
      <c r="R91" s="275">
        <v>176980</v>
      </c>
      <c r="S91" s="275">
        <v>197540</v>
      </c>
      <c r="T91" s="275">
        <v>100687</v>
      </c>
      <c r="U91" s="275">
        <v>187134</v>
      </c>
      <c r="V91" s="275">
        <v>106857</v>
      </c>
      <c r="W91" s="275">
        <v>197362</v>
      </c>
      <c r="X91" s="275">
        <v>164097</v>
      </c>
    </row>
    <row r="92" spans="1:25" ht="14.25" thickBot="1" x14ac:dyDescent="0.3">
      <c r="A92" s="251" t="s">
        <v>7</v>
      </c>
      <c r="B92" s="273">
        <v>86318</v>
      </c>
      <c r="C92" s="273">
        <v>78723</v>
      </c>
      <c r="D92" s="273">
        <v>65406</v>
      </c>
      <c r="E92" s="273">
        <v>100142</v>
      </c>
      <c r="F92" s="273">
        <v>103429</v>
      </c>
      <c r="G92" s="273">
        <v>139949</v>
      </c>
      <c r="H92" s="273">
        <v>121936</v>
      </c>
      <c r="I92" s="273">
        <v>231258</v>
      </c>
      <c r="J92" s="273">
        <v>158004</v>
      </c>
      <c r="K92" s="273">
        <v>139071</v>
      </c>
      <c r="L92" s="273">
        <v>144984</v>
      </c>
      <c r="M92" s="273">
        <v>154497</v>
      </c>
      <c r="N92" s="273">
        <v>142060</v>
      </c>
      <c r="O92" s="273">
        <v>146637</v>
      </c>
      <c r="P92" s="273">
        <v>176613</v>
      </c>
      <c r="Q92" s="273">
        <v>146287</v>
      </c>
      <c r="R92" s="273">
        <v>144247</v>
      </c>
      <c r="S92" s="273">
        <v>157946</v>
      </c>
      <c r="T92" s="273">
        <v>80943</v>
      </c>
      <c r="U92" s="273">
        <v>148195</v>
      </c>
      <c r="V92" s="273">
        <v>84700</v>
      </c>
      <c r="W92" s="273">
        <v>145760</v>
      </c>
      <c r="X92" s="273">
        <v>134293</v>
      </c>
    </row>
    <row r="93" spans="1:25" ht="26.25" thickBot="1" x14ac:dyDescent="0.3">
      <c r="A93" s="252" t="s">
        <v>8</v>
      </c>
      <c r="B93" s="276">
        <v>86318</v>
      </c>
      <c r="C93" s="276">
        <v>78723</v>
      </c>
      <c r="D93" s="276">
        <v>65406</v>
      </c>
      <c r="E93" s="276">
        <v>100142</v>
      </c>
      <c r="F93" s="276">
        <v>103429</v>
      </c>
      <c r="G93" s="276">
        <v>139949</v>
      </c>
      <c r="H93" s="276">
        <v>121936</v>
      </c>
      <c r="I93" s="276">
        <v>228691</v>
      </c>
      <c r="J93" s="276">
        <v>154482</v>
      </c>
      <c r="K93" s="276">
        <v>139949</v>
      </c>
      <c r="L93" s="276">
        <v>141827</v>
      </c>
      <c r="M93" s="276">
        <v>152641</v>
      </c>
      <c r="N93" s="276">
        <v>139713</v>
      </c>
      <c r="O93" s="276">
        <v>144306</v>
      </c>
      <c r="P93" s="276">
        <v>176613</v>
      </c>
      <c r="Q93" s="276">
        <v>146287</v>
      </c>
      <c r="R93" s="276">
        <v>144247</v>
      </c>
      <c r="S93" s="276">
        <v>158807</v>
      </c>
      <c r="T93" s="276">
        <v>86355</v>
      </c>
      <c r="U93" s="276">
        <v>172272</v>
      </c>
      <c r="V93" s="276">
        <v>90881</v>
      </c>
      <c r="W93" s="276">
        <v>151336</v>
      </c>
      <c r="X93" s="276">
        <v>141102</v>
      </c>
    </row>
    <row r="94" spans="1:25" x14ac:dyDescent="0.25">
      <c r="A94" s="233" t="s">
        <v>365</v>
      </c>
      <c r="B94" s="253">
        <f>IF(B91="","",B91-B90)</f>
        <v>-3692</v>
      </c>
      <c r="C94" s="253">
        <f>IF(C91="","",C91-C90)</f>
        <v>4242</v>
      </c>
      <c r="D94" s="253">
        <f t="shared" ref="D94:Y94" si="9">IF(D91="","",D91-D90)</f>
        <v>-6230</v>
      </c>
      <c r="E94" s="253">
        <f t="shared" si="9"/>
        <v>-11109</v>
      </c>
      <c r="F94" s="253">
        <f t="shared" si="9"/>
        <v>2873</v>
      </c>
      <c r="G94" s="253">
        <f t="shared" si="9"/>
        <v>1869</v>
      </c>
      <c r="H94" s="253">
        <f t="shared" si="9"/>
        <v>-3187</v>
      </c>
      <c r="I94" s="253">
        <f t="shared" si="9"/>
        <v>118746</v>
      </c>
      <c r="J94" s="253">
        <f t="shared" si="9"/>
        <v>8782</v>
      </c>
      <c r="K94" s="253">
        <f t="shared" si="9"/>
        <v>-9221</v>
      </c>
      <c r="L94" s="253">
        <f t="shared" si="9"/>
        <v>8527</v>
      </c>
      <c r="M94" s="253">
        <f t="shared" si="9"/>
        <v>25078</v>
      </c>
      <c r="N94" s="253">
        <f t="shared" si="9"/>
        <v>-10305</v>
      </c>
      <c r="O94" s="253">
        <f t="shared" si="9"/>
        <v>7165</v>
      </c>
      <c r="P94" s="253">
        <f t="shared" si="9"/>
        <v>80502</v>
      </c>
      <c r="Q94" s="253">
        <f t="shared" si="9"/>
        <v>-5866</v>
      </c>
      <c r="R94" s="253">
        <f t="shared" si="9"/>
        <v>-25527</v>
      </c>
      <c r="S94" s="253">
        <f t="shared" si="9"/>
        <v>-915</v>
      </c>
      <c r="T94" s="253">
        <f t="shared" si="9"/>
        <v>-39322</v>
      </c>
      <c r="U94" s="253">
        <f t="shared" si="9"/>
        <v>37927</v>
      </c>
      <c r="V94" s="253">
        <f t="shared" si="9"/>
        <v>-82906</v>
      </c>
      <c r="W94" s="253">
        <f t="shared" si="9"/>
        <v>4053</v>
      </c>
      <c r="X94" s="253">
        <f t="shared" si="9"/>
        <v>333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2950353</v>
      </c>
      <c r="C97" s="273">
        <v>3284457</v>
      </c>
      <c r="D97" s="273">
        <v>3479026</v>
      </c>
      <c r="E97" s="273">
        <v>3548298</v>
      </c>
      <c r="F97" s="273">
        <v>3522040</v>
      </c>
    </row>
    <row r="98" spans="1:24" ht="14.25" thickBot="1" x14ac:dyDescent="0.3">
      <c r="A98" s="225" t="s">
        <v>4</v>
      </c>
      <c r="B98" s="275">
        <v>701246</v>
      </c>
      <c r="C98" s="275">
        <v>939678</v>
      </c>
      <c r="D98" s="275">
        <v>1101471</v>
      </c>
      <c r="E98" s="275">
        <v>1128042</v>
      </c>
      <c r="F98" s="275">
        <v>1194150</v>
      </c>
    </row>
    <row r="99" spans="1:24" ht="14.25" thickBot="1" x14ac:dyDescent="0.3">
      <c r="A99" s="224" t="s">
        <v>5</v>
      </c>
      <c r="B99" s="273">
        <v>423757</v>
      </c>
      <c r="C99" s="273">
        <v>585489</v>
      </c>
      <c r="D99" s="273">
        <v>695974</v>
      </c>
      <c r="E99" s="273">
        <v>665366</v>
      </c>
      <c r="F99" s="273">
        <v>690178</v>
      </c>
    </row>
    <row r="100" spans="1:24" ht="14.25" thickBot="1" x14ac:dyDescent="0.3">
      <c r="A100" s="225" t="s">
        <v>6</v>
      </c>
      <c r="B100" s="275">
        <v>406968</v>
      </c>
      <c r="C100" s="275">
        <v>705790</v>
      </c>
      <c r="D100" s="275">
        <v>729140</v>
      </c>
      <c r="E100" s="275">
        <v>736862</v>
      </c>
      <c r="F100" s="275">
        <v>662341</v>
      </c>
    </row>
    <row r="101" spans="1:24" ht="14.25" thickBot="1" x14ac:dyDescent="0.3">
      <c r="A101" s="224" t="s">
        <v>7</v>
      </c>
      <c r="B101" s="273">
        <v>330589</v>
      </c>
      <c r="C101" s="273">
        <v>596572</v>
      </c>
      <c r="D101" s="273">
        <v>596556</v>
      </c>
      <c r="E101" s="273">
        <v>611597</v>
      </c>
      <c r="F101" s="273">
        <v>531331</v>
      </c>
    </row>
    <row r="102" spans="1:24" ht="14.25" thickBot="1" x14ac:dyDescent="0.3">
      <c r="A102" s="227" t="s">
        <v>8</v>
      </c>
      <c r="B102" s="276">
        <v>330589</v>
      </c>
      <c r="C102" s="276">
        <v>594005</v>
      </c>
      <c r="D102" s="276">
        <v>588899</v>
      </c>
      <c r="E102" s="276">
        <v>606919</v>
      </c>
      <c r="F102" s="276">
        <v>561681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0.99569708266562962</v>
      </c>
      <c r="D103" s="234">
        <f>IF(OR(D102="",D102="無"),"",D102/D101)</f>
        <v>0.98716465847296819</v>
      </c>
      <c r="E103" s="234">
        <f>IF(OR(E102="",E102="無"),"",E102/E101)</f>
        <v>0.99235117242236304</v>
      </c>
      <c r="F103" s="234">
        <f>IF(OR(F102="",F102="無"),"",F102/F101)</f>
        <v>1.0571207025375895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386703</v>
      </c>
      <c r="C106" s="273">
        <v>332789</v>
      </c>
      <c r="D106" s="273">
        <v>227989</v>
      </c>
      <c r="E106" s="273">
        <v>200743</v>
      </c>
      <c r="F106" s="273">
        <v>319635</v>
      </c>
      <c r="G106" s="273">
        <v>308398</v>
      </c>
      <c r="H106" s="273">
        <v>153338</v>
      </c>
      <c r="I106" s="273">
        <v>393491</v>
      </c>
      <c r="J106" s="273">
        <v>415081</v>
      </c>
      <c r="K106" s="273">
        <v>350750</v>
      </c>
      <c r="L106" s="273">
        <v>194395</v>
      </c>
      <c r="M106" s="273">
        <v>252114</v>
      </c>
      <c r="N106" s="273">
        <v>436350</v>
      </c>
      <c r="O106" s="273">
        <v>555128</v>
      </c>
      <c r="P106" s="273">
        <v>594952</v>
      </c>
      <c r="Q106" s="273">
        <v>536257</v>
      </c>
      <c r="R106" s="273">
        <v>638138</v>
      </c>
      <c r="S106" s="273">
        <v>1069924</v>
      </c>
      <c r="T106" s="273">
        <v>994542</v>
      </c>
      <c r="U106" s="273">
        <v>1133057</v>
      </c>
      <c r="V106" s="273">
        <v>1009059</v>
      </c>
      <c r="W106" s="273">
        <v>908833</v>
      </c>
      <c r="X106" s="273">
        <v>604238</v>
      </c>
    </row>
    <row r="107" spans="1:24" ht="14.25" thickBot="1" x14ac:dyDescent="0.3">
      <c r="A107" s="225" t="s">
        <v>22</v>
      </c>
      <c r="B107" s="274">
        <v>401</v>
      </c>
      <c r="C107" s="275">
        <v>2294</v>
      </c>
      <c r="D107" s="275">
        <v>3797</v>
      </c>
      <c r="E107" s="274">
        <v>250</v>
      </c>
      <c r="F107" s="275">
        <v>3020</v>
      </c>
      <c r="G107" s="275">
        <v>5585</v>
      </c>
      <c r="H107" s="275">
        <v>4885</v>
      </c>
      <c r="I107" s="275">
        <v>244319</v>
      </c>
      <c r="J107" s="275">
        <v>219384</v>
      </c>
      <c r="K107" s="275">
        <v>243731</v>
      </c>
      <c r="L107" s="275">
        <v>61115</v>
      </c>
      <c r="M107" s="275">
        <v>11682</v>
      </c>
      <c r="N107" s="275">
        <v>13552</v>
      </c>
      <c r="O107" s="275">
        <v>4645</v>
      </c>
      <c r="P107" s="275">
        <v>5505</v>
      </c>
      <c r="Q107" s="275">
        <v>4946</v>
      </c>
      <c r="R107" s="275">
        <v>3316</v>
      </c>
      <c r="S107" s="275">
        <v>5742</v>
      </c>
      <c r="T107" s="275">
        <v>3777</v>
      </c>
      <c r="U107" s="275">
        <v>9676</v>
      </c>
      <c r="V107" s="275">
        <v>4702</v>
      </c>
      <c r="W107" s="275">
        <v>4341</v>
      </c>
      <c r="X107" s="275">
        <v>3867</v>
      </c>
    </row>
    <row r="108" spans="1:24" ht="14.25" thickBot="1" x14ac:dyDescent="0.3">
      <c r="A108" s="224" t="s">
        <v>263</v>
      </c>
      <c r="B108" s="273">
        <v>540177</v>
      </c>
      <c r="C108" s="273">
        <v>533283</v>
      </c>
      <c r="D108" s="273">
        <v>474770</v>
      </c>
      <c r="E108" s="273">
        <v>538135</v>
      </c>
      <c r="F108" s="273">
        <v>476980</v>
      </c>
      <c r="G108" s="273">
        <v>584955</v>
      </c>
      <c r="H108" s="273">
        <v>511570</v>
      </c>
      <c r="I108" s="273">
        <v>525049</v>
      </c>
      <c r="J108" s="273">
        <v>598612</v>
      </c>
      <c r="K108" s="273">
        <v>661966</v>
      </c>
      <c r="L108" s="273">
        <v>535865</v>
      </c>
      <c r="M108" s="273">
        <v>550925</v>
      </c>
      <c r="N108" s="273">
        <v>554748</v>
      </c>
      <c r="O108" s="273">
        <v>670137</v>
      </c>
      <c r="P108" s="273">
        <v>601350</v>
      </c>
      <c r="Q108" s="273">
        <v>618821</v>
      </c>
      <c r="R108" s="273">
        <v>619142</v>
      </c>
      <c r="S108" s="273">
        <v>595789</v>
      </c>
      <c r="T108" s="273">
        <v>493826</v>
      </c>
      <c r="U108" s="273">
        <v>570867</v>
      </c>
      <c r="V108" s="273">
        <v>536177</v>
      </c>
      <c r="W108" s="273">
        <v>618373</v>
      </c>
      <c r="X108" s="273">
        <v>583264</v>
      </c>
    </row>
    <row r="109" spans="1:24" ht="14.25" thickBot="1" x14ac:dyDescent="0.3">
      <c r="A109" s="225" t="s">
        <v>264</v>
      </c>
      <c r="B109" s="275">
        <v>402864</v>
      </c>
      <c r="C109" s="275">
        <v>357484</v>
      </c>
      <c r="D109" s="275">
        <v>310336</v>
      </c>
      <c r="E109" s="275">
        <v>332868</v>
      </c>
      <c r="F109" s="275">
        <v>318984</v>
      </c>
      <c r="G109" s="275">
        <v>358842</v>
      </c>
      <c r="H109" s="275">
        <v>376654</v>
      </c>
      <c r="I109" s="275">
        <v>461394</v>
      </c>
      <c r="J109" s="275">
        <v>435662</v>
      </c>
      <c r="K109" s="275">
        <v>503226</v>
      </c>
      <c r="L109" s="275">
        <v>589254</v>
      </c>
      <c r="M109" s="275">
        <v>604079</v>
      </c>
      <c r="N109" s="275">
        <v>519722</v>
      </c>
      <c r="O109" s="275">
        <v>479359</v>
      </c>
      <c r="P109" s="275">
        <v>472550</v>
      </c>
      <c r="Q109" s="275">
        <v>429935</v>
      </c>
      <c r="R109" s="275">
        <v>422310</v>
      </c>
      <c r="S109" s="275">
        <v>437027</v>
      </c>
      <c r="T109" s="275">
        <v>404350</v>
      </c>
      <c r="U109" s="275">
        <v>433916</v>
      </c>
      <c r="V109" s="275">
        <v>423604</v>
      </c>
      <c r="W109" s="275">
        <v>418397</v>
      </c>
      <c r="X109" s="275">
        <v>460628</v>
      </c>
    </row>
    <row r="110" spans="1:24" ht="14.25" thickBot="1" x14ac:dyDescent="0.3">
      <c r="A110" s="224" t="s">
        <v>23</v>
      </c>
      <c r="B110" s="273">
        <v>60098</v>
      </c>
      <c r="C110" s="273">
        <v>60381</v>
      </c>
      <c r="D110" s="273">
        <v>90290</v>
      </c>
      <c r="E110" s="273">
        <v>45099</v>
      </c>
      <c r="F110" s="273">
        <v>48120</v>
      </c>
      <c r="G110" s="273">
        <v>38505</v>
      </c>
      <c r="H110" s="273">
        <v>59134</v>
      </c>
      <c r="I110" s="273">
        <v>53944</v>
      </c>
      <c r="J110" s="273">
        <v>75513</v>
      </c>
      <c r="K110" s="273">
        <v>66804</v>
      </c>
      <c r="L110" s="273">
        <v>71535</v>
      </c>
      <c r="M110" s="273">
        <v>53894</v>
      </c>
      <c r="N110" s="273">
        <v>73888</v>
      </c>
      <c r="O110" s="273">
        <v>52120</v>
      </c>
      <c r="P110" s="273">
        <v>52309</v>
      </c>
      <c r="Q110" s="273">
        <v>42662</v>
      </c>
      <c r="R110" s="273">
        <v>54438</v>
      </c>
      <c r="S110" s="273">
        <v>50392</v>
      </c>
      <c r="T110" s="273">
        <v>54960</v>
      </c>
      <c r="U110" s="273">
        <v>44870</v>
      </c>
      <c r="V110" s="273">
        <v>58527</v>
      </c>
      <c r="W110" s="273">
        <v>55308</v>
      </c>
      <c r="X110" s="273">
        <v>76494</v>
      </c>
    </row>
    <row r="111" spans="1:24" ht="14.25" thickBot="1" x14ac:dyDescent="0.3">
      <c r="A111" s="225" t="s">
        <v>24</v>
      </c>
      <c r="B111" s="275">
        <v>1390243</v>
      </c>
      <c r="C111" s="275">
        <v>1286231</v>
      </c>
      <c r="D111" s="275">
        <v>1107182</v>
      </c>
      <c r="E111" s="275">
        <v>1117095</v>
      </c>
      <c r="F111" s="275">
        <v>1166739</v>
      </c>
      <c r="G111" s="275">
        <v>1296285</v>
      </c>
      <c r="H111" s="275">
        <v>1105581</v>
      </c>
      <c r="I111" s="275">
        <v>1678197</v>
      </c>
      <c r="J111" s="275">
        <v>1744252</v>
      </c>
      <c r="K111" s="275">
        <v>1826477</v>
      </c>
      <c r="L111" s="275">
        <v>1452164</v>
      </c>
      <c r="M111" s="275">
        <v>1472694</v>
      </c>
      <c r="N111" s="275">
        <v>1598260</v>
      </c>
      <c r="O111" s="275">
        <v>1761389</v>
      </c>
      <c r="P111" s="275">
        <v>1726666</v>
      </c>
      <c r="Q111" s="275">
        <v>1632621</v>
      </c>
      <c r="R111" s="275">
        <v>1737344</v>
      </c>
      <c r="S111" s="275">
        <v>2158874</v>
      </c>
      <c r="T111" s="275">
        <v>1951455</v>
      </c>
      <c r="U111" s="275">
        <v>2192386</v>
      </c>
      <c r="V111" s="275">
        <v>2032069</v>
      </c>
      <c r="W111" s="275">
        <v>2005252</v>
      </c>
      <c r="X111" s="275">
        <v>1728491</v>
      </c>
    </row>
    <row r="112" spans="1:24" ht="14.25" thickBot="1" x14ac:dyDescent="0.3">
      <c r="A112" s="224" t="s">
        <v>25</v>
      </c>
      <c r="B112" s="273">
        <v>292086</v>
      </c>
      <c r="C112" s="273">
        <v>290253</v>
      </c>
      <c r="D112" s="273">
        <v>288788</v>
      </c>
      <c r="E112" s="273">
        <v>374257</v>
      </c>
      <c r="F112" s="273">
        <v>369463</v>
      </c>
      <c r="G112" s="273">
        <v>365665</v>
      </c>
      <c r="H112" s="273">
        <v>358127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273">
        <v>131400</v>
      </c>
      <c r="R112" s="273">
        <v>141171</v>
      </c>
      <c r="S112" s="68">
        <v>0</v>
      </c>
      <c r="T112" s="68">
        <v>0</v>
      </c>
      <c r="U112" s="68">
        <v>0</v>
      </c>
      <c r="V112" s="273">
        <v>300807</v>
      </c>
      <c r="W112" s="273">
        <v>284070</v>
      </c>
      <c r="X112" s="273">
        <v>407912</v>
      </c>
    </row>
    <row r="113" spans="1:24" ht="14.25" thickBot="1" x14ac:dyDescent="0.3">
      <c r="A113" s="225" t="s">
        <v>26</v>
      </c>
      <c r="B113" s="275">
        <v>1474351</v>
      </c>
      <c r="C113" s="275">
        <v>1551520</v>
      </c>
      <c r="D113" s="275">
        <v>1608164</v>
      </c>
      <c r="E113" s="275">
        <v>1633624</v>
      </c>
      <c r="F113" s="275">
        <v>1602183</v>
      </c>
      <c r="G113" s="275">
        <v>1622745</v>
      </c>
      <c r="H113" s="275">
        <v>1623447</v>
      </c>
      <c r="I113" s="275">
        <v>1740274</v>
      </c>
      <c r="J113" s="275">
        <v>1742081</v>
      </c>
      <c r="K113" s="275">
        <v>1766674</v>
      </c>
      <c r="L113" s="275">
        <v>1770790</v>
      </c>
      <c r="M113" s="275">
        <v>1864355</v>
      </c>
      <c r="N113" s="275">
        <v>1819323</v>
      </c>
      <c r="O113" s="275">
        <v>1788137</v>
      </c>
      <c r="P113" s="275">
        <v>1783898</v>
      </c>
      <c r="Q113" s="275">
        <v>1741460</v>
      </c>
      <c r="R113" s="275">
        <v>1740812</v>
      </c>
      <c r="S113" s="275">
        <v>1715394</v>
      </c>
      <c r="T113" s="275">
        <v>1685261</v>
      </c>
      <c r="U113" s="275">
        <v>1635374</v>
      </c>
      <c r="V113" s="275">
        <v>1605316</v>
      </c>
      <c r="W113" s="275">
        <v>1612167</v>
      </c>
      <c r="X113" s="275">
        <v>1651003</v>
      </c>
    </row>
    <row r="114" spans="1:24" ht="14.25" thickBot="1" x14ac:dyDescent="0.3">
      <c r="A114" s="224" t="s">
        <v>27</v>
      </c>
      <c r="B114" s="273">
        <v>14925</v>
      </c>
      <c r="C114" s="273">
        <v>15954</v>
      </c>
      <c r="D114" s="273">
        <v>17130</v>
      </c>
      <c r="E114" s="273">
        <v>16783</v>
      </c>
      <c r="F114" s="273">
        <v>63944</v>
      </c>
      <c r="G114" s="273">
        <v>71817</v>
      </c>
      <c r="H114" s="273">
        <v>74959</v>
      </c>
      <c r="I114" s="273">
        <v>250775</v>
      </c>
      <c r="J114" s="273">
        <v>291879</v>
      </c>
      <c r="K114" s="273">
        <v>302507</v>
      </c>
      <c r="L114" s="273">
        <v>308300</v>
      </c>
      <c r="M114" s="273">
        <v>271892</v>
      </c>
      <c r="N114" s="273">
        <v>259144</v>
      </c>
      <c r="O114" s="273">
        <v>282026</v>
      </c>
      <c r="P114" s="273">
        <v>246881</v>
      </c>
      <c r="Q114" s="273">
        <v>251632</v>
      </c>
      <c r="R114" s="273">
        <v>224328</v>
      </c>
      <c r="S114" s="273">
        <v>285738</v>
      </c>
      <c r="T114" s="273">
        <v>300520</v>
      </c>
      <c r="U114" s="273">
        <v>294071</v>
      </c>
      <c r="V114" s="273">
        <v>286800</v>
      </c>
      <c r="W114" s="273">
        <v>328131</v>
      </c>
      <c r="X114" s="273">
        <v>360044</v>
      </c>
    </row>
    <row r="115" spans="1:24" ht="14.25" thickBot="1" x14ac:dyDescent="0.3">
      <c r="A115" s="225" t="s">
        <v>265</v>
      </c>
      <c r="B115" s="276">
        <v>3171605</v>
      </c>
      <c r="C115" s="276">
        <v>3143958</v>
      </c>
      <c r="D115" s="276">
        <v>3021264</v>
      </c>
      <c r="E115" s="276">
        <v>3141759</v>
      </c>
      <c r="F115" s="276">
        <v>3202329</v>
      </c>
      <c r="G115" s="276">
        <v>3356512</v>
      </c>
      <c r="H115" s="276">
        <v>3162114</v>
      </c>
      <c r="I115" s="276">
        <v>3669246</v>
      </c>
      <c r="J115" s="276">
        <v>3778212</v>
      </c>
      <c r="K115" s="276">
        <v>3895658</v>
      </c>
      <c r="L115" s="276">
        <v>3531254</v>
      </c>
      <c r="M115" s="276">
        <v>3608941</v>
      </c>
      <c r="N115" s="276">
        <v>3676727</v>
      </c>
      <c r="O115" s="276">
        <v>3831552</v>
      </c>
      <c r="P115" s="276">
        <v>3757445</v>
      </c>
      <c r="Q115" s="276">
        <v>3757113</v>
      </c>
      <c r="R115" s="276">
        <v>3843655</v>
      </c>
      <c r="S115" s="276">
        <v>4160006</v>
      </c>
      <c r="T115" s="276">
        <v>3937236</v>
      </c>
      <c r="U115" s="276">
        <v>4121831</v>
      </c>
      <c r="V115" s="276">
        <v>4224992</v>
      </c>
      <c r="W115" s="276">
        <v>4229620</v>
      </c>
      <c r="X115" s="276">
        <v>4147450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125000</v>
      </c>
      <c r="C118" s="273">
        <v>21000</v>
      </c>
      <c r="D118" s="273">
        <v>178000</v>
      </c>
      <c r="E118" s="273">
        <v>210000</v>
      </c>
      <c r="F118" s="273">
        <v>95000</v>
      </c>
      <c r="G118" s="273">
        <v>15000</v>
      </c>
      <c r="H118" s="273">
        <v>170000</v>
      </c>
      <c r="I118" s="273">
        <v>110000</v>
      </c>
      <c r="J118" s="273">
        <v>60000</v>
      </c>
      <c r="K118" s="273">
        <v>35000</v>
      </c>
      <c r="L118" s="273">
        <v>175000</v>
      </c>
      <c r="M118" s="273">
        <v>80000</v>
      </c>
      <c r="N118" s="273">
        <v>30000</v>
      </c>
      <c r="O118" s="273">
        <v>40000</v>
      </c>
      <c r="P118" s="273">
        <v>305000</v>
      </c>
      <c r="Q118" s="273">
        <v>82047</v>
      </c>
      <c r="R118" s="273">
        <v>7000</v>
      </c>
      <c r="S118" s="273">
        <v>1000</v>
      </c>
      <c r="T118" s="273">
        <v>341000</v>
      </c>
      <c r="U118" s="273">
        <v>101000</v>
      </c>
      <c r="V118" s="273">
        <v>111000</v>
      </c>
      <c r="W118" s="273">
        <v>51000</v>
      </c>
      <c r="X118" s="273">
        <v>371000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321151</v>
      </c>
      <c r="C120" s="273">
        <v>318125</v>
      </c>
      <c r="D120" s="273">
        <v>327667</v>
      </c>
      <c r="E120" s="273">
        <v>319710</v>
      </c>
      <c r="F120" s="273">
        <v>321986</v>
      </c>
      <c r="G120" s="273">
        <v>391178</v>
      </c>
      <c r="H120" s="273">
        <v>251786</v>
      </c>
      <c r="I120" s="273">
        <v>214323</v>
      </c>
      <c r="J120" s="273">
        <v>222689</v>
      </c>
      <c r="K120" s="273">
        <v>229643</v>
      </c>
      <c r="L120" s="273">
        <v>217962</v>
      </c>
      <c r="M120" s="273">
        <v>195850</v>
      </c>
      <c r="N120" s="273">
        <v>184475</v>
      </c>
      <c r="O120" s="273">
        <v>237657</v>
      </c>
      <c r="P120" s="273">
        <v>217093</v>
      </c>
      <c r="Q120" s="273">
        <v>226947</v>
      </c>
      <c r="R120" s="273">
        <v>209687</v>
      </c>
      <c r="S120" s="273">
        <v>235004</v>
      </c>
      <c r="T120" s="273">
        <v>193611</v>
      </c>
      <c r="U120" s="273">
        <v>347435</v>
      </c>
      <c r="V120" s="273">
        <v>235232</v>
      </c>
      <c r="W120" s="273">
        <v>275702</v>
      </c>
      <c r="X120" s="273">
        <v>226883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20000</v>
      </c>
      <c r="C122" s="68">
        <v>0</v>
      </c>
      <c r="D122" s="68">
        <v>0</v>
      </c>
      <c r="E122" s="273">
        <v>26667</v>
      </c>
      <c r="F122" s="273">
        <v>20000</v>
      </c>
      <c r="G122" s="273">
        <v>10000</v>
      </c>
      <c r="H122" s="273">
        <v>9000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290248</v>
      </c>
      <c r="C123" s="275">
        <v>608179</v>
      </c>
      <c r="D123" s="275">
        <v>252593</v>
      </c>
      <c r="E123" s="275">
        <v>262727</v>
      </c>
      <c r="F123" s="275">
        <v>298687</v>
      </c>
      <c r="G123" s="275">
        <v>628217</v>
      </c>
      <c r="H123" s="275">
        <v>304855</v>
      </c>
      <c r="I123" s="275">
        <v>481898</v>
      </c>
      <c r="J123" s="275">
        <v>474681</v>
      </c>
      <c r="K123" s="275">
        <v>894632</v>
      </c>
      <c r="L123" s="275">
        <v>367891</v>
      </c>
      <c r="M123" s="275">
        <v>404725</v>
      </c>
      <c r="N123" s="275">
        <v>394145</v>
      </c>
      <c r="O123" s="275">
        <v>855335</v>
      </c>
      <c r="P123" s="275">
        <v>312304</v>
      </c>
      <c r="Q123" s="275">
        <v>388045</v>
      </c>
      <c r="R123" s="275">
        <v>423335</v>
      </c>
      <c r="S123" s="275">
        <v>948350</v>
      </c>
      <c r="T123" s="275">
        <v>350866</v>
      </c>
      <c r="U123" s="275">
        <v>477915</v>
      </c>
      <c r="V123" s="275">
        <v>454130</v>
      </c>
      <c r="W123" s="275">
        <v>951763</v>
      </c>
      <c r="X123" s="275">
        <v>376524</v>
      </c>
    </row>
    <row r="124" spans="1:24" ht="14.25" thickBot="1" x14ac:dyDescent="0.3">
      <c r="A124" s="224" t="s">
        <v>268</v>
      </c>
      <c r="B124" s="273">
        <v>756399</v>
      </c>
      <c r="C124" s="273">
        <v>947304</v>
      </c>
      <c r="D124" s="273">
        <v>758260</v>
      </c>
      <c r="E124" s="273">
        <v>819104</v>
      </c>
      <c r="F124" s="273">
        <v>735673</v>
      </c>
      <c r="G124" s="273">
        <v>1044395</v>
      </c>
      <c r="H124" s="273">
        <v>735641</v>
      </c>
      <c r="I124" s="273">
        <v>806221</v>
      </c>
      <c r="J124" s="273">
        <v>757370</v>
      </c>
      <c r="K124" s="273">
        <v>1159275</v>
      </c>
      <c r="L124" s="273">
        <v>760853</v>
      </c>
      <c r="M124" s="273">
        <v>680575</v>
      </c>
      <c r="N124" s="273">
        <v>608620</v>
      </c>
      <c r="O124" s="273">
        <v>1132992</v>
      </c>
      <c r="P124" s="273">
        <v>834397</v>
      </c>
      <c r="Q124" s="273">
        <v>697039</v>
      </c>
      <c r="R124" s="273">
        <v>640022</v>
      </c>
      <c r="S124" s="273">
        <v>1184354</v>
      </c>
      <c r="T124" s="273">
        <v>885477</v>
      </c>
      <c r="U124" s="273">
        <v>926350</v>
      </c>
      <c r="V124" s="273">
        <v>800362</v>
      </c>
      <c r="W124" s="273">
        <v>1278465</v>
      </c>
      <c r="X124" s="273">
        <v>974407</v>
      </c>
    </row>
    <row r="125" spans="1:24" ht="14.25" thickBot="1" x14ac:dyDescent="0.3">
      <c r="A125" s="225" t="s">
        <v>32</v>
      </c>
      <c r="B125" s="275">
        <v>10000</v>
      </c>
      <c r="C125" s="274">
        <v>0</v>
      </c>
      <c r="D125" s="274">
        <v>0</v>
      </c>
      <c r="E125" s="275">
        <v>73333</v>
      </c>
      <c r="F125" s="275">
        <v>37245</v>
      </c>
      <c r="G125" s="275">
        <v>2959</v>
      </c>
      <c r="H125" s="275">
        <v>2261</v>
      </c>
      <c r="I125" s="275">
        <v>5096</v>
      </c>
      <c r="J125" s="275">
        <v>5268</v>
      </c>
      <c r="K125" s="275">
        <v>5362</v>
      </c>
      <c r="L125" s="275">
        <v>6455</v>
      </c>
      <c r="M125" s="275">
        <v>8550</v>
      </c>
      <c r="N125" s="275">
        <v>7156</v>
      </c>
      <c r="O125" s="275">
        <v>7548</v>
      </c>
      <c r="P125" s="275">
        <v>12569</v>
      </c>
      <c r="Q125" s="275">
        <v>8867</v>
      </c>
      <c r="R125" s="275">
        <v>8730</v>
      </c>
      <c r="S125" s="275">
        <v>10502</v>
      </c>
      <c r="T125" s="275">
        <v>9101</v>
      </c>
      <c r="U125" s="275">
        <v>10730</v>
      </c>
      <c r="V125" s="275">
        <v>159210</v>
      </c>
      <c r="W125" s="275">
        <v>39942</v>
      </c>
      <c r="X125" s="275">
        <v>9770</v>
      </c>
    </row>
    <row r="126" spans="1:24" ht="14.25" thickBot="1" x14ac:dyDescent="0.3">
      <c r="A126" s="224" t="s">
        <v>33</v>
      </c>
      <c r="B126" s="273">
        <v>2308</v>
      </c>
      <c r="C126" s="273">
        <v>2439</v>
      </c>
      <c r="D126" s="273">
        <v>2594</v>
      </c>
      <c r="E126" s="273">
        <v>2749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768707</v>
      </c>
      <c r="C127" s="275">
        <v>949743</v>
      </c>
      <c r="D127" s="275">
        <v>760854</v>
      </c>
      <c r="E127" s="275">
        <v>895186</v>
      </c>
      <c r="F127" s="275">
        <v>772918</v>
      </c>
      <c r="G127" s="275">
        <v>1047354</v>
      </c>
      <c r="H127" s="275">
        <v>737902</v>
      </c>
      <c r="I127" s="275">
        <v>811317</v>
      </c>
      <c r="J127" s="275">
        <v>762638</v>
      </c>
      <c r="K127" s="275">
        <v>1164637</v>
      </c>
      <c r="L127" s="275">
        <v>767308</v>
      </c>
      <c r="M127" s="275">
        <v>689125</v>
      </c>
      <c r="N127" s="275">
        <v>615776</v>
      </c>
      <c r="O127" s="275">
        <v>1140540</v>
      </c>
      <c r="P127" s="275">
        <v>846966</v>
      </c>
      <c r="Q127" s="275">
        <v>705906</v>
      </c>
      <c r="R127" s="275">
        <v>648752</v>
      </c>
      <c r="S127" s="275">
        <v>1194856</v>
      </c>
      <c r="T127" s="275">
        <v>894578</v>
      </c>
      <c r="U127" s="275">
        <v>937080</v>
      </c>
      <c r="V127" s="275">
        <v>959572</v>
      </c>
      <c r="W127" s="275">
        <v>1318407</v>
      </c>
      <c r="X127" s="275">
        <v>984177</v>
      </c>
    </row>
    <row r="128" spans="1:24" ht="14.25" thickBot="1" x14ac:dyDescent="0.3">
      <c r="A128" s="224" t="s">
        <v>34</v>
      </c>
      <c r="B128" s="273">
        <v>2402898</v>
      </c>
      <c r="C128" s="273">
        <v>2194215</v>
      </c>
      <c r="D128" s="273">
        <v>2260410</v>
      </c>
      <c r="E128" s="273">
        <v>2246573</v>
      </c>
      <c r="F128" s="273">
        <v>2429411</v>
      </c>
      <c r="G128" s="273">
        <v>2309158</v>
      </c>
      <c r="H128" s="273">
        <v>2424212</v>
      </c>
      <c r="I128" s="273">
        <v>2857929</v>
      </c>
      <c r="J128" s="273">
        <v>3015574</v>
      </c>
      <c r="K128" s="273">
        <v>2731021</v>
      </c>
      <c r="L128" s="273">
        <v>2763946</v>
      </c>
      <c r="M128" s="273">
        <v>2919816</v>
      </c>
      <c r="N128" s="273">
        <v>3060951</v>
      </c>
      <c r="O128" s="273">
        <v>2691012</v>
      </c>
      <c r="P128" s="273">
        <v>2910479</v>
      </c>
      <c r="Q128" s="273">
        <v>3051207</v>
      </c>
      <c r="R128" s="273">
        <v>3194903</v>
      </c>
      <c r="S128" s="273">
        <v>2965150</v>
      </c>
      <c r="T128" s="273">
        <v>3042658</v>
      </c>
      <c r="U128" s="273">
        <v>3184751</v>
      </c>
      <c r="V128" s="273">
        <v>3265420</v>
      </c>
      <c r="W128" s="273">
        <v>2911213</v>
      </c>
      <c r="X128" s="273">
        <v>3163273</v>
      </c>
    </row>
    <row r="129" spans="1:24" ht="14.25" thickBot="1" x14ac:dyDescent="0.3">
      <c r="A129" s="225" t="s">
        <v>35</v>
      </c>
      <c r="B129" s="276">
        <v>3171605</v>
      </c>
      <c r="C129" s="276">
        <v>3143958</v>
      </c>
      <c r="D129" s="276">
        <v>3021264</v>
      </c>
      <c r="E129" s="276">
        <v>3141759</v>
      </c>
      <c r="F129" s="276">
        <v>3202329</v>
      </c>
      <c r="G129" s="276">
        <v>3356512</v>
      </c>
      <c r="H129" s="276">
        <v>3162114</v>
      </c>
      <c r="I129" s="276">
        <v>3669246</v>
      </c>
      <c r="J129" s="276">
        <v>3778212</v>
      </c>
      <c r="K129" s="276">
        <v>3895658</v>
      </c>
      <c r="L129" s="276">
        <v>3531254</v>
      </c>
      <c r="M129" s="276">
        <v>3608941</v>
      </c>
      <c r="N129" s="276">
        <v>3676727</v>
      </c>
      <c r="O129" s="276">
        <v>3831552</v>
      </c>
      <c r="P129" s="276">
        <v>3757445</v>
      </c>
      <c r="Q129" s="276">
        <v>3757113</v>
      </c>
      <c r="R129" s="276">
        <v>3843655</v>
      </c>
      <c r="S129" s="276">
        <v>4160006</v>
      </c>
      <c r="T129" s="276">
        <v>3937236</v>
      </c>
      <c r="U129" s="276">
        <v>4121831</v>
      </c>
      <c r="V129" s="276">
        <v>4224992</v>
      </c>
      <c r="W129" s="276">
        <v>4229620</v>
      </c>
      <c r="X129" s="276">
        <v>4147450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8.59</v>
      </c>
      <c r="C132" s="68">
        <v>9.51</v>
      </c>
      <c r="D132" s="68">
        <v>8.19</v>
      </c>
      <c r="E132" s="68">
        <v>13.86</v>
      </c>
      <c r="F132" s="68">
        <v>14.2</v>
      </c>
    </row>
    <row r="133" spans="1:24" ht="14.25" thickBot="1" x14ac:dyDescent="0.3">
      <c r="A133" s="225" t="s">
        <v>37</v>
      </c>
      <c r="B133" s="274">
        <v>-7.1</v>
      </c>
      <c r="C133" s="274">
        <v>-1.02</v>
      </c>
      <c r="D133" s="274">
        <v>-2.5099999999999998</v>
      </c>
      <c r="E133" s="274">
        <v>-3.53</v>
      </c>
      <c r="F133" s="274">
        <v>7.0000000000000007E-2</v>
      </c>
    </row>
    <row r="134" spans="1:24" ht="14.25" thickBot="1" x14ac:dyDescent="0.3">
      <c r="A134" s="224" t="s">
        <v>38</v>
      </c>
      <c r="B134" s="68">
        <v>-4.01</v>
      </c>
      <c r="C134" s="68">
        <v>-5.91</v>
      </c>
      <c r="D134" s="68">
        <v>-7.61</v>
      </c>
      <c r="E134" s="68">
        <v>-6.5</v>
      </c>
      <c r="F134" s="68">
        <v>-6.24</v>
      </c>
    </row>
    <row r="135" spans="1:24" ht="14.25" thickBot="1" x14ac:dyDescent="0.3">
      <c r="A135" s="225" t="s">
        <v>270</v>
      </c>
      <c r="B135" s="274">
        <v>1.49</v>
      </c>
      <c r="C135" s="274">
        <v>8.5</v>
      </c>
      <c r="D135" s="274">
        <v>5.68</v>
      </c>
      <c r="E135" s="274">
        <v>10.33</v>
      </c>
      <c r="F135" s="274">
        <v>14.28</v>
      </c>
    </row>
    <row r="136" spans="1:24" ht="14.25" thickBot="1" x14ac:dyDescent="0.3">
      <c r="A136" s="229" t="s">
        <v>39</v>
      </c>
      <c r="B136" s="72">
        <v>-2.5299999999999998</v>
      </c>
      <c r="C136" s="72">
        <v>2.59</v>
      </c>
      <c r="D136" s="72">
        <v>-1.93</v>
      </c>
      <c r="E136" s="72">
        <v>3.83</v>
      </c>
      <c r="F136" s="72">
        <v>8.0299999999999994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3.5</v>
      </c>
      <c r="C140" s="68">
        <v>5.5</v>
      </c>
      <c r="D140" s="68">
        <v>6</v>
      </c>
      <c r="E140" s="68">
        <v>6.5</v>
      </c>
      <c r="F140" s="68">
        <v>6.5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0.78299776286353473</v>
      </c>
      <c r="C142" s="234">
        <f>IF(C140&lt;&gt;"無",IF(ISNA(HLOOKUP(C139,$B$64:$F$69,6,FALSE)),"",C140/HLOOKUP(C139,$B$64:$F$69,6,FALSE)),"")</f>
        <v>0.68664169787765295</v>
      </c>
      <c r="D142" s="234">
        <f>IF(D140&lt;&gt;"無",IF(ISNA(HLOOKUP(D139,$B$64:$F$69,6,FALSE)),"",D140/HLOOKUP(D139,$B$64:$F$69,6,FALSE)),"")</f>
        <v>0.75757575757575757</v>
      </c>
      <c r="E142" s="234">
        <f>IF(E140&lt;&gt;"無",IF(ISNA(HLOOKUP(E139,$B$64:$F$69,6,FALSE)),"",E140/HLOOKUP(E139,$B$64:$F$69,6,FALSE)),"")</f>
        <v>0.79852579852579852</v>
      </c>
      <c r="F142" s="234">
        <f>IF(F140&lt;&gt;"無",IF(ISNA(HLOOKUP(F139,$B$64:$F$69,6,FALSE)),"",F140/HLOOKUP(F139,$B$64:$F$69,6,FALSE)),"")</f>
        <v>0.86666666666666681</v>
      </c>
    </row>
    <row r="143" spans="1:24" x14ac:dyDescent="0.25">
      <c r="A143" s="233" t="s">
        <v>216</v>
      </c>
      <c r="B143" s="234">
        <f>IF(OR(B140=0,B140="無"),"",B135/B140)</f>
        <v>0.42571428571428571</v>
      </c>
      <c r="C143" s="234">
        <f>IF(OR(C140=0,C140="無"),"",C135/C140)</f>
        <v>1.5454545454545454</v>
      </c>
      <c r="D143" s="234">
        <f>IF(OR(D140=0,D140="無"),"",D135/D140)</f>
        <v>0.94666666666666666</v>
      </c>
      <c r="E143" s="234">
        <f>IF(OR(E140=0,E140="無"),"",E135/E140)</f>
        <v>1.5892307692307692</v>
      </c>
      <c r="F143" s="234">
        <f>IF(OR(F140=0,F140="無"),"",F135/F140)</f>
        <v>2.1969230769230768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22.77</v>
      </c>
      <c r="C146" s="68">
        <v>22.5</v>
      </c>
      <c r="D146" s="68">
        <v>22.24</v>
      </c>
      <c r="E146" s="68">
        <v>27.5</v>
      </c>
      <c r="F146" s="68">
        <v>26.19</v>
      </c>
      <c r="G146" s="68">
        <v>28.79</v>
      </c>
      <c r="H146" s="68">
        <v>29.49</v>
      </c>
      <c r="I146" s="68">
        <v>29.91</v>
      </c>
      <c r="J146" s="68">
        <v>31.2</v>
      </c>
      <c r="K146" s="68">
        <v>32.24</v>
      </c>
      <c r="L146" s="68">
        <v>32.04</v>
      </c>
      <c r="M146" s="68">
        <v>31.13</v>
      </c>
      <c r="N146" s="68">
        <v>31.59</v>
      </c>
      <c r="O146" s="68">
        <v>32.24</v>
      </c>
      <c r="P146" s="68">
        <v>31.25</v>
      </c>
      <c r="Q146" s="68">
        <v>32</v>
      </c>
      <c r="R146" s="68">
        <v>35.1</v>
      </c>
      <c r="S146" s="68">
        <v>35.18</v>
      </c>
      <c r="T146" s="68">
        <v>32.700000000000003</v>
      </c>
      <c r="U146" s="68">
        <v>32.450000000000003</v>
      </c>
      <c r="V146" s="68">
        <v>34.520000000000003</v>
      </c>
      <c r="W146" s="68">
        <v>33.799999999999997</v>
      </c>
      <c r="X146" s="68">
        <v>34.619999999999997</v>
      </c>
    </row>
    <row r="147" spans="1:24" s="93" customFormat="1" ht="14.25" thickBot="1" x14ac:dyDescent="0.3">
      <c r="A147" s="225" t="s">
        <v>19</v>
      </c>
      <c r="B147" s="274">
        <v>13.99</v>
      </c>
      <c r="C147" s="274">
        <v>12.82</v>
      </c>
      <c r="D147" s="274">
        <v>12.51</v>
      </c>
      <c r="E147" s="274">
        <v>18.03</v>
      </c>
      <c r="F147" s="274">
        <v>15.37</v>
      </c>
      <c r="G147" s="274">
        <v>19.22</v>
      </c>
      <c r="H147" s="274">
        <v>18.989999999999998</v>
      </c>
      <c r="I147" s="274">
        <v>17.559999999999999</v>
      </c>
      <c r="J147" s="274">
        <v>20.51</v>
      </c>
      <c r="K147" s="274">
        <v>21.7</v>
      </c>
      <c r="L147" s="274">
        <v>19.41</v>
      </c>
      <c r="M147" s="274">
        <v>18.25</v>
      </c>
      <c r="N147" s="274">
        <v>20.23</v>
      </c>
      <c r="O147" s="274">
        <v>18.59</v>
      </c>
      <c r="P147" s="274">
        <v>16.45</v>
      </c>
      <c r="Q147" s="274">
        <v>19.48</v>
      </c>
      <c r="R147" s="274">
        <v>22.23</v>
      </c>
      <c r="S147" s="274">
        <v>21.64</v>
      </c>
      <c r="T147" s="274">
        <v>17.38</v>
      </c>
      <c r="U147" s="274">
        <v>16.79</v>
      </c>
      <c r="V147" s="274">
        <v>20.85</v>
      </c>
      <c r="W147" s="274">
        <v>20.16</v>
      </c>
      <c r="X147" s="274">
        <v>19.07</v>
      </c>
    </row>
    <row r="148" spans="1:24" s="93" customFormat="1" ht="14.25" thickBot="1" x14ac:dyDescent="0.3">
      <c r="A148" s="224" t="s">
        <v>41</v>
      </c>
      <c r="B148" s="68">
        <v>13.51</v>
      </c>
      <c r="C148" s="68">
        <v>13.38</v>
      </c>
      <c r="D148" s="68">
        <v>11.6</v>
      </c>
      <c r="E148" s="68">
        <v>16.53</v>
      </c>
      <c r="F148" s="68">
        <v>15.73</v>
      </c>
      <c r="G148" s="68">
        <v>19.43</v>
      </c>
      <c r="H148" s="68">
        <v>18.600000000000001</v>
      </c>
      <c r="I148" s="68">
        <v>32.22</v>
      </c>
      <c r="J148" s="68">
        <v>21.51</v>
      </c>
      <c r="K148" s="68">
        <v>20.68</v>
      </c>
      <c r="L148" s="68">
        <v>20.399999999999999</v>
      </c>
      <c r="M148" s="68">
        <v>21.26</v>
      </c>
      <c r="N148" s="68">
        <v>19.09</v>
      </c>
      <c r="O148" s="68">
        <v>19.350000000000001</v>
      </c>
      <c r="P148" s="68">
        <v>26.5</v>
      </c>
      <c r="Q148" s="68">
        <v>18.84</v>
      </c>
      <c r="R148" s="68">
        <v>19.43</v>
      </c>
      <c r="S148" s="68">
        <v>21.54</v>
      </c>
      <c r="T148" s="68">
        <v>12.5</v>
      </c>
      <c r="U148" s="68">
        <v>21.06</v>
      </c>
      <c r="V148" s="68">
        <v>11.74</v>
      </c>
      <c r="W148" s="68">
        <v>20.59</v>
      </c>
      <c r="X148" s="68">
        <v>19.11</v>
      </c>
    </row>
    <row r="149" spans="1:24" s="93" customFormat="1" ht="14.25" thickBot="1" x14ac:dyDescent="0.3">
      <c r="A149" s="225" t="s">
        <v>13</v>
      </c>
      <c r="B149" s="73">
        <v>11.32</v>
      </c>
      <c r="C149" s="73">
        <v>10.35</v>
      </c>
      <c r="D149" s="73">
        <v>9.5500000000000007</v>
      </c>
      <c r="E149" s="73">
        <v>13.48</v>
      </c>
      <c r="F149" s="73">
        <v>13.06</v>
      </c>
      <c r="G149" s="73">
        <v>15.91</v>
      </c>
      <c r="H149" s="73">
        <v>15.18</v>
      </c>
      <c r="I149" s="73">
        <v>28.56</v>
      </c>
      <c r="J149" s="73">
        <v>17.899999999999999</v>
      </c>
      <c r="K149" s="73">
        <v>15.44</v>
      </c>
      <c r="L149" s="73">
        <v>16.829999999999998</v>
      </c>
      <c r="M149" s="73">
        <v>18.52</v>
      </c>
      <c r="N149" s="73">
        <v>15.83</v>
      </c>
      <c r="O149" s="73">
        <v>15.53</v>
      </c>
      <c r="P149" s="73">
        <v>22.06</v>
      </c>
      <c r="Q149" s="73">
        <v>16.149999999999999</v>
      </c>
      <c r="R149" s="73">
        <v>15.84</v>
      </c>
      <c r="S149" s="73">
        <v>17.22</v>
      </c>
      <c r="T149" s="73">
        <v>10.050000000000001</v>
      </c>
      <c r="U149" s="73">
        <v>16.670000000000002</v>
      </c>
      <c r="V149" s="73">
        <v>9.31</v>
      </c>
      <c r="W149" s="73">
        <v>15.2</v>
      </c>
      <c r="X149" s="73">
        <v>15.64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23.77</v>
      </c>
      <c r="C152" s="68">
        <v>28.61</v>
      </c>
      <c r="D152" s="68">
        <v>31.66</v>
      </c>
      <c r="E152" s="68">
        <v>31.79</v>
      </c>
      <c r="F152" s="68">
        <v>33.909999999999997</v>
      </c>
    </row>
    <row r="153" spans="1:24" s="93" customFormat="1" ht="14.25" thickBot="1" x14ac:dyDescent="0.3">
      <c r="A153" s="225" t="s">
        <v>19</v>
      </c>
      <c r="B153" s="274">
        <v>14.36</v>
      </c>
      <c r="C153" s="274">
        <v>17.829999999999998</v>
      </c>
      <c r="D153" s="274">
        <v>20</v>
      </c>
      <c r="E153" s="274">
        <v>18.75</v>
      </c>
      <c r="F153" s="274">
        <v>19.600000000000001</v>
      </c>
    </row>
    <row r="154" spans="1:24" s="93" customFormat="1" ht="14.25" thickBot="1" x14ac:dyDescent="0.3">
      <c r="A154" s="224" t="s">
        <v>41</v>
      </c>
      <c r="B154" s="68">
        <v>13.79</v>
      </c>
      <c r="C154" s="68">
        <v>21.49</v>
      </c>
      <c r="D154" s="68">
        <v>20.96</v>
      </c>
      <c r="E154" s="68">
        <v>20.77</v>
      </c>
      <c r="F154" s="68">
        <v>18.809999999999999</v>
      </c>
    </row>
    <row r="155" spans="1:24" s="93" customFormat="1" ht="14.25" thickBot="1" x14ac:dyDescent="0.3">
      <c r="A155" s="225" t="s">
        <v>13</v>
      </c>
      <c r="B155" s="73">
        <v>11.21</v>
      </c>
      <c r="C155" s="73">
        <v>18.16</v>
      </c>
      <c r="D155" s="73">
        <v>17.149999999999999</v>
      </c>
      <c r="E155" s="73">
        <v>17.239999999999998</v>
      </c>
      <c r="F155" s="73">
        <v>15.09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2.72</v>
      </c>
      <c r="C158" s="68">
        <v>2.5</v>
      </c>
      <c r="D158" s="68">
        <v>2.12</v>
      </c>
      <c r="E158" s="68">
        <v>3.27</v>
      </c>
      <c r="F158" s="68">
        <v>3.29</v>
      </c>
      <c r="G158" s="68">
        <v>4.28</v>
      </c>
      <c r="H158" s="68">
        <v>3.75</v>
      </c>
      <c r="I158" s="68">
        <v>6.79</v>
      </c>
      <c r="J158" s="68">
        <v>4.25</v>
      </c>
      <c r="K158" s="68">
        <v>3.63</v>
      </c>
      <c r="L158" s="68">
        <v>3.91</v>
      </c>
      <c r="M158" s="68">
        <v>4.34</v>
      </c>
      <c r="N158" s="68">
        <v>3.91</v>
      </c>
      <c r="O158" s="68">
        <v>3.91</v>
      </c>
      <c r="P158" s="68">
        <v>4.67</v>
      </c>
      <c r="Q158" s="68">
        <v>3.91</v>
      </c>
      <c r="R158" s="68">
        <v>3.8</v>
      </c>
      <c r="S158" s="68">
        <v>3.95</v>
      </c>
      <c r="T158" s="68">
        <v>2.02</v>
      </c>
      <c r="U158" s="68">
        <v>3.72</v>
      </c>
      <c r="V158" s="68">
        <v>2.0499999999999998</v>
      </c>
      <c r="W158" s="68">
        <v>3.48</v>
      </c>
      <c r="X158" s="68">
        <v>3.24</v>
      </c>
    </row>
    <row r="159" spans="1:24" s="93" customFormat="1" ht="14.25" thickBot="1" x14ac:dyDescent="0.3">
      <c r="A159" s="225" t="s">
        <v>45</v>
      </c>
      <c r="B159" s="73">
        <v>3.66</v>
      </c>
      <c r="C159" s="73">
        <v>3.42</v>
      </c>
      <c r="D159" s="73">
        <v>2.94</v>
      </c>
      <c r="E159" s="73">
        <v>4.4400000000000004</v>
      </c>
      <c r="F159" s="73">
        <v>4.42</v>
      </c>
      <c r="G159" s="73">
        <v>5.91</v>
      </c>
      <c r="H159" s="73">
        <v>5.15</v>
      </c>
      <c r="I159" s="73">
        <v>8.76</v>
      </c>
      <c r="J159" s="73">
        <v>5.38</v>
      </c>
      <c r="K159" s="73">
        <v>4.84</v>
      </c>
      <c r="L159" s="73">
        <v>5.28</v>
      </c>
      <c r="M159" s="73">
        <v>5.44</v>
      </c>
      <c r="N159" s="73">
        <v>4.75</v>
      </c>
      <c r="O159" s="73">
        <v>5.0999999999999996</v>
      </c>
      <c r="P159" s="73">
        <v>6.31</v>
      </c>
      <c r="Q159" s="73">
        <v>4.91</v>
      </c>
      <c r="R159" s="73">
        <v>4.62</v>
      </c>
      <c r="S159" s="73">
        <v>5.13</v>
      </c>
      <c r="T159" s="73">
        <v>2.69</v>
      </c>
      <c r="U159" s="73">
        <v>4.76</v>
      </c>
      <c r="V159" s="73">
        <v>2.63</v>
      </c>
      <c r="W159" s="73">
        <v>4.72</v>
      </c>
      <c r="X159" s="73">
        <v>4.42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11.21</v>
      </c>
      <c r="C162" s="68">
        <v>18.16</v>
      </c>
      <c r="D162" s="68">
        <v>17.149999999999999</v>
      </c>
      <c r="E162" s="68">
        <v>17.239999999999998</v>
      </c>
      <c r="F162" s="68">
        <v>15.09</v>
      </c>
    </row>
    <row r="163" spans="1:72" s="93" customFormat="1" ht="14.25" thickBot="1" x14ac:dyDescent="0.3">
      <c r="A163" s="225" t="s">
        <v>18</v>
      </c>
      <c r="B163" s="274">
        <v>0.94</v>
      </c>
      <c r="C163" s="274">
        <v>0.9</v>
      </c>
      <c r="D163" s="274">
        <v>0.96</v>
      </c>
      <c r="E163" s="274">
        <v>0.94</v>
      </c>
      <c r="F163" s="274">
        <v>0.85</v>
      </c>
    </row>
    <row r="164" spans="1:72" s="93" customFormat="1" ht="14.25" thickBot="1" x14ac:dyDescent="0.3">
      <c r="A164" s="224" t="s">
        <v>15</v>
      </c>
      <c r="B164" s="68">
        <v>1.4</v>
      </c>
      <c r="C164" s="68">
        <v>1.28</v>
      </c>
      <c r="D164" s="68">
        <v>1.24</v>
      </c>
      <c r="E164" s="68">
        <v>1.23</v>
      </c>
      <c r="F164" s="68">
        <v>1.29</v>
      </c>
    </row>
    <row r="165" spans="1:72" s="93" customFormat="1" ht="14.25" thickBot="1" x14ac:dyDescent="0.3">
      <c r="A165" s="225" t="s">
        <v>45</v>
      </c>
      <c r="B165" s="73">
        <v>14.48</v>
      </c>
      <c r="C165" s="73">
        <v>23.37</v>
      </c>
      <c r="D165" s="73">
        <v>20.65</v>
      </c>
      <c r="E165" s="73">
        <v>20.49</v>
      </c>
      <c r="F165" s="73">
        <v>17.04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63.83</v>
      </c>
      <c r="C168" s="68">
        <v>63.38</v>
      </c>
      <c r="D168" s="68">
        <v>66.180000000000007</v>
      </c>
      <c r="E168" s="68">
        <v>61.22</v>
      </c>
      <c r="F168" s="68">
        <v>57.69</v>
      </c>
      <c r="G168" s="68">
        <v>54.22</v>
      </c>
      <c r="H168" s="68">
        <v>61.22</v>
      </c>
      <c r="I168" s="68">
        <v>57.69</v>
      </c>
      <c r="J168" s="68">
        <v>57.32</v>
      </c>
      <c r="K168" s="68">
        <v>62.94</v>
      </c>
      <c r="L168" s="68">
        <v>62.5</v>
      </c>
      <c r="M168" s="68">
        <v>58.44</v>
      </c>
      <c r="N168" s="68">
        <v>55.56</v>
      </c>
      <c r="O168" s="68">
        <v>58.44</v>
      </c>
      <c r="P168" s="68">
        <v>71.430000000000007</v>
      </c>
      <c r="Q168" s="68">
        <v>60.81</v>
      </c>
      <c r="R168" s="68">
        <v>61.22</v>
      </c>
      <c r="S168" s="68">
        <v>59.6</v>
      </c>
      <c r="T168" s="68">
        <v>60.81</v>
      </c>
      <c r="U168" s="68">
        <v>53.89</v>
      </c>
      <c r="V168" s="68">
        <v>54.88</v>
      </c>
      <c r="W168" s="68">
        <v>54.22</v>
      </c>
      <c r="X168" s="68">
        <v>62.94</v>
      </c>
    </row>
    <row r="169" spans="1:72" s="93" customFormat="1" ht="14.25" thickBot="1" x14ac:dyDescent="0.3">
      <c r="A169" s="225" t="s">
        <v>17</v>
      </c>
      <c r="B169" s="274">
        <v>67.67</v>
      </c>
      <c r="C169" s="274">
        <v>58.06</v>
      </c>
      <c r="D169" s="274">
        <v>56.25</v>
      </c>
      <c r="E169" s="274">
        <v>53.89</v>
      </c>
      <c r="F169" s="274">
        <v>50.28</v>
      </c>
      <c r="G169" s="274">
        <v>48.65</v>
      </c>
      <c r="H169" s="274">
        <v>58.44</v>
      </c>
      <c r="I169" s="274">
        <v>66.67</v>
      </c>
      <c r="J169" s="274">
        <v>66.67</v>
      </c>
      <c r="K169" s="274">
        <v>69.23</v>
      </c>
      <c r="L169" s="274">
        <v>84.11</v>
      </c>
      <c r="M169" s="274">
        <v>93.75</v>
      </c>
      <c r="N169" s="274">
        <v>82.57</v>
      </c>
      <c r="O169" s="274">
        <v>70.31</v>
      </c>
      <c r="P169" s="274">
        <v>77.59</v>
      </c>
      <c r="Q169" s="274">
        <v>65.69</v>
      </c>
      <c r="R169" s="274">
        <v>64.75</v>
      </c>
      <c r="S169" s="274">
        <v>65.22</v>
      </c>
      <c r="T169" s="274">
        <v>69.77</v>
      </c>
      <c r="U169" s="274">
        <v>62.94</v>
      </c>
      <c r="V169" s="274">
        <v>64.75</v>
      </c>
      <c r="W169" s="274">
        <v>59.6</v>
      </c>
      <c r="X169" s="274">
        <v>70.31</v>
      </c>
    </row>
    <row r="170" spans="1:72" s="93" customFormat="1" ht="14.25" thickBot="1" x14ac:dyDescent="0.3">
      <c r="A170" s="224" t="s">
        <v>42</v>
      </c>
      <c r="B170" s="72">
        <v>131.5</v>
      </c>
      <c r="C170" s="72">
        <v>121.44</v>
      </c>
      <c r="D170" s="72">
        <v>122.43</v>
      </c>
      <c r="E170" s="72">
        <v>115.12</v>
      </c>
      <c r="F170" s="72">
        <v>107.97</v>
      </c>
      <c r="G170" s="72">
        <v>102.87</v>
      </c>
      <c r="H170" s="72">
        <v>119.67</v>
      </c>
      <c r="I170" s="72">
        <v>124.36</v>
      </c>
      <c r="J170" s="72">
        <v>123.99</v>
      </c>
      <c r="K170" s="72">
        <v>132.16999999999999</v>
      </c>
      <c r="L170" s="72">
        <v>146.61000000000001</v>
      </c>
      <c r="M170" s="72">
        <v>152.19</v>
      </c>
      <c r="N170" s="72">
        <v>138.12</v>
      </c>
      <c r="O170" s="72">
        <v>128.75</v>
      </c>
      <c r="P170" s="72">
        <v>149.01</v>
      </c>
      <c r="Q170" s="72">
        <v>126.5</v>
      </c>
      <c r="R170" s="72">
        <v>125.97</v>
      </c>
      <c r="S170" s="72">
        <v>124.82</v>
      </c>
      <c r="T170" s="72">
        <v>130.58000000000001</v>
      </c>
      <c r="U170" s="72">
        <v>116.83</v>
      </c>
      <c r="V170" s="72">
        <v>119.63</v>
      </c>
      <c r="W170" s="72">
        <v>113.82</v>
      </c>
      <c r="X170" s="72">
        <v>133.25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194.15</v>
      </c>
      <c r="C173" s="72">
        <v>118.42</v>
      </c>
      <c r="D173" s="72">
        <v>102.18</v>
      </c>
      <c r="E173" s="72">
        <v>169.11</v>
      </c>
      <c r="F173" s="72">
        <v>200.18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14.89</v>
      </c>
      <c r="C176" s="72">
        <v>19.04</v>
      </c>
      <c r="D176" s="72">
        <v>18.72</v>
      </c>
      <c r="E176" s="72">
        <v>15.16</v>
      </c>
      <c r="F176" s="72">
        <v>14.37</v>
      </c>
      <c r="G176" s="72">
        <v>14.01</v>
      </c>
      <c r="H176" s="72">
        <v>14.38</v>
      </c>
      <c r="I176" s="72">
        <v>15</v>
      </c>
      <c r="J176" s="72">
        <v>14.35</v>
      </c>
      <c r="K176" s="72">
        <v>13.54</v>
      </c>
      <c r="L176" s="72">
        <v>15.25</v>
      </c>
      <c r="M176" s="72">
        <v>15.55</v>
      </c>
      <c r="N176" s="72">
        <v>15.82</v>
      </c>
      <c r="O176" s="72">
        <v>17.14</v>
      </c>
      <c r="P176" s="72">
        <v>18.47</v>
      </c>
      <c r="Q176" s="72">
        <v>19.739999999999998</v>
      </c>
      <c r="R176" s="72">
        <v>18.66</v>
      </c>
      <c r="S176" s="72">
        <v>21</v>
      </c>
      <c r="T176" s="72">
        <v>22.99</v>
      </c>
      <c r="U176" s="72">
        <v>20.97</v>
      </c>
      <c r="V176" s="72">
        <v>21.23</v>
      </c>
      <c r="W176" s="72">
        <v>22.31</v>
      </c>
      <c r="X176" s="72">
        <v>18.97</v>
      </c>
      <c r="Y176" s="72">
        <v>18.71</v>
      </c>
      <c r="Z176" s="72">
        <v>17.36</v>
      </c>
      <c r="AA176" s="72">
        <v>18.93</v>
      </c>
      <c r="AB176" s="72">
        <v>16.61</v>
      </c>
      <c r="AC176" s="72">
        <v>16.32</v>
      </c>
      <c r="AD176" s="72">
        <v>15.17</v>
      </c>
      <c r="AE176" s="72">
        <v>15.01</v>
      </c>
      <c r="AF176" s="72">
        <v>13.84</v>
      </c>
      <c r="AG176" s="72">
        <v>13.2</v>
      </c>
      <c r="AH176" s="72">
        <v>13.56</v>
      </c>
      <c r="AI176" s="72">
        <v>13.21</v>
      </c>
      <c r="AJ176" s="72">
        <v>12.12</v>
      </c>
      <c r="AK176" s="72">
        <v>12.54</v>
      </c>
      <c r="AL176" s="72">
        <v>12.22</v>
      </c>
      <c r="AM176" s="72">
        <v>12.82</v>
      </c>
      <c r="AN176" s="72">
        <v>15.48</v>
      </c>
      <c r="AO176" s="72">
        <v>15.34</v>
      </c>
      <c r="AP176" s="72">
        <v>15.51</v>
      </c>
      <c r="AQ176" s="72">
        <v>15.45</v>
      </c>
      <c r="AR176" s="72">
        <v>13.59</v>
      </c>
      <c r="AS176" s="72">
        <v>12.03</v>
      </c>
      <c r="AT176" s="72">
        <v>12.12</v>
      </c>
      <c r="AU176" s="72">
        <v>13.62</v>
      </c>
      <c r="AV176" s="72">
        <v>13.48</v>
      </c>
      <c r="AW176" s="72">
        <v>14.35</v>
      </c>
      <c r="AX176" s="72">
        <v>13.65</v>
      </c>
      <c r="AY176" s="72">
        <v>15.47</v>
      </c>
      <c r="AZ176" s="72">
        <v>15.98</v>
      </c>
      <c r="BA176" s="72">
        <v>16.37</v>
      </c>
      <c r="BB176" s="72">
        <v>15</v>
      </c>
      <c r="BC176" s="72">
        <v>15.02</v>
      </c>
      <c r="BD176" s="72">
        <v>14.63</v>
      </c>
      <c r="BE176" s="72">
        <v>13.49</v>
      </c>
      <c r="BF176" s="72">
        <v>13.47</v>
      </c>
      <c r="BG176" s="72">
        <v>13.17</v>
      </c>
      <c r="BH176" s="72">
        <v>13.88</v>
      </c>
      <c r="BI176" s="72">
        <v>14</v>
      </c>
      <c r="BJ176" s="72">
        <v>14.64</v>
      </c>
      <c r="BK176" s="72">
        <v>15.18</v>
      </c>
      <c r="BL176" s="72">
        <v>14.54</v>
      </c>
      <c r="BM176" s="72">
        <v>14.23</v>
      </c>
      <c r="BN176" s="72">
        <v>16.350000000000001</v>
      </c>
      <c r="BO176" s="72">
        <v>17.309999999999999</v>
      </c>
      <c r="BP176" s="72">
        <v>15.94</v>
      </c>
      <c r="BQ176" s="72">
        <v>15.62</v>
      </c>
      <c r="BR176" s="72">
        <v>15.45</v>
      </c>
      <c r="BS176" s="72">
        <v>16.16</v>
      </c>
      <c r="BT176" s="72">
        <v>15.27</v>
      </c>
    </row>
  </sheetData>
  <phoneticPr fontId="3" type="noConversion"/>
  <conditionalFormatting sqref="E4">
    <cfRule type="cellIs" dxfId="1124" priority="103" operator="greaterThan">
      <formula>0.2</formula>
    </cfRule>
    <cfRule type="cellIs" dxfId="112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112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121" priority="97" operator="greaterThan">
      <formula>$B$19</formula>
    </cfRule>
  </conditionalFormatting>
  <conditionalFormatting sqref="D33:D34">
    <cfRule type="cellIs" dxfId="112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1119" priority="91" operator="lessThan">
      <formula>$H$62</formula>
    </cfRule>
    <cfRule type="cellIs" dxfId="1118" priority="92" operator="greaterThan">
      <formula>$H$62</formula>
    </cfRule>
  </conditionalFormatting>
  <conditionalFormatting sqref="J62">
    <cfRule type="cellIs" dxfId="1117" priority="89" operator="lessThan">
      <formula>$K$62</formula>
    </cfRule>
    <cfRule type="cellIs" dxfId="1116" priority="90" operator="greaterThan">
      <formula>$K$62</formula>
    </cfRule>
  </conditionalFormatting>
  <conditionalFormatting sqref="M62">
    <cfRule type="cellIs" dxfId="1115" priority="87" operator="lessThan">
      <formula>$N$62</formula>
    </cfRule>
    <cfRule type="cellIs" dxfId="1114" priority="88" operator="greaterThan">
      <formula>$N$62</formula>
    </cfRule>
  </conditionalFormatting>
  <conditionalFormatting sqref="B44:E44">
    <cfRule type="cellIs" dxfId="1113" priority="85" operator="greaterThan">
      <formula>0</formula>
    </cfRule>
    <cfRule type="cellIs" dxfId="1112" priority="86" operator="lessThan">
      <formula>0</formula>
    </cfRule>
  </conditionalFormatting>
  <conditionalFormatting sqref="F72">
    <cfRule type="cellIs" dxfId="1111" priority="84" operator="lessThan">
      <formula>$E$72*90%</formula>
    </cfRule>
  </conditionalFormatting>
  <conditionalFormatting sqref="F73">
    <cfRule type="cellIs" dxfId="1110" priority="83" operator="lessThan">
      <formula>$E$73*90%</formula>
    </cfRule>
  </conditionalFormatting>
  <conditionalFormatting sqref="F74">
    <cfRule type="cellIs" dxfId="1109" priority="82" operator="lessThan">
      <formula>$E$74*90%</formula>
    </cfRule>
  </conditionalFormatting>
  <conditionalFormatting sqref="F75">
    <cfRule type="cellIs" dxfId="1108" priority="81" operator="lessThan">
      <formula>$E$75*90%</formula>
    </cfRule>
  </conditionalFormatting>
  <conditionalFormatting sqref="H44:K44">
    <cfRule type="cellIs" dxfId="1107" priority="79" operator="greaterThan">
      <formula>0</formula>
    </cfRule>
    <cfRule type="cellIs" dxfId="1106" priority="80" operator="lessThan">
      <formula>0</formula>
    </cfRule>
  </conditionalFormatting>
  <conditionalFormatting sqref="H51:K51">
    <cfRule type="cellIs" dxfId="1105" priority="77" operator="greaterThan">
      <formula>0</formula>
    </cfRule>
    <cfRule type="cellIs" dxfId="1104" priority="78" operator="lessThan">
      <formula>0</formula>
    </cfRule>
  </conditionalFormatting>
  <conditionalFormatting sqref="B51:E51">
    <cfRule type="cellIs" dxfId="1103" priority="75" operator="greaterThan">
      <formula>0</formula>
    </cfRule>
    <cfRule type="cellIs" dxfId="110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10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10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099" priority="58" operator="lessThan">
      <formula>0</formula>
    </cfRule>
  </conditionalFormatting>
  <conditionalFormatting sqref="A25 E25 C25">
    <cfRule type="cellIs" dxfId="1098" priority="59" operator="lessThan">
      <formula>0</formula>
    </cfRule>
  </conditionalFormatting>
  <conditionalFormatting sqref="F25">
    <cfRule type="cellIs" dxfId="1097" priority="57" operator="lessThan">
      <formula>0</formula>
    </cfRule>
  </conditionalFormatting>
  <conditionalFormatting sqref="E1">
    <cfRule type="containsText" dxfId="1096" priority="56" operator="containsText" text="本季業外損益/平均=-">
      <formula>NOT(ISERROR(SEARCH("本季業外損益/平均=-",E1)))</formula>
    </cfRule>
  </conditionalFormatting>
  <conditionalFormatting sqref="M65">
    <cfRule type="cellIs" dxfId="1095" priority="55" operator="lessThan">
      <formula>$L$65*90%</formula>
    </cfRule>
  </conditionalFormatting>
  <conditionalFormatting sqref="M66">
    <cfRule type="cellIs" dxfId="1094" priority="54" operator="lessThan">
      <formula>$L$66*90%</formula>
    </cfRule>
  </conditionalFormatting>
  <conditionalFormatting sqref="M67">
    <cfRule type="cellIs" dxfId="1093" priority="53" operator="lessThan">
      <formula>$L$67*90%</formula>
    </cfRule>
  </conditionalFormatting>
  <conditionalFormatting sqref="M68">
    <cfRule type="cellIs" dxfId="1092" priority="52" operator="lessThan">
      <formula>$L$68*90%</formula>
    </cfRule>
  </conditionalFormatting>
  <conditionalFormatting sqref="B60">
    <cfRule type="cellIs" dxfId="1091" priority="51" operator="lessThan">
      <formula>0</formula>
    </cfRule>
  </conditionalFormatting>
  <conditionalFormatting sqref="B59:F59">
    <cfRule type="cellIs" dxfId="1090" priority="50" operator="lessThanOrEqual">
      <formula>0</formula>
    </cfRule>
  </conditionalFormatting>
  <conditionalFormatting sqref="D62">
    <cfRule type="cellIs" dxfId="1089" priority="48" operator="lessThan">
      <formula>$E$62</formula>
    </cfRule>
    <cfRule type="cellIs" dxfId="1088" priority="49" operator="greaterThan">
      <formula>$E$62</formula>
    </cfRule>
  </conditionalFormatting>
  <conditionalFormatting sqref="F69">
    <cfRule type="cellIs" dxfId="1087" priority="46" operator="lessThan">
      <formula>0</formula>
    </cfRule>
  </conditionalFormatting>
  <conditionalFormatting sqref="B65:E67 B69:E69 B68:D68">
    <cfRule type="cellIs" dxfId="1086" priority="47" operator="lessThan">
      <formula>0</formula>
    </cfRule>
  </conditionalFormatting>
  <conditionalFormatting sqref="E68">
    <cfRule type="cellIs" dxfId="1085" priority="45" operator="lessThan">
      <formula>0</formula>
    </cfRule>
  </conditionalFormatting>
  <conditionalFormatting sqref="F65:F68">
    <cfRule type="cellIs" dxfId="1084" priority="44" operator="lessThan">
      <formula>0</formula>
    </cfRule>
  </conditionalFormatting>
  <conditionalFormatting sqref="F65:F68">
    <cfRule type="cellIs" dxfId="1083" priority="43" operator="lessThan">
      <formula>$E$65*0.9</formula>
    </cfRule>
  </conditionalFormatting>
  <conditionalFormatting sqref="F66">
    <cfRule type="cellIs" dxfId="1082" priority="42" operator="lessThan">
      <formula>$E$66*0.9</formula>
    </cfRule>
  </conditionalFormatting>
  <conditionalFormatting sqref="F67:F68">
    <cfRule type="cellIs" dxfId="1081" priority="41" operator="lessThan">
      <formula>$E$67*0.9</formula>
    </cfRule>
  </conditionalFormatting>
  <conditionalFormatting sqref="F68">
    <cfRule type="cellIs" dxfId="1080" priority="40" operator="lessThan">
      <formula>$E$68*0.9</formula>
    </cfRule>
  </conditionalFormatting>
  <conditionalFormatting sqref="B13:F13">
    <cfRule type="cellIs" dxfId="1079" priority="29" operator="greaterThan">
      <formula>$I$16</formula>
    </cfRule>
    <cfRule type="cellIs" dxfId="1078" priority="30" operator="lessThanOrEqual">
      <formula>$I$16</formula>
    </cfRule>
  </conditionalFormatting>
  <conditionalFormatting sqref="B10:F10">
    <cfRule type="cellIs" dxfId="1077" priority="31" operator="greaterThan">
      <formula>15</formula>
    </cfRule>
    <cfRule type="cellIs" dxfId="1076" priority="38" operator="lessThan">
      <formula>$I$9</formula>
    </cfRule>
    <cfRule type="cellIs" dxfId="1075" priority="39" operator="greaterThan">
      <formula>$I$9</formula>
    </cfRule>
  </conditionalFormatting>
  <conditionalFormatting sqref="B16:F16">
    <cfRule type="cellIs" dxfId="1074" priority="36" operator="greaterThan">
      <formula>$I$16</formula>
    </cfRule>
    <cfRule type="cellIs" dxfId="1073" priority="37" operator="lessThanOrEqual">
      <formula>$I$16</formula>
    </cfRule>
  </conditionalFormatting>
  <conditionalFormatting sqref="B15:F15">
    <cfRule type="cellIs" dxfId="1072" priority="34" operator="lessThanOrEqual">
      <formula>$I$16</formula>
    </cfRule>
    <cfRule type="cellIs" dxfId="1071" priority="35" operator="greaterThan">
      <formula>$I$16</formula>
    </cfRule>
  </conditionalFormatting>
  <conditionalFormatting sqref="B14:F14">
    <cfRule type="cellIs" dxfId="1070" priority="32" operator="greaterThan">
      <formula>$I$16</formula>
    </cfRule>
    <cfRule type="cellIs" dxfId="1069" priority="33" operator="lessThanOrEqual">
      <formula>$I$16</formula>
    </cfRule>
  </conditionalFormatting>
  <conditionalFormatting sqref="K6">
    <cfRule type="containsText" dxfId="1068" priority="27" operator="containsText" text="衰退">
      <formula>NOT(ISERROR(SEARCH("衰退",K6)))</formula>
    </cfRule>
    <cfRule type="containsText" dxfId="1067" priority="28" operator="containsText" text="成長">
      <formula>NOT(ISERROR(SEARCH("成長",K6)))</formula>
    </cfRule>
  </conditionalFormatting>
  <conditionalFormatting sqref="I4:K4">
    <cfRule type="cellIs" dxfId="1066" priority="25" operator="lessThan">
      <formula>0</formula>
    </cfRule>
    <cfRule type="cellIs" dxfId="106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064" priority="22" operator="lessThanOrEqual">
      <formula>$I$16</formula>
    </cfRule>
    <cfRule type="cellIs" dxfId="1063" priority="23" operator="greaterThan">
      <formula>$I$16</formula>
    </cfRule>
  </conditionalFormatting>
  <conditionalFormatting sqref="I6">
    <cfRule type="containsText" dxfId="1062" priority="20" operator="containsText" text="衰退">
      <formula>NOT(ISERROR(SEARCH("衰退",I6)))</formula>
    </cfRule>
    <cfRule type="containsText" dxfId="1061" priority="21" operator="containsText" text="成長">
      <formula>NOT(ISERROR(SEARCH("成長",I6)))</formula>
    </cfRule>
  </conditionalFormatting>
  <conditionalFormatting sqref="M9">
    <cfRule type="cellIs" dxfId="1060" priority="19" operator="lessThan">
      <formula>$I$9</formula>
    </cfRule>
  </conditionalFormatting>
  <conditionalFormatting sqref="M10">
    <cfRule type="cellIs" dxfId="1059" priority="18" operator="greaterThan">
      <formula>$I$9</formula>
    </cfRule>
  </conditionalFormatting>
  <conditionalFormatting sqref="M11">
    <cfRule type="cellIs" dxfId="105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057" priority="14" operator="lessThan">
      <formula>0</formula>
    </cfRule>
    <cfRule type="cellIs" dxfId="1056" priority="15" operator="greaterThan">
      <formula>0.5</formula>
    </cfRule>
  </conditionalFormatting>
  <conditionalFormatting sqref="N14">
    <cfRule type="cellIs" dxfId="105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054" priority="10" operator="lessThan">
      <formula>0.1</formula>
    </cfRule>
  </conditionalFormatting>
  <conditionalFormatting sqref="I14">
    <cfRule type="cellIs" dxfId="105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05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051" priority="1" operator="lessThan">
      <formula>$N$5*0.9</formula>
    </cfRule>
    <cfRule type="cellIs" dxfId="1050" priority="2" operator="greaterThan">
      <formula>$N$5*1.1</formula>
    </cfRule>
  </conditionalFormatting>
  <hyperlinks>
    <hyperlink ref="L1" location="儀表板!A1" display="(回首頁)" xr:uid="{00000000-0004-0000-5900-000000000000}"/>
  </hyperlink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3 ~ 15.17</v>
      </c>
      <c r="L1" s="83" t="s">
        <v>176</v>
      </c>
      <c r="M1" s="84" t="str">
        <f ca="1">VLOOKUP(_xlfn.NUMBERVALUE(N1),儀表板!A:B,2,FALSE)</f>
        <v>群聯</v>
      </c>
      <c r="N1" s="85" t="str">
        <f ca="1">MID(CELL("filename",L1),FIND("]",CELL("filename",L1))+1,255)</f>
        <v>8299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0.12325947073230495</v>
      </c>
    </row>
    <row r="3" spans="1:15" s="93" customFormat="1" x14ac:dyDescent="0.25">
      <c r="A3" s="81" t="s">
        <v>179</v>
      </c>
      <c r="B3" s="94">
        <f>SUM(F19:F22,F24:F27,J19)</f>
        <v>84.106789495228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364.97130806067742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408.35329315673363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430.41443916121273</v>
      </c>
      <c r="L3" s="100"/>
      <c r="M3" s="79" t="s">
        <v>385</v>
      </c>
      <c r="N3" s="92">
        <f>(F69-E69)/E69</f>
        <v>0.14758499068765121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19.7</v>
      </c>
      <c r="E4" s="82">
        <f>(D4-F4)/F4</f>
        <v>0</v>
      </c>
      <c r="F4" s="103">
        <v>19.7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28.310921720264357</v>
      </c>
    </row>
    <row r="5" spans="1:15" s="93" customFormat="1" x14ac:dyDescent="0.25">
      <c r="A5" s="81" t="s">
        <v>184</v>
      </c>
      <c r="B5" s="107">
        <f>SUM(F30:F34)*2</f>
        <v>92.844133649170914</v>
      </c>
      <c r="C5" s="87"/>
      <c r="D5" s="87"/>
      <c r="E5" s="87"/>
      <c r="F5" s="86"/>
      <c r="G5" s="88"/>
      <c r="M5" s="79" t="s">
        <v>386</v>
      </c>
      <c r="N5" s="152">
        <f>D62</f>
        <v>30.169999999999998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連4月衰退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25.685043402821393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23.64</v>
      </c>
      <c r="N9" s="129"/>
    </row>
    <row r="10" spans="1:15" s="93" customFormat="1" x14ac:dyDescent="0.25">
      <c r="A10" s="123" t="s">
        <v>194</v>
      </c>
      <c r="B10" s="126">
        <f>PERCENTILE(176:176,B9)</f>
        <v>11.11</v>
      </c>
      <c r="C10" s="126">
        <f>PERCENTILE(176:176,C9)</f>
        <v>12.324999999999999</v>
      </c>
      <c r="D10" s="126">
        <f>PERCENTILE(176:176,D9)</f>
        <v>13.79</v>
      </c>
      <c r="E10" s="126">
        <f>PERCENTILE(176:176,E9)</f>
        <v>14.535</v>
      </c>
      <c r="F10" s="126">
        <f>PERCENTILE(176:176,F9)</f>
        <v>15.59</v>
      </c>
      <c r="G10" s="95"/>
      <c r="H10" s="135"/>
      <c r="I10" s="135"/>
      <c r="J10" s="135"/>
      <c r="K10" s="135"/>
      <c r="L10" s="136" t="s">
        <v>374</v>
      </c>
      <c r="M10" s="130">
        <f>MIN(176:176)</f>
        <v>4.88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125.73</v>
      </c>
      <c r="L11" s="272" t="s">
        <v>193</v>
      </c>
      <c r="M11" s="128">
        <f>STDEV(176:176)</f>
        <v>3.3978656278537267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167.0168067226891</v>
      </c>
      <c r="C13" s="141">
        <f>$B$34/5.88%</f>
        <v>202.80612244897961</v>
      </c>
      <c r="D13" s="141">
        <f>$B$34/5%</f>
        <v>238.5</v>
      </c>
      <c r="E13" s="141">
        <f>$B$34/4.35%</f>
        <v>274.13793103448279</v>
      </c>
      <c r="F13" s="141">
        <f>$B$34/3.85%</f>
        <v>309.74025974025977</v>
      </c>
      <c r="G13" s="138" t="str">
        <f>"$"&amp;ROUND(B34,2)&amp;"/"&amp;IF(STDEV(C140:F140)/AVERAGE(C140:F140)&lt;15%,"高",IF(STDEV(C140:F140)/AVERAGE(C140:F140)&lt;30%,"中","低"))</f>
        <v>$11.93/高</v>
      </c>
      <c r="H13" s="142" t="s">
        <v>199</v>
      </c>
      <c r="I13" s="143">
        <f>MAX(0,1-J15)</f>
        <v>0.43250912038913669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222.783275</v>
      </c>
      <c r="C14" s="141">
        <f>$B$33*C10</f>
        <v>247.1470625</v>
      </c>
      <c r="D14" s="141">
        <f>$B$33*D10</f>
        <v>276.52397500000001</v>
      </c>
      <c r="E14" s="141">
        <f>$B$33*E10</f>
        <v>291.46308750000003</v>
      </c>
      <c r="F14" s="141">
        <f>$B$33*F10</f>
        <v>312.61847500000005</v>
      </c>
      <c r="G14" s="138" t="str">
        <f>"$"&amp;ROUND(B33,2)&amp;"/"&amp;IF(STDEV(B69:E69)/AVERAGE(B69:E69)&lt;15%,"高",IF(STDEV(B69:E69)/AVERAGE(B69:E69)&lt;30%,"中","低"))</f>
        <v>$20.05/中</v>
      </c>
      <c r="H14" s="142" t="s">
        <v>203</v>
      </c>
      <c r="I14" s="145">
        <f>G62/100*I13</f>
        <v>0.11003032022699635</v>
      </c>
      <c r="J14" s="76" t="s">
        <v>204</v>
      </c>
      <c r="K14" s="146"/>
      <c r="L14" s="147">
        <f>(HLOOKUP($C$1,$105:$106,2,FALSE)-HLOOKUP($C$1,$117:$127,9,FALSE))/(HLOOKUP($C$1,$117:$128,12,FALSE)/K11)</f>
        <v>64.232676017158013</v>
      </c>
      <c r="M14" s="148">
        <f>E135/E69</f>
        <v>0.70936359951357919</v>
      </c>
      <c r="N14" s="149">
        <f>F173/100</f>
        <v>1.2399</v>
      </c>
    </row>
    <row r="15" spans="1:15" s="93" customFormat="1" x14ac:dyDescent="0.25">
      <c r="A15" s="140" t="s">
        <v>375</v>
      </c>
      <c r="B15" s="141">
        <f>$D$62*B10</f>
        <v>335.18869999999998</v>
      </c>
      <c r="C15" s="141">
        <f>$D$62*C10</f>
        <v>371.84524999999996</v>
      </c>
      <c r="D15" s="141">
        <f>$D$62*D10</f>
        <v>416.04429999999996</v>
      </c>
      <c r="E15" s="141">
        <f>$D$62*E10</f>
        <v>438.52094999999997</v>
      </c>
      <c r="F15" s="141">
        <f>$D$62*F10</f>
        <v>470.35029999999995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0.56749087961086331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314.53434031213698</v>
      </c>
      <c r="C16" s="141">
        <f>$F$69*C10</f>
        <v>348.93211020225817</v>
      </c>
      <c r="D16" s="141">
        <f>$F$69*D10</f>
        <v>390.40761052244545</v>
      </c>
      <c r="E16" s="141">
        <f>$F$69*E10</f>
        <v>411.49924720404243</v>
      </c>
      <c r="F16" s="141">
        <f>$F$69*F10</f>
        <v>441.36726961892134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1199</v>
      </c>
      <c r="J17" s="92">
        <f ca="1">IF(I17&lt;=0,"",IF(I17&lt;=MIN($B$13:$F$16),(I17-MIN($B$13:$F$16))/MIN($B$13:$F$16),IF(I17&gt;=MAX($B$13:$F$16),I17/MAX($B$13:$F$16),PERCENTRANK($B$13:$F$16,I17))))</f>
        <v>2.5491638891268913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15.504999999999999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1.3002096436058699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0.16494008799731288</v>
      </c>
      <c r="J20" s="171">
        <f>HLOOKUP($C$1,$117:$127,11,FALSE)/HLOOKUP($C$1,$105:$115,11,FALSE)</f>
        <v>0.3016342752673235</v>
      </c>
      <c r="K20" s="163"/>
    </row>
    <row r="21" spans="1:14" s="93" customFormat="1" x14ac:dyDescent="0.25">
      <c r="A21" s="151" t="s">
        <v>201</v>
      </c>
      <c r="B21" s="161">
        <f>AVERAGE(C173:F173)/100</f>
        <v>0.80282500000000001</v>
      </c>
      <c r="C21" s="157" t="s">
        <v>217</v>
      </c>
      <c r="D21" s="158">
        <f>COUNTIF(C173:F173,"&gt;=80")/COUNT(C173:F173)</f>
        <v>0.5</v>
      </c>
      <c r="E21" s="140" t="s">
        <v>218</v>
      </c>
      <c r="F21" s="159">
        <f>MIN(100%,B21)*9+D21*6-COUNTIF(B132:E132,"&lt;=0")*4</f>
        <v>10.225425000000001</v>
      </c>
      <c r="G21" s="88" t="s">
        <v>220</v>
      </c>
      <c r="H21" s="123" t="s">
        <v>221</v>
      </c>
      <c r="I21" s="162">
        <f>HLOOKUP($C$1,$105:$115,7,FALSE)/HLOOKUP($C$1,$117:$127,8,FALSE)</f>
        <v>2.7513333376622753</v>
      </c>
      <c r="J21" s="78"/>
      <c r="K21" s="164" t="s">
        <v>356</v>
      </c>
      <c r="L21" s="165">
        <f>HLOOKUP($C$1,$105:$115,7,FALSE)/HLOOKUP($C$1,$105:$115,11,FALSE)</f>
        <v>0.82398031900420998</v>
      </c>
      <c r="M21" s="123" t="s">
        <v>268</v>
      </c>
      <c r="N21" s="165">
        <f>HLOOKUP($C$1,$117:$127,8,FALSE)/HLOOKUP($C$1,$117:$127,11,FALSE)</f>
        <v>0.99287125711799773</v>
      </c>
    </row>
    <row r="22" spans="1:14" s="93" customFormat="1" x14ac:dyDescent="0.25">
      <c r="A22" s="140" t="s">
        <v>222</v>
      </c>
      <c r="B22" s="161">
        <f>(-1)*SUM(C133:F133)/SUM(C132:F132)</f>
        <v>0.23674172511381814</v>
      </c>
      <c r="C22" s="157"/>
      <c r="D22" s="166"/>
      <c r="E22" s="140"/>
      <c r="F22" s="159">
        <f>IF(B22&lt;=0,10,IF(B22&gt;=100%,0,(1-B22)*10))</f>
        <v>7.6325827488618181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1.8643335927875309</v>
      </c>
      <c r="J22" s="78"/>
      <c r="K22" s="142" t="s">
        <v>357</v>
      </c>
      <c r="L22" s="165">
        <f>HLOOKUP($C$1,$105:$115,4,FALSE)/HLOOKUP($C$1,$105:$115,11,FALSE)</f>
        <v>0.14844243786726494</v>
      </c>
      <c r="M22" s="123" t="s">
        <v>353</v>
      </c>
      <c r="N22" s="165">
        <f>HLOOKUP($C$1,$117:$127,4,FALSE)/HLOOKUP($C$1,$117:$127,11,FALSE)</f>
        <v>0.4531785625120533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1.4319144891922988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0.26564223343418764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1.0060753673988878</v>
      </c>
      <c r="C24" s="169">
        <f>STDEV(C103:F103)</f>
        <v>7.1099647822965113E-3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40.909999999999997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1.4086029754403543E-2</v>
      </c>
      <c r="M24" s="123" t="s">
        <v>355</v>
      </c>
      <c r="N24" s="165">
        <f>HLOOKUP($C$1,$117:$127,9,FALSE)/HLOOKUP($C$1,$117:$127,11,FALSE)</f>
        <v>7.1287428820023232E-3</v>
      </c>
    </row>
    <row r="25" spans="1:14" s="93" customFormat="1" x14ac:dyDescent="0.25">
      <c r="A25" s="151" t="s">
        <v>366</v>
      </c>
      <c r="B25" s="255">
        <f>AVERAGE(94:94)</f>
        <v>75294.391304347824</v>
      </c>
      <c r="C25" s="254">
        <f>STDEV(94:94)/AVERAGE(94:94)</f>
        <v>1.7512182536338272</v>
      </c>
      <c r="D25" s="76" t="str">
        <f>IF(C25&lt;=1,"高",IF(C25&lt;=2,"中","低"))</f>
        <v>中</v>
      </c>
      <c r="E25" s="149"/>
      <c r="F25" s="160">
        <f>MAX(0,10-ABS(C25))</f>
        <v>8.2487817463661735</v>
      </c>
      <c r="G25" s="88" t="s">
        <v>213</v>
      </c>
      <c r="H25" s="123" t="s">
        <v>232</v>
      </c>
      <c r="I25" s="170">
        <f>IF(HLOOKUP(C1,167:170,3,FALSE)="無",0,HLOOKUP(C1,167:170,3,FALSE))</f>
        <v>102.27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44.086521739130433</v>
      </c>
      <c r="C26" s="172">
        <f>IF(COUNTIF(168:168,"&gt;0")=0,0,STDEV(168:168))</f>
        <v>3.1418301104114064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62.016086956521747</v>
      </c>
      <c r="C27" s="172">
        <f>IF(COUNTIF(169:169,"&gt;0")=0,0,STDEV(169:169))</f>
        <v>20.861908467376274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6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0.19094999999999998</v>
      </c>
      <c r="C30" s="157" t="s">
        <v>217</v>
      </c>
      <c r="D30" s="174">
        <f>COUNTIF(146:146,"&gt;20")/COUNT(146:146)</f>
        <v>0.30434782608695654</v>
      </c>
      <c r="E30" s="140" t="s">
        <v>239</v>
      </c>
      <c r="F30" s="159">
        <f>MIN(B30/25%*10,10)</f>
        <v>7.637999999999999</v>
      </c>
      <c r="G30" s="175"/>
      <c r="H30" s="176"/>
    </row>
    <row r="31" spans="1:14" x14ac:dyDescent="0.25">
      <c r="A31" s="164" t="s">
        <v>240</v>
      </c>
      <c r="B31" s="173">
        <f>AVERAGE(C155:F155)/100</f>
        <v>0.10285</v>
      </c>
      <c r="C31" s="157" t="s">
        <v>217</v>
      </c>
      <c r="D31" s="174">
        <f>COUNTIF(149:149,"&gt;8")/COUNT(149:149)</f>
        <v>0.82608695652173914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22.164999999999999</v>
      </c>
      <c r="C32" s="157" t="s">
        <v>217</v>
      </c>
      <c r="D32" s="174">
        <f>COUNTIF(159:159,"&gt;3")/COUNT(159:159)</f>
        <v>0.91304347826086951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20.052500000000002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11.925000000000001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8.7840668245854623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36552315</v>
      </c>
      <c r="C36" s="178">
        <f>STDEV(C97:F97)</f>
        <v>5289337.8798568603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19.094999999999999</v>
      </c>
      <c r="C37" s="180">
        <f>STDEV(C152:F152)</f>
        <v>2.0736039480415092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10.6975</v>
      </c>
      <c r="C38" s="180">
        <f>STDEV(C153:F153)</f>
        <v>0.80500000000000038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22.164999999999999</v>
      </c>
      <c r="C39" s="181">
        <f>STDEV(C165:F165)</f>
        <v>1.366565036871644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20.052500000000002</v>
      </c>
      <c r="C40" s="183">
        <f>STDEV(B69:E69)</f>
        <v>3.366366735814728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6.7017082785807994E-2</v>
      </c>
      <c r="C44" s="186">
        <f>(C46-C49)/C49</f>
        <v>0.65708418891170428</v>
      </c>
      <c r="D44" s="186">
        <f>(D46-D49)/D49</f>
        <v>0.38004246284501064</v>
      </c>
      <c r="E44" s="186">
        <f>(E46-E49)/E49</f>
        <v>0.41398865784499062</v>
      </c>
      <c r="G44" s="86" t="s">
        <v>175</v>
      </c>
      <c r="H44" s="186">
        <f>(H47-H50)/H50</f>
        <v>0.31054365733113659</v>
      </c>
      <c r="I44" s="186">
        <f>(I47-I50)/I50</f>
        <v>0.75072184793070251</v>
      </c>
      <c r="J44" s="186">
        <f>(J47-J50)/J50</f>
        <v>0.77766599597585562</v>
      </c>
      <c r="K44" s="186">
        <f>(K47-K50)/K50</f>
        <v>0.13039215686274516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8.1199999999999992</v>
      </c>
      <c r="C46" s="152">
        <f>HLOOKUP(C45,$81:$82,2,FALSE)</f>
        <v>8.07</v>
      </c>
      <c r="D46" s="152">
        <f>HLOOKUP(D45,$81:$82,2,FALSE)</f>
        <v>6.5</v>
      </c>
      <c r="E46" s="152">
        <f>HLOOKUP(E45,$81:$82,2,FALSE)</f>
        <v>7.48</v>
      </c>
      <c r="G46" s="86" t="s">
        <v>164</v>
      </c>
      <c r="H46" s="145">
        <f>HLOOKUP(H45,$145:$147,2,FALSE)/100</f>
        <v>0.26569999999999999</v>
      </c>
      <c r="I46" s="145">
        <f>HLOOKUP(I45,$145:$147,2,FALSE)/100</f>
        <v>0.29809999999999998</v>
      </c>
      <c r="J46" s="145">
        <f>HLOOKUP(J45,$145:$147,2,FALSE)/100</f>
        <v>0.30690000000000001</v>
      </c>
      <c r="K46" s="145">
        <f>HLOOKUP(K45,$145:$147,2,FALSE)/100</f>
        <v>0.24260000000000001</v>
      </c>
    </row>
    <row r="47" spans="1:14" x14ac:dyDescent="0.25">
      <c r="A47" s="188" t="s">
        <v>165</v>
      </c>
      <c r="B47" s="189">
        <f>HLOOKUP(B45,$157:$159,3,FALSE)</f>
        <v>6.67</v>
      </c>
      <c r="C47" s="189">
        <f>HLOOKUP(C45,$157:$159,3,FALSE)</f>
        <v>6.71</v>
      </c>
      <c r="D47" s="189">
        <f>HLOOKUP(D45,$157:$159,3,FALSE)</f>
        <v>5.42</v>
      </c>
      <c r="E47" s="189">
        <f>HLOOKUP(E45,$157:$159,3,FALSE)</f>
        <v>6.64</v>
      </c>
      <c r="G47" s="190" t="s">
        <v>166</v>
      </c>
      <c r="H47" s="145">
        <f>HLOOKUP(H45,$145:$147,3,FALSE)/100</f>
        <v>0.15909999999999999</v>
      </c>
      <c r="I47" s="145">
        <f>HLOOKUP(I45,$145:$147,3,FALSE)/100</f>
        <v>0.18190000000000001</v>
      </c>
      <c r="J47" s="145">
        <f>HLOOKUP(J45,$145:$147,3,FALSE)/100</f>
        <v>0.17670000000000002</v>
      </c>
      <c r="K47" s="145">
        <f>HLOOKUP(K45,$145:$147,3,FALSE)/100</f>
        <v>0.1153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7.61</v>
      </c>
      <c r="C49" s="152">
        <f>HLOOKUP(C48,$81:$82,2,FALSE)</f>
        <v>4.87</v>
      </c>
      <c r="D49" s="152">
        <f>HLOOKUP(D48,$81:$82,2,FALSE)</f>
        <v>4.71</v>
      </c>
      <c r="E49" s="152">
        <f>HLOOKUP(E48,$81:$82,2,FALSE)</f>
        <v>5.29</v>
      </c>
      <c r="G49" s="86" t="s">
        <v>164</v>
      </c>
      <c r="H49" s="145">
        <f>HLOOKUP(H48,$145:$147,2,FALSE)/100</f>
        <v>0.21309999999999998</v>
      </c>
      <c r="I49" s="145">
        <f>HLOOKUP(I48,$145:$147,2,FALSE)/100</f>
        <v>0.19339999999999999</v>
      </c>
      <c r="J49" s="145">
        <f>HLOOKUP(J48,$145:$147,2,FALSE)/100</f>
        <v>0.19420000000000001</v>
      </c>
      <c r="K49" s="145">
        <f>HLOOKUP(K48,$145:$147,2,FALSE)/100</f>
        <v>0.17989999999999998</v>
      </c>
    </row>
    <row r="50" spans="1:15" x14ac:dyDescent="0.25">
      <c r="A50" s="188" t="s">
        <v>165</v>
      </c>
      <c r="B50" s="189">
        <f>HLOOKUP(B48,$157:$159,3,FALSE)</f>
        <v>7.17</v>
      </c>
      <c r="C50" s="189">
        <f>HLOOKUP(C48,$157:$159,3,FALSE)</f>
        <v>4.63</v>
      </c>
      <c r="D50" s="189">
        <f>HLOOKUP(D48,$157:$159,3,FALSE)</f>
        <v>4.45</v>
      </c>
      <c r="E50" s="189">
        <f>HLOOKUP(E48,$157:$159,3,FALSE)</f>
        <v>5.7</v>
      </c>
      <c r="G50" s="190" t="s">
        <v>166</v>
      </c>
      <c r="H50" s="145">
        <f>HLOOKUP(H48,$145:$147,3,FALSE)/100</f>
        <v>0.12140000000000001</v>
      </c>
      <c r="I50" s="145">
        <f>HLOOKUP(I48,$145:$147,3,FALSE)/100</f>
        <v>0.10390000000000001</v>
      </c>
      <c r="J50" s="145">
        <f>HLOOKUP(J48,$145:$147,3,FALSE)/100</f>
        <v>9.9399999999999988E-2</v>
      </c>
      <c r="K50" s="145">
        <f>HLOOKUP(K48,$145:$147,3,FALSE)/100</f>
        <v>0.10199999999999999</v>
      </c>
    </row>
    <row r="51" spans="1:15" x14ac:dyDescent="0.25">
      <c r="A51" s="86" t="s">
        <v>351</v>
      </c>
      <c r="B51" s="186">
        <f>(B47-B50)/B50</f>
        <v>-6.9735006973500699E-2</v>
      </c>
      <c r="C51" s="186">
        <f>(C47-C50)/C50</f>
        <v>0.44924406047516202</v>
      </c>
      <c r="D51" s="186">
        <f>(D47-D50)/D50</f>
        <v>0.21797752808988757</v>
      </c>
      <c r="E51" s="186">
        <f>(E47-E50)/E50</f>
        <v>0.16491228070175429</v>
      </c>
      <c r="G51" s="235" t="s">
        <v>174</v>
      </c>
      <c r="H51" s="186">
        <f>(H46-H49)/H49</f>
        <v>0.2468324730173628</v>
      </c>
      <c r="I51" s="186">
        <f>(I46-I49)/I49</f>
        <v>0.5413650465356773</v>
      </c>
      <c r="J51" s="186">
        <f>(J46-J49)/J49</f>
        <v>0.58032955715756951</v>
      </c>
      <c r="K51" s="186">
        <f>(K46-K49)/K49</f>
        <v>0.34852695942190126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25.685043402821393</v>
      </c>
      <c r="B53" s="193">
        <f>B46</f>
        <v>8.1199999999999992</v>
      </c>
      <c r="C53" s="193">
        <f>E46/HLOOKUP(E45,$87:$94,5,FALSE)*HLOOKUP(E45,$87:$94,4,FALSE)*($B$25/HLOOKUP(E45,$87:$94,4,FALSE)+SUM($B$57:$D$57)/SUM($B58:$D$58)*$G$69/100/K46)</f>
        <v>5.6209217202643593</v>
      </c>
      <c r="D53" s="193">
        <f>D46/HLOOKUP(D45,$87:$94,5,FALSE)*HLOOKUP(D45,$87:$94,4,FALSE)*($B$25/HLOOKUP(D45,$87:$94,4,FALSE)+SUM($B$57:$D$57)/SUM($B58:$D$58)*$G$69/100/J46)</f>
        <v>5.8703156028212859</v>
      </c>
      <c r="E53" s="193">
        <f>C46/HLOOKUP(C45,$87:$94,5,FALSE)*HLOOKUP(C45,$87:$94,4,FALSE)*($B$25/HLOOKUP(C45,$87:$94,4,FALSE)+SUM($B$57:$D$57)/SUM($B58:$D$58)*$G$69/100/I46)</f>
        <v>6.0738060797357463</v>
      </c>
    </row>
    <row r="54" spans="1:15" x14ac:dyDescent="0.25">
      <c r="A54" s="278">
        <f>SUM(B54:E54)</f>
        <v>29.66</v>
      </c>
      <c r="B54" s="277">
        <f t="shared" ref="B54:D54" si="0">HLOOKUP(B52-10,81:82,2,FALSE)</f>
        <v>7.61</v>
      </c>
      <c r="C54" s="277">
        <f t="shared" si="0"/>
        <v>7.48</v>
      </c>
      <c r="D54" s="277">
        <f t="shared" si="0"/>
        <v>6.5</v>
      </c>
      <c r="E54" s="277">
        <f>HLOOKUP(E52-10,81:82,2,FALSE)</f>
        <v>8.07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3741271</v>
      </c>
      <c r="C57" s="196">
        <f>HLOOKUP(C56,78:79,2,FALSE)</f>
        <v>3939973</v>
      </c>
      <c r="D57" s="196">
        <f>HLOOKUP(D56,78:79,2,FALSE)</f>
        <v>3606489</v>
      </c>
      <c r="E57" s="196">
        <f>HLOOKUP(E56,78:79,2,FALSE)</f>
        <v>3627165</v>
      </c>
      <c r="F57" s="196">
        <f>HLOOKUP(F56,78:79,2,FALSE)</f>
        <v>3643683</v>
      </c>
      <c r="G57" s="196">
        <f t="shared" ref="G57:M57" si="2">HLOOKUP(G56,78:79,2,FALSE)</f>
        <v>3492154</v>
      </c>
      <c r="H57" s="196">
        <f t="shared" si="2"/>
        <v>3356656</v>
      </c>
      <c r="I57" s="196">
        <f t="shared" si="2"/>
        <v>3629516</v>
      </c>
      <c r="J57" s="196">
        <f t="shared" si="2"/>
        <v>2779274</v>
      </c>
      <c r="K57" s="196">
        <f t="shared" si="2"/>
        <v>3147077</v>
      </c>
      <c r="L57" s="196">
        <f t="shared" si="2"/>
        <v>3067342</v>
      </c>
      <c r="M57" s="196">
        <f t="shared" si="2"/>
        <v>3837687</v>
      </c>
      <c r="N57" s="197"/>
    </row>
    <row r="58" spans="1:15" x14ac:dyDescent="0.25">
      <c r="A58" s="198" t="s">
        <v>253</v>
      </c>
      <c r="B58" s="196">
        <f>HLOOKUP(B56-100,78:79,2,FALSE)</f>
        <v>4176802</v>
      </c>
      <c r="C58" s="196">
        <f>HLOOKUP(C56-100,78:79,2,FALSE)</f>
        <v>4102626</v>
      </c>
      <c r="D58" s="196">
        <f>HLOOKUP(D56-100,78:79,2,FALSE)</f>
        <v>4445990</v>
      </c>
      <c r="E58" s="196">
        <f>HLOOKUP(E56-100,78:79,2,FALSE)</f>
        <v>3788741</v>
      </c>
      <c r="F58" s="196">
        <f>HLOOKUP(F56-100,78:79,2,FALSE)</f>
        <v>3430814</v>
      </c>
      <c r="G58" s="196">
        <f t="shared" ref="G58:M58" si="3">HLOOKUP(G56-100,78:79,2,FALSE)</f>
        <v>3190326</v>
      </c>
      <c r="H58" s="196">
        <f t="shared" si="3"/>
        <v>3835798</v>
      </c>
      <c r="I58" s="196">
        <f t="shared" si="3"/>
        <v>3694002</v>
      </c>
      <c r="J58" s="196">
        <f t="shared" si="3"/>
        <v>3091855</v>
      </c>
      <c r="K58" s="196">
        <f t="shared" si="3"/>
        <v>3120529</v>
      </c>
      <c r="L58" s="196">
        <f t="shared" si="3"/>
        <v>2963140</v>
      </c>
      <c r="M58" s="196">
        <f t="shared" si="3"/>
        <v>3227037</v>
      </c>
      <c r="N58" s="197"/>
    </row>
    <row r="59" spans="1:15" x14ac:dyDescent="0.25">
      <c r="A59" s="199" t="s">
        <v>254</v>
      </c>
      <c r="B59" s="165">
        <f>IF(B57&lt;&gt;"",(B57-B58)/B58,"")</f>
        <v>-0.10427379607651979</v>
      </c>
      <c r="C59" s="165">
        <f>IF(C57&lt;&gt;"",(C57-C58)/C58,"")</f>
        <v>-3.9646070589909974E-2</v>
      </c>
      <c r="D59" s="165">
        <f>IF(D57&lt;&gt;"",(D57-D58)/D58,"")</f>
        <v>-0.18882206212789501</v>
      </c>
      <c r="E59" s="165">
        <f>IF(E57&lt;&gt;"",(E57-E58)/E58,"")</f>
        <v>-4.2646356665710324E-2</v>
      </c>
      <c r="F59" s="165">
        <f>IF(F57&lt;&gt;"",(F57-F58)/F58,"")</f>
        <v>6.2046208275936848E-2</v>
      </c>
      <c r="G59" s="165">
        <f t="shared" ref="G59:M59" si="4">IF(G57&lt;&gt;"",(G57-G58)/G58,"")</f>
        <v>9.460725957159237E-2</v>
      </c>
      <c r="H59" s="165">
        <f t="shared" si="4"/>
        <v>-0.1249132514277342</v>
      </c>
      <c r="I59" s="165">
        <f t="shared" si="4"/>
        <v>-1.7456947776422427E-2</v>
      </c>
      <c r="J59" s="165">
        <f t="shared" si="4"/>
        <v>-0.10109820803368852</v>
      </c>
      <c r="K59" s="165">
        <f t="shared" si="4"/>
        <v>8.5075318960342941E-3</v>
      </c>
      <c r="L59" s="165">
        <f t="shared" si="4"/>
        <v>3.5166073827088834E-2</v>
      </c>
      <c r="M59" s="165">
        <f t="shared" si="4"/>
        <v>0.18922931469332394</v>
      </c>
    </row>
    <row r="60" spans="1:15" x14ac:dyDescent="0.25">
      <c r="A60" s="195" t="s">
        <v>255</v>
      </c>
      <c r="B60" s="196">
        <f>SUM(B57:M57)</f>
        <v>41868287</v>
      </c>
    </row>
    <row r="61" spans="1:15" x14ac:dyDescent="0.25">
      <c r="A61" s="198" t="s">
        <v>256</v>
      </c>
      <c r="B61" s="196">
        <f>SUM(B58:M58)</f>
        <v>43067660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0.97215142406158128</v>
      </c>
      <c r="D62" s="152">
        <f>SUM(B46:E46)</f>
        <v>30.169999999999998</v>
      </c>
      <c r="E62" s="152">
        <f>SUM(B49:E49)</f>
        <v>22.48</v>
      </c>
      <c r="G62" s="126">
        <f>SUM(B47:E47)</f>
        <v>25.439999999999998</v>
      </c>
      <c r="H62" s="126">
        <f>SUM(B50:E50)</f>
        <v>21.95</v>
      </c>
      <c r="J62" s="200">
        <f>AVERAGE(H46:K46)</f>
        <v>0.27832499999999999</v>
      </c>
      <c r="K62" s="200">
        <f>AVERAGE(H49:K49)</f>
        <v>0.19514999999999999</v>
      </c>
      <c r="M62" s="200">
        <f>AVERAGE(H47:K47)</f>
        <v>0.15825</v>
      </c>
      <c r="N62" s="200">
        <f>AVERAGE(H50:K50)</f>
        <v>0.10667499999999999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4.1500000000000004</v>
      </c>
      <c r="C65" s="205">
        <f t="shared" si="5"/>
        <v>4.16</v>
      </c>
      <c r="D65" s="205">
        <f t="shared" si="5"/>
        <v>4.5199999999999996</v>
      </c>
      <c r="E65" s="205">
        <f t="shared" si="5"/>
        <v>4.71</v>
      </c>
      <c r="F65" s="206">
        <f>IF(ISNA(HLOOKUP(F$64*10+$A65,$81:$82,2,FALSE)),(HLOOKUP(E$64*10+$A65,$87:$94,4,FALSE)*$G65+$B$25)/HLOOKUP(E$64*10+$A65,$87:$94,5,FALSE)*$E65,HLOOKUP(F$64*10+$A65,$81:$82,2,FALSE))</f>
        <v>6.5</v>
      </c>
      <c r="G65" s="101">
        <f>MIN(130%,SUM($B$57:$D$57)/SUM($B$58:$D$58)*$G$69/HLOOKUP(E$64*10+$A65,$145:$146,2,FALSE))</f>
        <v>1.1737200489226567</v>
      </c>
      <c r="H65" s="204">
        <v>1</v>
      </c>
      <c r="I65" s="208">
        <f t="shared" ref="I65:M68" si="6">IF(ISNA(HLOOKUP(I$64*10+$H65,$145:$147,3,FALSE)),"",HLOOKUP(I$64*10+$H65,$145:$147,3,FALSE)/100)</f>
        <v>0.1134</v>
      </c>
      <c r="J65" s="208">
        <f t="shared" si="6"/>
        <v>8.6300000000000002E-2</v>
      </c>
      <c r="K65" s="208">
        <f t="shared" si="6"/>
        <v>0.126</v>
      </c>
      <c r="L65" s="208">
        <f t="shared" si="6"/>
        <v>9.9399999999999988E-2</v>
      </c>
      <c r="M65" s="209">
        <f t="shared" si="6"/>
        <v>0.17670000000000002</v>
      </c>
      <c r="N65" s="256">
        <f t="shared" ref="N65:O68" si="7">HLOOKUP(E$64*10+$A65,$87:$94,8,FALSE)</f>
        <v>74043</v>
      </c>
      <c r="O65" s="256">
        <f t="shared" si="7"/>
        <v>-216598</v>
      </c>
      <c r="P65" s="210"/>
    </row>
    <row r="66" spans="1:71" x14ac:dyDescent="0.25">
      <c r="A66" s="204">
        <v>2</v>
      </c>
      <c r="B66" s="205">
        <f t="shared" si="5"/>
        <v>4.5199999999999996</v>
      </c>
      <c r="C66" s="205">
        <f t="shared" si="5"/>
        <v>4.3499999999999996</v>
      </c>
      <c r="D66" s="205">
        <f t="shared" si="5"/>
        <v>4.63</v>
      </c>
      <c r="E66" s="205">
        <f t="shared" si="5"/>
        <v>4.87</v>
      </c>
      <c r="F66" s="206">
        <f>IF(ISNA(HLOOKUP(F$64*10+$A66,$81:$82,2,FALSE)),(HLOOKUP(E$64*10+$A66,$87:$94,4,FALSE)*$G66+$B$25)/HLOOKUP(E$64*10+$A66,$87:$94,5,FALSE)*$E66,HLOOKUP(F$64*10+$A66,$81:$82,2,FALSE))</f>
        <v>8.07</v>
      </c>
      <c r="G66" s="101">
        <f>MIN(130%,SUM($B$57:$D$57)/SUM($B$58:$D$58)*$G$69/HLOOKUP(E$64*10+$A66,$145:$146,2,FALSE))</f>
        <v>1.1785751473670112</v>
      </c>
      <c r="H66" s="204">
        <v>2</v>
      </c>
      <c r="I66" s="208">
        <f t="shared" si="6"/>
        <v>0.107</v>
      </c>
      <c r="J66" s="208">
        <f t="shared" si="6"/>
        <v>0.1164</v>
      </c>
      <c r="K66" s="208">
        <f t="shared" si="6"/>
        <v>0.13880000000000001</v>
      </c>
      <c r="L66" s="208">
        <f t="shared" si="6"/>
        <v>0.10390000000000001</v>
      </c>
      <c r="M66" s="209">
        <f t="shared" si="6"/>
        <v>0.18190000000000001</v>
      </c>
      <c r="N66" s="256">
        <f t="shared" si="7"/>
        <v>129804</v>
      </c>
      <c r="O66" s="256">
        <f t="shared" si="7"/>
        <v>130450</v>
      </c>
      <c r="P66" s="210"/>
    </row>
    <row r="67" spans="1:71" x14ac:dyDescent="0.25">
      <c r="A67" s="204">
        <v>3</v>
      </c>
      <c r="B67" s="205">
        <f t="shared" si="5"/>
        <v>4.74</v>
      </c>
      <c r="C67" s="205">
        <f t="shared" si="5"/>
        <v>4.82</v>
      </c>
      <c r="D67" s="205">
        <f t="shared" si="5"/>
        <v>6</v>
      </c>
      <c r="E67" s="205">
        <f t="shared" si="5"/>
        <v>7.61</v>
      </c>
      <c r="F67" s="206">
        <f>IF(ISNA(HLOOKUP(F$64*10+$A67,$81:$82,2,FALSE)),(HLOOKUP(E$64*10+$A67,$87:$94,4,FALSE)*$G67+$B$25)/HLOOKUP(E$64*10+$A67,$87:$94,5,FALSE)*$E67,HLOOKUP(F$64*10+$A67,$81:$82,2,FALSE))</f>
        <v>8.1199999999999992</v>
      </c>
      <c r="G67" s="101">
        <f>MIN(130%,SUM($B$57:$D$57)/SUM($B$58:$D$58)*$G$69/HLOOKUP(E$64*10+$A67,$145:$146,2,FALSE))</f>
        <v>1.0696219310219615</v>
      </c>
      <c r="H67" s="204">
        <v>3</v>
      </c>
      <c r="I67" s="208">
        <f t="shared" si="6"/>
        <v>0.1114</v>
      </c>
      <c r="J67" s="208">
        <f t="shared" si="6"/>
        <v>0.10710000000000001</v>
      </c>
      <c r="K67" s="208">
        <f t="shared" si="6"/>
        <v>0.10980000000000001</v>
      </c>
      <c r="L67" s="208">
        <f t="shared" si="6"/>
        <v>0.12140000000000001</v>
      </c>
      <c r="M67" s="209">
        <f t="shared" si="6"/>
        <v>0.15909999999999999</v>
      </c>
      <c r="N67" s="256">
        <f t="shared" si="7"/>
        <v>47116</v>
      </c>
      <c r="O67" s="256">
        <f t="shared" si="7"/>
        <v>69655</v>
      </c>
      <c r="P67" s="210"/>
    </row>
    <row r="68" spans="1:71" x14ac:dyDescent="0.25">
      <c r="A68" s="204">
        <v>4</v>
      </c>
      <c r="B68" s="205">
        <f>HLOOKUP(B$64*10+$A68,$81:$82,2,FALSE)</f>
        <v>4.16</v>
      </c>
      <c r="C68" s="205">
        <f>HLOOKUP(C$64*10+$A68,$81:$82,2,FALSE)</f>
        <v>4.2</v>
      </c>
      <c r="D68" s="205">
        <f>HLOOKUP(D$64*10+$A68,$81:$82,2,FALSE)</f>
        <v>5.29</v>
      </c>
      <c r="E68" s="206">
        <f>IF(ISNA(HLOOKUP(E$64*10+$A68,$81:$82,2,FALSE)),D68*(1-$N68)*#REF!*(1+$B$25)/(1+$E$4),HLOOKUP(E$64*10+$A68,$81:$82,2,FALSE))</f>
        <v>7.48</v>
      </c>
      <c r="F68" s="206">
        <f>IF(ISNA(HLOOKUP(F$64*10+$A68,$81:$82,2,FALSE)),(HLOOKUP(E$64*10+$A68,$87:$94,4,FALSE)*$G68+$B$25)/HLOOKUP(E$64*10+$A68,$87:$94,5,FALSE)*$E68,HLOOKUP(F$64*10+$A68,$81:$82,2,FALSE))</f>
        <v>5.6209217202643602</v>
      </c>
      <c r="G68" s="101">
        <f>MIN(130%,SUM($B$57:$D$57)/SUM($B$58:$D$58)*$G$69/HLOOKUP(E$64*10+$A68,$145:$146,2,FALSE))</f>
        <v>0.93955660964872201</v>
      </c>
      <c r="H68" s="204">
        <v>4</v>
      </c>
      <c r="I68" s="208">
        <f t="shared" si="6"/>
        <v>4.53E-2</v>
      </c>
      <c r="J68" s="208">
        <f t="shared" si="6"/>
        <v>4.1700000000000001E-2</v>
      </c>
      <c r="K68" s="208">
        <f t="shared" si="6"/>
        <v>0.10199999999999999</v>
      </c>
      <c r="L68" s="208">
        <f t="shared" si="6"/>
        <v>0.1153</v>
      </c>
      <c r="M68" s="209" t="str">
        <f t="shared" si="6"/>
        <v/>
      </c>
      <c r="N68" s="256">
        <f t="shared" si="7"/>
        <v>420019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17.57</v>
      </c>
      <c r="C69" s="213">
        <f>SUM(C65:C68)</f>
        <v>17.53</v>
      </c>
      <c r="D69" s="213">
        <f>SUM(D65:D68)</f>
        <v>20.439999999999998</v>
      </c>
      <c r="E69" s="213">
        <f>SUM(E65:E68)</f>
        <v>24.67</v>
      </c>
      <c r="F69" s="213">
        <f>SUM(F65:F68)</f>
        <v>28.310921720264357</v>
      </c>
      <c r="G69" s="257">
        <f>_xlfn.FORECAST.ETS(23,B146:W146,{1,2,3,4,5,6,7,8,9,10,11,12,13,14,15,16,17,18,19,20,21,22})</f>
        <v>25.696801950636395</v>
      </c>
      <c r="H69" s="214" t="s">
        <v>19</v>
      </c>
      <c r="I69" s="215">
        <f>HLOOKUP(I64,151:155,3,FALSE)/100</f>
        <v>0.1061</v>
      </c>
      <c r="J69" s="215">
        <f>HLOOKUP(J64,151:155,3,FALSE)/100</f>
        <v>9.6199999999999994E-2</v>
      </c>
      <c r="K69" s="215">
        <f>HLOOKUP(K64,151:155,3,FALSE)/100</f>
        <v>0.115</v>
      </c>
      <c r="L69" s="215">
        <f>IF(ISNA(HLOOKUP(L64,151:155,3,FALSE)/100),AVERAGE(L65:L68),HLOOKUP(L64,151:155,3,FALSE)/100)</f>
        <v>0.1106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5.9</v>
      </c>
      <c r="C72" s="205">
        <f t="shared" si="8"/>
        <v>5.21</v>
      </c>
      <c r="D72" s="205">
        <f t="shared" si="8"/>
        <v>4.79</v>
      </c>
      <c r="E72" s="205">
        <f t="shared" si="8"/>
        <v>4.45</v>
      </c>
      <c r="F72" s="205">
        <f t="shared" si="8"/>
        <v>5.42</v>
      </c>
    </row>
    <row r="73" spans="1:71" s="135" customFormat="1" x14ac:dyDescent="0.25">
      <c r="A73" s="204">
        <v>2</v>
      </c>
      <c r="B73" s="205">
        <f t="shared" si="8"/>
        <v>6.41</v>
      </c>
      <c r="C73" s="205">
        <f t="shared" si="8"/>
        <v>5.36</v>
      </c>
      <c r="D73" s="205">
        <f t="shared" si="8"/>
        <v>4.66</v>
      </c>
      <c r="E73" s="205">
        <f t="shared" si="8"/>
        <v>4.63</v>
      </c>
      <c r="F73" s="205">
        <f t="shared" si="8"/>
        <v>6.71</v>
      </c>
    </row>
    <row r="74" spans="1:71" s="135" customFormat="1" x14ac:dyDescent="0.25">
      <c r="A74" s="204">
        <v>3</v>
      </c>
      <c r="B74" s="205">
        <f t="shared" si="8"/>
        <v>6.66</v>
      </c>
      <c r="C74" s="205">
        <f t="shared" si="8"/>
        <v>5.9</v>
      </c>
      <c r="D74" s="205">
        <f t="shared" si="8"/>
        <v>6.25</v>
      </c>
      <c r="E74" s="205">
        <f t="shared" si="8"/>
        <v>7.17</v>
      </c>
      <c r="F74" s="205">
        <f t="shared" si="8"/>
        <v>6.67</v>
      </c>
    </row>
    <row r="75" spans="1:71" s="135" customFormat="1" x14ac:dyDescent="0.25">
      <c r="A75" s="204">
        <v>4</v>
      </c>
      <c r="B75" s="205">
        <f t="shared" si="8"/>
        <v>2.0499999999999998</v>
      </c>
      <c r="C75" s="205">
        <f t="shared" si="8"/>
        <v>3.08</v>
      </c>
      <c r="D75" s="205">
        <f t="shared" si="8"/>
        <v>5.7</v>
      </c>
      <c r="E75" s="205">
        <f t="shared" si="8"/>
        <v>6.64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21.02</v>
      </c>
      <c r="C76" s="213">
        <f>SUM(C72:C75)</f>
        <v>19.549999999999997</v>
      </c>
      <c r="D76" s="213">
        <f>SUM(D72:D75)</f>
        <v>21.4</v>
      </c>
      <c r="E76" s="213">
        <f>AVERAGE(E72:E75)*4</f>
        <v>22.89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2349266</v>
      </c>
      <c r="C79" s="270">
        <v>2799550</v>
      </c>
      <c r="D79" s="270">
        <v>3073059</v>
      </c>
      <c r="E79" s="270">
        <v>2655177</v>
      </c>
      <c r="F79" s="270">
        <v>2611003</v>
      </c>
      <c r="G79" s="270">
        <v>2770748</v>
      </c>
      <c r="H79" s="270">
        <v>3051223</v>
      </c>
      <c r="I79" s="270">
        <v>2879419</v>
      </c>
      <c r="J79" s="270">
        <v>2763723</v>
      </c>
      <c r="K79" s="270">
        <v>2860391</v>
      </c>
      <c r="L79" s="270">
        <v>2831916</v>
      </c>
      <c r="M79" s="270">
        <v>2435207</v>
      </c>
      <c r="N79" s="270">
        <v>2379656</v>
      </c>
      <c r="O79" s="270">
        <v>1904292</v>
      </c>
      <c r="P79" s="270">
        <v>2829897</v>
      </c>
      <c r="Q79" s="270">
        <v>2655632</v>
      </c>
      <c r="R79" s="270">
        <v>3021958</v>
      </c>
      <c r="S79" s="270">
        <v>2620416</v>
      </c>
      <c r="T79" s="270">
        <v>3032704</v>
      </c>
      <c r="U79" s="270">
        <v>2678439</v>
      </c>
      <c r="V79" s="270">
        <v>2688611</v>
      </c>
      <c r="W79" s="270">
        <v>2986999</v>
      </c>
      <c r="X79" s="270">
        <v>2839349</v>
      </c>
      <c r="Y79" s="270">
        <v>2536378</v>
      </c>
      <c r="Z79" s="270">
        <v>2624079</v>
      </c>
      <c r="AA79" s="270">
        <v>2367984</v>
      </c>
      <c r="AB79" s="270">
        <v>2709271</v>
      </c>
      <c r="AC79" s="270">
        <v>2594411</v>
      </c>
      <c r="AD79" s="270">
        <v>2770956</v>
      </c>
      <c r="AE79" s="270">
        <v>2722511</v>
      </c>
      <c r="AF79" s="270">
        <v>3049473</v>
      </c>
      <c r="AG79" s="270">
        <v>2789293</v>
      </c>
      <c r="AH79" s="270">
        <v>2678980</v>
      </c>
      <c r="AI79" s="270">
        <v>3120819</v>
      </c>
      <c r="AJ79" s="270">
        <v>2911902</v>
      </c>
      <c r="AK79" s="270">
        <v>2735019</v>
      </c>
      <c r="AL79" s="270">
        <v>2843731</v>
      </c>
      <c r="AM79" s="270">
        <v>2631357</v>
      </c>
      <c r="AN79" s="270">
        <v>2866389</v>
      </c>
      <c r="AO79" s="270">
        <v>2889796</v>
      </c>
      <c r="AP79" s="270">
        <v>2811290</v>
      </c>
      <c r="AQ79" s="270">
        <v>2741071</v>
      </c>
      <c r="AR79" s="270">
        <v>3317290</v>
      </c>
      <c r="AS79" s="270">
        <v>3225471</v>
      </c>
      <c r="AT79" s="270">
        <v>3491055</v>
      </c>
      <c r="AU79" s="270">
        <v>4170476</v>
      </c>
      <c r="AV79" s="270">
        <v>3227037</v>
      </c>
      <c r="AW79" s="270">
        <v>2963140</v>
      </c>
      <c r="AX79" s="270">
        <v>3120529</v>
      </c>
      <c r="AY79" s="270">
        <v>3091855</v>
      </c>
      <c r="AZ79" s="270">
        <v>3694002</v>
      </c>
      <c r="BA79" s="270">
        <v>3835798</v>
      </c>
      <c r="BB79" s="270">
        <v>3190326</v>
      </c>
      <c r="BC79" s="270">
        <v>3430814</v>
      </c>
      <c r="BD79" s="270">
        <v>3788741</v>
      </c>
      <c r="BE79" s="270">
        <v>4445990</v>
      </c>
      <c r="BF79" s="270">
        <v>4102626</v>
      </c>
      <c r="BG79" s="270">
        <v>4176802</v>
      </c>
      <c r="BH79" s="270">
        <v>3837687</v>
      </c>
      <c r="BI79" s="270">
        <v>3067342</v>
      </c>
      <c r="BJ79" s="270">
        <v>3147077</v>
      </c>
      <c r="BK79" s="270">
        <v>2779274</v>
      </c>
      <c r="BL79" s="270">
        <v>3629516</v>
      </c>
      <c r="BM79" s="270">
        <v>3356656</v>
      </c>
      <c r="BN79" s="270">
        <v>3492154</v>
      </c>
      <c r="BO79" s="270">
        <v>3643683</v>
      </c>
      <c r="BP79" s="270">
        <v>3627165</v>
      </c>
      <c r="BQ79" s="270">
        <v>3606489</v>
      </c>
      <c r="BR79" s="270">
        <v>3939973</v>
      </c>
      <c r="BS79" s="270">
        <v>3741271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3.84</v>
      </c>
      <c r="C82" s="72">
        <v>3.29</v>
      </c>
      <c r="D82" s="72">
        <v>4.5999999999999996</v>
      </c>
      <c r="E82" s="72">
        <v>3.33</v>
      </c>
      <c r="F82" s="72">
        <v>4.1500000000000004</v>
      </c>
      <c r="G82" s="72">
        <v>4.5199999999999996</v>
      </c>
      <c r="H82" s="72">
        <v>4.74</v>
      </c>
      <c r="I82" s="72">
        <v>4.16</v>
      </c>
      <c r="J82" s="72">
        <v>4.16</v>
      </c>
      <c r="K82" s="72">
        <v>4.3499999999999996</v>
      </c>
      <c r="L82" s="72">
        <v>4.82</v>
      </c>
      <c r="M82" s="72">
        <v>4.2</v>
      </c>
      <c r="N82" s="72">
        <v>4.5199999999999996</v>
      </c>
      <c r="O82" s="72">
        <v>4.63</v>
      </c>
      <c r="P82" s="72">
        <v>6</v>
      </c>
      <c r="Q82" s="72">
        <v>5.29</v>
      </c>
      <c r="R82" s="72">
        <v>4.71</v>
      </c>
      <c r="S82" s="72">
        <v>4.87</v>
      </c>
      <c r="T82" s="72">
        <v>7.61</v>
      </c>
      <c r="U82" s="72">
        <v>7.48</v>
      </c>
      <c r="V82" s="72">
        <v>6.5</v>
      </c>
      <c r="W82" s="72">
        <v>8.07</v>
      </c>
      <c r="X82" s="72">
        <v>8.1199999999999992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64.180000000000007</v>
      </c>
      <c r="C85" s="72">
        <v>60.42</v>
      </c>
      <c r="D85" s="72">
        <v>64.989999999999995</v>
      </c>
      <c r="E85" s="72">
        <v>68.290000000000006</v>
      </c>
      <c r="F85" s="72">
        <v>72.290000000000006</v>
      </c>
      <c r="G85" s="72">
        <v>68.8</v>
      </c>
      <c r="H85" s="72">
        <v>73.53</v>
      </c>
      <c r="I85" s="72">
        <v>77.7</v>
      </c>
      <c r="J85" s="72">
        <v>81.87</v>
      </c>
      <c r="K85" s="72">
        <v>78.67</v>
      </c>
      <c r="L85" s="72">
        <v>84.91</v>
      </c>
      <c r="M85" s="72">
        <v>89.06</v>
      </c>
      <c r="N85" s="72">
        <v>99.26</v>
      </c>
      <c r="O85" s="72">
        <v>92.67</v>
      </c>
      <c r="P85" s="72">
        <v>98.04</v>
      </c>
      <c r="Q85" s="72">
        <v>102.99</v>
      </c>
      <c r="R85" s="72">
        <v>107.89</v>
      </c>
      <c r="S85" s="72">
        <v>100.79</v>
      </c>
      <c r="T85" s="72">
        <v>108.97</v>
      </c>
      <c r="U85" s="72">
        <v>116.67</v>
      </c>
      <c r="V85" s="72">
        <v>123.22</v>
      </c>
      <c r="W85" s="72">
        <v>117.58</v>
      </c>
      <c r="X85" s="72">
        <v>125.73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8225712</v>
      </c>
      <c r="C88" s="273">
        <v>7461928</v>
      </c>
      <c r="D88" s="273">
        <v>8364926</v>
      </c>
      <c r="E88" s="273">
        <v>8359420</v>
      </c>
      <c r="F88" s="273">
        <v>7113893</v>
      </c>
      <c r="G88" s="273">
        <v>8297850</v>
      </c>
      <c r="H88" s="273">
        <v>8399862</v>
      </c>
      <c r="I88" s="273">
        <v>8277401</v>
      </c>
      <c r="J88" s="273">
        <v>7701334</v>
      </c>
      <c r="K88" s="273">
        <v>8087878</v>
      </c>
      <c r="L88" s="273">
        <v>8517746</v>
      </c>
      <c r="M88" s="273">
        <v>8951272</v>
      </c>
      <c r="N88" s="273">
        <v>8341477</v>
      </c>
      <c r="O88" s="273">
        <v>8442157</v>
      </c>
      <c r="P88" s="273">
        <v>10033816</v>
      </c>
      <c r="Q88" s="273">
        <v>10355221</v>
      </c>
      <c r="R88" s="273">
        <v>9906386</v>
      </c>
      <c r="S88" s="273">
        <v>10456938</v>
      </c>
      <c r="T88" s="273">
        <v>12337357</v>
      </c>
      <c r="U88" s="273">
        <v>11081831</v>
      </c>
      <c r="V88" s="273">
        <v>9555867</v>
      </c>
      <c r="W88" s="273">
        <v>10492493</v>
      </c>
      <c r="X88" s="273">
        <v>11173627</v>
      </c>
    </row>
    <row r="89" spans="1:25" ht="14.25" thickBot="1" x14ac:dyDescent="0.3">
      <c r="A89" s="250" t="s">
        <v>4</v>
      </c>
      <c r="B89" s="275">
        <v>1185930</v>
      </c>
      <c r="C89" s="275">
        <v>758125</v>
      </c>
      <c r="D89" s="275">
        <v>1664085</v>
      </c>
      <c r="E89" s="275">
        <v>1443465</v>
      </c>
      <c r="F89" s="275">
        <v>1301769</v>
      </c>
      <c r="G89" s="275">
        <v>1560871</v>
      </c>
      <c r="H89" s="275">
        <v>1466505</v>
      </c>
      <c r="I89" s="275">
        <v>1033492</v>
      </c>
      <c r="J89" s="275">
        <v>1207338</v>
      </c>
      <c r="K89" s="275">
        <v>1461797</v>
      </c>
      <c r="L89" s="275">
        <v>1616118</v>
      </c>
      <c r="M89" s="275">
        <v>1068684</v>
      </c>
      <c r="N89" s="275">
        <v>1814891</v>
      </c>
      <c r="O89" s="275">
        <v>1984066</v>
      </c>
      <c r="P89" s="275">
        <v>1968116</v>
      </c>
      <c r="Q89" s="275">
        <v>1862833</v>
      </c>
      <c r="R89" s="275">
        <v>1923795</v>
      </c>
      <c r="S89" s="275">
        <v>2022257</v>
      </c>
      <c r="T89" s="275">
        <v>2629486</v>
      </c>
      <c r="U89" s="275">
        <v>2688200</v>
      </c>
      <c r="V89" s="275">
        <v>2932785</v>
      </c>
      <c r="W89" s="275">
        <v>3128238</v>
      </c>
      <c r="X89" s="275">
        <v>2969019</v>
      </c>
    </row>
    <row r="90" spans="1:25" ht="14.25" thickBot="1" x14ac:dyDescent="0.3">
      <c r="A90" s="251" t="s">
        <v>5</v>
      </c>
      <c r="B90" s="273">
        <v>790952</v>
      </c>
      <c r="C90" s="273">
        <v>319292</v>
      </c>
      <c r="D90" s="273">
        <v>1070597</v>
      </c>
      <c r="E90" s="273">
        <v>730369</v>
      </c>
      <c r="F90" s="273">
        <v>807064</v>
      </c>
      <c r="G90" s="273">
        <v>887919</v>
      </c>
      <c r="H90" s="273">
        <v>935788</v>
      </c>
      <c r="I90" s="273">
        <v>375342</v>
      </c>
      <c r="J90" s="273">
        <v>664451</v>
      </c>
      <c r="K90" s="273">
        <v>941520</v>
      </c>
      <c r="L90" s="273">
        <v>911855</v>
      </c>
      <c r="M90" s="273">
        <v>373250</v>
      </c>
      <c r="N90" s="273">
        <v>1050876</v>
      </c>
      <c r="O90" s="273">
        <v>1171903</v>
      </c>
      <c r="P90" s="273">
        <v>1101244</v>
      </c>
      <c r="Q90" s="273">
        <v>1055910</v>
      </c>
      <c r="R90" s="273">
        <v>984649</v>
      </c>
      <c r="S90" s="273">
        <v>1086418</v>
      </c>
      <c r="T90" s="273">
        <v>1497281</v>
      </c>
      <c r="U90" s="273">
        <v>1277712</v>
      </c>
      <c r="V90" s="273">
        <v>1688756</v>
      </c>
      <c r="W90" s="273">
        <v>1908786</v>
      </c>
      <c r="X90" s="273">
        <v>1777430</v>
      </c>
    </row>
    <row r="91" spans="1:25" ht="14.25" thickBot="1" x14ac:dyDescent="0.3">
      <c r="A91" s="250" t="s">
        <v>6</v>
      </c>
      <c r="B91" s="275">
        <v>758931</v>
      </c>
      <c r="C91" s="275">
        <v>338846</v>
      </c>
      <c r="D91" s="275">
        <v>1020728</v>
      </c>
      <c r="E91" s="275">
        <v>691135</v>
      </c>
      <c r="F91" s="275">
        <v>867211</v>
      </c>
      <c r="G91" s="275">
        <v>1043446</v>
      </c>
      <c r="H91" s="275">
        <v>985546</v>
      </c>
      <c r="I91" s="275">
        <v>457421</v>
      </c>
      <c r="J91" s="275">
        <v>858491</v>
      </c>
      <c r="K91" s="275">
        <v>1005671</v>
      </c>
      <c r="L91" s="275">
        <v>1059211</v>
      </c>
      <c r="M91" s="275">
        <v>541005</v>
      </c>
      <c r="N91" s="275">
        <v>1010146</v>
      </c>
      <c r="O91" s="275">
        <v>1093710</v>
      </c>
      <c r="P91" s="275">
        <v>1412689</v>
      </c>
      <c r="Q91" s="275">
        <v>1121427</v>
      </c>
      <c r="R91" s="275">
        <v>1058692</v>
      </c>
      <c r="S91" s="275">
        <v>1216222</v>
      </c>
      <c r="T91" s="275">
        <v>1544397</v>
      </c>
      <c r="U91" s="275">
        <v>1697731</v>
      </c>
      <c r="V91" s="275">
        <v>1472158</v>
      </c>
      <c r="W91" s="275">
        <v>2039236</v>
      </c>
      <c r="X91" s="275">
        <v>1847085</v>
      </c>
    </row>
    <row r="92" spans="1:25" ht="14.25" thickBot="1" x14ac:dyDescent="0.3">
      <c r="A92" s="251" t="s">
        <v>7</v>
      </c>
      <c r="B92" s="273">
        <v>687241</v>
      </c>
      <c r="C92" s="273">
        <v>223960</v>
      </c>
      <c r="D92" s="273">
        <v>912142</v>
      </c>
      <c r="E92" s="273">
        <v>581951</v>
      </c>
      <c r="F92" s="273">
        <v>747776</v>
      </c>
      <c r="G92" s="273">
        <v>815987</v>
      </c>
      <c r="H92" s="273">
        <v>855603</v>
      </c>
      <c r="I92" s="273">
        <v>279456</v>
      </c>
      <c r="J92" s="273">
        <v>750464</v>
      </c>
      <c r="K92" s="273">
        <v>786978</v>
      </c>
      <c r="L92" s="273">
        <v>894620</v>
      </c>
      <c r="M92" s="273">
        <v>496890</v>
      </c>
      <c r="N92" s="273">
        <v>865596</v>
      </c>
      <c r="O92" s="273">
        <v>884517</v>
      </c>
      <c r="P92" s="273">
        <v>1178105</v>
      </c>
      <c r="Q92" s="273">
        <v>1133183</v>
      </c>
      <c r="R92" s="273">
        <v>926974</v>
      </c>
      <c r="S92" s="273">
        <v>955614</v>
      </c>
      <c r="T92" s="273">
        <v>1483443</v>
      </c>
      <c r="U92" s="273">
        <v>1475928</v>
      </c>
      <c r="V92" s="273">
        <v>1281260</v>
      </c>
      <c r="W92" s="273">
        <v>1591289</v>
      </c>
      <c r="X92" s="273">
        <v>1599742</v>
      </c>
    </row>
    <row r="93" spans="1:25" ht="26.25" thickBot="1" x14ac:dyDescent="0.3">
      <c r="A93" s="252" t="s">
        <v>8</v>
      </c>
      <c r="B93" s="276">
        <v>687241</v>
      </c>
      <c r="C93" s="276">
        <v>587606</v>
      </c>
      <c r="D93" s="276">
        <v>822835</v>
      </c>
      <c r="E93" s="276">
        <v>597702</v>
      </c>
      <c r="F93" s="276">
        <v>747776</v>
      </c>
      <c r="G93" s="276">
        <v>815987</v>
      </c>
      <c r="H93" s="276">
        <v>855603</v>
      </c>
      <c r="I93" s="276">
        <v>751177</v>
      </c>
      <c r="J93" s="276">
        <v>750464</v>
      </c>
      <c r="K93" s="276">
        <v>786978</v>
      </c>
      <c r="L93" s="276">
        <v>894620</v>
      </c>
      <c r="M93" s="276">
        <v>769087</v>
      </c>
      <c r="N93" s="276">
        <v>865992</v>
      </c>
      <c r="O93" s="276">
        <v>914119</v>
      </c>
      <c r="P93" s="276">
        <v>1184126</v>
      </c>
      <c r="Q93" s="276">
        <v>1035772</v>
      </c>
      <c r="R93" s="276">
        <v>929737</v>
      </c>
      <c r="S93" s="276">
        <v>960603</v>
      </c>
      <c r="T93" s="276">
        <v>1500519</v>
      </c>
      <c r="U93" s="276">
        <v>1476133</v>
      </c>
      <c r="V93" s="276">
        <v>1281088</v>
      </c>
      <c r="W93" s="276">
        <v>1591143</v>
      </c>
      <c r="X93" s="276">
        <v>1599742</v>
      </c>
    </row>
    <row r="94" spans="1:25" x14ac:dyDescent="0.25">
      <c r="A94" s="233" t="s">
        <v>365</v>
      </c>
      <c r="B94" s="253">
        <f>IF(B91="","",B91-B90)</f>
        <v>-32021</v>
      </c>
      <c r="C94" s="253">
        <f>IF(C91="","",C91-C90)</f>
        <v>19554</v>
      </c>
      <c r="D94" s="253">
        <f t="shared" ref="D94:Y94" si="9">IF(D91="","",D91-D90)</f>
        <v>-49869</v>
      </c>
      <c r="E94" s="253">
        <f t="shared" si="9"/>
        <v>-39234</v>
      </c>
      <c r="F94" s="253">
        <f t="shared" si="9"/>
        <v>60147</v>
      </c>
      <c r="G94" s="253">
        <f t="shared" si="9"/>
        <v>155527</v>
      </c>
      <c r="H94" s="253">
        <f t="shared" si="9"/>
        <v>49758</v>
      </c>
      <c r="I94" s="253">
        <f t="shared" si="9"/>
        <v>82079</v>
      </c>
      <c r="J94" s="253">
        <f t="shared" si="9"/>
        <v>194040</v>
      </c>
      <c r="K94" s="253">
        <f t="shared" si="9"/>
        <v>64151</v>
      </c>
      <c r="L94" s="253">
        <f t="shared" si="9"/>
        <v>147356</v>
      </c>
      <c r="M94" s="253">
        <f t="shared" si="9"/>
        <v>167755</v>
      </c>
      <c r="N94" s="253">
        <f t="shared" si="9"/>
        <v>-40730</v>
      </c>
      <c r="O94" s="253">
        <f t="shared" si="9"/>
        <v>-78193</v>
      </c>
      <c r="P94" s="253">
        <f t="shared" si="9"/>
        <v>311445</v>
      </c>
      <c r="Q94" s="253">
        <f t="shared" si="9"/>
        <v>65517</v>
      </c>
      <c r="R94" s="253">
        <f t="shared" si="9"/>
        <v>74043</v>
      </c>
      <c r="S94" s="253">
        <f t="shared" si="9"/>
        <v>129804</v>
      </c>
      <c r="T94" s="253">
        <f t="shared" si="9"/>
        <v>47116</v>
      </c>
      <c r="U94" s="253">
        <f t="shared" si="9"/>
        <v>420019</v>
      </c>
      <c r="V94" s="253">
        <f t="shared" si="9"/>
        <v>-216598</v>
      </c>
      <c r="W94" s="253">
        <f t="shared" si="9"/>
        <v>130450</v>
      </c>
      <c r="X94" s="253">
        <f t="shared" si="9"/>
        <v>69655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33091069</v>
      </c>
      <c r="C97" s="273">
        <v>32173947</v>
      </c>
      <c r="D97" s="273">
        <v>33074698</v>
      </c>
      <c r="E97" s="273">
        <v>37178103</v>
      </c>
      <c r="F97" s="273">
        <v>43782512</v>
      </c>
    </row>
    <row r="98" spans="1:24" ht="14.25" thickBot="1" x14ac:dyDescent="0.3">
      <c r="A98" s="225" t="s">
        <v>4</v>
      </c>
      <c r="B98" s="275">
        <v>5027916</v>
      </c>
      <c r="C98" s="275">
        <v>5719929</v>
      </c>
      <c r="D98" s="275">
        <v>5589572</v>
      </c>
      <c r="E98" s="275">
        <v>7636182</v>
      </c>
      <c r="F98" s="275">
        <v>9263738</v>
      </c>
    </row>
    <row r="99" spans="1:24" ht="14.25" thickBot="1" x14ac:dyDescent="0.3">
      <c r="A99" s="224" t="s">
        <v>5</v>
      </c>
      <c r="B99" s="273">
        <v>3159723</v>
      </c>
      <c r="C99" s="273">
        <v>3413687</v>
      </c>
      <c r="D99" s="273">
        <v>3181194</v>
      </c>
      <c r="E99" s="273">
        <v>4275558</v>
      </c>
      <c r="F99" s="273">
        <v>4842648</v>
      </c>
    </row>
    <row r="100" spans="1:24" ht="14.25" thickBot="1" x14ac:dyDescent="0.3">
      <c r="A100" s="225" t="s">
        <v>6</v>
      </c>
      <c r="B100" s="275">
        <v>3064842</v>
      </c>
      <c r="C100" s="275">
        <v>3757650</v>
      </c>
      <c r="D100" s="275">
        <v>3731944</v>
      </c>
      <c r="E100" s="275">
        <v>4531832</v>
      </c>
      <c r="F100" s="275">
        <v>5476926</v>
      </c>
    </row>
    <row r="101" spans="1:24" ht="14.25" thickBot="1" x14ac:dyDescent="0.3">
      <c r="A101" s="224" t="s">
        <v>7</v>
      </c>
      <c r="B101" s="273">
        <v>2695384</v>
      </c>
      <c r="C101" s="273">
        <v>3170543</v>
      </c>
      <c r="D101" s="273">
        <v>3201149</v>
      </c>
      <c r="E101" s="273">
        <v>3957529</v>
      </c>
      <c r="F101" s="273">
        <v>4801843</v>
      </c>
    </row>
    <row r="102" spans="1:24" ht="14.25" thickBot="1" x14ac:dyDescent="0.3">
      <c r="A102" s="227" t="s">
        <v>8</v>
      </c>
      <c r="B102" s="276">
        <v>2695384</v>
      </c>
      <c r="C102" s="276">
        <v>3170543</v>
      </c>
      <c r="D102" s="276">
        <v>3201149</v>
      </c>
      <c r="E102" s="276">
        <v>4000009</v>
      </c>
      <c r="F102" s="276">
        <v>4866992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1.0107339706165135</v>
      </c>
      <c r="F103" s="234">
        <f>IF(OR(F102="",F102="無"),"",F102/F101)</f>
        <v>1.0135674989790378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7200513</v>
      </c>
      <c r="C106" s="273">
        <v>7655478</v>
      </c>
      <c r="D106" s="273">
        <v>8044341</v>
      </c>
      <c r="E106" s="273">
        <v>8542168</v>
      </c>
      <c r="F106" s="273">
        <v>8304054</v>
      </c>
      <c r="G106" s="273">
        <v>8438375</v>
      </c>
      <c r="H106" s="273">
        <v>6487339</v>
      </c>
      <c r="I106" s="273">
        <v>7759683</v>
      </c>
      <c r="J106" s="273">
        <v>7718861</v>
      </c>
      <c r="K106" s="273">
        <v>9330521</v>
      </c>
      <c r="L106" s="273">
        <v>7400038</v>
      </c>
      <c r="M106" s="273">
        <v>7770225</v>
      </c>
      <c r="N106" s="273">
        <v>10000743</v>
      </c>
      <c r="O106" s="273">
        <v>10411805</v>
      </c>
      <c r="P106" s="273">
        <v>9369573</v>
      </c>
      <c r="Q106" s="273">
        <v>11868334</v>
      </c>
      <c r="R106" s="273">
        <v>9269733</v>
      </c>
      <c r="S106" s="273">
        <v>9736709</v>
      </c>
      <c r="T106" s="273">
        <v>10008710</v>
      </c>
      <c r="U106" s="273">
        <v>14958331</v>
      </c>
      <c r="V106" s="273">
        <v>13328664</v>
      </c>
      <c r="W106" s="273">
        <v>13655310</v>
      </c>
      <c r="X106" s="273">
        <v>12735384</v>
      </c>
    </row>
    <row r="107" spans="1:24" ht="14.25" thickBot="1" x14ac:dyDescent="0.3">
      <c r="A107" s="225" t="s">
        <v>22</v>
      </c>
      <c r="B107" s="275">
        <v>529959</v>
      </c>
      <c r="C107" s="275">
        <v>527845</v>
      </c>
      <c r="D107" s="275">
        <v>551127</v>
      </c>
      <c r="E107" s="275">
        <v>514477</v>
      </c>
      <c r="F107" s="275">
        <v>876852</v>
      </c>
      <c r="G107" s="275">
        <v>1274010</v>
      </c>
      <c r="H107" s="275">
        <v>1775890</v>
      </c>
      <c r="I107" s="275">
        <v>1828861</v>
      </c>
      <c r="J107" s="275">
        <v>1886316</v>
      </c>
      <c r="K107" s="275">
        <v>2066592</v>
      </c>
      <c r="L107" s="275">
        <v>2111292</v>
      </c>
      <c r="M107" s="275">
        <v>2103008</v>
      </c>
      <c r="N107" s="275">
        <v>2718378</v>
      </c>
      <c r="O107" s="275">
        <v>2701009</v>
      </c>
      <c r="P107" s="275">
        <v>2256096</v>
      </c>
      <c r="Q107" s="275">
        <v>2247212</v>
      </c>
      <c r="R107" s="275">
        <v>2335615</v>
      </c>
      <c r="S107" s="275">
        <v>2330900</v>
      </c>
      <c r="T107" s="275">
        <v>1295944</v>
      </c>
      <c r="U107" s="275">
        <v>1286458</v>
      </c>
      <c r="V107" s="275">
        <v>1276876</v>
      </c>
      <c r="W107" s="275">
        <v>1261294</v>
      </c>
      <c r="X107" s="275">
        <v>1342721</v>
      </c>
    </row>
    <row r="108" spans="1:24" ht="14.25" thickBot="1" x14ac:dyDescent="0.3">
      <c r="A108" s="224" t="s">
        <v>263</v>
      </c>
      <c r="B108" s="273">
        <v>4152989</v>
      </c>
      <c r="C108" s="273">
        <v>3986058</v>
      </c>
      <c r="D108" s="273">
        <v>4167763</v>
      </c>
      <c r="E108" s="273">
        <v>4005993</v>
      </c>
      <c r="F108" s="273">
        <v>4202727</v>
      </c>
      <c r="G108" s="273">
        <v>4818435</v>
      </c>
      <c r="H108" s="273">
        <v>4218438</v>
      </c>
      <c r="I108" s="273">
        <v>3855261</v>
      </c>
      <c r="J108" s="273">
        <v>3816624</v>
      </c>
      <c r="K108" s="273">
        <v>4188272</v>
      </c>
      <c r="L108" s="273">
        <v>3881167</v>
      </c>
      <c r="M108" s="273">
        <v>4279630</v>
      </c>
      <c r="N108" s="273">
        <v>4042056</v>
      </c>
      <c r="O108" s="273">
        <v>4113926</v>
      </c>
      <c r="P108" s="273">
        <v>4976874</v>
      </c>
      <c r="Q108" s="273">
        <v>4407242</v>
      </c>
      <c r="R108" s="273">
        <v>4837420</v>
      </c>
      <c r="S108" s="273">
        <v>4935424</v>
      </c>
      <c r="T108" s="273">
        <v>6206210</v>
      </c>
      <c r="U108" s="273">
        <v>4800659</v>
      </c>
      <c r="V108" s="273">
        <v>4478439</v>
      </c>
      <c r="W108" s="273">
        <v>4884522</v>
      </c>
      <c r="X108" s="273">
        <v>5266966</v>
      </c>
    </row>
    <row r="109" spans="1:24" ht="14.25" thickBot="1" x14ac:dyDescent="0.3">
      <c r="A109" s="225" t="s">
        <v>264</v>
      </c>
      <c r="B109" s="275">
        <v>3437759</v>
      </c>
      <c r="C109" s="275">
        <v>2922226</v>
      </c>
      <c r="D109" s="275">
        <v>3411825</v>
      </c>
      <c r="E109" s="275">
        <v>2226334</v>
      </c>
      <c r="F109" s="275">
        <v>2668334</v>
      </c>
      <c r="G109" s="275">
        <v>3113307</v>
      </c>
      <c r="H109" s="275">
        <v>3634604</v>
      </c>
      <c r="I109" s="275">
        <v>4022821</v>
      </c>
      <c r="J109" s="275">
        <v>4454867</v>
      </c>
      <c r="K109" s="275">
        <v>3839746</v>
      </c>
      <c r="L109" s="275">
        <v>4629079</v>
      </c>
      <c r="M109" s="275">
        <v>5408625</v>
      </c>
      <c r="N109" s="275">
        <v>5581378</v>
      </c>
      <c r="O109" s="275">
        <v>6667327</v>
      </c>
      <c r="P109" s="275">
        <v>5768199</v>
      </c>
      <c r="Q109" s="275">
        <v>5251376</v>
      </c>
      <c r="R109" s="275">
        <v>9243308</v>
      </c>
      <c r="S109" s="275">
        <v>7954666</v>
      </c>
      <c r="T109" s="275">
        <v>6057775</v>
      </c>
      <c r="U109" s="275">
        <v>5222336</v>
      </c>
      <c r="V109" s="275">
        <v>7153077</v>
      </c>
      <c r="W109" s="275">
        <v>9241419</v>
      </c>
      <c r="X109" s="275">
        <v>9425395</v>
      </c>
    </row>
    <row r="110" spans="1:24" ht="14.25" thickBot="1" x14ac:dyDescent="0.3">
      <c r="A110" s="224" t="s">
        <v>23</v>
      </c>
      <c r="B110" s="273">
        <v>733998</v>
      </c>
      <c r="C110" s="273">
        <v>469741</v>
      </c>
      <c r="D110" s="273">
        <v>565224</v>
      </c>
      <c r="E110" s="273">
        <v>279454</v>
      </c>
      <c r="F110" s="273">
        <v>200886</v>
      </c>
      <c r="G110" s="273">
        <v>177394</v>
      </c>
      <c r="H110" s="273">
        <v>236942</v>
      </c>
      <c r="I110" s="273">
        <v>259470</v>
      </c>
      <c r="J110" s="273">
        <v>309788</v>
      </c>
      <c r="K110" s="273">
        <v>277118</v>
      </c>
      <c r="L110" s="273">
        <v>461941</v>
      </c>
      <c r="M110" s="273">
        <v>359052</v>
      </c>
      <c r="N110" s="273">
        <v>421100</v>
      </c>
      <c r="O110" s="273">
        <v>404328</v>
      </c>
      <c r="P110" s="273">
        <v>523791</v>
      </c>
      <c r="Q110" s="273">
        <v>431977</v>
      </c>
      <c r="R110" s="273">
        <v>949623</v>
      </c>
      <c r="S110" s="273">
        <v>722261</v>
      </c>
      <c r="T110" s="273">
        <v>547381</v>
      </c>
      <c r="U110" s="273">
        <v>487560</v>
      </c>
      <c r="V110" s="273">
        <v>640928</v>
      </c>
      <c r="W110" s="273">
        <v>513879</v>
      </c>
      <c r="X110" s="273">
        <v>465623</v>
      </c>
    </row>
    <row r="111" spans="1:24" ht="14.25" thickBot="1" x14ac:dyDescent="0.3">
      <c r="A111" s="225" t="s">
        <v>24</v>
      </c>
      <c r="B111" s="275">
        <v>16055218</v>
      </c>
      <c r="C111" s="275">
        <v>15561348</v>
      </c>
      <c r="D111" s="275">
        <v>16740280</v>
      </c>
      <c r="E111" s="275">
        <v>15568426</v>
      </c>
      <c r="F111" s="275">
        <v>16252853</v>
      </c>
      <c r="G111" s="275">
        <v>17821521</v>
      </c>
      <c r="H111" s="275">
        <v>16353213</v>
      </c>
      <c r="I111" s="275">
        <v>17726096</v>
      </c>
      <c r="J111" s="275">
        <v>18186456</v>
      </c>
      <c r="K111" s="275">
        <v>19702249</v>
      </c>
      <c r="L111" s="275">
        <v>18483517</v>
      </c>
      <c r="M111" s="275">
        <v>19920540</v>
      </c>
      <c r="N111" s="275">
        <v>22763655</v>
      </c>
      <c r="O111" s="275">
        <v>24298395</v>
      </c>
      <c r="P111" s="275">
        <v>22894533</v>
      </c>
      <c r="Q111" s="275">
        <v>24206141</v>
      </c>
      <c r="R111" s="275">
        <v>26635699</v>
      </c>
      <c r="S111" s="275">
        <v>25679960</v>
      </c>
      <c r="T111" s="275">
        <v>24116020</v>
      </c>
      <c r="U111" s="275">
        <v>26755344</v>
      </c>
      <c r="V111" s="275">
        <v>26877984</v>
      </c>
      <c r="W111" s="275">
        <v>29556424</v>
      </c>
      <c r="X111" s="275">
        <v>29236089</v>
      </c>
    </row>
    <row r="112" spans="1:24" ht="14.25" thickBot="1" x14ac:dyDescent="0.3">
      <c r="A112" s="224" t="s">
        <v>25</v>
      </c>
      <c r="B112" s="273">
        <v>247524</v>
      </c>
      <c r="C112" s="273">
        <v>258461</v>
      </c>
      <c r="D112" s="273">
        <v>230176</v>
      </c>
      <c r="E112" s="273">
        <v>239466</v>
      </c>
      <c r="F112" s="273">
        <v>201264</v>
      </c>
      <c r="G112" s="273">
        <v>302606</v>
      </c>
      <c r="H112" s="273">
        <v>349728</v>
      </c>
      <c r="I112" s="273">
        <v>334020</v>
      </c>
      <c r="J112" s="273">
        <v>412488</v>
      </c>
      <c r="K112" s="273">
        <v>544680</v>
      </c>
      <c r="L112" s="273">
        <v>854172</v>
      </c>
      <c r="M112" s="273">
        <v>1056903</v>
      </c>
      <c r="N112" s="273">
        <v>1530330</v>
      </c>
      <c r="O112" s="273">
        <v>1579998</v>
      </c>
      <c r="P112" s="273">
        <v>1609136</v>
      </c>
      <c r="Q112" s="273">
        <v>1584775</v>
      </c>
      <c r="R112" s="273">
        <v>1807409</v>
      </c>
      <c r="S112" s="273">
        <v>1893966</v>
      </c>
      <c r="T112" s="273">
        <v>2103515</v>
      </c>
      <c r="U112" s="273">
        <v>2341561</v>
      </c>
      <c r="V112" s="273">
        <v>2551674</v>
      </c>
      <c r="W112" s="273">
        <v>2856546</v>
      </c>
      <c r="X112" s="273">
        <v>2892854</v>
      </c>
    </row>
    <row r="113" spans="1:24" ht="14.25" thickBot="1" x14ac:dyDescent="0.3">
      <c r="A113" s="225" t="s">
        <v>26</v>
      </c>
      <c r="B113" s="275">
        <v>1352666</v>
      </c>
      <c r="C113" s="275">
        <v>1393942</v>
      </c>
      <c r="D113" s="275">
        <v>1390417</v>
      </c>
      <c r="E113" s="275">
        <v>1398554</v>
      </c>
      <c r="F113" s="275">
        <v>1551475</v>
      </c>
      <c r="G113" s="275">
        <v>1543124</v>
      </c>
      <c r="H113" s="275">
        <v>1564395</v>
      </c>
      <c r="I113" s="275">
        <v>1589946</v>
      </c>
      <c r="J113" s="275">
        <v>1574941</v>
      </c>
      <c r="K113" s="275">
        <v>1559210</v>
      </c>
      <c r="L113" s="275">
        <v>1612965</v>
      </c>
      <c r="M113" s="275">
        <v>1634020</v>
      </c>
      <c r="N113" s="275">
        <v>1648155</v>
      </c>
      <c r="O113" s="275">
        <v>1632975</v>
      </c>
      <c r="P113" s="275">
        <v>1624931</v>
      </c>
      <c r="Q113" s="275">
        <v>1637395</v>
      </c>
      <c r="R113" s="275">
        <v>1980529</v>
      </c>
      <c r="S113" s="275">
        <v>1991592</v>
      </c>
      <c r="T113" s="275">
        <v>2240676</v>
      </c>
      <c r="U113" s="275">
        <v>2426451</v>
      </c>
      <c r="V113" s="275">
        <v>2688131</v>
      </c>
      <c r="W113" s="275">
        <v>2821812</v>
      </c>
      <c r="X113" s="275">
        <v>2852801</v>
      </c>
    </row>
    <row r="114" spans="1:24" ht="14.25" thickBot="1" x14ac:dyDescent="0.3">
      <c r="A114" s="224" t="s">
        <v>27</v>
      </c>
      <c r="B114" s="273">
        <v>85492</v>
      </c>
      <c r="C114" s="273">
        <v>70312</v>
      </c>
      <c r="D114" s="273">
        <v>99928</v>
      </c>
      <c r="E114" s="273">
        <v>81578</v>
      </c>
      <c r="F114" s="273">
        <v>178865</v>
      </c>
      <c r="G114" s="273">
        <v>199122</v>
      </c>
      <c r="H114" s="273">
        <v>222194</v>
      </c>
      <c r="I114" s="273">
        <v>230749</v>
      </c>
      <c r="J114" s="273">
        <v>208549</v>
      </c>
      <c r="K114" s="273">
        <v>213608</v>
      </c>
      <c r="L114" s="273">
        <v>194974</v>
      </c>
      <c r="M114" s="273">
        <v>197082</v>
      </c>
      <c r="N114" s="273">
        <v>193606</v>
      </c>
      <c r="O114" s="273">
        <v>384332</v>
      </c>
      <c r="P114" s="273">
        <v>212840</v>
      </c>
      <c r="Q114" s="273">
        <v>324112</v>
      </c>
      <c r="R114" s="273">
        <v>332198</v>
      </c>
      <c r="S114" s="273">
        <v>354497</v>
      </c>
      <c r="T114" s="273">
        <v>406383</v>
      </c>
      <c r="U114" s="273">
        <v>452283</v>
      </c>
      <c r="V114" s="273">
        <v>508522</v>
      </c>
      <c r="W114" s="273">
        <v>494012</v>
      </c>
      <c r="X114" s="273">
        <v>499794</v>
      </c>
    </row>
    <row r="115" spans="1:24" ht="14.25" thickBot="1" x14ac:dyDescent="0.3">
      <c r="A115" s="225" t="s">
        <v>265</v>
      </c>
      <c r="B115" s="276">
        <v>17740900</v>
      </c>
      <c r="C115" s="276">
        <v>17284063</v>
      </c>
      <c r="D115" s="276">
        <v>18460801</v>
      </c>
      <c r="E115" s="276">
        <v>17288024</v>
      </c>
      <c r="F115" s="276">
        <v>18184457</v>
      </c>
      <c r="G115" s="276">
        <v>19866373</v>
      </c>
      <c r="H115" s="276">
        <v>18489530</v>
      </c>
      <c r="I115" s="276">
        <v>19880811</v>
      </c>
      <c r="J115" s="276">
        <v>20382434</v>
      </c>
      <c r="K115" s="276">
        <v>22019747</v>
      </c>
      <c r="L115" s="276">
        <v>21145628</v>
      </c>
      <c r="M115" s="276">
        <v>22808545</v>
      </c>
      <c r="N115" s="276">
        <v>26135746</v>
      </c>
      <c r="O115" s="276">
        <v>27895700</v>
      </c>
      <c r="P115" s="276">
        <v>26341440</v>
      </c>
      <c r="Q115" s="276">
        <v>27752423</v>
      </c>
      <c r="R115" s="276">
        <v>30755835</v>
      </c>
      <c r="S115" s="276">
        <v>29920015</v>
      </c>
      <c r="T115" s="276">
        <v>28866594</v>
      </c>
      <c r="U115" s="276">
        <v>31975639</v>
      </c>
      <c r="V115" s="276">
        <v>32626311</v>
      </c>
      <c r="W115" s="276">
        <v>35728794</v>
      </c>
      <c r="X115" s="276">
        <v>35481538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383630</v>
      </c>
      <c r="C118" s="273">
        <v>418320</v>
      </c>
      <c r="D118" s="273">
        <v>732375</v>
      </c>
      <c r="E118" s="273">
        <v>261360</v>
      </c>
      <c r="F118" s="273">
        <v>238600</v>
      </c>
      <c r="G118" s="273">
        <v>420000</v>
      </c>
      <c r="H118" s="273">
        <v>650540</v>
      </c>
      <c r="I118" s="273">
        <v>89415</v>
      </c>
      <c r="J118" s="68">
        <v>0</v>
      </c>
      <c r="K118" s="273">
        <v>388245</v>
      </c>
      <c r="L118" s="273">
        <v>395460</v>
      </c>
      <c r="M118" s="68">
        <v>0</v>
      </c>
      <c r="N118" s="273">
        <v>375600</v>
      </c>
      <c r="O118" s="273">
        <v>216020</v>
      </c>
      <c r="P118" s="273">
        <v>723140</v>
      </c>
      <c r="Q118" s="273">
        <v>196950</v>
      </c>
      <c r="R118" s="273">
        <v>547145</v>
      </c>
      <c r="S118" s="273">
        <v>96825</v>
      </c>
      <c r="T118" s="68">
        <v>0</v>
      </c>
      <c r="U118" s="273">
        <v>580500</v>
      </c>
      <c r="V118" s="273">
        <v>333630</v>
      </c>
      <c r="W118" s="273">
        <v>304200</v>
      </c>
      <c r="X118" s="273">
        <v>181560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4215031</v>
      </c>
      <c r="C120" s="273">
        <v>3057416</v>
      </c>
      <c r="D120" s="273">
        <v>4324447</v>
      </c>
      <c r="E120" s="273">
        <v>2936313</v>
      </c>
      <c r="F120" s="273">
        <v>3057912</v>
      </c>
      <c r="G120" s="273">
        <v>3264606</v>
      </c>
      <c r="H120" s="273">
        <v>2404750</v>
      </c>
      <c r="I120" s="273">
        <v>3375692</v>
      </c>
      <c r="J120" s="273">
        <v>3263440</v>
      </c>
      <c r="K120" s="273">
        <v>2715704</v>
      </c>
      <c r="L120" s="273">
        <v>2591267</v>
      </c>
      <c r="M120" s="273">
        <v>4003912</v>
      </c>
      <c r="N120" s="273">
        <v>3702073</v>
      </c>
      <c r="O120" s="273">
        <v>4369576</v>
      </c>
      <c r="P120" s="273">
        <v>3367495</v>
      </c>
      <c r="Q120" s="273">
        <v>4256160</v>
      </c>
      <c r="R120" s="273">
        <v>5883091</v>
      </c>
      <c r="S120" s="273">
        <v>4333636</v>
      </c>
      <c r="T120" s="273">
        <v>3543021</v>
      </c>
      <c r="U120" s="273">
        <v>3856951</v>
      </c>
      <c r="V120" s="273">
        <v>3069271</v>
      </c>
      <c r="W120" s="273">
        <v>3917841</v>
      </c>
      <c r="X120" s="273">
        <v>4850120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1587522</v>
      </c>
      <c r="C123" s="275">
        <v>2929972</v>
      </c>
      <c r="D123" s="275">
        <v>1693493</v>
      </c>
      <c r="E123" s="275">
        <v>1772901</v>
      </c>
      <c r="F123" s="275">
        <v>1806521</v>
      </c>
      <c r="G123" s="275">
        <v>3728909</v>
      </c>
      <c r="H123" s="275">
        <v>2127489</v>
      </c>
      <c r="I123" s="275">
        <v>2357314</v>
      </c>
      <c r="J123" s="275">
        <v>2306731</v>
      </c>
      <c r="K123" s="275">
        <v>4287359</v>
      </c>
      <c r="L123" s="275">
        <v>2372310</v>
      </c>
      <c r="M123" s="275">
        <v>2234350</v>
      </c>
      <c r="N123" s="275">
        <v>2373141</v>
      </c>
      <c r="O123" s="275">
        <v>4931957</v>
      </c>
      <c r="P123" s="275">
        <v>2808767</v>
      </c>
      <c r="Q123" s="275">
        <v>2874561</v>
      </c>
      <c r="R123" s="275">
        <v>2935139</v>
      </c>
      <c r="S123" s="275">
        <v>5505315</v>
      </c>
      <c r="T123" s="275">
        <v>3770571</v>
      </c>
      <c r="U123" s="275">
        <v>4466609</v>
      </c>
      <c r="V123" s="275">
        <v>4858339</v>
      </c>
      <c r="W123" s="275">
        <v>8259659</v>
      </c>
      <c r="X123" s="275">
        <v>5594473</v>
      </c>
    </row>
    <row r="124" spans="1:24" ht="14.25" thickBot="1" x14ac:dyDescent="0.3">
      <c r="A124" s="224" t="s">
        <v>268</v>
      </c>
      <c r="B124" s="273">
        <v>6186183</v>
      </c>
      <c r="C124" s="273">
        <v>6405708</v>
      </c>
      <c r="D124" s="273">
        <v>6750315</v>
      </c>
      <c r="E124" s="273">
        <v>4970574</v>
      </c>
      <c r="F124" s="273">
        <v>5103033</v>
      </c>
      <c r="G124" s="273">
        <v>7413515</v>
      </c>
      <c r="H124" s="273">
        <v>5182779</v>
      </c>
      <c r="I124" s="273">
        <v>5822421</v>
      </c>
      <c r="J124" s="273">
        <v>5570171</v>
      </c>
      <c r="K124" s="273">
        <v>7391308</v>
      </c>
      <c r="L124" s="273">
        <v>5359037</v>
      </c>
      <c r="M124" s="273">
        <v>6238262</v>
      </c>
      <c r="N124" s="273">
        <v>6450814</v>
      </c>
      <c r="O124" s="273">
        <v>9517553</v>
      </c>
      <c r="P124" s="273">
        <v>6899402</v>
      </c>
      <c r="Q124" s="273">
        <v>7327671</v>
      </c>
      <c r="R124" s="273">
        <v>9365375</v>
      </c>
      <c r="S124" s="273">
        <v>9935776</v>
      </c>
      <c r="T124" s="273">
        <v>7313592</v>
      </c>
      <c r="U124" s="273">
        <v>8904060</v>
      </c>
      <c r="V124" s="273">
        <v>8261240</v>
      </c>
      <c r="W124" s="273">
        <v>12481700</v>
      </c>
      <c r="X124" s="273">
        <v>10626153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35235</v>
      </c>
      <c r="G125" s="275">
        <v>35811</v>
      </c>
      <c r="H125" s="275">
        <v>36381</v>
      </c>
      <c r="I125" s="275">
        <v>36360</v>
      </c>
      <c r="J125" s="275">
        <v>36941</v>
      </c>
      <c r="K125" s="275">
        <v>37534</v>
      </c>
      <c r="L125" s="275">
        <v>38191</v>
      </c>
      <c r="M125" s="275">
        <v>52803</v>
      </c>
      <c r="N125" s="275">
        <v>46076</v>
      </c>
      <c r="O125" s="275">
        <v>46660</v>
      </c>
      <c r="P125" s="275">
        <v>56334</v>
      </c>
      <c r="Q125" s="275">
        <v>68087</v>
      </c>
      <c r="R125" s="275">
        <v>68940</v>
      </c>
      <c r="S125" s="275">
        <v>69770</v>
      </c>
      <c r="T125" s="275">
        <v>71480</v>
      </c>
      <c r="U125" s="275">
        <v>73354</v>
      </c>
      <c r="V125" s="275">
        <v>74309</v>
      </c>
      <c r="W125" s="275">
        <v>75221</v>
      </c>
      <c r="X125" s="275">
        <v>76295</v>
      </c>
    </row>
    <row r="126" spans="1:24" ht="14.25" thickBot="1" x14ac:dyDescent="0.3">
      <c r="A126" s="224" t="s">
        <v>33</v>
      </c>
      <c r="B126" s="68">
        <v>470</v>
      </c>
      <c r="C126" s="68">
        <v>601</v>
      </c>
      <c r="D126" s="273">
        <v>1204</v>
      </c>
      <c r="E126" s="273">
        <v>2028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6186653</v>
      </c>
      <c r="C127" s="275">
        <v>6406309</v>
      </c>
      <c r="D127" s="275">
        <v>6751519</v>
      </c>
      <c r="E127" s="275">
        <v>4972602</v>
      </c>
      <c r="F127" s="275">
        <v>5138268</v>
      </c>
      <c r="G127" s="275">
        <v>7449326</v>
      </c>
      <c r="H127" s="275">
        <v>5219160</v>
      </c>
      <c r="I127" s="275">
        <v>5858781</v>
      </c>
      <c r="J127" s="275">
        <v>5607112</v>
      </c>
      <c r="K127" s="275">
        <v>7428842</v>
      </c>
      <c r="L127" s="275">
        <v>5397228</v>
      </c>
      <c r="M127" s="275">
        <v>6291065</v>
      </c>
      <c r="N127" s="275">
        <v>6496890</v>
      </c>
      <c r="O127" s="275">
        <v>9564213</v>
      </c>
      <c r="P127" s="275">
        <v>6955736</v>
      </c>
      <c r="Q127" s="275">
        <v>7395758</v>
      </c>
      <c r="R127" s="275">
        <v>9434315</v>
      </c>
      <c r="S127" s="275">
        <v>10005546</v>
      </c>
      <c r="T127" s="275">
        <v>7385072</v>
      </c>
      <c r="U127" s="275">
        <v>8977414</v>
      </c>
      <c r="V127" s="275">
        <v>8335549</v>
      </c>
      <c r="W127" s="275">
        <v>12556921</v>
      </c>
      <c r="X127" s="275">
        <v>10702448</v>
      </c>
    </row>
    <row r="128" spans="1:24" ht="14.25" thickBot="1" x14ac:dyDescent="0.3">
      <c r="A128" s="224" t="s">
        <v>34</v>
      </c>
      <c r="B128" s="273">
        <v>11554247</v>
      </c>
      <c r="C128" s="273">
        <v>10877754</v>
      </c>
      <c r="D128" s="273">
        <v>11709282</v>
      </c>
      <c r="E128" s="273">
        <v>12315422</v>
      </c>
      <c r="F128" s="273">
        <v>13046189</v>
      </c>
      <c r="G128" s="273">
        <v>12417047</v>
      </c>
      <c r="H128" s="273">
        <v>13270370</v>
      </c>
      <c r="I128" s="273">
        <v>14022030</v>
      </c>
      <c r="J128" s="273">
        <v>14775322</v>
      </c>
      <c r="K128" s="273">
        <v>14590905</v>
      </c>
      <c r="L128" s="273">
        <v>15748400</v>
      </c>
      <c r="M128" s="273">
        <v>16517480</v>
      </c>
      <c r="N128" s="273">
        <v>19638856</v>
      </c>
      <c r="O128" s="273">
        <v>18331487</v>
      </c>
      <c r="P128" s="273">
        <v>19385704</v>
      </c>
      <c r="Q128" s="273">
        <v>20356665</v>
      </c>
      <c r="R128" s="273">
        <v>21321520</v>
      </c>
      <c r="S128" s="273">
        <v>19914469</v>
      </c>
      <c r="T128" s="273">
        <v>21481522</v>
      </c>
      <c r="U128" s="273">
        <v>22998225</v>
      </c>
      <c r="V128" s="273">
        <v>24290762</v>
      </c>
      <c r="W128" s="273">
        <v>23171873</v>
      </c>
      <c r="X128" s="273">
        <v>24779090</v>
      </c>
    </row>
    <row r="129" spans="1:24" ht="14.25" thickBot="1" x14ac:dyDescent="0.3">
      <c r="A129" s="225" t="s">
        <v>35</v>
      </c>
      <c r="B129" s="276">
        <v>17740900</v>
      </c>
      <c r="C129" s="276">
        <v>17284063</v>
      </c>
      <c r="D129" s="276">
        <v>18460801</v>
      </c>
      <c r="E129" s="276">
        <v>17288024</v>
      </c>
      <c r="F129" s="276">
        <v>18184457</v>
      </c>
      <c r="G129" s="276">
        <v>19866373</v>
      </c>
      <c r="H129" s="276">
        <v>18489530</v>
      </c>
      <c r="I129" s="276">
        <v>19880811</v>
      </c>
      <c r="J129" s="276">
        <v>20382434</v>
      </c>
      <c r="K129" s="276">
        <v>22019747</v>
      </c>
      <c r="L129" s="276">
        <v>21145628</v>
      </c>
      <c r="M129" s="276">
        <v>22808545</v>
      </c>
      <c r="N129" s="276">
        <v>26135746</v>
      </c>
      <c r="O129" s="276">
        <v>27895700</v>
      </c>
      <c r="P129" s="276">
        <v>26341440</v>
      </c>
      <c r="Q129" s="276">
        <v>27752423</v>
      </c>
      <c r="R129" s="276">
        <v>30755835</v>
      </c>
      <c r="S129" s="276">
        <v>29920015</v>
      </c>
      <c r="T129" s="276">
        <v>28866594</v>
      </c>
      <c r="U129" s="276">
        <v>31975639</v>
      </c>
      <c r="V129" s="276">
        <v>32626311</v>
      </c>
      <c r="W129" s="276">
        <v>35728794</v>
      </c>
      <c r="X129" s="276">
        <v>35481538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21.4</v>
      </c>
      <c r="C132" s="68">
        <v>18.43</v>
      </c>
      <c r="D132" s="68">
        <v>11.25</v>
      </c>
      <c r="E132" s="68">
        <v>21.41</v>
      </c>
      <c r="F132" s="68">
        <v>30.18</v>
      </c>
    </row>
    <row r="133" spans="1:24" ht="14.25" thickBot="1" x14ac:dyDescent="0.3">
      <c r="A133" s="225" t="s">
        <v>37</v>
      </c>
      <c r="B133" s="274">
        <v>-1.73</v>
      </c>
      <c r="C133" s="274">
        <v>-5.74</v>
      </c>
      <c r="D133" s="274">
        <v>-3.06</v>
      </c>
      <c r="E133" s="274">
        <v>-3.9</v>
      </c>
      <c r="F133" s="274">
        <v>-6.54</v>
      </c>
    </row>
    <row r="134" spans="1:24" ht="14.25" thickBot="1" x14ac:dyDescent="0.3">
      <c r="A134" s="224" t="s">
        <v>38</v>
      </c>
      <c r="B134" s="68">
        <v>-6.99</v>
      </c>
      <c r="C134" s="68">
        <v>-23.91</v>
      </c>
      <c r="D134" s="68">
        <v>-8.9600000000000009</v>
      </c>
      <c r="E134" s="68">
        <v>0.94</v>
      </c>
      <c r="F134" s="68">
        <v>-10.38</v>
      </c>
    </row>
    <row r="135" spans="1:24" ht="14.25" thickBot="1" x14ac:dyDescent="0.3">
      <c r="A135" s="225" t="s">
        <v>270</v>
      </c>
      <c r="B135" s="274">
        <v>19.68</v>
      </c>
      <c r="C135" s="274">
        <v>12.69</v>
      </c>
      <c r="D135" s="274">
        <v>8.19</v>
      </c>
      <c r="E135" s="274">
        <v>17.5</v>
      </c>
      <c r="F135" s="274">
        <v>23.64</v>
      </c>
    </row>
    <row r="136" spans="1:24" ht="14.25" thickBot="1" x14ac:dyDescent="0.3">
      <c r="A136" s="229" t="s">
        <v>39</v>
      </c>
      <c r="B136" s="72">
        <v>12.69</v>
      </c>
      <c r="C136" s="72">
        <v>-11.23</v>
      </c>
      <c r="D136" s="72">
        <v>-0.77</v>
      </c>
      <c r="E136" s="72">
        <v>18.45</v>
      </c>
      <c r="F136" s="72">
        <v>13.26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8</v>
      </c>
      <c r="C140" s="68">
        <v>10.5</v>
      </c>
      <c r="D140" s="68">
        <v>11.2</v>
      </c>
      <c r="E140" s="68">
        <v>12</v>
      </c>
      <c r="F140" s="68">
        <v>14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0.53120849933598935</v>
      </c>
      <c r="C142" s="234">
        <f>IF(C140&lt;&gt;"無",IF(ISNA(HLOOKUP(C139,$B$64:$F$69,6,FALSE)),"",C140/HLOOKUP(C139,$B$64:$F$69,6,FALSE)),"")</f>
        <v>0.59760956175298807</v>
      </c>
      <c r="D142" s="234">
        <f>IF(D140&lt;&gt;"無",IF(ISNA(HLOOKUP(D139,$B$64:$F$69,6,FALSE)),"",D140/HLOOKUP(D139,$B$64:$F$69,6,FALSE)),"")</f>
        <v>0.63890473474044485</v>
      </c>
      <c r="E142" s="234">
        <f>IF(E140&lt;&gt;"無",IF(ISNA(HLOOKUP(E139,$B$64:$F$69,6,FALSE)),"",E140/HLOOKUP(E139,$B$64:$F$69,6,FALSE)),"")</f>
        <v>0.58708414872798442</v>
      </c>
      <c r="F142" s="234">
        <f>IF(F140&lt;&gt;"無",IF(ISNA(HLOOKUP(F139,$B$64:$F$69,6,FALSE)),"",F140/HLOOKUP(F139,$B$64:$F$69,6,FALSE)),"")</f>
        <v>0.56749087961086331</v>
      </c>
    </row>
    <row r="143" spans="1:24" x14ac:dyDescent="0.25">
      <c r="A143" s="233" t="s">
        <v>216</v>
      </c>
      <c r="B143" s="234">
        <f>IF(OR(B140=0,B140="無"),"",B135/B140)</f>
        <v>2.46</v>
      </c>
      <c r="C143" s="234">
        <f>IF(OR(C140=0,C140="無"),"",C135/C140)</f>
        <v>1.2085714285714286</v>
      </c>
      <c r="D143" s="234">
        <f>IF(OR(D140=0,D140="無"),"",D135/D140)</f>
        <v>0.73124999999999996</v>
      </c>
      <c r="E143" s="234">
        <f>IF(OR(E140=0,E140="無"),"",E135/E140)</f>
        <v>1.4583333333333333</v>
      </c>
      <c r="F143" s="234">
        <f>IF(OR(F140=0,F140="無"),"",F135/F140)</f>
        <v>1.6885714285714286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14.42</v>
      </c>
      <c r="C146" s="68">
        <v>10.16</v>
      </c>
      <c r="D146" s="68">
        <v>19.89</v>
      </c>
      <c r="E146" s="68">
        <v>17.27</v>
      </c>
      <c r="F146" s="68">
        <v>18.3</v>
      </c>
      <c r="G146" s="68">
        <v>18.809999999999999</v>
      </c>
      <c r="H146" s="68">
        <v>17.46</v>
      </c>
      <c r="I146" s="68">
        <v>12.49</v>
      </c>
      <c r="J146" s="68">
        <v>15.68</v>
      </c>
      <c r="K146" s="68">
        <v>18.07</v>
      </c>
      <c r="L146" s="68">
        <v>18.97</v>
      </c>
      <c r="M146" s="68">
        <v>11.94</v>
      </c>
      <c r="N146" s="68">
        <v>21.76</v>
      </c>
      <c r="O146" s="68">
        <v>23.5</v>
      </c>
      <c r="P146" s="68">
        <v>19.61</v>
      </c>
      <c r="Q146" s="68">
        <v>17.989999999999998</v>
      </c>
      <c r="R146" s="68">
        <v>19.420000000000002</v>
      </c>
      <c r="S146" s="68">
        <v>19.34</v>
      </c>
      <c r="T146" s="68">
        <v>21.31</v>
      </c>
      <c r="U146" s="68">
        <v>24.26</v>
      </c>
      <c r="V146" s="68">
        <v>30.69</v>
      </c>
      <c r="W146" s="68">
        <v>29.81</v>
      </c>
      <c r="X146" s="68">
        <v>26.57</v>
      </c>
    </row>
    <row r="147" spans="1:24" s="93" customFormat="1" ht="14.25" thickBot="1" x14ac:dyDescent="0.3">
      <c r="A147" s="225" t="s">
        <v>19</v>
      </c>
      <c r="B147" s="274">
        <v>9.6199999999999992</v>
      </c>
      <c r="C147" s="274">
        <v>4.28</v>
      </c>
      <c r="D147" s="274">
        <v>12.8</v>
      </c>
      <c r="E147" s="274">
        <v>8.74</v>
      </c>
      <c r="F147" s="274">
        <v>11.34</v>
      </c>
      <c r="G147" s="274">
        <v>10.7</v>
      </c>
      <c r="H147" s="274">
        <v>11.14</v>
      </c>
      <c r="I147" s="274">
        <v>4.53</v>
      </c>
      <c r="J147" s="274">
        <v>8.6300000000000008</v>
      </c>
      <c r="K147" s="274">
        <v>11.64</v>
      </c>
      <c r="L147" s="274">
        <v>10.71</v>
      </c>
      <c r="M147" s="274">
        <v>4.17</v>
      </c>
      <c r="N147" s="274">
        <v>12.6</v>
      </c>
      <c r="O147" s="274">
        <v>13.88</v>
      </c>
      <c r="P147" s="274">
        <v>10.98</v>
      </c>
      <c r="Q147" s="274">
        <v>10.199999999999999</v>
      </c>
      <c r="R147" s="274">
        <v>9.94</v>
      </c>
      <c r="S147" s="274">
        <v>10.39</v>
      </c>
      <c r="T147" s="274">
        <v>12.14</v>
      </c>
      <c r="U147" s="274">
        <v>11.53</v>
      </c>
      <c r="V147" s="274">
        <v>17.670000000000002</v>
      </c>
      <c r="W147" s="274">
        <v>18.190000000000001</v>
      </c>
      <c r="X147" s="274">
        <v>15.91</v>
      </c>
    </row>
    <row r="148" spans="1:24" s="93" customFormat="1" ht="14.25" thickBot="1" x14ac:dyDescent="0.3">
      <c r="A148" s="224" t="s">
        <v>41</v>
      </c>
      <c r="B148" s="68">
        <v>9.23</v>
      </c>
      <c r="C148" s="68">
        <v>4.54</v>
      </c>
      <c r="D148" s="68">
        <v>12.2</v>
      </c>
      <c r="E148" s="68">
        <v>8.27</v>
      </c>
      <c r="F148" s="68">
        <v>12.19</v>
      </c>
      <c r="G148" s="68">
        <v>12.57</v>
      </c>
      <c r="H148" s="68">
        <v>11.73</v>
      </c>
      <c r="I148" s="68">
        <v>5.53</v>
      </c>
      <c r="J148" s="68">
        <v>11.15</v>
      </c>
      <c r="K148" s="68">
        <v>12.43</v>
      </c>
      <c r="L148" s="68">
        <v>12.44</v>
      </c>
      <c r="M148" s="68">
        <v>6.04</v>
      </c>
      <c r="N148" s="68">
        <v>12.11</v>
      </c>
      <c r="O148" s="68">
        <v>12.96</v>
      </c>
      <c r="P148" s="68">
        <v>14.08</v>
      </c>
      <c r="Q148" s="68">
        <v>10.83</v>
      </c>
      <c r="R148" s="68">
        <v>10.69</v>
      </c>
      <c r="S148" s="68">
        <v>11.63</v>
      </c>
      <c r="T148" s="68">
        <v>12.52</v>
      </c>
      <c r="U148" s="68">
        <v>15.32</v>
      </c>
      <c r="V148" s="68">
        <v>15.41</v>
      </c>
      <c r="W148" s="68">
        <v>19.440000000000001</v>
      </c>
      <c r="X148" s="68">
        <v>16.53</v>
      </c>
    </row>
    <row r="149" spans="1:24" s="93" customFormat="1" ht="14.25" thickBot="1" x14ac:dyDescent="0.3">
      <c r="A149" s="225" t="s">
        <v>13</v>
      </c>
      <c r="B149" s="73">
        <v>8.35</v>
      </c>
      <c r="C149" s="73">
        <v>3</v>
      </c>
      <c r="D149" s="73">
        <v>10.9</v>
      </c>
      <c r="E149" s="73">
        <v>6.96</v>
      </c>
      <c r="F149" s="73">
        <v>10.51</v>
      </c>
      <c r="G149" s="73">
        <v>9.83</v>
      </c>
      <c r="H149" s="73">
        <v>10.19</v>
      </c>
      <c r="I149" s="73">
        <v>3.38</v>
      </c>
      <c r="J149" s="73">
        <v>9.74</v>
      </c>
      <c r="K149" s="73">
        <v>9.73</v>
      </c>
      <c r="L149" s="73">
        <v>10.5</v>
      </c>
      <c r="M149" s="73">
        <v>5.55</v>
      </c>
      <c r="N149" s="73">
        <v>10.38</v>
      </c>
      <c r="O149" s="73">
        <v>10.48</v>
      </c>
      <c r="P149" s="73">
        <v>11.74</v>
      </c>
      <c r="Q149" s="73">
        <v>10.94</v>
      </c>
      <c r="R149" s="73">
        <v>9.36</v>
      </c>
      <c r="S149" s="73">
        <v>9.14</v>
      </c>
      <c r="T149" s="73">
        <v>12.02</v>
      </c>
      <c r="U149" s="73">
        <v>13.32</v>
      </c>
      <c r="V149" s="73">
        <v>13.41</v>
      </c>
      <c r="W149" s="73">
        <v>15.17</v>
      </c>
      <c r="X149" s="73">
        <v>14.32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15.19</v>
      </c>
      <c r="C152" s="68">
        <v>17.78</v>
      </c>
      <c r="D152" s="68">
        <v>16.899999999999999</v>
      </c>
      <c r="E152" s="68">
        <v>20.54</v>
      </c>
      <c r="F152" s="68">
        <v>21.16</v>
      </c>
    </row>
    <row r="153" spans="1:24" s="93" customFormat="1" ht="14.25" thickBot="1" x14ac:dyDescent="0.3">
      <c r="A153" s="225" t="s">
        <v>19</v>
      </c>
      <c r="B153" s="274">
        <v>9.5500000000000007</v>
      </c>
      <c r="C153" s="274">
        <v>10.61</v>
      </c>
      <c r="D153" s="274">
        <v>9.6199999999999992</v>
      </c>
      <c r="E153" s="274">
        <v>11.5</v>
      </c>
      <c r="F153" s="274">
        <v>11.06</v>
      </c>
    </row>
    <row r="154" spans="1:24" s="93" customFormat="1" ht="14.25" thickBot="1" x14ac:dyDescent="0.3">
      <c r="A154" s="224" t="s">
        <v>41</v>
      </c>
      <c r="B154" s="68">
        <v>9.26</v>
      </c>
      <c r="C154" s="68">
        <v>11.68</v>
      </c>
      <c r="D154" s="68">
        <v>11.28</v>
      </c>
      <c r="E154" s="68">
        <v>12.19</v>
      </c>
      <c r="F154" s="68">
        <v>12.51</v>
      </c>
    </row>
    <row r="155" spans="1:24" s="93" customFormat="1" ht="14.25" thickBot="1" x14ac:dyDescent="0.3">
      <c r="A155" s="225" t="s">
        <v>13</v>
      </c>
      <c r="B155" s="73">
        <v>8.15</v>
      </c>
      <c r="C155" s="73">
        <v>9.85</v>
      </c>
      <c r="D155" s="73">
        <v>9.68</v>
      </c>
      <c r="E155" s="73">
        <v>10.64</v>
      </c>
      <c r="F155" s="73">
        <v>10.97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4.13</v>
      </c>
      <c r="C158" s="68">
        <v>1.28</v>
      </c>
      <c r="D158" s="68">
        <v>5.1100000000000003</v>
      </c>
      <c r="E158" s="68">
        <v>3.26</v>
      </c>
      <c r="F158" s="68">
        <v>4.22</v>
      </c>
      <c r="G158" s="68">
        <v>4.29</v>
      </c>
      <c r="H158" s="68">
        <v>4.47</v>
      </c>
      <c r="I158" s="68">
        <v>1.46</v>
      </c>
      <c r="J158" s="68">
        <v>3.73</v>
      </c>
      <c r="K158" s="68">
        <v>3.72</v>
      </c>
      <c r="L158" s="68">
        <v>4.1500000000000004</v>
      </c>
      <c r="M158" s="68">
        <v>2.2599999999999998</v>
      </c>
      <c r="N158" s="68">
        <v>3.54</v>
      </c>
      <c r="O158" s="68">
        <v>3.28</v>
      </c>
      <c r="P158" s="68">
        <v>4.3499999999999996</v>
      </c>
      <c r="Q158" s="68">
        <v>4.1900000000000004</v>
      </c>
      <c r="R158" s="68">
        <v>3.17</v>
      </c>
      <c r="S158" s="68">
        <v>3.15</v>
      </c>
      <c r="T158" s="68">
        <v>5.05</v>
      </c>
      <c r="U158" s="68">
        <v>4.8499999999999996</v>
      </c>
      <c r="V158" s="68">
        <v>3.97</v>
      </c>
      <c r="W158" s="68">
        <v>4.66</v>
      </c>
      <c r="X158" s="68">
        <v>4.5</v>
      </c>
    </row>
    <row r="159" spans="1:24" s="93" customFormat="1" ht="14.25" thickBot="1" x14ac:dyDescent="0.3">
      <c r="A159" s="225" t="s">
        <v>45</v>
      </c>
      <c r="B159" s="73">
        <v>6.15</v>
      </c>
      <c r="C159" s="73">
        <v>2</v>
      </c>
      <c r="D159" s="73">
        <v>8.08</v>
      </c>
      <c r="E159" s="73">
        <v>4.84</v>
      </c>
      <c r="F159" s="73">
        <v>5.9</v>
      </c>
      <c r="G159" s="73">
        <v>6.41</v>
      </c>
      <c r="H159" s="73">
        <v>6.66</v>
      </c>
      <c r="I159" s="73">
        <v>2.0499999999999998</v>
      </c>
      <c r="J159" s="73">
        <v>5.21</v>
      </c>
      <c r="K159" s="73">
        <v>5.36</v>
      </c>
      <c r="L159" s="73">
        <v>5.9</v>
      </c>
      <c r="M159" s="73">
        <v>3.08</v>
      </c>
      <c r="N159" s="73">
        <v>4.79</v>
      </c>
      <c r="O159" s="73">
        <v>4.66</v>
      </c>
      <c r="P159" s="73">
        <v>6.25</v>
      </c>
      <c r="Q159" s="73">
        <v>5.7</v>
      </c>
      <c r="R159" s="73">
        <v>4.45</v>
      </c>
      <c r="S159" s="73">
        <v>4.63</v>
      </c>
      <c r="T159" s="73">
        <v>7.17</v>
      </c>
      <c r="U159" s="73">
        <v>6.64</v>
      </c>
      <c r="V159" s="73">
        <v>5.42</v>
      </c>
      <c r="W159" s="73">
        <v>6.71</v>
      </c>
      <c r="X159" s="73">
        <v>6.67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8.15</v>
      </c>
      <c r="C162" s="68">
        <v>9.85</v>
      </c>
      <c r="D162" s="68">
        <v>9.68</v>
      </c>
      <c r="E162" s="68">
        <v>10.64</v>
      </c>
      <c r="F162" s="68">
        <v>10.97</v>
      </c>
    </row>
    <row r="163" spans="1:72" s="93" customFormat="1" ht="14.25" thickBot="1" x14ac:dyDescent="0.3">
      <c r="A163" s="225" t="s">
        <v>18</v>
      </c>
      <c r="B163" s="274">
        <v>1.91</v>
      </c>
      <c r="C163" s="274">
        <v>1.62</v>
      </c>
      <c r="D163" s="274">
        <v>1.45</v>
      </c>
      <c r="E163" s="274">
        <v>1.34</v>
      </c>
      <c r="F163" s="274">
        <v>1.37</v>
      </c>
    </row>
    <row r="164" spans="1:72" s="93" customFormat="1" ht="14.25" thickBot="1" x14ac:dyDescent="0.3">
      <c r="A164" s="224" t="s">
        <v>15</v>
      </c>
      <c r="B164" s="68">
        <v>1.4</v>
      </c>
      <c r="C164" s="68">
        <v>1.42</v>
      </c>
      <c r="D164" s="68">
        <v>1.38</v>
      </c>
      <c r="E164" s="68">
        <v>1.36</v>
      </c>
      <c r="F164" s="68">
        <v>1.39</v>
      </c>
    </row>
    <row r="165" spans="1:72" s="93" customFormat="1" ht="14.25" thickBot="1" x14ac:dyDescent="0.3">
      <c r="A165" s="225" t="s">
        <v>45</v>
      </c>
      <c r="B165" s="73">
        <v>23.32</v>
      </c>
      <c r="C165" s="73">
        <v>24.08</v>
      </c>
      <c r="D165" s="73">
        <v>20.96</v>
      </c>
      <c r="E165" s="73">
        <v>21.47</v>
      </c>
      <c r="F165" s="73">
        <v>22.15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46.39</v>
      </c>
      <c r="C168" s="68">
        <v>49.18</v>
      </c>
      <c r="D168" s="68">
        <v>43.9</v>
      </c>
      <c r="E168" s="68">
        <v>43.9</v>
      </c>
      <c r="F168" s="68">
        <v>52.02</v>
      </c>
      <c r="G168" s="68">
        <v>48.91</v>
      </c>
      <c r="H168" s="68">
        <v>48.39</v>
      </c>
      <c r="I168" s="68">
        <v>43.9</v>
      </c>
      <c r="J168" s="68">
        <v>44.78</v>
      </c>
      <c r="K168" s="68">
        <v>44.55</v>
      </c>
      <c r="L168" s="68">
        <v>42.65</v>
      </c>
      <c r="M168" s="68">
        <v>41.1</v>
      </c>
      <c r="N168" s="68">
        <v>45</v>
      </c>
      <c r="O168" s="68">
        <v>43.48</v>
      </c>
      <c r="P168" s="68">
        <v>40.72</v>
      </c>
      <c r="Q168" s="68">
        <v>40.72</v>
      </c>
      <c r="R168" s="68">
        <v>42.06</v>
      </c>
      <c r="S168" s="68">
        <v>42.06</v>
      </c>
      <c r="T168" s="68">
        <v>40.72</v>
      </c>
      <c r="U168" s="68">
        <v>44.78</v>
      </c>
      <c r="V168" s="68">
        <v>43.69</v>
      </c>
      <c r="W168" s="68">
        <v>40.18</v>
      </c>
      <c r="X168" s="68">
        <v>40.909999999999997</v>
      </c>
    </row>
    <row r="169" spans="1:72" s="93" customFormat="1" ht="14.25" thickBot="1" x14ac:dyDescent="0.3">
      <c r="A169" s="225" t="s">
        <v>17</v>
      </c>
      <c r="B169" s="274">
        <v>34.619999999999997</v>
      </c>
      <c r="C169" s="274">
        <v>42.65</v>
      </c>
      <c r="D169" s="274">
        <v>42.45</v>
      </c>
      <c r="E169" s="274">
        <v>36.729999999999997</v>
      </c>
      <c r="F169" s="274">
        <v>37.97</v>
      </c>
      <c r="G169" s="274">
        <v>38.630000000000003</v>
      </c>
      <c r="H169" s="274">
        <v>43.9</v>
      </c>
      <c r="I169" s="274">
        <v>47.62</v>
      </c>
      <c r="J169" s="274">
        <v>58.82</v>
      </c>
      <c r="K169" s="274">
        <v>56.25</v>
      </c>
      <c r="L169" s="274">
        <v>55.21</v>
      </c>
      <c r="M169" s="274">
        <v>57.32</v>
      </c>
      <c r="N169" s="274">
        <v>75.63</v>
      </c>
      <c r="O169" s="274">
        <v>85.71</v>
      </c>
      <c r="P169" s="274">
        <v>69.23</v>
      </c>
      <c r="Q169" s="274">
        <v>58.44</v>
      </c>
      <c r="R169" s="274">
        <v>81.819999999999993</v>
      </c>
      <c r="S169" s="274">
        <v>91.84</v>
      </c>
      <c r="T169" s="274">
        <v>64.75</v>
      </c>
      <c r="U169" s="274">
        <v>60.4</v>
      </c>
      <c r="V169" s="274">
        <v>84.11</v>
      </c>
      <c r="W169" s="274">
        <v>100</v>
      </c>
      <c r="X169" s="274">
        <v>102.27</v>
      </c>
    </row>
    <row r="170" spans="1:72" s="93" customFormat="1" ht="14.25" thickBot="1" x14ac:dyDescent="0.3">
      <c r="A170" s="224" t="s">
        <v>42</v>
      </c>
      <c r="B170" s="72">
        <v>81.010000000000005</v>
      </c>
      <c r="C170" s="72">
        <v>91.83</v>
      </c>
      <c r="D170" s="72">
        <v>86.36</v>
      </c>
      <c r="E170" s="72">
        <v>80.64</v>
      </c>
      <c r="F170" s="72">
        <v>90</v>
      </c>
      <c r="G170" s="72">
        <v>87.54</v>
      </c>
      <c r="H170" s="72">
        <v>92.29</v>
      </c>
      <c r="I170" s="72">
        <v>91.52</v>
      </c>
      <c r="J170" s="72">
        <v>103.6</v>
      </c>
      <c r="K170" s="72">
        <v>100.8</v>
      </c>
      <c r="L170" s="72">
        <v>97.87</v>
      </c>
      <c r="M170" s="72">
        <v>98.42</v>
      </c>
      <c r="N170" s="72">
        <v>120.63</v>
      </c>
      <c r="O170" s="72">
        <v>129.19</v>
      </c>
      <c r="P170" s="72">
        <v>109.95</v>
      </c>
      <c r="Q170" s="72">
        <v>99.17</v>
      </c>
      <c r="R170" s="72">
        <v>123.87</v>
      </c>
      <c r="S170" s="72">
        <v>133.88999999999999</v>
      </c>
      <c r="T170" s="72">
        <v>105.47</v>
      </c>
      <c r="U170" s="72">
        <v>105.18</v>
      </c>
      <c r="V170" s="72">
        <v>127.8</v>
      </c>
      <c r="W170" s="72">
        <v>140.18</v>
      </c>
      <c r="X170" s="72">
        <v>143.18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138.77000000000001</v>
      </c>
      <c r="C173" s="72">
        <v>39.04</v>
      </c>
      <c r="D173" s="72">
        <v>41.56</v>
      </c>
      <c r="E173" s="72">
        <v>116.54</v>
      </c>
      <c r="F173" s="72">
        <v>123.99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17.61</v>
      </c>
      <c r="C176" s="72">
        <v>22.56</v>
      </c>
      <c r="D176" s="72">
        <v>23.64</v>
      </c>
      <c r="E176" s="72">
        <v>11.27</v>
      </c>
      <c r="F176" s="72">
        <v>13.85</v>
      </c>
      <c r="G176" s="72">
        <v>14.66</v>
      </c>
      <c r="H176" s="72">
        <v>14.84</v>
      </c>
      <c r="I176" s="72">
        <v>6.66</v>
      </c>
      <c r="J176" s="72">
        <v>6.49</v>
      </c>
      <c r="K176" s="72">
        <v>6.45</v>
      </c>
      <c r="L176" s="72">
        <v>16.190000000000001</v>
      </c>
      <c r="M176" s="72">
        <v>15.8</v>
      </c>
      <c r="N176" s="72">
        <v>16.25</v>
      </c>
      <c r="O176" s="72">
        <v>17.149999999999999</v>
      </c>
      <c r="P176" s="72">
        <v>18.829999999999998</v>
      </c>
      <c r="Q176" s="72">
        <v>16.23</v>
      </c>
      <c r="R176" s="72">
        <v>16.88</v>
      </c>
      <c r="S176" s="72">
        <v>17.7</v>
      </c>
      <c r="T176" s="72">
        <v>17.8</v>
      </c>
      <c r="U176" s="72">
        <v>12.53</v>
      </c>
      <c r="V176" s="72">
        <v>12.99</v>
      </c>
      <c r="W176" s="72">
        <v>12.64</v>
      </c>
      <c r="X176" s="72">
        <v>11.69</v>
      </c>
      <c r="Y176" s="72">
        <v>10.82</v>
      </c>
      <c r="Z176" s="72">
        <v>11.65</v>
      </c>
      <c r="AA176" s="72">
        <v>11.64</v>
      </c>
      <c r="AB176" s="72">
        <v>4.88</v>
      </c>
      <c r="AC176" s="72">
        <v>4.99</v>
      </c>
      <c r="AD176" s="72">
        <v>14.38</v>
      </c>
      <c r="AE176" s="72">
        <v>15.59</v>
      </c>
      <c r="AF176" s="72">
        <v>15.44</v>
      </c>
      <c r="AG176" s="72">
        <v>14.78</v>
      </c>
      <c r="AH176" s="72">
        <v>14.58</v>
      </c>
      <c r="AI176" s="72">
        <v>13.47</v>
      </c>
      <c r="AJ176" s="72">
        <v>14.24</v>
      </c>
      <c r="AK176" s="72">
        <v>14.49</v>
      </c>
      <c r="AL176" s="72">
        <v>15.17</v>
      </c>
      <c r="AM176" s="72">
        <v>15.59</v>
      </c>
      <c r="AN176" s="72">
        <v>10.33</v>
      </c>
      <c r="AO176" s="72">
        <v>10.9</v>
      </c>
      <c r="AP176" s="72">
        <v>18.010000000000002</v>
      </c>
      <c r="AQ176" s="72">
        <v>18.41</v>
      </c>
      <c r="AR176" s="72">
        <v>15.23</v>
      </c>
      <c r="AS176" s="72">
        <v>13.93</v>
      </c>
      <c r="AT176" s="72">
        <v>13.92</v>
      </c>
      <c r="AU176" s="72">
        <v>14.38</v>
      </c>
      <c r="AV176" s="72">
        <v>14.63</v>
      </c>
      <c r="AW176" s="72">
        <v>13.9</v>
      </c>
      <c r="AX176" s="72">
        <v>13</v>
      </c>
      <c r="AY176" s="72">
        <v>14.16</v>
      </c>
      <c r="AZ176" s="72">
        <v>13.59</v>
      </c>
      <c r="BA176" s="72">
        <v>14.23</v>
      </c>
      <c r="BB176" s="72">
        <v>12.13</v>
      </c>
      <c r="BC176" s="72">
        <v>12.93</v>
      </c>
      <c r="BD176" s="72">
        <v>12.76</v>
      </c>
      <c r="BE176" s="72">
        <v>10.92</v>
      </c>
      <c r="BF176" s="72">
        <v>10.89</v>
      </c>
      <c r="BG176" s="72">
        <v>10.86</v>
      </c>
      <c r="BH176" s="72">
        <v>10.039999999999999</v>
      </c>
      <c r="BI176" s="72">
        <v>11.11</v>
      </c>
      <c r="BJ176" s="72">
        <v>10.91</v>
      </c>
      <c r="BK176" s="72">
        <v>11.23</v>
      </c>
      <c r="BL176" s="72">
        <v>10.79</v>
      </c>
      <c r="BM176" s="72">
        <v>11.22</v>
      </c>
      <c r="BN176" s="72">
        <v>11.27</v>
      </c>
      <c r="BO176" s="72">
        <v>13.29</v>
      </c>
      <c r="BP176" s="72">
        <v>15.09</v>
      </c>
      <c r="BQ176" s="72">
        <v>13.79</v>
      </c>
      <c r="BR176" s="72">
        <v>12.48</v>
      </c>
      <c r="BS176" s="72">
        <v>12.17</v>
      </c>
      <c r="BT176" s="72">
        <v>11.13</v>
      </c>
    </row>
  </sheetData>
  <phoneticPr fontId="3" type="noConversion"/>
  <conditionalFormatting sqref="E4">
    <cfRule type="cellIs" dxfId="1049" priority="103" operator="greaterThan">
      <formula>0.2</formula>
    </cfRule>
    <cfRule type="cellIs" dxfId="104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104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046" priority="97" operator="greaterThan">
      <formula>$B$19</formula>
    </cfRule>
  </conditionalFormatting>
  <conditionalFormatting sqref="D33:D34">
    <cfRule type="cellIs" dxfId="104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1044" priority="91" operator="lessThan">
      <formula>$H$62</formula>
    </cfRule>
    <cfRule type="cellIs" dxfId="1043" priority="92" operator="greaterThan">
      <formula>$H$62</formula>
    </cfRule>
  </conditionalFormatting>
  <conditionalFormatting sqref="J62">
    <cfRule type="cellIs" dxfId="1042" priority="89" operator="lessThan">
      <formula>$K$62</formula>
    </cfRule>
    <cfRule type="cellIs" dxfId="1041" priority="90" operator="greaterThan">
      <formula>$K$62</formula>
    </cfRule>
  </conditionalFormatting>
  <conditionalFormatting sqref="M62">
    <cfRule type="cellIs" dxfId="1040" priority="87" operator="lessThan">
      <formula>$N$62</formula>
    </cfRule>
    <cfRule type="cellIs" dxfId="1039" priority="88" operator="greaterThan">
      <formula>$N$62</formula>
    </cfRule>
  </conditionalFormatting>
  <conditionalFormatting sqref="B44:E44">
    <cfRule type="cellIs" dxfId="1038" priority="85" operator="greaterThan">
      <formula>0</formula>
    </cfRule>
    <cfRule type="cellIs" dxfId="1037" priority="86" operator="lessThan">
      <formula>0</formula>
    </cfRule>
  </conditionalFormatting>
  <conditionalFormatting sqref="F72">
    <cfRule type="cellIs" dxfId="1036" priority="84" operator="lessThan">
      <formula>$E$72*90%</formula>
    </cfRule>
  </conditionalFormatting>
  <conditionalFormatting sqref="F73">
    <cfRule type="cellIs" dxfId="1035" priority="83" operator="lessThan">
      <formula>$E$73*90%</formula>
    </cfRule>
  </conditionalFormatting>
  <conditionalFormatting sqref="F74">
    <cfRule type="cellIs" dxfId="1034" priority="82" operator="lessThan">
      <formula>$E$74*90%</formula>
    </cfRule>
  </conditionalFormatting>
  <conditionalFormatting sqref="F75">
    <cfRule type="cellIs" dxfId="1033" priority="81" operator="lessThan">
      <formula>$E$75*90%</formula>
    </cfRule>
  </conditionalFormatting>
  <conditionalFormatting sqref="H44:K44">
    <cfRule type="cellIs" dxfId="1032" priority="79" operator="greaterThan">
      <formula>0</formula>
    </cfRule>
    <cfRule type="cellIs" dxfId="1031" priority="80" operator="lessThan">
      <formula>0</formula>
    </cfRule>
  </conditionalFormatting>
  <conditionalFormatting sqref="H51:K51">
    <cfRule type="cellIs" dxfId="1030" priority="77" operator="greaterThan">
      <formula>0</formula>
    </cfRule>
    <cfRule type="cellIs" dxfId="1029" priority="78" operator="lessThan">
      <formula>0</formula>
    </cfRule>
  </conditionalFormatting>
  <conditionalFormatting sqref="B51:E51">
    <cfRule type="cellIs" dxfId="1028" priority="75" operator="greaterThan">
      <formula>0</formula>
    </cfRule>
    <cfRule type="cellIs" dxfId="102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02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02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024" priority="58" operator="lessThan">
      <formula>0</formula>
    </cfRule>
  </conditionalFormatting>
  <conditionalFormatting sqref="A25 E25 C25">
    <cfRule type="cellIs" dxfId="1023" priority="59" operator="lessThan">
      <formula>0</formula>
    </cfRule>
  </conditionalFormatting>
  <conditionalFormatting sqref="F25">
    <cfRule type="cellIs" dxfId="1022" priority="57" operator="lessThan">
      <formula>0</formula>
    </cfRule>
  </conditionalFormatting>
  <conditionalFormatting sqref="E1">
    <cfRule type="containsText" dxfId="1021" priority="56" operator="containsText" text="本季業外損益/平均=-">
      <formula>NOT(ISERROR(SEARCH("本季業外損益/平均=-",E1)))</formula>
    </cfRule>
  </conditionalFormatting>
  <conditionalFormatting sqref="M65">
    <cfRule type="cellIs" dxfId="1020" priority="55" operator="lessThan">
      <formula>$L$65*90%</formula>
    </cfRule>
  </conditionalFormatting>
  <conditionalFormatting sqref="M66">
    <cfRule type="cellIs" dxfId="1019" priority="54" operator="lessThan">
      <formula>$L$66*90%</formula>
    </cfRule>
  </conditionalFormatting>
  <conditionalFormatting sqref="M67">
    <cfRule type="cellIs" dxfId="1018" priority="53" operator="lessThan">
      <formula>$L$67*90%</formula>
    </cfRule>
  </conditionalFormatting>
  <conditionalFormatting sqref="M68">
    <cfRule type="cellIs" dxfId="1017" priority="52" operator="lessThan">
      <formula>$L$68*90%</formula>
    </cfRule>
  </conditionalFormatting>
  <conditionalFormatting sqref="B60">
    <cfRule type="cellIs" dxfId="1016" priority="51" operator="lessThan">
      <formula>0</formula>
    </cfRule>
  </conditionalFormatting>
  <conditionalFormatting sqref="B59:F59">
    <cfRule type="cellIs" dxfId="1015" priority="50" operator="lessThanOrEqual">
      <formula>0</formula>
    </cfRule>
  </conditionalFormatting>
  <conditionalFormatting sqref="D62">
    <cfRule type="cellIs" dxfId="1014" priority="48" operator="lessThan">
      <formula>$E$62</formula>
    </cfRule>
    <cfRule type="cellIs" dxfId="1013" priority="49" operator="greaterThan">
      <formula>$E$62</formula>
    </cfRule>
  </conditionalFormatting>
  <conditionalFormatting sqref="F69">
    <cfRule type="cellIs" dxfId="1012" priority="46" operator="lessThan">
      <formula>0</formula>
    </cfRule>
  </conditionalFormatting>
  <conditionalFormatting sqref="B65:E67 B69:E69 B68:D68">
    <cfRule type="cellIs" dxfId="1011" priority="47" operator="lessThan">
      <formula>0</formula>
    </cfRule>
  </conditionalFormatting>
  <conditionalFormatting sqref="E68">
    <cfRule type="cellIs" dxfId="1010" priority="45" operator="lessThan">
      <formula>0</formula>
    </cfRule>
  </conditionalFormatting>
  <conditionalFormatting sqref="F65:F68">
    <cfRule type="cellIs" dxfId="1009" priority="44" operator="lessThan">
      <formula>0</formula>
    </cfRule>
  </conditionalFormatting>
  <conditionalFormatting sqref="F65:F68">
    <cfRule type="cellIs" dxfId="1008" priority="43" operator="lessThan">
      <formula>$E$65*0.9</formula>
    </cfRule>
  </conditionalFormatting>
  <conditionalFormatting sqref="F66">
    <cfRule type="cellIs" dxfId="1007" priority="42" operator="lessThan">
      <formula>$E$66*0.9</formula>
    </cfRule>
  </conditionalFormatting>
  <conditionalFormatting sqref="F67:F68">
    <cfRule type="cellIs" dxfId="1006" priority="41" operator="lessThan">
      <formula>$E$67*0.9</formula>
    </cfRule>
  </conditionalFormatting>
  <conditionalFormatting sqref="F68">
    <cfRule type="cellIs" dxfId="1005" priority="40" operator="lessThan">
      <formula>$E$68*0.9</formula>
    </cfRule>
  </conditionalFormatting>
  <conditionalFormatting sqref="B13:F13">
    <cfRule type="cellIs" dxfId="1004" priority="29" operator="greaterThan">
      <formula>$I$16</formula>
    </cfRule>
    <cfRule type="cellIs" dxfId="1003" priority="30" operator="lessThanOrEqual">
      <formula>$I$16</formula>
    </cfRule>
  </conditionalFormatting>
  <conditionalFormatting sqref="B10:F10">
    <cfRule type="cellIs" dxfId="1002" priority="31" operator="greaterThan">
      <formula>15</formula>
    </cfRule>
    <cfRule type="cellIs" dxfId="1001" priority="38" operator="lessThan">
      <formula>$I$9</formula>
    </cfRule>
    <cfRule type="cellIs" dxfId="1000" priority="39" operator="greaterThan">
      <formula>$I$9</formula>
    </cfRule>
  </conditionalFormatting>
  <conditionalFormatting sqref="B16:F16">
    <cfRule type="cellIs" dxfId="999" priority="36" operator="greaterThan">
      <formula>$I$16</formula>
    </cfRule>
    <cfRule type="cellIs" dxfId="998" priority="37" operator="lessThanOrEqual">
      <formula>$I$16</formula>
    </cfRule>
  </conditionalFormatting>
  <conditionalFormatting sqref="B15:F15">
    <cfRule type="cellIs" dxfId="997" priority="34" operator="lessThanOrEqual">
      <formula>$I$16</formula>
    </cfRule>
    <cfRule type="cellIs" dxfId="996" priority="35" operator="greaterThan">
      <formula>$I$16</formula>
    </cfRule>
  </conditionalFormatting>
  <conditionalFormatting sqref="B14:F14">
    <cfRule type="cellIs" dxfId="995" priority="32" operator="greaterThan">
      <formula>$I$16</formula>
    </cfRule>
    <cfRule type="cellIs" dxfId="994" priority="33" operator="lessThanOrEqual">
      <formula>$I$16</formula>
    </cfRule>
  </conditionalFormatting>
  <conditionalFormatting sqref="K6">
    <cfRule type="containsText" dxfId="993" priority="27" operator="containsText" text="衰退">
      <formula>NOT(ISERROR(SEARCH("衰退",K6)))</formula>
    </cfRule>
    <cfRule type="containsText" dxfId="992" priority="28" operator="containsText" text="成長">
      <formula>NOT(ISERROR(SEARCH("成長",K6)))</formula>
    </cfRule>
  </conditionalFormatting>
  <conditionalFormatting sqref="I4:K4">
    <cfRule type="cellIs" dxfId="991" priority="25" operator="lessThan">
      <formula>0</formula>
    </cfRule>
    <cfRule type="cellIs" dxfId="99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989" priority="22" operator="lessThanOrEqual">
      <formula>$I$16</formula>
    </cfRule>
    <cfRule type="cellIs" dxfId="988" priority="23" operator="greaterThan">
      <formula>$I$16</formula>
    </cfRule>
  </conditionalFormatting>
  <conditionalFormatting sqref="I6">
    <cfRule type="containsText" dxfId="987" priority="20" operator="containsText" text="衰退">
      <formula>NOT(ISERROR(SEARCH("衰退",I6)))</formula>
    </cfRule>
    <cfRule type="containsText" dxfId="986" priority="21" operator="containsText" text="成長">
      <formula>NOT(ISERROR(SEARCH("成長",I6)))</formula>
    </cfRule>
  </conditionalFormatting>
  <conditionalFormatting sqref="M9">
    <cfRule type="cellIs" dxfId="985" priority="19" operator="lessThan">
      <formula>$I$9</formula>
    </cfRule>
  </conditionalFormatting>
  <conditionalFormatting sqref="M10">
    <cfRule type="cellIs" dxfId="984" priority="18" operator="greaterThan">
      <formula>$I$9</formula>
    </cfRule>
  </conditionalFormatting>
  <conditionalFormatting sqref="M11">
    <cfRule type="cellIs" dxfId="98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982" priority="14" operator="lessThan">
      <formula>0</formula>
    </cfRule>
    <cfRule type="cellIs" dxfId="981" priority="15" operator="greaterThan">
      <formula>0.5</formula>
    </cfRule>
  </conditionalFormatting>
  <conditionalFormatting sqref="N14">
    <cfRule type="cellIs" dxfId="98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979" priority="10" operator="lessThan">
      <formula>0.1</formula>
    </cfRule>
  </conditionalFormatting>
  <conditionalFormatting sqref="I14">
    <cfRule type="cellIs" dxfId="97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97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976" priority="1" operator="lessThan">
      <formula>$N$5*0.9</formula>
    </cfRule>
    <cfRule type="cellIs" dxfId="975" priority="2" operator="greaterThan">
      <formula>$N$5*1.1</formula>
    </cfRule>
  </conditionalFormatting>
  <hyperlinks>
    <hyperlink ref="L1" location="儀表板!A1" display="(回首頁)" xr:uid="{00000000-0004-0000-5A00-000000000000}"/>
  </hyperlink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201801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14.54 ~ 29.59</v>
      </c>
      <c r="L1" s="83" t="s">
        <v>176</v>
      </c>
      <c r="M1" s="84" t="str">
        <f ca="1">VLOOKUP(_xlfn.NUMBERVALUE(N1),儀表板!A:B,2,FALSE)</f>
        <v>實威</v>
      </c>
      <c r="N1" s="85" t="str">
        <f ca="1">MID(CELL("filename",L1),FIND("]",CELL("filename",L1))+1,255)</f>
        <v>8416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0.1902050020500205</v>
      </c>
    </row>
    <row r="3" spans="1:15" s="93" customFormat="1" x14ac:dyDescent="0.25">
      <c r="A3" s="81" t="s">
        <v>179</v>
      </c>
      <c r="B3" s="94">
        <f>SUM(F19:F22,F24:F27,J19)</f>
        <v>85.244897135671906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108.41561022170006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120.84360146211682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159.09238556325056</v>
      </c>
      <c r="L3" s="100"/>
      <c r="M3" s="79" t="s">
        <v>385</v>
      </c>
      <c r="N3" s="92">
        <f>(F69-E69)/E69</f>
        <v>0.17496358025342046</v>
      </c>
    </row>
    <row r="4" spans="1:15" s="93" customFormat="1" x14ac:dyDescent="0.25">
      <c r="A4" s="81" t="s">
        <v>182</v>
      </c>
      <c r="B4" s="96">
        <f>SUM(G36:G40)*2</f>
        <v>88</v>
      </c>
      <c r="C4" s="101"/>
      <c r="D4" s="102">
        <f>F4*(1+F141/10)</f>
        <v>2.56</v>
      </c>
      <c r="E4" s="82">
        <f>(D4-F4)/F4</f>
        <v>0</v>
      </c>
      <c r="F4" s="103">
        <v>2.56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9.0472195679513376</v>
      </c>
    </row>
    <row r="5" spans="1:15" s="93" customFormat="1" x14ac:dyDescent="0.25">
      <c r="A5" s="81" t="s">
        <v>184</v>
      </c>
      <c r="B5" s="107">
        <f>SUM(F30:F34)*2</f>
        <v>98.61696306429549</v>
      </c>
      <c r="C5" s="87"/>
      <c r="D5" s="87"/>
      <c r="E5" s="87"/>
      <c r="F5" s="86"/>
      <c r="G5" s="88"/>
      <c r="M5" s="79" t="s">
        <v>386</v>
      </c>
      <c r="N5" s="152">
        <f>D62</f>
        <v>8.26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連2季成長</v>
      </c>
      <c r="L6" s="112"/>
      <c r="M6" s="79" t="s">
        <v>190</v>
      </c>
      <c r="N6" s="152">
        <f>A53</f>
        <v>10.043560000755024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42.81</v>
      </c>
      <c r="N9" s="129"/>
    </row>
    <row r="10" spans="1:15" s="93" customFormat="1" x14ac:dyDescent="0.25">
      <c r="A10" s="123" t="s">
        <v>194</v>
      </c>
      <c r="B10" s="126">
        <f>PERCENTILE(176:176,B9)</f>
        <v>11.612</v>
      </c>
      <c r="C10" s="126">
        <f>PERCENTILE(176:176,C9)</f>
        <v>12.304500000000001</v>
      </c>
      <c r="D10" s="126">
        <f>PERCENTILE(176:176,D9)</f>
        <v>13.715</v>
      </c>
      <c r="E10" s="126">
        <f>PERCENTILE(176:176,E9)</f>
        <v>18.056000000000001</v>
      </c>
      <c r="F10" s="126">
        <f>PERCENTILE(176:176,F9)</f>
        <v>23.916</v>
      </c>
      <c r="G10" s="95"/>
      <c r="H10" s="135"/>
      <c r="I10" s="135"/>
      <c r="J10" s="135"/>
      <c r="K10" s="135"/>
      <c r="L10" s="136" t="s">
        <v>374</v>
      </c>
      <c r="M10" s="130">
        <f>MIN(176:176)</f>
        <v>9.84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31.44</v>
      </c>
      <c r="L11" s="272" t="s">
        <v>193</v>
      </c>
      <c r="M11" s="128">
        <f>STDEV(176:176)</f>
        <v>7.8899735219675318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78.781512605042025</v>
      </c>
      <c r="C13" s="141">
        <f>$B$34/5.88%</f>
        <v>95.663265306122454</v>
      </c>
      <c r="D13" s="141">
        <f>$B$34/5%</f>
        <v>112.5</v>
      </c>
      <c r="E13" s="141">
        <f>$B$34/4.35%</f>
        <v>129.31034482758622</v>
      </c>
      <c r="F13" s="141">
        <f>$B$34/3.85%</f>
        <v>146.10389610389612</v>
      </c>
      <c r="G13" s="138" t="str">
        <f>"$"&amp;ROUND(B34,2)&amp;"/"&amp;IF(STDEV(C140:F140)/AVERAGE(C140:F140)&lt;15%,"高",IF(STDEV(C140:F140)/AVERAGE(C140:F140)&lt;30%,"中","低"))</f>
        <v>$5.63/高</v>
      </c>
      <c r="H13" s="142" t="s">
        <v>199</v>
      </c>
      <c r="I13" s="143">
        <f>MAX(0,1-J15)</f>
        <v>0.22077922077922074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84.883719999999997</v>
      </c>
      <c r="C14" s="141">
        <f>$B$33*C10</f>
        <v>89.945895000000007</v>
      </c>
      <c r="D14" s="141">
        <f>$B$33*D10</f>
        <v>100.25664999999999</v>
      </c>
      <c r="E14" s="141">
        <f>$B$33*E10</f>
        <v>131.98936</v>
      </c>
      <c r="F14" s="141">
        <f>$B$33*F10</f>
        <v>174.82595999999998</v>
      </c>
      <c r="G14" s="138" t="str">
        <f>"$"&amp;ROUND(B33,2)&amp;"/"&amp;IF(STDEV(B69:E69)/AVERAGE(B69:E69)&lt;15%,"高",IF(STDEV(B69:E69)/AVERAGE(B69:E69)&lt;30%,"中","低"))</f>
        <v>$7.31/高</v>
      </c>
      <c r="H14" s="142" t="s">
        <v>203</v>
      </c>
      <c r="I14" s="145">
        <f>G62/100*I13</f>
        <v>5.839610389610389E-2</v>
      </c>
      <c r="J14" s="76" t="s">
        <v>204</v>
      </c>
      <c r="K14" s="146"/>
      <c r="L14" s="147">
        <f>(HLOOKUP($C$1,$105:$106,2,FALSE)-HLOOKUP($C$1,$117:$127,9,FALSE))/(HLOOKUP($C$1,$117:$128,12,FALSE)/K11)</f>
        <v>14.902339867481668</v>
      </c>
      <c r="M14" s="148">
        <f>E135/E69</f>
        <v>0.68051948051948052</v>
      </c>
      <c r="N14" s="149">
        <f>F173/100</f>
        <v>1.1843000000000001</v>
      </c>
    </row>
    <row r="15" spans="1:15" s="93" customFormat="1" x14ac:dyDescent="0.25">
      <c r="A15" s="140" t="s">
        <v>375</v>
      </c>
      <c r="B15" s="141">
        <f>$D$62*B10</f>
        <v>95.915120000000002</v>
      </c>
      <c r="C15" s="141">
        <f>$D$62*C10</f>
        <v>101.63517</v>
      </c>
      <c r="D15" s="141">
        <f>$D$62*D10</f>
        <v>113.2859</v>
      </c>
      <c r="E15" s="141">
        <f>$D$62*E10</f>
        <v>149.14256</v>
      </c>
      <c r="F15" s="141">
        <f>$D$62*F10</f>
        <v>197.54615999999999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0.77922077922077926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105.05631362305094</v>
      </c>
      <c r="C16" s="141">
        <f>$F$69*C10</f>
        <v>111.32151317385724</v>
      </c>
      <c r="D16" s="141">
        <f>$F$69*D10</f>
        <v>124.0826163744526</v>
      </c>
      <c r="E16" s="141">
        <f>$F$69*E10</f>
        <v>163.35659651892936</v>
      </c>
      <c r="F16" s="141">
        <f>$F$69*F10</f>
        <v>216.37330318712421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58</v>
      </c>
      <c r="J17" s="92">
        <f ca="1">IF(I17&lt;=0,"",IF(I17&lt;=MIN($B$13:$F$16),(I17-MIN($B$13:$F$16))/MIN($B$13:$F$16),IF(I17&gt;=MAX($B$13:$F$16),I17/MAX($B$13:$F$16),PERCENTRANK($B$13:$F$16,I17))))</f>
        <v>-0.26378666666666672</v>
      </c>
      <c r="K17" s="78" t="s">
        <v>206</v>
      </c>
      <c r="L17" s="153">
        <f ca="1">VLOOKUP(_xlfn.NUMBERVALUE(N1),儀表板!A:G,6,FALSE)</f>
        <v>94.65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6.1125000000000007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1.0866666666666669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0.13498682901012202</v>
      </c>
      <c r="J20" s="171">
        <f>HLOOKUP($C$1,$117:$127,11,FALSE)/HLOOKUP($C$1,$105:$115,11,FALSE)</f>
        <v>0.19017844858493455</v>
      </c>
      <c r="K20" s="163"/>
    </row>
    <row r="21" spans="1:14" s="93" customFormat="1" x14ac:dyDescent="0.25">
      <c r="A21" s="151" t="s">
        <v>201</v>
      </c>
      <c r="B21" s="161">
        <f>AVERAGE(C173:F173)/100</f>
        <v>0.96857499999999996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13.217174999999999</v>
      </c>
      <c r="G21" s="88" t="s">
        <v>220</v>
      </c>
      <c r="H21" s="123" t="s">
        <v>221</v>
      </c>
      <c r="I21" s="162">
        <f>HLOOKUP($C$1,$105:$115,7,FALSE)/HLOOKUP($C$1,$117:$127,8,FALSE)</f>
        <v>4.5283877744985244</v>
      </c>
      <c r="J21" s="78"/>
      <c r="K21" s="164" t="s">
        <v>356</v>
      </c>
      <c r="L21" s="165">
        <f>HLOOKUP($C$1,$105:$115,7,FALSE)/HLOOKUP($C$1,$105:$115,11,FALSE)</f>
        <v>0.72730778539571717</v>
      </c>
      <c r="M21" s="123" t="s">
        <v>268</v>
      </c>
      <c r="N21" s="165">
        <f>HLOOKUP($C$1,$117:$127,8,FALSE)/HLOOKUP($C$1,$117:$127,11,FALSE)</f>
        <v>0.84452658816074355</v>
      </c>
    </row>
    <row r="22" spans="1:14" s="93" customFormat="1" x14ac:dyDescent="0.25">
      <c r="A22" s="140" t="s">
        <v>222</v>
      </c>
      <c r="B22" s="161">
        <f>(-1)*SUM(C133:F133)/SUM(C132:F132)</f>
        <v>0.12958348166607336</v>
      </c>
      <c r="C22" s="157"/>
      <c r="D22" s="166"/>
      <c r="E22" s="140"/>
      <c r="F22" s="159">
        <f>IF(B22&lt;=0,10,IF(B22&gt;=100%,0,(1-B22)*10))</f>
        <v>8.704165183339267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4.3591928867990593</v>
      </c>
      <c r="J22" s="78"/>
      <c r="K22" s="142" t="s">
        <v>357</v>
      </c>
      <c r="L22" s="165">
        <f>HLOOKUP($C$1,$105:$115,4,FALSE)/HLOOKUP($C$1,$105:$115,11,FALSE)</f>
        <v>0.23157341860247913</v>
      </c>
      <c r="M22" s="123" t="s">
        <v>353</v>
      </c>
      <c r="N22" s="165">
        <f>HLOOKUP($C$1,$117:$127,4,FALSE)/HLOOKUP($C$1,$117:$127,11,FALSE)</f>
        <v>0.29020964249881187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1.2348399449886467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2.7174518879757852E-2</v>
      </c>
      <c r="M23" s="123" t="s">
        <v>354</v>
      </c>
      <c r="N23" s="165">
        <f>IF(HLOOKUP($C$1,$117:$127,5,FALSE)="無",0,HLOOKUP($C$1,$117:$127,5,FALSE))/HLOOKUP($C$1,$117:$127,11,FALSE)</f>
        <v>0.15950784179120242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102.27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6.0509224714260318E-2</v>
      </c>
      <c r="M24" s="123" t="s">
        <v>355</v>
      </c>
      <c r="N24" s="165">
        <f>HLOOKUP($C$1,$117:$127,9,FALSE)/HLOOKUP($C$1,$117:$127,11,FALSE)</f>
        <v>0.15547341183925648</v>
      </c>
    </row>
    <row r="25" spans="1:14" s="93" customFormat="1" x14ac:dyDescent="0.25">
      <c r="A25" s="151" t="s">
        <v>366</v>
      </c>
      <c r="B25" s="255">
        <f>AVERAGE(94:94)</f>
        <v>2986.521739130435</v>
      </c>
      <c r="C25" s="254">
        <f>STDEV(94:94)/AVERAGE(94:94)</f>
        <v>0.67644304766736452</v>
      </c>
      <c r="D25" s="76" t="str">
        <f>IF(C25&lt;=1,"高",IF(C25&lt;=2,"中","低"))</f>
        <v>高</v>
      </c>
      <c r="E25" s="149"/>
      <c r="F25" s="160">
        <f>MAX(0,10-ABS(C25))</f>
        <v>9.3235569523326358</v>
      </c>
      <c r="G25" s="88" t="s">
        <v>213</v>
      </c>
      <c r="H25" s="123" t="s">
        <v>232</v>
      </c>
      <c r="I25" s="170">
        <f>IF(HLOOKUP(C1,167:170,3,FALSE)="無",0,HLOOKUP(C1,167:170,3,FALSE))</f>
        <v>26.63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92.332173913043476</v>
      </c>
      <c r="C26" s="172">
        <f>IF(COUNTIF(168:168,"&gt;0")=0,0,STDEV(168:168))</f>
        <v>15.758259582177578</v>
      </c>
      <c r="D26" s="76" t="str">
        <f>IF(C26&lt;=15,"高",IF(C26&lt;=30,"中","低"))</f>
        <v>中</v>
      </c>
      <c r="E26" s="149"/>
      <c r="F26" s="160">
        <f>IF(I24&lt;=60,4,IF(I24&lt;=90,3,IF(I24&lt;=120,2,IF(I24&lt;=150,1,0))))+IF(D26="高",6,IF(D26="中",4,2))</f>
        <v>6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46.626956521739132</v>
      </c>
      <c r="C27" s="172">
        <f>IF(COUNTIF(169:169,"&gt;0")=0,0,STDEV(169:169))</f>
        <v>16.353292255351281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0.57450000000000001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0.22762500000000002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25.93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7.31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5.625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9.3084815321477432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825355.25</v>
      </c>
      <c r="C36" s="178">
        <f>STDEV(C97:F97)</f>
        <v>108066.18524581745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57.449999999999996</v>
      </c>
      <c r="C37" s="180">
        <f>STDEV(C152:F152)</f>
        <v>2.146656314674833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26.424999999999997</v>
      </c>
      <c r="C38" s="180">
        <f>STDEV(C153:F153)</f>
        <v>1.3650518915655436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25.93</v>
      </c>
      <c r="C39" s="181">
        <f>STDEV(C165:F165)</f>
        <v>1.5105186747162926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7.31</v>
      </c>
      <c r="C40" s="183">
        <f>STDEV(B69:E69)</f>
        <v>0.83466560170326087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0.21428571428571433</v>
      </c>
      <c r="C44" s="186">
        <f>(C46-C49)/C49</f>
        <v>0.31428571428571417</v>
      </c>
      <c r="D44" s="186">
        <f>(D46-D49)/D49</f>
        <v>-0.19205298013245034</v>
      </c>
      <c r="E44" s="186">
        <f>(E46-E49)/E49</f>
        <v>-0.19363395225464192</v>
      </c>
      <c r="G44" s="86" t="s">
        <v>175</v>
      </c>
      <c r="H44" s="186">
        <f>(H47-H50)/H50</f>
        <v>8.7426326129666054E-2</v>
      </c>
      <c r="I44" s="186">
        <f>(I47-I50)/I50</f>
        <v>0.13800163800163778</v>
      </c>
      <c r="J44" s="186">
        <f>(J47-J50)/J50</f>
        <v>-3.7257824143069947E-2</v>
      </c>
      <c r="K44" s="186">
        <f>(K47-K50)/K50</f>
        <v>-8.4552369806904573E-2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1.7</v>
      </c>
      <c r="C46" s="152">
        <f>HLOOKUP(C45,$81:$82,2,FALSE)</f>
        <v>2.2999999999999998</v>
      </c>
      <c r="D46" s="152">
        <f>HLOOKUP(D45,$81:$82,2,FALSE)</f>
        <v>1.22</v>
      </c>
      <c r="E46" s="152">
        <f>HLOOKUP(E45,$81:$82,2,FALSE)</f>
        <v>3.04</v>
      </c>
      <c r="G46" s="86" t="s">
        <v>164</v>
      </c>
      <c r="H46" s="145">
        <f>HLOOKUP(H45,$145:$147,2,FALSE)/100</f>
        <v>0.57330000000000003</v>
      </c>
      <c r="I46" s="145">
        <f>HLOOKUP(I45,$145:$147,2,FALSE)/100</f>
        <v>0.54659999999999997</v>
      </c>
      <c r="J46" s="145">
        <f>HLOOKUP(J45,$145:$147,2,FALSE)/100</f>
        <v>0.56159999999999999</v>
      </c>
      <c r="K46" s="145">
        <f>HLOOKUP(K45,$145:$147,2,FALSE)/100</f>
        <v>0.55959999999999999</v>
      </c>
    </row>
    <row r="47" spans="1:14" x14ac:dyDescent="0.25">
      <c r="A47" s="188" t="s">
        <v>165</v>
      </c>
      <c r="B47" s="189">
        <f>HLOOKUP(B45,$157:$159,3,FALSE)</f>
        <v>5.55</v>
      </c>
      <c r="C47" s="189">
        <f>HLOOKUP(C45,$157:$159,3,FALSE)</f>
        <v>7.3</v>
      </c>
      <c r="D47" s="189">
        <f>HLOOKUP(D45,$157:$159,3,FALSE)</f>
        <v>3.71</v>
      </c>
      <c r="E47" s="189">
        <f>HLOOKUP(E45,$157:$159,3,FALSE)</f>
        <v>9.89</v>
      </c>
      <c r="G47" s="190" t="s">
        <v>166</v>
      </c>
      <c r="H47" s="145">
        <f>HLOOKUP(H45,$145:$147,3,FALSE)/100</f>
        <v>0.22140000000000001</v>
      </c>
      <c r="I47" s="145">
        <f>HLOOKUP(I45,$145:$147,3,FALSE)/100</f>
        <v>0.27789999999999998</v>
      </c>
      <c r="J47" s="145">
        <f>HLOOKUP(J45,$145:$147,3,FALSE)/100</f>
        <v>0.1938</v>
      </c>
      <c r="K47" s="145">
        <f>HLOOKUP(K45,$145:$147,3,FALSE)/100</f>
        <v>0.31290000000000001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1.4</v>
      </c>
      <c r="C49" s="152">
        <f>HLOOKUP(C48,$81:$82,2,FALSE)</f>
        <v>1.75</v>
      </c>
      <c r="D49" s="152">
        <f>HLOOKUP(D48,$81:$82,2,FALSE)</f>
        <v>1.51</v>
      </c>
      <c r="E49" s="152">
        <f>HLOOKUP(E48,$81:$82,2,FALSE)</f>
        <v>3.77</v>
      </c>
      <c r="G49" s="86" t="s">
        <v>164</v>
      </c>
      <c r="H49" s="145">
        <f>HLOOKUP(H48,$145:$147,2,FALSE)/100</f>
        <v>0.54559999999999997</v>
      </c>
      <c r="I49" s="145">
        <f>HLOOKUP(I48,$145:$147,2,FALSE)/100</f>
        <v>0.54280000000000006</v>
      </c>
      <c r="J49" s="145">
        <f>HLOOKUP(J48,$145:$147,2,FALSE)/100</f>
        <v>0.5242</v>
      </c>
      <c r="K49" s="145">
        <f>HLOOKUP(K48,$145:$147,2,FALSE)/100</f>
        <v>0.57240000000000002</v>
      </c>
    </row>
    <row r="50" spans="1:15" x14ac:dyDescent="0.25">
      <c r="A50" s="188" t="s">
        <v>165</v>
      </c>
      <c r="B50" s="189">
        <f>HLOOKUP(B48,$157:$159,3,FALSE)</f>
        <v>4.91</v>
      </c>
      <c r="C50" s="189">
        <f>HLOOKUP(C48,$157:$159,3,FALSE)</f>
        <v>5.81</v>
      </c>
      <c r="D50" s="189">
        <f>HLOOKUP(D48,$157:$159,3,FALSE)</f>
        <v>4.79</v>
      </c>
      <c r="E50" s="189">
        <f>HLOOKUP(E48,$157:$159,3,FALSE)</f>
        <v>13.06</v>
      </c>
      <c r="G50" s="190" t="s">
        <v>166</v>
      </c>
      <c r="H50" s="145">
        <f>HLOOKUP(H48,$145:$147,3,FALSE)/100</f>
        <v>0.2036</v>
      </c>
      <c r="I50" s="145">
        <f>HLOOKUP(I48,$145:$147,3,FALSE)/100</f>
        <v>0.24420000000000003</v>
      </c>
      <c r="J50" s="145">
        <f>HLOOKUP(J48,$145:$147,3,FALSE)/100</f>
        <v>0.20129999999999998</v>
      </c>
      <c r="K50" s="145">
        <f>HLOOKUP(K48,$145:$147,3,FALSE)/100</f>
        <v>0.34179999999999999</v>
      </c>
    </row>
    <row r="51" spans="1:15" x14ac:dyDescent="0.25">
      <c r="A51" s="86" t="s">
        <v>351</v>
      </c>
      <c r="B51" s="186">
        <f>(B47-B50)/B50</f>
        <v>0.130346232179226</v>
      </c>
      <c r="C51" s="186">
        <f>(C47-C50)/C50</f>
        <v>0.25645438898450951</v>
      </c>
      <c r="D51" s="186">
        <f>(D47-D50)/D50</f>
        <v>-0.22546972860125261</v>
      </c>
      <c r="E51" s="186">
        <f>(E47-E50)/E50</f>
        <v>-0.24272588055130168</v>
      </c>
      <c r="G51" s="235" t="s">
        <v>174</v>
      </c>
      <c r="H51" s="186">
        <f>(H46-H49)/H49</f>
        <v>5.0769794721407732E-2</v>
      </c>
      <c r="I51" s="186">
        <f>(I46-I49)/I49</f>
        <v>7.0007369196755974E-3</v>
      </c>
      <c r="J51" s="186">
        <f>(J46-J49)/J49</f>
        <v>7.1346814193056066E-2</v>
      </c>
      <c r="K51" s="186">
        <f>(K46-K49)/K49</f>
        <v>-2.2361984626135627E-2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10.043560000755024</v>
      </c>
      <c r="B53" s="193">
        <f>B46</f>
        <v>1.7</v>
      </c>
      <c r="C53" s="193">
        <f>E46/HLOOKUP(E45,$87:$94,5,FALSE)*HLOOKUP(E45,$87:$94,4,FALSE)*($B$25/HLOOKUP(E45,$87:$94,4,FALSE)+SUM($B$57:$D$57)/SUM($B58:$D$58)*$G$69/100/K46)</f>
        <v>3.8272195679513383</v>
      </c>
      <c r="D53" s="193">
        <f>D46/HLOOKUP(D45,$87:$94,5,FALSE)*HLOOKUP(D45,$87:$94,4,FALSE)*($B$25/HLOOKUP(D45,$87:$94,4,FALSE)+SUM($B$57:$D$57)/SUM($B58:$D$58)*$G$69/100/J46)</f>
        <v>1.5109676531952396</v>
      </c>
      <c r="E53" s="193">
        <f>C46/HLOOKUP(C45,$87:$94,5,FALSE)*HLOOKUP(C45,$87:$94,4,FALSE)*($B$25/HLOOKUP(C45,$87:$94,4,FALSE)+SUM($B$57:$D$57)/SUM($B58:$D$58)*$G$69/100/I46)</f>
        <v>3.0053727796084471</v>
      </c>
    </row>
    <row r="54" spans="1:15" x14ac:dyDescent="0.25">
      <c r="A54" s="278">
        <f>SUM(B54:E54)</f>
        <v>7.9599999999999991</v>
      </c>
      <c r="B54" s="277">
        <f t="shared" ref="B54:D54" si="0">HLOOKUP(B52-10,81:82,2,FALSE)</f>
        <v>1.4</v>
      </c>
      <c r="C54" s="277">
        <f t="shared" si="0"/>
        <v>3.04</v>
      </c>
      <c r="D54" s="277">
        <f t="shared" si="0"/>
        <v>1.22</v>
      </c>
      <c r="E54" s="277">
        <f>HLOOKUP(E52-10,81:82,2,FALSE)</f>
        <v>2.2999999999999998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201801</v>
      </c>
      <c r="C56" s="194">
        <f>IF(B56-ROUNDDOWN(B56/100,0)*100-1=0,(ROUNDDOWN(B56/100,0)-1)*100+12,B56-1)</f>
        <v>201712</v>
      </c>
      <c r="D56" s="194">
        <f>IF(C56-ROUNDDOWN(C56/100,0)*100-1=0,(ROUNDDOWN(C56/100,0)-1)*100+12,C56-1)</f>
        <v>201711</v>
      </c>
      <c r="E56" s="194">
        <f>IF(D56-ROUNDDOWN(D56/100,0)*100-1=0,(ROUNDDOWN(D56/100,0)-1)*100+12,D56-1)</f>
        <v>201710</v>
      </c>
      <c r="F56" s="194">
        <f>IF(E56-ROUNDDOWN(E56/100,0)*100-1=0,(ROUNDDOWN(E56/100,0)-1)*100+12,E56-1)</f>
        <v>201709</v>
      </c>
      <c r="G56" s="194">
        <f t="shared" ref="G56:M56" si="1">IF(F56-ROUNDDOWN(F56/100,0)*100-1=0,(ROUNDDOWN(F56/100,0)-1)*100+12,F56-1)</f>
        <v>201708</v>
      </c>
      <c r="H56" s="194">
        <f t="shared" si="1"/>
        <v>201707</v>
      </c>
      <c r="I56" s="194">
        <f t="shared" si="1"/>
        <v>201706</v>
      </c>
      <c r="J56" s="194">
        <f t="shared" si="1"/>
        <v>201705</v>
      </c>
      <c r="K56" s="194">
        <f t="shared" si="1"/>
        <v>201704</v>
      </c>
      <c r="L56" s="194">
        <f t="shared" si="1"/>
        <v>201703</v>
      </c>
      <c r="M56" s="194">
        <f t="shared" si="1"/>
        <v>201702</v>
      </c>
      <c r="N56" s="138"/>
    </row>
    <row r="57" spans="1:15" x14ac:dyDescent="0.25">
      <c r="A57" s="195" t="s">
        <v>252</v>
      </c>
      <c r="B57" s="196">
        <f>HLOOKUP(B56,78:79,2,FALSE)</f>
        <v>93119</v>
      </c>
      <c r="C57" s="196">
        <f>HLOOKUP(C56,78:79,2,FALSE)</f>
        <v>179445</v>
      </c>
      <c r="D57" s="196">
        <f>HLOOKUP(D56,78:79,2,FALSE)</f>
        <v>80496</v>
      </c>
      <c r="E57" s="196">
        <f>HLOOKUP(E56,78:79,2,FALSE)</f>
        <v>76578</v>
      </c>
      <c r="F57" s="196">
        <f>HLOOKUP(F56,78:79,2,FALSE)</f>
        <v>73746</v>
      </c>
      <c r="G57" s="196">
        <f t="shared" ref="G57:M57" si="2">HLOOKUP(G56,78:79,2,FALSE)</f>
        <v>73216</v>
      </c>
      <c r="H57" s="196">
        <f t="shared" si="2"/>
        <v>65603</v>
      </c>
      <c r="I57" s="196">
        <f t="shared" si="2"/>
        <v>112901</v>
      </c>
      <c r="J57" s="196">
        <f t="shared" si="2"/>
        <v>76189</v>
      </c>
      <c r="K57" s="196">
        <f t="shared" si="2"/>
        <v>76520</v>
      </c>
      <c r="L57" s="196">
        <f t="shared" si="2"/>
        <v>79026</v>
      </c>
      <c r="M57" s="196">
        <f t="shared" si="2"/>
        <v>60290</v>
      </c>
      <c r="N57" s="197"/>
    </row>
    <row r="58" spans="1:15" x14ac:dyDescent="0.25">
      <c r="A58" s="198" t="s">
        <v>253</v>
      </c>
      <c r="B58" s="196">
        <f>HLOOKUP(B56-100,78:79,2,FALSE)</f>
        <v>39049</v>
      </c>
      <c r="C58" s="196">
        <f>HLOOKUP(C56-100,78:79,2,FALSE)</f>
        <v>148807</v>
      </c>
      <c r="D58" s="196">
        <f>HLOOKUP(D56-100,78:79,2,FALSE)</f>
        <v>79636</v>
      </c>
      <c r="E58" s="196">
        <f>HLOOKUP(E56-100,78:79,2,FALSE)</f>
        <v>66562</v>
      </c>
      <c r="F58" s="196">
        <f>HLOOKUP(F56-100,78:79,2,FALSE)</f>
        <v>60046</v>
      </c>
      <c r="G58" s="196">
        <f t="shared" ref="G58:M58" si="3">HLOOKUP(G56-100,78:79,2,FALSE)</f>
        <v>64668</v>
      </c>
      <c r="H58" s="196">
        <f t="shared" si="3"/>
        <v>75506</v>
      </c>
      <c r="I58" s="196">
        <f t="shared" si="3"/>
        <v>75982</v>
      </c>
      <c r="J58" s="196">
        <f t="shared" si="3"/>
        <v>82734</v>
      </c>
      <c r="K58" s="196">
        <f t="shared" si="3"/>
        <v>59887</v>
      </c>
      <c r="L58" s="196">
        <f t="shared" si="3"/>
        <v>89205</v>
      </c>
      <c r="M58" s="196">
        <f t="shared" si="3"/>
        <v>50445</v>
      </c>
      <c r="N58" s="197"/>
    </row>
    <row r="59" spans="1:15" x14ac:dyDescent="0.25">
      <c r="A59" s="199" t="s">
        <v>254</v>
      </c>
      <c r="B59" s="165">
        <f>IF(B57&lt;&gt;"",(B57-B58)/B58,"")</f>
        <v>1.3846705421393635</v>
      </c>
      <c r="C59" s="165">
        <f>IF(C57&lt;&gt;"",(C57-C58)/C58,"")</f>
        <v>0.20589085190884837</v>
      </c>
      <c r="D59" s="165">
        <f>IF(D57&lt;&gt;"",(D57-D58)/D58,"")</f>
        <v>1.079913606911447E-2</v>
      </c>
      <c r="E59" s="165">
        <f>IF(E57&lt;&gt;"",(E57-E58)/E58,"")</f>
        <v>0.15047624770890297</v>
      </c>
      <c r="F59" s="165">
        <f>IF(F57&lt;&gt;"",(F57-F58)/F58,"")</f>
        <v>0.22815841188422209</v>
      </c>
      <c r="G59" s="165">
        <f t="shared" ref="G59:M59" si="4">IF(G57&lt;&gt;"",(G57-G58)/G58,"")</f>
        <v>0.13218284159089502</v>
      </c>
      <c r="H59" s="165">
        <f t="shared" si="4"/>
        <v>-0.13115513998887507</v>
      </c>
      <c r="I59" s="165">
        <f t="shared" si="4"/>
        <v>0.48589139533047299</v>
      </c>
      <c r="J59" s="165">
        <f t="shared" si="4"/>
        <v>-7.9108951579761652E-2</v>
      </c>
      <c r="K59" s="165">
        <f t="shared" si="4"/>
        <v>0.27773974318299466</v>
      </c>
      <c r="L59" s="165">
        <f t="shared" si="4"/>
        <v>-0.1141079535900454</v>
      </c>
      <c r="M59" s="165">
        <f t="shared" si="4"/>
        <v>0.19516304886510061</v>
      </c>
    </row>
    <row r="60" spans="1:15" x14ac:dyDescent="0.25">
      <c r="A60" s="195" t="s">
        <v>255</v>
      </c>
      <c r="B60" s="196">
        <f>SUM(B57:M57)</f>
        <v>1047129</v>
      </c>
    </row>
    <row r="61" spans="1:15" x14ac:dyDescent="0.25">
      <c r="A61" s="198" t="s">
        <v>256</v>
      </c>
      <c r="B61" s="196">
        <f>SUM(B58:M58)</f>
        <v>892527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1.1732182891946126</v>
      </c>
      <c r="D62" s="152">
        <f>SUM(B46:E46)</f>
        <v>8.26</v>
      </c>
      <c r="E62" s="152">
        <f>SUM(B49:E49)</f>
        <v>8.43</v>
      </c>
      <c r="G62" s="126">
        <f>SUM(B47:E47)</f>
        <v>26.45</v>
      </c>
      <c r="H62" s="126">
        <f>SUM(B50:E50)</f>
        <v>28.57</v>
      </c>
      <c r="J62" s="200">
        <f>AVERAGE(H46:K46)</f>
        <v>0.56027499999999997</v>
      </c>
      <c r="K62" s="200">
        <f>AVERAGE(H49:K49)</f>
        <v>0.54625000000000001</v>
      </c>
      <c r="M62" s="200">
        <f>AVERAGE(H47:K47)</f>
        <v>0.2515</v>
      </c>
      <c r="N62" s="200">
        <f>AVERAGE(H50:K50)</f>
        <v>0.247725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2" x14ac:dyDescent="0.25">
      <c r="A65" s="204">
        <v>1</v>
      </c>
      <c r="B65" s="205">
        <f t="shared" ref="B65:E67" si="5">HLOOKUP(B$64*10+$A65,$81:$82,2,FALSE)</f>
        <v>0.93</v>
      </c>
      <c r="C65" s="205">
        <f t="shared" si="5"/>
        <v>1.39</v>
      </c>
      <c r="D65" s="205">
        <f t="shared" si="5"/>
        <v>1.42</v>
      </c>
      <c r="E65" s="205">
        <f t="shared" si="5"/>
        <v>1.51</v>
      </c>
      <c r="F65" s="206">
        <f>IF(ISNA(HLOOKUP(F$64*10+$A65,$81:$82,2,FALSE)),(HLOOKUP(E$64*10+$A65,$87:$94,4,FALSE)*$G65+$B$25)/HLOOKUP(E$64*10+$A65,$87:$94,5,FALSE)*$E65,HLOOKUP(F$64*10+$A65,$81:$82,2,FALSE))</f>
        <v>1.22</v>
      </c>
      <c r="G65" s="101">
        <f>MIN(130%,SUM($B$57:$D$57)/SUM($B$58:$D$58)*$G$69/HLOOKUP(E$64*10+$A65,$145:$146,2,FALSE))</f>
        <v>1.3</v>
      </c>
      <c r="H65" s="204">
        <v>1</v>
      </c>
      <c r="I65" s="208">
        <f t="shared" ref="I65:M68" si="6">IF(ISNA(HLOOKUP(I$64*10+$H65,$145:$147,3,FALSE)),"",HLOOKUP(I$64*10+$H65,$145:$147,3,FALSE)/100)</f>
        <v>0.19739999999999999</v>
      </c>
      <c r="J65" s="208">
        <f t="shared" si="6"/>
        <v>0.24309999999999998</v>
      </c>
      <c r="K65" s="208">
        <f t="shared" si="6"/>
        <v>0.22409999999999999</v>
      </c>
      <c r="L65" s="208">
        <f t="shared" si="6"/>
        <v>0.20129999999999998</v>
      </c>
      <c r="M65" s="209">
        <f t="shared" si="6"/>
        <v>0.1938</v>
      </c>
      <c r="N65" s="256">
        <f t="shared" ref="N65:O68" si="7">HLOOKUP(E$64*10+$A65,$87:$94,8,FALSE)</f>
        <v>3387</v>
      </c>
      <c r="O65" s="256">
        <f t="shared" si="7"/>
        <v>3051</v>
      </c>
      <c r="P65" s="210"/>
    </row>
    <row r="66" spans="1:72" x14ac:dyDescent="0.25">
      <c r="A66" s="204">
        <v>2</v>
      </c>
      <c r="B66" s="205">
        <f t="shared" si="5"/>
        <v>1.82</v>
      </c>
      <c r="C66" s="205">
        <f t="shared" si="5"/>
        <v>1.7</v>
      </c>
      <c r="D66" s="205">
        <f t="shared" si="5"/>
        <v>1.94</v>
      </c>
      <c r="E66" s="205">
        <f t="shared" si="5"/>
        <v>1.75</v>
      </c>
      <c r="F66" s="206">
        <f>IF(ISNA(HLOOKUP(F$64*10+$A66,$81:$82,2,FALSE)),(HLOOKUP(E$64*10+$A66,$87:$94,4,FALSE)*$G66+$B$25)/HLOOKUP(E$64*10+$A66,$87:$94,5,FALSE)*$E66,HLOOKUP(F$64*10+$A66,$81:$82,2,FALSE))</f>
        <v>2.2999999999999998</v>
      </c>
      <c r="G66" s="101">
        <f>MIN(130%,SUM($B$57:$D$57)/SUM($B$58:$D$58)*$G$69/HLOOKUP(E$64*10+$A66,$145:$146,2,FALSE))</f>
        <v>1.3</v>
      </c>
      <c r="H66" s="204">
        <v>2</v>
      </c>
      <c r="I66" s="208">
        <f t="shared" si="6"/>
        <v>0.2959</v>
      </c>
      <c r="J66" s="208">
        <f t="shared" si="6"/>
        <v>0.27729999999999999</v>
      </c>
      <c r="K66" s="208">
        <f t="shared" si="6"/>
        <v>0.28070000000000001</v>
      </c>
      <c r="L66" s="208">
        <f t="shared" si="6"/>
        <v>0.24420000000000003</v>
      </c>
      <c r="M66" s="209">
        <f t="shared" si="6"/>
        <v>0.27789999999999998</v>
      </c>
      <c r="N66" s="256">
        <f t="shared" si="7"/>
        <v>4986</v>
      </c>
      <c r="O66" s="256">
        <f t="shared" si="7"/>
        <v>1684</v>
      </c>
      <c r="P66" s="210"/>
    </row>
    <row r="67" spans="1:72" x14ac:dyDescent="0.25">
      <c r="A67" s="204">
        <v>3</v>
      </c>
      <c r="B67" s="205">
        <f t="shared" si="5"/>
        <v>1.32</v>
      </c>
      <c r="C67" s="205">
        <f t="shared" si="5"/>
        <v>1.89</v>
      </c>
      <c r="D67" s="205">
        <f t="shared" si="5"/>
        <v>0.99</v>
      </c>
      <c r="E67" s="205">
        <f t="shared" si="5"/>
        <v>1.4</v>
      </c>
      <c r="F67" s="206">
        <f>IF(ISNA(HLOOKUP(F$64*10+$A67,$81:$82,2,FALSE)),(HLOOKUP(E$64*10+$A67,$87:$94,4,FALSE)*$G67+$B$25)/HLOOKUP(E$64*10+$A67,$87:$94,5,FALSE)*$E67,HLOOKUP(F$64*10+$A67,$81:$82,2,FALSE))</f>
        <v>1.7</v>
      </c>
      <c r="G67" s="101">
        <f>MIN(130%,SUM($B$57:$D$57)/SUM($B$58:$D$58)*$G$69/HLOOKUP(E$64*10+$A67,$145:$146,2,FALSE))</f>
        <v>1.2984036004846207</v>
      </c>
      <c r="H67" s="204">
        <v>3</v>
      </c>
      <c r="I67" s="208">
        <f t="shared" si="6"/>
        <v>0.23710000000000001</v>
      </c>
      <c r="J67" s="208">
        <f t="shared" si="6"/>
        <v>0.27879999999999999</v>
      </c>
      <c r="K67" s="208">
        <f t="shared" si="6"/>
        <v>0.19329999999999997</v>
      </c>
      <c r="L67" s="208">
        <f t="shared" si="6"/>
        <v>0.2036</v>
      </c>
      <c r="M67" s="209">
        <f t="shared" si="6"/>
        <v>0.22140000000000001</v>
      </c>
      <c r="N67" s="256">
        <f t="shared" si="7"/>
        <v>2990</v>
      </c>
      <c r="O67" s="256">
        <f t="shared" si="7"/>
        <v>5281</v>
      </c>
      <c r="P67" s="210"/>
    </row>
    <row r="68" spans="1:72" x14ac:dyDescent="0.25">
      <c r="A68" s="204">
        <v>4</v>
      </c>
      <c r="B68" s="205">
        <f>HLOOKUP(B$64*10+$A68,$81:$82,2,FALSE)</f>
        <v>2.11</v>
      </c>
      <c r="C68" s="205">
        <f>HLOOKUP(C$64*10+$A68,$81:$82,2,FALSE)</f>
        <v>2.2599999999999998</v>
      </c>
      <c r="D68" s="205">
        <f>HLOOKUP(D$64*10+$A68,$81:$82,2,FALSE)</f>
        <v>3.77</v>
      </c>
      <c r="E68" s="206">
        <f>IF(ISNA(HLOOKUP(E$64*10+$A68,$81:$82,2,FALSE)),D68*(1-$N68)*#REF!*(1+$B$25)/(1+$E$4),HLOOKUP(E$64*10+$A68,$81:$82,2,FALSE))</f>
        <v>3.04</v>
      </c>
      <c r="F68" s="206">
        <f>IF(ISNA(HLOOKUP(F$64*10+$A68,$81:$82,2,FALSE)),(HLOOKUP(E$64*10+$A68,$87:$94,4,FALSE)*$G68+$B$25)/HLOOKUP(E$64*10+$A68,$87:$94,5,FALSE)*$E68,HLOOKUP(F$64*10+$A68,$81:$82,2,FALSE))</f>
        <v>3.8272195679513374</v>
      </c>
      <c r="G68" s="101">
        <f>MIN(130%,SUM($B$57:$D$57)/SUM($B$58:$D$58)*$G$69/HLOOKUP(E$64*10+$A68,$145:$146,2,FALSE))</f>
        <v>1.2659203081208168</v>
      </c>
      <c r="H68" s="204">
        <v>4</v>
      </c>
      <c r="I68" s="208">
        <f t="shared" si="6"/>
        <v>0.28029999999999999</v>
      </c>
      <c r="J68" s="208">
        <f t="shared" si="6"/>
        <v>0.29609999999999997</v>
      </c>
      <c r="K68" s="208">
        <f t="shared" si="6"/>
        <v>0.34179999999999999</v>
      </c>
      <c r="L68" s="208">
        <f t="shared" si="6"/>
        <v>0.31290000000000001</v>
      </c>
      <c r="M68" s="209" t="str">
        <f t="shared" si="6"/>
        <v/>
      </c>
      <c r="N68" s="256">
        <f t="shared" si="7"/>
        <v>2879</v>
      </c>
      <c r="O68" s="256" t="e">
        <f t="shared" si="7"/>
        <v>#N/A</v>
      </c>
    </row>
    <row r="69" spans="1:72" x14ac:dyDescent="0.25">
      <c r="A69" s="212" t="s">
        <v>162</v>
      </c>
      <c r="B69" s="213">
        <f>SUM(B65:B68)</f>
        <v>6.18</v>
      </c>
      <c r="C69" s="213">
        <f>SUM(C65:C68)</f>
        <v>7.2399999999999993</v>
      </c>
      <c r="D69" s="213">
        <f>SUM(D65:D68)</f>
        <v>8.1199999999999992</v>
      </c>
      <c r="E69" s="213">
        <f>SUM(E65:E68)</f>
        <v>7.7</v>
      </c>
      <c r="F69" s="213">
        <f>SUM(F65:F68)</f>
        <v>9.0472195679513376</v>
      </c>
      <c r="G69" s="257">
        <f>_xlfn.FORECAST.ETS(23,B146:W146,{1,2,3,4,5,6,7,8,9,10,11,12,13,14,15,16,17,18,19,20,21,22})</f>
        <v>53.671823885881729</v>
      </c>
      <c r="H69" s="214" t="s">
        <v>19</v>
      </c>
      <c r="I69" s="215">
        <f>HLOOKUP(I64,151:155,3,FALSE)/100</f>
        <v>0.25929999999999997</v>
      </c>
      <c r="J69" s="215">
        <f>HLOOKUP(J64,151:155,3,FALSE)/100</f>
        <v>0.2762</v>
      </c>
      <c r="K69" s="215">
        <f>HLOOKUP(K64,151:155,3,FALSE)/100</f>
        <v>0.27429999999999999</v>
      </c>
      <c r="L69" s="215">
        <f>IF(ISNA(HLOOKUP(L64,151:155,3,FALSE)/100),AVERAGE(L65:L68),HLOOKUP(L64,151:155,3,FALSE)/100)</f>
        <v>0.24719999999999998</v>
      </c>
      <c r="M69" s="215"/>
      <c r="N69" s="216"/>
    </row>
    <row r="70" spans="1:72" s="135" customFormat="1" x14ac:dyDescent="0.25">
      <c r="A70" s="217"/>
      <c r="B70" s="218"/>
      <c r="C70" s="218"/>
      <c r="D70" s="218"/>
      <c r="E70" s="218"/>
      <c r="F70" s="218"/>
    </row>
    <row r="71" spans="1:72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2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3.84</v>
      </c>
      <c r="C72" s="205">
        <f t="shared" si="8"/>
        <v>5.24</v>
      </c>
      <c r="D72" s="205">
        <f t="shared" si="8"/>
        <v>4.91</v>
      </c>
      <c r="E72" s="205">
        <f t="shared" si="8"/>
        <v>4.79</v>
      </c>
      <c r="F72" s="205">
        <f t="shared" si="8"/>
        <v>3.71</v>
      </c>
    </row>
    <row r="73" spans="1:72" s="135" customFormat="1" x14ac:dyDescent="0.25">
      <c r="A73" s="204">
        <v>2</v>
      </c>
      <c r="B73" s="205">
        <f t="shared" si="8"/>
        <v>7.78</v>
      </c>
      <c r="C73" s="205">
        <f t="shared" si="8"/>
        <v>6.67</v>
      </c>
      <c r="D73" s="205">
        <f t="shared" si="8"/>
        <v>7</v>
      </c>
      <c r="E73" s="205">
        <f t="shared" si="8"/>
        <v>5.81</v>
      </c>
      <c r="F73" s="205">
        <f t="shared" si="8"/>
        <v>7.3</v>
      </c>
    </row>
    <row r="74" spans="1:72" s="135" customFormat="1" x14ac:dyDescent="0.25">
      <c r="A74" s="204">
        <v>3</v>
      </c>
      <c r="B74" s="205">
        <f t="shared" si="8"/>
        <v>5.73</v>
      </c>
      <c r="C74" s="205">
        <f t="shared" si="8"/>
        <v>7.62</v>
      </c>
      <c r="D74" s="205">
        <f t="shared" si="8"/>
        <v>3.74</v>
      </c>
      <c r="E74" s="205">
        <f t="shared" si="8"/>
        <v>4.91</v>
      </c>
      <c r="F74" s="205">
        <f t="shared" si="8"/>
        <v>5.55</v>
      </c>
    </row>
    <row r="75" spans="1:72" s="135" customFormat="1" x14ac:dyDescent="0.25">
      <c r="A75" s="204">
        <v>4</v>
      </c>
      <c r="B75" s="205">
        <f t="shared" si="8"/>
        <v>8.5299999999999994</v>
      </c>
      <c r="C75" s="205">
        <f t="shared" si="8"/>
        <v>8.3699999999999992</v>
      </c>
      <c r="D75" s="205">
        <f t="shared" si="8"/>
        <v>13.06</v>
      </c>
      <c r="E75" s="205">
        <f t="shared" si="8"/>
        <v>9.89</v>
      </c>
      <c r="F75" s="205" t="str">
        <f t="shared" si="8"/>
        <v/>
      </c>
    </row>
    <row r="76" spans="1:72" s="135" customFormat="1" x14ac:dyDescent="0.25">
      <c r="A76" s="212" t="s">
        <v>165</v>
      </c>
      <c r="B76" s="213">
        <f>SUM(B72:B75)</f>
        <v>25.880000000000003</v>
      </c>
      <c r="C76" s="213">
        <f>SUM(C72:C75)</f>
        <v>27.9</v>
      </c>
      <c r="D76" s="213">
        <f>SUM(D72:D75)</f>
        <v>28.71</v>
      </c>
      <c r="E76" s="213">
        <f>AVERAGE(E72:E75)*4</f>
        <v>25.4</v>
      </c>
      <c r="F76" s="213"/>
    </row>
    <row r="77" spans="1:72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2" s="135" customFormat="1" ht="14.25" thickBot="1" x14ac:dyDescent="0.3">
      <c r="A78" s="217"/>
      <c r="B78" s="69">
        <v>201301</v>
      </c>
      <c r="C78" s="70">
        <v>201302</v>
      </c>
      <c r="D78" s="70">
        <v>201303</v>
      </c>
      <c r="E78" s="70">
        <v>201304</v>
      </c>
      <c r="F78" s="70">
        <v>201305</v>
      </c>
      <c r="G78" s="70">
        <v>201306</v>
      </c>
      <c r="H78" s="70">
        <v>201307</v>
      </c>
      <c r="I78" s="70">
        <v>201308</v>
      </c>
      <c r="J78" s="70">
        <v>201309</v>
      </c>
      <c r="K78" s="70">
        <v>201310</v>
      </c>
      <c r="L78" s="70">
        <v>201311</v>
      </c>
      <c r="M78" s="70">
        <v>201312</v>
      </c>
      <c r="N78" s="70">
        <v>201401</v>
      </c>
      <c r="O78" s="70">
        <v>201402</v>
      </c>
      <c r="P78" s="70">
        <v>201403</v>
      </c>
      <c r="Q78" s="70">
        <v>201404</v>
      </c>
      <c r="R78" s="70">
        <v>201405</v>
      </c>
      <c r="S78" s="70">
        <v>201406</v>
      </c>
      <c r="T78" s="70">
        <v>201407</v>
      </c>
      <c r="U78" s="70">
        <v>201408</v>
      </c>
      <c r="V78" s="70">
        <v>201409</v>
      </c>
      <c r="W78" s="70">
        <v>201410</v>
      </c>
      <c r="X78" s="70">
        <v>201411</v>
      </c>
      <c r="Y78" s="70">
        <v>201412</v>
      </c>
      <c r="Z78" s="70">
        <v>201501</v>
      </c>
      <c r="AA78" s="70">
        <v>201502</v>
      </c>
      <c r="AB78" s="70">
        <v>201503</v>
      </c>
      <c r="AC78" s="70">
        <v>201504</v>
      </c>
      <c r="AD78" s="70">
        <v>201505</v>
      </c>
      <c r="AE78" s="70">
        <v>201506</v>
      </c>
      <c r="AF78" s="70">
        <v>201507</v>
      </c>
      <c r="AG78" s="70">
        <v>201508</v>
      </c>
      <c r="AH78" s="70">
        <v>201509</v>
      </c>
      <c r="AI78" s="70">
        <v>201510</v>
      </c>
      <c r="AJ78" s="70">
        <v>201511</v>
      </c>
      <c r="AK78" s="70">
        <v>201512</v>
      </c>
      <c r="AL78" s="70">
        <v>201601</v>
      </c>
      <c r="AM78" s="70">
        <v>201602</v>
      </c>
      <c r="AN78" s="70">
        <v>201603</v>
      </c>
      <c r="AO78" s="70">
        <v>201604</v>
      </c>
      <c r="AP78" s="70">
        <v>201605</v>
      </c>
      <c r="AQ78" s="70">
        <v>201606</v>
      </c>
      <c r="AR78" s="70">
        <v>201607</v>
      </c>
      <c r="AS78" s="70">
        <v>201608</v>
      </c>
      <c r="AT78" s="70">
        <v>201609</v>
      </c>
      <c r="AU78" s="70">
        <v>201610</v>
      </c>
      <c r="AV78" s="70">
        <v>201611</v>
      </c>
      <c r="AW78" s="70">
        <v>201612</v>
      </c>
      <c r="AX78" s="70">
        <v>201701</v>
      </c>
      <c r="AY78" s="70">
        <v>201702</v>
      </c>
      <c r="AZ78" s="70">
        <v>201703</v>
      </c>
      <c r="BA78" s="70">
        <v>201704</v>
      </c>
      <c r="BB78" s="70">
        <v>201705</v>
      </c>
      <c r="BC78" s="70">
        <v>201706</v>
      </c>
      <c r="BD78" s="70">
        <v>201707</v>
      </c>
      <c r="BE78" s="70">
        <v>201708</v>
      </c>
      <c r="BF78" s="70">
        <v>201709</v>
      </c>
      <c r="BG78" s="70">
        <v>201710</v>
      </c>
      <c r="BH78" s="70">
        <v>201711</v>
      </c>
      <c r="BI78" s="70">
        <v>201712</v>
      </c>
      <c r="BJ78" s="71">
        <v>201801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0">
        <v>201710</v>
      </c>
      <c r="BT78" s="71">
        <v>201711</v>
      </c>
    </row>
    <row r="79" spans="1:72" ht="14.25" thickBot="1" x14ac:dyDescent="0.3">
      <c r="A79" s="222" t="s">
        <v>9</v>
      </c>
      <c r="B79" s="270">
        <v>48264</v>
      </c>
      <c r="C79" s="270">
        <v>37393</v>
      </c>
      <c r="D79" s="270">
        <v>41562</v>
      </c>
      <c r="E79" s="270">
        <v>52748</v>
      </c>
      <c r="F79" s="270">
        <v>62228</v>
      </c>
      <c r="G79" s="270">
        <v>75518</v>
      </c>
      <c r="H79" s="270">
        <v>56948</v>
      </c>
      <c r="I79" s="270">
        <v>52168</v>
      </c>
      <c r="J79" s="270">
        <v>48646</v>
      </c>
      <c r="K79" s="270">
        <v>61297</v>
      </c>
      <c r="L79" s="270">
        <v>75082</v>
      </c>
      <c r="M79" s="270">
        <v>78196</v>
      </c>
      <c r="N79" s="270">
        <v>49916</v>
      </c>
      <c r="O79" s="270">
        <v>42349</v>
      </c>
      <c r="P79" s="270">
        <v>67515</v>
      </c>
      <c r="Q79" s="270">
        <v>71631</v>
      </c>
      <c r="R79" s="270">
        <v>59834</v>
      </c>
      <c r="S79" s="270">
        <v>59959</v>
      </c>
      <c r="T79" s="270">
        <v>74731</v>
      </c>
      <c r="U79" s="270">
        <v>56027</v>
      </c>
      <c r="V79" s="270">
        <v>75355</v>
      </c>
      <c r="W79" s="270">
        <v>61465</v>
      </c>
      <c r="X79" s="270">
        <v>71825</v>
      </c>
      <c r="Y79" s="270">
        <v>98041</v>
      </c>
      <c r="Z79" s="270">
        <v>64296</v>
      </c>
      <c r="AA79" s="270">
        <v>48949</v>
      </c>
      <c r="AB79" s="270">
        <v>70215</v>
      </c>
      <c r="AC79" s="270">
        <v>68808</v>
      </c>
      <c r="AD79" s="270">
        <v>73030</v>
      </c>
      <c r="AE79" s="270">
        <v>67272</v>
      </c>
      <c r="AF79" s="270">
        <v>56863</v>
      </c>
      <c r="AG79" s="270">
        <v>60514</v>
      </c>
      <c r="AH79" s="270">
        <v>56926</v>
      </c>
      <c r="AI79" s="270">
        <v>84518</v>
      </c>
      <c r="AJ79" s="270">
        <v>91239</v>
      </c>
      <c r="AK79" s="270">
        <v>150928</v>
      </c>
      <c r="AL79" s="270">
        <v>74541</v>
      </c>
      <c r="AM79" s="270">
        <v>50445</v>
      </c>
      <c r="AN79" s="270">
        <v>89205</v>
      </c>
      <c r="AO79" s="270">
        <v>59887</v>
      </c>
      <c r="AP79" s="270">
        <v>82734</v>
      </c>
      <c r="AQ79" s="270">
        <v>75982</v>
      </c>
      <c r="AR79" s="270">
        <v>75506</v>
      </c>
      <c r="AS79" s="270">
        <v>64668</v>
      </c>
      <c r="AT79" s="270">
        <v>60046</v>
      </c>
      <c r="AU79" s="270">
        <v>66562</v>
      </c>
      <c r="AV79" s="270">
        <v>79636</v>
      </c>
      <c r="AW79" s="270">
        <v>148807</v>
      </c>
      <c r="AX79" s="270">
        <v>39049</v>
      </c>
      <c r="AY79" s="270">
        <v>60290</v>
      </c>
      <c r="AZ79" s="270">
        <v>79026</v>
      </c>
      <c r="BA79" s="270">
        <v>76520</v>
      </c>
      <c r="BB79" s="270">
        <v>76189</v>
      </c>
      <c r="BC79" s="270">
        <v>112901</v>
      </c>
      <c r="BD79" s="270">
        <v>65603</v>
      </c>
      <c r="BE79" s="270">
        <v>73216</v>
      </c>
      <c r="BF79" s="270">
        <v>73746</v>
      </c>
      <c r="BG79" s="270">
        <v>76578</v>
      </c>
      <c r="BH79" s="270">
        <v>80496</v>
      </c>
      <c r="BI79" s="270">
        <v>179445</v>
      </c>
      <c r="BJ79" s="270">
        <v>93119</v>
      </c>
      <c r="BK79" s="270">
        <v>60290</v>
      </c>
      <c r="BL79" s="270">
        <v>79026</v>
      </c>
      <c r="BM79" s="270">
        <v>76520</v>
      </c>
      <c r="BN79" s="270">
        <v>76189</v>
      </c>
      <c r="BO79" s="270">
        <v>112901</v>
      </c>
      <c r="BP79" s="270">
        <v>65603</v>
      </c>
      <c r="BQ79" s="270">
        <v>73216</v>
      </c>
      <c r="BR79" s="270">
        <v>73746</v>
      </c>
      <c r="BS79" s="270">
        <v>76578</v>
      </c>
      <c r="BT79" s="270">
        <v>80496</v>
      </c>
    </row>
    <row r="80" spans="1:72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1.1200000000000001</v>
      </c>
      <c r="C82" s="72">
        <v>1.29</v>
      </c>
      <c r="D82" s="72">
        <v>1.17</v>
      </c>
      <c r="E82" s="72">
        <v>1.7</v>
      </c>
      <c r="F82" s="72">
        <v>0.93</v>
      </c>
      <c r="G82" s="72">
        <v>1.82</v>
      </c>
      <c r="H82" s="72">
        <v>1.32</v>
      </c>
      <c r="I82" s="72">
        <v>2.11</v>
      </c>
      <c r="J82" s="72">
        <v>1.39</v>
      </c>
      <c r="K82" s="72">
        <v>1.7</v>
      </c>
      <c r="L82" s="72">
        <v>1.89</v>
      </c>
      <c r="M82" s="72">
        <v>2.2599999999999998</v>
      </c>
      <c r="N82" s="72">
        <v>1.42</v>
      </c>
      <c r="O82" s="72">
        <v>1.94</v>
      </c>
      <c r="P82" s="72">
        <v>0.99</v>
      </c>
      <c r="Q82" s="72">
        <v>3.77</v>
      </c>
      <c r="R82" s="72">
        <v>1.51</v>
      </c>
      <c r="S82" s="72">
        <v>1.75</v>
      </c>
      <c r="T82" s="72">
        <v>1.4</v>
      </c>
      <c r="U82" s="72">
        <v>3.04</v>
      </c>
      <c r="V82" s="72">
        <v>1.22</v>
      </c>
      <c r="W82" s="72">
        <v>2.2999999999999998</v>
      </c>
      <c r="X82" s="72">
        <v>1.7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22.26</v>
      </c>
      <c r="C85" s="72">
        <v>18.46</v>
      </c>
      <c r="D85" s="72">
        <v>22.37</v>
      </c>
      <c r="E85" s="72">
        <v>23.97</v>
      </c>
      <c r="F85" s="72">
        <v>24.52</v>
      </c>
      <c r="G85" s="72">
        <v>22.37</v>
      </c>
      <c r="H85" s="72">
        <v>23.67</v>
      </c>
      <c r="I85" s="72">
        <v>25.8</v>
      </c>
      <c r="J85" s="72">
        <v>27.18</v>
      </c>
      <c r="K85" s="72">
        <v>23.85</v>
      </c>
      <c r="L85" s="72">
        <v>25.79</v>
      </c>
      <c r="M85" s="72">
        <v>28.12</v>
      </c>
      <c r="N85" s="72">
        <v>29.52</v>
      </c>
      <c r="O85" s="72">
        <v>25.94</v>
      </c>
      <c r="P85" s="72">
        <v>26.98</v>
      </c>
      <c r="Q85" s="72">
        <v>30.71</v>
      </c>
      <c r="R85" s="72">
        <v>32.19</v>
      </c>
      <c r="S85" s="72">
        <v>27.9</v>
      </c>
      <c r="T85" s="72">
        <v>29.26</v>
      </c>
      <c r="U85" s="72">
        <v>32.25</v>
      </c>
      <c r="V85" s="72">
        <v>33.380000000000003</v>
      </c>
      <c r="W85" s="72">
        <v>29.72</v>
      </c>
      <c r="X85" s="72">
        <v>31.44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118866</v>
      </c>
      <c r="C88" s="273">
        <v>134147</v>
      </c>
      <c r="D88" s="273">
        <v>129691</v>
      </c>
      <c r="E88" s="273">
        <v>172725</v>
      </c>
      <c r="F88" s="273">
        <v>127946</v>
      </c>
      <c r="G88" s="273">
        <v>189278</v>
      </c>
      <c r="H88" s="273">
        <v>158282</v>
      </c>
      <c r="I88" s="273">
        <v>214569</v>
      </c>
      <c r="J88" s="273">
        <v>159730</v>
      </c>
      <c r="K88" s="273">
        <v>191534</v>
      </c>
      <c r="L88" s="273">
        <v>206169</v>
      </c>
      <c r="M88" s="273">
        <v>231360</v>
      </c>
      <c r="N88" s="273">
        <v>183563</v>
      </c>
      <c r="O88" s="273">
        <v>209038</v>
      </c>
      <c r="P88" s="273">
        <v>174443</v>
      </c>
      <c r="Q88" s="273">
        <v>326450</v>
      </c>
      <c r="R88" s="273">
        <v>214679</v>
      </c>
      <c r="S88" s="273">
        <v>221630</v>
      </c>
      <c r="T88" s="273">
        <v>200044</v>
      </c>
      <c r="U88" s="273">
        <v>292706</v>
      </c>
      <c r="V88" s="273">
        <v>178339</v>
      </c>
      <c r="W88" s="273">
        <v>265469</v>
      </c>
      <c r="X88" s="273">
        <v>212853</v>
      </c>
    </row>
    <row r="89" spans="1:25" ht="14.25" thickBot="1" x14ac:dyDescent="0.3">
      <c r="A89" s="250" t="s">
        <v>4</v>
      </c>
      <c r="B89" s="275">
        <v>72143</v>
      </c>
      <c r="C89" s="275">
        <v>80033</v>
      </c>
      <c r="D89" s="275">
        <v>79975</v>
      </c>
      <c r="E89" s="275">
        <v>107283</v>
      </c>
      <c r="F89" s="275">
        <v>75377</v>
      </c>
      <c r="G89" s="275">
        <v>110409</v>
      </c>
      <c r="H89" s="275">
        <v>91421</v>
      </c>
      <c r="I89" s="275">
        <v>129232</v>
      </c>
      <c r="J89" s="275">
        <v>94387</v>
      </c>
      <c r="K89" s="275">
        <v>116393</v>
      </c>
      <c r="L89" s="275">
        <v>119907</v>
      </c>
      <c r="M89" s="275">
        <v>135359</v>
      </c>
      <c r="N89" s="275">
        <v>105544</v>
      </c>
      <c r="O89" s="275">
        <v>125041</v>
      </c>
      <c r="P89" s="275">
        <v>95218</v>
      </c>
      <c r="Q89" s="275">
        <v>186863</v>
      </c>
      <c r="R89" s="275">
        <v>112540</v>
      </c>
      <c r="S89" s="275">
        <v>120310</v>
      </c>
      <c r="T89" s="275">
        <v>109134</v>
      </c>
      <c r="U89" s="275">
        <v>163790</v>
      </c>
      <c r="V89" s="275">
        <v>100148</v>
      </c>
      <c r="W89" s="275">
        <v>145112</v>
      </c>
      <c r="X89" s="275">
        <v>122019</v>
      </c>
    </row>
    <row r="90" spans="1:25" ht="14.25" thickBot="1" x14ac:dyDescent="0.3">
      <c r="A90" s="251" t="s">
        <v>5</v>
      </c>
      <c r="B90" s="273">
        <v>26018</v>
      </c>
      <c r="C90" s="273">
        <v>38689</v>
      </c>
      <c r="D90" s="273">
        <v>31276</v>
      </c>
      <c r="E90" s="273">
        <v>47913</v>
      </c>
      <c r="F90" s="273">
        <v>25256</v>
      </c>
      <c r="G90" s="273">
        <v>56009</v>
      </c>
      <c r="H90" s="273">
        <v>37525</v>
      </c>
      <c r="I90" s="273">
        <v>60140</v>
      </c>
      <c r="J90" s="273">
        <v>38823</v>
      </c>
      <c r="K90" s="273">
        <v>53119</v>
      </c>
      <c r="L90" s="273">
        <v>57470</v>
      </c>
      <c r="M90" s="273">
        <v>68496</v>
      </c>
      <c r="N90" s="273">
        <v>41143</v>
      </c>
      <c r="O90" s="273">
        <v>58671</v>
      </c>
      <c r="P90" s="273">
        <v>33723</v>
      </c>
      <c r="Q90" s="273">
        <v>111570</v>
      </c>
      <c r="R90" s="273">
        <v>43214</v>
      </c>
      <c r="S90" s="273">
        <v>54128</v>
      </c>
      <c r="T90" s="273">
        <v>40734</v>
      </c>
      <c r="U90" s="273">
        <v>91582</v>
      </c>
      <c r="V90" s="273">
        <v>34570</v>
      </c>
      <c r="W90" s="273">
        <v>73770</v>
      </c>
      <c r="X90" s="273">
        <v>47122</v>
      </c>
    </row>
    <row r="91" spans="1:25" ht="14.25" thickBot="1" x14ac:dyDescent="0.3">
      <c r="A91" s="250" t="s">
        <v>6</v>
      </c>
      <c r="B91" s="275">
        <v>31324</v>
      </c>
      <c r="C91" s="275">
        <v>40104</v>
      </c>
      <c r="D91" s="275">
        <v>32544</v>
      </c>
      <c r="E91" s="275">
        <v>50579</v>
      </c>
      <c r="F91" s="275">
        <v>28731</v>
      </c>
      <c r="G91" s="275">
        <v>58839</v>
      </c>
      <c r="H91" s="275">
        <v>40758</v>
      </c>
      <c r="I91" s="275">
        <v>65222</v>
      </c>
      <c r="J91" s="275">
        <v>42609</v>
      </c>
      <c r="K91" s="275">
        <v>55325</v>
      </c>
      <c r="L91" s="275">
        <v>58948</v>
      </c>
      <c r="M91" s="275">
        <v>69279</v>
      </c>
      <c r="N91" s="275">
        <v>43738</v>
      </c>
      <c r="O91" s="275">
        <v>63574</v>
      </c>
      <c r="P91" s="275">
        <v>30551</v>
      </c>
      <c r="Q91" s="275">
        <v>118148</v>
      </c>
      <c r="R91" s="275">
        <v>46601</v>
      </c>
      <c r="S91" s="275">
        <v>59114</v>
      </c>
      <c r="T91" s="275">
        <v>43724</v>
      </c>
      <c r="U91" s="275">
        <v>94461</v>
      </c>
      <c r="V91" s="275">
        <v>37621</v>
      </c>
      <c r="W91" s="275">
        <v>75454</v>
      </c>
      <c r="X91" s="275">
        <v>52403</v>
      </c>
    </row>
    <row r="92" spans="1:25" ht="14.25" thickBot="1" x14ac:dyDescent="0.3">
      <c r="A92" s="251" t="s">
        <v>7</v>
      </c>
      <c r="B92" s="273">
        <v>25999</v>
      </c>
      <c r="C92" s="273">
        <v>30008</v>
      </c>
      <c r="D92" s="273">
        <v>27935</v>
      </c>
      <c r="E92" s="273">
        <v>40851</v>
      </c>
      <c r="F92" s="273">
        <v>23850</v>
      </c>
      <c r="G92" s="273">
        <v>46785</v>
      </c>
      <c r="H92" s="273">
        <v>33832</v>
      </c>
      <c r="I92" s="273">
        <v>54108</v>
      </c>
      <c r="J92" s="273">
        <v>35607</v>
      </c>
      <c r="K92" s="273">
        <v>43619</v>
      </c>
      <c r="L92" s="273">
        <v>48510</v>
      </c>
      <c r="M92" s="273">
        <v>57845</v>
      </c>
      <c r="N92" s="273">
        <v>36302</v>
      </c>
      <c r="O92" s="273">
        <v>49760</v>
      </c>
      <c r="P92" s="273">
        <v>25364</v>
      </c>
      <c r="Q92" s="273">
        <v>96610</v>
      </c>
      <c r="R92" s="273">
        <v>38679</v>
      </c>
      <c r="S92" s="273">
        <v>44797</v>
      </c>
      <c r="T92" s="273">
        <v>36012</v>
      </c>
      <c r="U92" s="273">
        <v>78021</v>
      </c>
      <c r="V92" s="273">
        <v>31193</v>
      </c>
      <c r="W92" s="273">
        <v>59054</v>
      </c>
      <c r="X92" s="273">
        <v>43553</v>
      </c>
    </row>
    <row r="93" spans="1:25" ht="26.25" thickBot="1" x14ac:dyDescent="0.3">
      <c r="A93" s="252" t="s">
        <v>8</v>
      </c>
      <c r="B93" s="276">
        <v>25999</v>
      </c>
      <c r="C93" s="276">
        <v>30008</v>
      </c>
      <c r="D93" s="276">
        <v>27935</v>
      </c>
      <c r="E93" s="276">
        <v>40851</v>
      </c>
      <c r="F93" s="276">
        <v>23850</v>
      </c>
      <c r="G93" s="276">
        <v>46785</v>
      </c>
      <c r="H93" s="276">
        <v>33832</v>
      </c>
      <c r="I93" s="276">
        <v>54108</v>
      </c>
      <c r="J93" s="276">
        <v>35607</v>
      </c>
      <c r="K93" s="276">
        <v>43619</v>
      </c>
      <c r="L93" s="276">
        <v>48510</v>
      </c>
      <c r="M93" s="276">
        <v>57845</v>
      </c>
      <c r="N93" s="276">
        <v>36302</v>
      </c>
      <c r="O93" s="276">
        <v>49760</v>
      </c>
      <c r="P93" s="276">
        <v>25364</v>
      </c>
      <c r="Q93" s="276">
        <v>96610</v>
      </c>
      <c r="R93" s="276">
        <v>38679</v>
      </c>
      <c r="S93" s="276">
        <v>44797</v>
      </c>
      <c r="T93" s="276">
        <v>36012</v>
      </c>
      <c r="U93" s="276">
        <v>78021</v>
      </c>
      <c r="V93" s="276">
        <v>31193</v>
      </c>
      <c r="W93" s="276">
        <v>59054</v>
      </c>
      <c r="X93" s="276">
        <v>43553</v>
      </c>
    </row>
    <row r="94" spans="1:25" x14ac:dyDescent="0.25">
      <c r="A94" s="233" t="s">
        <v>365</v>
      </c>
      <c r="B94" s="253">
        <f>IF(B91="","",B91-B90)</f>
        <v>5306</v>
      </c>
      <c r="C94" s="253">
        <f>IF(C91="","",C91-C90)</f>
        <v>1415</v>
      </c>
      <c r="D94" s="253">
        <f t="shared" ref="D94:Y94" si="9">IF(D91="","",D91-D90)</f>
        <v>1268</v>
      </c>
      <c r="E94" s="253">
        <f t="shared" si="9"/>
        <v>2666</v>
      </c>
      <c r="F94" s="253">
        <f t="shared" si="9"/>
        <v>3475</v>
      </c>
      <c r="G94" s="253">
        <f t="shared" si="9"/>
        <v>2830</v>
      </c>
      <c r="H94" s="253">
        <f t="shared" si="9"/>
        <v>3233</v>
      </c>
      <c r="I94" s="253">
        <f t="shared" si="9"/>
        <v>5082</v>
      </c>
      <c r="J94" s="253">
        <f t="shared" si="9"/>
        <v>3786</v>
      </c>
      <c r="K94" s="253">
        <f t="shared" si="9"/>
        <v>2206</v>
      </c>
      <c r="L94" s="253">
        <f t="shared" si="9"/>
        <v>1478</v>
      </c>
      <c r="M94" s="253">
        <f t="shared" si="9"/>
        <v>783</v>
      </c>
      <c r="N94" s="253">
        <f t="shared" si="9"/>
        <v>2595</v>
      </c>
      <c r="O94" s="253">
        <f t="shared" si="9"/>
        <v>4903</v>
      </c>
      <c r="P94" s="253">
        <f t="shared" si="9"/>
        <v>-3172</v>
      </c>
      <c r="Q94" s="253">
        <f t="shared" si="9"/>
        <v>6578</v>
      </c>
      <c r="R94" s="253">
        <f t="shared" si="9"/>
        <v>3387</v>
      </c>
      <c r="S94" s="253">
        <f t="shared" si="9"/>
        <v>4986</v>
      </c>
      <c r="T94" s="253">
        <f t="shared" si="9"/>
        <v>2990</v>
      </c>
      <c r="U94" s="253">
        <f t="shared" si="9"/>
        <v>2879</v>
      </c>
      <c r="V94" s="253">
        <f t="shared" si="9"/>
        <v>3051</v>
      </c>
      <c r="W94" s="253">
        <f t="shared" si="9"/>
        <v>1684</v>
      </c>
      <c r="X94" s="253">
        <f t="shared" si="9"/>
        <v>5281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555429</v>
      </c>
      <c r="C97" s="273">
        <v>690075</v>
      </c>
      <c r="D97" s="273">
        <v>788793</v>
      </c>
      <c r="E97" s="273">
        <v>893494</v>
      </c>
      <c r="F97" s="273">
        <v>929059</v>
      </c>
    </row>
    <row r="98" spans="1:24" ht="14.25" thickBot="1" x14ac:dyDescent="0.3">
      <c r="A98" s="225" t="s">
        <v>4</v>
      </c>
      <c r="B98" s="275">
        <v>339434</v>
      </c>
      <c r="C98" s="275">
        <v>406439</v>
      </c>
      <c r="D98" s="275">
        <v>466046</v>
      </c>
      <c r="E98" s="275">
        <v>512666</v>
      </c>
      <c r="F98" s="275">
        <v>505774</v>
      </c>
    </row>
    <row r="99" spans="1:24" ht="14.25" thickBot="1" x14ac:dyDescent="0.3">
      <c r="A99" s="224" t="s">
        <v>5</v>
      </c>
      <c r="B99" s="273">
        <v>143896</v>
      </c>
      <c r="C99" s="273">
        <v>178930</v>
      </c>
      <c r="D99" s="273">
        <v>217898</v>
      </c>
      <c r="E99" s="273">
        <v>245107</v>
      </c>
      <c r="F99" s="273">
        <v>229658</v>
      </c>
    </row>
    <row r="100" spans="1:24" ht="14.25" thickBot="1" x14ac:dyDescent="0.3">
      <c r="A100" s="225" t="s">
        <v>6</v>
      </c>
      <c r="B100" s="275">
        <v>154551</v>
      </c>
      <c r="C100" s="275">
        <v>193550</v>
      </c>
      <c r="D100" s="275">
        <v>226151</v>
      </c>
      <c r="E100" s="275">
        <v>256011</v>
      </c>
      <c r="F100" s="275">
        <v>243900</v>
      </c>
    </row>
    <row r="101" spans="1:24" ht="14.25" thickBot="1" x14ac:dyDescent="0.3">
      <c r="A101" s="224" t="s">
        <v>7</v>
      </c>
      <c r="B101" s="273">
        <v>124793</v>
      </c>
      <c r="C101" s="273">
        <v>158575</v>
      </c>
      <c r="D101" s="273">
        <v>185571</v>
      </c>
      <c r="E101" s="273">
        <v>208036</v>
      </c>
      <c r="F101" s="273">
        <v>197509</v>
      </c>
    </row>
    <row r="102" spans="1:24" ht="14.25" thickBot="1" x14ac:dyDescent="0.3">
      <c r="A102" s="227" t="s">
        <v>8</v>
      </c>
      <c r="B102" s="276">
        <v>124793</v>
      </c>
      <c r="C102" s="276">
        <v>158575</v>
      </c>
      <c r="D102" s="276">
        <v>185571</v>
      </c>
      <c r="E102" s="276">
        <v>208036</v>
      </c>
      <c r="F102" s="276">
        <v>197509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283407</v>
      </c>
      <c r="C106" s="273">
        <v>296906</v>
      </c>
      <c r="D106" s="273">
        <v>325036</v>
      </c>
      <c r="E106" s="273">
        <v>343610</v>
      </c>
      <c r="F106" s="273">
        <v>383523</v>
      </c>
      <c r="G106" s="273">
        <v>353044</v>
      </c>
      <c r="H106" s="273">
        <v>255187</v>
      </c>
      <c r="I106" s="273">
        <v>328070</v>
      </c>
      <c r="J106" s="273">
        <v>378566</v>
      </c>
      <c r="K106" s="273">
        <v>384339</v>
      </c>
      <c r="L106" s="273">
        <v>307302</v>
      </c>
      <c r="M106" s="273">
        <v>374625</v>
      </c>
      <c r="N106" s="273">
        <v>414777</v>
      </c>
      <c r="O106" s="273">
        <v>445603</v>
      </c>
      <c r="P106" s="273">
        <v>333805</v>
      </c>
      <c r="Q106" s="273">
        <v>367713</v>
      </c>
      <c r="R106" s="273">
        <v>456887</v>
      </c>
      <c r="S106" s="273">
        <v>532608</v>
      </c>
      <c r="T106" s="273">
        <v>382973</v>
      </c>
      <c r="U106" s="273">
        <v>441618</v>
      </c>
      <c r="V106" s="273">
        <v>498300</v>
      </c>
      <c r="W106" s="273">
        <v>532609</v>
      </c>
      <c r="X106" s="273">
        <v>411660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5">
        <v>20015</v>
      </c>
      <c r="F107" s="275">
        <v>20051</v>
      </c>
      <c r="G107" s="275">
        <v>20084</v>
      </c>
      <c r="H107" s="275">
        <v>20117</v>
      </c>
      <c r="I107" s="275">
        <v>20148</v>
      </c>
      <c r="J107" s="275">
        <v>20178</v>
      </c>
      <c r="K107" s="275">
        <v>20207</v>
      </c>
      <c r="L107" s="275">
        <v>20237</v>
      </c>
      <c r="M107" s="275">
        <v>20266</v>
      </c>
      <c r="N107" s="275">
        <v>20298</v>
      </c>
      <c r="O107" s="275">
        <v>20328</v>
      </c>
      <c r="P107" s="275">
        <v>20358</v>
      </c>
      <c r="Q107" s="275">
        <v>20385</v>
      </c>
      <c r="R107" s="275">
        <v>20407</v>
      </c>
      <c r="S107" s="275">
        <v>20425</v>
      </c>
      <c r="T107" s="275">
        <v>20440</v>
      </c>
      <c r="U107" s="275">
        <v>20455</v>
      </c>
      <c r="V107" s="275">
        <v>20472</v>
      </c>
      <c r="W107" s="275">
        <v>20491</v>
      </c>
      <c r="X107" s="275">
        <v>20513</v>
      </c>
    </row>
    <row r="108" spans="1:24" ht="14.25" thickBot="1" x14ac:dyDescent="0.3">
      <c r="A108" s="224" t="s">
        <v>263</v>
      </c>
      <c r="B108" s="273">
        <v>138213</v>
      </c>
      <c r="C108" s="273">
        <v>142291</v>
      </c>
      <c r="D108" s="273">
        <v>131123</v>
      </c>
      <c r="E108" s="273">
        <v>177608</v>
      </c>
      <c r="F108" s="273">
        <v>142811</v>
      </c>
      <c r="G108" s="273">
        <v>179786</v>
      </c>
      <c r="H108" s="273">
        <v>166401</v>
      </c>
      <c r="I108" s="273">
        <v>199628</v>
      </c>
      <c r="J108" s="273">
        <v>163524</v>
      </c>
      <c r="K108" s="273">
        <v>179449</v>
      </c>
      <c r="L108" s="273">
        <v>172351</v>
      </c>
      <c r="M108" s="273">
        <v>206825</v>
      </c>
      <c r="N108" s="273">
        <v>188513</v>
      </c>
      <c r="O108" s="273">
        <v>204931</v>
      </c>
      <c r="P108" s="273">
        <v>189815</v>
      </c>
      <c r="Q108" s="273">
        <v>330994</v>
      </c>
      <c r="R108" s="273">
        <v>244509</v>
      </c>
      <c r="S108" s="273">
        <v>204982</v>
      </c>
      <c r="T108" s="273">
        <v>203587</v>
      </c>
      <c r="U108" s="273">
        <v>286813</v>
      </c>
      <c r="V108" s="273">
        <v>212127</v>
      </c>
      <c r="W108" s="273">
        <v>254676</v>
      </c>
      <c r="X108" s="273">
        <v>230589</v>
      </c>
    </row>
    <row r="109" spans="1:24" ht="14.25" thickBot="1" x14ac:dyDescent="0.3">
      <c r="A109" s="225" t="s">
        <v>264</v>
      </c>
      <c r="B109" s="275">
        <v>37544</v>
      </c>
      <c r="C109" s="275">
        <v>36977</v>
      </c>
      <c r="D109" s="275">
        <v>40881</v>
      </c>
      <c r="E109" s="275">
        <v>30899</v>
      </c>
      <c r="F109" s="275">
        <v>31420</v>
      </c>
      <c r="G109" s="275">
        <v>37285</v>
      </c>
      <c r="H109" s="275">
        <v>41993</v>
      </c>
      <c r="I109" s="275">
        <v>42882</v>
      </c>
      <c r="J109" s="275">
        <v>52435</v>
      </c>
      <c r="K109" s="275">
        <v>57617</v>
      </c>
      <c r="L109" s="275">
        <v>53673</v>
      </c>
      <c r="M109" s="275">
        <v>48610</v>
      </c>
      <c r="N109" s="275">
        <v>46957</v>
      </c>
      <c r="O109" s="275">
        <v>50111</v>
      </c>
      <c r="P109" s="275">
        <v>56558</v>
      </c>
      <c r="Q109" s="275">
        <v>42596</v>
      </c>
      <c r="R109" s="275">
        <v>30361</v>
      </c>
      <c r="S109" s="275">
        <v>29326</v>
      </c>
      <c r="T109" s="275">
        <v>31231</v>
      </c>
      <c r="U109" s="275">
        <v>30071</v>
      </c>
      <c r="V109" s="275">
        <v>27083</v>
      </c>
      <c r="W109" s="275">
        <v>26660</v>
      </c>
      <c r="X109" s="275">
        <v>27059</v>
      </c>
    </row>
    <row r="110" spans="1:24" ht="14.25" thickBot="1" x14ac:dyDescent="0.3">
      <c r="A110" s="224" t="s">
        <v>23</v>
      </c>
      <c r="B110" s="273">
        <v>6871</v>
      </c>
      <c r="C110" s="273">
        <v>10180</v>
      </c>
      <c r="D110" s="273">
        <v>6811</v>
      </c>
      <c r="E110" s="273">
        <v>6318</v>
      </c>
      <c r="F110" s="273">
        <v>8276</v>
      </c>
      <c r="G110" s="273">
        <v>8740</v>
      </c>
      <c r="H110" s="273">
        <v>10811</v>
      </c>
      <c r="I110" s="273">
        <v>9676</v>
      </c>
      <c r="J110" s="273">
        <v>15756</v>
      </c>
      <c r="K110" s="273">
        <v>9244</v>
      </c>
      <c r="L110" s="273">
        <v>11274</v>
      </c>
      <c r="M110" s="273">
        <v>10092</v>
      </c>
      <c r="N110" s="273">
        <v>12601</v>
      </c>
      <c r="O110" s="273">
        <v>14843</v>
      </c>
      <c r="P110" s="273">
        <v>16355</v>
      </c>
      <c r="Q110" s="273">
        <v>19680</v>
      </c>
      <c r="R110" s="273">
        <v>23101</v>
      </c>
      <c r="S110" s="273">
        <v>24574</v>
      </c>
      <c r="T110" s="273">
        <v>24579</v>
      </c>
      <c r="U110" s="273">
        <v>25410</v>
      </c>
      <c r="V110" s="273">
        <v>30631</v>
      </c>
      <c r="W110" s="273">
        <v>36679</v>
      </c>
      <c r="X110" s="273">
        <v>34395</v>
      </c>
    </row>
    <row r="111" spans="1:24" ht="14.25" thickBot="1" x14ac:dyDescent="0.3">
      <c r="A111" s="225" t="s">
        <v>24</v>
      </c>
      <c r="B111" s="275">
        <v>466035</v>
      </c>
      <c r="C111" s="275">
        <v>486354</v>
      </c>
      <c r="D111" s="275">
        <v>503851</v>
      </c>
      <c r="E111" s="275">
        <v>578450</v>
      </c>
      <c r="F111" s="275">
        <v>586081</v>
      </c>
      <c r="G111" s="275">
        <v>598939</v>
      </c>
      <c r="H111" s="275">
        <v>494509</v>
      </c>
      <c r="I111" s="275">
        <v>600404</v>
      </c>
      <c r="J111" s="275">
        <v>630459</v>
      </c>
      <c r="K111" s="275">
        <v>650856</v>
      </c>
      <c r="L111" s="275">
        <v>564837</v>
      </c>
      <c r="M111" s="275">
        <v>660418</v>
      </c>
      <c r="N111" s="275">
        <v>683146</v>
      </c>
      <c r="O111" s="275">
        <v>735816</v>
      </c>
      <c r="P111" s="275">
        <v>616891</v>
      </c>
      <c r="Q111" s="275">
        <v>781368</v>
      </c>
      <c r="R111" s="275">
        <v>775265</v>
      </c>
      <c r="S111" s="275">
        <v>811915</v>
      </c>
      <c r="T111" s="275">
        <v>662810</v>
      </c>
      <c r="U111" s="275">
        <v>804367</v>
      </c>
      <c r="V111" s="275">
        <v>788613</v>
      </c>
      <c r="W111" s="275">
        <v>871115</v>
      </c>
      <c r="X111" s="275">
        <v>724216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</row>
    <row r="113" spans="1:24" ht="14.25" thickBot="1" x14ac:dyDescent="0.3">
      <c r="A113" s="225" t="s">
        <v>26</v>
      </c>
      <c r="B113" s="275">
        <v>154845</v>
      </c>
      <c r="C113" s="275">
        <v>154497</v>
      </c>
      <c r="D113" s="275">
        <v>154875</v>
      </c>
      <c r="E113" s="275">
        <v>153994</v>
      </c>
      <c r="F113" s="275">
        <v>153682</v>
      </c>
      <c r="G113" s="275">
        <v>201243</v>
      </c>
      <c r="H113" s="275">
        <v>203745</v>
      </c>
      <c r="I113" s="275">
        <v>203099</v>
      </c>
      <c r="J113" s="275">
        <v>217743</v>
      </c>
      <c r="K113" s="275">
        <v>198512</v>
      </c>
      <c r="L113" s="275">
        <v>197397</v>
      </c>
      <c r="M113" s="275">
        <v>213289</v>
      </c>
      <c r="N113" s="275">
        <v>214845</v>
      </c>
      <c r="O113" s="275">
        <v>213013</v>
      </c>
      <c r="P113" s="275">
        <v>212362</v>
      </c>
      <c r="Q113" s="275">
        <v>211036</v>
      </c>
      <c r="R113" s="275">
        <v>210967</v>
      </c>
      <c r="S113" s="275">
        <v>210133</v>
      </c>
      <c r="T113" s="275">
        <v>208628</v>
      </c>
      <c r="U113" s="275">
        <v>211585</v>
      </c>
      <c r="V113" s="275">
        <v>210992</v>
      </c>
      <c r="W113" s="275">
        <v>212075</v>
      </c>
      <c r="X113" s="275">
        <v>211281</v>
      </c>
    </row>
    <row r="114" spans="1:24" ht="14.25" thickBot="1" x14ac:dyDescent="0.3">
      <c r="A114" s="224" t="s">
        <v>27</v>
      </c>
      <c r="B114" s="273">
        <v>13642</v>
      </c>
      <c r="C114" s="273">
        <v>14689</v>
      </c>
      <c r="D114" s="273">
        <v>14522</v>
      </c>
      <c r="E114" s="273">
        <v>15064</v>
      </c>
      <c r="F114" s="273">
        <v>18441</v>
      </c>
      <c r="G114" s="273">
        <v>35381</v>
      </c>
      <c r="H114" s="273">
        <v>35197</v>
      </c>
      <c r="I114" s="273">
        <v>39333</v>
      </c>
      <c r="J114" s="273">
        <v>25206</v>
      </c>
      <c r="K114" s="273">
        <v>44300</v>
      </c>
      <c r="L114" s="273">
        <v>44561</v>
      </c>
      <c r="M114" s="273">
        <v>40774</v>
      </c>
      <c r="N114" s="273">
        <v>37780</v>
      </c>
      <c r="O114" s="273">
        <v>40121</v>
      </c>
      <c r="P114" s="273">
        <v>40654</v>
      </c>
      <c r="Q114" s="273">
        <v>48157</v>
      </c>
      <c r="R114" s="273">
        <v>41984</v>
      </c>
      <c r="S114" s="273">
        <v>44418</v>
      </c>
      <c r="T114" s="273">
        <v>48484</v>
      </c>
      <c r="U114" s="273">
        <v>46501</v>
      </c>
      <c r="V114" s="273">
        <v>53344</v>
      </c>
      <c r="W114" s="273">
        <v>55218</v>
      </c>
      <c r="X114" s="273">
        <v>60252</v>
      </c>
    </row>
    <row r="115" spans="1:24" ht="14.25" thickBot="1" x14ac:dyDescent="0.3">
      <c r="A115" s="225" t="s">
        <v>265</v>
      </c>
      <c r="B115" s="276">
        <v>634522</v>
      </c>
      <c r="C115" s="276">
        <v>655540</v>
      </c>
      <c r="D115" s="276">
        <v>673248</v>
      </c>
      <c r="E115" s="276">
        <v>747508</v>
      </c>
      <c r="F115" s="276">
        <v>758204</v>
      </c>
      <c r="G115" s="276">
        <v>835563</v>
      </c>
      <c r="H115" s="276">
        <v>733451</v>
      </c>
      <c r="I115" s="276">
        <v>842836</v>
      </c>
      <c r="J115" s="276">
        <v>873408</v>
      </c>
      <c r="K115" s="276">
        <v>893668</v>
      </c>
      <c r="L115" s="276">
        <v>806795</v>
      </c>
      <c r="M115" s="276">
        <v>914481</v>
      </c>
      <c r="N115" s="276">
        <v>935771</v>
      </c>
      <c r="O115" s="276">
        <v>988950</v>
      </c>
      <c r="P115" s="276">
        <v>869907</v>
      </c>
      <c r="Q115" s="276">
        <v>1040561</v>
      </c>
      <c r="R115" s="276">
        <v>1028216</v>
      </c>
      <c r="S115" s="276">
        <v>1066466</v>
      </c>
      <c r="T115" s="276">
        <v>919922</v>
      </c>
      <c r="U115" s="276">
        <v>1062453</v>
      </c>
      <c r="V115" s="276">
        <v>1052949</v>
      </c>
      <c r="W115" s="276">
        <v>1138408</v>
      </c>
      <c r="X115" s="276">
        <v>995749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36912</v>
      </c>
      <c r="C120" s="273">
        <v>34586</v>
      </c>
      <c r="D120" s="273">
        <v>34850</v>
      </c>
      <c r="E120" s="273">
        <v>39694</v>
      </c>
      <c r="F120" s="273">
        <v>30118</v>
      </c>
      <c r="G120" s="273">
        <v>53857</v>
      </c>
      <c r="H120" s="273">
        <v>34848</v>
      </c>
      <c r="I120" s="273">
        <v>55733</v>
      </c>
      <c r="J120" s="273">
        <v>47651</v>
      </c>
      <c r="K120" s="273">
        <v>42475</v>
      </c>
      <c r="L120" s="273">
        <v>50050</v>
      </c>
      <c r="M120" s="273">
        <v>68162</v>
      </c>
      <c r="N120" s="273">
        <v>54883</v>
      </c>
      <c r="O120" s="273">
        <v>55898</v>
      </c>
      <c r="P120" s="273">
        <v>61620</v>
      </c>
      <c r="Q120" s="273">
        <v>94120</v>
      </c>
      <c r="R120" s="273">
        <v>55525</v>
      </c>
      <c r="S120" s="273">
        <v>59343</v>
      </c>
      <c r="T120" s="273">
        <v>48966</v>
      </c>
      <c r="U120" s="273">
        <v>82613</v>
      </c>
      <c r="V120" s="273">
        <v>52236</v>
      </c>
      <c r="W120" s="273">
        <v>76700</v>
      </c>
      <c r="X120" s="273">
        <v>54957</v>
      </c>
    </row>
    <row r="121" spans="1:24" ht="14.25" thickBot="1" x14ac:dyDescent="0.3">
      <c r="A121" s="225" t="s">
        <v>267</v>
      </c>
      <c r="B121" s="275">
        <v>8090</v>
      </c>
      <c r="C121" s="275">
        <v>11352</v>
      </c>
      <c r="D121" s="275">
        <v>11942</v>
      </c>
      <c r="E121" s="275">
        <v>15422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5">
        <v>23802</v>
      </c>
      <c r="N121" s="275">
        <v>23168</v>
      </c>
      <c r="O121" s="275">
        <v>26002</v>
      </c>
      <c r="P121" s="275">
        <v>27911</v>
      </c>
      <c r="Q121" s="275">
        <v>28319</v>
      </c>
      <c r="R121" s="275">
        <v>30105</v>
      </c>
      <c r="S121" s="275">
        <v>32591</v>
      </c>
      <c r="T121" s="275">
        <v>36869</v>
      </c>
      <c r="U121" s="275">
        <v>28582</v>
      </c>
      <c r="V121" s="275">
        <v>32023</v>
      </c>
      <c r="W121" s="275">
        <v>30975</v>
      </c>
      <c r="X121" s="275">
        <v>30206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56523</v>
      </c>
      <c r="C123" s="275">
        <v>162168</v>
      </c>
      <c r="D123" s="275">
        <v>33336</v>
      </c>
      <c r="E123" s="275">
        <v>52662</v>
      </c>
      <c r="F123" s="275">
        <v>65222</v>
      </c>
      <c r="G123" s="275">
        <v>176886</v>
      </c>
      <c r="H123" s="275">
        <v>60950</v>
      </c>
      <c r="I123" s="275">
        <v>93001</v>
      </c>
      <c r="J123" s="275">
        <v>92786</v>
      </c>
      <c r="K123" s="275">
        <v>211759</v>
      </c>
      <c r="L123" s="275">
        <v>70439</v>
      </c>
      <c r="M123" s="275">
        <v>75637</v>
      </c>
      <c r="N123" s="275">
        <v>73525</v>
      </c>
      <c r="O123" s="275">
        <v>212579</v>
      </c>
      <c r="P123" s="275">
        <v>56936</v>
      </c>
      <c r="Q123" s="275">
        <v>99300</v>
      </c>
      <c r="R123" s="275">
        <v>91142</v>
      </c>
      <c r="S123" s="275">
        <v>232555</v>
      </c>
      <c r="T123" s="275">
        <v>59105</v>
      </c>
      <c r="U123" s="275">
        <v>95025</v>
      </c>
      <c r="V123" s="275">
        <v>85923</v>
      </c>
      <c r="W123" s="275">
        <v>243053</v>
      </c>
      <c r="X123" s="275">
        <v>74765</v>
      </c>
    </row>
    <row r="124" spans="1:24" ht="14.25" thickBot="1" x14ac:dyDescent="0.3">
      <c r="A124" s="224" t="s">
        <v>268</v>
      </c>
      <c r="B124" s="273">
        <v>101525</v>
      </c>
      <c r="C124" s="273">
        <v>208106</v>
      </c>
      <c r="D124" s="273">
        <v>80128</v>
      </c>
      <c r="E124" s="273">
        <v>107778</v>
      </c>
      <c r="F124" s="273">
        <v>95340</v>
      </c>
      <c r="G124" s="273">
        <v>230743</v>
      </c>
      <c r="H124" s="273">
        <v>95798</v>
      </c>
      <c r="I124" s="273">
        <v>148734</v>
      </c>
      <c r="J124" s="273">
        <v>140437</v>
      </c>
      <c r="K124" s="273">
        <v>254234</v>
      </c>
      <c r="L124" s="273">
        <v>120489</v>
      </c>
      <c r="M124" s="273">
        <v>167601</v>
      </c>
      <c r="N124" s="273">
        <v>151576</v>
      </c>
      <c r="O124" s="273">
        <v>294479</v>
      </c>
      <c r="P124" s="273">
        <v>146467</v>
      </c>
      <c r="Q124" s="273">
        <v>221739</v>
      </c>
      <c r="R124" s="273">
        <v>176772</v>
      </c>
      <c r="S124" s="273">
        <v>324489</v>
      </c>
      <c r="T124" s="273">
        <v>144940</v>
      </c>
      <c r="U124" s="273">
        <v>206220</v>
      </c>
      <c r="V124" s="273">
        <v>170182</v>
      </c>
      <c r="W124" s="273">
        <v>350728</v>
      </c>
      <c r="X124" s="273">
        <v>159928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33946</v>
      </c>
      <c r="G125" s="275">
        <v>31190</v>
      </c>
      <c r="H125" s="275">
        <v>30587</v>
      </c>
      <c r="I125" s="275">
        <v>32521</v>
      </c>
      <c r="J125" s="275">
        <v>35891</v>
      </c>
      <c r="K125" s="275">
        <v>27715</v>
      </c>
      <c r="L125" s="275">
        <v>24802</v>
      </c>
      <c r="M125" s="275">
        <v>25653</v>
      </c>
      <c r="N125" s="275">
        <v>27133</v>
      </c>
      <c r="O125" s="275">
        <v>29312</v>
      </c>
      <c r="P125" s="275">
        <v>31408</v>
      </c>
      <c r="Q125" s="275">
        <v>31121</v>
      </c>
      <c r="R125" s="275">
        <v>25782</v>
      </c>
      <c r="S125" s="275">
        <v>26474</v>
      </c>
      <c r="T125" s="275">
        <v>24629</v>
      </c>
      <c r="U125" s="275">
        <v>29049</v>
      </c>
      <c r="V125" s="275">
        <v>26618</v>
      </c>
      <c r="W125" s="275">
        <v>25513</v>
      </c>
      <c r="X125" s="275">
        <v>29442</v>
      </c>
    </row>
    <row r="126" spans="1:24" ht="14.25" thickBot="1" x14ac:dyDescent="0.3">
      <c r="A126" s="224" t="s">
        <v>33</v>
      </c>
      <c r="B126" s="273">
        <v>14662</v>
      </c>
      <c r="C126" s="273">
        <v>17483</v>
      </c>
      <c r="D126" s="273">
        <v>19434</v>
      </c>
      <c r="E126" s="273">
        <v>24976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116187</v>
      </c>
      <c r="C127" s="275">
        <v>225589</v>
      </c>
      <c r="D127" s="275">
        <v>99562</v>
      </c>
      <c r="E127" s="275">
        <v>132754</v>
      </c>
      <c r="F127" s="275">
        <v>129286</v>
      </c>
      <c r="G127" s="275">
        <v>261933</v>
      </c>
      <c r="H127" s="275">
        <v>126385</v>
      </c>
      <c r="I127" s="275">
        <v>181255</v>
      </c>
      <c r="J127" s="275">
        <v>176328</v>
      </c>
      <c r="K127" s="275">
        <v>281949</v>
      </c>
      <c r="L127" s="275">
        <v>145291</v>
      </c>
      <c r="M127" s="275">
        <v>193254</v>
      </c>
      <c r="N127" s="275">
        <v>178709</v>
      </c>
      <c r="O127" s="275">
        <v>323791</v>
      </c>
      <c r="P127" s="275">
        <v>177875</v>
      </c>
      <c r="Q127" s="275">
        <v>252860</v>
      </c>
      <c r="R127" s="275">
        <v>202554</v>
      </c>
      <c r="S127" s="275">
        <v>350963</v>
      </c>
      <c r="T127" s="275">
        <v>169569</v>
      </c>
      <c r="U127" s="275">
        <v>235269</v>
      </c>
      <c r="V127" s="275">
        <v>196800</v>
      </c>
      <c r="W127" s="275">
        <v>376241</v>
      </c>
      <c r="X127" s="275">
        <v>189370</v>
      </c>
    </row>
    <row r="128" spans="1:24" ht="14.25" thickBot="1" x14ac:dyDescent="0.3">
      <c r="A128" s="224" t="s">
        <v>34</v>
      </c>
      <c r="B128" s="273">
        <v>518335</v>
      </c>
      <c r="C128" s="273">
        <v>429951</v>
      </c>
      <c r="D128" s="273">
        <v>573686</v>
      </c>
      <c r="E128" s="273">
        <v>614754</v>
      </c>
      <c r="F128" s="273">
        <v>628918</v>
      </c>
      <c r="G128" s="273">
        <v>573630</v>
      </c>
      <c r="H128" s="273">
        <v>607066</v>
      </c>
      <c r="I128" s="273">
        <v>661581</v>
      </c>
      <c r="J128" s="273">
        <v>697080</v>
      </c>
      <c r="K128" s="273">
        <v>611719</v>
      </c>
      <c r="L128" s="273">
        <v>661504</v>
      </c>
      <c r="M128" s="273">
        <v>721227</v>
      </c>
      <c r="N128" s="273">
        <v>757062</v>
      </c>
      <c r="O128" s="273">
        <v>665159</v>
      </c>
      <c r="P128" s="273">
        <v>692032</v>
      </c>
      <c r="Q128" s="273">
        <v>787701</v>
      </c>
      <c r="R128" s="273">
        <v>825662</v>
      </c>
      <c r="S128" s="273">
        <v>715503</v>
      </c>
      <c r="T128" s="273">
        <v>750353</v>
      </c>
      <c r="U128" s="273">
        <v>827184</v>
      </c>
      <c r="V128" s="273">
        <v>856149</v>
      </c>
      <c r="W128" s="273">
        <v>762167</v>
      </c>
      <c r="X128" s="273">
        <v>806379</v>
      </c>
    </row>
    <row r="129" spans="1:24" ht="14.25" thickBot="1" x14ac:dyDescent="0.3">
      <c r="A129" s="225" t="s">
        <v>35</v>
      </c>
      <c r="B129" s="276">
        <v>634522</v>
      </c>
      <c r="C129" s="276">
        <v>655540</v>
      </c>
      <c r="D129" s="276">
        <v>673248</v>
      </c>
      <c r="E129" s="276">
        <v>747508</v>
      </c>
      <c r="F129" s="276">
        <v>758204</v>
      </c>
      <c r="G129" s="276">
        <v>835563</v>
      </c>
      <c r="H129" s="276">
        <v>733451</v>
      </c>
      <c r="I129" s="276">
        <v>842836</v>
      </c>
      <c r="J129" s="276">
        <v>873408</v>
      </c>
      <c r="K129" s="276">
        <v>893668</v>
      </c>
      <c r="L129" s="276">
        <v>806795</v>
      </c>
      <c r="M129" s="276">
        <v>914481</v>
      </c>
      <c r="N129" s="276">
        <v>935771</v>
      </c>
      <c r="O129" s="276">
        <v>988950</v>
      </c>
      <c r="P129" s="276">
        <v>869907</v>
      </c>
      <c r="Q129" s="276">
        <v>1040561</v>
      </c>
      <c r="R129" s="276">
        <v>1028216</v>
      </c>
      <c r="S129" s="276">
        <v>1066466</v>
      </c>
      <c r="T129" s="276">
        <v>919922</v>
      </c>
      <c r="U129" s="276">
        <v>1062453</v>
      </c>
      <c r="V129" s="276">
        <v>1052949</v>
      </c>
      <c r="W129" s="276">
        <v>1138408</v>
      </c>
      <c r="X129" s="276">
        <v>995749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3.64</v>
      </c>
      <c r="C132" s="68">
        <v>6.42</v>
      </c>
      <c r="D132" s="68">
        <v>7.18</v>
      </c>
      <c r="E132" s="68">
        <v>5.37</v>
      </c>
      <c r="F132" s="68">
        <v>9.1199999999999992</v>
      </c>
    </row>
    <row r="133" spans="1:24" ht="14.25" thickBot="1" x14ac:dyDescent="0.3">
      <c r="A133" s="225" t="s">
        <v>37</v>
      </c>
      <c r="B133" s="274">
        <v>-7.0000000000000007E-2</v>
      </c>
      <c r="C133" s="274">
        <v>-3.06</v>
      </c>
      <c r="D133" s="274">
        <v>-0.28999999999999998</v>
      </c>
      <c r="E133" s="274">
        <v>-0.13</v>
      </c>
      <c r="F133" s="274">
        <v>-0.16</v>
      </c>
    </row>
    <row r="134" spans="1:24" ht="14.25" thickBot="1" x14ac:dyDescent="0.3">
      <c r="A134" s="224" t="s">
        <v>38</v>
      </c>
      <c r="B134" s="68">
        <v>-0.06</v>
      </c>
      <c r="C134" s="68">
        <v>-4</v>
      </c>
      <c r="D134" s="68">
        <v>-5.1100000000000003</v>
      </c>
      <c r="E134" s="68">
        <v>-5.5</v>
      </c>
      <c r="F134" s="68">
        <v>-6</v>
      </c>
    </row>
    <row r="135" spans="1:24" ht="14.25" thickBot="1" x14ac:dyDescent="0.3">
      <c r="A135" s="225" t="s">
        <v>270</v>
      </c>
      <c r="B135" s="274">
        <v>3.56</v>
      </c>
      <c r="C135" s="274">
        <v>3.36</v>
      </c>
      <c r="D135" s="274">
        <v>6.89</v>
      </c>
      <c r="E135" s="274">
        <v>5.24</v>
      </c>
      <c r="F135" s="274">
        <v>8.9600000000000009</v>
      </c>
    </row>
    <row r="136" spans="1:24" ht="14.25" thickBot="1" x14ac:dyDescent="0.3">
      <c r="A136" s="229" t="s">
        <v>39</v>
      </c>
      <c r="B136" s="72">
        <v>3.5</v>
      </c>
      <c r="C136" s="72">
        <v>-0.64</v>
      </c>
      <c r="D136" s="72">
        <v>1.78</v>
      </c>
      <c r="E136" s="72">
        <v>-0.26</v>
      </c>
      <c r="F136" s="72">
        <v>2.96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4</v>
      </c>
      <c r="C140" s="68">
        <v>5</v>
      </c>
      <c r="D140" s="68">
        <v>5.5</v>
      </c>
      <c r="E140" s="68">
        <v>6</v>
      </c>
      <c r="F140" s="68">
        <v>6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0.75757575757575757</v>
      </c>
      <c r="C142" s="234">
        <f>IF(C140&lt;&gt;"無",IF(ISNA(HLOOKUP(C139,$B$64:$F$69,6,FALSE)),"",C140/HLOOKUP(C139,$B$64:$F$69,6,FALSE)),"")</f>
        <v>0.80906148867313921</v>
      </c>
      <c r="D142" s="234">
        <f>IF(D140&lt;&gt;"無",IF(ISNA(HLOOKUP(D139,$B$64:$F$69,6,FALSE)),"",D140/HLOOKUP(D139,$B$64:$F$69,6,FALSE)),"")</f>
        <v>0.75966850828729293</v>
      </c>
      <c r="E142" s="234">
        <f>IF(E140&lt;&gt;"無",IF(ISNA(HLOOKUP(E139,$B$64:$F$69,6,FALSE)),"",E140/HLOOKUP(E139,$B$64:$F$69,6,FALSE)),"")</f>
        <v>0.73891625615763556</v>
      </c>
      <c r="F142" s="234">
        <f>IF(F140&lt;&gt;"無",IF(ISNA(HLOOKUP(F139,$B$64:$F$69,6,FALSE)),"",F140/HLOOKUP(F139,$B$64:$F$69,6,FALSE)),"")</f>
        <v>0.77922077922077926</v>
      </c>
    </row>
    <row r="143" spans="1:24" x14ac:dyDescent="0.25">
      <c r="A143" s="233" t="s">
        <v>216</v>
      </c>
      <c r="B143" s="234">
        <f>IF(OR(B140=0,B140="無"),"",B135/B140)</f>
        <v>0.89</v>
      </c>
      <c r="C143" s="234">
        <f>IF(OR(C140=0,C140="無"),"",C135/C140)</f>
        <v>0.67199999999999993</v>
      </c>
      <c r="D143" s="234">
        <f>IF(OR(D140=0,D140="無"),"",D135/D140)</f>
        <v>1.2527272727272727</v>
      </c>
      <c r="E143" s="234">
        <f>IF(OR(E140=0,E140="無"),"",E135/E140)</f>
        <v>0.87333333333333341</v>
      </c>
      <c r="F143" s="234">
        <f>IF(OR(F140=0,F140="無"),"",F135/F140)</f>
        <v>1.4933333333333334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60.69</v>
      </c>
      <c r="C146" s="68">
        <v>59.66</v>
      </c>
      <c r="D146" s="68">
        <v>61.67</v>
      </c>
      <c r="E146" s="68">
        <v>62.11</v>
      </c>
      <c r="F146" s="68">
        <v>58.91</v>
      </c>
      <c r="G146" s="68">
        <v>58.33</v>
      </c>
      <c r="H146" s="68">
        <v>57.76</v>
      </c>
      <c r="I146" s="68">
        <v>60.23</v>
      </c>
      <c r="J146" s="68">
        <v>59.09</v>
      </c>
      <c r="K146" s="68">
        <v>60.77</v>
      </c>
      <c r="L146" s="68">
        <v>58.16</v>
      </c>
      <c r="M146" s="68">
        <v>58.51</v>
      </c>
      <c r="N146" s="68">
        <v>57.5</v>
      </c>
      <c r="O146" s="68">
        <v>59.82</v>
      </c>
      <c r="P146" s="68">
        <v>54.58</v>
      </c>
      <c r="Q146" s="68">
        <v>57.24</v>
      </c>
      <c r="R146" s="68">
        <v>52.42</v>
      </c>
      <c r="S146" s="68">
        <v>54.28</v>
      </c>
      <c r="T146" s="68">
        <v>54.56</v>
      </c>
      <c r="U146" s="68">
        <v>55.96</v>
      </c>
      <c r="V146" s="68">
        <v>56.16</v>
      </c>
      <c r="W146" s="68">
        <v>54.66</v>
      </c>
      <c r="X146" s="68">
        <v>57.33</v>
      </c>
    </row>
    <row r="147" spans="1:24" s="93" customFormat="1" ht="14.25" thickBot="1" x14ac:dyDescent="0.3">
      <c r="A147" s="225" t="s">
        <v>19</v>
      </c>
      <c r="B147" s="274">
        <v>21.89</v>
      </c>
      <c r="C147" s="274">
        <v>28.84</v>
      </c>
      <c r="D147" s="274">
        <v>24.12</v>
      </c>
      <c r="E147" s="274">
        <v>27.74</v>
      </c>
      <c r="F147" s="274">
        <v>19.739999999999998</v>
      </c>
      <c r="G147" s="274">
        <v>29.59</v>
      </c>
      <c r="H147" s="274">
        <v>23.71</v>
      </c>
      <c r="I147" s="274">
        <v>28.03</v>
      </c>
      <c r="J147" s="274">
        <v>24.31</v>
      </c>
      <c r="K147" s="274">
        <v>27.73</v>
      </c>
      <c r="L147" s="274">
        <v>27.88</v>
      </c>
      <c r="M147" s="274">
        <v>29.61</v>
      </c>
      <c r="N147" s="274">
        <v>22.41</v>
      </c>
      <c r="O147" s="274">
        <v>28.07</v>
      </c>
      <c r="P147" s="274">
        <v>19.329999999999998</v>
      </c>
      <c r="Q147" s="274">
        <v>34.18</v>
      </c>
      <c r="R147" s="274">
        <v>20.13</v>
      </c>
      <c r="S147" s="274">
        <v>24.42</v>
      </c>
      <c r="T147" s="274">
        <v>20.36</v>
      </c>
      <c r="U147" s="274">
        <v>31.29</v>
      </c>
      <c r="V147" s="274">
        <v>19.38</v>
      </c>
      <c r="W147" s="274">
        <v>27.79</v>
      </c>
      <c r="X147" s="274">
        <v>22.14</v>
      </c>
    </row>
    <row r="148" spans="1:24" s="93" customFormat="1" ht="14.25" thickBot="1" x14ac:dyDescent="0.3">
      <c r="A148" s="224" t="s">
        <v>41</v>
      </c>
      <c r="B148" s="68">
        <v>26.35</v>
      </c>
      <c r="C148" s="68">
        <v>29.9</v>
      </c>
      <c r="D148" s="68">
        <v>25.09</v>
      </c>
      <c r="E148" s="68">
        <v>29.28</v>
      </c>
      <c r="F148" s="68">
        <v>22.46</v>
      </c>
      <c r="G148" s="68">
        <v>31.09</v>
      </c>
      <c r="H148" s="68">
        <v>25.75</v>
      </c>
      <c r="I148" s="68">
        <v>30.4</v>
      </c>
      <c r="J148" s="68">
        <v>26.68</v>
      </c>
      <c r="K148" s="68">
        <v>28.89</v>
      </c>
      <c r="L148" s="68">
        <v>28.59</v>
      </c>
      <c r="M148" s="68">
        <v>29.94</v>
      </c>
      <c r="N148" s="68">
        <v>23.83</v>
      </c>
      <c r="O148" s="68">
        <v>30.41</v>
      </c>
      <c r="P148" s="68">
        <v>17.510000000000002</v>
      </c>
      <c r="Q148" s="68">
        <v>36.19</v>
      </c>
      <c r="R148" s="68">
        <v>21.71</v>
      </c>
      <c r="S148" s="68">
        <v>26.67</v>
      </c>
      <c r="T148" s="68">
        <v>21.86</v>
      </c>
      <c r="U148" s="68">
        <v>32.270000000000003</v>
      </c>
      <c r="V148" s="68">
        <v>21.1</v>
      </c>
      <c r="W148" s="68">
        <v>28.42</v>
      </c>
      <c r="X148" s="68">
        <v>24.62</v>
      </c>
    </row>
    <row r="149" spans="1:24" s="93" customFormat="1" ht="14.25" thickBot="1" x14ac:dyDescent="0.3">
      <c r="A149" s="225" t="s">
        <v>13</v>
      </c>
      <c r="B149" s="73">
        <v>21.87</v>
      </c>
      <c r="C149" s="73">
        <v>22.37</v>
      </c>
      <c r="D149" s="73">
        <v>21.54</v>
      </c>
      <c r="E149" s="73">
        <v>23.65</v>
      </c>
      <c r="F149" s="73">
        <v>18.64</v>
      </c>
      <c r="G149" s="73">
        <v>24.72</v>
      </c>
      <c r="H149" s="73">
        <v>21.37</v>
      </c>
      <c r="I149" s="73">
        <v>25.22</v>
      </c>
      <c r="J149" s="73">
        <v>22.29</v>
      </c>
      <c r="K149" s="73">
        <v>22.77</v>
      </c>
      <c r="L149" s="73">
        <v>23.53</v>
      </c>
      <c r="M149" s="73">
        <v>25</v>
      </c>
      <c r="N149" s="73">
        <v>19.78</v>
      </c>
      <c r="O149" s="73">
        <v>23.8</v>
      </c>
      <c r="P149" s="73">
        <v>14.54</v>
      </c>
      <c r="Q149" s="73">
        <v>29.59</v>
      </c>
      <c r="R149" s="73">
        <v>18.02</v>
      </c>
      <c r="S149" s="73">
        <v>20.21</v>
      </c>
      <c r="T149" s="73">
        <v>18</v>
      </c>
      <c r="U149" s="73">
        <v>26.66</v>
      </c>
      <c r="V149" s="73">
        <v>17.489999999999998</v>
      </c>
      <c r="W149" s="73">
        <v>22.25</v>
      </c>
      <c r="X149" s="73">
        <v>20.46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61.11</v>
      </c>
      <c r="C152" s="68">
        <v>58.9</v>
      </c>
      <c r="D152" s="68">
        <v>59.08</v>
      </c>
      <c r="E152" s="68">
        <v>57.38</v>
      </c>
      <c r="F152" s="68">
        <v>54.44</v>
      </c>
    </row>
    <row r="153" spans="1:24" s="93" customFormat="1" ht="14.25" thickBot="1" x14ac:dyDescent="0.3">
      <c r="A153" s="225" t="s">
        <v>19</v>
      </c>
      <c r="B153" s="274">
        <v>25.91</v>
      </c>
      <c r="C153" s="274">
        <v>25.93</v>
      </c>
      <c r="D153" s="274">
        <v>27.62</v>
      </c>
      <c r="E153" s="274">
        <v>27.43</v>
      </c>
      <c r="F153" s="274">
        <v>24.72</v>
      </c>
    </row>
    <row r="154" spans="1:24" s="93" customFormat="1" ht="14.25" thickBot="1" x14ac:dyDescent="0.3">
      <c r="A154" s="224" t="s">
        <v>41</v>
      </c>
      <c r="B154" s="68">
        <v>27.83</v>
      </c>
      <c r="C154" s="68">
        <v>28.05</v>
      </c>
      <c r="D154" s="68">
        <v>28.67</v>
      </c>
      <c r="E154" s="68">
        <v>28.65</v>
      </c>
      <c r="F154" s="68">
        <v>26.25</v>
      </c>
    </row>
    <row r="155" spans="1:24" s="93" customFormat="1" ht="14.25" thickBot="1" x14ac:dyDescent="0.3">
      <c r="A155" s="225" t="s">
        <v>13</v>
      </c>
      <c r="B155" s="73">
        <v>22.47</v>
      </c>
      <c r="C155" s="73">
        <v>22.98</v>
      </c>
      <c r="D155" s="73">
        <v>23.53</v>
      </c>
      <c r="E155" s="73">
        <v>23.28</v>
      </c>
      <c r="F155" s="73">
        <v>21.26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4.0999999999999996</v>
      </c>
      <c r="C158" s="68">
        <v>4.6500000000000004</v>
      </c>
      <c r="D158" s="68">
        <v>4.2</v>
      </c>
      <c r="E158" s="68">
        <v>5.75</v>
      </c>
      <c r="F158" s="68">
        <v>3.17</v>
      </c>
      <c r="G158" s="68">
        <v>5.87</v>
      </c>
      <c r="H158" s="68">
        <v>4.3099999999999996</v>
      </c>
      <c r="I158" s="68">
        <v>6.87</v>
      </c>
      <c r="J158" s="68">
        <v>4.1500000000000004</v>
      </c>
      <c r="K158" s="68">
        <v>4.9400000000000004</v>
      </c>
      <c r="L158" s="68">
        <v>5.71</v>
      </c>
      <c r="M158" s="68">
        <v>6.72</v>
      </c>
      <c r="N158" s="68">
        <v>3.92</v>
      </c>
      <c r="O158" s="68">
        <v>5.17</v>
      </c>
      <c r="P158" s="68">
        <v>2.73</v>
      </c>
      <c r="Q158" s="68">
        <v>10.11</v>
      </c>
      <c r="R158" s="68">
        <v>3.74</v>
      </c>
      <c r="S158" s="68">
        <v>4.28</v>
      </c>
      <c r="T158" s="68">
        <v>3.63</v>
      </c>
      <c r="U158" s="68">
        <v>7.87</v>
      </c>
      <c r="V158" s="68">
        <v>2.95</v>
      </c>
      <c r="W158" s="68">
        <v>5.39</v>
      </c>
      <c r="X158" s="68">
        <v>4.08</v>
      </c>
    </row>
    <row r="159" spans="1:24" s="93" customFormat="1" ht="14.25" thickBot="1" x14ac:dyDescent="0.3">
      <c r="A159" s="225" t="s">
        <v>45</v>
      </c>
      <c r="B159" s="73">
        <v>5.15</v>
      </c>
      <c r="C159" s="73">
        <v>6.33</v>
      </c>
      <c r="D159" s="73">
        <v>5.57</v>
      </c>
      <c r="E159" s="73">
        <v>6.87</v>
      </c>
      <c r="F159" s="73">
        <v>3.84</v>
      </c>
      <c r="G159" s="73">
        <v>7.78</v>
      </c>
      <c r="H159" s="73">
        <v>5.73</v>
      </c>
      <c r="I159" s="73">
        <v>8.5299999999999994</v>
      </c>
      <c r="J159" s="73">
        <v>5.24</v>
      </c>
      <c r="K159" s="73">
        <v>6.67</v>
      </c>
      <c r="L159" s="73">
        <v>7.62</v>
      </c>
      <c r="M159" s="73">
        <v>8.3699999999999992</v>
      </c>
      <c r="N159" s="73">
        <v>4.91</v>
      </c>
      <c r="O159" s="73">
        <v>7</v>
      </c>
      <c r="P159" s="73">
        <v>3.74</v>
      </c>
      <c r="Q159" s="73">
        <v>13.06</v>
      </c>
      <c r="R159" s="73">
        <v>4.79</v>
      </c>
      <c r="S159" s="73">
        <v>5.81</v>
      </c>
      <c r="T159" s="73">
        <v>4.91</v>
      </c>
      <c r="U159" s="73">
        <v>9.89</v>
      </c>
      <c r="V159" s="73">
        <v>3.71</v>
      </c>
      <c r="W159" s="73">
        <v>7.3</v>
      </c>
      <c r="X159" s="73">
        <v>5.55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22.47</v>
      </c>
      <c r="C162" s="68">
        <v>22.98</v>
      </c>
      <c r="D162" s="68">
        <v>23.53</v>
      </c>
      <c r="E162" s="68">
        <v>23.28</v>
      </c>
      <c r="F162" s="68">
        <v>21.26</v>
      </c>
    </row>
    <row r="163" spans="1:72" s="93" customFormat="1" ht="14.25" thickBot="1" x14ac:dyDescent="0.3">
      <c r="A163" s="225" t="s">
        <v>18</v>
      </c>
      <c r="B163" s="274">
        <v>0.74</v>
      </c>
      <c r="C163" s="274">
        <v>0.82</v>
      </c>
      <c r="D163" s="274">
        <v>0.86</v>
      </c>
      <c r="E163" s="274">
        <v>0.86</v>
      </c>
      <c r="F163" s="274">
        <v>0.87</v>
      </c>
    </row>
    <row r="164" spans="1:72" s="93" customFormat="1" ht="14.25" thickBot="1" x14ac:dyDescent="0.3">
      <c r="A164" s="224" t="s">
        <v>15</v>
      </c>
      <c r="B164" s="68">
        <v>1.22</v>
      </c>
      <c r="C164" s="68">
        <v>1.27</v>
      </c>
      <c r="D164" s="68">
        <v>1.27</v>
      </c>
      <c r="E164" s="68">
        <v>1.32</v>
      </c>
      <c r="F164" s="68">
        <v>1.28</v>
      </c>
    </row>
    <row r="165" spans="1:72" s="93" customFormat="1" ht="14.25" thickBot="1" x14ac:dyDescent="0.3">
      <c r="A165" s="225" t="s">
        <v>45</v>
      </c>
      <c r="B165" s="73">
        <v>22.57</v>
      </c>
      <c r="C165" s="73">
        <v>24.85</v>
      </c>
      <c r="D165" s="73">
        <v>26.84</v>
      </c>
      <c r="E165" s="73">
        <v>27.57</v>
      </c>
      <c r="F165" s="73">
        <v>24.46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113.92</v>
      </c>
      <c r="C168" s="68">
        <v>93.75</v>
      </c>
      <c r="D168" s="68">
        <v>94.74</v>
      </c>
      <c r="E168" s="68">
        <v>80.36</v>
      </c>
      <c r="F168" s="68">
        <v>112.5</v>
      </c>
      <c r="G168" s="68">
        <v>76.92</v>
      </c>
      <c r="H168" s="68">
        <v>98.9</v>
      </c>
      <c r="I168" s="68">
        <v>76.92</v>
      </c>
      <c r="J168" s="68">
        <v>102.27</v>
      </c>
      <c r="K168" s="68">
        <v>80.36</v>
      </c>
      <c r="L168" s="68">
        <v>76.92</v>
      </c>
      <c r="M168" s="68">
        <v>73.77</v>
      </c>
      <c r="N168" s="68">
        <v>96.77</v>
      </c>
      <c r="O168" s="68">
        <v>84.91</v>
      </c>
      <c r="P168" s="68">
        <v>102.27</v>
      </c>
      <c r="Q168" s="68">
        <v>72</v>
      </c>
      <c r="R168" s="68">
        <v>120</v>
      </c>
      <c r="S168" s="68">
        <v>90.91</v>
      </c>
      <c r="T168" s="68">
        <v>91.84</v>
      </c>
      <c r="U168" s="68">
        <v>75.63</v>
      </c>
      <c r="V168" s="68">
        <v>126.76</v>
      </c>
      <c r="W168" s="68">
        <v>78.95</v>
      </c>
      <c r="X168" s="68">
        <v>102.27</v>
      </c>
    </row>
    <row r="169" spans="1:72" s="93" customFormat="1" ht="14.25" thickBot="1" x14ac:dyDescent="0.3">
      <c r="A169" s="225" t="s">
        <v>17</v>
      </c>
      <c r="B169" s="274">
        <v>73.77</v>
      </c>
      <c r="C169" s="274">
        <v>62.07</v>
      </c>
      <c r="D169" s="274">
        <v>70.31</v>
      </c>
      <c r="E169" s="274">
        <v>49.45</v>
      </c>
      <c r="F169" s="274">
        <v>53.25</v>
      </c>
      <c r="G169" s="274">
        <v>39.130000000000003</v>
      </c>
      <c r="H169" s="274">
        <v>53.25</v>
      </c>
      <c r="I169" s="274">
        <v>44.78</v>
      </c>
      <c r="J169" s="274">
        <v>65.69</v>
      </c>
      <c r="K169" s="274">
        <v>65.69</v>
      </c>
      <c r="L169" s="274">
        <v>58.06</v>
      </c>
      <c r="M169" s="274">
        <v>47.87</v>
      </c>
      <c r="N169" s="274">
        <v>55.21</v>
      </c>
      <c r="O169" s="274">
        <v>52.02</v>
      </c>
      <c r="P169" s="274">
        <v>60.4</v>
      </c>
      <c r="Q169" s="274">
        <v>31.91</v>
      </c>
      <c r="R169" s="274">
        <v>32.14</v>
      </c>
      <c r="S169" s="274">
        <v>26.47</v>
      </c>
      <c r="T169" s="274">
        <v>30</v>
      </c>
      <c r="U169" s="274">
        <v>21.38</v>
      </c>
      <c r="V169" s="274">
        <v>32.85</v>
      </c>
      <c r="W169" s="274">
        <v>20.09</v>
      </c>
      <c r="X169" s="274">
        <v>26.63</v>
      </c>
    </row>
    <row r="170" spans="1:72" s="93" customFormat="1" ht="14.25" thickBot="1" x14ac:dyDescent="0.3">
      <c r="A170" s="224" t="s">
        <v>42</v>
      </c>
      <c r="B170" s="72">
        <v>187.69</v>
      </c>
      <c r="C170" s="72">
        <v>155.82</v>
      </c>
      <c r="D170" s="72">
        <v>165.05</v>
      </c>
      <c r="E170" s="72">
        <v>129.81</v>
      </c>
      <c r="F170" s="72">
        <v>165.75</v>
      </c>
      <c r="G170" s="72">
        <v>116.05</v>
      </c>
      <c r="H170" s="72">
        <v>152.16</v>
      </c>
      <c r="I170" s="72">
        <v>121.7</v>
      </c>
      <c r="J170" s="72">
        <v>167.97</v>
      </c>
      <c r="K170" s="72">
        <v>146.05000000000001</v>
      </c>
      <c r="L170" s="72">
        <v>134.99</v>
      </c>
      <c r="M170" s="72">
        <v>121.64</v>
      </c>
      <c r="N170" s="72">
        <v>151.99</v>
      </c>
      <c r="O170" s="72">
        <v>136.93</v>
      </c>
      <c r="P170" s="72">
        <v>162.68</v>
      </c>
      <c r="Q170" s="72">
        <v>103.91</v>
      </c>
      <c r="R170" s="72">
        <v>152.13999999999999</v>
      </c>
      <c r="S170" s="72">
        <v>117.38</v>
      </c>
      <c r="T170" s="72">
        <v>121.84</v>
      </c>
      <c r="U170" s="72">
        <v>97.01</v>
      </c>
      <c r="V170" s="72">
        <v>159.61000000000001</v>
      </c>
      <c r="W170" s="72">
        <v>99.04</v>
      </c>
      <c r="X170" s="72">
        <v>128.9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70.06</v>
      </c>
      <c r="C173" s="72">
        <v>103.76</v>
      </c>
      <c r="D173" s="72">
        <v>99.03</v>
      </c>
      <c r="E173" s="72">
        <v>66.209999999999994</v>
      </c>
      <c r="F173" s="72">
        <v>118.43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 t="s">
        <v>43</v>
      </c>
      <c r="C176" s="72" t="s">
        <v>43</v>
      </c>
      <c r="D176" s="72" t="s">
        <v>43</v>
      </c>
      <c r="E176" s="72">
        <v>10.1</v>
      </c>
      <c r="F176" s="72">
        <v>10.69</v>
      </c>
      <c r="G176" s="72">
        <v>10.09</v>
      </c>
      <c r="H176" s="72">
        <v>9.84</v>
      </c>
      <c r="I176" s="72">
        <v>11.35</v>
      </c>
      <c r="J176" s="72">
        <v>11.52</v>
      </c>
      <c r="K176" s="72">
        <v>10.17</v>
      </c>
      <c r="L176" s="72">
        <v>10.95</v>
      </c>
      <c r="M176" s="72">
        <v>11.4</v>
      </c>
      <c r="N176" s="72">
        <v>11.98</v>
      </c>
      <c r="O176" s="72">
        <v>12.95</v>
      </c>
      <c r="P176" s="72">
        <v>15.58</v>
      </c>
      <c r="Q176" s="72">
        <v>21.76</v>
      </c>
      <c r="R176" s="72">
        <v>24.88</v>
      </c>
      <c r="S176" s="72">
        <v>42.81</v>
      </c>
      <c r="T176" s="72">
        <v>41.67</v>
      </c>
      <c r="U176" s="72">
        <v>34.130000000000003</v>
      </c>
      <c r="V176" s="72">
        <v>29.87</v>
      </c>
      <c r="W176" s="72">
        <v>27.46</v>
      </c>
      <c r="X176" s="72">
        <v>29.85</v>
      </c>
      <c r="Y176" s="72">
        <v>33.619999999999997</v>
      </c>
      <c r="Z176" s="72">
        <v>31.8</v>
      </c>
      <c r="AA176" s="72">
        <v>29.45</v>
      </c>
      <c r="AB176" s="72">
        <v>26.26</v>
      </c>
      <c r="AC176" s="72">
        <v>25.92</v>
      </c>
      <c r="AD176" s="72">
        <v>24.36</v>
      </c>
      <c r="AE176" s="72">
        <v>25.19</v>
      </c>
      <c r="AF176" s="72">
        <v>23.25</v>
      </c>
      <c r="AG176" s="72">
        <v>22.44</v>
      </c>
      <c r="AH176" s="72">
        <v>23.05</v>
      </c>
      <c r="AI176" s="72">
        <v>19.98</v>
      </c>
      <c r="AJ176" s="72">
        <v>17.64</v>
      </c>
      <c r="AK176" s="72">
        <v>17.989999999999998</v>
      </c>
      <c r="AL176" s="72">
        <v>18.239999999999998</v>
      </c>
      <c r="AM176" s="72">
        <v>18.46</v>
      </c>
      <c r="AN176" s="72">
        <v>18.11</v>
      </c>
      <c r="AO176" s="72">
        <v>20.2</v>
      </c>
      <c r="AP176" s="72">
        <v>18.190000000000001</v>
      </c>
      <c r="AQ176" s="72">
        <v>16.03</v>
      </c>
      <c r="AR176" s="72">
        <v>15.14</v>
      </c>
      <c r="AS176" s="72">
        <v>13.69</v>
      </c>
      <c r="AT176" s="72">
        <v>12.39</v>
      </c>
      <c r="AU176" s="72">
        <v>13.75</v>
      </c>
      <c r="AV176" s="72">
        <v>15.27</v>
      </c>
      <c r="AW176" s="72">
        <v>14.88</v>
      </c>
      <c r="AX176" s="72">
        <v>13.74</v>
      </c>
      <c r="AY176" s="72">
        <v>14.19</v>
      </c>
      <c r="AZ176" s="72">
        <v>13.23</v>
      </c>
      <c r="BA176" s="72">
        <v>13.68</v>
      </c>
      <c r="BB176" s="72">
        <v>12.31</v>
      </c>
      <c r="BC176" s="72">
        <v>12.46</v>
      </c>
      <c r="BD176" s="72">
        <v>11.96</v>
      </c>
      <c r="BE176" s="72">
        <v>12.35</v>
      </c>
      <c r="BF176" s="72">
        <v>12.23</v>
      </c>
      <c r="BG176" s="72">
        <v>11.76</v>
      </c>
      <c r="BH176" s="72">
        <v>10.35</v>
      </c>
      <c r="BI176" s="72">
        <v>10.43</v>
      </c>
      <c r="BJ176" s="72">
        <v>10.51</v>
      </c>
      <c r="BK176" s="72">
        <v>10.6</v>
      </c>
      <c r="BL176" s="72">
        <v>12.04</v>
      </c>
      <c r="BM176" s="72">
        <v>11.99</v>
      </c>
      <c r="BN176" s="72">
        <v>12.3</v>
      </c>
      <c r="BO176" s="72">
        <v>13.62</v>
      </c>
      <c r="BP176" s="72">
        <v>13.54</v>
      </c>
      <c r="BQ176" s="72">
        <v>11.95</v>
      </c>
      <c r="BR176" s="72">
        <v>11.79</v>
      </c>
      <c r="BS176" s="72">
        <v>11.75</v>
      </c>
      <c r="BT176" s="72">
        <v>11.51</v>
      </c>
    </row>
  </sheetData>
  <phoneticPr fontId="3" type="noConversion"/>
  <conditionalFormatting sqref="E4">
    <cfRule type="cellIs" dxfId="974" priority="103" operator="greaterThan">
      <formula>0.2</formula>
    </cfRule>
    <cfRule type="cellIs" dxfId="97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97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971" priority="97" operator="greaterThan">
      <formula>$B$19</formula>
    </cfRule>
  </conditionalFormatting>
  <conditionalFormatting sqref="D33:D34">
    <cfRule type="cellIs" dxfId="97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969" priority="91" operator="lessThan">
      <formula>$H$62</formula>
    </cfRule>
    <cfRule type="cellIs" dxfId="968" priority="92" operator="greaterThan">
      <formula>$H$62</formula>
    </cfRule>
  </conditionalFormatting>
  <conditionalFormatting sqref="J62">
    <cfRule type="cellIs" dxfId="967" priority="89" operator="lessThan">
      <formula>$K$62</formula>
    </cfRule>
    <cfRule type="cellIs" dxfId="966" priority="90" operator="greaterThan">
      <formula>$K$62</formula>
    </cfRule>
  </conditionalFormatting>
  <conditionalFormatting sqref="M62">
    <cfRule type="cellIs" dxfId="965" priority="87" operator="lessThan">
      <formula>$N$62</formula>
    </cfRule>
    <cfRule type="cellIs" dxfId="964" priority="88" operator="greaterThan">
      <formula>$N$62</formula>
    </cfRule>
  </conditionalFormatting>
  <conditionalFormatting sqref="B44:E44">
    <cfRule type="cellIs" dxfId="963" priority="85" operator="greaterThan">
      <formula>0</formula>
    </cfRule>
    <cfRule type="cellIs" dxfId="962" priority="86" operator="lessThan">
      <formula>0</formula>
    </cfRule>
  </conditionalFormatting>
  <conditionalFormatting sqref="F72">
    <cfRule type="cellIs" dxfId="961" priority="84" operator="lessThan">
      <formula>$E$72*90%</formula>
    </cfRule>
  </conditionalFormatting>
  <conditionalFormatting sqref="F73">
    <cfRule type="cellIs" dxfId="960" priority="83" operator="lessThan">
      <formula>$E$73*90%</formula>
    </cfRule>
  </conditionalFormatting>
  <conditionalFormatting sqref="F74">
    <cfRule type="cellIs" dxfId="959" priority="82" operator="lessThan">
      <formula>$E$74*90%</formula>
    </cfRule>
  </conditionalFormatting>
  <conditionalFormatting sqref="F75">
    <cfRule type="cellIs" dxfId="958" priority="81" operator="lessThan">
      <formula>$E$75*90%</formula>
    </cfRule>
  </conditionalFormatting>
  <conditionalFormatting sqref="H44:K44">
    <cfRule type="cellIs" dxfId="957" priority="79" operator="greaterThan">
      <formula>0</formula>
    </cfRule>
    <cfRule type="cellIs" dxfId="956" priority="80" operator="lessThan">
      <formula>0</formula>
    </cfRule>
  </conditionalFormatting>
  <conditionalFormatting sqref="H51:K51">
    <cfRule type="cellIs" dxfId="955" priority="77" operator="greaterThan">
      <formula>0</formula>
    </cfRule>
    <cfRule type="cellIs" dxfId="954" priority="78" operator="lessThan">
      <formula>0</formula>
    </cfRule>
  </conditionalFormatting>
  <conditionalFormatting sqref="B51:E51">
    <cfRule type="cellIs" dxfId="953" priority="75" operator="greaterThan">
      <formula>0</formula>
    </cfRule>
    <cfRule type="cellIs" dxfId="95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95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95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949" priority="58" operator="lessThan">
      <formula>0</formula>
    </cfRule>
  </conditionalFormatting>
  <conditionalFormatting sqref="A25 E25 C25">
    <cfRule type="cellIs" dxfId="948" priority="59" operator="lessThan">
      <formula>0</formula>
    </cfRule>
  </conditionalFormatting>
  <conditionalFormatting sqref="F25">
    <cfRule type="cellIs" dxfId="947" priority="57" operator="lessThan">
      <formula>0</formula>
    </cfRule>
  </conditionalFormatting>
  <conditionalFormatting sqref="E1">
    <cfRule type="containsText" dxfId="946" priority="56" operator="containsText" text="本季業外損益/平均=-">
      <formula>NOT(ISERROR(SEARCH("本季業外損益/平均=-",E1)))</formula>
    </cfRule>
  </conditionalFormatting>
  <conditionalFormatting sqref="M65">
    <cfRule type="cellIs" dxfId="945" priority="55" operator="lessThan">
      <formula>$L$65*90%</formula>
    </cfRule>
  </conditionalFormatting>
  <conditionalFormatting sqref="M66">
    <cfRule type="cellIs" dxfId="944" priority="54" operator="lessThan">
      <formula>$L$66*90%</formula>
    </cfRule>
  </conditionalFormatting>
  <conditionalFormatting sqref="M67">
    <cfRule type="cellIs" dxfId="943" priority="53" operator="lessThan">
      <formula>$L$67*90%</formula>
    </cfRule>
  </conditionalFormatting>
  <conditionalFormatting sqref="M68">
    <cfRule type="cellIs" dxfId="942" priority="52" operator="lessThan">
      <formula>$L$68*90%</formula>
    </cfRule>
  </conditionalFormatting>
  <conditionalFormatting sqref="B60">
    <cfRule type="cellIs" dxfId="941" priority="51" operator="lessThan">
      <formula>0</formula>
    </cfRule>
  </conditionalFormatting>
  <conditionalFormatting sqref="B59:F59">
    <cfRule type="cellIs" dxfId="940" priority="50" operator="lessThanOrEqual">
      <formula>0</formula>
    </cfRule>
  </conditionalFormatting>
  <conditionalFormatting sqref="D62">
    <cfRule type="cellIs" dxfId="939" priority="48" operator="lessThan">
      <formula>$E$62</formula>
    </cfRule>
    <cfRule type="cellIs" dxfId="938" priority="49" operator="greaterThan">
      <formula>$E$62</formula>
    </cfRule>
  </conditionalFormatting>
  <conditionalFormatting sqref="F69">
    <cfRule type="cellIs" dxfId="937" priority="46" operator="lessThan">
      <formula>0</formula>
    </cfRule>
  </conditionalFormatting>
  <conditionalFormatting sqref="B65:E67 B69:E69 B68:D68">
    <cfRule type="cellIs" dxfId="936" priority="47" operator="lessThan">
      <formula>0</formula>
    </cfRule>
  </conditionalFormatting>
  <conditionalFormatting sqref="E68">
    <cfRule type="cellIs" dxfId="935" priority="45" operator="lessThan">
      <formula>0</formula>
    </cfRule>
  </conditionalFormatting>
  <conditionalFormatting sqref="F65:F68">
    <cfRule type="cellIs" dxfId="934" priority="44" operator="lessThan">
      <formula>0</formula>
    </cfRule>
  </conditionalFormatting>
  <conditionalFormatting sqref="F65:F68">
    <cfRule type="cellIs" dxfId="933" priority="43" operator="lessThan">
      <formula>$E$65*0.9</formula>
    </cfRule>
  </conditionalFormatting>
  <conditionalFormatting sqref="F66">
    <cfRule type="cellIs" dxfId="932" priority="42" operator="lessThan">
      <formula>$E$66*0.9</formula>
    </cfRule>
  </conditionalFormatting>
  <conditionalFormatting sqref="F67:F68">
    <cfRule type="cellIs" dxfId="931" priority="41" operator="lessThan">
      <formula>$E$67*0.9</formula>
    </cfRule>
  </conditionalFormatting>
  <conditionalFormatting sqref="F68">
    <cfRule type="cellIs" dxfId="930" priority="40" operator="lessThan">
      <formula>$E$68*0.9</formula>
    </cfRule>
  </conditionalFormatting>
  <conditionalFormatting sqref="B13:F13">
    <cfRule type="cellIs" dxfId="929" priority="29" operator="greaterThan">
      <formula>$I$16</formula>
    </cfRule>
    <cfRule type="cellIs" dxfId="928" priority="30" operator="lessThanOrEqual">
      <formula>$I$16</formula>
    </cfRule>
  </conditionalFormatting>
  <conditionalFormatting sqref="B10:F10">
    <cfRule type="cellIs" dxfId="927" priority="31" operator="greaterThan">
      <formula>15</formula>
    </cfRule>
    <cfRule type="cellIs" dxfId="926" priority="38" operator="lessThan">
      <formula>$I$9</formula>
    </cfRule>
    <cfRule type="cellIs" dxfId="925" priority="39" operator="greaterThan">
      <formula>$I$9</formula>
    </cfRule>
  </conditionalFormatting>
  <conditionalFormatting sqref="B16:F16">
    <cfRule type="cellIs" dxfId="924" priority="36" operator="greaterThan">
      <formula>$I$16</formula>
    </cfRule>
    <cfRule type="cellIs" dxfId="923" priority="37" operator="lessThanOrEqual">
      <formula>$I$16</formula>
    </cfRule>
  </conditionalFormatting>
  <conditionalFormatting sqref="B15:F15">
    <cfRule type="cellIs" dxfId="922" priority="34" operator="lessThanOrEqual">
      <formula>$I$16</formula>
    </cfRule>
    <cfRule type="cellIs" dxfId="921" priority="35" operator="greaterThan">
      <formula>$I$16</formula>
    </cfRule>
  </conditionalFormatting>
  <conditionalFormatting sqref="B14:F14">
    <cfRule type="cellIs" dxfId="920" priority="32" operator="greaterThan">
      <formula>$I$16</formula>
    </cfRule>
    <cfRule type="cellIs" dxfId="919" priority="33" operator="lessThanOrEqual">
      <formula>$I$16</formula>
    </cfRule>
  </conditionalFormatting>
  <conditionalFormatting sqref="K6">
    <cfRule type="containsText" dxfId="918" priority="27" operator="containsText" text="衰退">
      <formula>NOT(ISERROR(SEARCH("衰退",K6)))</formula>
    </cfRule>
    <cfRule type="containsText" dxfId="917" priority="28" operator="containsText" text="成長">
      <formula>NOT(ISERROR(SEARCH("成長",K6)))</formula>
    </cfRule>
  </conditionalFormatting>
  <conditionalFormatting sqref="I4:K4">
    <cfRule type="cellIs" dxfId="916" priority="25" operator="lessThan">
      <formula>0</formula>
    </cfRule>
    <cfRule type="cellIs" dxfId="91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914" priority="22" operator="lessThanOrEqual">
      <formula>$I$16</formula>
    </cfRule>
    <cfRule type="cellIs" dxfId="913" priority="23" operator="greaterThan">
      <formula>$I$16</formula>
    </cfRule>
  </conditionalFormatting>
  <conditionalFormatting sqref="I6">
    <cfRule type="containsText" dxfId="912" priority="20" operator="containsText" text="衰退">
      <formula>NOT(ISERROR(SEARCH("衰退",I6)))</formula>
    </cfRule>
    <cfRule type="containsText" dxfId="911" priority="21" operator="containsText" text="成長">
      <formula>NOT(ISERROR(SEARCH("成長",I6)))</formula>
    </cfRule>
  </conditionalFormatting>
  <conditionalFormatting sqref="M9">
    <cfRule type="cellIs" dxfId="910" priority="19" operator="lessThan">
      <formula>$I$9</formula>
    </cfRule>
  </conditionalFormatting>
  <conditionalFormatting sqref="M10">
    <cfRule type="cellIs" dxfId="909" priority="18" operator="greaterThan">
      <formula>$I$9</formula>
    </cfRule>
  </conditionalFormatting>
  <conditionalFormatting sqref="M11">
    <cfRule type="cellIs" dxfId="90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907" priority="14" operator="lessThan">
      <formula>0</formula>
    </cfRule>
    <cfRule type="cellIs" dxfId="906" priority="15" operator="greaterThan">
      <formula>0.5</formula>
    </cfRule>
  </conditionalFormatting>
  <conditionalFormatting sqref="N14">
    <cfRule type="cellIs" dxfId="90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904" priority="10" operator="lessThan">
      <formula>0.1</formula>
    </cfRule>
  </conditionalFormatting>
  <conditionalFormatting sqref="I14">
    <cfRule type="cellIs" dxfId="90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90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901" priority="1" operator="lessThan">
      <formula>$N$5*0.9</formula>
    </cfRule>
    <cfRule type="cellIs" dxfId="900" priority="2" operator="greaterThan">
      <formula>$N$5*1.1</formula>
    </cfRule>
  </conditionalFormatting>
  <hyperlinks>
    <hyperlink ref="L1" location="儀表板!A1" display="(回首頁)" xr:uid="{00000000-0004-0000-5B00-000000000000}"/>
  </hyperlink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41.27 ~ 60.59</v>
      </c>
      <c r="L1" s="83" t="s">
        <v>176</v>
      </c>
      <c r="M1" s="84" t="str">
        <f ca="1">VLOOKUP(_xlfn.NUMBERVALUE(N1),儀表板!A:B,2,FALSE)</f>
        <v>可寧衛</v>
      </c>
      <c r="N1" s="85" t="str">
        <f ca="1">MID(CELL("filename",L1),FIND("]",CELL("filename",L1))+1,255)</f>
        <v>8422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0.14417436781267642</v>
      </c>
    </row>
    <row r="3" spans="1:15" s="93" customFormat="1" x14ac:dyDescent="0.25">
      <c r="A3" s="81" t="s">
        <v>179</v>
      </c>
      <c r="B3" s="94">
        <f>SUM(F19:F22,F24:F27,J19)</f>
        <v>85.352703527795725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168.97369340946389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175.63909169620396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183.88313694559304</v>
      </c>
      <c r="L3" s="100"/>
      <c r="M3" s="79" t="s">
        <v>385</v>
      </c>
      <c r="N3" s="92">
        <f>(F69-E69)/E69</f>
        <v>-0.12399081587233658</v>
      </c>
    </row>
    <row r="4" spans="1:15" s="93" customFormat="1" x14ac:dyDescent="0.25">
      <c r="A4" s="81" t="s">
        <v>182</v>
      </c>
      <c r="B4" s="96">
        <f>SUM(G36:G40)*2</f>
        <v>82</v>
      </c>
      <c r="C4" s="101"/>
      <c r="D4" s="102">
        <f>F4*(1+F141/10)</f>
        <v>10.9</v>
      </c>
      <c r="E4" s="82">
        <f>(D4-F4)/F4</f>
        <v>0</v>
      </c>
      <c r="F4" s="103">
        <v>10.9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11.589601506008986</v>
      </c>
    </row>
    <row r="5" spans="1:15" s="93" customFormat="1" x14ac:dyDescent="0.25">
      <c r="A5" s="81" t="s">
        <v>184</v>
      </c>
      <c r="B5" s="107">
        <f>SUM(F30:F34)*2</f>
        <v>98.950495049504951</v>
      </c>
      <c r="C5" s="87"/>
      <c r="D5" s="87"/>
      <c r="E5" s="87"/>
      <c r="F5" s="86"/>
      <c r="G5" s="88"/>
      <c r="M5" s="79" t="s">
        <v>386</v>
      </c>
      <c r="N5" s="152">
        <f>D62</f>
        <v>12.11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9.9928234287769797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19.88</v>
      </c>
      <c r="N9" s="129"/>
    </row>
    <row r="10" spans="1:15" s="93" customFormat="1" x14ac:dyDescent="0.25">
      <c r="A10" s="123" t="s">
        <v>194</v>
      </c>
      <c r="B10" s="126">
        <f>PERCENTILE(176:176,B9)</f>
        <v>13.62</v>
      </c>
      <c r="C10" s="126">
        <f>PERCENTILE(176:176,C9)</f>
        <v>14.45</v>
      </c>
      <c r="D10" s="126">
        <f>PERCENTILE(176:176,D9)</f>
        <v>15.02</v>
      </c>
      <c r="E10" s="126">
        <f>PERCENTILE(176:176,E9)</f>
        <v>15.725</v>
      </c>
      <c r="F10" s="126">
        <f>PERCENTILE(176:176,F9)</f>
        <v>16.59</v>
      </c>
      <c r="G10" s="95"/>
      <c r="H10" s="135"/>
      <c r="I10" s="135"/>
      <c r="J10" s="135"/>
      <c r="K10" s="135"/>
      <c r="L10" s="136" t="s">
        <v>374</v>
      </c>
      <c r="M10" s="130">
        <f>MIN(176:176)</f>
        <v>12.15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46.43</v>
      </c>
      <c r="L11" s="272" t="s">
        <v>193</v>
      </c>
      <c r="M11" s="128">
        <f>STDEV(176:176)</f>
        <v>1.7660989647582099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131.30252100840337</v>
      </c>
      <c r="C13" s="141">
        <f>$B$34/5.88%</f>
        <v>159.4387755102041</v>
      </c>
      <c r="D13" s="141">
        <f>$B$34/5%</f>
        <v>187.5</v>
      </c>
      <c r="E13" s="141">
        <f>$B$34/4.35%</f>
        <v>215.51724137931035</v>
      </c>
      <c r="F13" s="141">
        <f>$B$34/3.85%</f>
        <v>243.50649350649351</v>
      </c>
      <c r="G13" s="138" t="str">
        <f>"$"&amp;ROUND(B34,2)&amp;"/"&amp;IF(STDEV(C140:F140)/AVERAGE(C140:F140)&lt;15%,"高",IF(STDEV(C140:F140)/AVERAGE(C140:F140)&lt;30%,"中","低"))</f>
        <v>$9.38/中</v>
      </c>
      <c r="H13" s="142" t="s">
        <v>199</v>
      </c>
      <c r="I13" s="143">
        <f>MAX(0,1-J15)</f>
        <v>0.13076341647770207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154.75724999999997</v>
      </c>
      <c r="C14" s="141">
        <f>$B$33*C10</f>
        <v>164.18812499999999</v>
      </c>
      <c r="D14" s="141">
        <f>$B$33*D10</f>
        <v>170.66474999999997</v>
      </c>
      <c r="E14" s="141">
        <f>$B$33*E10</f>
        <v>178.67531249999999</v>
      </c>
      <c r="F14" s="141">
        <f>$B$33*F10</f>
        <v>188.50387499999999</v>
      </c>
      <c r="G14" s="138" t="str">
        <f>"$"&amp;ROUND(B33,2)&amp;"/"&amp;IF(STDEV(B69:E69)/AVERAGE(B69:E69)&lt;15%,"高",IF(STDEV(B69:E69)/AVERAGE(B69:E69)&lt;30%,"中","低"))</f>
        <v>$11.36/高</v>
      </c>
      <c r="H14" s="142" t="s">
        <v>203</v>
      </c>
      <c r="I14" s="145">
        <f>G62/100*I13</f>
        <v>3.333159486016625E-2</v>
      </c>
      <c r="J14" s="76" t="s">
        <v>204</v>
      </c>
      <c r="K14" s="146"/>
      <c r="L14" s="147">
        <f>(HLOOKUP($C$1,$105:$106,2,FALSE)-HLOOKUP($C$1,$117:$127,9,FALSE))/(HLOOKUP($C$1,$117:$128,12,FALSE)/K11)</f>
        <v>6.8624313719904872</v>
      </c>
      <c r="M14" s="148">
        <f>E135/E69</f>
        <v>0.25472411186696903</v>
      </c>
      <c r="N14" s="149">
        <f>F173/100</f>
        <v>1.1318000000000001</v>
      </c>
    </row>
    <row r="15" spans="1:15" s="93" customFormat="1" x14ac:dyDescent="0.25">
      <c r="A15" s="140" t="s">
        <v>375</v>
      </c>
      <c r="B15" s="141">
        <f>$D$62*B10</f>
        <v>164.93819999999999</v>
      </c>
      <c r="C15" s="141">
        <f>$D$62*C10</f>
        <v>174.98949999999999</v>
      </c>
      <c r="D15" s="141">
        <f>$D$62*D10</f>
        <v>181.89219999999997</v>
      </c>
      <c r="E15" s="141">
        <f>$D$62*E10</f>
        <v>190.42974999999998</v>
      </c>
      <c r="F15" s="141">
        <f>$D$62*F10</f>
        <v>200.9049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0.86923658352229793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157.85037251184238</v>
      </c>
      <c r="C16" s="141">
        <f>$F$69*C10</f>
        <v>167.46974176182985</v>
      </c>
      <c r="D16" s="141">
        <f>$F$69*D10</f>
        <v>174.07581462025496</v>
      </c>
      <c r="E16" s="141">
        <f>$F$69*E10</f>
        <v>182.24648368199129</v>
      </c>
      <c r="F16" s="141">
        <f>$F$69*F10</f>
        <v>192.27148898468909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230</v>
      </c>
      <c r="J17" s="92">
        <f ca="1">IF(I17&lt;=0,"",IF(I17&lt;=MIN($B$13:$F$16),(I17-MIN($B$13:$F$16))/MIN($B$13:$F$16),IF(I17&gt;=MAX($B$13:$F$16),I17/MAX($B$13:$F$16),PERCENTRANK($B$13:$F$16,I17))))</f>
        <v>0.97399999999999998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8.754999999999999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0.93386666666666651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0.10117020129122724</v>
      </c>
      <c r="J20" s="171">
        <f>HLOOKUP($C$1,$117:$127,11,FALSE)/HLOOKUP($C$1,$105:$115,11,FALSE)</f>
        <v>0.10316955979341499</v>
      </c>
      <c r="K20" s="163"/>
    </row>
    <row r="21" spans="1:14" s="93" customFormat="1" x14ac:dyDescent="0.25">
      <c r="A21" s="151" t="s">
        <v>201</v>
      </c>
      <c r="B21" s="161">
        <f>AVERAGE(C173:F173)/100</f>
        <v>1.243525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6.3449768066869625</v>
      </c>
      <c r="J21" s="78"/>
      <c r="K21" s="164" t="s">
        <v>356</v>
      </c>
      <c r="L21" s="165">
        <f>HLOOKUP($C$1,$105:$115,7,FALSE)/HLOOKUP($C$1,$105:$115,11,FALSE)</f>
        <v>0.44480173885645918</v>
      </c>
      <c r="M21" s="123" t="s">
        <v>268</v>
      </c>
      <c r="N21" s="165">
        <f>HLOOKUP($C$1,$117:$127,8,FALSE)/HLOOKUP($C$1,$117:$127,11,FALSE)</f>
        <v>0.67949280109776167</v>
      </c>
    </row>
    <row r="22" spans="1:14" s="93" customFormat="1" x14ac:dyDescent="0.25">
      <c r="A22" s="140" t="s">
        <v>222</v>
      </c>
      <c r="B22" s="161">
        <f>(-1)*SUM(C133:F133)/SUM(C132:F132)</f>
        <v>0.37486611924312735</v>
      </c>
      <c r="C22" s="157"/>
      <c r="D22" s="166"/>
      <c r="E22" s="140"/>
      <c r="F22" s="159">
        <f>IF(B22&lt;=0,10,IF(B22&gt;=100%,0,(1-B22)*10))</f>
        <v>6.2513388075687271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6.3381314262432404</v>
      </c>
      <c r="J22" s="78"/>
      <c r="K22" s="142" t="s">
        <v>357</v>
      </c>
      <c r="L22" s="165">
        <f>HLOOKUP($C$1,$105:$115,4,FALSE)/HLOOKUP($C$1,$105:$115,11,FALSE)</f>
        <v>8.9048624682621799E-2</v>
      </c>
      <c r="M22" s="123" t="s">
        <v>353</v>
      </c>
      <c r="N22" s="165">
        <f>HLOOKUP($C$1,$117:$127,4,FALSE)/HLOOKUP($C$1,$117:$127,11,FALSE)</f>
        <v>1.93793450916263E-2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1.1150379772676426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4.7988152159874882E-4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1.0004066919880332</v>
      </c>
      <c r="C24" s="169">
        <f>STDEV(C103:F103)</f>
        <v>2.9522787011343991E-4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65.69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3.5835352206426051E-2</v>
      </c>
      <c r="M24" s="123" t="s">
        <v>355</v>
      </c>
      <c r="N24" s="165">
        <f>HLOOKUP($C$1,$117:$127,9,FALSE)/HLOOKUP($C$1,$117:$127,11,FALSE)</f>
        <v>0.32050719890223833</v>
      </c>
    </row>
    <row r="25" spans="1:14" s="93" customFormat="1" x14ac:dyDescent="0.25">
      <c r="A25" s="151" t="s">
        <v>366</v>
      </c>
      <c r="B25" s="255">
        <f>AVERAGE(94:94)</f>
        <v>5371.95652173913</v>
      </c>
      <c r="C25" s="254">
        <f>STDEV(94:94)/AVERAGE(94:94)</f>
        <v>0.89863527977300661</v>
      </c>
      <c r="D25" s="76" t="str">
        <f>IF(C25&lt;=1,"高",IF(C25&lt;=2,"中","低"))</f>
        <v>高</v>
      </c>
      <c r="E25" s="149"/>
      <c r="F25" s="160">
        <f>MAX(0,10-ABS(C25))</f>
        <v>9.1013647202269929</v>
      </c>
      <c r="G25" s="88" t="s">
        <v>213</v>
      </c>
      <c r="H25" s="123" t="s">
        <v>232</v>
      </c>
      <c r="I25" s="170">
        <f>IF(HLOOKUP(C1,167:170,3,FALSE)="無",0,HLOOKUP(C1,167:170,3,FALSE))</f>
        <v>1.1499999999999999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119.69956521739131</v>
      </c>
      <c r="C26" s="172">
        <f>IF(COUNTIF(168:168,"&gt;0")=0,0,STDEV(168:168))</f>
        <v>44.35229895427787</v>
      </c>
      <c r="D26" s="76" t="str">
        <f>IF(C26&lt;=15,"高",IF(C26&lt;=30,"中","低"))</f>
        <v>低</v>
      </c>
      <c r="E26" s="149"/>
      <c r="F26" s="160">
        <f>IF(I24&lt;=60,4,IF(I24&lt;=90,3,IF(I24&lt;=120,2,IF(I24&lt;=150,1,0))))+IF(D26="高",6,IF(D26="中",4,2))</f>
        <v>5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7.54086956521739</v>
      </c>
      <c r="C27" s="172">
        <f>IF(COUNTIF(169:169,"&gt;0")=0,0,STDEV(169:169))</f>
        <v>11.97583510583765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0.66310000000000002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0.48092499999999999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26.125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11.362499999999999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9.375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9.4752475247524757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2586133.75</v>
      </c>
      <c r="C36" s="178">
        <f>STDEV(C97:F97)</f>
        <v>440934.00727196882</v>
      </c>
      <c r="D36" s="76" t="str">
        <f>IF(C36/B36&lt;15%,"高",IF(C36/B36&lt;30%,"中","低"))</f>
        <v>中</v>
      </c>
      <c r="E36" s="107">
        <f>IF(F97&gt;E97,1,0)+IF(E97&gt;D97,1,0)+IF(D97&gt;C97,1,0)</f>
        <v>2</v>
      </c>
      <c r="F36" s="179"/>
      <c r="G36" s="160">
        <f>IF(D36="高",6,IF(D36="中",4,2))+E36+1</f>
        <v>7</v>
      </c>
    </row>
    <row r="37" spans="1:14" x14ac:dyDescent="0.25">
      <c r="A37" s="164" t="s">
        <v>248</v>
      </c>
      <c r="B37" s="180">
        <f>AVERAGE(C152:F152)</f>
        <v>66.31</v>
      </c>
      <c r="C37" s="180">
        <f>STDEV(C152:F152)</f>
        <v>4.2838378431806552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55.2575</v>
      </c>
      <c r="C38" s="180">
        <f>STDEV(C153:F153)</f>
        <v>3.7289799767049807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26.125</v>
      </c>
      <c r="C39" s="181">
        <f>STDEV(C165:F165)</f>
        <v>2.495068469334393</v>
      </c>
      <c r="D39" s="76" t="str">
        <f>IF(C39/B39&lt;15%,"高",IF(C39/B39&lt;30%,"中","低"))</f>
        <v>高</v>
      </c>
      <c r="E39" s="107">
        <f>IF(F165&gt;E165,1,0)+IF(E165&gt;D165,1,0)+IF(D165&gt;C165,1,0)</f>
        <v>2</v>
      </c>
      <c r="F39" s="182"/>
      <c r="G39" s="160">
        <f>IF(D39="高",6,IF(D39="中",4,2))+E39+1</f>
        <v>9</v>
      </c>
    </row>
    <row r="40" spans="1:14" x14ac:dyDescent="0.25">
      <c r="A40" s="164" t="s">
        <v>14</v>
      </c>
      <c r="B40" s="183">
        <f>AVERAGE(B69:E69)</f>
        <v>11.362499999999999</v>
      </c>
      <c r="C40" s="183">
        <f>STDEV(B69:E69)</f>
        <v>1.5530051513114893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-0.13119533527696797</v>
      </c>
      <c r="C44" s="186">
        <f>(C46-C49)/C49</f>
        <v>-6.4705882352941099E-2</v>
      </c>
      <c r="D44" s="186">
        <f>(D46-D49)/D49</f>
        <v>-0.12676056338028163</v>
      </c>
      <c r="E44" s="186">
        <f>(E46-E49)/E49</f>
        <v>-5.3156146179401897E-2</v>
      </c>
      <c r="G44" s="86" t="s">
        <v>175</v>
      </c>
      <c r="H44" s="186">
        <f>(H47-H50)/H50</f>
        <v>2.1013824884792767E-2</v>
      </c>
      <c r="I44" s="186">
        <f>(I47-I50)/I50</f>
        <v>0.17700483091787445</v>
      </c>
      <c r="J44" s="186">
        <f>(J47-J50)/J50</f>
        <v>0.12400811957925825</v>
      </c>
      <c r="K44" s="186">
        <f>(K47-K50)/K50</f>
        <v>9.6498371335504887E-2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2.98</v>
      </c>
      <c r="C46" s="152">
        <f>HLOOKUP(C45,$81:$82,2,FALSE)</f>
        <v>3.18</v>
      </c>
      <c r="D46" s="152">
        <f>HLOOKUP(D45,$81:$82,2,FALSE)</f>
        <v>3.1</v>
      </c>
      <c r="E46" s="152">
        <f>HLOOKUP(E45,$81:$82,2,FALSE)</f>
        <v>2.85</v>
      </c>
      <c r="G46" s="86" t="s">
        <v>164</v>
      </c>
      <c r="H46" s="145">
        <f>HLOOKUP(H45,$145:$147,2,FALSE)/100</f>
        <v>0.72400000000000009</v>
      </c>
      <c r="I46" s="145">
        <f>HLOOKUP(I45,$145:$147,2,FALSE)/100</f>
        <v>0.75939999999999996</v>
      </c>
      <c r="J46" s="145">
        <f>HLOOKUP(J45,$145:$147,2,FALSE)/100</f>
        <v>0.73709999999999998</v>
      </c>
      <c r="K46" s="145">
        <f>HLOOKUP(K45,$145:$147,2,FALSE)/100</f>
        <v>0.68370000000000009</v>
      </c>
    </row>
    <row r="47" spans="1:14" x14ac:dyDescent="0.25">
      <c r="A47" s="188" t="s">
        <v>165</v>
      </c>
      <c r="B47" s="189">
        <f>HLOOKUP(B45,$157:$159,3,FALSE)</f>
        <v>6.63</v>
      </c>
      <c r="C47" s="189">
        <f>HLOOKUP(C45,$157:$159,3,FALSE)</f>
        <v>6.67</v>
      </c>
      <c r="D47" s="189">
        <f>HLOOKUP(D45,$157:$159,3,FALSE)</f>
        <v>6.17</v>
      </c>
      <c r="E47" s="189">
        <f>HLOOKUP(E45,$157:$159,3,FALSE)</f>
        <v>6.02</v>
      </c>
      <c r="G47" s="190" t="s">
        <v>166</v>
      </c>
      <c r="H47" s="145">
        <f>HLOOKUP(H45,$145:$147,3,FALSE)/100</f>
        <v>0.55390000000000006</v>
      </c>
      <c r="I47" s="145">
        <f>HLOOKUP(I45,$145:$147,3,FALSE)/100</f>
        <v>0.60909999999999997</v>
      </c>
      <c r="J47" s="145">
        <f>HLOOKUP(J45,$145:$147,3,FALSE)/100</f>
        <v>0.60909999999999997</v>
      </c>
      <c r="K47" s="145">
        <f>HLOOKUP(K45,$145:$147,3,FALSE)/100</f>
        <v>0.53859999999999997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3.43</v>
      </c>
      <c r="C49" s="152">
        <f>HLOOKUP(C48,$81:$82,2,FALSE)</f>
        <v>3.4</v>
      </c>
      <c r="D49" s="152">
        <f>HLOOKUP(D48,$81:$82,2,FALSE)</f>
        <v>3.55</v>
      </c>
      <c r="E49" s="152">
        <f>HLOOKUP(E48,$81:$82,2,FALSE)</f>
        <v>3.01</v>
      </c>
      <c r="G49" s="86" t="s">
        <v>164</v>
      </c>
      <c r="H49" s="145">
        <f>HLOOKUP(H48,$145:$147,2,FALSE)/100</f>
        <v>0.65290000000000004</v>
      </c>
      <c r="I49" s="145">
        <f>HLOOKUP(I48,$145:$147,2,FALSE)/100</f>
        <v>0.59560000000000002</v>
      </c>
      <c r="J49" s="145">
        <f>HLOOKUP(J48,$145:$147,2,FALSE)/100</f>
        <v>0.63</v>
      </c>
      <c r="K49" s="145">
        <f>HLOOKUP(K48,$145:$147,2,FALSE)/100</f>
        <v>0.57989999999999997</v>
      </c>
    </row>
    <row r="50" spans="1:15" x14ac:dyDescent="0.25">
      <c r="A50" s="188" t="s">
        <v>165</v>
      </c>
      <c r="B50" s="189">
        <f>HLOOKUP(B48,$157:$159,3,FALSE)</f>
        <v>7.77</v>
      </c>
      <c r="C50" s="189">
        <f>HLOOKUP(C48,$157:$159,3,FALSE)</f>
        <v>7.43</v>
      </c>
      <c r="D50" s="189">
        <f>HLOOKUP(D48,$157:$159,3,FALSE)</f>
        <v>7.52</v>
      </c>
      <c r="E50" s="189">
        <f>HLOOKUP(E48,$157:$159,3,FALSE)</f>
        <v>6.85</v>
      </c>
      <c r="G50" s="190" t="s">
        <v>166</v>
      </c>
      <c r="H50" s="145">
        <f>HLOOKUP(H48,$145:$147,3,FALSE)/100</f>
        <v>0.54249999999999998</v>
      </c>
      <c r="I50" s="145">
        <f>HLOOKUP(I48,$145:$147,3,FALSE)/100</f>
        <v>0.51749999999999996</v>
      </c>
      <c r="J50" s="145">
        <f>HLOOKUP(J48,$145:$147,3,FALSE)/100</f>
        <v>0.54189999999999994</v>
      </c>
      <c r="K50" s="145">
        <f>HLOOKUP(K48,$145:$147,3,FALSE)/100</f>
        <v>0.49119999999999997</v>
      </c>
    </row>
    <row r="51" spans="1:15" x14ac:dyDescent="0.25">
      <c r="A51" s="86" t="s">
        <v>351</v>
      </c>
      <c r="B51" s="186">
        <f>(B47-B50)/B50</f>
        <v>-0.14671814671814667</v>
      </c>
      <c r="C51" s="186">
        <f>(C47-C50)/C50</f>
        <v>-0.1022880215343203</v>
      </c>
      <c r="D51" s="186">
        <f>(D47-D50)/D50</f>
        <v>-0.17952127659574466</v>
      </c>
      <c r="E51" s="186">
        <f>(E47-E50)/E50</f>
        <v>-0.12116788321167885</v>
      </c>
      <c r="G51" s="235" t="s">
        <v>174</v>
      </c>
      <c r="H51" s="186">
        <f>(H46-H49)/H49</f>
        <v>0.10889875938122232</v>
      </c>
      <c r="I51" s="186">
        <f>(I46-I49)/I49</f>
        <v>0.27501678979180649</v>
      </c>
      <c r="J51" s="186">
        <f>(J46-J49)/J49</f>
        <v>0.16999999999999996</v>
      </c>
      <c r="K51" s="186">
        <f>(K46-K49)/K49</f>
        <v>0.17899637868598053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9.9928234287769797</v>
      </c>
      <c r="B53" s="193">
        <f>B46</f>
        <v>2.98</v>
      </c>
      <c r="C53" s="193">
        <f>E46/HLOOKUP(E45,$87:$94,5,FALSE)*HLOOKUP(E45,$87:$94,4,FALSE)*($B$25/HLOOKUP(E45,$87:$94,4,FALSE)+SUM($B$57:$D$57)/SUM($B58:$D$58)*$G$69/100/K46)</f>
        <v>2.3296015060089861</v>
      </c>
      <c r="D53" s="193">
        <f>D46/HLOOKUP(D45,$87:$94,5,FALSE)*HLOOKUP(D45,$87:$94,4,FALSE)*($B$25/HLOOKUP(D45,$87:$94,4,FALSE)+SUM($B$57:$D$57)/SUM($B58:$D$58)*$G$69/100/J46)</f>
        <v>2.4015403990058997</v>
      </c>
      <c r="E53" s="193">
        <f>C46/HLOOKUP(C45,$87:$94,5,FALSE)*HLOOKUP(C45,$87:$94,4,FALSE)*($B$25/HLOOKUP(C45,$87:$94,4,FALSE)+SUM($B$57:$D$57)/SUM($B58:$D$58)*$G$69/100/I46)</f>
        <v>2.2816815237620944</v>
      </c>
    </row>
    <row r="54" spans="1:15" x14ac:dyDescent="0.25">
      <c r="A54" s="278">
        <f>SUM(B54:E54)</f>
        <v>12.56</v>
      </c>
      <c r="B54" s="277">
        <f t="shared" ref="B54:D54" si="0">HLOOKUP(B52-10,81:82,2,FALSE)</f>
        <v>3.43</v>
      </c>
      <c r="C54" s="277">
        <f t="shared" si="0"/>
        <v>2.85</v>
      </c>
      <c r="D54" s="277">
        <f t="shared" si="0"/>
        <v>3.1</v>
      </c>
      <c r="E54" s="277">
        <f>HLOOKUP(E52-10,81:82,2,FALSE)</f>
        <v>3.18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205992</v>
      </c>
      <c r="C57" s="196">
        <f>HLOOKUP(C56,78:79,2,FALSE)</f>
        <v>229114</v>
      </c>
      <c r="D57" s="196">
        <f>HLOOKUP(D56,78:79,2,FALSE)</f>
        <v>225918</v>
      </c>
      <c r="E57" s="196">
        <f>HLOOKUP(E56,78:79,2,FALSE)</f>
        <v>216868</v>
      </c>
      <c r="F57" s="196">
        <f>HLOOKUP(F56,78:79,2,FALSE)</f>
        <v>234980</v>
      </c>
      <c r="G57" s="196">
        <f t="shared" ref="G57:M57" si="2">HLOOKUP(G56,78:79,2,FALSE)</f>
        <v>219983</v>
      </c>
      <c r="H57" s="196">
        <f t="shared" si="2"/>
        <v>195923</v>
      </c>
      <c r="I57" s="196">
        <f t="shared" si="2"/>
        <v>236720</v>
      </c>
      <c r="J57" s="196">
        <f t="shared" si="2"/>
        <v>213527</v>
      </c>
      <c r="K57" s="196">
        <f t="shared" si="2"/>
        <v>207026</v>
      </c>
      <c r="L57" s="196">
        <f t="shared" si="2"/>
        <v>217151</v>
      </c>
      <c r="M57" s="196">
        <f t="shared" si="2"/>
        <v>213322</v>
      </c>
      <c r="N57" s="197"/>
    </row>
    <row r="58" spans="1:15" x14ac:dyDescent="0.25">
      <c r="A58" s="198" t="s">
        <v>253</v>
      </c>
      <c r="B58" s="196">
        <f>HLOOKUP(B56-100,78:79,2,FALSE)</f>
        <v>239415</v>
      </c>
      <c r="C58" s="196">
        <f>HLOOKUP(C56-100,78:79,2,FALSE)</f>
        <v>270920</v>
      </c>
      <c r="D58" s="196">
        <f>HLOOKUP(D56-100,78:79,2,FALSE)</f>
        <v>281758</v>
      </c>
      <c r="E58" s="196">
        <f>HLOOKUP(E56-100,78:79,2,FALSE)</f>
        <v>254396</v>
      </c>
      <c r="F58" s="196">
        <f>HLOOKUP(F56-100,78:79,2,FALSE)</f>
        <v>273487</v>
      </c>
      <c r="G58" s="196">
        <f t="shared" ref="G58:M58" si="3">HLOOKUP(G56-100,78:79,2,FALSE)</f>
        <v>273515</v>
      </c>
      <c r="H58" s="196">
        <f t="shared" si="3"/>
        <v>286652</v>
      </c>
      <c r="I58" s="196">
        <f t="shared" si="3"/>
        <v>303508</v>
      </c>
      <c r="J58" s="196">
        <f t="shared" si="3"/>
        <v>248247</v>
      </c>
      <c r="K58" s="196">
        <f t="shared" si="3"/>
        <v>260161</v>
      </c>
      <c r="L58" s="196">
        <f t="shared" si="3"/>
        <v>272974</v>
      </c>
      <c r="M58" s="196">
        <f t="shared" si="3"/>
        <v>260055</v>
      </c>
      <c r="N58" s="197"/>
    </row>
    <row r="59" spans="1:15" x14ac:dyDescent="0.25">
      <c r="A59" s="199" t="s">
        <v>254</v>
      </c>
      <c r="B59" s="165">
        <f>IF(B57&lt;&gt;"",(B57-B58)/B58,"")</f>
        <v>-0.13960278178059018</v>
      </c>
      <c r="C59" s="165">
        <f>IF(C57&lt;&gt;"",(C57-C58)/C58,"")</f>
        <v>-0.15431123578916286</v>
      </c>
      <c r="D59" s="165">
        <f>IF(D57&lt;&gt;"",(D57-D58)/D58,"")</f>
        <v>-0.19818425741238935</v>
      </c>
      <c r="E59" s="165">
        <f>IF(E57&lt;&gt;"",(E57-E58)/E58,"")</f>
        <v>-0.14751804273652103</v>
      </c>
      <c r="F59" s="165">
        <f>IF(F57&lt;&gt;"",(F57-F58)/F58,"")</f>
        <v>-0.14080011115702026</v>
      </c>
      <c r="G59" s="165">
        <f t="shared" ref="G59:M59" si="4">IF(G57&lt;&gt;"",(G57-G58)/G58,"")</f>
        <v>-0.19571869915726742</v>
      </c>
      <c r="H59" s="165">
        <f t="shared" si="4"/>
        <v>-0.31651270530120146</v>
      </c>
      <c r="I59" s="165">
        <f t="shared" si="4"/>
        <v>-0.22005350765053969</v>
      </c>
      <c r="J59" s="165">
        <f t="shared" si="4"/>
        <v>-0.1398607032511974</v>
      </c>
      <c r="K59" s="165">
        <f t="shared" si="4"/>
        <v>-0.20423891359581181</v>
      </c>
      <c r="L59" s="165">
        <f t="shared" si="4"/>
        <v>-0.20449932960648268</v>
      </c>
      <c r="M59" s="165">
        <f t="shared" si="4"/>
        <v>-0.17970429332256638</v>
      </c>
    </row>
    <row r="60" spans="1:15" x14ac:dyDescent="0.25">
      <c r="A60" s="195" t="s">
        <v>255</v>
      </c>
      <c r="B60" s="196">
        <f>SUM(B57:M57)</f>
        <v>2616524</v>
      </c>
    </row>
    <row r="61" spans="1:15" x14ac:dyDescent="0.25">
      <c r="A61" s="198" t="s">
        <v>256</v>
      </c>
      <c r="B61" s="196">
        <f>SUM(B58:M58)</f>
        <v>3225088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0.81130313343387839</v>
      </c>
      <c r="D62" s="152">
        <f>SUM(B46:E46)</f>
        <v>12.11</v>
      </c>
      <c r="E62" s="152">
        <f>SUM(B49:E49)</f>
        <v>13.389999999999999</v>
      </c>
      <c r="G62" s="126">
        <f>SUM(B47:E47)</f>
        <v>25.49</v>
      </c>
      <c r="H62" s="126">
        <f>SUM(B50:E50)</f>
        <v>29.57</v>
      </c>
      <c r="J62" s="200">
        <f>AVERAGE(H46:K46)</f>
        <v>0.72604999999999997</v>
      </c>
      <c r="K62" s="200">
        <f>AVERAGE(H49:K49)</f>
        <v>0.61459999999999992</v>
      </c>
      <c r="M62" s="200">
        <f>AVERAGE(H47:K47)</f>
        <v>0.57767499999999994</v>
      </c>
      <c r="N62" s="200">
        <f>AVERAGE(H50:K50)</f>
        <v>0.52327500000000005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2.33</v>
      </c>
      <c r="C65" s="205">
        <f t="shared" si="5"/>
        <v>2.56</v>
      </c>
      <c r="D65" s="205">
        <f t="shared" si="5"/>
        <v>2.74</v>
      </c>
      <c r="E65" s="205">
        <f t="shared" si="5"/>
        <v>3.55</v>
      </c>
      <c r="F65" s="206">
        <f>IF(ISNA(HLOOKUP(F$64*10+$A65,$81:$82,2,FALSE)),(HLOOKUP(E$64*10+$A65,$87:$94,4,FALSE)*$G65+$B$25)/HLOOKUP(E$64*10+$A65,$87:$94,5,FALSE)*$E65,HLOOKUP(F$64*10+$A65,$81:$82,2,FALSE))</f>
        <v>3.1</v>
      </c>
      <c r="G65" s="101">
        <f>MIN(130%,SUM($B$57:$D$57)/SUM($B$58:$D$58)*$G$69/HLOOKUP(E$64*10+$A65,$145:$146,2,FALSE))</f>
        <v>0.8783781667007603</v>
      </c>
      <c r="H65" s="204">
        <v>1</v>
      </c>
      <c r="I65" s="208">
        <f t="shared" ref="I65:M68" si="6">IF(ISNA(HLOOKUP(I$64*10+$H65,$145:$147,3,FALSE)),"",HLOOKUP(I$64*10+$H65,$145:$147,3,FALSE)/100)</f>
        <v>0.55200000000000005</v>
      </c>
      <c r="J65" s="208">
        <f t="shared" si="6"/>
        <v>0.58750000000000002</v>
      </c>
      <c r="K65" s="208">
        <f t="shared" si="6"/>
        <v>0.62329999999999997</v>
      </c>
      <c r="L65" s="208">
        <f t="shared" si="6"/>
        <v>0.54189999999999994</v>
      </c>
      <c r="M65" s="209">
        <f t="shared" si="6"/>
        <v>0.60909999999999997</v>
      </c>
      <c r="N65" s="256">
        <f t="shared" ref="N65:O68" si="7">HLOOKUP(E$64*10+$A65,$87:$94,8,FALSE)</f>
        <v>7117</v>
      </c>
      <c r="O65" s="256">
        <f t="shared" si="7"/>
        <v>-5437</v>
      </c>
      <c r="P65" s="210"/>
    </row>
    <row r="66" spans="1:71" x14ac:dyDescent="0.25">
      <c r="A66" s="204">
        <v>2</v>
      </c>
      <c r="B66" s="205">
        <f t="shared" si="5"/>
        <v>2.4500000000000002</v>
      </c>
      <c r="C66" s="205">
        <f t="shared" si="5"/>
        <v>2.14</v>
      </c>
      <c r="D66" s="205">
        <f t="shared" si="5"/>
        <v>2.58</v>
      </c>
      <c r="E66" s="205">
        <f t="shared" si="5"/>
        <v>3.4</v>
      </c>
      <c r="F66" s="206">
        <f>IF(ISNA(HLOOKUP(F$64*10+$A66,$81:$82,2,FALSE)),(HLOOKUP(E$64*10+$A66,$87:$94,4,FALSE)*$G66+$B$25)/HLOOKUP(E$64*10+$A66,$87:$94,5,FALSE)*$E66,HLOOKUP(F$64*10+$A66,$81:$82,2,FALSE))</f>
        <v>3.18</v>
      </c>
      <c r="G66" s="101">
        <f>MIN(130%,SUM($B$57:$D$57)/SUM($B$58:$D$58)*$G$69/HLOOKUP(E$64*10+$A66,$145:$146,2,FALSE))</f>
        <v>0.92911055242021312</v>
      </c>
      <c r="H66" s="204">
        <v>2</v>
      </c>
      <c r="I66" s="208">
        <f t="shared" si="6"/>
        <v>0.54789999999999994</v>
      </c>
      <c r="J66" s="208">
        <f t="shared" si="6"/>
        <v>0.54259999999999997</v>
      </c>
      <c r="K66" s="208">
        <f t="shared" si="6"/>
        <v>0.50539999999999996</v>
      </c>
      <c r="L66" s="208">
        <f t="shared" si="6"/>
        <v>0.51749999999999996</v>
      </c>
      <c r="M66" s="209">
        <f t="shared" si="6"/>
        <v>0.60909999999999997</v>
      </c>
      <c r="N66" s="256">
        <f t="shared" si="7"/>
        <v>1843</v>
      </c>
      <c r="O66" s="256">
        <f t="shared" si="7"/>
        <v>13672</v>
      </c>
      <c r="P66" s="210"/>
    </row>
    <row r="67" spans="1:71" x14ac:dyDescent="0.25">
      <c r="A67" s="204">
        <v>3</v>
      </c>
      <c r="B67" s="205">
        <f t="shared" si="5"/>
        <v>3.63</v>
      </c>
      <c r="C67" s="205">
        <f t="shared" si="5"/>
        <v>2.13</v>
      </c>
      <c r="D67" s="205">
        <f t="shared" si="5"/>
        <v>2.99</v>
      </c>
      <c r="E67" s="205">
        <f t="shared" si="5"/>
        <v>3.43</v>
      </c>
      <c r="F67" s="206">
        <f>IF(ISNA(HLOOKUP(F$64*10+$A67,$81:$82,2,FALSE)),(HLOOKUP(E$64*10+$A67,$87:$94,4,FALSE)*$G67+$B$25)/HLOOKUP(E$64*10+$A67,$87:$94,5,FALSE)*$E67,HLOOKUP(F$64*10+$A67,$81:$82,2,FALSE))</f>
        <v>2.98</v>
      </c>
      <c r="G67" s="101">
        <f>MIN(130%,SUM($B$57:$D$57)/SUM($B$58:$D$58)*$G$69/HLOOKUP(E$64*10+$A67,$145:$146,2,FALSE))</f>
        <v>0.8475696814542486</v>
      </c>
      <c r="H67" s="204">
        <v>3</v>
      </c>
      <c r="I67" s="208">
        <f t="shared" si="6"/>
        <v>0.65969999999999995</v>
      </c>
      <c r="J67" s="208">
        <f t="shared" si="6"/>
        <v>0.51200000000000001</v>
      </c>
      <c r="K67" s="208">
        <f t="shared" si="6"/>
        <v>0.47090000000000004</v>
      </c>
      <c r="L67" s="208">
        <f t="shared" si="6"/>
        <v>0.54249999999999998</v>
      </c>
      <c r="M67" s="209">
        <f t="shared" si="6"/>
        <v>0.55390000000000006</v>
      </c>
      <c r="N67" s="256">
        <f t="shared" si="7"/>
        <v>660</v>
      </c>
      <c r="O67" s="256">
        <f t="shared" si="7"/>
        <v>9255</v>
      </c>
      <c r="P67" s="210"/>
    </row>
    <row r="68" spans="1:71" x14ac:dyDescent="0.25">
      <c r="A68" s="204">
        <v>4</v>
      </c>
      <c r="B68" s="205">
        <f>HLOOKUP(B$64*10+$A68,$81:$82,2,FALSE)</f>
        <v>3.06</v>
      </c>
      <c r="C68" s="205">
        <f>HLOOKUP(C$64*10+$A68,$81:$82,2,FALSE)</f>
        <v>2.6</v>
      </c>
      <c r="D68" s="205">
        <f>HLOOKUP(D$64*10+$A68,$81:$82,2,FALSE)</f>
        <v>3.01</v>
      </c>
      <c r="E68" s="206">
        <f>IF(ISNA(HLOOKUP(E$64*10+$A68,$81:$82,2,FALSE)),D68*(1-$N68)*#REF!*(1+$B$25)/(1+$E$4),HLOOKUP(E$64*10+$A68,$81:$82,2,FALSE))</f>
        <v>2.85</v>
      </c>
      <c r="F68" s="206">
        <f>IF(ISNA(HLOOKUP(F$64*10+$A68,$81:$82,2,FALSE)),(HLOOKUP(E$64*10+$A68,$87:$94,4,FALSE)*$G68+$B$25)/HLOOKUP(E$64*10+$A68,$87:$94,5,FALSE)*$E68,HLOOKUP(F$64*10+$A68,$81:$82,2,FALSE))</f>
        <v>2.329601506008987</v>
      </c>
      <c r="G68" s="101">
        <f>MIN(130%,SUM($B$57:$D$57)/SUM($B$58:$D$58)*$G$69/HLOOKUP(E$64*10+$A68,$145:$146,2,FALSE))</f>
        <v>0.80938751648600105</v>
      </c>
      <c r="H68" s="204">
        <v>4</v>
      </c>
      <c r="I68" s="208">
        <f t="shared" si="6"/>
        <v>0.63009999999999999</v>
      </c>
      <c r="J68" s="208">
        <f t="shared" si="6"/>
        <v>0.58619999999999994</v>
      </c>
      <c r="K68" s="208">
        <f t="shared" si="6"/>
        <v>0.49119999999999997</v>
      </c>
      <c r="L68" s="208">
        <f t="shared" si="6"/>
        <v>0.53859999999999997</v>
      </c>
      <c r="M68" s="209" t="str">
        <f t="shared" si="6"/>
        <v/>
      </c>
      <c r="N68" s="256">
        <f t="shared" si="7"/>
        <v>3031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11.47</v>
      </c>
      <c r="C69" s="213">
        <f>SUM(C65:C68)</f>
        <v>9.43</v>
      </c>
      <c r="D69" s="213">
        <f>SUM(D65:D68)</f>
        <v>11.32</v>
      </c>
      <c r="E69" s="213">
        <f>SUM(E65:E68)</f>
        <v>13.229999999999999</v>
      </c>
      <c r="F69" s="213">
        <f>SUM(F65:F68)</f>
        <v>11.589601506008986</v>
      </c>
      <c r="G69" s="257">
        <f>_xlfn.FORECAST.ETS(23,B146:W146,{1,2,3,4,5,6,7,8,9,10,11,12,13,14,15,16,17,18,19,20,21,22})</f>
        <v>66.31030556134094</v>
      </c>
      <c r="H69" s="214" t="s">
        <v>19</v>
      </c>
      <c r="I69" s="215">
        <f>HLOOKUP(I64,151:155,3,FALSE)/100</f>
        <v>0.60209999999999997</v>
      </c>
      <c r="J69" s="215">
        <f>HLOOKUP(J64,151:155,3,FALSE)/100</f>
        <v>0.55789999999999995</v>
      </c>
      <c r="K69" s="215">
        <f>HLOOKUP(K64,151:155,3,FALSE)/100</f>
        <v>0.51549999999999996</v>
      </c>
      <c r="L69" s="215">
        <f>IF(ISNA(HLOOKUP(L64,151:155,3,FALSE)/100),AVERAGE(L65:L68),HLOOKUP(L64,151:155,3,FALSE)/100)</f>
        <v>0.53479999999999994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5.47</v>
      </c>
      <c r="C72" s="205">
        <f t="shared" si="8"/>
        <v>6.08</v>
      </c>
      <c r="D72" s="205">
        <f t="shared" si="8"/>
        <v>6.28</v>
      </c>
      <c r="E72" s="205">
        <f t="shared" si="8"/>
        <v>7.52</v>
      </c>
      <c r="F72" s="205">
        <f t="shared" si="8"/>
        <v>6.17</v>
      </c>
    </row>
    <row r="73" spans="1:71" s="135" customFormat="1" x14ac:dyDescent="0.25">
      <c r="A73" s="204">
        <v>2</v>
      </c>
      <c r="B73" s="205">
        <f t="shared" si="8"/>
        <v>6.3</v>
      </c>
      <c r="C73" s="205">
        <f t="shared" si="8"/>
        <v>5.3</v>
      </c>
      <c r="D73" s="205">
        <f t="shared" si="8"/>
        <v>6.11</v>
      </c>
      <c r="E73" s="205">
        <f t="shared" si="8"/>
        <v>7.43</v>
      </c>
      <c r="F73" s="205">
        <f t="shared" si="8"/>
        <v>6.67</v>
      </c>
    </row>
    <row r="74" spans="1:71" s="135" customFormat="1" x14ac:dyDescent="0.25">
      <c r="A74" s="204">
        <v>3</v>
      </c>
      <c r="B74" s="205">
        <f t="shared" si="8"/>
        <v>10.11</v>
      </c>
      <c r="C74" s="205">
        <f t="shared" si="8"/>
        <v>5.53</v>
      </c>
      <c r="D74" s="205">
        <f t="shared" si="8"/>
        <v>7.28</v>
      </c>
      <c r="E74" s="205">
        <f t="shared" si="8"/>
        <v>7.77</v>
      </c>
      <c r="F74" s="205">
        <f t="shared" si="8"/>
        <v>6.63</v>
      </c>
    </row>
    <row r="75" spans="1:71" s="135" customFormat="1" x14ac:dyDescent="0.25">
      <c r="A75" s="204">
        <v>4</v>
      </c>
      <c r="B75" s="205">
        <f t="shared" si="8"/>
        <v>7.81</v>
      </c>
      <c r="C75" s="205">
        <f t="shared" si="8"/>
        <v>6.35</v>
      </c>
      <c r="D75" s="205">
        <f t="shared" si="8"/>
        <v>6.85</v>
      </c>
      <c r="E75" s="205">
        <f t="shared" si="8"/>
        <v>6.02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29.689999999999998</v>
      </c>
      <c r="C76" s="213">
        <f>SUM(C72:C75)</f>
        <v>23.259999999999998</v>
      </c>
      <c r="D76" s="213">
        <f>SUM(D72:D75)</f>
        <v>26.520000000000003</v>
      </c>
      <c r="E76" s="213">
        <f>AVERAGE(E72:E75)*4</f>
        <v>28.74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188828</v>
      </c>
      <c r="C79" s="270">
        <v>214072</v>
      </c>
      <c r="D79" s="270">
        <v>276851</v>
      </c>
      <c r="E79" s="270">
        <v>230718</v>
      </c>
      <c r="F79" s="270">
        <v>213400</v>
      </c>
      <c r="G79" s="270">
        <v>242997</v>
      </c>
      <c r="H79" s="270">
        <v>232344</v>
      </c>
      <c r="I79" s="270">
        <v>214443</v>
      </c>
      <c r="J79" s="270">
        <v>227811</v>
      </c>
      <c r="K79" s="270">
        <v>210266</v>
      </c>
      <c r="L79" s="270">
        <v>200696</v>
      </c>
      <c r="M79" s="270">
        <v>165483</v>
      </c>
      <c r="N79" s="270">
        <v>182319</v>
      </c>
      <c r="O79" s="270">
        <v>159970</v>
      </c>
      <c r="P79" s="270">
        <v>175363</v>
      </c>
      <c r="Q79" s="270">
        <v>176201</v>
      </c>
      <c r="R79" s="270">
        <v>193325</v>
      </c>
      <c r="S79" s="270">
        <v>181856</v>
      </c>
      <c r="T79" s="270">
        <v>222429</v>
      </c>
      <c r="U79" s="270">
        <v>221758</v>
      </c>
      <c r="V79" s="270">
        <v>233221</v>
      </c>
      <c r="W79" s="270">
        <v>202948</v>
      </c>
      <c r="X79" s="270">
        <v>188198</v>
      </c>
      <c r="Y79" s="270">
        <v>205470</v>
      </c>
      <c r="Z79" s="270">
        <v>187003</v>
      </c>
      <c r="AA79" s="270">
        <v>165975</v>
      </c>
      <c r="AB79" s="270">
        <v>182284</v>
      </c>
      <c r="AC79" s="270">
        <v>191639</v>
      </c>
      <c r="AD79" s="270">
        <v>182479</v>
      </c>
      <c r="AE79" s="270">
        <v>175342</v>
      </c>
      <c r="AF79" s="270">
        <v>169730</v>
      </c>
      <c r="AG79" s="270">
        <v>162759</v>
      </c>
      <c r="AH79" s="270">
        <v>167267</v>
      </c>
      <c r="AI79" s="270">
        <v>170031</v>
      </c>
      <c r="AJ79" s="270">
        <v>182130</v>
      </c>
      <c r="AK79" s="270">
        <v>191836</v>
      </c>
      <c r="AL79" s="270">
        <v>168834</v>
      </c>
      <c r="AM79" s="270">
        <v>160479</v>
      </c>
      <c r="AN79" s="270">
        <v>221098</v>
      </c>
      <c r="AO79" s="270">
        <v>186430</v>
      </c>
      <c r="AP79" s="270">
        <v>242778</v>
      </c>
      <c r="AQ79" s="270">
        <v>223463</v>
      </c>
      <c r="AR79" s="270">
        <v>250667</v>
      </c>
      <c r="AS79" s="270">
        <v>255089</v>
      </c>
      <c r="AT79" s="270">
        <v>246852</v>
      </c>
      <c r="AU79" s="270">
        <v>261751</v>
      </c>
      <c r="AV79" s="270">
        <v>260055</v>
      </c>
      <c r="AW79" s="270">
        <v>272974</v>
      </c>
      <c r="AX79" s="270">
        <v>260161</v>
      </c>
      <c r="AY79" s="270">
        <v>248247</v>
      </c>
      <c r="AZ79" s="270">
        <v>303508</v>
      </c>
      <c r="BA79" s="270">
        <v>286652</v>
      </c>
      <c r="BB79" s="270">
        <v>273515</v>
      </c>
      <c r="BC79" s="270">
        <v>273487</v>
      </c>
      <c r="BD79" s="270">
        <v>254396</v>
      </c>
      <c r="BE79" s="270">
        <v>281758</v>
      </c>
      <c r="BF79" s="270">
        <v>270920</v>
      </c>
      <c r="BG79" s="270">
        <v>239415</v>
      </c>
      <c r="BH79" s="270">
        <v>213322</v>
      </c>
      <c r="BI79" s="270">
        <v>217151</v>
      </c>
      <c r="BJ79" s="270">
        <v>207026</v>
      </c>
      <c r="BK79" s="270">
        <v>213527</v>
      </c>
      <c r="BL79" s="270">
        <v>236720</v>
      </c>
      <c r="BM79" s="270">
        <v>195923</v>
      </c>
      <c r="BN79" s="270">
        <v>219983</v>
      </c>
      <c r="BO79" s="270">
        <v>234980</v>
      </c>
      <c r="BP79" s="270">
        <v>216868</v>
      </c>
      <c r="BQ79" s="270">
        <v>225918</v>
      </c>
      <c r="BR79" s="270">
        <v>229114</v>
      </c>
      <c r="BS79" s="270">
        <v>205992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3.42</v>
      </c>
      <c r="C82" s="72">
        <v>3.82</v>
      </c>
      <c r="D82" s="72">
        <v>3.28</v>
      </c>
      <c r="E82" s="72">
        <v>2.85</v>
      </c>
      <c r="F82" s="72">
        <v>2.33</v>
      </c>
      <c r="G82" s="72">
        <v>2.4500000000000002</v>
      </c>
      <c r="H82" s="72">
        <v>3.63</v>
      </c>
      <c r="I82" s="72">
        <v>3.06</v>
      </c>
      <c r="J82" s="72">
        <v>2.56</v>
      </c>
      <c r="K82" s="72">
        <v>2.14</v>
      </c>
      <c r="L82" s="72">
        <v>2.13</v>
      </c>
      <c r="M82" s="72">
        <v>2.6</v>
      </c>
      <c r="N82" s="72">
        <v>2.74</v>
      </c>
      <c r="O82" s="72">
        <v>2.58</v>
      </c>
      <c r="P82" s="72">
        <v>2.99</v>
      </c>
      <c r="Q82" s="72">
        <v>3.01</v>
      </c>
      <c r="R82" s="72">
        <v>3.55</v>
      </c>
      <c r="S82" s="72">
        <v>3.4</v>
      </c>
      <c r="T82" s="72">
        <v>3.43</v>
      </c>
      <c r="U82" s="72">
        <v>2.85</v>
      </c>
      <c r="V82" s="72">
        <v>3.1</v>
      </c>
      <c r="W82" s="72">
        <v>3.18</v>
      </c>
      <c r="X82" s="72">
        <v>2.98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42.38</v>
      </c>
      <c r="C85" s="72">
        <v>35.32</v>
      </c>
      <c r="D85" s="72">
        <v>38.6</v>
      </c>
      <c r="E85" s="72">
        <v>41.44</v>
      </c>
      <c r="F85" s="72">
        <v>43.64</v>
      </c>
      <c r="G85" s="72">
        <v>34.06</v>
      </c>
      <c r="H85" s="72">
        <v>37.69</v>
      </c>
      <c r="I85" s="72">
        <v>40.76</v>
      </c>
      <c r="J85" s="72">
        <v>43.32</v>
      </c>
      <c r="K85" s="72">
        <v>37.450000000000003</v>
      </c>
      <c r="L85" s="72">
        <v>39.590000000000003</v>
      </c>
      <c r="M85" s="72">
        <v>42.17</v>
      </c>
      <c r="N85" s="72">
        <v>44.91</v>
      </c>
      <c r="O85" s="72">
        <v>39.479999999999997</v>
      </c>
      <c r="P85" s="72">
        <v>42.48</v>
      </c>
      <c r="Q85" s="72">
        <v>45.47</v>
      </c>
      <c r="R85" s="72">
        <v>49.02</v>
      </c>
      <c r="S85" s="72">
        <v>42.42</v>
      </c>
      <c r="T85" s="72">
        <v>45.84</v>
      </c>
      <c r="U85" s="72">
        <v>48.67</v>
      </c>
      <c r="V85" s="72">
        <v>51.76</v>
      </c>
      <c r="W85" s="72">
        <v>43.45</v>
      </c>
      <c r="X85" s="72">
        <v>46.43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679750</v>
      </c>
      <c r="C88" s="273">
        <v>687115</v>
      </c>
      <c r="D88" s="273">
        <v>674598</v>
      </c>
      <c r="E88" s="273">
        <v>576445</v>
      </c>
      <c r="F88" s="273">
        <v>517652</v>
      </c>
      <c r="G88" s="273">
        <v>551381</v>
      </c>
      <c r="H88" s="273">
        <v>677408</v>
      </c>
      <c r="I88" s="273">
        <v>596616</v>
      </c>
      <c r="J88" s="273">
        <v>535097</v>
      </c>
      <c r="K88" s="273">
        <v>549624</v>
      </c>
      <c r="L88" s="273">
        <v>499756</v>
      </c>
      <c r="M88" s="273">
        <v>543998</v>
      </c>
      <c r="N88" s="273">
        <v>550406</v>
      </c>
      <c r="O88" s="273">
        <v>652676</v>
      </c>
      <c r="P88" s="273">
        <v>752608</v>
      </c>
      <c r="Q88" s="273">
        <v>794780</v>
      </c>
      <c r="R88" s="273">
        <v>811916</v>
      </c>
      <c r="S88" s="273">
        <v>833654</v>
      </c>
      <c r="T88" s="273">
        <v>806552</v>
      </c>
      <c r="U88" s="273">
        <v>670411</v>
      </c>
      <c r="V88" s="273">
        <v>657273</v>
      </c>
      <c r="W88" s="273">
        <v>650886</v>
      </c>
      <c r="X88" s="273">
        <v>671900</v>
      </c>
    </row>
    <row r="89" spans="1:25" ht="14.25" thickBot="1" x14ac:dyDescent="0.3">
      <c r="A89" s="250" t="s">
        <v>4</v>
      </c>
      <c r="B89" s="275">
        <v>456400</v>
      </c>
      <c r="C89" s="275">
        <v>498144</v>
      </c>
      <c r="D89" s="275">
        <v>446943</v>
      </c>
      <c r="E89" s="275">
        <v>400946</v>
      </c>
      <c r="F89" s="275">
        <v>344515</v>
      </c>
      <c r="G89" s="275">
        <v>366031</v>
      </c>
      <c r="H89" s="275">
        <v>510222</v>
      </c>
      <c r="I89" s="275">
        <v>439057</v>
      </c>
      <c r="J89" s="275">
        <v>375038</v>
      </c>
      <c r="K89" s="275">
        <v>373817</v>
      </c>
      <c r="L89" s="275">
        <v>329485</v>
      </c>
      <c r="M89" s="275">
        <v>388366</v>
      </c>
      <c r="N89" s="275">
        <v>412474</v>
      </c>
      <c r="O89" s="275">
        <v>398738</v>
      </c>
      <c r="P89" s="275">
        <v>423855</v>
      </c>
      <c r="Q89" s="275">
        <v>460868</v>
      </c>
      <c r="R89" s="275">
        <v>511529</v>
      </c>
      <c r="S89" s="275">
        <v>496535</v>
      </c>
      <c r="T89" s="275">
        <v>526617</v>
      </c>
      <c r="U89" s="275">
        <v>458383</v>
      </c>
      <c r="V89" s="275">
        <v>484447</v>
      </c>
      <c r="W89" s="275">
        <v>494287</v>
      </c>
      <c r="X89" s="275">
        <v>486484</v>
      </c>
    </row>
    <row r="90" spans="1:25" ht="14.25" thickBot="1" x14ac:dyDescent="0.3">
      <c r="A90" s="251" t="s">
        <v>5</v>
      </c>
      <c r="B90" s="273">
        <v>411380</v>
      </c>
      <c r="C90" s="273">
        <v>457808</v>
      </c>
      <c r="D90" s="273">
        <v>398314</v>
      </c>
      <c r="E90" s="273">
        <v>342332</v>
      </c>
      <c r="F90" s="273">
        <v>285764</v>
      </c>
      <c r="G90" s="273">
        <v>302125</v>
      </c>
      <c r="H90" s="273">
        <v>446917</v>
      </c>
      <c r="I90" s="273">
        <v>375952</v>
      </c>
      <c r="J90" s="273">
        <v>314387</v>
      </c>
      <c r="K90" s="273">
        <v>298239</v>
      </c>
      <c r="L90" s="273">
        <v>255851</v>
      </c>
      <c r="M90" s="273">
        <v>318903</v>
      </c>
      <c r="N90" s="273">
        <v>343078</v>
      </c>
      <c r="O90" s="273">
        <v>329837</v>
      </c>
      <c r="P90" s="273">
        <v>354407</v>
      </c>
      <c r="Q90" s="273">
        <v>390426</v>
      </c>
      <c r="R90" s="273">
        <v>440007</v>
      </c>
      <c r="S90" s="273">
        <v>431400</v>
      </c>
      <c r="T90" s="273">
        <v>437537</v>
      </c>
      <c r="U90" s="273">
        <v>361055</v>
      </c>
      <c r="V90" s="273">
        <v>400334</v>
      </c>
      <c r="W90" s="273">
        <v>396425</v>
      </c>
      <c r="X90" s="273">
        <v>372139</v>
      </c>
    </row>
    <row r="91" spans="1:25" ht="14.25" thickBot="1" x14ac:dyDescent="0.3">
      <c r="A91" s="250" t="s">
        <v>6</v>
      </c>
      <c r="B91" s="275">
        <v>415558</v>
      </c>
      <c r="C91" s="275">
        <v>464946</v>
      </c>
      <c r="D91" s="275">
        <v>401922</v>
      </c>
      <c r="E91" s="275">
        <v>347031</v>
      </c>
      <c r="F91" s="275">
        <v>290536</v>
      </c>
      <c r="G91" s="275">
        <v>306480</v>
      </c>
      <c r="H91" s="275">
        <v>453064</v>
      </c>
      <c r="I91" s="275">
        <v>381208</v>
      </c>
      <c r="J91" s="275">
        <v>319042</v>
      </c>
      <c r="K91" s="275">
        <v>300971</v>
      </c>
      <c r="L91" s="275">
        <v>266920</v>
      </c>
      <c r="M91" s="275">
        <v>329837</v>
      </c>
      <c r="N91" s="275">
        <v>346736</v>
      </c>
      <c r="O91" s="275">
        <v>333564</v>
      </c>
      <c r="P91" s="275">
        <v>371749</v>
      </c>
      <c r="Q91" s="275">
        <v>389570</v>
      </c>
      <c r="R91" s="275">
        <v>447124</v>
      </c>
      <c r="S91" s="275">
        <v>433243</v>
      </c>
      <c r="T91" s="275">
        <v>438197</v>
      </c>
      <c r="U91" s="275">
        <v>364086</v>
      </c>
      <c r="V91" s="275">
        <v>394897</v>
      </c>
      <c r="W91" s="275">
        <v>410097</v>
      </c>
      <c r="X91" s="275">
        <v>381394</v>
      </c>
    </row>
    <row r="92" spans="1:25" ht="14.25" thickBot="1" x14ac:dyDescent="0.3">
      <c r="A92" s="251" t="s">
        <v>7</v>
      </c>
      <c r="B92" s="273">
        <v>372586</v>
      </c>
      <c r="C92" s="273">
        <v>416329</v>
      </c>
      <c r="D92" s="273">
        <v>356796</v>
      </c>
      <c r="E92" s="273">
        <v>309896</v>
      </c>
      <c r="F92" s="273">
        <v>253590</v>
      </c>
      <c r="G92" s="273">
        <v>266333</v>
      </c>
      <c r="H92" s="273">
        <v>394932</v>
      </c>
      <c r="I92" s="273">
        <v>333366</v>
      </c>
      <c r="J92" s="273">
        <v>278489</v>
      </c>
      <c r="K92" s="273">
        <v>232933</v>
      </c>
      <c r="L92" s="273">
        <v>231949</v>
      </c>
      <c r="M92" s="273">
        <v>282704</v>
      </c>
      <c r="N92" s="273">
        <v>297762</v>
      </c>
      <c r="O92" s="273">
        <v>280591</v>
      </c>
      <c r="P92" s="273">
        <v>325123</v>
      </c>
      <c r="Q92" s="273">
        <v>327998</v>
      </c>
      <c r="R92" s="273">
        <v>386740</v>
      </c>
      <c r="S92" s="273">
        <v>369872</v>
      </c>
      <c r="T92" s="273">
        <v>373489</v>
      </c>
      <c r="U92" s="273">
        <v>309954</v>
      </c>
      <c r="V92" s="273">
        <v>337483</v>
      </c>
      <c r="W92" s="273">
        <v>345922</v>
      </c>
      <c r="X92" s="273">
        <v>324309</v>
      </c>
    </row>
    <row r="93" spans="1:25" ht="26.25" thickBot="1" x14ac:dyDescent="0.3">
      <c r="A93" s="252" t="s">
        <v>8</v>
      </c>
      <c r="B93" s="276">
        <v>372586</v>
      </c>
      <c r="C93" s="276">
        <v>416329</v>
      </c>
      <c r="D93" s="276">
        <v>356796</v>
      </c>
      <c r="E93" s="276">
        <v>309896</v>
      </c>
      <c r="F93" s="276">
        <v>253590</v>
      </c>
      <c r="G93" s="276">
        <v>266333</v>
      </c>
      <c r="H93" s="276">
        <v>394932</v>
      </c>
      <c r="I93" s="276">
        <v>333366</v>
      </c>
      <c r="J93" s="276">
        <v>278489</v>
      </c>
      <c r="K93" s="276">
        <v>232933</v>
      </c>
      <c r="L93" s="276">
        <v>232156</v>
      </c>
      <c r="M93" s="276">
        <v>282916</v>
      </c>
      <c r="N93" s="276">
        <v>298009</v>
      </c>
      <c r="O93" s="276">
        <v>280769</v>
      </c>
      <c r="P93" s="276">
        <v>325198</v>
      </c>
      <c r="Q93" s="276">
        <v>328145</v>
      </c>
      <c r="R93" s="276">
        <v>386798</v>
      </c>
      <c r="S93" s="276">
        <v>370026</v>
      </c>
      <c r="T93" s="276">
        <v>373671</v>
      </c>
      <c r="U93" s="276">
        <v>310558</v>
      </c>
      <c r="V93" s="276">
        <v>337483</v>
      </c>
      <c r="W93" s="276">
        <v>345922</v>
      </c>
      <c r="X93" s="276">
        <v>324309</v>
      </c>
    </row>
    <row r="94" spans="1:25" x14ac:dyDescent="0.25">
      <c r="A94" s="233" t="s">
        <v>365</v>
      </c>
      <c r="B94" s="253">
        <f>IF(B91="","",B91-B90)</f>
        <v>4178</v>
      </c>
      <c r="C94" s="253">
        <f>IF(C91="","",C91-C90)</f>
        <v>7138</v>
      </c>
      <c r="D94" s="253">
        <f t="shared" ref="D94:Y94" si="9">IF(D91="","",D91-D90)</f>
        <v>3608</v>
      </c>
      <c r="E94" s="253">
        <f t="shared" si="9"/>
        <v>4699</v>
      </c>
      <c r="F94" s="253">
        <f t="shared" si="9"/>
        <v>4772</v>
      </c>
      <c r="G94" s="253">
        <f t="shared" si="9"/>
        <v>4355</v>
      </c>
      <c r="H94" s="253">
        <f t="shared" si="9"/>
        <v>6147</v>
      </c>
      <c r="I94" s="253">
        <f t="shared" si="9"/>
        <v>5256</v>
      </c>
      <c r="J94" s="253">
        <f t="shared" si="9"/>
        <v>4655</v>
      </c>
      <c r="K94" s="253">
        <f t="shared" si="9"/>
        <v>2732</v>
      </c>
      <c r="L94" s="253">
        <f t="shared" si="9"/>
        <v>11069</v>
      </c>
      <c r="M94" s="253">
        <f t="shared" si="9"/>
        <v>10934</v>
      </c>
      <c r="N94" s="253">
        <f t="shared" si="9"/>
        <v>3658</v>
      </c>
      <c r="O94" s="253">
        <f t="shared" si="9"/>
        <v>3727</v>
      </c>
      <c r="P94" s="253">
        <f t="shared" si="9"/>
        <v>17342</v>
      </c>
      <c r="Q94" s="253">
        <f t="shared" si="9"/>
        <v>-856</v>
      </c>
      <c r="R94" s="253">
        <f t="shared" si="9"/>
        <v>7117</v>
      </c>
      <c r="S94" s="253">
        <f t="shared" si="9"/>
        <v>1843</v>
      </c>
      <c r="T94" s="253">
        <f t="shared" si="9"/>
        <v>660</v>
      </c>
      <c r="U94" s="253">
        <f t="shared" si="9"/>
        <v>3031</v>
      </c>
      <c r="V94" s="253">
        <f t="shared" si="9"/>
        <v>-5437</v>
      </c>
      <c r="W94" s="253">
        <f t="shared" si="9"/>
        <v>13672</v>
      </c>
      <c r="X94" s="253">
        <f t="shared" si="9"/>
        <v>9255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2617908</v>
      </c>
      <c r="C97" s="273">
        <v>2343057</v>
      </c>
      <c r="D97" s="273">
        <v>2128475</v>
      </c>
      <c r="E97" s="273">
        <v>2750470</v>
      </c>
      <c r="F97" s="273">
        <v>3122533</v>
      </c>
    </row>
    <row r="98" spans="1:24" ht="14.25" thickBot="1" x14ac:dyDescent="0.3">
      <c r="A98" s="225" t="s">
        <v>4</v>
      </c>
      <c r="B98" s="275">
        <v>1802433</v>
      </c>
      <c r="C98" s="275">
        <v>1659825</v>
      </c>
      <c r="D98" s="275">
        <v>1466706</v>
      </c>
      <c r="E98" s="275">
        <v>1695935</v>
      </c>
      <c r="F98" s="275">
        <v>1993064</v>
      </c>
    </row>
    <row r="99" spans="1:24" ht="14.25" thickBot="1" x14ac:dyDescent="0.3">
      <c r="A99" s="224" t="s">
        <v>5</v>
      </c>
      <c r="B99" s="273">
        <v>1609834</v>
      </c>
      <c r="C99" s="273">
        <v>1410758</v>
      </c>
      <c r="D99" s="273">
        <v>1187380</v>
      </c>
      <c r="E99" s="273">
        <v>1417748</v>
      </c>
      <c r="F99" s="273">
        <v>1669999</v>
      </c>
    </row>
    <row r="100" spans="1:24" ht="14.25" thickBot="1" x14ac:dyDescent="0.3">
      <c r="A100" s="225" t="s">
        <v>6</v>
      </c>
      <c r="B100" s="275">
        <v>1629457</v>
      </c>
      <c r="C100" s="275">
        <v>1431288</v>
      </c>
      <c r="D100" s="275">
        <v>1216770</v>
      </c>
      <c r="E100" s="275">
        <v>1441619</v>
      </c>
      <c r="F100" s="275">
        <v>1682650</v>
      </c>
    </row>
    <row r="101" spans="1:24" ht="14.25" thickBot="1" x14ac:dyDescent="0.3">
      <c r="A101" s="224" t="s">
        <v>7</v>
      </c>
      <c r="B101" s="273">
        <v>1455607</v>
      </c>
      <c r="C101" s="273">
        <v>1248221</v>
      </c>
      <c r="D101" s="273">
        <v>1026075</v>
      </c>
      <c r="E101" s="273">
        <v>1231474</v>
      </c>
      <c r="F101" s="273">
        <v>1440055</v>
      </c>
    </row>
    <row r="102" spans="1:24" ht="14.25" thickBot="1" x14ac:dyDescent="0.3">
      <c r="A102" s="227" t="s">
        <v>8</v>
      </c>
      <c r="B102" s="276">
        <v>1455607</v>
      </c>
      <c r="C102" s="276">
        <v>1248221</v>
      </c>
      <c r="D102" s="276">
        <v>1026494</v>
      </c>
      <c r="E102" s="276">
        <v>1232121</v>
      </c>
      <c r="F102" s="276">
        <v>1441053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1.0004083522159686</v>
      </c>
      <c r="E103" s="234">
        <f>IF(OR(E102="",E102="無"),"",E102/E101)</f>
        <v>1.0005253866504693</v>
      </c>
      <c r="F103" s="234">
        <f>IF(OR(F102="",F102="無"),"",F102/F101)</f>
        <v>1.0006930290856946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2703113</v>
      </c>
      <c r="C106" s="273">
        <v>1677868</v>
      </c>
      <c r="D106" s="273">
        <v>1906144</v>
      </c>
      <c r="E106" s="273">
        <v>2136237</v>
      </c>
      <c r="F106" s="273">
        <v>813409</v>
      </c>
      <c r="G106" s="273">
        <v>699224</v>
      </c>
      <c r="H106" s="273">
        <v>347360</v>
      </c>
      <c r="I106" s="273">
        <v>917692</v>
      </c>
      <c r="J106" s="273">
        <v>1065993</v>
      </c>
      <c r="K106" s="273">
        <v>1478579</v>
      </c>
      <c r="L106" s="273">
        <v>968091</v>
      </c>
      <c r="M106" s="273">
        <v>1187934</v>
      </c>
      <c r="N106" s="273">
        <v>1298245</v>
      </c>
      <c r="O106" s="273">
        <v>1739834</v>
      </c>
      <c r="P106" s="273">
        <v>824661</v>
      </c>
      <c r="Q106" s="273">
        <v>674419</v>
      </c>
      <c r="R106" s="273">
        <v>1368984</v>
      </c>
      <c r="S106" s="273">
        <v>1979177</v>
      </c>
      <c r="T106" s="273">
        <v>1177349</v>
      </c>
      <c r="U106" s="273">
        <v>1369367</v>
      </c>
      <c r="V106" s="273">
        <v>1845155</v>
      </c>
      <c r="W106" s="273">
        <v>1849608</v>
      </c>
      <c r="X106" s="273">
        <v>933566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5">
        <v>1609615</v>
      </c>
      <c r="G107" s="275">
        <v>1741750</v>
      </c>
      <c r="H107" s="275">
        <v>890546</v>
      </c>
      <c r="I107" s="275">
        <v>889565</v>
      </c>
      <c r="J107" s="275">
        <v>942885</v>
      </c>
      <c r="K107" s="275">
        <v>785006</v>
      </c>
      <c r="L107" s="275">
        <v>454204</v>
      </c>
      <c r="M107" s="275">
        <v>572209</v>
      </c>
      <c r="N107" s="275">
        <v>570581</v>
      </c>
      <c r="O107" s="275">
        <v>793400</v>
      </c>
      <c r="P107" s="275">
        <v>1198279</v>
      </c>
      <c r="Q107" s="275">
        <v>1549499</v>
      </c>
      <c r="R107" s="275">
        <v>1281296</v>
      </c>
      <c r="S107" s="275">
        <v>972853</v>
      </c>
      <c r="T107" s="275">
        <v>1158874</v>
      </c>
      <c r="U107" s="275">
        <v>1346162</v>
      </c>
      <c r="V107" s="275">
        <v>1234418</v>
      </c>
      <c r="W107" s="275">
        <v>1094306</v>
      </c>
      <c r="X107" s="275">
        <v>1027836</v>
      </c>
    </row>
    <row r="108" spans="1:24" ht="14.25" thickBot="1" x14ac:dyDescent="0.3">
      <c r="A108" s="224" t="s">
        <v>263</v>
      </c>
      <c r="B108" s="273">
        <v>582246</v>
      </c>
      <c r="C108" s="273">
        <v>632172</v>
      </c>
      <c r="D108" s="273">
        <v>594259</v>
      </c>
      <c r="E108" s="273">
        <v>707528</v>
      </c>
      <c r="F108" s="273">
        <v>1033263</v>
      </c>
      <c r="G108" s="273">
        <v>1061451</v>
      </c>
      <c r="H108" s="273">
        <v>1331240</v>
      </c>
      <c r="I108" s="273">
        <v>1173804</v>
      </c>
      <c r="J108" s="273">
        <v>1092758</v>
      </c>
      <c r="K108" s="273">
        <v>1055746</v>
      </c>
      <c r="L108" s="273">
        <v>941244</v>
      </c>
      <c r="M108" s="273">
        <v>952118</v>
      </c>
      <c r="N108" s="273">
        <v>1046993</v>
      </c>
      <c r="O108" s="273">
        <v>696922</v>
      </c>
      <c r="P108" s="273">
        <v>680743</v>
      </c>
      <c r="Q108" s="273">
        <v>799735</v>
      </c>
      <c r="R108" s="273">
        <v>793545</v>
      </c>
      <c r="S108" s="273">
        <v>871576</v>
      </c>
      <c r="T108" s="273">
        <v>856644</v>
      </c>
      <c r="U108" s="273">
        <v>745811</v>
      </c>
      <c r="V108" s="273">
        <v>461807</v>
      </c>
      <c r="W108" s="273">
        <v>477074</v>
      </c>
      <c r="X108" s="273">
        <v>501950</v>
      </c>
    </row>
    <row r="109" spans="1:24" ht="14.25" thickBot="1" x14ac:dyDescent="0.3">
      <c r="A109" s="225" t="s">
        <v>264</v>
      </c>
      <c r="B109" s="275">
        <v>75155</v>
      </c>
      <c r="C109" s="275">
        <v>48281</v>
      </c>
      <c r="D109" s="275">
        <v>85475</v>
      </c>
      <c r="E109" s="275">
        <v>72916</v>
      </c>
      <c r="F109" s="275">
        <v>7492</v>
      </c>
      <c r="G109" s="275">
        <v>4852</v>
      </c>
      <c r="H109" s="275">
        <v>7047</v>
      </c>
      <c r="I109" s="275">
        <v>2723</v>
      </c>
      <c r="J109" s="275">
        <v>2410</v>
      </c>
      <c r="K109" s="275">
        <v>3483</v>
      </c>
      <c r="L109" s="275">
        <v>2694</v>
      </c>
      <c r="M109" s="275">
        <v>3250</v>
      </c>
      <c r="N109" s="275">
        <v>3035</v>
      </c>
      <c r="O109" s="275">
        <v>1234</v>
      </c>
      <c r="P109" s="275">
        <v>1883</v>
      </c>
      <c r="Q109" s="275">
        <v>2827</v>
      </c>
      <c r="R109" s="275">
        <v>4065</v>
      </c>
      <c r="S109" s="275">
        <v>1886</v>
      </c>
      <c r="T109" s="275">
        <v>5985</v>
      </c>
      <c r="U109" s="275">
        <v>2282</v>
      </c>
      <c r="V109" s="275">
        <v>4019</v>
      </c>
      <c r="W109" s="275">
        <v>2037</v>
      </c>
      <c r="X109" s="275">
        <v>2705</v>
      </c>
    </row>
    <row r="110" spans="1:24" ht="14.25" thickBot="1" x14ac:dyDescent="0.3">
      <c r="A110" s="224" t="s">
        <v>23</v>
      </c>
      <c r="B110" s="273">
        <v>112573</v>
      </c>
      <c r="C110" s="273">
        <v>39182</v>
      </c>
      <c r="D110" s="273">
        <v>100656</v>
      </c>
      <c r="E110" s="273">
        <v>95047</v>
      </c>
      <c r="F110" s="273">
        <v>11139</v>
      </c>
      <c r="G110" s="273">
        <v>4521</v>
      </c>
      <c r="H110" s="273">
        <v>13214</v>
      </c>
      <c r="I110" s="273">
        <v>35091</v>
      </c>
      <c r="J110" s="273">
        <v>36186</v>
      </c>
      <c r="K110" s="273">
        <v>29880</v>
      </c>
      <c r="L110" s="273">
        <v>35650</v>
      </c>
      <c r="M110" s="273">
        <v>29255</v>
      </c>
      <c r="N110" s="273">
        <v>29889</v>
      </c>
      <c r="O110" s="273">
        <v>24424</v>
      </c>
      <c r="P110" s="273">
        <v>22249</v>
      </c>
      <c r="Q110" s="273">
        <v>16431</v>
      </c>
      <c r="R110" s="273">
        <v>15241</v>
      </c>
      <c r="S110" s="273">
        <v>201453</v>
      </c>
      <c r="T110" s="273">
        <v>14028</v>
      </c>
      <c r="U110" s="273">
        <v>18269</v>
      </c>
      <c r="V110" s="273">
        <v>17621</v>
      </c>
      <c r="W110" s="273">
        <v>39568</v>
      </c>
      <c r="X110" s="273">
        <v>41205</v>
      </c>
    </row>
    <row r="111" spans="1:24" ht="14.25" thickBot="1" x14ac:dyDescent="0.3">
      <c r="A111" s="225" t="s">
        <v>24</v>
      </c>
      <c r="B111" s="275">
        <v>3473087</v>
      </c>
      <c r="C111" s="275">
        <v>2397503</v>
      </c>
      <c r="D111" s="275">
        <v>2686534</v>
      </c>
      <c r="E111" s="275">
        <v>3011728</v>
      </c>
      <c r="F111" s="275">
        <v>3474918</v>
      </c>
      <c r="G111" s="275">
        <v>3511798</v>
      </c>
      <c r="H111" s="275">
        <v>2589407</v>
      </c>
      <c r="I111" s="275">
        <v>3018875</v>
      </c>
      <c r="J111" s="275">
        <v>3140232</v>
      </c>
      <c r="K111" s="275">
        <v>3352694</v>
      </c>
      <c r="L111" s="275">
        <v>2401883</v>
      </c>
      <c r="M111" s="275">
        <v>2744766</v>
      </c>
      <c r="N111" s="275">
        <v>2948743</v>
      </c>
      <c r="O111" s="275">
        <v>3255814</v>
      </c>
      <c r="P111" s="275">
        <v>2727815</v>
      </c>
      <c r="Q111" s="275">
        <v>3042911</v>
      </c>
      <c r="R111" s="275">
        <v>3463131</v>
      </c>
      <c r="S111" s="275">
        <v>4026945</v>
      </c>
      <c r="T111" s="275">
        <v>3212880</v>
      </c>
      <c r="U111" s="275">
        <v>3481891</v>
      </c>
      <c r="V111" s="275">
        <v>3563020</v>
      </c>
      <c r="W111" s="275">
        <v>3462593</v>
      </c>
      <c r="X111" s="275">
        <v>2507262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273">
        <v>11771</v>
      </c>
      <c r="G112" s="273">
        <v>19836</v>
      </c>
      <c r="H112" s="273">
        <v>19705</v>
      </c>
      <c r="I112" s="273">
        <v>19972</v>
      </c>
      <c r="J112" s="273">
        <v>21520</v>
      </c>
      <c r="K112" s="273">
        <v>25299</v>
      </c>
      <c r="L112" s="273">
        <v>3471</v>
      </c>
      <c r="M112" s="273">
        <v>2952</v>
      </c>
      <c r="N112" s="273">
        <v>103450</v>
      </c>
      <c r="O112" s="273">
        <v>102962</v>
      </c>
      <c r="P112" s="273">
        <v>102962</v>
      </c>
      <c r="Q112" s="273">
        <v>103009</v>
      </c>
      <c r="R112" s="273">
        <v>151024</v>
      </c>
      <c r="S112" s="273">
        <v>123008</v>
      </c>
      <c r="T112" s="273">
        <v>42383</v>
      </c>
      <c r="U112" s="273">
        <v>32826</v>
      </c>
      <c r="V112" s="273">
        <v>82603</v>
      </c>
      <c r="W112" s="273">
        <v>186207</v>
      </c>
      <c r="X112" s="273">
        <v>189582</v>
      </c>
    </row>
    <row r="113" spans="1:24" ht="14.25" thickBot="1" x14ac:dyDescent="0.3">
      <c r="A113" s="225" t="s">
        <v>26</v>
      </c>
      <c r="B113" s="275">
        <v>1447526</v>
      </c>
      <c r="C113" s="275">
        <v>1446220</v>
      </c>
      <c r="D113" s="275">
        <v>1567053</v>
      </c>
      <c r="E113" s="275">
        <v>1569746</v>
      </c>
      <c r="F113" s="275">
        <v>701812</v>
      </c>
      <c r="G113" s="275">
        <v>666318</v>
      </c>
      <c r="H113" s="275">
        <v>700362</v>
      </c>
      <c r="I113" s="275">
        <v>802476</v>
      </c>
      <c r="J113" s="275">
        <v>914417</v>
      </c>
      <c r="K113" s="275">
        <v>1001860</v>
      </c>
      <c r="L113" s="275">
        <v>1537814</v>
      </c>
      <c r="M113" s="275">
        <v>1542097</v>
      </c>
      <c r="N113" s="275">
        <v>1555702</v>
      </c>
      <c r="O113" s="275">
        <v>1587368</v>
      </c>
      <c r="P113" s="275">
        <v>1607717</v>
      </c>
      <c r="Q113" s="275">
        <v>1616380</v>
      </c>
      <c r="R113" s="275">
        <v>1661710</v>
      </c>
      <c r="S113" s="275">
        <v>1668204</v>
      </c>
      <c r="T113" s="275">
        <v>1698006</v>
      </c>
      <c r="U113" s="275">
        <v>1692530</v>
      </c>
      <c r="V113" s="275">
        <v>1888766</v>
      </c>
      <c r="W113" s="275">
        <v>2080964</v>
      </c>
      <c r="X113" s="275">
        <v>2737967</v>
      </c>
    </row>
    <row r="114" spans="1:24" ht="14.25" thickBot="1" x14ac:dyDescent="0.3">
      <c r="A114" s="224" t="s">
        <v>27</v>
      </c>
      <c r="B114" s="273">
        <v>123869</v>
      </c>
      <c r="C114" s="273">
        <v>345350</v>
      </c>
      <c r="D114" s="273">
        <v>282424</v>
      </c>
      <c r="E114" s="273">
        <v>308236</v>
      </c>
      <c r="F114" s="273">
        <v>993772</v>
      </c>
      <c r="G114" s="273">
        <v>1192934</v>
      </c>
      <c r="H114" s="273">
        <v>1152139</v>
      </c>
      <c r="I114" s="273">
        <v>1191301</v>
      </c>
      <c r="J114" s="273">
        <v>1202913</v>
      </c>
      <c r="K114" s="273">
        <v>1209441</v>
      </c>
      <c r="L114" s="273">
        <v>918921</v>
      </c>
      <c r="M114" s="273">
        <v>918859</v>
      </c>
      <c r="N114" s="273">
        <v>921235</v>
      </c>
      <c r="O114" s="273">
        <v>903530</v>
      </c>
      <c r="P114" s="273">
        <v>995445</v>
      </c>
      <c r="Q114" s="273">
        <v>1043027</v>
      </c>
      <c r="R114" s="273">
        <v>943335</v>
      </c>
      <c r="S114" s="273">
        <v>757744</v>
      </c>
      <c r="T114" s="273">
        <v>828129</v>
      </c>
      <c r="U114" s="273">
        <v>771040</v>
      </c>
      <c r="V114" s="273">
        <v>786642</v>
      </c>
      <c r="W114" s="273">
        <v>781254</v>
      </c>
      <c r="X114" s="273">
        <v>201997</v>
      </c>
    </row>
    <row r="115" spans="1:24" ht="14.25" thickBot="1" x14ac:dyDescent="0.3">
      <c r="A115" s="225" t="s">
        <v>265</v>
      </c>
      <c r="B115" s="276">
        <v>5044482</v>
      </c>
      <c r="C115" s="276">
        <v>4189073</v>
      </c>
      <c r="D115" s="276">
        <v>4536011</v>
      </c>
      <c r="E115" s="276">
        <v>4889710</v>
      </c>
      <c r="F115" s="276">
        <v>5182273</v>
      </c>
      <c r="G115" s="276">
        <v>5390886</v>
      </c>
      <c r="H115" s="276">
        <v>4461613</v>
      </c>
      <c r="I115" s="276">
        <v>5032624</v>
      </c>
      <c r="J115" s="276">
        <v>5279082</v>
      </c>
      <c r="K115" s="276">
        <v>5589294</v>
      </c>
      <c r="L115" s="276">
        <v>4862089</v>
      </c>
      <c r="M115" s="276">
        <v>5208674</v>
      </c>
      <c r="N115" s="276">
        <v>5529130</v>
      </c>
      <c r="O115" s="276">
        <v>5849674</v>
      </c>
      <c r="P115" s="276">
        <v>5433939</v>
      </c>
      <c r="Q115" s="276">
        <v>5805327</v>
      </c>
      <c r="R115" s="276">
        <v>6219200</v>
      </c>
      <c r="S115" s="276">
        <v>6575901</v>
      </c>
      <c r="T115" s="276">
        <v>5781398</v>
      </c>
      <c r="U115" s="276">
        <v>5978287</v>
      </c>
      <c r="V115" s="276">
        <v>6321031</v>
      </c>
      <c r="W115" s="276">
        <v>6511018</v>
      </c>
      <c r="X115" s="276">
        <v>5636808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26193</v>
      </c>
      <c r="C120" s="273">
        <v>25900</v>
      </c>
      <c r="D120" s="273">
        <v>19891</v>
      </c>
      <c r="E120" s="273">
        <v>28032</v>
      </c>
      <c r="F120" s="273">
        <v>19752</v>
      </c>
      <c r="G120" s="273">
        <v>24308</v>
      </c>
      <c r="H120" s="273">
        <v>25584</v>
      </c>
      <c r="I120" s="273">
        <v>17216</v>
      </c>
      <c r="J120" s="273">
        <v>13954</v>
      </c>
      <c r="K120" s="273">
        <v>16630</v>
      </c>
      <c r="L120" s="273">
        <v>9910</v>
      </c>
      <c r="M120" s="273">
        <v>10839</v>
      </c>
      <c r="N120" s="273">
        <v>11306</v>
      </c>
      <c r="O120" s="273">
        <v>10391</v>
      </c>
      <c r="P120" s="273">
        <v>10461</v>
      </c>
      <c r="Q120" s="273">
        <v>10449</v>
      </c>
      <c r="R120" s="273">
        <v>10469</v>
      </c>
      <c r="S120" s="273">
        <v>12439</v>
      </c>
      <c r="T120" s="273">
        <v>15556</v>
      </c>
      <c r="U120" s="273">
        <v>9971</v>
      </c>
      <c r="V120" s="273">
        <v>11049</v>
      </c>
      <c r="W120" s="273">
        <v>9376</v>
      </c>
      <c r="X120" s="273">
        <v>11270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389207</v>
      </c>
      <c r="C123" s="275">
        <v>277288</v>
      </c>
      <c r="D123" s="275">
        <v>270229</v>
      </c>
      <c r="E123" s="275">
        <v>299841</v>
      </c>
      <c r="F123" s="275">
        <v>347975</v>
      </c>
      <c r="G123" s="275">
        <v>1586127</v>
      </c>
      <c r="H123" s="275">
        <v>245549</v>
      </c>
      <c r="I123" s="275">
        <v>454187</v>
      </c>
      <c r="J123" s="275">
        <v>437610</v>
      </c>
      <c r="K123" s="275">
        <v>1382602</v>
      </c>
      <c r="L123" s="275">
        <v>421617</v>
      </c>
      <c r="M123" s="275">
        <v>464505</v>
      </c>
      <c r="N123" s="275">
        <v>506185</v>
      </c>
      <c r="O123" s="275">
        <v>1414375</v>
      </c>
      <c r="P123" s="275">
        <v>668236</v>
      </c>
      <c r="Q123" s="275">
        <v>701319</v>
      </c>
      <c r="R123" s="275">
        <v>721441</v>
      </c>
      <c r="S123" s="275">
        <v>1788985</v>
      </c>
      <c r="T123" s="275">
        <v>614939</v>
      </c>
      <c r="U123" s="275">
        <v>499753</v>
      </c>
      <c r="V123" s="275">
        <v>497076</v>
      </c>
      <c r="W123" s="275">
        <v>1590023</v>
      </c>
      <c r="X123" s="275">
        <v>383887</v>
      </c>
    </row>
    <row r="124" spans="1:24" ht="14.25" thickBot="1" x14ac:dyDescent="0.3">
      <c r="A124" s="224" t="s">
        <v>268</v>
      </c>
      <c r="B124" s="273">
        <v>415400</v>
      </c>
      <c r="C124" s="273">
        <v>303188</v>
      </c>
      <c r="D124" s="273">
        <v>290120</v>
      </c>
      <c r="E124" s="273">
        <v>327873</v>
      </c>
      <c r="F124" s="273">
        <v>367727</v>
      </c>
      <c r="G124" s="273">
        <v>1610435</v>
      </c>
      <c r="H124" s="273">
        <v>271133</v>
      </c>
      <c r="I124" s="273">
        <v>471403</v>
      </c>
      <c r="J124" s="273">
        <v>451564</v>
      </c>
      <c r="K124" s="273">
        <v>1399232</v>
      </c>
      <c r="L124" s="273">
        <v>431527</v>
      </c>
      <c r="M124" s="273">
        <v>475344</v>
      </c>
      <c r="N124" s="273">
        <v>517491</v>
      </c>
      <c r="O124" s="273">
        <v>1424766</v>
      </c>
      <c r="P124" s="273">
        <v>678697</v>
      </c>
      <c r="Q124" s="273">
        <v>711768</v>
      </c>
      <c r="R124" s="273">
        <v>731910</v>
      </c>
      <c r="S124" s="273">
        <v>1801424</v>
      </c>
      <c r="T124" s="273">
        <v>630495</v>
      </c>
      <c r="U124" s="273">
        <v>509724</v>
      </c>
      <c r="V124" s="273">
        <v>508125</v>
      </c>
      <c r="W124" s="273">
        <v>1599399</v>
      </c>
      <c r="X124" s="273">
        <v>395157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62321</v>
      </c>
      <c r="G125" s="275">
        <v>71587</v>
      </c>
      <c r="H125" s="275">
        <v>86879</v>
      </c>
      <c r="I125" s="275">
        <v>122859</v>
      </c>
      <c r="J125" s="275">
        <v>110813</v>
      </c>
      <c r="K125" s="275">
        <v>112040</v>
      </c>
      <c r="L125" s="275">
        <v>117591</v>
      </c>
      <c r="M125" s="275">
        <v>139568</v>
      </c>
      <c r="N125" s="275">
        <v>120208</v>
      </c>
      <c r="O125" s="275">
        <v>124321</v>
      </c>
      <c r="P125" s="275">
        <v>128331</v>
      </c>
      <c r="Q125" s="275">
        <v>140741</v>
      </c>
      <c r="R125" s="275">
        <v>148031</v>
      </c>
      <c r="S125" s="275">
        <v>154959</v>
      </c>
      <c r="T125" s="275">
        <v>159505</v>
      </c>
      <c r="U125" s="275">
        <v>168721</v>
      </c>
      <c r="V125" s="275">
        <v>176638</v>
      </c>
      <c r="W125" s="275">
        <v>180936</v>
      </c>
      <c r="X125" s="275">
        <v>186390</v>
      </c>
    </row>
    <row r="126" spans="1:24" ht="14.25" thickBot="1" x14ac:dyDescent="0.3">
      <c r="A126" s="224" t="s">
        <v>33</v>
      </c>
      <c r="B126" s="273">
        <v>14742</v>
      </c>
      <c r="C126" s="273">
        <v>40067</v>
      </c>
      <c r="D126" s="273">
        <v>43277</v>
      </c>
      <c r="E126" s="273">
        <v>49368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430142</v>
      </c>
      <c r="C127" s="275">
        <v>343255</v>
      </c>
      <c r="D127" s="275">
        <v>333397</v>
      </c>
      <c r="E127" s="275">
        <v>377241</v>
      </c>
      <c r="F127" s="275">
        <v>430048</v>
      </c>
      <c r="G127" s="275">
        <v>1682022</v>
      </c>
      <c r="H127" s="275">
        <v>358012</v>
      </c>
      <c r="I127" s="275">
        <v>594262</v>
      </c>
      <c r="J127" s="275">
        <v>562377</v>
      </c>
      <c r="K127" s="275">
        <v>1511272</v>
      </c>
      <c r="L127" s="275">
        <v>549118</v>
      </c>
      <c r="M127" s="275">
        <v>614912</v>
      </c>
      <c r="N127" s="275">
        <v>637699</v>
      </c>
      <c r="O127" s="275">
        <v>1549087</v>
      </c>
      <c r="P127" s="275">
        <v>807028</v>
      </c>
      <c r="Q127" s="275">
        <v>852509</v>
      </c>
      <c r="R127" s="275">
        <v>879941</v>
      </c>
      <c r="S127" s="275">
        <v>1956383</v>
      </c>
      <c r="T127" s="275">
        <v>790000</v>
      </c>
      <c r="U127" s="275">
        <v>678445</v>
      </c>
      <c r="V127" s="275">
        <v>684763</v>
      </c>
      <c r="W127" s="275">
        <v>1780335</v>
      </c>
      <c r="X127" s="275">
        <v>581547</v>
      </c>
    </row>
    <row r="128" spans="1:24" ht="14.25" thickBot="1" x14ac:dyDescent="0.3">
      <c r="A128" s="224" t="s">
        <v>34</v>
      </c>
      <c r="B128" s="273">
        <v>4614340</v>
      </c>
      <c r="C128" s="273">
        <v>3845818</v>
      </c>
      <c r="D128" s="273">
        <v>4202614</v>
      </c>
      <c r="E128" s="273">
        <v>4512469</v>
      </c>
      <c r="F128" s="273">
        <v>4752225</v>
      </c>
      <c r="G128" s="273">
        <v>3708864</v>
      </c>
      <c r="H128" s="273">
        <v>4103601</v>
      </c>
      <c r="I128" s="273">
        <v>4438362</v>
      </c>
      <c r="J128" s="273">
        <v>4716705</v>
      </c>
      <c r="K128" s="273">
        <v>4078022</v>
      </c>
      <c r="L128" s="273">
        <v>4312971</v>
      </c>
      <c r="M128" s="273">
        <v>4593762</v>
      </c>
      <c r="N128" s="273">
        <v>4891431</v>
      </c>
      <c r="O128" s="273">
        <v>4300587</v>
      </c>
      <c r="P128" s="273">
        <v>4626911</v>
      </c>
      <c r="Q128" s="273">
        <v>4952818</v>
      </c>
      <c r="R128" s="273">
        <v>5339259</v>
      </c>
      <c r="S128" s="273">
        <v>4619518</v>
      </c>
      <c r="T128" s="273">
        <v>4991398</v>
      </c>
      <c r="U128" s="273">
        <v>5299842</v>
      </c>
      <c r="V128" s="273">
        <v>5636268</v>
      </c>
      <c r="W128" s="273">
        <v>4730683</v>
      </c>
      <c r="X128" s="273">
        <v>5055261</v>
      </c>
    </row>
    <row r="129" spans="1:24" ht="14.25" thickBot="1" x14ac:dyDescent="0.3">
      <c r="A129" s="225" t="s">
        <v>35</v>
      </c>
      <c r="B129" s="276">
        <v>5044482</v>
      </c>
      <c r="C129" s="276">
        <v>4189073</v>
      </c>
      <c r="D129" s="276">
        <v>4536011</v>
      </c>
      <c r="E129" s="276">
        <v>4889710</v>
      </c>
      <c r="F129" s="276">
        <v>5182273</v>
      </c>
      <c r="G129" s="276">
        <v>5390886</v>
      </c>
      <c r="H129" s="276">
        <v>4461613</v>
      </c>
      <c r="I129" s="276">
        <v>5032624</v>
      </c>
      <c r="J129" s="276">
        <v>5279082</v>
      </c>
      <c r="K129" s="276">
        <v>5589294</v>
      </c>
      <c r="L129" s="276">
        <v>4862089</v>
      </c>
      <c r="M129" s="276">
        <v>5208674</v>
      </c>
      <c r="N129" s="276">
        <v>5529130</v>
      </c>
      <c r="O129" s="276">
        <v>5849674</v>
      </c>
      <c r="P129" s="276">
        <v>5433939</v>
      </c>
      <c r="Q129" s="276">
        <v>5805327</v>
      </c>
      <c r="R129" s="276">
        <v>6219200</v>
      </c>
      <c r="S129" s="276">
        <v>6575901</v>
      </c>
      <c r="T129" s="276">
        <v>5781398</v>
      </c>
      <c r="U129" s="276">
        <v>5978287</v>
      </c>
      <c r="V129" s="276">
        <v>6321031</v>
      </c>
      <c r="W129" s="276">
        <v>6511018</v>
      </c>
      <c r="X129" s="276">
        <v>5636808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11.3</v>
      </c>
      <c r="C132" s="68">
        <v>11.54</v>
      </c>
      <c r="D132" s="68">
        <v>12.67</v>
      </c>
      <c r="E132" s="68">
        <v>16.850000000000001</v>
      </c>
      <c r="F132" s="68">
        <v>14.96</v>
      </c>
    </row>
    <row r="133" spans="1:24" ht="14.25" thickBot="1" x14ac:dyDescent="0.3">
      <c r="A133" s="225" t="s">
        <v>37</v>
      </c>
      <c r="B133" s="274">
        <v>-4.92</v>
      </c>
      <c r="C133" s="274">
        <v>-6.63</v>
      </c>
      <c r="D133" s="274">
        <v>-2.25</v>
      </c>
      <c r="E133" s="274">
        <v>-13.49</v>
      </c>
      <c r="F133" s="274">
        <v>1.37</v>
      </c>
    </row>
    <row r="134" spans="1:24" ht="14.25" thickBot="1" x14ac:dyDescent="0.3">
      <c r="A134" s="224" t="s">
        <v>38</v>
      </c>
      <c r="B134" s="68">
        <v>-10.86</v>
      </c>
      <c r="C134" s="68">
        <v>-11.54</v>
      </c>
      <c r="D134" s="68">
        <v>-7.93</v>
      </c>
      <c r="E134" s="68">
        <v>-8.08</v>
      </c>
      <c r="F134" s="68">
        <v>-9.94</v>
      </c>
    </row>
    <row r="135" spans="1:24" ht="14.25" thickBot="1" x14ac:dyDescent="0.3">
      <c r="A135" s="225" t="s">
        <v>270</v>
      </c>
      <c r="B135" s="274">
        <v>6.38</v>
      </c>
      <c r="C135" s="274">
        <v>4.91</v>
      </c>
      <c r="D135" s="274">
        <v>10.41</v>
      </c>
      <c r="E135" s="274">
        <v>3.37</v>
      </c>
      <c r="F135" s="274">
        <v>16.329999999999998</v>
      </c>
    </row>
    <row r="136" spans="1:24" ht="14.25" thickBot="1" x14ac:dyDescent="0.3">
      <c r="A136" s="229" t="s">
        <v>39</v>
      </c>
      <c r="B136" s="72">
        <v>-4.4800000000000004</v>
      </c>
      <c r="C136" s="72">
        <v>-6.63</v>
      </c>
      <c r="D136" s="72">
        <v>2.48</v>
      </c>
      <c r="E136" s="72">
        <v>-4.71</v>
      </c>
      <c r="F136" s="72">
        <v>6.39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12.03</v>
      </c>
      <c r="C140" s="68">
        <v>8</v>
      </c>
      <c r="D140" s="68">
        <v>8</v>
      </c>
      <c r="E140" s="68">
        <v>10</v>
      </c>
      <c r="F140" s="68">
        <v>11.5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0.89977561705310394</v>
      </c>
      <c r="C142" s="234">
        <f>IF(C140&lt;&gt;"無",IF(ISNA(HLOOKUP(C139,$B$64:$F$69,6,FALSE)),"",C140/HLOOKUP(C139,$B$64:$F$69,6,FALSE)),"")</f>
        <v>0.69747166521360071</v>
      </c>
      <c r="D142" s="234">
        <f>IF(D140&lt;&gt;"無",IF(ISNA(HLOOKUP(D139,$B$64:$F$69,6,FALSE)),"",D140/HLOOKUP(D139,$B$64:$F$69,6,FALSE)),"")</f>
        <v>0.84835630965005304</v>
      </c>
      <c r="E142" s="234">
        <f>IF(E140&lt;&gt;"無",IF(ISNA(HLOOKUP(E139,$B$64:$F$69,6,FALSE)),"",E140/HLOOKUP(E139,$B$64:$F$69,6,FALSE)),"")</f>
        <v>0.88339222614840984</v>
      </c>
      <c r="F142" s="234">
        <f>IF(F140&lt;&gt;"無",IF(ISNA(HLOOKUP(F139,$B$64:$F$69,6,FALSE)),"",F140/HLOOKUP(F139,$B$64:$F$69,6,FALSE)),"")</f>
        <v>0.86923658352229793</v>
      </c>
    </row>
    <row r="143" spans="1:24" x14ac:dyDescent="0.25">
      <c r="A143" s="233" t="s">
        <v>216</v>
      </c>
      <c r="B143" s="234">
        <f>IF(OR(B140=0,B140="無"),"",B135/B140)</f>
        <v>0.53034081463009142</v>
      </c>
      <c r="C143" s="234">
        <f>IF(OR(C140=0,C140="無"),"",C135/C140)</f>
        <v>0.61375000000000002</v>
      </c>
      <c r="D143" s="234">
        <f>IF(OR(D140=0,D140="無"),"",D135/D140)</f>
        <v>1.30125</v>
      </c>
      <c r="E143" s="234">
        <f>IF(OR(E140=0,E140="無"),"",E135/E140)</f>
        <v>0.33700000000000002</v>
      </c>
      <c r="F143" s="234">
        <f>IF(OR(F140=0,F140="無"),"",F135/F140)</f>
        <v>1.42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67.14</v>
      </c>
      <c r="C146" s="68">
        <v>72.5</v>
      </c>
      <c r="D146" s="68">
        <v>66.25</v>
      </c>
      <c r="E146" s="68">
        <v>69.55</v>
      </c>
      <c r="F146" s="68">
        <v>66.55</v>
      </c>
      <c r="G146" s="68">
        <v>66.38</v>
      </c>
      <c r="H146" s="68">
        <v>75.319999999999993</v>
      </c>
      <c r="I146" s="68">
        <v>73.59</v>
      </c>
      <c r="J146" s="68">
        <v>70.09</v>
      </c>
      <c r="K146" s="68">
        <v>68.010000000000005</v>
      </c>
      <c r="L146" s="68">
        <v>65.930000000000007</v>
      </c>
      <c r="M146" s="68">
        <v>71.39</v>
      </c>
      <c r="N146" s="68">
        <v>74.94</v>
      </c>
      <c r="O146" s="68">
        <v>61.09</v>
      </c>
      <c r="P146" s="68">
        <v>56.32</v>
      </c>
      <c r="Q146" s="68">
        <v>57.99</v>
      </c>
      <c r="R146" s="68">
        <v>63</v>
      </c>
      <c r="S146" s="68">
        <v>59.56</v>
      </c>
      <c r="T146" s="68">
        <v>65.290000000000006</v>
      </c>
      <c r="U146" s="68">
        <v>68.37</v>
      </c>
      <c r="V146" s="68">
        <v>73.709999999999994</v>
      </c>
      <c r="W146" s="68">
        <v>75.94</v>
      </c>
      <c r="X146" s="68">
        <v>72.400000000000006</v>
      </c>
    </row>
    <row r="147" spans="1:24" s="93" customFormat="1" ht="14.25" thickBot="1" x14ac:dyDescent="0.3">
      <c r="A147" s="225" t="s">
        <v>19</v>
      </c>
      <c r="B147" s="274">
        <v>60.52</v>
      </c>
      <c r="C147" s="274">
        <v>66.63</v>
      </c>
      <c r="D147" s="274">
        <v>59.04</v>
      </c>
      <c r="E147" s="274">
        <v>59.39</v>
      </c>
      <c r="F147" s="274">
        <v>55.2</v>
      </c>
      <c r="G147" s="274">
        <v>54.79</v>
      </c>
      <c r="H147" s="274">
        <v>65.97</v>
      </c>
      <c r="I147" s="274">
        <v>63.01</v>
      </c>
      <c r="J147" s="274">
        <v>58.75</v>
      </c>
      <c r="K147" s="274">
        <v>54.26</v>
      </c>
      <c r="L147" s="274">
        <v>51.2</v>
      </c>
      <c r="M147" s="274">
        <v>58.62</v>
      </c>
      <c r="N147" s="274">
        <v>62.33</v>
      </c>
      <c r="O147" s="274">
        <v>50.54</v>
      </c>
      <c r="P147" s="274">
        <v>47.09</v>
      </c>
      <c r="Q147" s="274">
        <v>49.12</v>
      </c>
      <c r="R147" s="274">
        <v>54.19</v>
      </c>
      <c r="S147" s="274">
        <v>51.75</v>
      </c>
      <c r="T147" s="274">
        <v>54.25</v>
      </c>
      <c r="U147" s="274">
        <v>53.86</v>
      </c>
      <c r="V147" s="274">
        <v>60.91</v>
      </c>
      <c r="W147" s="274">
        <v>60.91</v>
      </c>
      <c r="X147" s="274">
        <v>55.39</v>
      </c>
    </row>
    <row r="148" spans="1:24" s="93" customFormat="1" ht="14.25" thickBot="1" x14ac:dyDescent="0.3">
      <c r="A148" s="224" t="s">
        <v>41</v>
      </c>
      <c r="B148" s="68">
        <v>61.13</v>
      </c>
      <c r="C148" s="68">
        <v>67.67</v>
      </c>
      <c r="D148" s="68">
        <v>59.58</v>
      </c>
      <c r="E148" s="68">
        <v>60.2</v>
      </c>
      <c r="F148" s="68">
        <v>56.13</v>
      </c>
      <c r="G148" s="68">
        <v>55.58</v>
      </c>
      <c r="H148" s="68">
        <v>66.88</v>
      </c>
      <c r="I148" s="68">
        <v>63.9</v>
      </c>
      <c r="J148" s="68">
        <v>59.62</v>
      </c>
      <c r="K148" s="68">
        <v>54.76</v>
      </c>
      <c r="L148" s="68">
        <v>53.41</v>
      </c>
      <c r="M148" s="68">
        <v>60.63</v>
      </c>
      <c r="N148" s="68">
        <v>63</v>
      </c>
      <c r="O148" s="68">
        <v>51.11</v>
      </c>
      <c r="P148" s="68">
        <v>49.39</v>
      </c>
      <c r="Q148" s="68">
        <v>49.02</v>
      </c>
      <c r="R148" s="68">
        <v>55.07</v>
      </c>
      <c r="S148" s="68">
        <v>51.97</v>
      </c>
      <c r="T148" s="68">
        <v>54.33</v>
      </c>
      <c r="U148" s="68">
        <v>54.31</v>
      </c>
      <c r="V148" s="68">
        <v>60.08</v>
      </c>
      <c r="W148" s="68">
        <v>63.01</v>
      </c>
      <c r="X148" s="68">
        <v>56.76</v>
      </c>
    </row>
    <row r="149" spans="1:24" s="93" customFormat="1" ht="14.25" thickBot="1" x14ac:dyDescent="0.3">
      <c r="A149" s="225" t="s">
        <v>13</v>
      </c>
      <c r="B149" s="73">
        <v>54.81</v>
      </c>
      <c r="C149" s="73">
        <v>60.59</v>
      </c>
      <c r="D149" s="73">
        <v>52.89</v>
      </c>
      <c r="E149" s="73">
        <v>53.76</v>
      </c>
      <c r="F149" s="73">
        <v>48.99</v>
      </c>
      <c r="G149" s="73">
        <v>48.3</v>
      </c>
      <c r="H149" s="73">
        <v>58.3</v>
      </c>
      <c r="I149" s="73">
        <v>55.88</v>
      </c>
      <c r="J149" s="73">
        <v>52.04</v>
      </c>
      <c r="K149" s="73">
        <v>42.38</v>
      </c>
      <c r="L149" s="73">
        <v>46.41</v>
      </c>
      <c r="M149" s="73">
        <v>51.97</v>
      </c>
      <c r="N149" s="73">
        <v>54.1</v>
      </c>
      <c r="O149" s="73">
        <v>42.99</v>
      </c>
      <c r="P149" s="73">
        <v>43.2</v>
      </c>
      <c r="Q149" s="73">
        <v>41.27</v>
      </c>
      <c r="R149" s="73">
        <v>47.63</v>
      </c>
      <c r="S149" s="73">
        <v>44.37</v>
      </c>
      <c r="T149" s="73">
        <v>46.31</v>
      </c>
      <c r="U149" s="73">
        <v>46.23</v>
      </c>
      <c r="V149" s="73">
        <v>51.35</v>
      </c>
      <c r="W149" s="73">
        <v>53.15</v>
      </c>
      <c r="X149" s="73">
        <v>48.27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68.849999999999994</v>
      </c>
      <c r="C152" s="68">
        <v>70.84</v>
      </c>
      <c r="D152" s="68">
        <v>68.91</v>
      </c>
      <c r="E152" s="68">
        <v>61.66</v>
      </c>
      <c r="F152" s="68">
        <v>63.83</v>
      </c>
    </row>
    <row r="153" spans="1:24" s="93" customFormat="1" ht="14.25" thickBot="1" x14ac:dyDescent="0.3">
      <c r="A153" s="225" t="s">
        <v>19</v>
      </c>
      <c r="B153" s="274">
        <v>61.49</v>
      </c>
      <c r="C153" s="274">
        <v>60.21</v>
      </c>
      <c r="D153" s="274">
        <v>55.79</v>
      </c>
      <c r="E153" s="274">
        <v>51.55</v>
      </c>
      <c r="F153" s="274">
        <v>53.48</v>
      </c>
    </row>
    <row r="154" spans="1:24" s="93" customFormat="1" ht="14.25" thickBot="1" x14ac:dyDescent="0.3">
      <c r="A154" s="224" t="s">
        <v>41</v>
      </c>
      <c r="B154" s="68">
        <v>62.24</v>
      </c>
      <c r="C154" s="68">
        <v>61.09</v>
      </c>
      <c r="D154" s="68">
        <v>57.17</v>
      </c>
      <c r="E154" s="68">
        <v>52.41</v>
      </c>
      <c r="F154" s="68">
        <v>53.89</v>
      </c>
    </row>
    <row r="155" spans="1:24" s="93" customFormat="1" ht="14.25" thickBot="1" x14ac:dyDescent="0.3">
      <c r="A155" s="225" t="s">
        <v>13</v>
      </c>
      <c r="B155" s="73">
        <v>55.6</v>
      </c>
      <c r="C155" s="73">
        <v>53.27</v>
      </c>
      <c r="D155" s="73">
        <v>48.21</v>
      </c>
      <c r="E155" s="73">
        <v>44.77</v>
      </c>
      <c r="F155" s="73">
        <v>46.12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7.7</v>
      </c>
      <c r="C158" s="68">
        <v>9.02</v>
      </c>
      <c r="D158" s="68">
        <v>8.18</v>
      </c>
      <c r="E158" s="68">
        <v>6.58</v>
      </c>
      <c r="F158" s="68">
        <v>5.04</v>
      </c>
      <c r="G158" s="68">
        <v>5.04</v>
      </c>
      <c r="H158" s="68">
        <v>8.02</v>
      </c>
      <c r="I158" s="68">
        <v>7.02</v>
      </c>
      <c r="J158" s="68">
        <v>5.4</v>
      </c>
      <c r="K158" s="68">
        <v>4.29</v>
      </c>
      <c r="L158" s="68">
        <v>4.4400000000000004</v>
      </c>
      <c r="M158" s="68">
        <v>5.61</v>
      </c>
      <c r="N158" s="68">
        <v>5.55</v>
      </c>
      <c r="O158" s="68">
        <v>4.93</v>
      </c>
      <c r="P158" s="68">
        <v>5.76</v>
      </c>
      <c r="Q158" s="68">
        <v>5.84</v>
      </c>
      <c r="R158" s="68">
        <v>6.43</v>
      </c>
      <c r="S158" s="68">
        <v>5.78</v>
      </c>
      <c r="T158" s="68">
        <v>6.04</v>
      </c>
      <c r="U158" s="68">
        <v>5.27</v>
      </c>
      <c r="V158" s="68">
        <v>5.49</v>
      </c>
      <c r="W158" s="68">
        <v>5.39</v>
      </c>
      <c r="X158" s="68">
        <v>5.34</v>
      </c>
    </row>
    <row r="159" spans="1:24" s="93" customFormat="1" ht="14.25" thickBot="1" x14ac:dyDescent="0.3">
      <c r="A159" s="225" t="s">
        <v>45</v>
      </c>
      <c r="B159" s="73">
        <v>8.41</v>
      </c>
      <c r="C159" s="73">
        <v>9.84</v>
      </c>
      <c r="D159" s="73">
        <v>8.8699999999999992</v>
      </c>
      <c r="E159" s="73">
        <v>7.11</v>
      </c>
      <c r="F159" s="73">
        <v>5.47</v>
      </c>
      <c r="G159" s="73">
        <v>6.3</v>
      </c>
      <c r="H159" s="73">
        <v>10.11</v>
      </c>
      <c r="I159" s="73">
        <v>7.81</v>
      </c>
      <c r="J159" s="73">
        <v>6.08</v>
      </c>
      <c r="K159" s="73">
        <v>5.3</v>
      </c>
      <c r="L159" s="73">
        <v>5.53</v>
      </c>
      <c r="M159" s="73">
        <v>6.35</v>
      </c>
      <c r="N159" s="73">
        <v>6.28</v>
      </c>
      <c r="O159" s="73">
        <v>6.11</v>
      </c>
      <c r="P159" s="73">
        <v>7.28</v>
      </c>
      <c r="Q159" s="73">
        <v>6.85</v>
      </c>
      <c r="R159" s="73">
        <v>7.52</v>
      </c>
      <c r="S159" s="73">
        <v>7.43</v>
      </c>
      <c r="T159" s="73">
        <v>7.77</v>
      </c>
      <c r="U159" s="73">
        <v>6.02</v>
      </c>
      <c r="V159" s="73">
        <v>6.17</v>
      </c>
      <c r="W159" s="73">
        <v>6.67</v>
      </c>
      <c r="X159" s="73">
        <v>6.63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55.6</v>
      </c>
      <c r="C162" s="68">
        <v>53.27</v>
      </c>
      <c r="D162" s="68">
        <v>48.21</v>
      </c>
      <c r="E162" s="68">
        <v>44.77</v>
      </c>
      <c r="F162" s="68">
        <v>46.12</v>
      </c>
    </row>
    <row r="163" spans="1:72" s="93" customFormat="1" ht="14.25" thickBot="1" x14ac:dyDescent="0.3">
      <c r="A163" s="225" t="s">
        <v>18</v>
      </c>
      <c r="B163" s="274">
        <v>0.54</v>
      </c>
      <c r="C163" s="274">
        <v>0.47</v>
      </c>
      <c r="D163" s="274">
        <v>0.41</v>
      </c>
      <c r="E163" s="274">
        <v>0.47</v>
      </c>
      <c r="F163" s="274">
        <v>0.52</v>
      </c>
    </row>
    <row r="164" spans="1:72" s="93" customFormat="1" ht="14.25" thickBot="1" x14ac:dyDescent="0.3">
      <c r="A164" s="224" t="s">
        <v>15</v>
      </c>
      <c r="B164" s="68">
        <v>1.08</v>
      </c>
      <c r="C164" s="68">
        <v>1.1299999999999999</v>
      </c>
      <c r="D164" s="68">
        <v>1.1299999999999999</v>
      </c>
      <c r="E164" s="68">
        <v>1.17</v>
      </c>
      <c r="F164" s="68">
        <v>1.1299999999999999</v>
      </c>
    </row>
    <row r="165" spans="1:72" s="93" customFormat="1" ht="14.25" thickBot="1" x14ac:dyDescent="0.3">
      <c r="A165" s="225" t="s">
        <v>45</v>
      </c>
      <c r="B165" s="73">
        <v>33.26</v>
      </c>
      <c r="C165" s="73">
        <v>27.89</v>
      </c>
      <c r="D165" s="73">
        <v>22.72</v>
      </c>
      <c r="E165" s="73">
        <v>25.8</v>
      </c>
      <c r="F165" s="73">
        <v>28.09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71.430000000000007</v>
      </c>
      <c r="C168" s="68">
        <v>79.650000000000006</v>
      </c>
      <c r="D168" s="68">
        <v>81.819999999999993</v>
      </c>
      <c r="E168" s="68">
        <v>101.12</v>
      </c>
      <c r="F168" s="68">
        <v>152.54</v>
      </c>
      <c r="G168" s="68">
        <v>169.81</v>
      </c>
      <c r="H168" s="68">
        <v>157.88999999999999</v>
      </c>
      <c r="I168" s="68">
        <v>187.5</v>
      </c>
      <c r="J168" s="68">
        <v>191.49</v>
      </c>
      <c r="K168" s="68">
        <v>176.47</v>
      </c>
      <c r="L168" s="68">
        <v>180</v>
      </c>
      <c r="M168" s="68">
        <v>157.88999999999999</v>
      </c>
      <c r="N168" s="68">
        <v>163.63999999999999</v>
      </c>
      <c r="O168" s="68">
        <v>120</v>
      </c>
      <c r="P168" s="68">
        <v>82.57</v>
      </c>
      <c r="Q168" s="68">
        <v>84.11</v>
      </c>
      <c r="R168" s="68">
        <v>88.24</v>
      </c>
      <c r="S168" s="68">
        <v>90</v>
      </c>
      <c r="T168" s="68">
        <v>96.77</v>
      </c>
      <c r="U168" s="68">
        <v>107.14</v>
      </c>
      <c r="V168" s="68">
        <v>82.57</v>
      </c>
      <c r="W168" s="68">
        <v>64.75</v>
      </c>
      <c r="X168" s="68">
        <v>65.69</v>
      </c>
    </row>
    <row r="169" spans="1:72" s="93" customFormat="1" ht="14.25" thickBot="1" x14ac:dyDescent="0.3">
      <c r="A169" s="225" t="s">
        <v>17</v>
      </c>
      <c r="B169" s="274">
        <v>27.61</v>
      </c>
      <c r="C169" s="274">
        <v>29.41</v>
      </c>
      <c r="D169" s="274">
        <v>26.47</v>
      </c>
      <c r="E169" s="274">
        <v>40.54</v>
      </c>
      <c r="F169" s="274">
        <v>20.88</v>
      </c>
      <c r="G169" s="274">
        <v>3</v>
      </c>
      <c r="H169" s="274">
        <v>3.2</v>
      </c>
      <c r="I169" s="274">
        <v>2.79</v>
      </c>
      <c r="J169" s="274">
        <v>1.44</v>
      </c>
      <c r="K169" s="274">
        <v>1.51</v>
      </c>
      <c r="L169" s="274">
        <v>1.63</v>
      </c>
      <c r="M169" s="274">
        <v>1.72</v>
      </c>
      <c r="N169" s="274">
        <v>2.0499999999999998</v>
      </c>
      <c r="O169" s="274">
        <v>0.76</v>
      </c>
      <c r="P169" s="274">
        <v>0.43</v>
      </c>
      <c r="Q169" s="274">
        <v>0.63</v>
      </c>
      <c r="R169" s="274">
        <v>1.03</v>
      </c>
      <c r="S169" s="274">
        <v>0.79</v>
      </c>
      <c r="T169" s="274">
        <v>1.27</v>
      </c>
      <c r="U169" s="274">
        <v>1.75</v>
      </c>
      <c r="V169" s="274">
        <v>1.64</v>
      </c>
      <c r="W169" s="274">
        <v>1.74</v>
      </c>
      <c r="X169" s="274">
        <v>1.1499999999999999</v>
      </c>
    </row>
    <row r="170" spans="1:72" s="93" customFormat="1" ht="14.25" thickBot="1" x14ac:dyDescent="0.3">
      <c r="A170" s="224" t="s">
        <v>42</v>
      </c>
      <c r="B170" s="72">
        <v>99.04</v>
      </c>
      <c r="C170" s="72">
        <v>109.06</v>
      </c>
      <c r="D170" s="72">
        <v>108.29</v>
      </c>
      <c r="E170" s="72">
        <v>141.66</v>
      </c>
      <c r="F170" s="72">
        <v>173.42</v>
      </c>
      <c r="G170" s="72">
        <v>172.81</v>
      </c>
      <c r="H170" s="72">
        <v>161.1</v>
      </c>
      <c r="I170" s="72">
        <v>190.29</v>
      </c>
      <c r="J170" s="72">
        <v>192.93</v>
      </c>
      <c r="K170" s="72">
        <v>177.98</v>
      </c>
      <c r="L170" s="72">
        <v>181.63</v>
      </c>
      <c r="M170" s="72">
        <v>159.61000000000001</v>
      </c>
      <c r="N170" s="72">
        <v>165.69</v>
      </c>
      <c r="O170" s="72">
        <v>120.76</v>
      </c>
      <c r="P170" s="72">
        <v>83</v>
      </c>
      <c r="Q170" s="72">
        <v>84.75</v>
      </c>
      <c r="R170" s="72">
        <v>89.27</v>
      </c>
      <c r="S170" s="72">
        <v>90.79</v>
      </c>
      <c r="T170" s="72">
        <v>98.04</v>
      </c>
      <c r="U170" s="72">
        <v>108.9</v>
      </c>
      <c r="V170" s="72">
        <v>84.21</v>
      </c>
      <c r="W170" s="72">
        <v>66.489999999999995</v>
      </c>
      <c r="X170" s="72">
        <v>66.84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84.41</v>
      </c>
      <c r="C173" s="72">
        <v>100.7</v>
      </c>
      <c r="D173" s="72">
        <v>134.34</v>
      </c>
      <c r="E173" s="72">
        <v>149.19</v>
      </c>
      <c r="F173" s="72">
        <v>113.18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13.62</v>
      </c>
      <c r="C176" s="72">
        <v>15.46</v>
      </c>
      <c r="D176" s="72">
        <v>16.8</v>
      </c>
      <c r="E176" s="72">
        <v>16.59</v>
      </c>
      <c r="F176" s="72">
        <v>15.55</v>
      </c>
      <c r="G176" s="72">
        <v>15.35</v>
      </c>
      <c r="H176" s="72">
        <v>15.06</v>
      </c>
      <c r="I176" s="72">
        <v>14.84</v>
      </c>
      <c r="J176" s="72">
        <v>14.82</v>
      </c>
      <c r="K176" s="72">
        <v>14.64</v>
      </c>
      <c r="L176" s="72">
        <v>15.24</v>
      </c>
      <c r="M176" s="72">
        <v>14.78</v>
      </c>
      <c r="N176" s="72">
        <v>14.48</v>
      </c>
      <c r="O176" s="72">
        <v>15.08</v>
      </c>
      <c r="P176" s="72">
        <v>15.86</v>
      </c>
      <c r="Q176" s="72">
        <v>17.36</v>
      </c>
      <c r="R176" s="72">
        <v>19.88</v>
      </c>
      <c r="S176" s="72">
        <v>18.43</v>
      </c>
      <c r="T176" s="72">
        <v>17.809999999999999</v>
      </c>
      <c r="U176" s="72">
        <v>16.600000000000001</v>
      </c>
      <c r="V176" s="72">
        <v>15.81</v>
      </c>
      <c r="W176" s="72">
        <v>16.7</v>
      </c>
      <c r="X176" s="72">
        <v>16.18</v>
      </c>
      <c r="Y176" s="72">
        <v>16.8</v>
      </c>
      <c r="Z176" s="72">
        <v>16.809999999999999</v>
      </c>
      <c r="AA176" s="72">
        <v>16.57</v>
      </c>
      <c r="AB176" s="72">
        <v>16.47</v>
      </c>
      <c r="AC176" s="72">
        <v>15.66</v>
      </c>
      <c r="AD176" s="72">
        <v>15.02</v>
      </c>
      <c r="AE176" s="72">
        <v>14.97</v>
      </c>
      <c r="AF176" s="72">
        <v>15.02</v>
      </c>
      <c r="AG176" s="72">
        <v>14.7</v>
      </c>
      <c r="AH176" s="72">
        <v>13.77</v>
      </c>
      <c r="AI176" s="72">
        <v>12.51</v>
      </c>
      <c r="AJ176" s="72">
        <v>13.34</v>
      </c>
      <c r="AK176" s="72">
        <v>14.22</v>
      </c>
      <c r="AL176" s="72">
        <v>15.31</v>
      </c>
      <c r="AM176" s="72">
        <v>16.27</v>
      </c>
      <c r="AN176" s="72">
        <v>17.420000000000002</v>
      </c>
      <c r="AO176" s="72">
        <v>19.329999999999998</v>
      </c>
      <c r="AP176" s="72">
        <v>19.28</v>
      </c>
      <c r="AQ176" s="72">
        <v>19.32</v>
      </c>
      <c r="AR176" s="72">
        <v>17.48</v>
      </c>
      <c r="AS176" s="72">
        <v>14.12</v>
      </c>
      <c r="AT176" s="72">
        <v>14.65</v>
      </c>
      <c r="AU176" s="72">
        <v>15.38</v>
      </c>
      <c r="AV176" s="72">
        <v>15.87</v>
      </c>
      <c r="AW176" s="72">
        <v>16.45</v>
      </c>
      <c r="AX176" s="72">
        <v>15.02</v>
      </c>
      <c r="AY176" s="72">
        <v>15.61</v>
      </c>
      <c r="AZ176" s="72">
        <v>15.79</v>
      </c>
      <c r="BA176" s="72">
        <v>15.89</v>
      </c>
      <c r="BB176" s="72">
        <v>14.42</v>
      </c>
      <c r="BC176" s="72">
        <v>14.23</v>
      </c>
      <c r="BD176" s="72">
        <v>14.05</v>
      </c>
      <c r="BE176" s="72">
        <v>13.36</v>
      </c>
      <c r="BF176" s="72">
        <v>13.44</v>
      </c>
      <c r="BG176" s="72">
        <v>13.24</v>
      </c>
      <c r="BH176" s="72">
        <v>12.37</v>
      </c>
      <c r="BI176" s="72">
        <v>12.27</v>
      </c>
      <c r="BJ176" s="72">
        <v>12.15</v>
      </c>
      <c r="BK176" s="72">
        <v>12.6</v>
      </c>
      <c r="BL176" s="72">
        <v>13.08</v>
      </c>
      <c r="BM176" s="72">
        <v>13</v>
      </c>
      <c r="BN176" s="72">
        <v>13.62</v>
      </c>
      <c r="BO176" s="72">
        <v>14.15</v>
      </c>
      <c r="BP176" s="72">
        <v>13.85</v>
      </c>
      <c r="BQ176" s="72">
        <v>13.48</v>
      </c>
      <c r="BR176" s="72">
        <v>13.39</v>
      </c>
      <c r="BS176" s="72">
        <v>13.61</v>
      </c>
      <c r="BT176" s="72">
        <v>14.08</v>
      </c>
    </row>
  </sheetData>
  <phoneticPr fontId="3" type="noConversion"/>
  <conditionalFormatting sqref="E4">
    <cfRule type="cellIs" dxfId="899" priority="103" operator="greaterThan">
      <formula>0.2</formula>
    </cfRule>
    <cfRule type="cellIs" dxfId="89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89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896" priority="97" operator="greaterThan">
      <formula>$B$19</formula>
    </cfRule>
  </conditionalFormatting>
  <conditionalFormatting sqref="D33:D34">
    <cfRule type="cellIs" dxfId="89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894" priority="91" operator="lessThan">
      <formula>$H$62</formula>
    </cfRule>
    <cfRule type="cellIs" dxfId="893" priority="92" operator="greaterThan">
      <formula>$H$62</formula>
    </cfRule>
  </conditionalFormatting>
  <conditionalFormatting sqref="J62">
    <cfRule type="cellIs" dxfId="892" priority="89" operator="lessThan">
      <formula>$K$62</formula>
    </cfRule>
    <cfRule type="cellIs" dxfId="891" priority="90" operator="greaterThan">
      <formula>$K$62</formula>
    </cfRule>
  </conditionalFormatting>
  <conditionalFormatting sqref="M62">
    <cfRule type="cellIs" dxfId="890" priority="87" operator="lessThan">
      <formula>$N$62</formula>
    </cfRule>
    <cfRule type="cellIs" dxfId="889" priority="88" operator="greaterThan">
      <formula>$N$62</formula>
    </cfRule>
  </conditionalFormatting>
  <conditionalFormatting sqref="B44:E44">
    <cfRule type="cellIs" dxfId="888" priority="85" operator="greaterThan">
      <formula>0</formula>
    </cfRule>
    <cfRule type="cellIs" dxfId="887" priority="86" operator="lessThan">
      <formula>0</formula>
    </cfRule>
  </conditionalFormatting>
  <conditionalFormatting sqref="F72">
    <cfRule type="cellIs" dxfId="886" priority="84" operator="lessThan">
      <formula>$E$72*90%</formula>
    </cfRule>
  </conditionalFormatting>
  <conditionalFormatting sqref="F73">
    <cfRule type="cellIs" dxfId="885" priority="83" operator="lessThan">
      <formula>$E$73*90%</formula>
    </cfRule>
  </conditionalFormatting>
  <conditionalFormatting sqref="F74">
    <cfRule type="cellIs" dxfId="884" priority="82" operator="lessThan">
      <formula>$E$74*90%</formula>
    </cfRule>
  </conditionalFormatting>
  <conditionalFormatting sqref="F75">
    <cfRule type="cellIs" dxfId="883" priority="81" operator="lessThan">
      <formula>$E$75*90%</formula>
    </cfRule>
  </conditionalFormatting>
  <conditionalFormatting sqref="H44:K44">
    <cfRule type="cellIs" dxfId="882" priority="79" operator="greaterThan">
      <formula>0</formula>
    </cfRule>
    <cfRule type="cellIs" dxfId="881" priority="80" operator="lessThan">
      <formula>0</formula>
    </cfRule>
  </conditionalFormatting>
  <conditionalFormatting sqref="H51:K51">
    <cfRule type="cellIs" dxfId="880" priority="77" operator="greaterThan">
      <formula>0</formula>
    </cfRule>
    <cfRule type="cellIs" dxfId="879" priority="78" operator="lessThan">
      <formula>0</formula>
    </cfRule>
  </conditionalFormatting>
  <conditionalFormatting sqref="B51:E51">
    <cfRule type="cellIs" dxfId="878" priority="75" operator="greaterThan">
      <formula>0</formula>
    </cfRule>
    <cfRule type="cellIs" dxfId="87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87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87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874" priority="58" operator="lessThan">
      <formula>0</formula>
    </cfRule>
  </conditionalFormatting>
  <conditionalFormatting sqref="A25 E25 C25">
    <cfRule type="cellIs" dxfId="873" priority="59" operator="lessThan">
      <formula>0</formula>
    </cfRule>
  </conditionalFormatting>
  <conditionalFormatting sqref="F25">
    <cfRule type="cellIs" dxfId="872" priority="57" operator="lessThan">
      <formula>0</formula>
    </cfRule>
  </conditionalFormatting>
  <conditionalFormatting sqref="E1">
    <cfRule type="containsText" dxfId="871" priority="56" operator="containsText" text="本季業外損益/平均=-">
      <formula>NOT(ISERROR(SEARCH("本季業外損益/平均=-",E1)))</formula>
    </cfRule>
  </conditionalFormatting>
  <conditionalFormatting sqref="M65">
    <cfRule type="cellIs" dxfId="870" priority="55" operator="lessThan">
      <formula>$L$65*90%</formula>
    </cfRule>
  </conditionalFormatting>
  <conditionalFormatting sqref="M66">
    <cfRule type="cellIs" dxfId="869" priority="54" operator="lessThan">
      <formula>$L$66*90%</formula>
    </cfRule>
  </conditionalFormatting>
  <conditionalFormatting sqref="M67">
    <cfRule type="cellIs" dxfId="868" priority="53" operator="lessThan">
      <formula>$L$67*90%</formula>
    </cfRule>
  </conditionalFormatting>
  <conditionalFormatting sqref="M68">
    <cfRule type="cellIs" dxfId="867" priority="52" operator="lessThan">
      <formula>$L$68*90%</formula>
    </cfRule>
  </conditionalFormatting>
  <conditionalFormatting sqref="B60">
    <cfRule type="cellIs" dxfId="866" priority="51" operator="lessThan">
      <formula>0</formula>
    </cfRule>
  </conditionalFormatting>
  <conditionalFormatting sqref="B59:F59">
    <cfRule type="cellIs" dxfId="865" priority="50" operator="lessThanOrEqual">
      <formula>0</formula>
    </cfRule>
  </conditionalFormatting>
  <conditionalFormatting sqref="D62">
    <cfRule type="cellIs" dxfId="864" priority="48" operator="lessThan">
      <formula>$E$62</formula>
    </cfRule>
    <cfRule type="cellIs" dxfId="863" priority="49" operator="greaterThan">
      <formula>$E$62</formula>
    </cfRule>
  </conditionalFormatting>
  <conditionalFormatting sqref="F69">
    <cfRule type="cellIs" dxfId="862" priority="46" operator="lessThan">
      <formula>0</formula>
    </cfRule>
  </conditionalFormatting>
  <conditionalFormatting sqref="B65:E67 B69:E69 B68:D68">
    <cfRule type="cellIs" dxfId="861" priority="47" operator="lessThan">
      <formula>0</formula>
    </cfRule>
  </conditionalFormatting>
  <conditionalFormatting sqref="E68">
    <cfRule type="cellIs" dxfId="860" priority="45" operator="lessThan">
      <formula>0</formula>
    </cfRule>
  </conditionalFormatting>
  <conditionalFormatting sqref="F65:F68">
    <cfRule type="cellIs" dxfId="859" priority="44" operator="lessThan">
      <formula>0</formula>
    </cfRule>
  </conditionalFormatting>
  <conditionalFormatting sqref="F65:F68">
    <cfRule type="cellIs" dxfId="858" priority="43" operator="lessThan">
      <formula>$E$65*0.9</formula>
    </cfRule>
  </conditionalFormatting>
  <conditionalFormatting sqref="F66">
    <cfRule type="cellIs" dxfId="857" priority="42" operator="lessThan">
      <formula>$E$66*0.9</formula>
    </cfRule>
  </conditionalFormatting>
  <conditionalFormatting sqref="F67:F68">
    <cfRule type="cellIs" dxfId="856" priority="41" operator="lessThan">
      <formula>$E$67*0.9</formula>
    </cfRule>
  </conditionalFormatting>
  <conditionalFormatting sqref="F68">
    <cfRule type="cellIs" dxfId="855" priority="40" operator="lessThan">
      <formula>$E$68*0.9</formula>
    </cfRule>
  </conditionalFormatting>
  <conditionalFormatting sqref="B13:F13">
    <cfRule type="cellIs" dxfId="854" priority="29" operator="greaterThan">
      <formula>$I$16</formula>
    </cfRule>
    <cfRule type="cellIs" dxfId="853" priority="30" operator="lessThanOrEqual">
      <formula>$I$16</formula>
    </cfRule>
  </conditionalFormatting>
  <conditionalFormatting sqref="B10:F10">
    <cfRule type="cellIs" dxfId="852" priority="31" operator="greaterThan">
      <formula>15</formula>
    </cfRule>
    <cfRule type="cellIs" dxfId="851" priority="38" operator="lessThan">
      <formula>$I$9</formula>
    </cfRule>
    <cfRule type="cellIs" dxfId="850" priority="39" operator="greaterThan">
      <formula>$I$9</formula>
    </cfRule>
  </conditionalFormatting>
  <conditionalFormatting sqref="B16:F16">
    <cfRule type="cellIs" dxfId="849" priority="36" operator="greaterThan">
      <formula>$I$16</formula>
    </cfRule>
    <cfRule type="cellIs" dxfId="848" priority="37" operator="lessThanOrEqual">
      <formula>$I$16</formula>
    </cfRule>
  </conditionalFormatting>
  <conditionalFormatting sqref="B15:F15">
    <cfRule type="cellIs" dxfId="847" priority="34" operator="lessThanOrEqual">
      <formula>$I$16</formula>
    </cfRule>
    <cfRule type="cellIs" dxfId="846" priority="35" operator="greaterThan">
      <formula>$I$16</formula>
    </cfRule>
  </conditionalFormatting>
  <conditionalFormatting sqref="B14:F14">
    <cfRule type="cellIs" dxfId="845" priority="32" operator="greaterThan">
      <formula>$I$16</formula>
    </cfRule>
    <cfRule type="cellIs" dxfId="844" priority="33" operator="lessThanOrEqual">
      <formula>$I$16</formula>
    </cfRule>
  </conditionalFormatting>
  <conditionalFormatting sqref="K6">
    <cfRule type="containsText" dxfId="843" priority="27" operator="containsText" text="衰退">
      <formula>NOT(ISERROR(SEARCH("衰退",K6)))</formula>
    </cfRule>
    <cfRule type="containsText" dxfId="842" priority="28" operator="containsText" text="成長">
      <formula>NOT(ISERROR(SEARCH("成長",K6)))</formula>
    </cfRule>
  </conditionalFormatting>
  <conditionalFormatting sqref="I4:K4">
    <cfRule type="cellIs" dxfId="841" priority="25" operator="lessThan">
      <formula>0</formula>
    </cfRule>
    <cfRule type="cellIs" dxfId="84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839" priority="22" operator="lessThanOrEqual">
      <formula>$I$16</formula>
    </cfRule>
    <cfRule type="cellIs" dxfId="838" priority="23" operator="greaterThan">
      <formula>$I$16</formula>
    </cfRule>
  </conditionalFormatting>
  <conditionalFormatting sqref="I6">
    <cfRule type="containsText" dxfId="837" priority="20" operator="containsText" text="衰退">
      <formula>NOT(ISERROR(SEARCH("衰退",I6)))</formula>
    </cfRule>
    <cfRule type="containsText" dxfId="836" priority="21" operator="containsText" text="成長">
      <formula>NOT(ISERROR(SEARCH("成長",I6)))</formula>
    </cfRule>
  </conditionalFormatting>
  <conditionalFormatting sqref="M9">
    <cfRule type="cellIs" dxfId="835" priority="19" operator="lessThan">
      <formula>$I$9</formula>
    </cfRule>
  </conditionalFormatting>
  <conditionalFormatting sqref="M10">
    <cfRule type="cellIs" dxfId="834" priority="18" operator="greaterThan">
      <formula>$I$9</formula>
    </cfRule>
  </conditionalFormatting>
  <conditionalFormatting sqref="M11">
    <cfRule type="cellIs" dxfId="83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832" priority="14" operator="lessThan">
      <formula>0</formula>
    </cfRule>
    <cfRule type="cellIs" dxfId="831" priority="15" operator="greaterThan">
      <formula>0.5</formula>
    </cfRule>
  </conditionalFormatting>
  <conditionalFormatting sqref="N14">
    <cfRule type="cellIs" dxfId="83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829" priority="10" operator="lessThan">
      <formula>0.1</formula>
    </cfRule>
  </conditionalFormatting>
  <conditionalFormatting sqref="I14">
    <cfRule type="cellIs" dxfId="82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82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826" priority="1" operator="lessThan">
      <formula>$N$5*0.9</formula>
    </cfRule>
    <cfRule type="cellIs" dxfId="825" priority="2" operator="greaterThan">
      <formula>$N$5*1.1</formula>
    </cfRule>
  </conditionalFormatting>
  <hyperlinks>
    <hyperlink ref="L1" location="儀表板!A1" display="(回首頁)" xr:uid="{00000000-0004-0000-5C00-000000000000}"/>
  </hyperlink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3.13 ~ 10.01</v>
      </c>
      <c r="L1" s="83" t="s">
        <v>176</v>
      </c>
      <c r="M1" s="84" t="str">
        <f ca="1">VLOOKUP(_xlfn.NUMBERVALUE(N1),儀表板!A:B,2,FALSE)</f>
        <v>豐泰</v>
      </c>
      <c r="N1" s="85" t="str">
        <f ca="1">MID(CELL("filename",L1),FIND("]",CELL("filename",L1))+1,255)</f>
        <v>9910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0.33247657345964371</v>
      </c>
    </row>
    <row r="3" spans="1:15" s="93" customFormat="1" x14ac:dyDescent="0.25">
      <c r="A3" s="81" t="s">
        <v>179</v>
      </c>
      <c r="B3" s="94">
        <f>SUM(F19:F22,F24:F27,J19)</f>
        <v>86.931547363078096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110.42812649973885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117.47805773955265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128.14653775732404</v>
      </c>
      <c r="L3" s="100"/>
      <c r="M3" s="79" t="s">
        <v>385</v>
      </c>
      <c r="N3" s="92">
        <f>(F69-E69)/E69</f>
        <v>-8.5279178178660459E-2</v>
      </c>
    </row>
    <row r="4" spans="1:15" s="93" customFormat="1" x14ac:dyDescent="0.25">
      <c r="A4" s="81" t="s">
        <v>182</v>
      </c>
      <c r="B4" s="96">
        <f>SUM(G36:G40)*2</f>
        <v>80</v>
      </c>
      <c r="C4" s="101"/>
      <c r="D4" s="102">
        <f>F4*(1+F141/10)</f>
        <v>66.8</v>
      </c>
      <c r="E4" s="82">
        <f>(D4-F4)/F4</f>
        <v>0</v>
      </c>
      <c r="F4" s="103">
        <v>66.8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6.2383960048215359</v>
      </c>
    </row>
    <row r="5" spans="1:15" s="93" customFormat="1" x14ac:dyDescent="0.25">
      <c r="A5" s="81" t="s">
        <v>184</v>
      </c>
      <c r="B5" s="107">
        <f>SUM(F30:F34)*2</f>
        <v>90.504489361702127</v>
      </c>
      <c r="C5" s="87"/>
      <c r="D5" s="87"/>
      <c r="E5" s="87"/>
      <c r="F5" s="86"/>
      <c r="G5" s="88"/>
      <c r="M5" s="79" t="s">
        <v>375</v>
      </c>
      <c r="N5" s="152">
        <f>D62</f>
        <v>6.2399999999999993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連4月成長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6.6093074811021406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34.229999999999997</v>
      </c>
      <c r="N9" s="129"/>
    </row>
    <row r="10" spans="1:15" s="93" customFormat="1" x14ac:dyDescent="0.25">
      <c r="A10" s="123" t="s">
        <v>194</v>
      </c>
      <c r="B10" s="126">
        <f>PERCENTILE(176:176,B9)</f>
        <v>13.69</v>
      </c>
      <c r="C10" s="126">
        <f>PERCENTILE(176:176,C9)</f>
        <v>17.700000000000003</v>
      </c>
      <c r="D10" s="126">
        <f>PERCENTILE(176:176,D9)</f>
        <v>18.829999999999998</v>
      </c>
      <c r="E10" s="126">
        <f>PERCENTILE(176:176,E9)</f>
        <v>20.54</v>
      </c>
      <c r="F10" s="126">
        <f>PERCENTILE(176:176,F9)</f>
        <v>23.55</v>
      </c>
      <c r="G10" s="95"/>
      <c r="H10" s="135"/>
      <c r="I10" s="135"/>
      <c r="J10" s="135"/>
      <c r="K10" s="135"/>
      <c r="L10" s="136" t="s">
        <v>374</v>
      </c>
      <c r="M10" s="130">
        <f>MIN(176:176)</f>
        <v>9.66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19</v>
      </c>
      <c r="L11" s="272" t="s">
        <v>193</v>
      </c>
      <c r="M11" s="128">
        <f>STDEV(176:176)</f>
        <v>5.9550310434430411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60.224089635854348</v>
      </c>
      <c r="C13" s="141">
        <f>$B$34/5.88%</f>
        <v>73.129251700680271</v>
      </c>
      <c r="D13" s="141">
        <f>$B$34/5%</f>
        <v>85.999999999999986</v>
      </c>
      <c r="E13" s="141">
        <f>$B$34/4.35%</f>
        <v>98.850574712643677</v>
      </c>
      <c r="F13" s="141">
        <f>$B$34/3.85%</f>
        <v>111.68831168831169</v>
      </c>
      <c r="G13" s="138" t="str">
        <f>"$"&amp;ROUND(B34,2)&amp;"/"&amp;IF(STDEV(C140:F140)/AVERAGE(C140:F140)&lt;15%,"高",IF(STDEV(C140:F140)/AVERAGE(C140:F140)&lt;30%,"中","低"))</f>
        <v>$4.3/中</v>
      </c>
      <c r="H13" s="142" t="s">
        <v>199</v>
      </c>
      <c r="I13" s="143">
        <f>MAX(0,1-J15)</f>
        <v>0.23753665689149561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80.428749999999994</v>
      </c>
      <c r="C14" s="141">
        <f>$B$33*C10</f>
        <v>103.98750000000001</v>
      </c>
      <c r="D14" s="141">
        <f>$B$33*D10</f>
        <v>110.62624999999998</v>
      </c>
      <c r="E14" s="141">
        <f>$B$33*E10</f>
        <v>120.6725</v>
      </c>
      <c r="F14" s="141">
        <f>$B$33*F10</f>
        <v>138.35625000000002</v>
      </c>
      <c r="G14" s="138" t="str">
        <f>"$"&amp;ROUND(B33,2)&amp;"/"&amp;IF(STDEV(B69:E69)/AVERAGE(B69:E69)&lt;15%,"高",IF(STDEV(B69:E69)/AVERAGE(B69:E69)&lt;30%,"中","低"))</f>
        <v>$5.88/中</v>
      </c>
      <c r="H14" s="142" t="s">
        <v>203</v>
      </c>
      <c r="I14" s="145">
        <f>G62/100*I13</f>
        <v>7.1569794721407634E-2</v>
      </c>
      <c r="J14" s="76" t="s">
        <v>204</v>
      </c>
      <c r="K14" s="146"/>
      <c r="L14" s="147">
        <f>(HLOOKUP($C$1,$105:$106,2,FALSE)-HLOOKUP($C$1,$117:$127,9,FALSE))/(HLOOKUP($C$1,$117:$128,12,FALSE)/K11)</f>
        <v>-4.5055722661954674</v>
      </c>
      <c r="M14" s="148">
        <f>E135/E69</f>
        <v>0.92815249266862165</v>
      </c>
      <c r="N14" s="149">
        <f>F173/100</f>
        <v>1.3058000000000001</v>
      </c>
    </row>
    <row r="15" spans="1:15" s="93" customFormat="1" x14ac:dyDescent="0.25">
      <c r="A15" s="140" t="s">
        <v>375</v>
      </c>
      <c r="B15" s="141">
        <f>$D$62*B10</f>
        <v>85.425599999999989</v>
      </c>
      <c r="C15" s="141">
        <f>$D$62*C10</f>
        <v>110.44800000000001</v>
      </c>
      <c r="D15" s="141">
        <f>$D$62*D10</f>
        <v>117.49919999999997</v>
      </c>
      <c r="E15" s="141">
        <f>$D$62*E10</f>
        <v>128.16959999999997</v>
      </c>
      <c r="F15" s="141">
        <f>$D$62*F10</f>
        <v>146.952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0.76246334310850439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85.403641306006818</v>
      </c>
      <c r="C16" s="141">
        <f>$F$69*C10</f>
        <v>110.41960928534121</v>
      </c>
      <c r="D16" s="141">
        <f>$F$69*D10</f>
        <v>117.46899677078952</v>
      </c>
      <c r="E16" s="141">
        <f>$F$69*E10</f>
        <v>128.13665393903435</v>
      </c>
      <c r="F16" s="141">
        <f>$F$69*F10</f>
        <v>146.91422591354717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758</v>
      </c>
      <c r="J17" s="92">
        <f ca="1">IF(I17&lt;=0,"",IF(I17&lt;=MIN($B$13:$F$16),(I17-MIN($B$13:$F$16))/MIN($B$13:$F$16),IF(I17&gt;=MAX($B$13:$F$16),I17/MAX($B$13:$F$16),PERCENTRANK($B$13:$F$16,I17))))</f>
        <v>5.1581468778921007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5.4799999999999995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12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1.2744186046511627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0.41960149324622531</v>
      </c>
      <c r="J20" s="171">
        <f>HLOOKUP($C$1,$117:$127,11,FALSE)/HLOOKUP($C$1,$105:$115,11,FALSE)</f>
        <v>0.52966276798216272</v>
      </c>
      <c r="K20" s="163"/>
    </row>
    <row r="21" spans="1:14" s="93" customFormat="1" x14ac:dyDescent="0.25">
      <c r="A21" s="151" t="s">
        <v>201</v>
      </c>
      <c r="B21" s="161">
        <f>AVERAGE(C173:F173)/100</f>
        <v>1.403125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1.3215346838768547</v>
      </c>
      <c r="J21" s="78"/>
      <c r="K21" s="164" t="s">
        <v>356</v>
      </c>
      <c r="L21" s="165">
        <f>HLOOKUP($C$1,$105:$115,7,FALSE)/HLOOKUP($C$1,$105:$115,11,FALSE)</f>
        <v>0.4658248436020333</v>
      </c>
      <c r="M21" s="123" t="s">
        <v>268</v>
      </c>
      <c r="N21" s="165">
        <f>HLOOKUP($C$1,$117:$127,8,FALSE)/HLOOKUP($C$1,$117:$127,11,FALSE)</f>
        <v>0.66549475239041378</v>
      </c>
    </row>
    <row r="22" spans="1:14" s="93" customFormat="1" x14ac:dyDescent="0.25">
      <c r="A22" s="140" t="s">
        <v>222</v>
      </c>
      <c r="B22" s="161">
        <f>(-1)*SUM(C133:F133)/SUM(C132:F132)</f>
        <v>0.38674496644295303</v>
      </c>
      <c r="C22" s="157"/>
      <c r="D22" s="166"/>
      <c r="E22" s="140"/>
      <c r="F22" s="159">
        <f>IF(B22&lt;=0,10,IF(B22&gt;=100%,0,(1-B22)*10))</f>
        <v>6.1325503355704702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0.78353817712114082</v>
      </c>
      <c r="J22" s="78"/>
      <c r="K22" s="142" t="s">
        <v>357</v>
      </c>
      <c r="L22" s="165">
        <f>HLOOKUP($C$1,$105:$115,4,FALSE)/HLOOKUP($C$1,$105:$115,11,FALSE)</f>
        <v>0.15667619870085292</v>
      </c>
      <c r="M22" s="123" t="s">
        <v>353</v>
      </c>
      <c r="N22" s="165">
        <f>HLOOKUP($C$1,$117:$127,4,FALSE)/HLOOKUP($C$1,$117:$127,11,FALSE)</f>
        <v>0.20779499974150317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2.1261340415467589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0.18963720110827872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0.90654602561449049</v>
      </c>
      <c r="C24" s="169">
        <f>STDEV(C103:F103)</f>
        <v>2.9967002835810882E-2</v>
      </c>
      <c r="D24" s="76" t="str">
        <f>IF(C24/B24&lt;15%,"高",IF(C24/B24&lt;30%,"中","低"))</f>
        <v>高</v>
      </c>
      <c r="E24" s="149"/>
      <c r="F24" s="160">
        <f>MIN(100%,B24)*5</f>
        <v>4.5327301280724521</v>
      </c>
      <c r="G24" s="88" t="s">
        <v>229</v>
      </c>
      <c r="H24" s="123" t="s">
        <v>16</v>
      </c>
      <c r="I24" s="170">
        <f>HLOOKUP(C1,167:170,2,FALSE)</f>
        <v>26.79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4.8420641070942988E-2</v>
      </c>
      <c r="M24" s="123" t="s">
        <v>355</v>
      </c>
      <c r="N24" s="165">
        <f>HLOOKUP($C$1,$117:$127,9,FALSE)/HLOOKUP($C$1,$117:$127,11,FALSE)</f>
        <v>0.33450524760958622</v>
      </c>
    </row>
    <row r="25" spans="1:14" s="93" customFormat="1" x14ac:dyDescent="0.25">
      <c r="A25" s="151" t="s">
        <v>366</v>
      </c>
      <c r="B25" s="255">
        <f>AVERAGE(94:94)</f>
        <v>121681.82608695653</v>
      </c>
      <c r="C25" s="254">
        <f>STDEV(94:94)/AVERAGE(94:94)</f>
        <v>0.7337331005648291</v>
      </c>
      <c r="D25" s="76" t="str">
        <f>IF(C25&lt;=1,"高",IF(C25&lt;=2,"中","低"))</f>
        <v>高</v>
      </c>
      <c r="E25" s="149"/>
      <c r="F25" s="160">
        <f>MAX(0,10-ABS(C25))</f>
        <v>9.2662668994351716</v>
      </c>
      <c r="G25" s="88" t="s">
        <v>213</v>
      </c>
      <c r="H25" s="123" t="s">
        <v>232</v>
      </c>
      <c r="I25" s="170">
        <f>IF(HLOOKUP(C1,167:170,3,FALSE)="無",0,HLOOKUP(C1,167:170,3,FALSE))</f>
        <v>42.06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23.797826086956519</v>
      </c>
      <c r="C26" s="172">
        <f>IF(COUNTIF(168:168,"&gt;0")=0,0,STDEV(168:168))</f>
        <v>2.6227535088871221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44.901739130434784</v>
      </c>
      <c r="C27" s="172">
        <f>IF(COUNTIF(169:169,"&gt;0")=0,0,STDEV(169:169))</f>
        <v>3.8420291184523285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0.210475</v>
      </c>
      <c r="C30" s="157" t="s">
        <v>217</v>
      </c>
      <c r="D30" s="174">
        <f>COUNTIF(146:146,"&gt;20")/COUNT(146:146)</f>
        <v>0.65217391304347827</v>
      </c>
      <c r="E30" s="140" t="s">
        <v>239</v>
      </c>
      <c r="F30" s="159">
        <f>MIN(B30/25%*10,10)</f>
        <v>8.4190000000000005</v>
      </c>
      <c r="G30" s="175"/>
      <c r="H30" s="176"/>
    </row>
    <row r="31" spans="1:14" x14ac:dyDescent="0.25">
      <c r="A31" s="164" t="s">
        <v>240</v>
      </c>
      <c r="B31" s="173">
        <f>AVERAGE(C155:F155)/100</f>
        <v>7.6374999999999998E-2</v>
      </c>
      <c r="C31" s="157" t="s">
        <v>217</v>
      </c>
      <c r="D31" s="174">
        <f>COUNTIF(149:149,"&gt;8")/COUNT(149:149)</f>
        <v>0.30434782608695654</v>
      </c>
      <c r="E31" s="140" t="s">
        <v>241</v>
      </c>
      <c r="F31" s="159">
        <f>MIN(B31/10%*10,10)</f>
        <v>7.6374999999999993</v>
      </c>
      <c r="G31" s="175"/>
    </row>
    <row r="32" spans="1:14" x14ac:dyDescent="0.25">
      <c r="A32" s="155" t="s">
        <v>47</v>
      </c>
      <c r="B32" s="177">
        <f>AVERAGE(C165:F165)</f>
        <v>29.397500000000001</v>
      </c>
      <c r="C32" s="157" t="s">
        <v>217</v>
      </c>
      <c r="D32" s="174">
        <f>COUNTIF(159:159,"&gt;3")/COUNT(159:159)</f>
        <v>0.95652173913043481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5.875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4.3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9.1957446808510639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49932040</v>
      </c>
      <c r="C36" s="178">
        <f>STDEV(C97:F97)</f>
        <v>9048145.0413792916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21.047499999999999</v>
      </c>
      <c r="C37" s="180">
        <f>STDEV(C152:F152)</f>
        <v>1.5220025186137722</v>
      </c>
      <c r="D37" s="76" t="str">
        <f>IF(C37/B37&lt;15%,"高",IF(C37/B37&lt;30%,"中","低"))</f>
        <v>高</v>
      </c>
      <c r="E37" s="107">
        <f>IF(F152&gt;E152,1,0)+IF(E152&gt;D152,1,0)+IF(D152&gt;C152,1,0)</f>
        <v>3</v>
      </c>
      <c r="F37" s="179"/>
      <c r="G37" s="160">
        <f>IF(D37="高",6,IF(D37="中",4,2))+E37+1</f>
        <v>10</v>
      </c>
    </row>
    <row r="38" spans="1:14" x14ac:dyDescent="0.25">
      <c r="A38" s="164" t="s">
        <v>249</v>
      </c>
      <c r="B38" s="180">
        <f>AVERAGE(C153:F153)</f>
        <v>9.504999999999999</v>
      </c>
      <c r="C38" s="180">
        <f>STDEV(C153:F153)</f>
        <v>1.4258681565979472</v>
      </c>
      <c r="D38" s="76" t="str">
        <f>IF(C38/B38&lt;15%,"高",IF(C38/B38&lt;30%,"中","低"))</f>
        <v>中</v>
      </c>
      <c r="E38" s="107">
        <f>IF(F153&gt;E153,1,0)+IF(E153&gt;D153,1,0)+IF(D153&gt;C153,1,0)</f>
        <v>3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29.397500000000001</v>
      </c>
      <c r="C39" s="181">
        <f>STDEV(C165:F165)</f>
        <v>4.5573265189143353</v>
      </c>
      <c r="D39" s="76" t="str">
        <f>IF(C39/B39&lt;15%,"高",IF(C39/B39&lt;30%,"中","低"))</f>
        <v>中</v>
      </c>
      <c r="E39" s="107">
        <f>IF(F165&gt;E165,1,0)+IF(E165&gt;D165,1,0)+IF(D165&gt;C165,1,0)</f>
        <v>2</v>
      </c>
      <c r="F39" s="182"/>
      <c r="G39" s="160">
        <f>IF(D39="高",6,IF(D39="中",4,2))+E39+1</f>
        <v>7</v>
      </c>
    </row>
    <row r="40" spans="1:14" x14ac:dyDescent="0.25">
      <c r="A40" s="164" t="s">
        <v>14</v>
      </c>
      <c r="B40" s="183">
        <f>AVERAGE(B69:E69)</f>
        <v>5.875</v>
      </c>
      <c r="C40" s="183">
        <f>STDEV(B69:E69)</f>
        <v>1.3831485820402682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9.1954022988505704E-2</v>
      </c>
      <c r="C44" s="186">
        <f>(C46-C49)/C49</f>
        <v>-0.16746411483253584</v>
      </c>
      <c r="D44" s="186">
        <f>(D46-D49)/D49</f>
        <v>-0.25490196078431382</v>
      </c>
      <c r="E44" s="186">
        <f>(E46-E49)/E49</f>
        <v>-0.25510204081632654</v>
      </c>
      <c r="G44" s="86" t="s">
        <v>175</v>
      </c>
      <c r="H44" s="186">
        <f>(H47-H50)/H50</f>
        <v>-3.1746031746031675E-2</v>
      </c>
      <c r="I44" s="186">
        <f>(I47-I50)/I50</f>
        <v>-0.15128205128205124</v>
      </c>
      <c r="J44" s="186">
        <f>(J47-J50)/J50</f>
        <v>-0.20285423037716616</v>
      </c>
      <c r="K44" s="186">
        <f>(K47-K50)/K50</f>
        <v>3.1107044830741084E-2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1.9</v>
      </c>
      <c r="C46" s="152">
        <f>HLOOKUP(C45,$81:$82,2,FALSE)</f>
        <v>1.74</v>
      </c>
      <c r="D46" s="152">
        <f>HLOOKUP(D45,$81:$82,2,FALSE)</f>
        <v>1.1399999999999999</v>
      </c>
      <c r="E46" s="152">
        <f>HLOOKUP(E45,$81:$82,2,FALSE)</f>
        <v>1.46</v>
      </c>
      <c r="G46" s="86" t="s">
        <v>164</v>
      </c>
      <c r="H46" s="145">
        <f>HLOOKUP(H45,$145:$147,2,FALSE)/100</f>
        <v>0.22920000000000001</v>
      </c>
      <c r="I46" s="145">
        <f>HLOOKUP(I45,$145:$147,2,FALSE)/100</f>
        <v>0.22399999999999998</v>
      </c>
      <c r="J46" s="145">
        <f>HLOOKUP(J45,$145:$147,2,FALSE)/100</f>
        <v>0.2059</v>
      </c>
      <c r="K46" s="145">
        <f>HLOOKUP(K45,$145:$147,2,FALSE)/100</f>
        <v>0.23350000000000001</v>
      </c>
    </row>
    <row r="47" spans="1:14" x14ac:dyDescent="0.25">
      <c r="A47" s="188" t="s">
        <v>165</v>
      </c>
      <c r="B47" s="189">
        <f>HLOOKUP(B45,$157:$159,3,FALSE)</f>
        <v>10.119999999999999</v>
      </c>
      <c r="C47" s="189">
        <f>HLOOKUP(C45,$157:$159,3,FALSE)</f>
        <v>9.01</v>
      </c>
      <c r="D47" s="189">
        <f>HLOOKUP(D45,$157:$159,3,FALSE)</f>
        <v>5.47</v>
      </c>
      <c r="E47" s="189">
        <f>HLOOKUP(E45,$157:$159,3,FALSE)</f>
        <v>5.53</v>
      </c>
      <c r="G47" s="190" t="s">
        <v>166</v>
      </c>
      <c r="H47" s="145">
        <f>HLOOKUP(H45,$145:$147,3,FALSE)/100</f>
        <v>0.10980000000000001</v>
      </c>
      <c r="I47" s="145">
        <f>HLOOKUP(I45,$145:$147,3,FALSE)/100</f>
        <v>9.9299999999999999E-2</v>
      </c>
      <c r="J47" s="145">
        <f>HLOOKUP(J45,$145:$147,3,FALSE)/100</f>
        <v>7.8200000000000006E-2</v>
      </c>
      <c r="K47" s="145">
        <f>HLOOKUP(K45,$145:$147,3,FALSE)/100</f>
        <v>0.11269999999999999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1.74</v>
      </c>
      <c r="C49" s="152">
        <f>HLOOKUP(C48,$81:$82,2,FALSE)</f>
        <v>2.09</v>
      </c>
      <c r="D49" s="152">
        <f>HLOOKUP(D48,$81:$82,2,FALSE)</f>
        <v>1.53</v>
      </c>
      <c r="E49" s="152">
        <f>HLOOKUP(E48,$81:$82,2,FALSE)</f>
        <v>1.96</v>
      </c>
      <c r="G49" s="86" t="s">
        <v>164</v>
      </c>
      <c r="H49" s="145">
        <f>HLOOKUP(H48,$145:$147,2,FALSE)/100</f>
        <v>0.2382</v>
      </c>
      <c r="I49" s="145">
        <f>HLOOKUP(I48,$145:$147,2,FALSE)/100</f>
        <v>0.23300000000000001</v>
      </c>
      <c r="J49" s="145">
        <f>HLOOKUP(J48,$145:$147,2,FALSE)/100</f>
        <v>0.21940000000000001</v>
      </c>
      <c r="K49" s="145">
        <f>HLOOKUP(K48,$145:$147,2,FALSE)/100</f>
        <v>0.22820000000000001</v>
      </c>
    </row>
    <row r="50" spans="1:15" x14ac:dyDescent="0.25">
      <c r="A50" s="188" t="s">
        <v>165</v>
      </c>
      <c r="B50" s="189">
        <f>HLOOKUP(B48,$157:$159,3,FALSE)</f>
        <v>9.1999999999999993</v>
      </c>
      <c r="C50" s="189">
        <f>HLOOKUP(C48,$157:$159,3,FALSE)</f>
        <v>10.64</v>
      </c>
      <c r="D50" s="189">
        <f>HLOOKUP(D48,$157:$159,3,FALSE)</f>
        <v>6.79</v>
      </c>
      <c r="E50" s="189">
        <f>HLOOKUP(E48,$157:$159,3,FALSE)</f>
        <v>9.0299999999999994</v>
      </c>
      <c r="G50" s="190" t="s">
        <v>166</v>
      </c>
      <c r="H50" s="145">
        <f>HLOOKUP(H48,$145:$147,3,FALSE)/100</f>
        <v>0.1134</v>
      </c>
      <c r="I50" s="145">
        <f>HLOOKUP(I48,$145:$147,3,FALSE)/100</f>
        <v>0.11699999999999999</v>
      </c>
      <c r="J50" s="145">
        <f>HLOOKUP(J48,$145:$147,3,FALSE)/100</f>
        <v>9.8100000000000007E-2</v>
      </c>
      <c r="K50" s="145">
        <f>HLOOKUP(K48,$145:$147,3,FALSE)/100</f>
        <v>0.10929999999999999</v>
      </c>
    </row>
    <row r="51" spans="1:15" x14ac:dyDescent="0.25">
      <c r="A51" s="86" t="s">
        <v>351</v>
      </c>
      <c r="B51" s="186">
        <f>(B47-B50)/B50</f>
        <v>0.1</v>
      </c>
      <c r="C51" s="186">
        <f>(C47-C50)/C50</f>
        <v>-0.15319548872180458</v>
      </c>
      <c r="D51" s="186">
        <f>(D47-D50)/D50</f>
        <v>-0.19440353460972021</v>
      </c>
      <c r="E51" s="186">
        <f>(E47-E50)/E50</f>
        <v>-0.38759689922480611</v>
      </c>
      <c r="G51" s="235" t="s">
        <v>174</v>
      </c>
      <c r="H51" s="186">
        <f>(H46-H49)/H49</f>
        <v>-3.7783375314861381E-2</v>
      </c>
      <c r="I51" s="186">
        <f>(I46-I49)/I49</f>
        <v>-3.8626609442060235E-2</v>
      </c>
      <c r="J51" s="186">
        <f>(J46-J49)/J49</f>
        <v>-6.1531449407474986E-2</v>
      </c>
      <c r="K51" s="186">
        <f>(K46-K49)/K49</f>
        <v>2.3225241016652055E-2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6.6093074811021406</v>
      </c>
      <c r="B53" s="193">
        <f>B46</f>
        <v>1.9</v>
      </c>
      <c r="C53" s="193">
        <f>E46/HLOOKUP(E45,$87:$94,5,FALSE)*HLOOKUP(E45,$87:$94,4,FALSE)*($B$25/HLOOKUP(E45,$87:$94,4,FALSE)+SUM($B$57:$D$57)/SUM($B58:$D$58)*$G$69/100/K46)</f>
        <v>1.4583960048215368</v>
      </c>
      <c r="D53" s="193">
        <f>D46/HLOOKUP(D45,$87:$94,5,FALSE)*HLOOKUP(D45,$87:$94,4,FALSE)*($B$25/HLOOKUP(D45,$87:$94,4,FALSE)+SUM($B$57:$D$57)/SUM($B58:$D$58)*$G$69/100/J46)</f>
        <v>1.3774070685395099</v>
      </c>
      <c r="E53" s="193">
        <f>C46/HLOOKUP(C45,$87:$94,5,FALSE)*HLOOKUP(C45,$87:$94,4,FALSE)*($B$25/HLOOKUP(C45,$87:$94,4,FALSE)+SUM($B$57:$D$57)/SUM($B58:$D$58)*$G$69/100/I46)</f>
        <v>1.8735044077410938</v>
      </c>
    </row>
    <row r="54" spans="1:15" x14ac:dyDescent="0.25">
      <c r="A54" s="278">
        <f>SUM(B54:E54)</f>
        <v>6.08</v>
      </c>
      <c r="B54" s="277">
        <f t="shared" ref="B54:D54" si="0">HLOOKUP(B52-10,81:82,2,FALSE)</f>
        <v>1.74</v>
      </c>
      <c r="C54" s="277">
        <f t="shared" si="0"/>
        <v>1.46</v>
      </c>
      <c r="D54" s="277">
        <f t="shared" si="0"/>
        <v>1.1399999999999999</v>
      </c>
      <c r="E54" s="277">
        <f>HLOOKUP(E52-10,81:82,2,FALSE)</f>
        <v>1.74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4961635</v>
      </c>
      <c r="C57" s="196">
        <f>HLOOKUP(C56,78:79,2,FALSE)</f>
        <v>5077300</v>
      </c>
      <c r="D57" s="196">
        <f>HLOOKUP(D56,78:79,2,FALSE)</f>
        <v>5238555</v>
      </c>
      <c r="E57" s="196">
        <f>HLOOKUP(E56,78:79,2,FALSE)</f>
        <v>4987483</v>
      </c>
      <c r="F57" s="196">
        <f>HLOOKUP(F56,78:79,2,FALSE)</f>
        <v>5046513</v>
      </c>
      <c r="G57" s="196">
        <f t="shared" ref="G57:M57" si="2">HLOOKUP(G56,78:79,2,FALSE)</f>
        <v>4579825</v>
      </c>
      <c r="H57" s="196">
        <f t="shared" si="2"/>
        <v>4510805</v>
      </c>
      <c r="I57" s="196">
        <f t="shared" si="2"/>
        <v>5044319</v>
      </c>
      <c r="J57" s="196">
        <f t="shared" si="2"/>
        <v>4164406</v>
      </c>
      <c r="K57" s="196">
        <f t="shared" si="2"/>
        <v>4378256</v>
      </c>
      <c r="L57" s="196">
        <f t="shared" si="2"/>
        <v>4981300</v>
      </c>
      <c r="M57" s="196">
        <f t="shared" si="2"/>
        <v>4985475</v>
      </c>
      <c r="N57" s="197"/>
    </row>
    <row r="58" spans="1:15" x14ac:dyDescent="0.25">
      <c r="A58" s="198" t="s">
        <v>253</v>
      </c>
      <c r="B58" s="196">
        <f>HLOOKUP(B56-100,78:79,2,FALSE)</f>
        <v>4419819</v>
      </c>
      <c r="C58" s="196">
        <f>HLOOKUP(C56-100,78:79,2,FALSE)</f>
        <v>4715926</v>
      </c>
      <c r="D58" s="196">
        <f>HLOOKUP(D56-100,78:79,2,FALSE)</f>
        <v>4827040</v>
      </c>
      <c r="E58" s="196">
        <f>HLOOKUP(E56-100,78:79,2,FALSE)</f>
        <v>4624301</v>
      </c>
      <c r="F58" s="196">
        <f>HLOOKUP(F56-100,78:79,2,FALSE)</f>
        <v>5270277</v>
      </c>
      <c r="G58" s="196">
        <f t="shared" ref="G58:M58" si="3">HLOOKUP(G56-100,78:79,2,FALSE)</f>
        <v>5357097</v>
      </c>
      <c r="H58" s="196">
        <f t="shared" si="3"/>
        <v>4822452</v>
      </c>
      <c r="I58" s="196">
        <f t="shared" si="3"/>
        <v>4878002</v>
      </c>
      <c r="J58" s="196">
        <f t="shared" si="3"/>
        <v>4271313</v>
      </c>
      <c r="K58" s="196">
        <f t="shared" si="3"/>
        <v>5060152</v>
      </c>
      <c r="L58" s="196">
        <f t="shared" si="3"/>
        <v>5336861</v>
      </c>
      <c r="M58" s="196">
        <f t="shared" si="3"/>
        <v>5124999</v>
      </c>
      <c r="N58" s="197"/>
    </row>
    <row r="59" spans="1:15" x14ac:dyDescent="0.25">
      <c r="A59" s="199" t="s">
        <v>254</v>
      </c>
      <c r="B59" s="165">
        <f>IF(B57&lt;&gt;"",(B57-B58)/B58,"")</f>
        <v>0.12258782542905038</v>
      </c>
      <c r="C59" s="165">
        <f>IF(C57&lt;&gt;"",(C57-C58)/C58,"")</f>
        <v>7.6628428859994838E-2</v>
      </c>
      <c r="D59" s="165">
        <f>IF(D57&lt;&gt;"",(D57-D58)/D58,"")</f>
        <v>8.5252038516357848E-2</v>
      </c>
      <c r="E59" s="165">
        <f>IF(E57&lt;&gt;"",(E57-E58)/E58,"")</f>
        <v>7.8537707644895954E-2</v>
      </c>
      <c r="F59" s="165">
        <f>IF(F57&lt;&gt;"",(F57-F58)/F58,"")</f>
        <v>-4.2457730400128874E-2</v>
      </c>
      <c r="G59" s="165">
        <f t="shared" ref="G59:M59" si="4">IF(G57&lt;&gt;"",(G57-G58)/G58,"")</f>
        <v>-0.14509201532098448</v>
      </c>
      <c r="H59" s="165">
        <f t="shared" si="4"/>
        <v>-6.4624178737289664E-2</v>
      </c>
      <c r="I59" s="165">
        <f t="shared" si="4"/>
        <v>3.409531197404183E-2</v>
      </c>
      <c r="J59" s="165">
        <f t="shared" si="4"/>
        <v>-2.5029071856827161E-2</v>
      </c>
      <c r="K59" s="165">
        <f t="shared" si="4"/>
        <v>-0.13475800726934686</v>
      </c>
      <c r="L59" s="165">
        <f t="shared" si="4"/>
        <v>-6.6623620139254144E-2</v>
      </c>
      <c r="M59" s="165">
        <f t="shared" si="4"/>
        <v>-2.722420043399033E-2</v>
      </c>
    </row>
    <row r="60" spans="1:15" x14ac:dyDescent="0.25">
      <c r="A60" s="195" t="s">
        <v>255</v>
      </c>
      <c r="B60" s="196">
        <f>SUM(B57:M57)</f>
        <v>57955872</v>
      </c>
    </row>
    <row r="61" spans="1:15" x14ac:dyDescent="0.25">
      <c r="A61" s="198" t="s">
        <v>256</v>
      </c>
      <c r="B61" s="196">
        <f>SUM(B58:M58)</f>
        <v>58708239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0.98718464370903714</v>
      </c>
      <c r="D62" s="152">
        <f>SUM(B46:E46)</f>
        <v>6.2399999999999993</v>
      </c>
      <c r="E62" s="152">
        <f>SUM(B49:E49)</f>
        <v>7.32</v>
      </c>
      <c r="G62" s="126">
        <f>SUM(B47:E47)</f>
        <v>30.13</v>
      </c>
      <c r="H62" s="126">
        <f>SUM(B50:E50)</f>
        <v>35.659999999999997</v>
      </c>
      <c r="J62" s="200">
        <f>AVERAGE(H46:K46)</f>
        <v>0.22315000000000002</v>
      </c>
      <c r="K62" s="200">
        <f>AVERAGE(H49:K49)</f>
        <v>0.22970000000000002</v>
      </c>
      <c r="M62" s="200">
        <f>AVERAGE(H47:K47)</f>
        <v>0.1</v>
      </c>
      <c r="N62" s="200">
        <f>AVERAGE(H50:K50)</f>
        <v>0.10945000000000001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0.75</v>
      </c>
      <c r="C65" s="205">
        <f t="shared" si="5"/>
        <v>1.18</v>
      </c>
      <c r="D65" s="205">
        <f t="shared" si="5"/>
        <v>1.45</v>
      </c>
      <c r="E65" s="205">
        <f t="shared" si="5"/>
        <v>1.53</v>
      </c>
      <c r="F65" s="206">
        <f>IF(ISNA(HLOOKUP(F$64*10+$A65,$81:$82,2,FALSE)),(HLOOKUP(E$64*10+$A65,$87:$94,4,FALSE)*$G65+$B$25)/HLOOKUP(E$64*10+$A65,$87:$94,5,FALSE)*$E65,HLOOKUP(F$64*10+$A65,$81:$82,2,FALSE))</f>
        <v>1.1399999999999999</v>
      </c>
      <c r="G65" s="101">
        <f>MIN(130%,SUM($B$57:$D$57)/SUM($B$58:$D$58)*$G$69/HLOOKUP(E$64*10+$A65,$145:$146,2,FALSE))</f>
        <v>1.1480752314208671</v>
      </c>
      <c r="H65" s="204">
        <v>1</v>
      </c>
      <c r="I65" s="208">
        <f t="shared" ref="I65:M68" si="6">IF(ISNA(HLOOKUP(I$64*10+$H65,$145:$147,3,FALSE)),"",HLOOKUP(I$64*10+$H65,$145:$147,3,FALSE)/100)</f>
        <v>6.13E-2</v>
      </c>
      <c r="J65" s="208">
        <f t="shared" si="6"/>
        <v>7.8299999999999995E-2</v>
      </c>
      <c r="K65" s="208">
        <f t="shared" si="6"/>
        <v>8.72E-2</v>
      </c>
      <c r="L65" s="208">
        <f t="shared" si="6"/>
        <v>9.8100000000000007E-2</v>
      </c>
      <c r="M65" s="209">
        <f t="shared" si="6"/>
        <v>7.8200000000000006E-2</v>
      </c>
      <c r="N65" s="256">
        <f t="shared" ref="N65:O68" si="7">HLOOKUP(E$64*10+$A65,$87:$94,8,FALSE)</f>
        <v>40892</v>
      </c>
      <c r="O65" s="256">
        <f t="shared" si="7"/>
        <v>113924</v>
      </c>
      <c r="P65" s="210"/>
    </row>
    <row r="66" spans="1:71" x14ac:dyDescent="0.25">
      <c r="A66" s="204">
        <v>2</v>
      </c>
      <c r="B66" s="205">
        <f t="shared" si="5"/>
        <v>1.1499999999999999</v>
      </c>
      <c r="C66" s="205">
        <f t="shared" si="5"/>
        <v>1.06</v>
      </c>
      <c r="D66" s="205">
        <f t="shared" si="5"/>
        <v>1.64</v>
      </c>
      <c r="E66" s="205">
        <f t="shared" si="5"/>
        <v>2.09</v>
      </c>
      <c r="F66" s="206">
        <f>IF(ISNA(HLOOKUP(F$64*10+$A66,$81:$82,2,FALSE)),(HLOOKUP(E$64*10+$A66,$87:$94,4,FALSE)*$G66+$B$25)/HLOOKUP(E$64*10+$A66,$87:$94,5,FALSE)*$E66,HLOOKUP(F$64*10+$A66,$81:$82,2,FALSE))</f>
        <v>1.74</v>
      </c>
      <c r="G66" s="101">
        <f>MIN(130%,SUM($B$57:$D$57)/SUM($B$58:$D$58)*$G$69/HLOOKUP(E$64*10+$A66,$145:$146,2,FALSE))</f>
        <v>1.081063114908748</v>
      </c>
      <c r="H66" s="204">
        <v>2</v>
      </c>
      <c r="I66" s="208">
        <f t="shared" si="6"/>
        <v>7.9600000000000004E-2</v>
      </c>
      <c r="J66" s="208">
        <f t="shared" si="6"/>
        <v>0.1048</v>
      </c>
      <c r="K66" s="208">
        <f t="shared" si="6"/>
        <v>9.4200000000000006E-2</v>
      </c>
      <c r="L66" s="208">
        <f t="shared" si="6"/>
        <v>0.11699999999999999</v>
      </c>
      <c r="M66" s="209">
        <f t="shared" si="6"/>
        <v>9.9299999999999999E-2</v>
      </c>
      <c r="N66" s="256">
        <f t="shared" si="7"/>
        <v>215005</v>
      </c>
      <c r="O66" s="256">
        <f t="shared" si="7"/>
        <v>175321</v>
      </c>
      <c r="P66" s="210"/>
    </row>
    <row r="67" spans="1:71" x14ac:dyDescent="0.25">
      <c r="A67" s="204">
        <v>3</v>
      </c>
      <c r="B67" s="205">
        <f t="shared" si="5"/>
        <v>1.17</v>
      </c>
      <c r="C67" s="205">
        <f t="shared" si="5"/>
        <v>1.51</v>
      </c>
      <c r="D67" s="205">
        <f t="shared" si="5"/>
        <v>2.1</v>
      </c>
      <c r="E67" s="205">
        <f t="shared" si="5"/>
        <v>1.74</v>
      </c>
      <c r="F67" s="206">
        <f>IF(ISNA(HLOOKUP(F$64*10+$A67,$81:$82,2,FALSE)),(HLOOKUP(E$64*10+$A67,$87:$94,4,FALSE)*$G67+$B$25)/HLOOKUP(E$64*10+$A67,$87:$94,5,FALSE)*$E67,HLOOKUP(F$64*10+$A67,$81:$82,2,FALSE))</f>
        <v>1.9</v>
      </c>
      <c r="G67" s="101">
        <f>MIN(130%,SUM($B$57:$D$57)/SUM($B$58:$D$58)*$G$69/HLOOKUP(E$64*10+$A67,$145:$146,2,FALSE))</f>
        <v>1.0574630804942833</v>
      </c>
      <c r="H67" s="204">
        <v>3</v>
      </c>
      <c r="I67" s="208">
        <f t="shared" si="6"/>
        <v>9.0500000000000011E-2</v>
      </c>
      <c r="J67" s="208">
        <f t="shared" si="6"/>
        <v>9.4399999999999998E-2</v>
      </c>
      <c r="K67" s="208">
        <f t="shared" si="6"/>
        <v>0.10289999999999999</v>
      </c>
      <c r="L67" s="208">
        <f t="shared" si="6"/>
        <v>0.1134</v>
      </c>
      <c r="M67" s="209">
        <f t="shared" si="6"/>
        <v>0.10980000000000001</v>
      </c>
      <c r="N67" s="256">
        <f t="shared" si="7"/>
        <v>123431</v>
      </c>
      <c r="O67" s="256">
        <f t="shared" si="7"/>
        <v>132533</v>
      </c>
      <c r="P67" s="210"/>
    </row>
    <row r="68" spans="1:71" x14ac:dyDescent="0.25">
      <c r="A68" s="204">
        <v>4</v>
      </c>
      <c r="B68" s="205">
        <f>HLOOKUP(B$64*10+$A68,$81:$82,2,FALSE)</f>
        <v>1.08</v>
      </c>
      <c r="C68" s="205">
        <f>HLOOKUP(C$64*10+$A68,$81:$82,2,FALSE)</f>
        <v>1.63</v>
      </c>
      <c r="D68" s="205">
        <f>HLOOKUP(D$64*10+$A68,$81:$82,2,FALSE)</f>
        <v>1.96</v>
      </c>
      <c r="E68" s="206">
        <f>IF(ISNA(HLOOKUP(E$64*10+$A68,$81:$82,2,FALSE)),D68*(1-$N68)*#REF!*(1+$B$25)/(1+$E$4),HLOOKUP(E$64*10+$A68,$81:$82,2,FALSE))</f>
        <v>1.46</v>
      </c>
      <c r="F68" s="206">
        <f>IF(ISNA(HLOOKUP(F$64*10+$A68,$81:$82,2,FALSE)),(HLOOKUP(E$64*10+$A68,$87:$94,4,FALSE)*$G68+$B$25)/HLOOKUP(E$64*10+$A68,$87:$94,5,FALSE)*$E68,HLOOKUP(F$64*10+$A68,$81:$82,2,FALSE))</f>
        <v>1.4583960048215368</v>
      </c>
      <c r="G68" s="101">
        <f>MIN(130%,SUM($B$57:$D$57)/SUM($B$58:$D$58)*$G$69/HLOOKUP(E$64*10+$A68,$145:$146,2,FALSE))</f>
        <v>1.0787482045984507</v>
      </c>
      <c r="H68" s="204">
        <v>4</v>
      </c>
      <c r="I68" s="208">
        <f t="shared" si="6"/>
        <v>7.2000000000000008E-2</v>
      </c>
      <c r="J68" s="208">
        <f t="shared" si="6"/>
        <v>9.7699999999999995E-2</v>
      </c>
      <c r="K68" s="208">
        <f t="shared" si="6"/>
        <v>0.10929999999999999</v>
      </c>
      <c r="L68" s="208">
        <f t="shared" si="6"/>
        <v>0.11269999999999999</v>
      </c>
      <c r="M68" s="209" t="str">
        <f t="shared" si="6"/>
        <v/>
      </c>
      <c r="N68" s="256">
        <f t="shared" si="7"/>
        <v>251932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4.1500000000000004</v>
      </c>
      <c r="C69" s="213">
        <f>SUM(C65:C68)</f>
        <v>5.38</v>
      </c>
      <c r="D69" s="213">
        <f>SUM(D65:D68)</f>
        <v>7.1499999999999995</v>
      </c>
      <c r="E69" s="213">
        <f>SUM(E65:E68)</f>
        <v>6.82</v>
      </c>
      <c r="F69" s="213">
        <f>SUM(F65:F68)</f>
        <v>6.2383960048215359</v>
      </c>
      <c r="G69" s="257">
        <f>_xlfn.FORECAST.ETS(23,B146:W146,{1,2,3,4,5,6,7,8,9,10,11,12,13,14,15,16,17,18,19,20,21,22})</f>
        <v>23.021149939302635</v>
      </c>
      <c r="H69" s="214" t="s">
        <v>19</v>
      </c>
      <c r="I69" s="215">
        <f>HLOOKUP(I64,151:155,3,FALSE)/100</f>
        <v>7.6200000000000004E-2</v>
      </c>
      <c r="J69" s="215">
        <f>HLOOKUP(J64,151:155,3,FALSE)/100</f>
        <v>9.4499999999999987E-2</v>
      </c>
      <c r="K69" s="215">
        <f>HLOOKUP(K64,151:155,3,FALSE)/100</f>
        <v>9.9000000000000005E-2</v>
      </c>
      <c r="L69" s="215">
        <f>IF(ISNA(HLOOKUP(L64,151:155,3,FALSE)/100),AVERAGE(L65:L68),HLOOKUP(L64,151:155,3,FALSE)/100)</f>
        <v>0.1105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4.2</v>
      </c>
      <c r="C72" s="205">
        <f t="shared" si="8"/>
        <v>6.32</v>
      </c>
      <c r="D72" s="205">
        <f t="shared" si="8"/>
        <v>7.15</v>
      </c>
      <c r="E72" s="205">
        <f t="shared" si="8"/>
        <v>6.79</v>
      </c>
      <c r="F72" s="205">
        <f t="shared" si="8"/>
        <v>5.47</v>
      </c>
    </row>
    <row r="73" spans="1:71" s="135" customFormat="1" x14ac:dyDescent="0.25">
      <c r="A73" s="204">
        <v>2</v>
      </c>
      <c r="B73" s="205">
        <f t="shared" si="8"/>
        <v>6.63</v>
      </c>
      <c r="C73" s="205">
        <f t="shared" si="8"/>
        <v>6.52</v>
      </c>
      <c r="D73" s="205">
        <f t="shared" si="8"/>
        <v>8.6999999999999993</v>
      </c>
      <c r="E73" s="205">
        <f t="shared" si="8"/>
        <v>10.64</v>
      </c>
      <c r="F73" s="205">
        <f t="shared" si="8"/>
        <v>9.01</v>
      </c>
    </row>
    <row r="74" spans="1:71" s="135" customFormat="1" x14ac:dyDescent="0.25">
      <c r="A74" s="204">
        <v>3</v>
      </c>
      <c r="B74" s="205">
        <f t="shared" si="8"/>
        <v>7.45</v>
      </c>
      <c r="C74" s="205">
        <f t="shared" si="8"/>
        <v>9.23</v>
      </c>
      <c r="D74" s="205">
        <f t="shared" si="8"/>
        <v>10.82</v>
      </c>
      <c r="E74" s="205">
        <f t="shared" si="8"/>
        <v>9.1999999999999993</v>
      </c>
      <c r="F74" s="205">
        <f t="shared" si="8"/>
        <v>10.119999999999999</v>
      </c>
    </row>
    <row r="75" spans="1:71" s="135" customFormat="1" x14ac:dyDescent="0.25">
      <c r="A75" s="204">
        <v>4</v>
      </c>
      <c r="B75" s="205">
        <f t="shared" si="8"/>
        <v>6.12</v>
      </c>
      <c r="C75" s="205">
        <f t="shared" si="8"/>
        <v>8.6999999999999993</v>
      </c>
      <c r="D75" s="205">
        <f t="shared" si="8"/>
        <v>9.0299999999999994</v>
      </c>
      <c r="E75" s="205">
        <f t="shared" si="8"/>
        <v>5.53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24.400000000000002</v>
      </c>
      <c r="C76" s="213">
        <f>SUM(C72:C75)</f>
        <v>30.77</v>
      </c>
      <c r="D76" s="213">
        <f>SUM(D72:D75)</f>
        <v>35.700000000000003</v>
      </c>
      <c r="E76" s="213">
        <f>AVERAGE(E72:E75)*4</f>
        <v>32.159999999999997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2430132</v>
      </c>
      <c r="C79" s="270">
        <v>2780436</v>
      </c>
      <c r="D79" s="270">
        <v>2662290</v>
      </c>
      <c r="E79" s="270">
        <v>3145164</v>
      </c>
      <c r="F79" s="270">
        <v>3637542</v>
      </c>
      <c r="G79" s="270">
        <v>3324930</v>
      </c>
      <c r="H79" s="270">
        <v>3109544</v>
      </c>
      <c r="I79" s="270">
        <v>3243669</v>
      </c>
      <c r="J79" s="270">
        <v>3017100</v>
      </c>
      <c r="K79" s="270">
        <v>2889006</v>
      </c>
      <c r="L79" s="270">
        <v>3209595</v>
      </c>
      <c r="M79" s="270">
        <v>3063440</v>
      </c>
      <c r="N79" s="270">
        <v>2960267</v>
      </c>
      <c r="O79" s="270">
        <v>2609919</v>
      </c>
      <c r="P79" s="270">
        <v>3118016</v>
      </c>
      <c r="Q79" s="270">
        <v>3117090</v>
      </c>
      <c r="R79" s="270">
        <v>3169476</v>
      </c>
      <c r="S79" s="270">
        <v>3496871</v>
      </c>
      <c r="T79" s="270">
        <v>3383466</v>
      </c>
      <c r="U79" s="270">
        <v>3296371</v>
      </c>
      <c r="V79" s="270">
        <v>3455522</v>
      </c>
      <c r="W79" s="270">
        <v>3115917</v>
      </c>
      <c r="X79" s="270">
        <v>3203358</v>
      </c>
      <c r="Y79" s="270">
        <v>3817653</v>
      </c>
      <c r="Z79" s="270">
        <v>3765455</v>
      </c>
      <c r="AA79" s="270">
        <v>2872941</v>
      </c>
      <c r="AB79" s="270">
        <v>3605228</v>
      </c>
      <c r="AC79" s="270">
        <v>3787142</v>
      </c>
      <c r="AD79" s="270">
        <v>4064789</v>
      </c>
      <c r="AE79" s="270">
        <v>4091767</v>
      </c>
      <c r="AF79" s="270">
        <v>3822285</v>
      </c>
      <c r="AG79" s="270">
        <v>4299305</v>
      </c>
      <c r="AH79" s="270">
        <v>4225819</v>
      </c>
      <c r="AI79" s="270">
        <v>3760917</v>
      </c>
      <c r="AJ79" s="270">
        <v>4449763</v>
      </c>
      <c r="AK79" s="270">
        <v>4841177</v>
      </c>
      <c r="AL79" s="270">
        <v>4474628</v>
      </c>
      <c r="AM79" s="270">
        <v>3699360</v>
      </c>
      <c r="AN79" s="270">
        <v>4163537</v>
      </c>
      <c r="AO79" s="270">
        <v>4391856</v>
      </c>
      <c r="AP79" s="270">
        <v>4722704</v>
      </c>
      <c r="AQ79" s="270">
        <v>4761317</v>
      </c>
      <c r="AR79" s="270">
        <v>4247105</v>
      </c>
      <c r="AS79" s="270">
        <v>5060712</v>
      </c>
      <c r="AT79" s="270">
        <v>5397802</v>
      </c>
      <c r="AU79" s="270">
        <v>4372724</v>
      </c>
      <c r="AV79" s="270">
        <v>5124999</v>
      </c>
      <c r="AW79" s="270">
        <v>5336861</v>
      </c>
      <c r="AX79" s="270">
        <v>5060152</v>
      </c>
      <c r="AY79" s="270">
        <v>4271313</v>
      </c>
      <c r="AZ79" s="270">
        <v>4878002</v>
      </c>
      <c r="BA79" s="270">
        <v>4822452</v>
      </c>
      <c r="BB79" s="270">
        <v>5357097</v>
      </c>
      <c r="BC79" s="270">
        <v>5270277</v>
      </c>
      <c r="BD79" s="270">
        <v>4624301</v>
      </c>
      <c r="BE79" s="270">
        <v>4827040</v>
      </c>
      <c r="BF79" s="270">
        <v>4715926</v>
      </c>
      <c r="BG79" s="270">
        <v>4419819</v>
      </c>
      <c r="BH79" s="270">
        <v>4985475</v>
      </c>
      <c r="BI79" s="270">
        <v>4981300</v>
      </c>
      <c r="BJ79" s="270">
        <v>4378256</v>
      </c>
      <c r="BK79" s="270">
        <v>4164406</v>
      </c>
      <c r="BL79" s="270">
        <v>5044319</v>
      </c>
      <c r="BM79" s="270">
        <v>4510805</v>
      </c>
      <c r="BN79" s="270">
        <v>4579825</v>
      </c>
      <c r="BO79" s="270">
        <v>5046513</v>
      </c>
      <c r="BP79" s="270">
        <v>4987483</v>
      </c>
      <c r="BQ79" s="270">
        <v>5238555</v>
      </c>
      <c r="BR79" s="270">
        <v>5077300</v>
      </c>
      <c r="BS79" s="270">
        <v>4961635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0.39</v>
      </c>
      <c r="C82" s="72">
        <v>0.83</v>
      </c>
      <c r="D82" s="72">
        <v>0.93</v>
      </c>
      <c r="E82" s="72">
        <v>1</v>
      </c>
      <c r="F82" s="72">
        <v>0.75</v>
      </c>
      <c r="G82" s="72">
        <v>1.1499999999999999</v>
      </c>
      <c r="H82" s="72">
        <v>1.17</v>
      </c>
      <c r="I82" s="72">
        <v>1.08</v>
      </c>
      <c r="J82" s="72">
        <v>1.18</v>
      </c>
      <c r="K82" s="72">
        <v>1.06</v>
      </c>
      <c r="L82" s="72">
        <v>1.51</v>
      </c>
      <c r="M82" s="72">
        <v>1.63</v>
      </c>
      <c r="N82" s="72">
        <v>1.45</v>
      </c>
      <c r="O82" s="72">
        <v>1.64</v>
      </c>
      <c r="P82" s="72">
        <v>2.1</v>
      </c>
      <c r="Q82" s="72">
        <v>1.96</v>
      </c>
      <c r="R82" s="72">
        <v>1.53</v>
      </c>
      <c r="S82" s="72">
        <v>2.09</v>
      </c>
      <c r="T82" s="72">
        <v>1.74</v>
      </c>
      <c r="U82" s="72">
        <v>1.46</v>
      </c>
      <c r="V82" s="72">
        <v>1.1399999999999999</v>
      </c>
      <c r="W82" s="72">
        <v>1.74</v>
      </c>
      <c r="X82" s="72">
        <v>1.9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16.84</v>
      </c>
      <c r="C85" s="72">
        <v>15.89</v>
      </c>
      <c r="D85" s="72">
        <v>16.149999999999999</v>
      </c>
      <c r="E85" s="72">
        <v>16.86</v>
      </c>
      <c r="F85" s="72">
        <v>17.29</v>
      </c>
      <c r="G85" s="72">
        <v>16.190000000000001</v>
      </c>
      <c r="H85" s="72">
        <v>16.48</v>
      </c>
      <c r="I85" s="72">
        <v>17.5</v>
      </c>
      <c r="J85" s="72">
        <v>19.04</v>
      </c>
      <c r="K85" s="72">
        <v>15.46</v>
      </c>
      <c r="L85" s="72">
        <v>16.63</v>
      </c>
      <c r="M85" s="72">
        <v>18.739999999999998</v>
      </c>
      <c r="N85" s="72">
        <v>20</v>
      </c>
      <c r="O85" s="72">
        <v>17.79</v>
      </c>
      <c r="P85" s="72">
        <v>20.309999999999999</v>
      </c>
      <c r="Q85" s="72">
        <v>21.96</v>
      </c>
      <c r="R85" s="72">
        <v>23.07</v>
      </c>
      <c r="S85" s="72">
        <v>20.29</v>
      </c>
      <c r="T85" s="72">
        <v>19.190000000000001</v>
      </c>
      <c r="U85" s="72">
        <v>20.73</v>
      </c>
      <c r="V85" s="72">
        <v>20.5</v>
      </c>
      <c r="W85" s="72">
        <v>17.170000000000002</v>
      </c>
      <c r="X85" s="72">
        <v>19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7940636</v>
      </c>
      <c r="C88" s="273">
        <v>10311258</v>
      </c>
      <c r="D88" s="273">
        <v>9208584</v>
      </c>
      <c r="E88" s="273">
        <v>9386319</v>
      </c>
      <c r="F88" s="273">
        <v>8665890</v>
      </c>
      <c r="G88" s="273">
        <v>9736196</v>
      </c>
      <c r="H88" s="273">
        <v>9586122</v>
      </c>
      <c r="I88" s="273">
        <v>10160153</v>
      </c>
      <c r="J88" s="273">
        <v>10230203</v>
      </c>
      <c r="K88" s="273">
        <v>11899200</v>
      </c>
      <c r="L88" s="273">
        <v>12418785</v>
      </c>
      <c r="M88" s="273">
        <v>13105376</v>
      </c>
      <c r="N88" s="273">
        <v>12318017</v>
      </c>
      <c r="O88" s="273">
        <v>13861422</v>
      </c>
      <c r="P88" s="273">
        <v>14848705</v>
      </c>
      <c r="Q88" s="273">
        <v>14775633</v>
      </c>
      <c r="R88" s="273">
        <v>14104990</v>
      </c>
      <c r="S88" s="273">
        <v>15470283</v>
      </c>
      <c r="T88" s="273">
        <v>14100055</v>
      </c>
      <c r="U88" s="273">
        <v>14447130</v>
      </c>
      <c r="V88" s="273">
        <v>13519518</v>
      </c>
      <c r="W88" s="273">
        <v>14143562</v>
      </c>
      <c r="X88" s="273">
        <v>15307926</v>
      </c>
    </row>
    <row r="89" spans="1:25" ht="14.25" thickBot="1" x14ac:dyDescent="0.3">
      <c r="A89" s="250" t="s">
        <v>4</v>
      </c>
      <c r="B89" s="275">
        <v>1328939</v>
      </c>
      <c r="C89" s="275">
        <v>1889808</v>
      </c>
      <c r="D89" s="275">
        <v>1836320</v>
      </c>
      <c r="E89" s="275">
        <v>2012732</v>
      </c>
      <c r="F89" s="275">
        <v>1596457</v>
      </c>
      <c r="G89" s="275">
        <v>1900610</v>
      </c>
      <c r="H89" s="275">
        <v>2009620</v>
      </c>
      <c r="I89" s="275">
        <v>1933805</v>
      </c>
      <c r="J89" s="275">
        <v>1972017</v>
      </c>
      <c r="K89" s="275">
        <v>2481271</v>
      </c>
      <c r="L89" s="275">
        <v>2567871</v>
      </c>
      <c r="M89" s="275">
        <v>2747194</v>
      </c>
      <c r="N89" s="275">
        <v>2454737</v>
      </c>
      <c r="O89" s="275">
        <v>2799087</v>
      </c>
      <c r="P89" s="275">
        <v>3140594</v>
      </c>
      <c r="Q89" s="275">
        <v>3371529</v>
      </c>
      <c r="R89" s="275">
        <v>3094127</v>
      </c>
      <c r="S89" s="275">
        <v>3604988</v>
      </c>
      <c r="T89" s="275">
        <v>3358299</v>
      </c>
      <c r="U89" s="275">
        <v>3373444</v>
      </c>
      <c r="V89" s="275">
        <v>2783791</v>
      </c>
      <c r="W89" s="275">
        <v>3167777</v>
      </c>
      <c r="X89" s="275">
        <v>3509010</v>
      </c>
    </row>
    <row r="90" spans="1:25" ht="14.25" thickBot="1" x14ac:dyDescent="0.3">
      <c r="A90" s="251" t="s">
        <v>5</v>
      </c>
      <c r="B90" s="273">
        <v>301393</v>
      </c>
      <c r="C90" s="273">
        <v>798048</v>
      </c>
      <c r="D90" s="273">
        <v>800463</v>
      </c>
      <c r="E90" s="273">
        <v>854859</v>
      </c>
      <c r="F90" s="273">
        <v>530861</v>
      </c>
      <c r="G90" s="273">
        <v>775158</v>
      </c>
      <c r="H90" s="273">
        <v>867588</v>
      </c>
      <c r="I90" s="273">
        <v>731574</v>
      </c>
      <c r="J90" s="273">
        <v>801037</v>
      </c>
      <c r="K90" s="273">
        <v>1246968</v>
      </c>
      <c r="L90" s="273">
        <v>1172555</v>
      </c>
      <c r="M90" s="273">
        <v>1280344</v>
      </c>
      <c r="N90" s="273">
        <v>1074204</v>
      </c>
      <c r="O90" s="273">
        <v>1305664</v>
      </c>
      <c r="P90" s="273">
        <v>1527267</v>
      </c>
      <c r="Q90" s="273">
        <v>1615135</v>
      </c>
      <c r="R90" s="273">
        <v>1384175</v>
      </c>
      <c r="S90" s="273">
        <v>1809598</v>
      </c>
      <c r="T90" s="273">
        <v>1599334</v>
      </c>
      <c r="U90" s="273">
        <v>1627784</v>
      </c>
      <c r="V90" s="273">
        <v>1057568</v>
      </c>
      <c r="W90" s="273">
        <v>1404399</v>
      </c>
      <c r="X90" s="273">
        <v>1680575</v>
      </c>
    </row>
    <row r="91" spans="1:25" ht="14.25" thickBot="1" x14ac:dyDescent="0.3">
      <c r="A91" s="250" t="s">
        <v>6</v>
      </c>
      <c r="B91" s="275">
        <v>301767</v>
      </c>
      <c r="C91" s="275">
        <v>827916</v>
      </c>
      <c r="D91" s="275">
        <v>865523</v>
      </c>
      <c r="E91" s="275">
        <v>726832</v>
      </c>
      <c r="F91" s="275">
        <v>600296</v>
      </c>
      <c r="G91" s="275">
        <v>929328</v>
      </c>
      <c r="H91" s="275">
        <v>996716</v>
      </c>
      <c r="I91" s="275">
        <v>866723</v>
      </c>
      <c r="J91" s="275">
        <v>989414</v>
      </c>
      <c r="K91" s="275">
        <v>1311985</v>
      </c>
      <c r="L91" s="275">
        <v>1325439</v>
      </c>
      <c r="M91" s="275">
        <v>1428121</v>
      </c>
      <c r="N91" s="275">
        <v>1226701</v>
      </c>
      <c r="O91" s="275">
        <v>1438742</v>
      </c>
      <c r="P91" s="275">
        <v>1840618</v>
      </c>
      <c r="Q91" s="275">
        <v>1752641</v>
      </c>
      <c r="R91" s="275">
        <v>1425067</v>
      </c>
      <c r="S91" s="275">
        <v>2024603</v>
      </c>
      <c r="T91" s="275">
        <v>1722765</v>
      </c>
      <c r="U91" s="275">
        <v>1879716</v>
      </c>
      <c r="V91" s="275">
        <v>1171492</v>
      </c>
      <c r="W91" s="275">
        <v>1579720</v>
      </c>
      <c r="X91" s="275">
        <v>1813108</v>
      </c>
    </row>
    <row r="92" spans="1:25" ht="14.25" thickBot="1" x14ac:dyDescent="0.3">
      <c r="A92" s="251" t="s">
        <v>7</v>
      </c>
      <c r="B92" s="273">
        <v>248881</v>
      </c>
      <c r="C92" s="273">
        <v>557392</v>
      </c>
      <c r="D92" s="273">
        <v>645015</v>
      </c>
      <c r="E92" s="273">
        <v>599774</v>
      </c>
      <c r="F92" s="273">
        <v>469648</v>
      </c>
      <c r="G92" s="273">
        <v>704806</v>
      </c>
      <c r="H92" s="273">
        <v>776093</v>
      </c>
      <c r="I92" s="273">
        <v>673131</v>
      </c>
      <c r="J92" s="273">
        <v>735431</v>
      </c>
      <c r="K92" s="273">
        <v>715123</v>
      </c>
      <c r="L92" s="273">
        <v>969975</v>
      </c>
      <c r="M92" s="273">
        <v>1021900</v>
      </c>
      <c r="N92" s="273">
        <v>905693</v>
      </c>
      <c r="O92" s="273">
        <v>1075682</v>
      </c>
      <c r="P92" s="273">
        <v>1385597</v>
      </c>
      <c r="Q92" s="273">
        <v>1295137</v>
      </c>
      <c r="R92" s="273">
        <v>1024557</v>
      </c>
      <c r="S92" s="273">
        <v>1547923</v>
      </c>
      <c r="T92" s="273">
        <v>1304316</v>
      </c>
      <c r="U92" s="273">
        <v>830680</v>
      </c>
      <c r="V92" s="273">
        <v>835138</v>
      </c>
      <c r="W92" s="273">
        <v>1261313</v>
      </c>
      <c r="X92" s="273">
        <v>1379706</v>
      </c>
    </row>
    <row r="93" spans="1:25" ht="26.25" thickBot="1" x14ac:dyDescent="0.3">
      <c r="A93" s="252" t="s">
        <v>8</v>
      </c>
      <c r="B93" s="276">
        <v>202584</v>
      </c>
      <c r="C93" s="276">
        <v>442224</v>
      </c>
      <c r="D93" s="276">
        <v>496354</v>
      </c>
      <c r="E93" s="276">
        <v>537793</v>
      </c>
      <c r="F93" s="276">
        <v>403118</v>
      </c>
      <c r="G93" s="276">
        <v>637615</v>
      </c>
      <c r="H93" s="276">
        <v>652091</v>
      </c>
      <c r="I93" s="276">
        <v>601214</v>
      </c>
      <c r="J93" s="276">
        <v>655799</v>
      </c>
      <c r="K93" s="276">
        <v>616032</v>
      </c>
      <c r="L93" s="276">
        <v>873989</v>
      </c>
      <c r="M93" s="276">
        <v>941331</v>
      </c>
      <c r="N93" s="276">
        <v>837941</v>
      </c>
      <c r="O93" s="276">
        <v>976045</v>
      </c>
      <c r="P93" s="276">
        <v>1254104</v>
      </c>
      <c r="Q93" s="276">
        <v>1169894</v>
      </c>
      <c r="R93" s="276">
        <v>914101</v>
      </c>
      <c r="S93" s="276">
        <v>1397504</v>
      </c>
      <c r="T93" s="276">
        <v>1165235</v>
      </c>
      <c r="U93" s="276">
        <v>976446</v>
      </c>
      <c r="V93" s="276">
        <v>759088</v>
      </c>
      <c r="W93" s="276">
        <v>1163822</v>
      </c>
      <c r="X93" s="276">
        <v>1268792</v>
      </c>
    </row>
    <row r="94" spans="1:25" x14ac:dyDescent="0.25">
      <c r="A94" s="233" t="s">
        <v>365</v>
      </c>
      <c r="B94" s="253">
        <f>IF(B91="","",B91-B90)</f>
        <v>374</v>
      </c>
      <c r="C94" s="253">
        <f>IF(C91="","",C91-C90)</f>
        <v>29868</v>
      </c>
      <c r="D94" s="253">
        <f t="shared" ref="D94:Y94" si="9">IF(D91="","",D91-D90)</f>
        <v>65060</v>
      </c>
      <c r="E94" s="253">
        <f t="shared" si="9"/>
        <v>-128027</v>
      </c>
      <c r="F94" s="253">
        <f t="shared" si="9"/>
        <v>69435</v>
      </c>
      <c r="G94" s="253">
        <f t="shared" si="9"/>
        <v>154170</v>
      </c>
      <c r="H94" s="253">
        <f t="shared" si="9"/>
        <v>129128</v>
      </c>
      <c r="I94" s="253">
        <f t="shared" si="9"/>
        <v>135149</v>
      </c>
      <c r="J94" s="253">
        <f t="shared" si="9"/>
        <v>188377</v>
      </c>
      <c r="K94" s="253">
        <f t="shared" si="9"/>
        <v>65017</v>
      </c>
      <c r="L94" s="253">
        <f t="shared" si="9"/>
        <v>152884</v>
      </c>
      <c r="M94" s="253">
        <f t="shared" si="9"/>
        <v>147777</v>
      </c>
      <c r="N94" s="253">
        <f t="shared" si="9"/>
        <v>152497</v>
      </c>
      <c r="O94" s="253">
        <f t="shared" si="9"/>
        <v>133078</v>
      </c>
      <c r="P94" s="253">
        <f t="shared" si="9"/>
        <v>313351</v>
      </c>
      <c r="Q94" s="253">
        <f t="shared" si="9"/>
        <v>137506</v>
      </c>
      <c r="R94" s="253">
        <f t="shared" si="9"/>
        <v>40892</v>
      </c>
      <c r="S94" s="253">
        <f t="shared" si="9"/>
        <v>215005</v>
      </c>
      <c r="T94" s="253">
        <f t="shared" si="9"/>
        <v>123431</v>
      </c>
      <c r="U94" s="253">
        <f t="shared" si="9"/>
        <v>251932</v>
      </c>
      <c r="V94" s="253">
        <f t="shared" si="9"/>
        <v>113924</v>
      </c>
      <c r="W94" s="253">
        <f t="shared" si="9"/>
        <v>175321</v>
      </c>
      <c r="X94" s="253">
        <f t="shared" si="9"/>
        <v>132533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36846797</v>
      </c>
      <c r="C97" s="273">
        <v>38148361</v>
      </c>
      <c r="D97" s="273">
        <v>47653564</v>
      </c>
      <c r="E97" s="273">
        <v>55803777</v>
      </c>
      <c r="F97" s="273">
        <v>58122458</v>
      </c>
    </row>
    <row r="98" spans="1:24" ht="14.25" thickBot="1" x14ac:dyDescent="0.3">
      <c r="A98" s="225" t="s">
        <v>4</v>
      </c>
      <c r="B98" s="275">
        <v>7067799</v>
      </c>
      <c r="C98" s="275">
        <v>7440492</v>
      </c>
      <c r="D98" s="275">
        <v>9768353</v>
      </c>
      <c r="E98" s="275">
        <v>11765947</v>
      </c>
      <c r="F98" s="275">
        <v>13430858</v>
      </c>
    </row>
    <row r="99" spans="1:24" ht="14.25" thickBot="1" x14ac:dyDescent="0.3">
      <c r="A99" s="224" t="s">
        <v>5</v>
      </c>
      <c r="B99" s="273">
        <v>2754763</v>
      </c>
      <c r="C99" s="273">
        <v>2905181</v>
      </c>
      <c r="D99" s="273">
        <v>4500904</v>
      </c>
      <c r="E99" s="273">
        <v>5522270</v>
      </c>
      <c r="F99" s="273">
        <v>6420891</v>
      </c>
    </row>
    <row r="100" spans="1:24" ht="14.25" thickBot="1" x14ac:dyDescent="0.3">
      <c r="A100" s="225" t="s">
        <v>6</v>
      </c>
      <c r="B100" s="275">
        <v>2722038</v>
      </c>
      <c r="C100" s="275">
        <v>3393063</v>
      </c>
      <c r="D100" s="275">
        <v>5054959</v>
      </c>
      <c r="E100" s="275">
        <v>6258702</v>
      </c>
      <c r="F100" s="275">
        <v>7052151</v>
      </c>
    </row>
    <row r="101" spans="1:24" ht="14.25" thickBot="1" x14ac:dyDescent="0.3">
      <c r="A101" s="224" t="s">
        <v>7</v>
      </c>
      <c r="B101" s="273">
        <v>2051062</v>
      </c>
      <c r="C101" s="273">
        <v>2623678</v>
      </c>
      <c r="D101" s="273">
        <v>3442429</v>
      </c>
      <c r="E101" s="273">
        <v>4662109</v>
      </c>
      <c r="F101" s="273">
        <v>4707476</v>
      </c>
    </row>
    <row r="102" spans="1:24" ht="14.25" thickBot="1" x14ac:dyDescent="0.3">
      <c r="A102" s="227" t="s">
        <v>8</v>
      </c>
      <c r="B102" s="276">
        <v>1678955</v>
      </c>
      <c r="C102" s="276">
        <v>2294038</v>
      </c>
      <c r="D102" s="276">
        <v>3087151</v>
      </c>
      <c r="E102" s="276">
        <v>4237984</v>
      </c>
      <c r="F102" s="276">
        <v>4453286</v>
      </c>
    </row>
    <row r="103" spans="1:24" x14ac:dyDescent="0.25">
      <c r="A103" s="233" t="s">
        <v>262</v>
      </c>
      <c r="B103" s="234">
        <f>IF(OR(B102="",B102="無"),"",B102/B101)</f>
        <v>0.81857837549523127</v>
      </c>
      <c r="C103" s="234">
        <f>IF(OR(C102="",C102="無"),"",C102/C101)</f>
        <v>0.87435958223532007</v>
      </c>
      <c r="D103" s="234">
        <f>IF(OR(D102="",D102="無"),"",D102/D101)</f>
        <v>0.89679438559226643</v>
      </c>
      <c r="E103" s="234">
        <f>IF(OR(E102="",E102="無"),"",E102/E101)</f>
        <v>0.90902722351622411</v>
      </c>
      <c r="F103" s="234">
        <f>IF(OR(F102="",F102="無"),"",F102/F101)</f>
        <v>0.94600291111415125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1722941</v>
      </c>
      <c r="C106" s="273">
        <v>1504691</v>
      </c>
      <c r="D106" s="273">
        <v>1575590</v>
      </c>
      <c r="E106" s="273">
        <v>1807928</v>
      </c>
      <c r="F106" s="273">
        <v>1728979</v>
      </c>
      <c r="G106" s="273">
        <v>1124010</v>
      </c>
      <c r="H106" s="273">
        <v>1574198</v>
      </c>
      <c r="I106" s="273">
        <v>1582742</v>
      </c>
      <c r="J106" s="273">
        <v>1506126</v>
      </c>
      <c r="K106" s="273">
        <v>1598175</v>
      </c>
      <c r="L106" s="273">
        <v>1828755</v>
      </c>
      <c r="M106" s="273">
        <v>1891230</v>
      </c>
      <c r="N106" s="273">
        <v>2353639</v>
      </c>
      <c r="O106" s="273">
        <v>2173214</v>
      </c>
      <c r="P106" s="273">
        <v>2418733</v>
      </c>
      <c r="Q106" s="273">
        <v>2374118</v>
      </c>
      <c r="R106" s="273">
        <v>2599689</v>
      </c>
      <c r="S106" s="273">
        <v>2980826</v>
      </c>
      <c r="T106" s="273">
        <v>2474412</v>
      </c>
      <c r="U106" s="273">
        <v>2499610</v>
      </c>
      <c r="V106" s="273">
        <v>3143370</v>
      </c>
      <c r="W106" s="273">
        <v>2761302</v>
      </c>
      <c r="X106" s="273">
        <v>1999213</v>
      </c>
    </row>
    <row r="107" spans="1:24" ht="14.25" thickBot="1" x14ac:dyDescent="0.3">
      <c r="A107" s="225" t="s">
        <v>22</v>
      </c>
      <c r="B107" s="274">
        <v>0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1760870</v>
      </c>
      <c r="C108" s="273">
        <v>2335485</v>
      </c>
      <c r="D108" s="273">
        <v>2329850</v>
      </c>
      <c r="E108" s="273">
        <v>2417702</v>
      </c>
      <c r="F108" s="273">
        <v>2446296</v>
      </c>
      <c r="G108" s="273">
        <v>2420271</v>
      </c>
      <c r="H108" s="273">
        <v>2537590</v>
      </c>
      <c r="I108" s="273">
        <v>2800276</v>
      </c>
      <c r="J108" s="273">
        <v>2857567</v>
      </c>
      <c r="K108" s="273">
        <v>2981505</v>
      </c>
      <c r="L108" s="273">
        <v>3190903</v>
      </c>
      <c r="M108" s="273">
        <v>3723589</v>
      </c>
      <c r="N108" s="273">
        <v>3253459</v>
      </c>
      <c r="O108" s="273">
        <v>2832371</v>
      </c>
      <c r="P108" s="273">
        <v>3810838</v>
      </c>
      <c r="Q108" s="273">
        <v>3764323</v>
      </c>
      <c r="R108" s="273">
        <v>3767747</v>
      </c>
      <c r="S108" s="273">
        <v>4035568</v>
      </c>
      <c r="T108" s="273">
        <v>3703686</v>
      </c>
      <c r="U108" s="273">
        <v>4645942</v>
      </c>
      <c r="V108" s="273">
        <v>4276463</v>
      </c>
      <c r="W108" s="273">
        <v>4326636</v>
      </c>
      <c r="X108" s="273">
        <v>4771824</v>
      </c>
    </row>
    <row r="109" spans="1:24" ht="14.25" thickBot="1" x14ac:dyDescent="0.3">
      <c r="A109" s="225" t="s">
        <v>264</v>
      </c>
      <c r="B109" s="275">
        <v>4476763</v>
      </c>
      <c r="C109" s="275">
        <v>3882666</v>
      </c>
      <c r="D109" s="275">
        <v>3931448</v>
      </c>
      <c r="E109" s="275">
        <v>3735196</v>
      </c>
      <c r="F109" s="275">
        <v>4111975</v>
      </c>
      <c r="G109" s="275">
        <v>3807133</v>
      </c>
      <c r="H109" s="275">
        <v>3785025</v>
      </c>
      <c r="I109" s="275">
        <v>4044507</v>
      </c>
      <c r="J109" s="275">
        <v>4753631</v>
      </c>
      <c r="K109" s="275">
        <v>4382418</v>
      </c>
      <c r="L109" s="275">
        <v>4757027</v>
      </c>
      <c r="M109" s="275">
        <v>5232683</v>
      </c>
      <c r="N109" s="275">
        <v>5559838</v>
      </c>
      <c r="O109" s="275">
        <v>4870314</v>
      </c>
      <c r="P109" s="275">
        <v>5096376</v>
      </c>
      <c r="Q109" s="275">
        <v>5402931</v>
      </c>
      <c r="R109" s="275">
        <v>5713337</v>
      </c>
      <c r="S109" s="275">
        <v>4983231</v>
      </c>
      <c r="T109" s="275">
        <v>5275002</v>
      </c>
      <c r="U109" s="275">
        <v>5684498</v>
      </c>
      <c r="V109" s="275">
        <v>5302955</v>
      </c>
      <c r="W109" s="275">
        <v>5241459</v>
      </c>
      <c r="X109" s="275">
        <v>5775704</v>
      </c>
    </row>
    <row r="110" spans="1:24" ht="14.25" thickBot="1" x14ac:dyDescent="0.3">
      <c r="A110" s="224" t="s">
        <v>23</v>
      </c>
      <c r="B110" s="273">
        <v>952891</v>
      </c>
      <c r="C110" s="273">
        <v>953716</v>
      </c>
      <c r="D110" s="273">
        <v>1050971</v>
      </c>
      <c r="E110" s="273">
        <v>1025607</v>
      </c>
      <c r="F110" s="273">
        <v>774799</v>
      </c>
      <c r="G110" s="273">
        <v>839699</v>
      </c>
      <c r="H110" s="273">
        <v>779173</v>
      </c>
      <c r="I110" s="273">
        <v>1004341</v>
      </c>
      <c r="J110" s="273">
        <v>1042497</v>
      </c>
      <c r="K110" s="273">
        <v>1090825</v>
      </c>
      <c r="L110" s="273">
        <v>1201306</v>
      </c>
      <c r="M110" s="273">
        <v>1258953</v>
      </c>
      <c r="N110" s="273">
        <v>1373537</v>
      </c>
      <c r="O110" s="273">
        <v>1556341</v>
      </c>
      <c r="P110" s="273">
        <v>1625478</v>
      </c>
      <c r="Q110" s="273">
        <v>1827669</v>
      </c>
      <c r="R110" s="273">
        <v>1909318</v>
      </c>
      <c r="S110" s="273">
        <v>1636393</v>
      </c>
      <c r="T110" s="273">
        <v>1423370</v>
      </c>
      <c r="U110" s="273">
        <v>1743569</v>
      </c>
      <c r="V110" s="273">
        <v>1657280</v>
      </c>
      <c r="W110" s="273">
        <v>1590945</v>
      </c>
      <c r="X110" s="273">
        <v>1640699</v>
      </c>
    </row>
    <row r="111" spans="1:24" ht="14.25" thickBot="1" x14ac:dyDescent="0.3">
      <c r="A111" s="225" t="s">
        <v>24</v>
      </c>
      <c r="B111" s="275">
        <v>8913465</v>
      </c>
      <c r="C111" s="275">
        <v>8676558</v>
      </c>
      <c r="D111" s="275">
        <v>8887859</v>
      </c>
      <c r="E111" s="275">
        <v>8986433</v>
      </c>
      <c r="F111" s="275">
        <v>9062049</v>
      </c>
      <c r="G111" s="275">
        <v>8191113</v>
      </c>
      <c r="H111" s="275">
        <v>8675986</v>
      </c>
      <c r="I111" s="275">
        <v>9431866</v>
      </c>
      <c r="J111" s="275">
        <v>10159821</v>
      </c>
      <c r="K111" s="275">
        <v>10052923</v>
      </c>
      <c r="L111" s="275">
        <v>10977991</v>
      </c>
      <c r="M111" s="275">
        <v>12106455</v>
      </c>
      <c r="N111" s="275">
        <v>12540473</v>
      </c>
      <c r="O111" s="275">
        <v>11432240</v>
      </c>
      <c r="P111" s="275">
        <v>12951425</v>
      </c>
      <c r="Q111" s="275">
        <v>13369041</v>
      </c>
      <c r="R111" s="275">
        <v>13990091</v>
      </c>
      <c r="S111" s="275">
        <v>13636018</v>
      </c>
      <c r="T111" s="275">
        <v>12876470</v>
      </c>
      <c r="U111" s="275">
        <v>14573619</v>
      </c>
      <c r="V111" s="275">
        <v>14380068</v>
      </c>
      <c r="W111" s="275">
        <v>13920342</v>
      </c>
      <c r="X111" s="275">
        <v>14187440</v>
      </c>
    </row>
    <row r="112" spans="1:24" ht="14.25" thickBot="1" x14ac:dyDescent="0.3">
      <c r="A112" s="224" t="s">
        <v>25</v>
      </c>
      <c r="B112" s="273">
        <v>468586</v>
      </c>
      <c r="C112" s="273">
        <v>484963</v>
      </c>
      <c r="D112" s="273">
        <v>374914</v>
      </c>
      <c r="E112" s="273">
        <v>377878</v>
      </c>
      <c r="F112" s="273">
        <v>393664</v>
      </c>
      <c r="G112" s="273">
        <v>404997</v>
      </c>
      <c r="H112" s="273">
        <v>425155</v>
      </c>
      <c r="I112" s="273">
        <v>433208</v>
      </c>
      <c r="J112" s="273">
        <v>424065</v>
      </c>
      <c r="K112" s="273">
        <v>373653</v>
      </c>
      <c r="L112" s="273">
        <v>399554</v>
      </c>
      <c r="M112" s="273">
        <v>427633</v>
      </c>
      <c r="N112" s="273">
        <v>444391</v>
      </c>
      <c r="O112" s="273">
        <v>460655</v>
      </c>
      <c r="P112" s="273">
        <v>652915</v>
      </c>
      <c r="Q112" s="273">
        <v>699767</v>
      </c>
      <c r="R112" s="273">
        <v>673825</v>
      </c>
      <c r="S112" s="273">
        <v>680968</v>
      </c>
      <c r="T112" s="273">
        <v>686962</v>
      </c>
      <c r="U112" s="273">
        <v>709037</v>
      </c>
      <c r="V112" s="273">
        <v>660962</v>
      </c>
      <c r="W112" s="273">
        <v>693108</v>
      </c>
      <c r="X112" s="273">
        <v>684031</v>
      </c>
    </row>
    <row r="113" spans="1:24" ht="14.25" thickBot="1" x14ac:dyDescent="0.3">
      <c r="A113" s="225" t="s">
        <v>26</v>
      </c>
      <c r="B113" s="275">
        <v>10856015</v>
      </c>
      <c r="C113" s="275">
        <v>10807843</v>
      </c>
      <c r="D113" s="275">
        <v>10680833</v>
      </c>
      <c r="E113" s="275">
        <v>10529105</v>
      </c>
      <c r="F113" s="275">
        <v>10728223</v>
      </c>
      <c r="G113" s="275">
        <v>10675698</v>
      </c>
      <c r="H113" s="275">
        <v>10221419</v>
      </c>
      <c r="I113" s="275">
        <v>10254360</v>
      </c>
      <c r="J113" s="275">
        <v>10435567</v>
      </c>
      <c r="K113" s="275">
        <v>10478256</v>
      </c>
      <c r="L113" s="275">
        <v>10811901</v>
      </c>
      <c r="M113" s="275">
        <v>11480185</v>
      </c>
      <c r="N113" s="275">
        <v>11559568</v>
      </c>
      <c r="O113" s="275">
        <v>11888210</v>
      </c>
      <c r="P113" s="275">
        <v>12858281</v>
      </c>
      <c r="Q113" s="275">
        <v>13272568</v>
      </c>
      <c r="R113" s="275">
        <v>13432953</v>
      </c>
      <c r="S113" s="275">
        <v>13660641</v>
      </c>
      <c r="T113" s="275">
        <v>13608618</v>
      </c>
      <c r="U113" s="275">
        <v>13999643</v>
      </c>
      <c r="V113" s="275">
        <v>13594848</v>
      </c>
      <c r="W113" s="275">
        <v>13871408</v>
      </c>
      <c r="X113" s="275">
        <v>14110399</v>
      </c>
    </row>
    <row r="114" spans="1:24" ht="14.25" thickBot="1" x14ac:dyDescent="0.3">
      <c r="A114" s="224" t="s">
        <v>27</v>
      </c>
      <c r="B114" s="273">
        <v>1051251</v>
      </c>
      <c r="C114" s="273">
        <v>1015237</v>
      </c>
      <c r="D114" s="273">
        <v>1011492</v>
      </c>
      <c r="E114" s="273">
        <v>1037727</v>
      </c>
      <c r="F114" s="273">
        <v>1271766</v>
      </c>
      <c r="G114" s="273">
        <v>1321700</v>
      </c>
      <c r="H114" s="273">
        <v>1290287</v>
      </c>
      <c r="I114" s="273">
        <v>1377076</v>
      </c>
      <c r="J114" s="273">
        <v>1368719</v>
      </c>
      <c r="K114" s="273">
        <v>1379251</v>
      </c>
      <c r="L114" s="273">
        <v>1350797</v>
      </c>
      <c r="M114" s="273">
        <v>1382465</v>
      </c>
      <c r="N114" s="273">
        <v>1311978</v>
      </c>
      <c r="O114" s="273">
        <v>1191533</v>
      </c>
      <c r="P114" s="273">
        <v>1234728</v>
      </c>
      <c r="Q114" s="273">
        <v>1355530</v>
      </c>
      <c r="R114" s="273">
        <v>1491729</v>
      </c>
      <c r="S114" s="273">
        <v>1722696</v>
      </c>
      <c r="T114" s="273">
        <v>1681948</v>
      </c>
      <c r="U114" s="273">
        <v>1611119</v>
      </c>
      <c r="V114" s="273">
        <v>1586699</v>
      </c>
      <c r="W114" s="273">
        <v>1474463</v>
      </c>
      <c r="X114" s="273">
        <v>1474728</v>
      </c>
    </row>
    <row r="115" spans="1:24" ht="14.25" thickBot="1" x14ac:dyDescent="0.3">
      <c r="A115" s="225" t="s">
        <v>265</v>
      </c>
      <c r="B115" s="276">
        <v>21289317</v>
      </c>
      <c r="C115" s="276">
        <v>20984601</v>
      </c>
      <c r="D115" s="276">
        <v>20955098</v>
      </c>
      <c r="E115" s="276">
        <v>20931143</v>
      </c>
      <c r="F115" s="276">
        <v>21455702</v>
      </c>
      <c r="G115" s="276">
        <v>20593508</v>
      </c>
      <c r="H115" s="276">
        <v>20612847</v>
      </c>
      <c r="I115" s="276">
        <v>21496510</v>
      </c>
      <c r="J115" s="276">
        <v>22388172</v>
      </c>
      <c r="K115" s="276">
        <v>22284083</v>
      </c>
      <c r="L115" s="276">
        <v>23540243</v>
      </c>
      <c r="M115" s="276">
        <v>25396738</v>
      </c>
      <c r="N115" s="276">
        <v>25856410</v>
      </c>
      <c r="O115" s="276">
        <v>24972638</v>
      </c>
      <c r="P115" s="276">
        <v>27697349</v>
      </c>
      <c r="Q115" s="276">
        <v>28696906</v>
      </c>
      <c r="R115" s="276">
        <v>29588598</v>
      </c>
      <c r="S115" s="276">
        <v>29700323</v>
      </c>
      <c r="T115" s="276">
        <v>28853998</v>
      </c>
      <c r="U115" s="276">
        <v>30893418</v>
      </c>
      <c r="V115" s="276">
        <v>30222577</v>
      </c>
      <c r="W115" s="276">
        <v>29959321</v>
      </c>
      <c r="X115" s="276">
        <v>30456598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3132959</v>
      </c>
      <c r="C118" s="273">
        <v>2456399</v>
      </c>
      <c r="D118" s="273">
        <v>2608424</v>
      </c>
      <c r="E118" s="273">
        <v>1934183</v>
      </c>
      <c r="F118" s="273">
        <v>2356897</v>
      </c>
      <c r="G118" s="273">
        <v>1725381</v>
      </c>
      <c r="H118" s="273">
        <v>2742078</v>
      </c>
      <c r="I118" s="273">
        <v>2234390</v>
      </c>
      <c r="J118" s="273">
        <v>2031417</v>
      </c>
      <c r="K118" s="273">
        <v>2375686</v>
      </c>
      <c r="L118" s="273">
        <v>2459431</v>
      </c>
      <c r="M118" s="273">
        <v>1978088</v>
      </c>
      <c r="N118" s="273">
        <v>2144601</v>
      </c>
      <c r="O118" s="273">
        <v>966501</v>
      </c>
      <c r="P118" s="273">
        <v>1754879</v>
      </c>
      <c r="Q118" s="273">
        <v>1303321</v>
      </c>
      <c r="R118" s="273">
        <v>1712641</v>
      </c>
      <c r="S118" s="273">
        <v>1390937</v>
      </c>
      <c r="T118" s="273">
        <v>2367166</v>
      </c>
      <c r="U118" s="273">
        <v>1381198</v>
      </c>
      <c r="V118" s="273">
        <v>1760153</v>
      </c>
      <c r="W118" s="273">
        <v>1375279</v>
      </c>
      <c r="X118" s="273">
        <v>3277371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2415978</v>
      </c>
      <c r="C120" s="273">
        <v>2266583</v>
      </c>
      <c r="D120" s="273">
        <v>2168667</v>
      </c>
      <c r="E120" s="273">
        <v>2099879</v>
      </c>
      <c r="F120" s="273">
        <v>2059985</v>
      </c>
      <c r="G120" s="273">
        <v>2018241</v>
      </c>
      <c r="H120" s="273">
        <v>2054139</v>
      </c>
      <c r="I120" s="273">
        <v>2302181</v>
      </c>
      <c r="J120" s="273">
        <v>2648183</v>
      </c>
      <c r="K120" s="273">
        <v>2696273</v>
      </c>
      <c r="L120" s="273">
        <v>2980886</v>
      </c>
      <c r="M120" s="273">
        <v>3100873</v>
      </c>
      <c r="N120" s="273">
        <v>3237635</v>
      </c>
      <c r="O120" s="273">
        <v>3102253</v>
      </c>
      <c r="P120" s="273">
        <v>3712787</v>
      </c>
      <c r="Q120" s="273">
        <v>3363590</v>
      </c>
      <c r="R120" s="273">
        <v>3661120</v>
      </c>
      <c r="S120" s="273">
        <v>2977764</v>
      </c>
      <c r="T120" s="273">
        <v>2991739</v>
      </c>
      <c r="U120" s="273">
        <v>2812246</v>
      </c>
      <c r="V120" s="273">
        <v>3037130</v>
      </c>
      <c r="W120" s="273">
        <v>3079349</v>
      </c>
      <c r="X120" s="273">
        <v>3352092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10266</v>
      </c>
      <c r="C122" s="273">
        <v>8918</v>
      </c>
      <c r="D122" s="273">
        <v>10634</v>
      </c>
      <c r="E122" s="273">
        <v>89079</v>
      </c>
      <c r="F122" s="273">
        <v>26006</v>
      </c>
      <c r="G122" s="273">
        <v>18689</v>
      </c>
      <c r="H122" s="273">
        <v>469365</v>
      </c>
      <c r="I122" s="273">
        <v>417830</v>
      </c>
      <c r="J122" s="273">
        <v>414433</v>
      </c>
      <c r="K122" s="68">
        <v>743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1726475</v>
      </c>
      <c r="C123" s="275">
        <v>2470721</v>
      </c>
      <c r="D123" s="275">
        <v>1796350</v>
      </c>
      <c r="E123" s="275">
        <v>1938787</v>
      </c>
      <c r="F123" s="275">
        <v>2140567</v>
      </c>
      <c r="G123" s="275">
        <v>3216537</v>
      </c>
      <c r="H123" s="275">
        <v>2229792</v>
      </c>
      <c r="I123" s="275">
        <v>2490457</v>
      </c>
      <c r="J123" s="275">
        <v>2455819</v>
      </c>
      <c r="K123" s="275">
        <v>4514494</v>
      </c>
      <c r="L123" s="275">
        <v>2591207</v>
      </c>
      <c r="M123" s="275">
        <v>3144066</v>
      </c>
      <c r="N123" s="275">
        <v>2716707</v>
      </c>
      <c r="O123" s="275">
        <v>4792282</v>
      </c>
      <c r="P123" s="275">
        <v>3034123</v>
      </c>
      <c r="Q123" s="275">
        <v>3654595</v>
      </c>
      <c r="R123" s="275">
        <v>3359227</v>
      </c>
      <c r="S123" s="275">
        <v>6438080</v>
      </c>
      <c r="T123" s="275">
        <v>3598126</v>
      </c>
      <c r="U123" s="275">
        <v>4828914</v>
      </c>
      <c r="V123" s="275">
        <v>4213070</v>
      </c>
      <c r="W123" s="275">
        <v>7498340</v>
      </c>
      <c r="X123" s="275">
        <v>4106116</v>
      </c>
    </row>
    <row r="124" spans="1:24" ht="14.25" thickBot="1" x14ac:dyDescent="0.3">
      <c r="A124" s="224" t="s">
        <v>268</v>
      </c>
      <c r="B124" s="273">
        <v>7285678</v>
      </c>
      <c r="C124" s="273">
        <v>7202621</v>
      </c>
      <c r="D124" s="273">
        <v>6584075</v>
      </c>
      <c r="E124" s="273">
        <v>6061928</v>
      </c>
      <c r="F124" s="273">
        <v>6583455</v>
      </c>
      <c r="G124" s="273">
        <v>6978848</v>
      </c>
      <c r="H124" s="273">
        <v>7495374</v>
      </c>
      <c r="I124" s="273">
        <v>7444858</v>
      </c>
      <c r="J124" s="273">
        <v>7549852</v>
      </c>
      <c r="K124" s="273">
        <v>9587196</v>
      </c>
      <c r="L124" s="273">
        <v>8031524</v>
      </c>
      <c r="M124" s="273">
        <v>8223027</v>
      </c>
      <c r="N124" s="273">
        <v>8098943</v>
      </c>
      <c r="O124" s="273">
        <v>8861036</v>
      </c>
      <c r="P124" s="273">
        <v>8501789</v>
      </c>
      <c r="Q124" s="273">
        <v>8321506</v>
      </c>
      <c r="R124" s="273">
        <v>8732988</v>
      </c>
      <c r="S124" s="273">
        <v>10806781</v>
      </c>
      <c r="T124" s="273">
        <v>8957031</v>
      </c>
      <c r="U124" s="273">
        <v>9022358</v>
      </c>
      <c r="V124" s="273">
        <v>9010353</v>
      </c>
      <c r="W124" s="273">
        <v>11952968</v>
      </c>
      <c r="X124" s="273">
        <v>10735579</v>
      </c>
    </row>
    <row r="125" spans="1:24" ht="14.25" thickBot="1" x14ac:dyDescent="0.3">
      <c r="A125" s="225" t="s">
        <v>32</v>
      </c>
      <c r="B125" s="275">
        <v>1827997</v>
      </c>
      <c r="C125" s="275">
        <v>1828976</v>
      </c>
      <c r="D125" s="275">
        <v>1879683</v>
      </c>
      <c r="E125" s="275">
        <v>1853593</v>
      </c>
      <c r="F125" s="275">
        <v>3726404</v>
      </c>
      <c r="G125" s="275">
        <v>3511730</v>
      </c>
      <c r="H125" s="275">
        <v>2395384</v>
      </c>
      <c r="I125" s="275">
        <v>2780743</v>
      </c>
      <c r="J125" s="275">
        <v>2838103</v>
      </c>
      <c r="K125" s="275">
        <v>2761535</v>
      </c>
      <c r="L125" s="275">
        <v>4431144</v>
      </c>
      <c r="M125" s="275">
        <v>4750116</v>
      </c>
      <c r="N125" s="275">
        <v>4842999</v>
      </c>
      <c r="O125" s="275">
        <v>4298889</v>
      </c>
      <c r="P125" s="275">
        <v>5387904</v>
      </c>
      <c r="Q125" s="275">
        <v>5502513</v>
      </c>
      <c r="R125" s="275">
        <v>5533492</v>
      </c>
      <c r="S125" s="275">
        <v>5113657</v>
      </c>
      <c r="T125" s="275">
        <v>5314971</v>
      </c>
      <c r="U125" s="275">
        <v>6412633</v>
      </c>
      <c r="V125" s="275">
        <v>6158278</v>
      </c>
      <c r="W125" s="275">
        <v>5071511</v>
      </c>
      <c r="X125" s="275">
        <v>5396147</v>
      </c>
    </row>
    <row r="126" spans="1:24" ht="14.25" thickBot="1" x14ac:dyDescent="0.3">
      <c r="A126" s="224" t="s">
        <v>33</v>
      </c>
      <c r="B126" s="273">
        <v>1488838</v>
      </c>
      <c r="C126" s="273">
        <v>1639072</v>
      </c>
      <c r="D126" s="273">
        <v>1707875</v>
      </c>
      <c r="E126" s="273">
        <v>1799343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10602513</v>
      </c>
      <c r="C127" s="275">
        <v>10670669</v>
      </c>
      <c r="D127" s="275">
        <v>10171633</v>
      </c>
      <c r="E127" s="275">
        <v>9714864</v>
      </c>
      <c r="F127" s="275">
        <v>10309859</v>
      </c>
      <c r="G127" s="275">
        <v>10490578</v>
      </c>
      <c r="H127" s="275">
        <v>9890758</v>
      </c>
      <c r="I127" s="275">
        <v>10225601</v>
      </c>
      <c r="J127" s="275">
        <v>10387955</v>
      </c>
      <c r="K127" s="275">
        <v>12348731</v>
      </c>
      <c r="L127" s="275">
        <v>12462668</v>
      </c>
      <c r="M127" s="275">
        <v>12973143</v>
      </c>
      <c r="N127" s="275">
        <v>12941942</v>
      </c>
      <c r="O127" s="275">
        <v>13159925</v>
      </c>
      <c r="P127" s="275">
        <v>13889693</v>
      </c>
      <c r="Q127" s="275">
        <v>13824019</v>
      </c>
      <c r="R127" s="275">
        <v>14266480</v>
      </c>
      <c r="S127" s="275">
        <v>15920438</v>
      </c>
      <c r="T127" s="275">
        <v>14272002</v>
      </c>
      <c r="U127" s="275">
        <v>15434991</v>
      </c>
      <c r="V127" s="275">
        <v>15168631</v>
      </c>
      <c r="W127" s="275">
        <v>17024479</v>
      </c>
      <c r="X127" s="275">
        <v>16131726</v>
      </c>
    </row>
    <row r="128" spans="1:24" ht="14.25" thickBot="1" x14ac:dyDescent="0.3">
      <c r="A128" s="224" t="s">
        <v>34</v>
      </c>
      <c r="B128" s="273">
        <v>10686804</v>
      </c>
      <c r="C128" s="273">
        <v>10313932</v>
      </c>
      <c r="D128" s="273">
        <v>10783465</v>
      </c>
      <c r="E128" s="273">
        <v>11216279</v>
      </c>
      <c r="F128" s="273">
        <v>11145843</v>
      </c>
      <c r="G128" s="273">
        <v>10102930</v>
      </c>
      <c r="H128" s="273">
        <v>10722089</v>
      </c>
      <c r="I128" s="273">
        <v>11270909</v>
      </c>
      <c r="J128" s="273">
        <v>12000217</v>
      </c>
      <c r="K128" s="273">
        <v>9935352</v>
      </c>
      <c r="L128" s="273">
        <v>11077575</v>
      </c>
      <c r="M128" s="273">
        <v>12423595</v>
      </c>
      <c r="N128" s="273">
        <v>12914468</v>
      </c>
      <c r="O128" s="273">
        <v>11812713</v>
      </c>
      <c r="P128" s="273">
        <v>13807656</v>
      </c>
      <c r="Q128" s="273">
        <v>14872887</v>
      </c>
      <c r="R128" s="273">
        <v>15322118</v>
      </c>
      <c r="S128" s="273">
        <v>13779885</v>
      </c>
      <c r="T128" s="273">
        <v>14581996</v>
      </c>
      <c r="U128" s="273">
        <v>15458427</v>
      </c>
      <c r="V128" s="273">
        <v>15053946</v>
      </c>
      <c r="W128" s="273">
        <v>12934842</v>
      </c>
      <c r="X128" s="273">
        <v>14324872</v>
      </c>
    </row>
    <row r="129" spans="1:24" ht="14.25" thickBot="1" x14ac:dyDescent="0.3">
      <c r="A129" s="225" t="s">
        <v>35</v>
      </c>
      <c r="B129" s="276">
        <v>21289317</v>
      </c>
      <c r="C129" s="276">
        <v>20984601</v>
      </c>
      <c r="D129" s="276">
        <v>20955098</v>
      </c>
      <c r="E129" s="276">
        <v>20931143</v>
      </c>
      <c r="F129" s="276">
        <v>21455702</v>
      </c>
      <c r="G129" s="276">
        <v>20593508</v>
      </c>
      <c r="H129" s="276">
        <v>20612847</v>
      </c>
      <c r="I129" s="276">
        <v>21496510</v>
      </c>
      <c r="J129" s="276">
        <v>22388172</v>
      </c>
      <c r="K129" s="276">
        <v>22284083</v>
      </c>
      <c r="L129" s="276">
        <v>23540243</v>
      </c>
      <c r="M129" s="276">
        <v>25396738</v>
      </c>
      <c r="N129" s="276">
        <v>25856410</v>
      </c>
      <c r="O129" s="276">
        <v>24972638</v>
      </c>
      <c r="P129" s="276">
        <v>27697349</v>
      </c>
      <c r="Q129" s="276">
        <v>28696906</v>
      </c>
      <c r="R129" s="276">
        <v>29588598</v>
      </c>
      <c r="S129" s="276">
        <v>29700323</v>
      </c>
      <c r="T129" s="276">
        <v>28853998</v>
      </c>
      <c r="U129" s="276">
        <v>30893418</v>
      </c>
      <c r="V129" s="276">
        <v>30222577</v>
      </c>
      <c r="W129" s="276">
        <v>29959321</v>
      </c>
      <c r="X129" s="276">
        <v>30456598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7.3</v>
      </c>
      <c r="C132" s="68">
        <v>6.99</v>
      </c>
      <c r="D132" s="68">
        <v>8.06</v>
      </c>
      <c r="E132" s="68">
        <v>11.5</v>
      </c>
      <c r="F132" s="68">
        <v>9.2100000000000009</v>
      </c>
    </row>
    <row r="133" spans="1:24" ht="14.25" thickBot="1" x14ac:dyDescent="0.3">
      <c r="A133" s="225" t="s">
        <v>37</v>
      </c>
      <c r="B133" s="274">
        <v>-2.41</v>
      </c>
      <c r="C133" s="274">
        <v>-1.1399999999999999</v>
      </c>
      <c r="D133" s="274">
        <v>-3.33</v>
      </c>
      <c r="E133" s="274">
        <v>-5.17</v>
      </c>
      <c r="F133" s="274">
        <v>-4.1900000000000004</v>
      </c>
    </row>
    <row r="134" spans="1:24" ht="14.25" thickBot="1" x14ac:dyDescent="0.3">
      <c r="A134" s="224" t="s">
        <v>38</v>
      </c>
      <c r="B134" s="68">
        <v>-3.81</v>
      </c>
      <c r="C134" s="68">
        <v>-6.19</v>
      </c>
      <c r="D134" s="68">
        <v>-4.0199999999999996</v>
      </c>
      <c r="E134" s="68">
        <v>-5.03</v>
      </c>
      <c r="F134" s="68">
        <v>-4.6100000000000003</v>
      </c>
    </row>
    <row r="135" spans="1:24" ht="14.25" thickBot="1" x14ac:dyDescent="0.3">
      <c r="A135" s="225" t="s">
        <v>270</v>
      </c>
      <c r="B135" s="274">
        <v>4.8899999999999997</v>
      </c>
      <c r="C135" s="274">
        <v>5.85</v>
      </c>
      <c r="D135" s="274">
        <v>4.72</v>
      </c>
      <c r="E135" s="274">
        <v>6.33</v>
      </c>
      <c r="F135" s="274">
        <v>5.0199999999999996</v>
      </c>
    </row>
    <row r="136" spans="1:24" ht="14.25" thickBot="1" x14ac:dyDescent="0.3">
      <c r="A136" s="229" t="s">
        <v>39</v>
      </c>
      <c r="B136" s="72">
        <v>1.07</v>
      </c>
      <c r="C136" s="72">
        <v>-0.34</v>
      </c>
      <c r="D136" s="72">
        <v>0.71</v>
      </c>
      <c r="E136" s="72">
        <v>1.3</v>
      </c>
      <c r="F136" s="72">
        <v>0.42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2.2000000000000002</v>
      </c>
      <c r="C140" s="68">
        <v>3.3</v>
      </c>
      <c r="D140" s="68">
        <v>3.7</v>
      </c>
      <c r="E140" s="68">
        <v>5</v>
      </c>
      <c r="F140" s="68">
        <v>5.2</v>
      </c>
    </row>
    <row r="141" spans="1:24" ht="14.25" thickBot="1" x14ac:dyDescent="0.3">
      <c r="A141" s="227" t="s">
        <v>1</v>
      </c>
      <c r="B141" s="73">
        <v>0.4</v>
      </c>
      <c r="C141" s="73">
        <v>0.4</v>
      </c>
      <c r="D141" s="73">
        <v>0.3</v>
      </c>
      <c r="E141" s="73">
        <v>1.2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0.69841269841269848</v>
      </c>
      <c r="C142" s="234">
        <f>IF(C140&lt;&gt;"無",IF(ISNA(HLOOKUP(C139,$B$64:$F$69,6,FALSE)),"",C140/HLOOKUP(C139,$B$64:$F$69,6,FALSE)),"")</f>
        <v>0.79518072289156616</v>
      </c>
      <c r="D142" s="234">
        <f>IF(D140&lt;&gt;"無",IF(ISNA(HLOOKUP(D139,$B$64:$F$69,6,FALSE)),"",D140/HLOOKUP(D139,$B$64:$F$69,6,FALSE)),"")</f>
        <v>0.68773234200743494</v>
      </c>
      <c r="E142" s="234">
        <f>IF(E140&lt;&gt;"無",IF(ISNA(HLOOKUP(E139,$B$64:$F$69,6,FALSE)),"",E140/HLOOKUP(E139,$B$64:$F$69,6,FALSE)),"")</f>
        <v>0.69930069930069938</v>
      </c>
      <c r="F142" s="234">
        <f>IF(F140&lt;&gt;"無",IF(ISNA(HLOOKUP(F139,$B$64:$F$69,6,FALSE)),"",F140/HLOOKUP(F139,$B$64:$F$69,6,FALSE)),"")</f>
        <v>0.76246334310850439</v>
      </c>
    </row>
    <row r="143" spans="1:24" x14ac:dyDescent="0.25">
      <c r="A143" s="233" t="s">
        <v>216</v>
      </c>
      <c r="B143" s="234">
        <f>IF(OR(B140=0,B140="無"),"",B135/B140)</f>
        <v>2.2227272727272722</v>
      </c>
      <c r="C143" s="234">
        <f>IF(OR(C140=0,C140="無"),"",C135/C140)</f>
        <v>1.7727272727272727</v>
      </c>
      <c r="D143" s="234">
        <f>IF(OR(D140=0,D140="無"),"",D135/D140)</f>
        <v>1.2756756756756755</v>
      </c>
      <c r="E143" s="234">
        <f>IF(OR(E140=0,E140="無"),"",E135/E140)</f>
        <v>1.266</v>
      </c>
      <c r="F143" s="234">
        <f>IF(OR(F140=0,F140="無"),"",F135/F140)</f>
        <v>0.96538461538461529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16.739999999999998</v>
      </c>
      <c r="C146" s="68">
        <v>18.329999999999998</v>
      </c>
      <c r="D146" s="68">
        <v>19.940000000000001</v>
      </c>
      <c r="E146" s="68">
        <v>21.44</v>
      </c>
      <c r="F146" s="68">
        <v>18.420000000000002</v>
      </c>
      <c r="G146" s="68">
        <v>19.52</v>
      </c>
      <c r="H146" s="68">
        <v>20.96</v>
      </c>
      <c r="I146" s="68">
        <v>19.03</v>
      </c>
      <c r="J146" s="68">
        <v>19.28</v>
      </c>
      <c r="K146" s="68">
        <v>20.85</v>
      </c>
      <c r="L146" s="68">
        <v>20.68</v>
      </c>
      <c r="M146" s="68">
        <v>20.96</v>
      </c>
      <c r="N146" s="68">
        <v>19.93</v>
      </c>
      <c r="O146" s="68">
        <v>20.190000000000001</v>
      </c>
      <c r="P146" s="68">
        <v>21.15</v>
      </c>
      <c r="Q146" s="68">
        <v>22.82</v>
      </c>
      <c r="R146" s="68">
        <v>21.94</v>
      </c>
      <c r="S146" s="68">
        <v>23.3</v>
      </c>
      <c r="T146" s="68">
        <v>23.82</v>
      </c>
      <c r="U146" s="68">
        <v>23.35</v>
      </c>
      <c r="V146" s="68">
        <v>20.59</v>
      </c>
      <c r="W146" s="68">
        <v>22.4</v>
      </c>
      <c r="X146" s="68">
        <v>22.92</v>
      </c>
    </row>
    <row r="147" spans="1:24" s="93" customFormat="1" ht="14.25" thickBot="1" x14ac:dyDescent="0.3">
      <c r="A147" s="225" t="s">
        <v>19</v>
      </c>
      <c r="B147" s="274">
        <v>3.8</v>
      </c>
      <c r="C147" s="274">
        <v>7.74</v>
      </c>
      <c r="D147" s="274">
        <v>8.69</v>
      </c>
      <c r="E147" s="274">
        <v>9.11</v>
      </c>
      <c r="F147" s="274">
        <v>6.13</v>
      </c>
      <c r="G147" s="274">
        <v>7.96</v>
      </c>
      <c r="H147" s="274">
        <v>9.0500000000000007</v>
      </c>
      <c r="I147" s="274">
        <v>7.2</v>
      </c>
      <c r="J147" s="274">
        <v>7.83</v>
      </c>
      <c r="K147" s="274">
        <v>10.48</v>
      </c>
      <c r="L147" s="274">
        <v>9.44</v>
      </c>
      <c r="M147" s="274">
        <v>9.77</v>
      </c>
      <c r="N147" s="274">
        <v>8.7200000000000006</v>
      </c>
      <c r="O147" s="274">
        <v>9.42</v>
      </c>
      <c r="P147" s="274">
        <v>10.29</v>
      </c>
      <c r="Q147" s="274">
        <v>10.93</v>
      </c>
      <c r="R147" s="274">
        <v>9.81</v>
      </c>
      <c r="S147" s="274">
        <v>11.7</v>
      </c>
      <c r="T147" s="274">
        <v>11.34</v>
      </c>
      <c r="U147" s="274">
        <v>11.27</v>
      </c>
      <c r="V147" s="274">
        <v>7.82</v>
      </c>
      <c r="W147" s="274">
        <v>9.93</v>
      </c>
      <c r="X147" s="274">
        <v>10.98</v>
      </c>
    </row>
    <row r="148" spans="1:24" s="93" customFormat="1" ht="14.25" thickBot="1" x14ac:dyDescent="0.3">
      <c r="A148" s="224" t="s">
        <v>41</v>
      </c>
      <c r="B148" s="68">
        <v>3.8</v>
      </c>
      <c r="C148" s="68">
        <v>8.0299999999999994</v>
      </c>
      <c r="D148" s="68">
        <v>9.4</v>
      </c>
      <c r="E148" s="68">
        <v>7.74</v>
      </c>
      <c r="F148" s="68">
        <v>6.93</v>
      </c>
      <c r="G148" s="68">
        <v>9.5500000000000007</v>
      </c>
      <c r="H148" s="68">
        <v>10.4</v>
      </c>
      <c r="I148" s="68">
        <v>8.5299999999999994</v>
      </c>
      <c r="J148" s="68">
        <v>9.67</v>
      </c>
      <c r="K148" s="68">
        <v>11.03</v>
      </c>
      <c r="L148" s="68">
        <v>10.67</v>
      </c>
      <c r="M148" s="68">
        <v>10.9</v>
      </c>
      <c r="N148" s="68">
        <v>9.9600000000000009</v>
      </c>
      <c r="O148" s="68">
        <v>10.38</v>
      </c>
      <c r="P148" s="68">
        <v>12.4</v>
      </c>
      <c r="Q148" s="68">
        <v>11.86</v>
      </c>
      <c r="R148" s="68">
        <v>10.1</v>
      </c>
      <c r="S148" s="68">
        <v>13.09</v>
      </c>
      <c r="T148" s="68">
        <v>12.22</v>
      </c>
      <c r="U148" s="68">
        <v>13.01</v>
      </c>
      <c r="V148" s="68">
        <v>8.67</v>
      </c>
      <c r="W148" s="68">
        <v>11.17</v>
      </c>
      <c r="X148" s="68">
        <v>11.84</v>
      </c>
    </row>
    <row r="149" spans="1:24" s="93" customFormat="1" ht="14.25" thickBot="1" x14ac:dyDescent="0.3">
      <c r="A149" s="225" t="s">
        <v>13</v>
      </c>
      <c r="B149" s="73">
        <v>3.13</v>
      </c>
      <c r="C149" s="73">
        <v>5.41</v>
      </c>
      <c r="D149" s="73">
        <v>7</v>
      </c>
      <c r="E149" s="73">
        <v>6.39</v>
      </c>
      <c r="F149" s="73">
        <v>5.42</v>
      </c>
      <c r="G149" s="73">
        <v>7.24</v>
      </c>
      <c r="H149" s="73">
        <v>8.1</v>
      </c>
      <c r="I149" s="73">
        <v>6.63</v>
      </c>
      <c r="J149" s="73">
        <v>7.19</v>
      </c>
      <c r="K149" s="73">
        <v>6.01</v>
      </c>
      <c r="L149" s="73">
        <v>7.81</v>
      </c>
      <c r="M149" s="73">
        <v>7.8</v>
      </c>
      <c r="N149" s="73">
        <v>7.35</v>
      </c>
      <c r="O149" s="73">
        <v>7.76</v>
      </c>
      <c r="P149" s="73">
        <v>9.33</v>
      </c>
      <c r="Q149" s="73">
        <v>8.77</v>
      </c>
      <c r="R149" s="73">
        <v>7.26</v>
      </c>
      <c r="S149" s="73">
        <v>10.01</v>
      </c>
      <c r="T149" s="73">
        <v>9.25</v>
      </c>
      <c r="U149" s="73">
        <v>5.75</v>
      </c>
      <c r="V149" s="73">
        <v>6.18</v>
      </c>
      <c r="W149" s="73">
        <v>8.92</v>
      </c>
      <c r="X149" s="73">
        <v>9.01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19.18</v>
      </c>
      <c r="C152" s="68">
        <v>19.5</v>
      </c>
      <c r="D152" s="68">
        <v>20.5</v>
      </c>
      <c r="E152" s="68">
        <v>21.08</v>
      </c>
      <c r="F152" s="68">
        <v>23.11</v>
      </c>
    </row>
    <row r="153" spans="1:24" s="93" customFormat="1" ht="14.25" thickBot="1" x14ac:dyDescent="0.3">
      <c r="A153" s="225" t="s">
        <v>19</v>
      </c>
      <c r="B153" s="274">
        <v>7.48</v>
      </c>
      <c r="C153" s="274">
        <v>7.62</v>
      </c>
      <c r="D153" s="274">
        <v>9.4499999999999993</v>
      </c>
      <c r="E153" s="274">
        <v>9.9</v>
      </c>
      <c r="F153" s="274">
        <v>11.05</v>
      </c>
    </row>
    <row r="154" spans="1:24" s="93" customFormat="1" ht="14.25" thickBot="1" x14ac:dyDescent="0.3">
      <c r="A154" s="224" t="s">
        <v>41</v>
      </c>
      <c r="B154" s="68">
        <v>7.39</v>
      </c>
      <c r="C154" s="68">
        <v>8.89</v>
      </c>
      <c r="D154" s="68">
        <v>10.61</v>
      </c>
      <c r="E154" s="68">
        <v>11.22</v>
      </c>
      <c r="F154" s="68">
        <v>12.13</v>
      </c>
    </row>
    <row r="155" spans="1:24" s="93" customFormat="1" ht="14.25" thickBot="1" x14ac:dyDescent="0.3">
      <c r="A155" s="225" t="s">
        <v>13</v>
      </c>
      <c r="B155" s="73">
        <v>5.57</v>
      </c>
      <c r="C155" s="73">
        <v>6.88</v>
      </c>
      <c r="D155" s="73">
        <v>7.22</v>
      </c>
      <c r="E155" s="73">
        <v>8.35</v>
      </c>
      <c r="F155" s="73">
        <v>8.1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1.26</v>
      </c>
      <c r="C158" s="68">
        <v>2.72</v>
      </c>
      <c r="D158" s="68">
        <v>3.15</v>
      </c>
      <c r="E158" s="68">
        <v>2.94</v>
      </c>
      <c r="F158" s="68">
        <v>2.29</v>
      </c>
      <c r="G158" s="68">
        <v>3.42</v>
      </c>
      <c r="H158" s="68">
        <v>3.82</v>
      </c>
      <c r="I158" s="68">
        <v>3.25</v>
      </c>
      <c r="J158" s="68">
        <v>3.4</v>
      </c>
      <c r="K158" s="68">
        <v>3.24</v>
      </c>
      <c r="L158" s="68">
        <v>4.28</v>
      </c>
      <c r="M158" s="68">
        <v>4.22</v>
      </c>
      <c r="N158" s="68">
        <v>3.58</v>
      </c>
      <c r="O158" s="68">
        <v>4.29</v>
      </c>
      <c r="P158" s="68">
        <v>5.3</v>
      </c>
      <c r="Q158" s="68">
        <v>4.62</v>
      </c>
      <c r="R158" s="68">
        <v>3.55</v>
      </c>
      <c r="S158" s="68">
        <v>5.26</v>
      </c>
      <c r="T158" s="68">
        <v>4.4800000000000004</v>
      </c>
      <c r="U158" s="68">
        <v>2.79</v>
      </c>
      <c r="V158" s="68">
        <v>2.76</v>
      </c>
      <c r="W158" s="68">
        <v>4.2300000000000004</v>
      </c>
      <c r="X158" s="68">
        <v>4.6100000000000003</v>
      </c>
    </row>
    <row r="159" spans="1:24" s="93" customFormat="1" ht="14.25" thickBot="1" x14ac:dyDescent="0.3">
      <c r="A159" s="225" t="s">
        <v>45</v>
      </c>
      <c r="B159" s="73">
        <v>2.31</v>
      </c>
      <c r="C159" s="73">
        <v>5.31</v>
      </c>
      <c r="D159" s="73">
        <v>6.11</v>
      </c>
      <c r="E159" s="73">
        <v>5.45</v>
      </c>
      <c r="F159" s="73">
        <v>4.2</v>
      </c>
      <c r="G159" s="73">
        <v>6.63</v>
      </c>
      <c r="H159" s="73">
        <v>7.45</v>
      </c>
      <c r="I159" s="73">
        <v>6.12</v>
      </c>
      <c r="J159" s="73">
        <v>6.32</v>
      </c>
      <c r="K159" s="73">
        <v>6.52</v>
      </c>
      <c r="L159" s="73">
        <v>9.23</v>
      </c>
      <c r="M159" s="73">
        <v>8.6999999999999993</v>
      </c>
      <c r="N159" s="73">
        <v>7.15</v>
      </c>
      <c r="O159" s="73">
        <v>8.6999999999999993</v>
      </c>
      <c r="P159" s="73">
        <v>10.82</v>
      </c>
      <c r="Q159" s="73">
        <v>9.0299999999999994</v>
      </c>
      <c r="R159" s="73">
        <v>6.79</v>
      </c>
      <c r="S159" s="73">
        <v>10.64</v>
      </c>
      <c r="T159" s="73">
        <v>9.1999999999999993</v>
      </c>
      <c r="U159" s="73">
        <v>5.53</v>
      </c>
      <c r="V159" s="73">
        <v>5.47</v>
      </c>
      <c r="W159" s="73">
        <v>9.01</v>
      </c>
      <c r="X159" s="73">
        <v>10.119999999999999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5.57</v>
      </c>
      <c r="C162" s="68">
        <v>6.88</v>
      </c>
      <c r="D162" s="68">
        <v>7.22</v>
      </c>
      <c r="E162" s="68">
        <v>8.35</v>
      </c>
      <c r="F162" s="68">
        <v>8.1</v>
      </c>
    </row>
    <row r="163" spans="1:72" s="93" customFormat="1" ht="14.25" thickBot="1" x14ac:dyDescent="0.3">
      <c r="A163" s="225" t="s">
        <v>18</v>
      </c>
      <c r="B163" s="274">
        <v>1.76</v>
      </c>
      <c r="C163" s="274">
        <v>1.77</v>
      </c>
      <c r="D163" s="274">
        <v>1.88</v>
      </c>
      <c r="E163" s="274">
        <v>1.94</v>
      </c>
      <c r="F163" s="274">
        <v>1.88</v>
      </c>
    </row>
    <row r="164" spans="1:72" s="93" customFormat="1" ht="14.25" thickBot="1" x14ac:dyDescent="0.3">
      <c r="A164" s="224" t="s">
        <v>15</v>
      </c>
      <c r="B164" s="68">
        <v>1.87</v>
      </c>
      <c r="C164" s="68">
        <v>1.91</v>
      </c>
      <c r="D164" s="68">
        <v>2.04</v>
      </c>
      <c r="E164" s="68">
        <v>1.93</v>
      </c>
      <c r="F164" s="68">
        <v>2</v>
      </c>
    </row>
    <row r="165" spans="1:72" s="93" customFormat="1" ht="14.25" thickBot="1" x14ac:dyDescent="0.3">
      <c r="A165" s="225" t="s">
        <v>45</v>
      </c>
      <c r="B165" s="73">
        <v>18.600000000000001</v>
      </c>
      <c r="C165" s="73">
        <v>23.33</v>
      </c>
      <c r="D165" s="73">
        <v>29.06</v>
      </c>
      <c r="E165" s="73">
        <v>34.159999999999997</v>
      </c>
      <c r="F165" s="73">
        <v>31.04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26.47</v>
      </c>
      <c r="C168" s="68">
        <v>17.89</v>
      </c>
      <c r="D168" s="68">
        <v>22.78</v>
      </c>
      <c r="E168" s="68">
        <v>22.78</v>
      </c>
      <c r="F168" s="68">
        <v>25.28</v>
      </c>
      <c r="G168" s="68">
        <v>22.5</v>
      </c>
      <c r="H168" s="68">
        <v>23.26</v>
      </c>
      <c r="I168" s="68">
        <v>23.62</v>
      </c>
      <c r="J168" s="68">
        <v>24.86</v>
      </c>
      <c r="K168" s="68">
        <v>22.06</v>
      </c>
      <c r="L168" s="68">
        <v>22.39</v>
      </c>
      <c r="M168" s="68">
        <v>23.75</v>
      </c>
      <c r="N168" s="68">
        <v>25.5</v>
      </c>
      <c r="O168" s="68">
        <v>19.739999999999998</v>
      </c>
      <c r="P168" s="68">
        <v>20.13</v>
      </c>
      <c r="Q168" s="68">
        <v>23.08</v>
      </c>
      <c r="R168" s="68">
        <v>24</v>
      </c>
      <c r="S168" s="68">
        <v>22.67</v>
      </c>
      <c r="T168" s="68">
        <v>24.73</v>
      </c>
      <c r="U168" s="68">
        <v>26.01</v>
      </c>
      <c r="V168" s="68">
        <v>29.7</v>
      </c>
      <c r="W168" s="68">
        <v>27.36</v>
      </c>
      <c r="X168" s="68">
        <v>26.79</v>
      </c>
    </row>
    <row r="169" spans="1:72" s="93" customFormat="1" ht="14.25" thickBot="1" x14ac:dyDescent="0.3">
      <c r="A169" s="225" t="s">
        <v>17</v>
      </c>
      <c r="B169" s="274">
        <v>56.96</v>
      </c>
      <c r="C169" s="274">
        <v>44.78</v>
      </c>
      <c r="D169" s="274">
        <v>47.62</v>
      </c>
      <c r="E169" s="274">
        <v>46.88</v>
      </c>
      <c r="F169" s="274">
        <v>50</v>
      </c>
      <c r="G169" s="274">
        <v>45.45</v>
      </c>
      <c r="H169" s="274">
        <v>45</v>
      </c>
      <c r="I169" s="274">
        <v>42.86</v>
      </c>
      <c r="J169" s="274">
        <v>47.87</v>
      </c>
      <c r="K169" s="274">
        <v>43.69</v>
      </c>
      <c r="L169" s="274">
        <v>41.67</v>
      </c>
      <c r="M169" s="274">
        <v>43.48</v>
      </c>
      <c r="N169" s="274">
        <v>49.18</v>
      </c>
      <c r="O169" s="274">
        <v>42.45</v>
      </c>
      <c r="P169" s="274">
        <v>38.299999999999997</v>
      </c>
      <c r="Q169" s="274">
        <v>41.47</v>
      </c>
      <c r="R169" s="274">
        <v>45.45</v>
      </c>
      <c r="S169" s="274">
        <v>40.54</v>
      </c>
      <c r="T169" s="274">
        <v>43.06</v>
      </c>
      <c r="U169" s="274">
        <v>44.55</v>
      </c>
      <c r="V169" s="274">
        <v>46.15</v>
      </c>
      <c r="W169" s="274">
        <v>43.27</v>
      </c>
      <c r="X169" s="274">
        <v>42.06</v>
      </c>
    </row>
    <row r="170" spans="1:72" s="93" customFormat="1" ht="14.25" thickBot="1" x14ac:dyDescent="0.3">
      <c r="A170" s="224" t="s">
        <v>42</v>
      </c>
      <c r="B170" s="72">
        <v>83.43</v>
      </c>
      <c r="C170" s="72">
        <v>62.67</v>
      </c>
      <c r="D170" s="72">
        <v>70.400000000000006</v>
      </c>
      <c r="E170" s="72">
        <v>69.66</v>
      </c>
      <c r="F170" s="72">
        <v>75.28</v>
      </c>
      <c r="G170" s="72">
        <v>67.95</v>
      </c>
      <c r="H170" s="72">
        <v>68.260000000000005</v>
      </c>
      <c r="I170" s="72">
        <v>66.48</v>
      </c>
      <c r="J170" s="72">
        <v>72.73</v>
      </c>
      <c r="K170" s="72">
        <v>65.75</v>
      </c>
      <c r="L170" s="72">
        <v>64.05</v>
      </c>
      <c r="M170" s="72">
        <v>67.22</v>
      </c>
      <c r="N170" s="72">
        <v>74.680000000000007</v>
      </c>
      <c r="O170" s="72">
        <v>62.19</v>
      </c>
      <c r="P170" s="72">
        <v>58.43</v>
      </c>
      <c r="Q170" s="72">
        <v>64.55</v>
      </c>
      <c r="R170" s="72">
        <v>69.45</v>
      </c>
      <c r="S170" s="72">
        <v>63.21</v>
      </c>
      <c r="T170" s="72">
        <v>67.790000000000006</v>
      </c>
      <c r="U170" s="72">
        <v>70.569999999999993</v>
      </c>
      <c r="V170" s="72">
        <v>75.86</v>
      </c>
      <c r="W170" s="72">
        <v>70.62</v>
      </c>
      <c r="X170" s="72">
        <v>68.84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191.37</v>
      </c>
      <c r="C173" s="72">
        <v>148.29</v>
      </c>
      <c r="D173" s="72">
        <v>135.16</v>
      </c>
      <c r="E173" s="72">
        <v>147.22</v>
      </c>
      <c r="F173" s="72">
        <v>130.58000000000001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10.58</v>
      </c>
      <c r="C176" s="72">
        <v>11.23</v>
      </c>
      <c r="D176" s="72">
        <v>11.3</v>
      </c>
      <c r="E176" s="72">
        <v>10.15</v>
      </c>
      <c r="F176" s="72">
        <v>11.04</v>
      </c>
      <c r="G176" s="72">
        <v>11.07</v>
      </c>
      <c r="H176" s="72">
        <v>11.4</v>
      </c>
      <c r="I176" s="72">
        <v>9.66</v>
      </c>
      <c r="J176" s="72">
        <v>10.06</v>
      </c>
      <c r="K176" s="72">
        <v>11.03</v>
      </c>
      <c r="L176" s="72">
        <v>11.16</v>
      </c>
      <c r="M176" s="72">
        <v>11.35</v>
      </c>
      <c r="N176" s="72">
        <v>11.75</v>
      </c>
      <c r="O176" s="72">
        <v>12.62</v>
      </c>
      <c r="P176" s="72">
        <v>14.1</v>
      </c>
      <c r="Q176" s="72">
        <v>15.42</v>
      </c>
      <c r="R176" s="72">
        <v>13.69</v>
      </c>
      <c r="S176" s="72">
        <v>13.99</v>
      </c>
      <c r="T176" s="72">
        <v>17.29</v>
      </c>
      <c r="U176" s="72">
        <v>16.36</v>
      </c>
      <c r="V176" s="72">
        <v>17.89</v>
      </c>
      <c r="W176" s="72">
        <v>20.05</v>
      </c>
      <c r="X176" s="72">
        <v>18.91</v>
      </c>
      <c r="Y176" s="72">
        <v>17.55</v>
      </c>
      <c r="Z176" s="72">
        <v>16.62</v>
      </c>
      <c r="AA176" s="72">
        <v>18.07</v>
      </c>
      <c r="AB176" s="72">
        <v>20.25</v>
      </c>
      <c r="AC176" s="72">
        <v>20.83</v>
      </c>
      <c r="AD176" s="72">
        <v>18.059999999999999</v>
      </c>
      <c r="AE176" s="72">
        <v>18.690000000000001</v>
      </c>
      <c r="AF176" s="72">
        <v>17.899999999999999</v>
      </c>
      <c r="AG176" s="72">
        <v>19.27</v>
      </c>
      <c r="AH176" s="72">
        <v>19.52</v>
      </c>
      <c r="AI176" s="72">
        <v>18.399999999999999</v>
      </c>
      <c r="AJ176" s="72">
        <v>17.88</v>
      </c>
      <c r="AK176" s="72">
        <v>19.190000000000001</v>
      </c>
      <c r="AL176" s="72">
        <v>21.84</v>
      </c>
      <c r="AM176" s="72">
        <v>25.58</v>
      </c>
      <c r="AN176" s="72">
        <v>29.03</v>
      </c>
      <c r="AO176" s="72">
        <v>34.229999999999997</v>
      </c>
      <c r="AP176" s="72">
        <v>30.51</v>
      </c>
      <c r="AQ176" s="72">
        <v>28.21</v>
      </c>
      <c r="AR176" s="72">
        <v>29.61</v>
      </c>
      <c r="AS176" s="72">
        <v>30.07</v>
      </c>
      <c r="AT176" s="72">
        <v>31.74</v>
      </c>
      <c r="AU176" s="72">
        <v>31.03</v>
      </c>
      <c r="AV176" s="72">
        <v>27.38</v>
      </c>
      <c r="AW176" s="72">
        <v>25.34</v>
      </c>
      <c r="AX176" s="72">
        <v>24.91</v>
      </c>
      <c r="AY176" s="72">
        <v>26.51</v>
      </c>
      <c r="AZ176" s="72">
        <v>24.64</v>
      </c>
      <c r="BA176" s="72">
        <v>21.86</v>
      </c>
      <c r="BB176" s="72">
        <v>18.309999999999999</v>
      </c>
      <c r="BC176" s="72">
        <v>17.850000000000001</v>
      </c>
      <c r="BD176" s="72">
        <v>21</v>
      </c>
      <c r="BE176" s="72">
        <v>20.93</v>
      </c>
      <c r="BF176" s="72">
        <v>21.02</v>
      </c>
      <c r="BG176" s="72">
        <v>18.829999999999998</v>
      </c>
      <c r="BH176" s="72">
        <v>17.079999999999998</v>
      </c>
      <c r="BI176" s="72">
        <v>17.39</v>
      </c>
      <c r="BJ176" s="72">
        <v>19.05</v>
      </c>
      <c r="BK176" s="72">
        <v>18.98</v>
      </c>
      <c r="BL176" s="72">
        <v>18.940000000000001</v>
      </c>
      <c r="BM176" s="72">
        <v>17.41</v>
      </c>
      <c r="BN176" s="72">
        <v>18.37</v>
      </c>
      <c r="BO176" s="72">
        <v>19.059999999999999</v>
      </c>
      <c r="BP176" s="72">
        <v>21.06</v>
      </c>
      <c r="BQ176" s="72">
        <v>23.18</v>
      </c>
      <c r="BR176" s="72">
        <v>23.55</v>
      </c>
      <c r="BS176" s="72">
        <v>22.66</v>
      </c>
      <c r="BT176" s="72">
        <v>21.07</v>
      </c>
    </row>
  </sheetData>
  <phoneticPr fontId="3" type="noConversion"/>
  <conditionalFormatting sqref="E4">
    <cfRule type="cellIs" dxfId="824" priority="101" operator="greaterThan">
      <formula>0.2</formula>
    </cfRule>
    <cfRule type="cellIs" dxfId="82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82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821" priority="95" operator="greaterThan">
      <formula>$B$19</formula>
    </cfRule>
  </conditionalFormatting>
  <conditionalFormatting sqref="D33:D34">
    <cfRule type="cellIs" dxfId="82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819" priority="89" operator="lessThan">
      <formula>$H$62</formula>
    </cfRule>
    <cfRule type="cellIs" dxfId="818" priority="90" operator="greaterThan">
      <formula>$H$62</formula>
    </cfRule>
  </conditionalFormatting>
  <conditionalFormatting sqref="J62">
    <cfRule type="cellIs" dxfId="817" priority="87" operator="lessThan">
      <formula>$K$62</formula>
    </cfRule>
    <cfRule type="cellIs" dxfId="816" priority="88" operator="greaterThan">
      <formula>$K$62</formula>
    </cfRule>
  </conditionalFormatting>
  <conditionalFormatting sqref="M62">
    <cfRule type="cellIs" dxfId="815" priority="85" operator="lessThan">
      <formula>$N$62</formula>
    </cfRule>
    <cfRule type="cellIs" dxfId="814" priority="86" operator="greaterThan">
      <formula>$N$62</formula>
    </cfRule>
  </conditionalFormatting>
  <conditionalFormatting sqref="B44:E44">
    <cfRule type="cellIs" dxfId="813" priority="83" operator="greaterThan">
      <formula>0</formula>
    </cfRule>
    <cfRule type="cellIs" dxfId="812" priority="84" operator="lessThan">
      <formula>0</formula>
    </cfRule>
  </conditionalFormatting>
  <conditionalFormatting sqref="F72">
    <cfRule type="cellIs" dxfId="811" priority="82" operator="lessThan">
      <formula>$E$72*90%</formula>
    </cfRule>
  </conditionalFormatting>
  <conditionalFormatting sqref="F73">
    <cfRule type="cellIs" dxfId="810" priority="81" operator="lessThan">
      <formula>$E$73*90%</formula>
    </cfRule>
  </conditionalFormatting>
  <conditionalFormatting sqref="F74">
    <cfRule type="cellIs" dxfId="809" priority="80" operator="lessThan">
      <formula>$E$74*90%</formula>
    </cfRule>
  </conditionalFormatting>
  <conditionalFormatting sqref="F75">
    <cfRule type="cellIs" dxfId="808" priority="79" operator="lessThan">
      <formula>$E$75*90%</formula>
    </cfRule>
  </conditionalFormatting>
  <conditionalFormatting sqref="H44:K44">
    <cfRule type="cellIs" dxfId="807" priority="77" operator="greaterThan">
      <formula>0</formula>
    </cfRule>
    <cfRule type="cellIs" dxfId="806" priority="78" operator="lessThan">
      <formula>0</formula>
    </cfRule>
  </conditionalFormatting>
  <conditionalFormatting sqref="H51:K51">
    <cfRule type="cellIs" dxfId="805" priority="75" operator="greaterThan">
      <formula>0</formula>
    </cfRule>
    <cfRule type="cellIs" dxfId="804" priority="76" operator="lessThan">
      <formula>0</formula>
    </cfRule>
  </conditionalFormatting>
  <conditionalFormatting sqref="B51:E51">
    <cfRule type="cellIs" dxfId="803" priority="73" operator="greaterThan">
      <formula>0</formula>
    </cfRule>
    <cfRule type="cellIs" dxfId="80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80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80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799" priority="56" operator="lessThan">
      <formula>0</formula>
    </cfRule>
  </conditionalFormatting>
  <conditionalFormatting sqref="A25 E25 C25">
    <cfRule type="cellIs" dxfId="798" priority="57" operator="lessThan">
      <formula>0</formula>
    </cfRule>
  </conditionalFormatting>
  <conditionalFormatting sqref="F25">
    <cfRule type="cellIs" dxfId="797" priority="55" operator="lessThan">
      <formula>0</formula>
    </cfRule>
  </conditionalFormatting>
  <conditionalFormatting sqref="E1">
    <cfRule type="containsText" dxfId="796" priority="54" operator="containsText" text="本季業外損益/平均=-">
      <formula>NOT(ISERROR(SEARCH("本季業外損益/平均=-",E1)))</formula>
    </cfRule>
  </conditionalFormatting>
  <conditionalFormatting sqref="M65">
    <cfRule type="cellIs" dxfId="795" priority="53" operator="lessThan">
      <formula>$L$65*90%</formula>
    </cfRule>
  </conditionalFormatting>
  <conditionalFormatting sqref="M66">
    <cfRule type="cellIs" dxfId="794" priority="52" operator="lessThan">
      <formula>$L$66*90%</formula>
    </cfRule>
  </conditionalFormatting>
  <conditionalFormatting sqref="M67">
    <cfRule type="cellIs" dxfId="793" priority="51" operator="lessThan">
      <formula>$L$67*90%</formula>
    </cfRule>
  </conditionalFormatting>
  <conditionalFormatting sqref="M68">
    <cfRule type="cellIs" dxfId="792" priority="50" operator="lessThan">
      <formula>$L$68*90%</formula>
    </cfRule>
  </conditionalFormatting>
  <conditionalFormatting sqref="B60">
    <cfRule type="cellIs" dxfId="791" priority="49" operator="lessThan">
      <formula>0</formula>
    </cfRule>
  </conditionalFormatting>
  <conditionalFormatting sqref="B59:F59">
    <cfRule type="cellIs" dxfId="790" priority="48" operator="lessThanOrEqual">
      <formula>0</formula>
    </cfRule>
  </conditionalFormatting>
  <conditionalFormatting sqref="D62">
    <cfRule type="cellIs" dxfId="789" priority="46" operator="lessThan">
      <formula>$E$62</formula>
    </cfRule>
    <cfRule type="cellIs" dxfId="788" priority="47" operator="greaterThan">
      <formula>$E$62</formula>
    </cfRule>
  </conditionalFormatting>
  <conditionalFormatting sqref="F69">
    <cfRule type="cellIs" dxfId="787" priority="44" operator="lessThan">
      <formula>0</formula>
    </cfRule>
  </conditionalFormatting>
  <conditionalFormatting sqref="B65:E67 B69:E69 B68:D68">
    <cfRule type="cellIs" dxfId="786" priority="45" operator="lessThan">
      <formula>0</formula>
    </cfRule>
  </conditionalFormatting>
  <conditionalFormatting sqref="E68">
    <cfRule type="cellIs" dxfId="785" priority="43" operator="lessThan">
      <formula>0</formula>
    </cfRule>
  </conditionalFormatting>
  <conditionalFormatting sqref="F65:F68">
    <cfRule type="cellIs" dxfId="784" priority="42" operator="lessThan">
      <formula>0</formula>
    </cfRule>
  </conditionalFormatting>
  <conditionalFormatting sqref="F65:F68">
    <cfRule type="cellIs" dxfId="783" priority="41" operator="lessThan">
      <formula>$E$65*0.9</formula>
    </cfRule>
  </conditionalFormatting>
  <conditionalFormatting sqref="F66">
    <cfRule type="cellIs" dxfId="782" priority="40" operator="lessThan">
      <formula>$E$66*0.9</formula>
    </cfRule>
  </conditionalFormatting>
  <conditionalFormatting sqref="F67:F68">
    <cfRule type="cellIs" dxfId="781" priority="39" operator="lessThan">
      <formula>$E$67*0.9</formula>
    </cfRule>
  </conditionalFormatting>
  <conditionalFormatting sqref="F68">
    <cfRule type="cellIs" dxfId="780" priority="38" operator="lessThan">
      <formula>$E$68*0.9</formula>
    </cfRule>
  </conditionalFormatting>
  <conditionalFormatting sqref="B13:F13">
    <cfRule type="cellIs" dxfId="779" priority="27" operator="greaterThan">
      <formula>$I$16</formula>
    </cfRule>
    <cfRule type="cellIs" dxfId="778" priority="28" operator="lessThanOrEqual">
      <formula>$I$16</formula>
    </cfRule>
  </conditionalFormatting>
  <conditionalFormatting sqref="B10:F10">
    <cfRule type="cellIs" dxfId="777" priority="29" operator="greaterThan">
      <formula>15</formula>
    </cfRule>
    <cfRule type="cellIs" dxfId="776" priority="36" operator="lessThan">
      <formula>$I$9</formula>
    </cfRule>
    <cfRule type="cellIs" dxfId="775" priority="37" operator="greaterThan">
      <formula>$I$9</formula>
    </cfRule>
  </conditionalFormatting>
  <conditionalFormatting sqref="B16:F16">
    <cfRule type="cellIs" dxfId="774" priority="34" operator="greaterThan">
      <formula>$I$16</formula>
    </cfRule>
    <cfRule type="cellIs" dxfId="773" priority="35" operator="lessThanOrEqual">
      <formula>$I$16</formula>
    </cfRule>
  </conditionalFormatting>
  <conditionalFormatting sqref="B15:F15">
    <cfRule type="cellIs" dxfId="772" priority="32" operator="lessThanOrEqual">
      <formula>$I$16</formula>
    </cfRule>
    <cfRule type="cellIs" dxfId="771" priority="33" operator="greaterThan">
      <formula>$I$16</formula>
    </cfRule>
  </conditionalFormatting>
  <conditionalFormatting sqref="B14:F14">
    <cfRule type="cellIs" dxfId="770" priority="30" operator="greaterThan">
      <formula>$I$16</formula>
    </cfRule>
    <cfRule type="cellIs" dxfId="769" priority="31" operator="lessThanOrEqual">
      <formula>$I$16</formula>
    </cfRule>
  </conditionalFormatting>
  <conditionalFormatting sqref="K6">
    <cfRule type="containsText" dxfId="768" priority="25" operator="containsText" text="衰退">
      <formula>NOT(ISERROR(SEARCH("衰退",K6)))</formula>
    </cfRule>
    <cfRule type="containsText" dxfId="767" priority="26" operator="containsText" text="成長">
      <formula>NOT(ISERROR(SEARCH("成長",K6)))</formula>
    </cfRule>
  </conditionalFormatting>
  <conditionalFormatting sqref="I4:K4">
    <cfRule type="cellIs" dxfId="766" priority="23" operator="lessThan">
      <formula>0</formula>
    </cfRule>
    <cfRule type="cellIs" dxfId="76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764" priority="20" operator="lessThanOrEqual">
      <formula>$I$16</formula>
    </cfRule>
    <cfRule type="cellIs" dxfId="763" priority="21" operator="greaterThan">
      <formula>$I$16</formula>
    </cfRule>
  </conditionalFormatting>
  <conditionalFormatting sqref="I6">
    <cfRule type="containsText" dxfId="762" priority="18" operator="containsText" text="衰退">
      <formula>NOT(ISERROR(SEARCH("衰退",I6)))</formula>
    </cfRule>
    <cfRule type="containsText" dxfId="761" priority="19" operator="containsText" text="成長">
      <formula>NOT(ISERROR(SEARCH("成長",I6)))</formula>
    </cfRule>
  </conditionalFormatting>
  <conditionalFormatting sqref="M9">
    <cfRule type="cellIs" dxfId="760" priority="17" operator="lessThan">
      <formula>$I$9</formula>
    </cfRule>
  </conditionalFormatting>
  <conditionalFormatting sqref="M10">
    <cfRule type="cellIs" dxfId="759" priority="16" operator="greaterThan">
      <formula>$I$9</formula>
    </cfRule>
  </conditionalFormatting>
  <conditionalFormatting sqref="M11">
    <cfRule type="cellIs" dxfId="75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757" priority="12" operator="lessThan">
      <formula>0</formula>
    </cfRule>
    <cfRule type="cellIs" dxfId="756" priority="13" operator="greaterThan">
      <formula>0.5</formula>
    </cfRule>
  </conditionalFormatting>
  <conditionalFormatting sqref="N14">
    <cfRule type="cellIs" dxfId="75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754" priority="8" operator="lessThan">
      <formula>0.1</formula>
    </cfRule>
  </conditionalFormatting>
  <conditionalFormatting sqref="I14">
    <cfRule type="cellIs" dxfId="75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75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751" priority="1" operator="lessThan">
      <formula>$N$5*0.9</formula>
    </cfRule>
    <cfRule type="cellIs" dxfId="750" priority="2" operator="greaterThan">
      <formula>$N$5*1.1</formula>
    </cfRule>
  </conditionalFormatting>
  <hyperlinks>
    <hyperlink ref="L1" location="儀表板!A1" display="(回首頁)" xr:uid="{00000000-0004-0000-5D00-000000000000}"/>
  </hyperlink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2.88 ~ 13.39</v>
      </c>
      <c r="L1" s="83" t="s">
        <v>176</v>
      </c>
      <c r="M1" s="84" t="str">
        <f ca="1">VLOOKUP(_xlfn.NUMBERVALUE(N1),儀表板!A:B,2,FALSE)</f>
        <v>美利達</v>
      </c>
      <c r="N1" s="85" t="str">
        <f ca="1">MID(CELL("filename",L1),FIND("]",CELL("filename",L1))+1,255)</f>
        <v>9914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0.21210647876779806</v>
      </c>
    </row>
    <row r="3" spans="1:15" s="93" customFormat="1" x14ac:dyDescent="0.25">
      <c r="A3" s="81" t="s">
        <v>179</v>
      </c>
      <c r="B3" s="94">
        <f>SUM(F19:F22,F24:F27,J19)</f>
        <v>88.197054872488053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74.992175379322333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85.655500113398702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90.03858451329512</v>
      </c>
      <c r="L3" s="100"/>
      <c r="M3" s="79" t="s">
        <v>385</v>
      </c>
      <c r="N3" s="92">
        <f>(F69-E69)/E69</f>
        <v>-0.32515091556815773</v>
      </c>
    </row>
    <row r="4" spans="1:15" s="93" customFormat="1" x14ac:dyDescent="0.25">
      <c r="A4" s="81" t="s">
        <v>182</v>
      </c>
      <c r="B4" s="96">
        <f>SUM(G36:G40)*2</f>
        <v>66</v>
      </c>
      <c r="C4" s="101"/>
      <c r="D4" s="102">
        <f>F4*(1+F141/10)</f>
        <v>29.9</v>
      </c>
      <c r="E4" s="82">
        <f>(D4-F4)/F4</f>
        <v>0</v>
      </c>
      <c r="F4" s="103">
        <v>29.9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4.3325311220524272</v>
      </c>
    </row>
    <row r="5" spans="1:15" s="93" customFormat="1" x14ac:dyDescent="0.25">
      <c r="A5" s="81" t="s">
        <v>184</v>
      </c>
      <c r="B5" s="107">
        <f>SUM(F30:F34)*2</f>
        <v>91.033869212660207</v>
      </c>
      <c r="C5" s="87"/>
      <c r="D5" s="87"/>
      <c r="E5" s="87"/>
      <c r="F5" s="86"/>
      <c r="G5" s="88"/>
      <c r="M5" s="79" t="s">
        <v>386</v>
      </c>
      <c r="N5" s="152">
        <f>D62</f>
        <v>4.62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5.4015408508390381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28.21</v>
      </c>
      <c r="N9" s="129"/>
    </row>
    <row r="10" spans="1:15" s="93" customFormat="1" x14ac:dyDescent="0.25">
      <c r="A10" s="123" t="s">
        <v>194</v>
      </c>
      <c r="B10" s="126">
        <f>PERCENTILE(176:176,B9)</f>
        <v>15.5</v>
      </c>
      <c r="C10" s="126">
        <f>PERCENTILE(176:176,C9)</f>
        <v>17.195</v>
      </c>
      <c r="D10" s="126">
        <f>PERCENTILE(176:176,D9)</f>
        <v>19.64</v>
      </c>
      <c r="E10" s="126">
        <f>PERCENTILE(176:176,E9)</f>
        <v>20.645</v>
      </c>
      <c r="F10" s="126">
        <f>PERCENTILE(176:176,F9)</f>
        <v>22</v>
      </c>
      <c r="G10" s="95"/>
      <c r="H10" s="135"/>
      <c r="I10" s="135"/>
      <c r="J10" s="135"/>
      <c r="K10" s="135"/>
      <c r="L10" s="136" t="s">
        <v>374</v>
      </c>
      <c r="M10" s="130">
        <f>MIN(176:176)</f>
        <v>11.16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39.58</v>
      </c>
      <c r="L11" s="272" t="s">
        <v>193</v>
      </c>
      <c r="M11" s="128">
        <f>STDEV(176:176)</f>
        <v>4.0785857463269108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78.081232492997216</v>
      </c>
      <c r="C13" s="141">
        <f>$B$34/5.88%</f>
        <v>94.812925170068027</v>
      </c>
      <c r="D13" s="141">
        <f>$B$34/5%</f>
        <v>111.5</v>
      </c>
      <c r="E13" s="141">
        <f>$B$34/4.35%</f>
        <v>128.16091954022991</v>
      </c>
      <c r="F13" s="141">
        <f>$B$34/3.85%</f>
        <v>144.80519480519482</v>
      </c>
      <c r="G13" s="138" t="str">
        <f>"$"&amp;ROUND(B34,2)&amp;"/"&amp;IF(STDEV(C140:F140)/AVERAGE(C140:F140)&lt;15%,"高",IF(STDEV(C140:F140)/AVERAGE(C140:F140)&lt;30%,"中","低"))</f>
        <v>$5.58/中</v>
      </c>
      <c r="H13" s="142" t="s">
        <v>199</v>
      </c>
      <c r="I13" s="143">
        <f>MAX(0,1-J15)</f>
        <v>0.37694704049844241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148.14124999999999</v>
      </c>
      <c r="C14" s="141">
        <f>$B$33*C10</f>
        <v>164.34121249999998</v>
      </c>
      <c r="D14" s="141">
        <f>$B$33*D10</f>
        <v>187.70929999999998</v>
      </c>
      <c r="E14" s="141">
        <f>$B$33*E10</f>
        <v>197.31458749999999</v>
      </c>
      <c r="F14" s="141">
        <f>$B$33*F10</f>
        <v>210.26499999999999</v>
      </c>
      <c r="G14" s="138" t="str">
        <f>"$"&amp;ROUND(B33,2)&amp;"/"&amp;IF(STDEV(B69:E69)/AVERAGE(B69:E69)&lt;15%,"高",IF(STDEV(B69:E69)/AVERAGE(B69:E69)&lt;30%,"中","低"))</f>
        <v>$9.56/中</v>
      </c>
      <c r="H14" s="142" t="s">
        <v>203</v>
      </c>
      <c r="I14" s="145">
        <f>G62/100*I13</f>
        <v>4.1011838006230532E-2</v>
      </c>
      <c r="J14" s="76" t="s">
        <v>204</v>
      </c>
      <c r="K14" s="146"/>
      <c r="L14" s="147">
        <f>(HLOOKUP($C$1,$105:$106,2,FALSE)-HLOOKUP($C$1,$117:$127,9,FALSE))/(HLOOKUP($C$1,$117:$128,12,FALSE)/K11)</f>
        <v>3.0212230596223448</v>
      </c>
      <c r="M14" s="148">
        <f>E135/E69</f>
        <v>1.0358255451713396</v>
      </c>
      <c r="N14" s="149">
        <f>F173/100</f>
        <v>0.89430000000000009</v>
      </c>
    </row>
    <row r="15" spans="1:15" s="93" customFormat="1" x14ac:dyDescent="0.25">
      <c r="A15" s="140" t="s">
        <v>375</v>
      </c>
      <c r="B15" s="141">
        <f>$D$62*B10</f>
        <v>71.61</v>
      </c>
      <c r="C15" s="141">
        <f>$D$62*C10</f>
        <v>79.440899999999999</v>
      </c>
      <c r="D15" s="141">
        <f>$D$62*D10</f>
        <v>90.736800000000002</v>
      </c>
      <c r="E15" s="141">
        <f>$D$62*E10</f>
        <v>95.379900000000006</v>
      </c>
      <c r="F15" s="141">
        <f>$D$62*F10</f>
        <v>101.64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0.62305295950155759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67.154232391812627</v>
      </c>
      <c r="C16" s="141">
        <f>$F$69*C10</f>
        <v>74.49787264369148</v>
      </c>
      <c r="D16" s="141">
        <f>$F$69*D10</f>
        <v>85.090911237109665</v>
      </c>
      <c r="E16" s="141">
        <f>$F$69*E10</f>
        <v>89.445105014772352</v>
      </c>
      <c r="F16" s="141">
        <f>$F$69*F10</f>
        <v>95.3156846851534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656</v>
      </c>
      <c r="J17" s="92">
        <f ca="1">IF(I17&lt;=0,"",IF(I17&lt;=MIN($B$13:$F$16),(I17-MIN($B$13:$F$16))/MIN($B$13:$F$16),IF(I17&gt;=MAX($B$13:$F$16),I17/MAX($B$13:$F$16),PERCENTRANK($B$13:$F$16,I17))))</f>
        <v>3.1198725417925002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6.2099999999999991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14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1.1139013452914797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0.21567125609978632</v>
      </c>
      <c r="J20" s="171">
        <f>HLOOKUP($C$1,$117:$127,11,FALSE)/HLOOKUP($C$1,$105:$115,11,FALSE)</f>
        <v>0.41914197418223131</v>
      </c>
      <c r="K20" s="163"/>
    </row>
    <row r="21" spans="1:14" s="93" customFormat="1" x14ac:dyDescent="0.25">
      <c r="A21" s="151" t="s">
        <v>201</v>
      </c>
      <c r="B21" s="161">
        <f>AVERAGE(C173:F173)/100</f>
        <v>0.85435000000000005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12.189150000000001</v>
      </c>
      <c r="G21" s="88" t="s">
        <v>220</v>
      </c>
      <c r="H21" s="123" t="s">
        <v>221</v>
      </c>
      <c r="I21" s="162">
        <f>HLOOKUP($C$1,$105:$115,7,FALSE)/HLOOKUP($C$1,$117:$127,8,FALSE)</f>
        <v>1.3506999247596967</v>
      </c>
      <c r="J21" s="78"/>
      <c r="K21" s="164" t="s">
        <v>356</v>
      </c>
      <c r="L21" s="165">
        <f>HLOOKUP($C$1,$105:$115,7,FALSE)/HLOOKUP($C$1,$105:$115,11,FALSE)</f>
        <v>0.4152472466344484</v>
      </c>
      <c r="M21" s="123" t="s">
        <v>268</v>
      </c>
      <c r="N21" s="165">
        <f>HLOOKUP($C$1,$117:$127,8,FALSE)/HLOOKUP($C$1,$117:$127,11,FALSE)</f>
        <v>0.73347739043845961</v>
      </c>
    </row>
    <row r="22" spans="1:14" s="93" customFormat="1" x14ac:dyDescent="0.25">
      <c r="A22" s="140" t="s">
        <v>222</v>
      </c>
      <c r="B22" s="161">
        <f>(-1)*SUM(C133:F133)/SUM(C132:F132)</f>
        <v>0.23780300705737953</v>
      </c>
      <c r="C22" s="157"/>
      <c r="D22" s="166"/>
      <c r="E22" s="140"/>
      <c r="F22" s="159">
        <f>IF(B22&lt;=0,10,IF(B22&gt;=100%,0,(1-B22)*10))</f>
        <v>7.6219699294262044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0.82436505271722882</v>
      </c>
      <c r="J22" s="78"/>
      <c r="K22" s="142" t="s">
        <v>357</v>
      </c>
      <c r="L22" s="165">
        <f>HLOOKUP($C$1,$105:$115,4,FALSE)/HLOOKUP($C$1,$105:$115,11,FALSE)</f>
        <v>7.2323328408375173E-2</v>
      </c>
      <c r="M22" s="123" t="s">
        <v>353</v>
      </c>
      <c r="N22" s="165">
        <f>HLOOKUP($C$1,$117:$127,4,FALSE)/HLOOKUP($C$1,$117:$127,11,FALSE)</f>
        <v>0.4854458169679316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1.7215910868962114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0.16181174102176205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0.9960676304031082</v>
      </c>
      <c r="C24" s="169">
        <f>STDEV(C103:F103)</f>
        <v>5.7867775107748737E-3</v>
      </c>
      <c r="D24" s="76" t="str">
        <f>IF(C24/B24&lt;15%,"高",IF(C24/B24&lt;30%,"中","低"))</f>
        <v>高</v>
      </c>
      <c r="E24" s="149"/>
      <c r="F24" s="160">
        <f>MIN(100%,B24)*5</f>
        <v>4.9803381520155412</v>
      </c>
      <c r="G24" s="88" t="s">
        <v>229</v>
      </c>
      <c r="H24" s="123" t="s">
        <v>16</v>
      </c>
      <c r="I24" s="170">
        <f>HLOOKUP(C1,167:170,2,FALSE)</f>
        <v>21.9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2.7213882495599914E-2</v>
      </c>
      <c r="M24" s="123" t="s">
        <v>355</v>
      </c>
      <c r="N24" s="165">
        <f>HLOOKUP($C$1,$117:$127,9,FALSE)/HLOOKUP($C$1,$117:$127,11,FALSE)</f>
        <v>0.26652260956154039</v>
      </c>
    </row>
    <row r="25" spans="1:14" s="93" customFormat="1" x14ac:dyDescent="0.25">
      <c r="A25" s="151" t="s">
        <v>366</v>
      </c>
      <c r="B25" s="255">
        <f>AVERAGE(94:94)</f>
        <v>262262.95652173914</v>
      </c>
      <c r="C25" s="254">
        <f>STDEV(94:94)/AVERAGE(94:94)</f>
        <v>0.59440320895369081</v>
      </c>
      <c r="D25" s="76" t="str">
        <f>IF(C25&lt;=1,"高",IF(C25&lt;=2,"中","低"))</f>
        <v>高</v>
      </c>
      <c r="E25" s="149"/>
      <c r="F25" s="160">
        <f>MAX(0,10-ABS(C25))</f>
        <v>9.4055967910463085</v>
      </c>
      <c r="G25" s="88" t="s">
        <v>213</v>
      </c>
      <c r="H25" s="123" t="s">
        <v>232</v>
      </c>
      <c r="I25" s="170">
        <f>IF(HLOOKUP(C1,167:170,3,FALSE)="無",0,HLOOKUP(C1,167:170,3,FALSE))</f>
        <v>56.6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24.214347826086961</v>
      </c>
      <c r="C26" s="172">
        <f>IF(COUNTIF(168:168,"&gt;0")=0,0,STDEV(168:168))</f>
        <v>4.8363677449535061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55.805652173913032</v>
      </c>
      <c r="C27" s="172">
        <f>IF(COUNTIF(169:169,"&gt;0")=0,0,STDEV(169:169))</f>
        <v>6.4270372264273341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0.16917499999999999</v>
      </c>
      <c r="C30" s="157" t="s">
        <v>217</v>
      </c>
      <c r="D30" s="174">
        <f>COUNTIF(146:146,"&gt;20")/COUNT(146:146)</f>
        <v>4.3478260869565216E-2</v>
      </c>
      <c r="E30" s="140" t="s">
        <v>239</v>
      </c>
      <c r="F30" s="159">
        <f>MIN(B30/25%*10,10)</f>
        <v>6.7669999999999995</v>
      </c>
      <c r="G30" s="175"/>
      <c r="H30" s="176"/>
    </row>
    <row r="31" spans="1:14" x14ac:dyDescent="0.25">
      <c r="A31" s="164" t="s">
        <v>240</v>
      </c>
      <c r="B31" s="173">
        <f>AVERAGE(C155:F155)/100</f>
        <v>0.10797499999999999</v>
      </c>
      <c r="C31" s="157" t="s">
        <v>217</v>
      </c>
      <c r="D31" s="174">
        <f>COUNTIF(149:149,"&gt;8")/COUNT(149:149)</f>
        <v>0.73913043478260865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24.360000000000003</v>
      </c>
      <c r="C32" s="157" t="s">
        <v>217</v>
      </c>
      <c r="D32" s="174">
        <f>COUNTIF(159:159,"&gt;3")/COUNT(159:159)</f>
        <v>0.91304347826086951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9.5574999999999992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5.5750000000000002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8.7499346063301076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25880494.75</v>
      </c>
      <c r="C36" s="178">
        <f>STDEV(C97:F97)</f>
        <v>2301368.773744497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16.9175</v>
      </c>
      <c r="C37" s="180">
        <f>STDEV(C152:F152)</f>
        <v>1.1706230534776478</v>
      </c>
      <c r="D37" s="76" t="str">
        <f>IF(C37/B37&lt;15%,"高",IF(C37/B37&lt;30%,"中","低"))</f>
        <v>高</v>
      </c>
      <c r="E37" s="107">
        <f>IF(F152&gt;E152,1,0)+IF(E152&gt;D152,1,0)+IF(D152&gt;C152,1,0)</f>
        <v>0</v>
      </c>
      <c r="F37" s="179"/>
      <c r="G37" s="160">
        <f>IF(D37="高",6,IF(D37="中",4,2))+E37+1</f>
        <v>7</v>
      </c>
    </row>
    <row r="38" spans="1:14" x14ac:dyDescent="0.25">
      <c r="A38" s="164" t="s">
        <v>249</v>
      </c>
      <c r="B38" s="180">
        <f>AVERAGE(C153:F153)</f>
        <v>9.2650000000000006</v>
      </c>
      <c r="C38" s="180">
        <f>STDEV(C153:F153)</f>
        <v>1.7232237231421759</v>
      </c>
      <c r="D38" s="76" t="str">
        <f>IF(C38/B38&lt;15%,"高",IF(C38/B38&lt;30%,"中","低"))</f>
        <v>中</v>
      </c>
      <c r="E38" s="107">
        <f>IF(F153&gt;E153,1,0)+IF(E153&gt;D153,1,0)+IF(D153&gt;C153,1,0)</f>
        <v>1</v>
      </c>
      <c r="F38" s="179"/>
      <c r="G38" s="160">
        <f>IF(D38="高",6,IF(D38="中",4,2))+E38+1</f>
        <v>6</v>
      </c>
    </row>
    <row r="39" spans="1:14" x14ac:dyDescent="0.25">
      <c r="A39" s="142" t="s">
        <v>46</v>
      </c>
      <c r="B39" s="181">
        <f>AVERAGE(C165:F165)</f>
        <v>24.360000000000003</v>
      </c>
      <c r="C39" s="181">
        <f>STDEV(C165:F165)</f>
        <v>7.226861928481342</v>
      </c>
      <c r="D39" s="76" t="str">
        <f>IF(C39/B39&lt;15%,"高",IF(C39/B39&lt;30%,"中","低"))</f>
        <v>中</v>
      </c>
      <c r="E39" s="107">
        <f>IF(F165&gt;E165,1,0)+IF(E165&gt;D165,1,0)+IF(D165&gt;C165,1,0)</f>
        <v>0</v>
      </c>
      <c r="F39" s="182"/>
      <c r="G39" s="160">
        <f>IF(D39="高",6,IF(D39="中",4,2))+E39+1</f>
        <v>5</v>
      </c>
    </row>
    <row r="40" spans="1:14" x14ac:dyDescent="0.25">
      <c r="A40" s="164" t="s">
        <v>14</v>
      </c>
      <c r="B40" s="183">
        <f>AVERAGE(B69:E69)</f>
        <v>9.5574999999999992</v>
      </c>
      <c r="C40" s="183">
        <f>STDEV(B69:E69)</f>
        <v>2.1719480503302471</v>
      </c>
      <c r="D40" s="76" t="str">
        <f>IF(C40/B40&lt;15%,"高",IF(C40/B40&lt;30%,"中","低"))</f>
        <v>中</v>
      </c>
      <c r="E40" s="107">
        <f>IF(E69&gt;D69,1,0)+IF(D69&gt;C69,1,0)+IF(C69&gt;B69,1,0)</f>
        <v>1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-0.19161676646706577</v>
      </c>
      <c r="C44" s="186">
        <f>(C46-C49)/C49</f>
        <v>-0.66206896551724137</v>
      </c>
      <c r="D44" s="186">
        <f>(D46-D49)/D49</f>
        <v>-0.33986928104575165</v>
      </c>
      <c r="E44" s="186">
        <f>(E46-E49)/E49</f>
        <v>-0.16901408450704219</v>
      </c>
      <c r="G44" s="86" t="s">
        <v>175</v>
      </c>
      <c r="H44" s="186">
        <f>(H47-H50)/H50</f>
        <v>-0.29867986798679858</v>
      </c>
      <c r="I44" s="186">
        <f>(I47-I50)/I50</f>
        <v>-0.47030303030303028</v>
      </c>
      <c r="J44" s="186">
        <f>(J47-J50)/J50</f>
        <v>-0.39517819706498947</v>
      </c>
      <c r="K44" s="186">
        <f>(K47-K50)/K50</f>
        <v>-0.61528976572133154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1.35</v>
      </c>
      <c r="C46" s="152">
        <f>HLOOKUP(C45,$81:$82,2,FALSE)</f>
        <v>0.49</v>
      </c>
      <c r="D46" s="152">
        <f>HLOOKUP(D45,$81:$82,2,FALSE)</f>
        <v>1.01</v>
      </c>
      <c r="E46" s="152">
        <f>HLOOKUP(E45,$81:$82,2,FALSE)</f>
        <v>1.77</v>
      </c>
      <c r="G46" s="86" t="s">
        <v>164</v>
      </c>
      <c r="H46" s="145">
        <f>HLOOKUP(H45,$145:$147,2,FALSE)/100</f>
        <v>0.1137</v>
      </c>
      <c r="I46" s="145">
        <f>HLOOKUP(I45,$145:$147,2,FALSE)/100</f>
        <v>0.1246</v>
      </c>
      <c r="J46" s="145">
        <f>HLOOKUP(J45,$145:$147,2,FALSE)/100</f>
        <v>0.1537</v>
      </c>
      <c r="K46" s="145">
        <f>HLOOKUP(K45,$145:$147,2,FALSE)/100</f>
        <v>0.1167</v>
      </c>
    </row>
    <row r="47" spans="1:14" x14ac:dyDescent="0.25">
      <c r="A47" s="188" t="s">
        <v>165</v>
      </c>
      <c r="B47" s="189">
        <f>HLOOKUP(B45,$157:$159,3,FALSE)</f>
        <v>3.29</v>
      </c>
      <c r="C47" s="189">
        <f>HLOOKUP(C45,$157:$159,3,FALSE)</f>
        <v>1.23</v>
      </c>
      <c r="D47" s="189">
        <f>HLOOKUP(D45,$157:$159,3,FALSE)</f>
        <v>2.38</v>
      </c>
      <c r="E47" s="189">
        <f>HLOOKUP(E45,$157:$159,3,FALSE)</f>
        <v>3.98</v>
      </c>
      <c r="G47" s="190" t="s">
        <v>166</v>
      </c>
      <c r="H47" s="145">
        <f>HLOOKUP(H45,$145:$147,3,FALSE)/100</f>
        <v>4.2500000000000003E-2</v>
      </c>
      <c r="I47" s="145">
        <f>HLOOKUP(I45,$145:$147,3,FALSE)/100</f>
        <v>4.3700000000000003E-2</v>
      </c>
      <c r="J47" s="145">
        <f>HLOOKUP(J45,$145:$147,3,FALSE)/100</f>
        <v>5.7699999999999994E-2</v>
      </c>
      <c r="K47" s="145">
        <f>HLOOKUP(K45,$145:$147,3,FALSE)/100</f>
        <v>3.1200000000000002E-2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1.67</v>
      </c>
      <c r="C49" s="152">
        <f>HLOOKUP(C48,$81:$82,2,FALSE)</f>
        <v>1.45</v>
      </c>
      <c r="D49" s="152">
        <f>HLOOKUP(D48,$81:$82,2,FALSE)</f>
        <v>1.53</v>
      </c>
      <c r="E49" s="152">
        <f>HLOOKUP(E48,$81:$82,2,FALSE)</f>
        <v>2.13</v>
      </c>
      <c r="G49" s="86" t="s">
        <v>164</v>
      </c>
      <c r="H49" s="145">
        <f>HLOOKUP(H48,$145:$147,2,FALSE)/100</f>
        <v>0.13449999999999998</v>
      </c>
      <c r="I49" s="145">
        <f>HLOOKUP(I48,$145:$147,2,FALSE)/100</f>
        <v>0.17019999999999999</v>
      </c>
      <c r="J49" s="145">
        <f>HLOOKUP(J48,$145:$147,2,FALSE)/100</f>
        <v>0.19</v>
      </c>
      <c r="K49" s="145">
        <f>HLOOKUP(K48,$145:$147,2,FALSE)/100</f>
        <v>0.151</v>
      </c>
    </row>
    <row r="50" spans="1:15" x14ac:dyDescent="0.25">
      <c r="A50" s="188" t="s">
        <v>165</v>
      </c>
      <c r="B50" s="189">
        <f>HLOOKUP(B48,$157:$159,3,FALSE)</f>
        <v>3.96</v>
      </c>
      <c r="C50" s="189">
        <f>HLOOKUP(C48,$157:$159,3,FALSE)</f>
        <v>3.42</v>
      </c>
      <c r="D50" s="189">
        <f>HLOOKUP(D48,$157:$159,3,FALSE)</f>
        <v>3.45</v>
      </c>
      <c r="E50" s="189">
        <f>HLOOKUP(E48,$157:$159,3,FALSE)</f>
        <v>4.72</v>
      </c>
      <c r="G50" s="190" t="s">
        <v>166</v>
      </c>
      <c r="H50" s="145">
        <f>HLOOKUP(H48,$145:$147,3,FALSE)/100</f>
        <v>6.0599999999999994E-2</v>
      </c>
      <c r="I50" s="145">
        <f>HLOOKUP(I48,$145:$147,3,FALSE)/100</f>
        <v>8.2500000000000004E-2</v>
      </c>
      <c r="J50" s="145">
        <f>HLOOKUP(J48,$145:$147,3,FALSE)/100</f>
        <v>9.5399999999999985E-2</v>
      </c>
      <c r="K50" s="145">
        <f>HLOOKUP(K48,$145:$147,3,FALSE)/100</f>
        <v>8.1099999999999992E-2</v>
      </c>
    </row>
    <row r="51" spans="1:15" x14ac:dyDescent="0.25">
      <c r="A51" s="86" t="s">
        <v>351</v>
      </c>
      <c r="B51" s="186">
        <f>(B47-B50)/B50</f>
        <v>-0.16919191919191917</v>
      </c>
      <c r="C51" s="186">
        <f>(C47-C50)/C50</f>
        <v>-0.64035087719298245</v>
      </c>
      <c r="D51" s="186">
        <f>(D47-D50)/D50</f>
        <v>-0.31014492753623196</v>
      </c>
      <c r="E51" s="186">
        <f>(E47-E50)/E50</f>
        <v>-0.15677966101694912</v>
      </c>
      <c r="G51" s="235" t="s">
        <v>174</v>
      </c>
      <c r="H51" s="186">
        <f>(H46-H49)/H49</f>
        <v>-0.15464684014869878</v>
      </c>
      <c r="I51" s="186">
        <f>(I46-I49)/I49</f>
        <v>-0.26792009400705047</v>
      </c>
      <c r="J51" s="186">
        <f>(J46-J49)/J49</f>
        <v>-0.19105263157894736</v>
      </c>
      <c r="K51" s="186">
        <f>(K46-K49)/K49</f>
        <v>-0.22715231788079468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5.4015408508390381</v>
      </c>
      <c r="B53" s="193">
        <f>B46</f>
        <v>1.35</v>
      </c>
      <c r="C53" s="193">
        <f>E46/HLOOKUP(E45,$87:$94,5,FALSE)*HLOOKUP(E45,$87:$94,4,FALSE)*($B$25/HLOOKUP(E45,$87:$94,4,FALSE)+SUM($B$57:$D$57)/SUM($B58:$D$58)*$G$69/100/K46)</f>
        <v>1.4927297092776275</v>
      </c>
      <c r="D53" s="193">
        <f>D46/HLOOKUP(D45,$87:$94,5,FALSE)*HLOOKUP(D45,$87:$94,4,FALSE)*($B$25/HLOOKUP(D45,$87:$94,4,FALSE)+SUM($B$57:$D$57)/SUM($B58:$D$58)*$G$69/100/J46)</f>
        <v>1.3481343257204592</v>
      </c>
      <c r="E53" s="193">
        <f>C46/HLOOKUP(C45,$87:$94,5,FALSE)*HLOOKUP(C45,$87:$94,4,FALSE)*($B$25/HLOOKUP(C45,$87:$94,4,FALSE)+SUM($B$57:$D$57)/SUM($B58:$D$58)*$G$69/100/I46)</f>
        <v>1.2106768158409518</v>
      </c>
    </row>
    <row r="54" spans="1:15" x14ac:dyDescent="0.25">
      <c r="A54" s="278">
        <f>SUM(B54:E54)</f>
        <v>4.9400000000000004</v>
      </c>
      <c r="B54" s="277">
        <f t="shared" ref="B54:D54" si="0">HLOOKUP(B52-10,81:82,2,FALSE)</f>
        <v>1.67</v>
      </c>
      <c r="C54" s="277">
        <f t="shared" si="0"/>
        <v>1.77</v>
      </c>
      <c r="D54" s="277">
        <f t="shared" si="0"/>
        <v>1.01</v>
      </c>
      <c r="E54" s="277">
        <f>HLOOKUP(E52-10,81:82,2,FALSE)</f>
        <v>0.49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1841372</v>
      </c>
      <c r="C57" s="196">
        <f>HLOOKUP(C56,78:79,2,FALSE)</f>
        <v>1975974</v>
      </c>
      <c r="D57" s="196">
        <f>HLOOKUP(D56,78:79,2,FALSE)</f>
        <v>2542332</v>
      </c>
      <c r="E57" s="196">
        <f>HLOOKUP(E56,78:79,2,FALSE)</f>
        <v>2082826</v>
      </c>
      <c r="F57" s="196">
        <f>HLOOKUP(F56,78:79,2,FALSE)</f>
        <v>1818581</v>
      </c>
      <c r="G57" s="196">
        <f t="shared" ref="G57:M57" si="2">HLOOKUP(G56,78:79,2,FALSE)</f>
        <v>1923609</v>
      </c>
      <c r="H57" s="196">
        <f t="shared" si="2"/>
        <v>1516312</v>
      </c>
      <c r="I57" s="196">
        <f t="shared" si="2"/>
        <v>1942250</v>
      </c>
      <c r="J57" s="196">
        <f t="shared" si="2"/>
        <v>1462566</v>
      </c>
      <c r="K57" s="196">
        <f t="shared" si="2"/>
        <v>1382921</v>
      </c>
      <c r="L57" s="196">
        <f t="shared" si="2"/>
        <v>1696147</v>
      </c>
      <c r="M57" s="196">
        <f t="shared" si="2"/>
        <v>1992657</v>
      </c>
      <c r="N57" s="197"/>
    </row>
    <row r="58" spans="1:15" x14ac:dyDescent="0.25">
      <c r="A58" s="198" t="s">
        <v>253</v>
      </c>
      <c r="B58" s="196">
        <f>HLOOKUP(B56-100,78:79,2,FALSE)</f>
        <v>1740937</v>
      </c>
      <c r="C58" s="196">
        <f>HLOOKUP(C56-100,78:79,2,FALSE)</f>
        <v>2013832</v>
      </c>
      <c r="D58" s="196">
        <f>HLOOKUP(D56-100,78:79,2,FALSE)</f>
        <v>2282657</v>
      </c>
      <c r="E58" s="196">
        <f>HLOOKUP(E56-100,78:79,2,FALSE)</f>
        <v>2023832</v>
      </c>
      <c r="F58" s="196">
        <f>HLOOKUP(F56-100,78:79,2,FALSE)</f>
        <v>2185995</v>
      </c>
      <c r="G58" s="196">
        <f t="shared" ref="G58:M58" si="3">HLOOKUP(G56-100,78:79,2,FALSE)</f>
        <v>1897086</v>
      </c>
      <c r="H58" s="196">
        <f t="shared" si="3"/>
        <v>1536867</v>
      </c>
      <c r="I58" s="196">
        <f t="shared" si="3"/>
        <v>2053296</v>
      </c>
      <c r="J58" s="196">
        <f t="shared" si="3"/>
        <v>1647463</v>
      </c>
      <c r="K58" s="196">
        <f t="shared" si="3"/>
        <v>1754794</v>
      </c>
      <c r="L58" s="196">
        <f t="shared" si="3"/>
        <v>2203677</v>
      </c>
      <c r="M58" s="196">
        <f t="shared" si="3"/>
        <v>1855026</v>
      </c>
      <c r="N58" s="197"/>
    </row>
    <row r="59" spans="1:15" x14ac:dyDescent="0.25">
      <c r="A59" s="199" t="s">
        <v>254</v>
      </c>
      <c r="B59" s="165">
        <f>IF(B57&lt;&gt;"",(B57-B58)/B58,"")</f>
        <v>5.7690197864713084E-2</v>
      </c>
      <c r="C59" s="165">
        <f>IF(C57&lt;&gt;"",(C57-C58)/C58,"")</f>
        <v>-1.879898621136222E-2</v>
      </c>
      <c r="D59" s="165">
        <f>IF(D57&lt;&gt;"",(D57-D58)/D58,"")</f>
        <v>0.11375997357465445</v>
      </c>
      <c r="E59" s="165">
        <f>IF(E57&lt;&gt;"",(E57-E58)/E58,"")</f>
        <v>2.9149652737974298E-2</v>
      </c>
      <c r="F59" s="165">
        <f>IF(F57&lt;&gt;"",(F57-F58)/F58,"")</f>
        <v>-0.16807632222397581</v>
      </c>
      <c r="G59" s="165">
        <f t="shared" ref="G59:M59" si="4">IF(G57&lt;&gt;"",(G57-G58)/G58,"")</f>
        <v>1.398091599431971E-2</v>
      </c>
      <c r="H59" s="165">
        <f t="shared" si="4"/>
        <v>-1.3374612116728383E-2</v>
      </c>
      <c r="I59" s="165">
        <f t="shared" si="4"/>
        <v>-5.4081827461798009E-2</v>
      </c>
      <c r="J59" s="165">
        <f t="shared" si="4"/>
        <v>-0.11223135208499371</v>
      </c>
      <c r="K59" s="165">
        <f t="shared" si="4"/>
        <v>-0.21191832203666072</v>
      </c>
      <c r="L59" s="165">
        <f t="shared" si="4"/>
        <v>-0.23031052191405546</v>
      </c>
      <c r="M59" s="165">
        <f t="shared" si="4"/>
        <v>7.419356925455492E-2</v>
      </c>
    </row>
    <row r="60" spans="1:15" x14ac:dyDescent="0.25">
      <c r="A60" s="195" t="s">
        <v>255</v>
      </c>
      <c r="B60" s="196">
        <f>SUM(B57:M57)</f>
        <v>22177547</v>
      </c>
    </row>
    <row r="61" spans="1:15" x14ac:dyDescent="0.25">
      <c r="A61" s="198" t="s">
        <v>256</v>
      </c>
      <c r="B61" s="196">
        <f>SUM(B58:M58)</f>
        <v>23195462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0.95611576954147326</v>
      </c>
      <c r="D62" s="152">
        <f>SUM(B46:E46)</f>
        <v>4.62</v>
      </c>
      <c r="E62" s="152">
        <f>SUM(B49:E49)</f>
        <v>6.78</v>
      </c>
      <c r="G62" s="126">
        <f>SUM(B47:E47)</f>
        <v>10.879999999999999</v>
      </c>
      <c r="H62" s="126">
        <f>SUM(B50:E50)</f>
        <v>15.55</v>
      </c>
      <c r="J62" s="200">
        <f>AVERAGE(H46:K46)</f>
        <v>0.12717500000000001</v>
      </c>
      <c r="K62" s="200">
        <f>AVERAGE(H49:K49)</f>
        <v>0.16142499999999999</v>
      </c>
      <c r="M62" s="200">
        <f>AVERAGE(H47:K47)</f>
        <v>4.3775000000000001E-2</v>
      </c>
      <c r="N62" s="200">
        <f>AVERAGE(H50:K50)</f>
        <v>7.9899999999999999E-2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2.38</v>
      </c>
      <c r="C65" s="205">
        <f t="shared" si="5"/>
        <v>2.54</v>
      </c>
      <c r="D65" s="205">
        <f t="shared" si="5"/>
        <v>2.35</v>
      </c>
      <c r="E65" s="205">
        <f t="shared" si="5"/>
        <v>1.53</v>
      </c>
      <c r="F65" s="206">
        <f>IF(ISNA(HLOOKUP(F$64*10+$A65,$81:$82,2,FALSE)),(HLOOKUP(E$64*10+$A65,$87:$94,4,FALSE)*$G65+$B$25)/HLOOKUP(E$64*10+$A65,$87:$94,5,FALSE)*$E65,HLOOKUP(F$64*10+$A65,$81:$82,2,FALSE))</f>
        <v>1.01</v>
      </c>
      <c r="G65" s="101">
        <f>MIN(130%,SUM($B$57:$D$57)/SUM($B$58:$D$58)*$G$69/HLOOKUP(E$64*10+$A65,$145:$146,2,FALSE))</f>
        <v>0.81041149471885066</v>
      </c>
      <c r="H65" s="204">
        <v>1</v>
      </c>
      <c r="I65" s="208">
        <f t="shared" ref="I65:M68" si="6">IF(ISNA(HLOOKUP(I$64*10+$H65,$145:$147,3,FALSE)),"",HLOOKUP(I$64*10+$H65,$145:$147,3,FALSE)/100)</f>
        <v>8.5800000000000001E-2</v>
      </c>
      <c r="J65" s="208">
        <f t="shared" si="6"/>
        <v>9.9100000000000008E-2</v>
      </c>
      <c r="K65" s="208">
        <f t="shared" si="6"/>
        <v>0.1014</v>
      </c>
      <c r="L65" s="208">
        <f t="shared" si="6"/>
        <v>9.5399999999999985E-2</v>
      </c>
      <c r="M65" s="209">
        <f t="shared" si="6"/>
        <v>5.7699999999999994E-2</v>
      </c>
      <c r="N65" s="256">
        <f t="shared" ref="N65:O68" si="7">HLOOKUP(E$64*10+$A65,$87:$94,8,FALSE)</f>
        <v>49364</v>
      </c>
      <c r="O65" s="256">
        <f t="shared" si="7"/>
        <v>127504</v>
      </c>
      <c r="P65" s="210"/>
    </row>
    <row r="66" spans="1:71" x14ac:dyDescent="0.25">
      <c r="A66" s="204">
        <v>2</v>
      </c>
      <c r="B66" s="205">
        <f t="shared" si="5"/>
        <v>2.62</v>
      </c>
      <c r="C66" s="205">
        <f t="shared" si="5"/>
        <v>2.46</v>
      </c>
      <c r="D66" s="205">
        <f t="shared" si="5"/>
        <v>1.96</v>
      </c>
      <c r="E66" s="205">
        <f t="shared" si="5"/>
        <v>1.45</v>
      </c>
      <c r="F66" s="206">
        <f>IF(ISNA(HLOOKUP(F$64*10+$A66,$81:$82,2,FALSE)),(HLOOKUP(E$64*10+$A66,$87:$94,4,FALSE)*$G66+$B$25)/HLOOKUP(E$64*10+$A66,$87:$94,5,FALSE)*$E66,HLOOKUP(F$64*10+$A66,$81:$82,2,FALSE))</f>
        <v>0.49</v>
      </c>
      <c r="G66" s="101">
        <f>MIN(130%,SUM($B$57:$D$57)/SUM($B$58:$D$58)*$G$69/HLOOKUP(E$64*10+$A66,$145:$146,2,FALSE))</f>
        <v>0.90468968270611994</v>
      </c>
      <c r="H66" s="204">
        <v>2</v>
      </c>
      <c r="I66" s="208">
        <f t="shared" si="6"/>
        <v>0.1318</v>
      </c>
      <c r="J66" s="208">
        <f t="shared" si="6"/>
        <v>0.10550000000000001</v>
      </c>
      <c r="K66" s="208">
        <f t="shared" si="6"/>
        <v>0.1201</v>
      </c>
      <c r="L66" s="208">
        <f t="shared" si="6"/>
        <v>8.2500000000000004E-2</v>
      </c>
      <c r="M66" s="209">
        <f t="shared" si="6"/>
        <v>4.3700000000000003E-2</v>
      </c>
      <c r="N66" s="256">
        <f t="shared" si="7"/>
        <v>221767</v>
      </c>
      <c r="O66" s="256">
        <f t="shared" si="7"/>
        <v>-8505</v>
      </c>
      <c r="P66" s="210"/>
    </row>
    <row r="67" spans="1:71" x14ac:dyDescent="0.25">
      <c r="A67" s="204">
        <v>3</v>
      </c>
      <c r="B67" s="205">
        <f t="shared" si="5"/>
        <v>2.93</v>
      </c>
      <c r="C67" s="205">
        <f t="shared" si="5"/>
        <v>3.33</v>
      </c>
      <c r="D67" s="205">
        <f t="shared" si="5"/>
        <v>3.72</v>
      </c>
      <c r="E67" s="205">
        <f t="shared" si="5"/>
        <v>1.67</v>
      </c>
      <c r="F67" s="206">
        <f>IF(ISNA(HLOOKUP(F$64*10+$A67,$81:$82,2,FALSE)),(HLOOKUP(E$64*10+$A67,$87:$94,4,FALSE)*$G67+$B$25)/HLOOKUP(E$64*10+$A67,$87:$94,5,FALSE)*$E67,HLOOKUP(F$64*10+$A67,$81:$82,2,FALSE))</f>
        <v>1.35</v>
      </c>
      <c r="G67" s="101">
        <f>MIN(130%,SUM($B$57:$D$57)/SUM($B$58:$D$58)*$G$69/HLOOKUP(E$64*10+$A67,$145:$146,2,FALSE))</f>
        <v>1.1448192118704954</v>
      </c>
      <c r="H67" s="204">
        <v>3</v>
      </c>
      <c r="I67" s="208">
        <f t="shared" si="6"/>
        <v>0.1216</v>
      </c>
      <c r="J67" s="208">
        <f t="shared" si="6"/>
        <v>9.6999999999999989E-2</v>
      </c>
      <c r="K67" s="208">
        <f t="shared" si="6"/>
        <v>9.8299999999999998E-2</v>
      </c>
      <c r="L67" s="208">
        <f t="shared" si="6"/>
        <v>6.0599999999999994E-2</v>
      </c>
      <c r="M67" s="209">
        <f t="shared" si="6"/>
        <v>4.2500000000000003E-2</v>
      </c>
      <c r="N67" s="256">
        <f t="shared" si="7"/>
        <v>212864</v>
      </c>
      <c r="O67" s="256">
        <f t="shared" si="7"/>
        <v>200902</v>
      </c>
      <c r="P67" s="210"/>
    </row>
    <row r="68" spans="1:71" x14ac:dyDescent="0.25">
      <c r="A68" s="204">
        <v>4</v>
      </c>
      <c r="B68" s="205">
        <f>HLOOKUP(B$64*10+$A68,$81:$82,2,FALSE)</f>
        <v>2.29</v>
      </c>
      <c r="C68" s="205">
        <f>HLOOKUP(C$64*10+$A68,$81:$82,2,FALSE)</f>
        <v>3.1</v>
      </c>
      <c r="D68" s="205">
        <f>HLOOKUP(D$64*10+$A68,$81:$82,2,FALSE)</f>
        <v>2.13</v>
      </c>
      <c r="E68" s="206">
        <f>IF(ISNA(HLOOKUP(E$64*10+$A68,$81:$82,2,FALSE)),D68*(1-$N68)*#REF!*(1+$B$25)/(1+$E$4),HLOOKUP(E$64*10+$A68,$81:$82,2,FALSE))</f>
        <v>1.77</v>
      </c>
      <c r="F68" s="206">
        <f>IF(ISNA(HLOOKUP(F$64*10+$A68,$81:$82,2,FALSE)),(HLOOKUP(E$64*10+$A68,$87:$94,4,FALSE)*$G68+$B$25)/HLOOKUP(E$64*10+$A68,$87:$94,5,FALSE)*$E68,HLOOKUP(F$64*10+$A68,$81:$82,2,FALSE))</f>
        <v>1.4825311220524269</v>
      </c>
      <c r="G68" s="101">
        <f>MIN(130%,SUM($B$57:$D$57)/SUM($B$58:$D$58)*$G$69/HLOOKUP(E$64*10+$A68,$145:$146,2,FALSE))</f>
        <v>1.3</v>
      </c>
      <c r="H68" s="204">
        <v>4</v>
      </c>
      <c r="I68" s="208">
        <f t="shared" si="6"/>
        <v>7.7899999999999997E-2</v>
      </c>
      <c r="J68" s="208">
        <f t="shared" si="6"/>
        <v>9.01E-2</v>
      </c>
      <c r="K68" s="208">
        <f t="shared" si="6"/>
        <v>8.1099999999999992E-2</v>
      </c>
      <c r="L68" s="208">
        <f t="shared" si="6"/>
        <v>3.1200000000000002E-2</v>
      </c>
      <c r="M68" s="209" t="str">
        <f t="shared" si="6"/>
        <v/>
      </c>
      <c r="N68" s="256">
        <f t="shared" si="7"/>
        <v>408039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10.219999999999999</v>
      </c>
      <c r="C69" s="213">
        <f>SUM(C65:C68)</f>
        <v>11.43</v>
      </c>
      <c r="D69" s="213">
        <f>SUM(D65:D68)</f>
        <v>10.16</v>
      </c>
      <c r="E69" s="213">
        <f>SUM(E65:E68)</f>
        <v>6.42</v>
      </c>
      <c r="F69" s="213">
        <f>SUM(F65:F68)</f>
        <v>4.3325311220524272</v>
      </c>
      <c r="G69" s="257">
        <f>_xlfn.FORECAST.ETS(23,B146:W146,{1,2,3,4,5,6,7,8,9,10,11,12,13,14,15,16,17,18,19,20,21,22})</f>
        <v>14.617593712979582</v>
      </c>
      <c r="H69" s="214" t="s">
        <v>19</v>
      </c>
      <c r="I69" s="215">
        <f>HLOOKUP(I64,151:155,3,FALSE)/100</f>
        <v>0.1051</v>
      </c>
      <c r="J69" s="215">
        <f>HLOOKUP(J64,151:155,3,FALSE)/100</f>
        <v>9.7799999999999998E-2</v>
      </c>
      <c r="K69" s="215">
        <f>HLOOKUP(K64,151:155,3,FALSE)/100</f>
        <v>0.10050000000000001</v>
      </c>
      <c r="L69" s="215">
        <f>IF(ISNA(HLOOKUP(L64,151:155,3,FALSE)/100),AVERAGE(L65:L68),HLOOKUP(L64,151:155,3,FALSE)/100)</f>
        <v>6.7199999999999996E-2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7.48</v>
      </c>
      <c r="C72" s="205">
        <f t="shared" si="8"/>
        <v>6.73</v>
      </c>
      <c r="D72" s="205">
        <f t="shared" si="8"/>
        <v>5.62</v>
      </c>
      <c r="E72" s="205">
        <f t="shared" si="8"/>
        <v>3.45</v>
      </c>
      <c r="F72" s="205">
        <f t="shared" si="8"/>
        <v>2.38</v>
      </c>
    </row>
    <row r="73" spans="1:71" s="135" customFormat="1" x14ac:dyDescent="0.25">
      <c r="A73" s="204">
        <v>2</v>
      </c>
      <c r="B73" s="205">
        <f t="shared" si="8"/>
        <v>8.11</v>
      </c>
      <c r="C73" s="205">
        <f t="shared" si="8"/>
        <v>6.55</v>
      </c>
      <c r="D73" s="205">
        <f t="shared" si="8"/>
        <v>4.92</v>
      </c>
      <c r="E73" s="205">
        <f t="shared" si="8"/>
        <v>3.42</v>
      </c>
      <c r="F73" s="205">
        <f t="shared" si="8"/>
        <v>1.23</v>
      </c>
    </row>
    <row r="74" spans="1:71" s="135" customFormat="1" x14ac:dyDescent="0.25">
      <c r="A74" s="204">
        <v>3</v>
      </c>
      <c r="B74" s="205">
        <f t="shared" si="8"/>
        <v>8.93</v>
      </c>
      <c r="C74" s="205">
        <f t="shared" si="8"/>
        <v>9.1300000000000008</v>
      </c>
      <c r="D74" s="205">
        <f t="shared" si="8"/>
        <v>9.16</v>
      </c>
      <c r="E74" s="205">
        <f t="shared" si="8"/>
        <v>3.96</v>
      </c>
      <c r="F74" s="205">
        <f t="shared" si="8"/>
        <v>3.29</v>
      </c>
    </row>
    <row r="75" spans="1:71" s="135" customFormat="1" x14ac:dyDescent="0.25">
      <c r="A75" s="204">
        <v>4</v>
      </c>
      <c r="B75" s="205">
        <f t="shared" si="8"/>
        <v>6.46</v>
      </c>
      <c r="C75" s="205">
        <f t="shared" si="8"/>
        <v>7.91</v>
      </c>
      <c r="D75" s="205">
        <f t="shared" si="8"/>
        <v>4.72</v>
      </c>
      <c r="E75" s="205">
        <f t="shared" si="8"/>
        <v>3.98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30.98</v>
      </c>
      <c r="C76" s="213">
        <f>SUM(C72:C75)</f>
        <v>30.320000000000004</v>
      </c>
      <c r="D76" s="213">
        <f>SUM(D72:D75)</f>
        <v>24.419999999999998</v>
      </c>
      <c r="E76" s="213">
        <f>AVERAGE(E72:E75)*4</f>
        <v>14.81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805530</v>
      </c>
      <c r="C79" s="270">
        <v>1356435</v>
      </c>
      <c r="D79" s="270">
        <v>870465</v>
      </c>
      <c r="E79" s="270">
        <v>461691</v>
      </c>
      <c r="F79" s="270">
        <v>972144</v>
      </c>
      <c r="G79" s="270">
        <v>1248803</v>
      </c>
      <c r="H79" s="270">
        <v>1559088</v>
      </c>
      <c r="I79" s="270">
        <v>1821149</v>
      </c>
      <c r="J79" s="270">
        <v>1620369</v>
      </c>
      <c r="K79" s="270">
        <v>1752466</v>
      </c>
      <c r="L79" s="270">
        <v>1756462</v>
      </c>
      <c r="M79" s="270">
        <v>1581654</v>
      </c>
      <c r="N79" s="270">
        <v>1964151</v>
      </c>
      <c r="O79" s="270">
        <v>1378043</v>
      </c>
      <c r="P79" s="270">
        <v>1936523</v>
      </c>
      <c r="Q79" s="270">
        <v>1755571</v>
      </c>
      <c r="R79" s="270">
        <v>1934737</v>
      </c>
      <c r="S79" s="270">
        <v>2064938</v>
      </c>
      <c r="T79" s="270">
        <v>2860670</v>
      </c>
      <c r="U79" s="270">
        <v>2510152</v>
      </c>
      <c r="V79" s="270">
        <v>2331090</v>
      </c>
      <c r="W79" s="270">
        <v>2451225</v>
      </c>
      <c r="X79" s="270">
        <v>2001039</v>
      </c>
      <c r="Y79" s="270">
        <v>2153033</v>
      </c>
      <c r="Z79" s="270">
        <v>1765335</v>
      </c>
      <c r="AA79" s="270">
        <v>1762843</v>
      </c>
      <c r="AB79" s="270">
        <v>2143231</v>
      </c>
      <c r="AC79" s="270">
        <v>2046790</v>
      </c>
      <c r="AD79" s="270">
        <v>2097039</v>
      </c>
      <c r="AE79" s="270">
        <v>2617269</v>
      </c>
      <c r="AF79" s="270">
        <v>2953729</v>
      </c>
      <c r="AG79" s="270">
        <v>2404809</v>
      </c>
      <c r="AH79" s="270">
        <v>2367709</v>
      </c>
      <c r="AI79" s="270">
        <v>2483295</v>
      </c>
      <c r="AJ79" s="270">
        <v>2070203</v>
      </c>
      <c r="AK79" s="270">
        <v>2514987</v>
      </c>
      <c r="AL79" s="270">
        <v>2040002</v>
      </c>
      <c r="AM79" s="270">
        <v>1731339</v>
      </c>
      <c r="AN79" s="270">
        <v>2422916</v>
      </c>
      <c r="AO79" s="270">
        <v>2337114</v>
      </c>
      <c r="AP79" s="270">
        <v>2132986</v>
      </c>
      <c r="AQ79" s="270">
        <v>2565437</v>
      </c>
      <c r="AR79" s="270">
        <v>3269081</v>
      </c>
      <c r="AS79" s="270">
        <v>2597642</v>
      </c>
      <c r="AT79" s="270">
        <v>2634127</v>
      </c>
      <c r="AU79" s="270">
        <v>2314679</v>
      </c>
      <c r="AV79" s="270">
        <v>1855026</v>
      </c>
      <c r="AW79" s="270">
        <v>2203677</v>
      </c>
      <c r="AX79" s="270">
        <v>1754794</v>
      </c>
      <c r="AY79" s="270">
        <v>1647463</v>
      </c>
      <c r="AZ79" s="270">
        <v>2053296</v>
      </c>
      <c r="BA79" s="270">
        <v>1536867</v>
      </c>
      <c r="BB79" s="270">
        <v>1897086</v>
      </c>
      <c r="BC79" s="270">
        <v>2185995</v>
      </c>
      <c r="BD79" s="270">
        <v>2023832</v>
      </c>
      <c r="BE79" s="270">
        <v>2282657</v>
      </c>
      <c r="BF79" s="270">
        <v>2013832</v>
      </c>
      <c r="BG79" s="270">
        <v>1740937</v>
      </c>
      <c r="BH79" s="270">
        <v>1992657</v>
      </c>
      <c r="BI79" s="270">
        <v>1696147</v>
      </c>
      <c r="BJ79" s="270">
        <v>1382921</v>
      </c>
      <c r="BK79" s="270">
        <v>1462566</v>
      </c>
      <c r="BL79" s="270">
        <v>1942250</v>
      </c>
      <c r="BM79" s="270">
        <v>1516312</v>
      </c>
      <c r="BN79" s="270">
        <v>1923609</v>
      </c>
      <c r="BO79" s="270">
        <v>1818581</v>
      </c>
      <c r="BP79" s="270">
        <v>2082826</v>
      </c>
      <c r="BQ79" s="270">
        <v>2542332</v>
      </c>
      <c r="BR79" s="270">
        <v>1975974</v>
      </c>
      <c r="BS79" s="270">
        <v>1841372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2.02</v>
      </c>
      <c r="C82" s="72">
        <v>1.26</v>
      </c>
      <c r="D82" s="72">
        <v>2.4300000000000002</v>
      </c>
      <c r="E82" s="72">
        <v>2.72</v>
      </c>
      <c r="F82" s="72">
        <v>2.38</v>
      </c>
      <c r="G82" s="72">
        <v>2.62</v>
      </c>
      <c r="H82" s="72">
        <v>2.93</v>
      </c>
      <c r="I82" s="72">
        <v>2.29</v>
      </c>
      <c r="J82" s="72">
        <v>2.54</v>
      </c>
      <c r="K82" s="72">
        <v>2.46</v>
      </c>
      <c r="L82" s="72">
        <v>3.33</v>
      </c>
      <c r="M82" s="72">
        <v>3.1</v>
      </c>
      <c r="N82" s="72">
        <v>2.35</v>
      </c>
      <c r="O82" s="72">
        <v>1.96</v>
      </c>
      <c r="P82" s="72">
        <v>3.72</v>
      </c>
      <c r="Q82" s="72">
        <v>2.13</v>
      </c>
      <c r="R82" s="72">
        <v>1.53</v>
      </c>
      <c r="S82" s="72">
        <v>1.45</v>
      </c>
      <c r="T82" s="72">
        <v>1.67</v>
      </c>
      <c r="U82" s="72">
        <v>1.77</v>
      </c>
      <c r="V82" s="72">
        <v>1.01</v>
      </c>
      <c r="W82" s="72">
        <v>0.49</v>
      </c>
      <c r="X82" s="72">
        <v>1.35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30.73</v>
      </c>
      <c r="C85" s="72">
        <v>29.01</v>
      </c>
      <c r="D85" s="72">
        <v>27.52</v>
      </c>
      <c r="E85" s="72">
        <v>29.93</v>
      </c>
      <c r="F85" s="72">
        <v>32.58</v>
      </c>
      <c r="G85" s="72">
        <v>29.93</v>
      </c>
      <c r="H85" s="72">
        <v>32.67</v>
      </c>
      <c r="I85" s="72">
        <v>35.51</v>
      </c>
      <c r="J85" s="72">
        <v>38.67</v>
      </c>
      <c r="K85" s="72">
        <v>34.42</v>
      </c>
      <c r="L85" s="72">
        <v>36.130000000000003</v>
      </c>
      <c r="M85" s="72">
        <v>40.19</v>
      </c>
      <c r="N85" s="72">
        <v>41.19</v>
      </c>
      <c r="O85" s="72">
        <v>36.06</v>
      </c>
      <c r="P85" s="72">
        <v>41.63</v>
      </c>
      <c r="Q85" s="72">
        <v>42.96</v>
      </c>
      <c r="R85" s="72">
        <v>44.11</v>
      </c>
      <c r="S85" s="72">
        <v>39.64</v>
      </c>
      <c r="T85" s="72">
        <v>40.1</v>
      </c>
      <c r="U85" s="72">
        <v>42.1</v>
      </c>
      <c r="V85" s="72">
        <v>41.09</v>
      </c>
      <c r="W85" s="72">
        <v>38.020000000000003</v>
      </c>
      <c r="X85" s="72">
        <v>39.58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4742004</v>
      </c>
      <c r="C88" s="273">
        <v>5368671</v>
      </c>
      <c r="D88" s="273">
        <v>7601527</v>
      </c>
      <c r="E88" s="273">
        <v>6665660</v>
      </c>
      <c r="F88" s="273">
        <v>5279187</v>
      </c>
      <c r="G88" s="273">
        <v>5753930</v>
      </c>
      <c r="H88" s="273">
        <v>7697244</v>
      </c>
      <c r="I88" s="273">
        <v>6578663</v>
      </c>
      <c r="J88" s="273">
        <v>5671418</v>
      </c>
      <c r="K88" s="273">
        <v>6763387</v>
      </c>
      <c r="L88" s="273">
        <v>7725124</v>
      </c>
      <c r="M88" s="273">
        <v>7057214</v>
      </c>
      <c r="N88" s="273">
        <v>6197835</v>
      </c>
      <c r="O88" s="273">
        <v>7036400</v>
      </c>
      <c r="P88" s="273">
        <v>8499783</v>
      </c>
      <c r="Q88" s="273">
        <v>6360322</v>
      </c>
      <c r="R88" s="273">
        <v>5457422</v>
      </c>
      <c r="S88" s="273">
        <v>5620830</v>
      </c>
      <c r="T88" s="273">
        <v>6320949</v>
      </c>
      <c r="U88" s="273">
        <v>5502271</v>
      </c>
      <c r="V88" s="273">
        <v>4793890</v>
      </c>
      <c r="W88" s="273">
        <v>5247662</v>
      </c>
      <c r="X88" s="273">
        <v>6595064</v>
      </c>
    </row>
    <row r="89" spans="1:25" ht="14.25" thickBot="1" x14ac:dyDescent="0.3">
      <c r="A89" s="250" t="s">
        <v>4</v>
      </c>
      <c r="B89" s="275">
        <v>755830</v>
      </c>
      <c r="C89" s="275">
        <v>868444</v>
      </c>
      <c r="D89" s="275">
        <v>1319551</v>
      </c>
      <c r="E89" s="275">
        <v>1018511</v>
      </c>
      <c r="F89" s="275">
        <v>956101</v>
      </c>
      <c r="G89" s="275">
        <v>1196064</v>
      </c>
      <c r="H89" s="275">
        <v>1435637</v>
      </c>
      <c r="I89" s="275">
        <v>976032</v>
      </c>
      <c r="J89" s="275">
        <v>1109334</v>
      </c>
      <c r="K89" s="275">
        <v>1310515</v>
      </c>
      <c r="L89" s="275">
        <v>1251421</v>
      </c>
      <c r="M89" s="275">
        <v>1236910</v>
      </c>
      <c r="N89" s="275">
        <v>1186203</v>
      </c>
      <c r="O89" s="275">
        <v>1301532</v>
      </c>
      <c r="P89" s="275">
        <v>1381340</v>
      </c>
      <c r="Q89" s="275">
        <v>960199</v>
      </c>
      <c r="R89" s="275">
        <v>1036949</v>
      </c>
      <c r="S89" s="275">
        <v>956914</v>
      </c>
      <c r="T89" s="275">
        <v>850370</v>
      </c>
      <c r="U89" s="275">
        <v>642218</v>
      </c>
      <c r="V89" s="275">
        <v>736609</v>
      </c>
      <c r="W89" s="275">
        <v>653651</v>
      </c>
      <c r="X89" s="275">
        <v>749684</v>
      </c>
    </row>
    <row r="90" spans="1:25" ht="14.25" thickBot="1" x14ac:dyDescent="0.3">
      <c r="A90" s="251" t="s">
        <v>5</v>
      </c>
      <c r="B90" s="273">
        <v>381626</v>
      </c>
      <c r="C90" s="273">
        <v>498352</v>
      </c>
      <c r="D90" s="273">
        <v>786603</v>
      </c>
      <c r="E90" s="273">
        <v>557020</v>
      </c>
      <c r="F90" s="273">
        <v>452800</v>
      </c>
      <c r="G90" s="273">
        <v>758152</v>
      </c>
      <c r="H90" s="273">
        <v>935780</v>
      </c>
      <c r="I90" s="273">
        <v>512568</v>
      </c>
      <c r="J90" s="273">
        <v>561898</v>
      </c>
      <c r="K90" s="273">
        <v>713697</v>
      </c>
      <c r="L90" s="273">
        <v>749691</v>
      </c>
      <c r="M90" s="273">
        <v>636125</v>
      </c>
      <c r="N90" s="273">
        <v>628606</v>
      </c>
      <c r="O90" s="273">
        <v>845146</v>
      </c>
      <c r="P90" s="273">
        <v>835110</v>
      </c>
      <c r="Q90" s="273">
        <v>515509</v>
      </c>
      <c r="R90" s="273">
        <v>520697</v>
      </c>
      <c r="S90" s="273">
        <v>463548</v>
      </c>
      <c r="T90" s="273">
        <v>382879</v>
      </c>
      <c r="U90" s="273">
        <v>171937</v>
      </c>
      <c r="V90" s="273">
        <v>276513</v>
      </c>
      <c r="W90" s="273">
        <v>229376</v>
      </c>
      <c r="X90" s="273">
        <v>280521</v>
      </c>
    </row>
    <row r="91" spans="1:25" ht="14.25" thickBot="1" x14ac:dyDescent="0.3">
      <c r="A91" s="250" t="s">
        <v>6</v>
      </c>
      <c r="B91" s="275">
        <v>661042</v>
      </c>
      <c r="C91" s="275">
        <v>599753</v>
      </c>
      <c r="D91" s="275">
        <v>888472</v>
      </c>
      <c r="E91" s="275">
        <v>931632</v>
      </c>
      <c r="F91" s="275">
        <v>891812</v>
      </c>
      <c r="G91" s="275">
        <v>1037560</v>
      </c>
      <c r="H91" s="275">
        <v>1152837</v>
      </c>
      <c r="I91" s="275">
        <v>858816</v>
      </c>
      <c r="J91" s="275">
        <v>953965</v>
      </c>
      <c r="K91" s="275">
        <v>943884</v>
      </c>
      <c r="L91" s="275">
        <v>1237783</v>
      </c>
      <c r="M91" s="275">
        <v>1134640</v>
      </c>
      <c r="N91" s="275">
        <v>890403</v>
      </c>
      <c r="O91" s="275">
        <v>871551</v>
      </c>
      <c r="P91" s="275">
        <v>1384600</v>
      </c>
      <c r="Q91" s="275">
        <v>750046</v>
      </c>
      <c r="R91" s="275">
        <v>570061</v>
      </c>
      <c r="S91" s="275">
        <v>685315</v>
      </c>
      <c r="T91" s="275">
        <v>595743</v>
      </c>
      <c r="U91" s="275">
        <v>579976</v>
      </c>
      <c r="V91" s="275">
        <v>404017</v>
      </c>
      <c r="W91" s="275">
        <v>220871</v>
      </c>
      <c r="X91" s="275">
        <v>481423</v>
      </c>
    </row>
    <row r="92" spans="1:25" ht="14.25" thickBot="1" x14ac:dyDescent="0.3">
      <c r="A92" s="251" t="s">
        <v>7</v>
      </c>
      <c r="B92" s="273">
        <v>514326</v>
      </c>
      <c r="C92" s="273">
        <v>353551</v>
      </c>
      <c r="D92" s="273">
        <v>673409</v>
      </c>
      <c r="E92" s="273">
        <v>769756</v>
      </c>
      <c r="F92" s="273">
        <v>683844</v>
      </c>
      <c r="G92" s="273">
        <v>746101</v>
      </c>
      <c r="H92" s="273">
        <v>832545</v>
      </c>
      <c r="I92" s="273">
        <v>657351</v>
      </c>
      <c r="J92" s="273">
        <v>743223</v>
      </c>
      <c r="K92" s="273">
        <v>714454</v>
      </c>
      <c r="L92" s="273">
        <v>987432</v>
      </c>
      <c r="M92" s="273">
        <v>944643</v>
      </c>
      <c r="N92" s="273">
        <v>714121</v>
      </c>
      <c r="O92" s="273">
        <v>594055</v>
      </c>
      <c r="P92" s="273">
        <v>1114211</v>
      </c>
      <c r="Q92" s="273">
        <v>622603</v>
      </c>
      <c r="R92" s="273">
        <v>467084</v>
      </c>
      <c r="S92" s="273">
        <v>447155</v>
      </c>
      <c r="T92" s="273">
        <v>492452</v>
      </c>
      <c r="U92" s="273">
        <v>508753</v>
      </c>
      <c r="V92" s="273">
        <v>306941</v>
      </c>
      <c r="W92" s="273">
        <v>150911</v>
      </c>
      <c r="X92" s="273">
        <v>398671</v>
      </c>
    </row>
    <row r="93" spans="1:25" ht="26.25" thickBot="1" x14ac:dyDescent="0.3">
      <c r="A93" s="252" t="s">
        <v>8</v>
      </c>
      <c r="B93" s="276">
        <v>500732</v>
      </c>
      <c r="C93" s="276">
        <v>359942</v>
      </c>
      <c r="D93" s="276">
        <v>690835</v>
      </c>
      <c r="E93" s="276">
        <v>774441</v>
      </c>
      <c r="F93" s="276">
        <v>678798</v>
      </c>
      <c r="G93" s="276">
        <v>744657</v>
      </c>
      <c r="H93" s="276">
        <v>833086</v>
      </c>
      <c r="I93" s="276">
        <v>650916</v>
      </c>
      <c r="J93" s="276">
        <v>724563</v>
      </c>
      <c r="K93" s="276">
        <v>701350</v>
      </c>
      <c r="L93" s="276">
        <v>996365</v>
      </c>
      <c r="M93" s="276">
        <v>927571</v>
      </c>
      <c r="N93" s="276">
        <v>702702</v>
      </c>
      <c r="O93" s="276">
        <v>586188</v>
      </c>
      <c r="P93" s="276">
        <v>1113348</v>
      </c>
      <c r="Q93" s="276">
        <v>638037</v>
      </c>
      <c r="R93" s="276">
        <v>456360</v>
      </c>
      <c r="S93" s="276">
        <v>434840</v>
      </c>
      <c r="T93" s="276">
        <v>499147</v>
      </c>
      <c r="U93" s="276">
        <v>528606</v>
      </c>
      <c r="V93" s="276">
        <v>301767</v>
      </c>
      <c r="W93" s="276">
        <v>145556</v>
      </c>
      <c r="X93" s="276">
        <v>405008</v>
      </c>
    </row>
    <row r="94" spans="1:25" x14ac:dyDescent="0.25">
      <c r="A94" s="233" t="s">
        <v>365</v>
      </c>
      <c r="B94" s="253">
        <f>IF(B91="","",B91-B90)</f>
        <v>279416</v>
      </c>
      <c r="C94" s="253">
        <f>IF(C91="","",C91-C90)</f>
        <v>101401</v>
      </c>
      <c r="D94" s="253">
        <f t="shared" ref="D94:Y94" si="9">IF(D91="","",D91-D90)</f>
        <v>101869</v>
      </c>
      <c r="E94" s="253">
        <f t="shared" si="9"/>
        <v>374612</v>
      </c>
      <c r="F94" s="253">
        <f t="shared" si="9"/>
        <v>439012</v>
      </c>
      <c r="G94" s="253">
        <f t="shared" si="9"/>
        <v>279408</v>
      </c>
      <c r="H94" s="253">
        <f t="shared" si="9"/>
        <v>217057</v>
      </c>
      <c r="I94" s="253">
        <f t="shared" si="9"/>
        <v>346248</v>
      </c>
      <c r="J94" s="253">
        <f t="shared" si="9"/>
        <v>392067</v>
      </c>
      <c r="K94" s="253">
        <f t="shared" si="9"/>
        <v>230187</v>
      </c>
      <c r="L94" s="253">
        <f t="shared" si="9"/>
        <v>488092</v>
      </c>
      <c r="M94" s="253">
        <f t="shared" si="9"/>
        <v>498515</v>
      </c>
      <c r="N94" s="253">
        <f t="shared" si="9"/>
        <v>261797</v>
      </c>
      <c r="O94" s="253">
        <f t="shared" si="9"/>
        <v>26405</v>
      </c>
      <c r="P94" s="253">
        <f t="shared" si="9"/>
        <v>549490</v>
      </c>
      <c r="Q94" s="253">
        <f t="shared" si="9"/>
        <v>234537</v>
      </c>
      <c r="R94" s="253">
        <f t="shared" si="9"/>
        <v>49364</v>
      </c>
      <c r="S94" s="253">
        <f t="shared" si="9"/>
        <v>221767</v>
      </c>
      <c r="T94" s="253">
        <f t="shared" si="9"/>
        <v>212864</v>
      </c>
      <c r="U94" s="253">
        <f t="shared" si="9"/>
        <v>408039</v>
      </c>
      <c r="V94" s="253">
        <f t="shared" si="9"/>
        <v>127504</v>
      </c>
      <c r="W94" s="253">
        <f t="shared" si="9"/>
        <v>-8505</v>
      </c>
      <c r="X94" s="253">
        <f t="shared" si="9"/>
        <v>200902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24377862</v>
      </c>
      <c r="C97" s="273">
        <v>25309024</v>
      </c>
      <c r="D97" s="273">
        <v>27217143</v>
      </c>
      <c r="E97" s="273">
        <v>28094340</v>
      </c>
      <c r="F97" s="273">
        <v>22901472</v>
      </c>
    </row>
    <row r="98" spans="1:24" ht="14.25" thickBot="1" x14ac:dyDescent="0.3">
      <c r="A98" s="225" t="s">
        <v>4</v>
      </c>
      <c r="B98" s="275">
        <v>3962336</v>
      </c>
      <c r="C98" s="275">
        <v>4496489</v>
      </c>
      <c r="D98" s="275">
        <v>4792773</v>
      </c>
      <c r="E98" s="275">
        <v>4794307</v>
      </c>
      <c r="F98" s="275">
        <v>3486451</v>
      </c>
    </row>
    <row r="99" spans="1:24" ht="14.25" thickBot="1" x14ac:dyDescent="0.3">
      <c r="A99" s="224" t="s">
        <v>5</v>
      </c>
      <c r="B99" s="273">
        <v>2223601</v>
      </c>
      <c r="C99" s="273">
        <v>2659300</v>
      </c>
      <c r="D99" s="273">
        <v>2661411</v>
      </c>
      <c r="E99" s="273">
        <v>2824371</v>
      </c>
      <c r="F99" s="273">
        <v>1539061</v>
      </c>
    </row>
    <row r="100" spans="1:24" ht="14.25" thickBot="1" x14ac:dyDescent="0.3">
      <c r="A100" s="225" t="s">
        <v>6</v>
      </c>
      <c r="B100" s="275">
        <v>3080899</v>
      </c>
      <c r="C100" s="275">
        <v>3941025</v>
      </c>
      <c r="D100" s="275">
        <v>4270272</v>
      </c>
      <c r="E100" s="275">
        <v>3896600</v>
      </c>
      <c r="F100" s="275">
        <v>2431095</v>
      </c>
    </row>
    <row r="101" spans="1:24" ht="14.25" thickBot="1" x14ac:dyDescent="0.3">
      <c r="A101" s="224" t="s">
        <v>7</v>
      </c>
      <c r="B101" s="273">
        <v>2311042</v>
      </c>
      <c r="C101" s="273">
        <v>2919841</v>
      </c>
      <c r="D101" s="273">
        <v>3389752</v>
      </c>
      <c r="E101" s="273">
        <v>3044990</v>
      </c>
      <c r="F101" s="273">
        <v>1915444</v>
      </c>
    </row>
    <row r="102" spans="1:24" ht="14.25" thickBot="1" x14ac:dyDescent="0.3">
      <c r="A102" s="227" t="s">
        <v>8</v>
      </c>
      <c r="B102" s="276">
        <v>2325950</v>
      </c>
      <c r="C102" s="276">
        <v>2907457</v>
      </c>
      <c r="D102" s="276">
        <v>3349849</v>
      </c>
      <c r="E102" s="276">
        <v>3040275</v>
      </c>
      <c r="F102" s="276">
        <v>1918953</v>
      </c>
    </row>
    <row r="103" spans="1:24" x14ac:dyDescent="0.25">
      <c r="A103" s="233" t="s">
        <v>262</v>
      </c>
      <c r="B103" s="234">
        <f>IF(OR(B102="",B102="無"),"",B102/B101)</f>
        <v>1.0064507698259053</v>
      </c>
      <c r="C103" s="234">
        <f>IF(OR(C102="",C102="無"),"",C102/C101)</f>
        <v>0.99575867316062761</v>
      </c>
      <c r="D103" s="234">
        <f>IF(OR(D102="",D102="無"),"",D102/D101)</f>
        <v>0.98822834236840928</v>
      </c>
      <c r="E103" s="234">
        <f>IF(OR(E102="",E102="無"),"",E102/E101)</f>
        <v>0.99845155484911285</v>
      </c>
      <c r="F103" s="234">
        <f>IF(OR(F102="",F102="無"),"",F102/F101)</f>
        <v>1.001831951234283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1679695</v>
      </c>
      <c r="C106" s="273">
        <v>2563449</v>
      </c>
      <c r="D106" s="273">
        <v>2987539</v>
      </c>
      <c r="E106" s="273">
        <v>3083418</v>
      </c>
      <c r="F106" s="273">
        <v>3145618</v>
      </c>
      <c r="G106" s="273">
        <v>4110427</v>
      </c>
      <c r="H106" s="273">
        <v>3543930</v>
      </c>
      <c r="I106" s="273">
        <v>3323641</v>
      </c>
      <c r="J106" s="273">
        <v>3576607</v>
      </c>
      <c r="K106" s="273">
        <v>4228679</v>
      </c>
      <c r="L106" s="273">
        <v>3499079</v>
      </c>
      <c r="M106" s="273">
        <v>4066671</v>
      </c>
      <c r="N106" s="273">
        <v>4217524</v>
      </c>
      <c r="O106" s="273">
        <v>4934093</v>
      </c>
      <c r="P106" s="273">
        <v>4565986</v>
      </c>
      <c r="Q106" s="273">
        <v>4126089</v>
      </c>
      <c r="R106" s="273">
        <v>4335482</v>
      </c>
      <c r="S106" s="273">
        <v>4719229</v>
      </c>
      <c r="T106" s="273">
        <v>4048758</v>
      </c>
      <c r="U106" s="273">
        <v>3908524</v>
      </c>
      <c r="V106" s="273">
        <v>3101142</v>
      </c>
      <c r="W106" s="273">
        <v>3377281</v>
      </c>
      <c r="X106" s="273">
        <v>3313757</v>
      </c>
    </row>
    <row r="107" spans="1:24" ht="14.25" thickBot="1" x14ac:dyDescent="0.3">
      <c r="A107" s="225" t="s">
        <v>22</v>
      </c>
      <c r="B107" s="275">
        <v>290368</v>
      </c>
      <c r="C107" s="275">
        <v>243534</v>
      </c>
      <c r="D107" s="275">
        <v>402536</v>
      </c>
      <c r="E107" s="275">
        <v>683317</v>
      </c>
      <c r="F107" s="275">
        <v>491388</v>
      </c>
      <c r="G107" s="275">
        <v>492153</v>
      </c>
      <c r="H107" s="275">
        <v>72517</v>
      </c>
      <c r="I107" s="275">
        <v>603360</v>
      </c>
      <c r="J107" s="275">
        <v>713429</v>
      </c>
      <c r="K107" s="275">
        <v>935107</v>
      </c>
      <c r="L107" s="275">
        <v>975761</v>
      </c>
      <c r="M107" s="275">
        <v>791289</v>
      </c>
      <c r="N107" s="275">
        <v>687034</v>
      </c>
      <c r="O107" s="275">
        <v>981686</v>
      </c>
      <c r="P107" s="275">
        <v>762383</v>
      </c>
      <c r="Q107" s="275">
        <v>752154</v>
      </c>
      <c r="R107" s="275">
        <v>550156</v>
      </c>
      <c r="S107" s="275">
        <v>601482</v>
      </c>
      <c r="T107" s="275">
        <v>142009</v>
      </c>
      <c r="U107" s="275">
        <v>47333</v>
      </c>
      <c r="V107" s="275">
        <v>51326</v>
      </c>
      <c r="W107" s="275">
        <v>451386</v>
      </c>
      <c r="X107" s="275">
        <v>361595</v>
      </c>
    </row>
    <row r="108" spans="1:24" ht="14.25" thickBot="1" x14ac:dyDescent="0.3">
      <c r="A108" s="224" t="s">
        <v>263</v>
      </c>
      <c r="B108" s="273">
        <v>1353501</v>
      </c>
      <c r="C108" s="273">
        <v>1323380</v>
      </c>
      <c r="D108" s="273">
        <v>1634790</v>
      </c>
      <c r="E108" s="273">
        <v>1787560</v>
      </c>
      <c r="F108" s="273">
        <v>1390902</v>
      </c>
      <c r="G108" s="273">
        <v>1291064</v>
      </c>
      <c r="H108" s="273">
        <v>1304416</v>
      </c>
      <c r="I108" s="273">
        <v>1755455</v>
      </c>
      <c r="J108" s="273">
        <v>1502411</v>
      </c>
      <c r="K108" s="273">
        <v>1574971</v>
      </c>
      <c r="L108" s="273">
        <v>1268454</v>
      </c>
      <c r="M108" s="273">
        <v>1847519</v>
      </c>
      <c r="N108" s="273">
        <v>1956520</v>
      </c>
      <c r="O108" s="273">
        <v>2180824</v>
      </c>
      <c r="P108" s="273">
        <v>1813508</v>
      </c>
      <c r="Q108" s="273">
        <v>1940924</v>
      </c>
      <c r="R108" s="273">
        <v>1990227</v>
      </c>
      <c r="S108" s="273">
        <v>1804274</v>
      </c>
      <c r="T108" s="273">
        <v>1530029</v>
      </c>
      <c r="U108" s="273">
        <v>1686296</v>
      </c>
      <c r="V108" s="273">
        <v>1759711</v>
      </c>
      <c r="W108" s="273">
        <v>1675705</v>
      </c>
      <c r="X108" s="273">
        <v>1535813</v>
      </c>
    </row>
    <row r="109" spans="1:24" ht="14.25" thickBot="1" x14ac:dyDescent="0.3">
      <c r="A109" s="225" t="s">
        <v>264</v>
      </c>
      <c r="B109" s="275">
        <v>2635159</v>
      </c>
      <c r="C109" s="275">
        <v>3338618</v>
      </c>
      <c r="D109" s="275">
        <v>3388304</v>
      </c>
      <c r="E109" s="275">
        <v>3144442</v>
      </c>
      <c r="F109" s="275">
        <v>2460602</v>
      </c>
      <c r="G109" s="275">
        <v>3600716</v>
      </c>
      <c r="H109" s="275">
        <v>3389317</v>
      </c>
      <c r="I109" s="275">
        <v>3089799</v>
      </c>
      <c r="J109" s="275">
        <v>2703774</v>
      </c>
      <c r="K109" s="275">
        <v>3440454</v>
      </c>
      <c r="L109" s="275">
        <v>3328550</v>
      </c>
      <c r="M109" s="275">
        <v>3202359</v>
      </c>
      <c r="N109" s="275">
        <v>2994156</v>
      </c>
      <c r="O109" s="275">
        <v>3959319</v>
      </c>
      <c r="P109" s="275">
        <v>3377277</v>
      </c>
      <c r="Q109" s="275">
        <v>3078429</v>
      </c>
      <c r="R109" s="275">
        <v>2605333</v>
      </c>
      <c r="S109" s="275">
        <v>3112121</v>
      </c>
      <c r="T109" s="275">
        <v>3211191</v>
      </c>
      <c r="U109" s="275">
        <v>3222724</v>
      </c>
      <c r="V109" s="275">
        <v>3131164</v>
      </c>
      <c r="W109" s="275">
        <v>3907240</v>
      </c>
      <c r="X109" s="275">
        <v>3436133</v>
      </c>
    </row>
    <row r="110" spans="1:24" ht="14.25" thickBot="1" x14ac:dyDescent="0.3">
      <c r="A110" s="224" t="s">
        <v>23</v>
      </c>
      <c r="B110" s="273">
        <v>247726</v>
      </c>
      <c r="C110" s="273">
        <v>198590</v>
      </c>
      <c r="D110" s="273">
        <v>220412</v>
      </c>
      <c r="E110" s="273">
        <v>287561</v>
      </c>
      <c r="F110" s="273">
        <v>211131</v>
      </c>
      <c r="G110" s="273">
        <v>246436</v>
      </c>
      <c r="H110" s="273">
        <v>245625</v>
      </c>
      <c r="I110" s="273">
        <v>263885</v>
      </c>
      <c r="J110" s="273">
        <v>274706</v>
      </c>
      <c r="K110" s="273">
        <v>244215</v>
      </c>
      <c r="L110" s="273">
        <v>216491</v>
      </c>
      <c r="M110" s="273">
        <v>223386</v>
      </c>
      <c r="N110" s="273">
        <v>247987</v>
      </c>
      <c r="O110" s="273">
        <v>230728</v>
      </c>
      <c r="P110" s="273">
        <v>226073</v>
      </c>
      <c r="Q110" s="273">
        <v>221952</v>
      </c>
      <c r="R110" s="273">
        <v>199968</v>
      </c>
      <c r="S110" s="273">
        <v>220335</v>
      </c>
      <c r="T110" s="273">
        <v>196870</v>
      </c>
      <c r="U110" s="273">
        <v>161450</v>
      </c>
      <c r="V110" s="273">
        <v>174635</v>
      </c>
      <c r="W110" s="273">
        <v>340499</v>
      </c>
      <c r="X110" s="273">
        <v>170633</v>
      </c>
    </row>
    <row r="111" spans="1:24" ht="14.25" thickBot="1" x14ac:dyDescent="0.3">
      <c r="A111" s="225" t="s">
        <v>24</v>
      </c>
      <c r="B111" s="275">
        <v>6206449</v>
      </c>
      <c r="C111" s="275">
        <v>7667571</v>
      </c>
      <c r="D111" s="275">
        <v>8633581</v>
      </c>
      <c r="E111" s="275">
        <v>8986298</v>
      </c>
      <c r="F111" s="275">
        <v>7699641</v>
      </c>
      <c r="G111" s="275">
        <v>9740796</v>
      </c>
      <c r="H111" s="275">
        <v>8555805</v>
      </c>
      <c r="I111" s="275">
        <v>9036140</v>
      </c>
      <c r="J111" s="275">
        <v>8770927</v>
      </c>
      <c r="K111" s="275">
        <v>10423426</v>
      </c>
      <c r="L111" s="275">
        <v>9288335</v>
      </c>
      <c r="M111" s="275">
        <v>10131224</v>
      </c>
      <c r="N111" s="275">
        <v>10103221</v>
      </c>
      <c r="O111" s="275">
        <v>12286650</v>
      </c>
      <c r="P111" s="275">
        <v>10745227</v>
      </c>
      <c r="Q111" s="275">
        <v>10119548</v>
      </c>
      <c r="R111" s="275">
        <v>9681166</v>
      </c>
      <c r="S111" s="275">
        <v>10457441</v>
      </c>
      <c r="T111" s="275">
        <v>9128857</v>
      </c>
      <c r="U111" s="275">
        <v>9026327</v>
      </c>
      <c r="V111" s="275">
        <v>8217978</v>
      </c>
      <c r="W111" s="275">
        <v>9752111</v>
      </c>
      <c r="X111" s="275">
        <v>8817931</v>
      </c>
    </row>
    <row r="112" spans="1:24" ht="14.25" thickBot="1" x14ac:dyDescent="0.3">
      <c r="A112" s="224" t="s">
        <v>25</v>
      </c>
      <c r="B112" s="273">
        <v>5649070</v>
      </c>
      <c r="C112" s="273">
        <v>5661128</v>
      </c>
      <c r="D112" s="273">
        <v>5723048</v>
      </c>
      <c r="E112" s="273">
        <v>5874529</v>
      </c>
      <c r="F112" s="273">
        <v>5965066</v>
      </c>
      <c r="G112" s="273">
        <v>6284279</v>
      </c>
      <c r="H112" s="273">
        <v>6424363</v>
      </c>
      <c r="I112" s="273">
        <v>6609038</v>
      </c>
      <c r="J112" s="273">
        <v>7150294</v>
      </c>
      <c r="K112" s="273">
        <v>7290014</v>
      </c>
      <c r="L112" s="273">
        <v>7655586</v>
      </c>
      <c r="M112" s="273">
        <v>7928462</v>
      </c>
      <c r="N112" s="273">
        <v>7901159</v>
      </c>
      <c r="O112" s="273">
        <v>7857554</v>
      </c>
      <c r="P112" s="273">
        <v>8565511</v>
      </c>
      <c r="Q112" s="273">
        <v>8676143</v>
      </c>
      <c r="R112" s="273">
        <v>8777196</v>
      </c>
      <c r="S112" s="273">
        <v>9020453</v>
      </c>
      <c r="T112" s="273">
        <v>9041080</v>
      </c>
      <c r="U112" s="273">
        <v>9350894</v>
      </c>
      <c r="V112" s="273">
        <v>9199942</v>
      </c>
      <c r="W112" s="273">
        <v>9248306</v>
      </c>
      <c r="X112" s="273">
        <v>9393392</v>
      </c>
    </row>
    <row r="113" spans="1:24" ht="14.25" thickBot="1" x14ac:dyDescent="0.3">
      <c r="A113" s="225" t="s">
        <v>26</v>
      </c>
      <c r="B113" s="275">
        <v>1723376</v>
      </c>
      <c r="C113" s="275">
        <v>1706765</v>
      </c>
      <c r="D113" s="275">
        <v>1690017</v>
      </c>
      <c r="E113" s="275">
        <v>1672786</v>
      </c>
      <c r="F113" s="275">
        <v>1683361</v>
      </c>
      <c r="G113" s="275">
        <v>2080293</v>
      </c>
      <c r="H113" s="275">
        <v>2182922</v>
      </c>
      <c r="I113" s="275">
        <v>2441404</v>
      </c>
      <c r="J113" s="275">
        <v>2794209</v>
      </c>
      <c r="K113" s="275">
        <v>2850051</v>
      </c>
      <c r="L113" s="275">
        <v>2874549</v>
      </c>
      <c r="M113" s="275">
        <v>2937741</v>
      </c>
      <c r="N113" s="275">
        <v>2893585</v>
      </c>
      <c r="O113" s="275">
        <v>2867651</v>
      </c>
      <c r="P113" s="275">
        <v>2883028</v>
      </c>
      <c r="Q113" s="275">
        <v>2823624</v>
      </c>
      <c r="R113" s="275">
        <v>2790342</v>
      </c>
      <c r="S113" s="275">
        <v>2714977</v>
      </c>
      <c r="T113" s="275">
        <v>2642986</v>
      </c>
      <c r="U113" s="275">
        <v>2575013</v>
      </c>
      <c r="V113" s="275">
        <v>2463213</v>
      </c>
      <c r="W113" s="275">
        <v>2455053</v>
      </c>
      <c r="X113" s="275">
        <v>2446155</v>
      </c>
    </row>
    <row r="114" spans="1:24" ht="14.25" thickBot="1" x14ac:dyDescent="0.3">
      <c r="A114" s="224" t="s">
        <v>27</v>
      </c>
      <c r="B114" s="273">
        <v>137167</v>
      </c>
      <c r="C114" s="273">
        <v>139967</v>
      </c>
      <c r="D114" s="273">
        <v>140554</v>
      </c>
      <c r="E114" s="273">
        <v>179622</v>
      </c>
      <c r="F114" s="273">
        <v>744222</v>
      </c>
      <c r="G114" s="273">
        <v>690867</v>
      </c>
      <c r="H114" s="273">
        <v>752728</v>
      </c>
      <c r="I114" s="273">
        <v>724721</v>
      </c>
      <c r="J114" s="273">
        <v>701580</v>
      </c>
      <c r="K114" s="273">
        <v>712366</v>
      </c>
      <c r="L114" s="273">
        <v>729975</v>
      </c>
      <c r="M114" s="273">
        <v>785577</v>
      </c>
      <c r="N114" s="273">
        <v>751219</v>
      </c>
      <c r="O114" s="273">
        <v>723670</v>
      </c>
      <c r="P114" s="273">
        <v>742877</v>
      </c>
      <c r="Q114" s="273">
        <v>739765</v>
      </c>
      <c r="R114" s="273">
        <v>703890</v>
      </c>
      <c r="S114" s="273">
        <v>670365</v>
      </c>
      <c r="T114" s="273">
        <v>647854</v>
      </c>
      <c r="U114" s="273">
        <v>643248</v>
      </c>
      <c r="V114" s="273">
        <v>581272</v>
      </c>
      <c r="W114" s="273">
        <v>571863</v>
      </c>
      <c r="X114" s="273">
        <v>577897</v>
      </c>
    </row>
    <row r="115" spans="1:24" ht="14.25" thickBot="1" x14ac:dyDescent="0.3">
      <c r="A115" s="225" t="s">
        <v>265</v>
      </c>
      <c r="B115" s="276">
        <v>13716062</v>
      </c>
      <c r="C115" s="276">
        <v>15175431</v>
      </c>
      <c r="D115" s="276">
        <v>16187200</v>
      </c>
      <c r="E115" s="276">
        <v>16713235</v>
      </c>
      <c r="F115" s="276">
        <v>16092290</v>
      </c>
      <c r="G115" s="276">
        <v>18796235</v>
      </c>
      <c r="H115" s="276">
        <v>17915818</v>
      </c>
      <c r="I115" s="276">
        <v>18811303</v>
      </c>
      <c r="J115" s="276">
        <v>19417010</v>
      </c>
      <c r="K115" s="276">
        <v>21275857</v>
      </c>
      <c r="L115" s="276">
        <v>20548445</v>
      </c>
      <c r="M115" s="276">
        <v>21783004</v>
      </c>
      <c r="N115" s="276">
        <v>21649184</v>
      </c>
      <c r="O115" s="276">
        <v>23735525</v>
      </c>
      <c r="P115" s="276">
        <v>22936643</v>
      </c>
      <c r="Q115" s="276">
        <v>22359080</v>
      </c>
      <c r="R115" s="276">
        <v>21952594</v>
      </c>
      <c r="S115" s="276">
        <v>22863236</v>
      </c>
      <c r="T115" s="276">
        <v>21460777</v>
      </c>
      <c r="U115" s="276">
        <v>21595482</v>
      </c>
      <c r="V115" s="276">
        <v>20462405</v>
      </c>
      <c r="W115" s="276">
        <v>22027333</v>
      </c>
      <c r="X115" s="276">
        <v>21235375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1034137</v>
      </c>
      <c r="C118" s="273">
        <v>549379</v>
      </c>
      <c r="D118" s="273">
        <v>615151</v>
      </c>
      <c r="E118" s="273">
        <v>987504</v>
      </c>
      <c r="F118" s="273">
        <v>959096</v>
      </c>
      <c r="G118" s="273">
        <v>677452</v>
      </c>
      <c r="H118" s="273">
        <v>615014</v>
      </c>
      <c r="I118" s="273">
        <v>963672</v>
      </c>
      <c r="J118" s="273">
        <v>1102120</v>
      </c>
      <c r="K118" s="273">
        <v>609193</v>
      </c>
      <c r="L118" s="273">
        <v>734648</v>
      </c>
      <c r="M118" s="273">
        <v>896501</v>
      </c>
      <c r="N118" s="273">
        <v>1045068</v>
      </c>
      <c r="O118" s="273">
        <v>890528</v>
      </c>
      <c r="P118" s="273">
        <v>1200419</v>
      </c>
      <c r="Q118" s="273">
        <v>1085754</v>
      </c>
      <c r="R118" s="273">
        <v>1384793</v>
      </c>
      <c r="S118" s="273">
        <v>869064</v>
      </c>
      <c r="T118" s="273">
        <v>1305217</v>
      </c>
      <c r="U118" s="273">
        <v>1116598</v>
      </c>
      <c r="V118" s="273">
        <v>1052603</v>
      </c>
      <c r="W118" s="273">
        <v>1112615</v>
      </c>
      <c r="X118" s="273">
        <v>1291027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2284152</v>
      </c>
      <c r="C120" s="273">
        <v>3903325</v>
      </c>
      <c r="D120" s="273">
        <v>4778488</v>
      </c>
      <c r="E120" s="273">
        <v>3953479</v>
      </c>
      <c r="F120" s="273">
        <v>2505252</v>
      </c>
      <c r="G120" s="273">
        <v>4417427</v>
      </c>
      <c r="H120" s="273">
        <v>4467009</v>
      </c>
      <c r="I120" s="273">
        <v>3983260</v>
      </c>
      <c r="J120" s="273">
        <v>2980012</v>
      </c>
      <c r="K120" s="273">
        <v>4698402</v>
      </c>
      <c r="L120" s="273">
        <v>4647831</v>
      </c>
      <c r="M120" s="273">
        <v>4197474</v>
      </c>
      <c r="N120" s="273">
        <v>3545352</v>
      </c>
      <c r="O120" s="273">
        <v>5338772</v>
      </c>
      <c r="P120" s="273">
        <v>4787381</v>
      </c>
      <c r="Q120" s="273">
        <v>3788292</v>
      </c>
      <c r="R120" s="273">
        <v>2812093</v>
      </c>
      <c r="S120" s="273">
        <v>3999143</v>
      </c>
      <c r="T120" s="273">
        <v>4055870</v>
      </c>
      <c r="U120" s="273">
        <v>3643568</v>
      </c>
      <c r="V120" s="273">
        <v>2964460</v>
      </c>
      <c r="W120" s="273">
        <v>4422784</v>
      </c>
      <c r="X120" s="273">
        <v>4320777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5">
        <v>122495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65464</v>
      </c>
      <c r="C122" s="273">
        <v>79652</v>
      </c>
      <c r="D122" s="273">
        <v>64708</v>
      </c>
      <c r="E122" s="273">
        <v>79277</v>
      </c>
      <c r="F122" s="273">
        <v>80961</v>
      </c>
      <c r="G122" s="273">
        <v>82352</v>
      </c>
      <c r="H122" s="273">
        <v>66770</v>
      </c>
      <c r="I122" s="273">
        <v>51997</v>
      </c>
      <c r="J122" s="273">
        <v>52438</v>
      </c>
      <c r="K122" s="273">
        <v>21940</v>
      </c>
      <c r="L122" s="273">
        <v>20761</v>
      </c>
      <c r="M122" s="273">
        <v>20697</v>
      </c>
      <c r="N122" s="273">
        <v>18104</v>
      </c>
      <c r="O122" s="273">
        <v>18539</v>
      </c>
      <c r="P122" s="273">
        <v>115733</v>
      </c>
      <c r="Q122" s="273">
        <v>134193</v>
      </c>
      <c r="R122" s="273">
        <v>127354</v>
      </c>
      <c r="S122" s="273">
        <v>122929</v>
      </c>
      <c r="T122" s="273">
        <v>114442</v>
      </c>
      <c r="U122" s="273">
        <v>112911</v>
      </c>
      <c r="V122" s="273">
        <v>106124</v>
      </c>
      <c r="W122" s="273">
        <v>110074</v>
      </c>
      <c r="X122" s="273">
        <v>109920</v>
      </c>
    </row>
    <row r="123" spans="1:24" ht="14.25" thickBot="1" x14ac:dyDescent="0.3">
      <c r="A123" s="225" t="s">
        <v>31</v>
      </c>
      <c r="B123" s="275">
        <v>1063480</v>
      </c>
      <c r="C123" s="275">
        <v>1774065</v>
      </c>
      <c r="D123" s="275">
        <v>1063083</v>
      </c>
      <c r="E123" s="275">
        <v>1247009</v>
      </c>
      <c r="F123" s="275">
        <v>1066873</v>
      </c>
      <c r="G123" s="275">
        <v>2713274</v>
      </c>
      <c r="H123" s="275">
        <v>1020598</v>
      </c>
      <c r="I123" s="275">
        <v>1098726</v>
      </c>
      <c r="J123" s="275">
        <v>1223396</v>
      </c>
      <c r="K123" s="275">
        <v>2961885</v>
      </c>
      <c r="L123" s="275">
        <v>1045911</v>
      </c>
      <c r="M123" s="275">
        <v>1297408</v>
      </c>
      <c r="N123" s="275">
        <v>1337542</v>
      </c>
      <c r="O123" s="275">
        <v>3318303</v>
      </c>
      <c r="P123" s="275">
        <v>1025990</v>
      </c>
      <c r="Q123" s="275">
        <v>1201725</v>
      </c>
      <c r="R123" s="275">
        <v>1184798</v>
      </c>
      <c r="S123" s="275">
        <v>2803416</v>
      </c>
      <c r="T123" s="275">
        <v>816268</v>
      </c>
      <c r="U123" s="275">
        <v>1229464</v>
      </c>
      <c r="V123" s="275">
        <v>1184938</v>
      </c>
      <c r="W123" s="275">
        <v>2164993</v>
      </c>
      <c r="X123" s="275">
        <v>806692</v>
      </c>
    </row>
    <row r="124" spans="1:24" ht="14.25" thickBot="1" x14ac:dyDescent="0.3">
      <c r="A124" s="224" t="s">
        <v>268</v>
      </c>
      <c r="B124" s="273">
        <v>4447233</v>
      </c>
      <c r="C124" s="273">
        <v>6306421</v>
      </c>
      <c r="D124" s="273">
        <v>6643925</v>
      </c>
      <c r="E124" s="273">
        <v>6267269</v>
      </c>
      <c r="F124" s="273">
        <v>4612182</v>
      </c>
      <c r="G124" s="273">
        <v>7890505</v>
      </c>
      <c r="H124" s="273">
        <v>6169391</v>
      </c>
      <c r="I124" s="273">
        <v>6097655</v>
      </c>
      <c r="J124" s="273">
        <v>5357966</v>
      </c>
      <c r="K124" s="273">
        <v>8291420</v>
      </c>
      <c r="L124" s="273">
        <v>6449151</v>
      </c>
      <c r="M124" s="273">
        <v>6412080</v>
      </c>
      <c r="N124" s="273">
        <v>5946066</v>
      </c>
      <c r="O124" s="273">
        <v>9566142</v>
      </c>
      <c r="P124" s="273">
        <v>7129523</v>
      </c>
      <c r="Q124" s="273">
        <v>6209964</v>
      </c>
      <c r="R124" s="273">
        <v>5509038</v>
      </c>
      <c r="S124" s="273">
        <v>7794552</v>
      </c>
      <c r="T124" s="273">
        <v>6291797</v>
      </c>
      <c r="U124" s="273">
        <v>6102541</v>
      </c>
      <c r="V124" s="273">
        <v>5308125</v>
      </c>
      <c r="W124" s="273">
        <v>7810466</v>
      </c>
      <c r="X124" s="273">
        <v>6528416</v>
      </c>
    </row>
    <row r="125" spans="1:24" ht="14.25" thickBot="1" x14ac:dyDescent="0.3">
      <c r="A125" s="225" t="s">
        <v>32</v>
      </c>
      <c r="B125" s="275">
        <v>168032</v>
      </c>
      <c r="C125" s="275">
        <v>145031</v>
      </c>
      <c r="D125" s="275">
        <v>125348</v>
      </c>
      <c r="E125" s="275">
        <v>91408</v>
      </c>
      <c r="F125" s="275">
        <v>1962068</v>
      </c>
      <c r="G125" s="275">
        <v>2028159</v>
      </c>
      <c r="H125" s="275">
        <v>1983087</v>
      </c>
      <c r="I125" s="275">
        <v>2126759</v>
      </c>
      <c r="J125" s="275">
        <v>2547095</v>
      </c>
      <c r="K125" s="275">
        <v>2678598</v>
      </c>
      <c r="L125" s="275">
        <v>2784754</v>
      </c>
      <c r="M125" s="275">
        <v>2810855</v>
      </c>
      <c r="N125" s="275">
        <v>2859831</v>
      </c>
      <c r="O125" s="275">
        <v>2851794</v>
      </c>
      <c r="P125" s="275">
        <v>2801578</v>
      </c>
      <c r="Q125" s="275">
        <v>2775834</v>
      </c>
      <c r="R125" s="275">
        <v>2718658</v>
      </c>
      <c r="S125" s="275">
        <v>2680475</v>
      </c>
      <c r="T125" s="275">
        <v>2658726</v>
      </c>
      <c r="U125" s="275">
        <v>2415959</v>
      </c>
      <c r="V125" s="275">
        <v>2398732</v>
      </c>
      <c r="W125" s="275">
        <v>2351866</v>
      </c>
      <c r="X125" s="275">
        <v>2372221</v>
      </c>
    </row>
    <row r="126" spans="1:24" ht="14.25" thickBot="1" x14ac:dyDescent="0.3">
      <c r="A126" s="224" t="s">
        <v>33</v>
      </c>
      <c r="B126" s="273">
        <v>1326254</v>
      </c>
      <c r="C126" s="273">
        <v>1388529</v>
      </c>
      <c r="D126" s="273">
        <v>1444827</v>
      </c>
      <c r="E126" s="273">
        <v>1595963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5941519</v>
      </c>
      <c r="C127" s="275">
        <v>7839981</v>
      </c>
      <c r="D127" s="275">
        <v>8214100</v>
      </c>
      <c r="E127" s="275">
        <v>7954640</v>
      </c>
      <c r="F127" s="275">
        <v>6574250</v>
      </c>
      <c r="G127" s="275">
        <v>9918664</v>
      </c>
      <c r="H127" s="275">
        <v>8152478</v>
      </c>
      <c r="I127" s="275">
        <v>8224414</v>
      </c>
      <c r="J127" s="275">
        <v>7905061</v>
      </c>
      <c r="K127" s="275">
        <v>10970018</v>
      </c>
      <c r="L127" s="275">
        <v>9233905</v>
      </c>
      <c r="M127" s="275">
        <v>9222935</v>
      </c>
      <c r="N127" s="275">
        <v>8805897</v>
      </c>
      <c r="O127" s="275">
        <v>12417936</v>
      </c>
      <c r="P127" s="275">
        <v>9931101</v>
      </c>
      <c r="Q127" s="275">
        <v>8985798</v>
      </c>
      <c r="R127" s="275">
        <v>8227696</v>
      </c>
      <c r="S127" s="275">
        <v>10475027</v>
      </c>
      <c r="T127" s="275">
        <v>8950523</v>
      </c>
      <c r="U127" s="275">
        <v>8518500</v>
      </c>
      <c r="V127" s="275">
        <v>7706857</v>
      </c>
      <c r="W127" s="275">
        <v>10162332</v>
      </c>
      <c r="X127" s="275">
        <v>8900637</v>
      </c>
    </row>
    <row r="128" spans="1:24" ht="14.25" thickBot="1" x14ac:dyDescent="0.3">
      <c r="A128" s="224" t="s">
        <v>34</v>
      </c>
      <c r="B128" s="273">
        <v>7774543</v>
      </c>
      <c r="C128" s="273">
        <v>7335450</v>
      </c>
      <c r="D128" s="273">
        <v>7973100</v>
      </c>
      <c r="E128" s="273">
        <v>8758595</v>
      </c>
      <c r="F128" s="273">
        <v>9518040</v>
      </c>
      <c r="G128" s="273">
        <v>8877571</v>
      </c>
      <c r="H128" s="273">
        <v>9763340</v>
      </c>
      <c r="I128" s="273">
        <v>10586889</v>
      </c>
      <c r="J128" s="273">
        <v>11511949</v>
      </c>
      <c r="K128" s="273">
        <v>10305839</v>
      </c>
      <c r="L128" s="273">
        <v>11314540</v>
      </c>
      <c r="M128" s="273">
        <v>12560069</v>
      </c>
      <c r="N128" s="273">
        <v>12843287</v>
      </c>
      <c r="O128" s="273">
        <v>11317589</v>
      </c>
      <c r="P128" s="273">
        <v>13005542</v>
      </c>
      <c r="Q128" s="273">
        <v>13373282</v>
      </c>
      <c r="R128" s="273">
        <v>13724898</v>
      </c>
      <c r="S128" s="273">
        <v>12388209</v>
      </c>
      <c r="T128" s="273">
        <v>12510254</v>
      </c>
      <c r="U128" s="273">
        <v>13076982</v>
      </c>
      <c r="V128" s="273">
        <v>12755548</v>
      </c>
      <c r="W128" s="273">
        <v>11865001</v>
      </c>
      <c r="X128" s="273">
        <v>12334738</v>
      </c>
    </row>
    <row r="129" spans="1:24" ht="14.25" thickBot="1" x14ac:dyDescent="0.3">
      <c r="A129" s="225" t="s">
        <v>35</v>
      </c>
      <c r="B129" s="276">
        <v>13716062</v>
      </c>
      <c r="C129" s="276">
        <v>15175431</v>
      </c>
      <c r="D129" s="276">
        <v>16187200</v>
      </c>
      <c r="E129" s="276">
        <v>16713235</v>
      </c>
      <c r="F129" s="276">
        <v>16092290</v>
      </c>
      <c r="G129" s="276">
        <v>18796235</v>
      </c>
      <c r="H129" s="276">
        <v>17915818</v>
      </c>
      <c r="I129" s="276">
        <v>18811303</v>
      </c>
      <c r="J129" s="276">
        <v>19417010</v>
      </c>
      <c r="K129" s="276">
        <v>21275857</v>
      </c>
      <c r="L129" s="276">
        <v>20548445</v>
      </c>
      <c r="M129" s="276">
        <v>21783004</v>
      </c>
      <c r="N129" s="276">
        <v>21649184</v>
      </c>
      <c r="O129" s="276">
        <v>23735525</v>
      </c>
      <c r="P129" s="276">
        <v>22936643</v>
      </c>
      <c r="Q129" s="276">
        <v>22359080</v>
      </c>
      <c r="R129" s="276">
        <v>21952594</v>
      </c>
      <c r="S129" s="276">
        <v>22863236</v>
      </c>
      <c r="T129" s="276">
        <v>21460777</v>
      </c>
      <c r="U129" s="276">
        <v>21595482</v>
      </c>
      <c r="V129" s="276">
        <v>20462405</v>
      </c>
      <c r="W129" s="276">
        <v>22027333</v>
      </c>
      <c r="X129" s="276">
        <v>21235375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10.16</v>
      </c>
      <c r="C132" s="68">
        <v>9.5299999999999994</v>
      </c>
      <c r="D132" s="68">
        <v>10.87</v>
      </c>
      <c r="E132" s="68">
        <v>6.46</v>
      </c>
      <c r="F132" s="68">
        <v>5.73</v>
      </c>
    </row>
    <row r="133" spans="1:24" ht="14.25" thickBot="1" x14ac:dyDescent="0.3">
      <c r="A133" s="225" t="s">
        <v>37</v>
      </c>
      <c r="B133" s="274">
        <v>0.34</v>
      </c>
      <c r="C133" s="274">
        <v>-4.43</v>
      </c>
      <c r="D133" s="274">
        <v>-3.93</v>
      </c>
      <c r="E133" s="274">
        <v>0.19</v>
      </c>
      <c r="F133" s="274">
        <v>0.42</v>
      </c>
    </row>
    <row r="134" spans="1:24" ht="14.25" thickBot="1" x14ac:dyDescent="0.3">
      <c r="A134" s="224" t="s">
        <v>38</v>
      </c>
      <c r="B134" s="68">
        <v>-3.55</v>
      </c>
      <c r="C134" s="68">
        <v>-4.6500000000000004</v>
      </c>
      <c r="D134" s="68">
        <v>-4.75</v>
      </c>
      <c r="E134" s="68">
        <v>-6.24</v>
      </c>
      <c r="F134" s="68">
        <v>-6.23</v>
      </c>
    </row>
    <row r="135" spans="1:24" ht="14.25" thickBot="1" x14ac:dyDescent="0.3">
      <c r="A135" s="225" t="s">
        <v>270</v>
      </c>
      <c r="B135" s="274">
        <v>10.5</v>
      </c>
      <c r="C135" s="274">
        <v>5.0999999999999996</v>
      </c>
      <c r="D135" s="274">
        <v>6.94</v>
      </c>
      <c r="E135" s="274">
        <v>6.65</v>
      </c>
      <c r="F135" s="274">
        <v>6.15</v>
      </c>
    </row>
    <row r="136" spans="1:24" ht="14.25" thickBot="1" x14ac:dyDescent="0.3">
      <c r="A136" s="229" t="s">
        <v>39</v>
      </c>
      <c r="B136" s="72">
        <v>6.95</v>
      </c>
      <c r="C136" s="72">
        <v>0.45</v>
      </c>
      <c r="D136" s="72">
        <v>2.19</v>
      </c>
      <c r="E136" s="72">
        <v>0.4</v>
      </c>
      <c r="F136" s="72">
        <v>-7.0000000000000007E-2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5.5</v>
      </c>
      <c r="C140" s="68">
        <v>6</v>
      </c>
      <c r="D140" s="68">
        <v>6.8</v>
      </c>
      <c r="E140" s="68">
        <v>5.5</v>
      </c>
      <c r="F140" s="68">
        <v>4</v>
      </c>
    </row>
    <row r="141" spans="1:24" ht="14.25" thickBot="1" x14ac:dyDescent="0.3">
      <c r="A141" s="227" t="s">
        <v>1</v>
      </c>
      <c r="B141" s="73">
        <v>0</v>
      </c>
      <c r="C141" s="73">
        <v>0.5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0.65243179122182671</v>
      </c>
      <c r="C142" s="234">
        <f>IF(C140&lt;&gt;"無",IF(ISNA(HLOOKUP(C139,$B$64:$F$69,6,FALSE)),"",C140/HLOOKUP(C139,$B$64:$F$69,6,FALSE)),"")</f>
        <v>0.58708414872798442</v>
      </c>
      <c r="D142" s="234">
        <f>IF(D140&lt;&gt;"無",IF(ISNA(HLOOKUP(D139,$B$64:$F$69,6,FALSE)),"",D140/HLOOKUP(D139,$B$64:$F$69,6,FALSE)),"")</f>
        <v>0.59492563429571299</v>
      </c>
      <c r="E142" s="234">
        <f>IF(E140&lt;&gt;"無",IF(ISNA(HLOOKUP(E139,$B$64:$F$69,6,FALSE)),"",E140/HLOOKUP(E139,$B$64:$F$69,6,FALSE)),"")</f>
        <v>0.54133858267716539</v>
      </c>
      <c r="F142" s="234">
        <f>IF(F140&lt;&gt;"無",IF(ISNA(HLOOKUP(F139,$B$64:$F$69,6,FALSE)),"",F140/HLOOKUP(F139,$B$64:$F$69,6,FALSE)),"")</f>
        <v>0.62305295950155759</v>
      </c>
    </row>
    <row r="143" spans="1:24" x14ac:dyDescent="0.25">
      <c r="A143" s="233" t="s">
        <v>216</v>
      </c>
      <c r="B143" s="234">
        <f>IF(OR(B140=0,B140="無"),"",B135/B140)</f>
        <v>1.9090909090909092</v>
      </c>
      <c r="C143" s="234">
        <f>IF(OR(C140=0,C140="無"),"",C135/C140)</f>
        <v>0.85</v>
      </c>
      <c r="D143" s="234">
        <f>IF(OR(D140=0,D140="無"),"",D135/D140)</f>
        <v>1.0205882352941178</v>
      </c>
      <c r="E143" s="234">
        <f>IF(OR(E140=0,E140="無"),"",E135/E140)</f>
        <v>1.2090909090909092</v>
      </c>
      <c r="F143" s="234">
        <f>IF(OR(F140=0,F140="無"),"",F135/F140)</f>
        <v>1.5375000000000001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15.94</v>
      </c>
      <c r="C146" s="68">
        <v>16.18</v>
      </c>
      <c r="D146" s="68">
        <v>17.36</v>
      </c>
      <c r="E146" s="68">
        <v>15.28</v>
      </c>
      <c r="F146" s="68">
        <v>18.11</v>
      </c>
      <c r="G146" s="68">
        <v>20.79</v>
      </c>
      <c r="H146" s="68">
        <v>18.649999999999999</v>
      </c>
      <c r="I146" s="68">
        <v>14.84</v>
      </c>
      <c r="J146" s="68">
        <v>19.559999999999999</v>
      </c>
      <c r="K146" s="68">
        <v>19.38</v>
      </c>
      <c r="L146" s="68">
        <v>16.2</v>
      </c>
      <c r="M146" s="68">
        <v>17.53</v>
      </c>
      <c r="N146" s="68">
        <v>19.14</v>
      </c>
      <c r="O146" s="68">
        <v>18.5</v>
      </c>
      <c r="P146" s="68">
        <v>16.25</v>
      </c>
      <c r="Q146" s="68">
        <v>15.1</v>
      </c>
      <c r="R146" s="68">
        <v>19</v>
      </c>
      <c r="S146" s="68">
        <v>17.02</v>
      </c>
      <c r="T146" s="68">
        <v>13.45</v>
      </c>
      <c r="U146" s="68">
        <v>11.67</v>
      </c>
      <c r="V146" s="68">
        <v>15.37</v>
      </c>
      <c r="W146" s="68">
        <v>12.46</v>
      </c>
      <c r="X146" s="68">
        <v>11.37</v>
      </c>
    </row>
    <row r="147" spans="1:24" s="93" customFormat="1" ht="14.25" thickBot="1" x14ac:dyDescent="0.3">
      <c r="A147" s="225" t="s">
        <v>19</v>
      </c>
      <c r="B147" s="274">
        <v>8.0500000000000007</v>
      </c>
      <c r="C147" s="274">
        <v>9.2799999999999994</v>
      </c>
      <c r="D147" s="274">
        <v>10.35</v>
      </c>
      <c r="E147" s="274">
        <v>8.36</v>
      </c>
      <c r="F147" s="274">
        <v>8.58</v>
      </c>
      <c r="G147" s="274">
        <v>13.18</v>
      </c>
      <c r="H147" s="274">
        <v>12.16</v>
      </c>
      <c r="I147" s="274">
        <v>7.79</v>
      </c>
      <c r="J147" s="274">
        <v>9.91</v>
      </c>
      <c r="K147" s="274">
        <v>10.55</v>
      </c>
      <c r="L147" s="274">
        <v>9.6999999999999993</v>
      </c>
      <c r="M147" s="274">
        <v>9.01</v>
      </c>
      <c r="N147" s="274">
        <v>10.14</v>
      </c>
      <c r="O147" s="274">
        <v>12.01</v>
      </c>
      <c r="P147" s="274">
        <v>9.83</v>
      </c>
      <c r="Q147" s="274">
        <v>8.11</v>
      </c>
      <c r="R147" s="274">
        <v>9.5399999999999991</v>
      </c>
      <c r="S147" s="274">
        <v>8.25</v>
      </c>
      <c r="T147" s="274">
        <v>6.06</v>
      </c>
      <c r="U147" s="274">
        <v>3.12</v>
      </c>
      <c r="V147" s="274">
        <v>5.77</v>
      </c>
      <c r="W147" s="274">
        <v>4.37</v>
      </c>
      <c r="X147" s="274">
        <v>4.25</v>
      </c>
    </row>
    <row r="148" spans="1:24" s="93" customFormat="1" ht="14.25" thickBot="1" x14ac:dyDescent="0.3">
      <c r="A148" s="224" t="s">
        <v>41</v>
      </c>
      <c r="B148" s="68">
        <v>13.94</v>
      </c>
      <c r="C148" s="68">
        <v>11.17</v>
      </c>
      <c r="D148" s="68">
        <v>11.69</v>
      </c>
      <c r="E148" s="68">
        <v>13.98</v>
      </c>
      <c r="F148" s="68">
        <v>16.89</v>
      </c>
      <c r="G148" s="68">
        <v>18.03</v>
      </c>
      <c r="H148" s="68">
        <v>14.98</v>
      </c>
      <c r="I148" s="68">
        <v>13.05</v>
      </c>
      <c r="J148" s="68">
        <v>16.82</v>
      </c>
      <c r="K148" s="68">
        <v>13.96</v>
      </c>
      <c r="L148" s="68">
        <v>16.02</v>
      </c>
      <c r="M148" s="68">
        <v>16.079999999999998</v>
      </c>
      <c r="N148" s="68">
        <v>14.37</v>
      </c>
      <c r="O148" s="68">
        <v>12.39</v>
      </c>
      <c r="P148" s="68">
        <v>16.29</v>
      </c>
      <c r="Q148" s="68">
        <v>11.79</v>
      </c>
      <c r="R148" s="68">
        <v>10.45</v>
      </c>
      <c r="S148" s="68">
        <v>12.19</v>
      </c>
      <c r="T148" s="68">
        <v>9.42</v>
      </c>
      <c r="U148" s="68">
        <v>10.54</v>
      </c>
      <c r="V148" s="68">
        <v>8.43</v>
      </c>
      <c r="W148" s="68">
        <v>4.21</v>
      </c>
      <c r="X148" s="68">
        <v>7.3</v>
      </c>
    </row>
    <row r="149" spans="1:24" s="93" customFormat="1" ht="14.25" thickBot="1" x14ac:dyDescent="0.3">
      <c r="A149" s="225" t="s">
        <v>13</v>
      </c>
      <c r="B149" s="73">
        <v>10.85</v>
      </c>
      <c r="C149" s="73">
        <v>6.59</v>
      </c>
      <c r="D149" s="73">
        <v>8.86</v>
      </c>
      <c r="E149" s="73">
        <v>11.55</v>
      </c>
      <c r="F149" s="73">
        <v>12.95</v>
      </c>
      <c r="G149" s="73">
        <v>12.97</v>
      </c>
      <c r="H149" s="73">
        <v>10.82</v>
      </c>
      <c r="I149" s="73">
        <v>9.99</v>
      </c>
      <c r="J149" s="73">
        <v>13.1</v>
      </c>
      <c r="K149" s="73">
        <v>10.56</v>
      </c>
      <c r="L149" s="73">
        <v>12.78</v>
      </c>
      <c r="M149" s="73">
        <v>13.39</v>
      </c>
      <c r="N149" s="73">
        <v>11.52</v>
      </c>
      <c r="O149" s="73">
        <v>8.44</v>
      </c>
      <c r="P149" s="73">
        <v>13.11</v>
      </c>
      <c r="Q149" s="73">
        <v>9.7899999999999991</v>
      </c>
      <c r="R149" s="73">
        <v>8.56</v>
      </c>
      <c r="S149" s="73">
        <v>7.96</v>
      </c>
      <c r="T149" s="73">
        <v>7.79</v>
      </c>
      <c r="U149" s="73">
        <v>9.25</v>
      </c>
      <c r="V149" s="73">
        <v>6.4</v>
      </c>
      <c r="W149" s="73">
        <v>2.88</v>
      </c>
      <c r="X149" s="73">
        <v>6.05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16.25</v>
      </c>
      <c r="C152" s="68">
        <v>17.77</v>
      </c>
      <c r="D152" s="68">
        <v>17.61</v>
      </c>
      <c r="E152" s="68">
        <v>17.07</v>
      </c>
      <c r="F152" s="68">
        <v>15.22</v>
      </c>
    </row>
    <row r="153" spans="1:24" s="93" customFormat="1" ht="14.25" thickBot="1" x14ac:dyDescent="0.3">
      <c r="A153" s="225" t="s">
        <v>19</v>
      </c>
      <c r="B153" s="274">
        <v>9.1199999999999992</v>
      </c>
      <c r="C153" s="274">
        <v>10.51</v>
      </c>
      <c r="D153" s="274">
        <v>9.7799999999999994</v>
      </c>
      <c r="E153" s="274">
        <v>10.050000000000001</v>
      </c>
      <c r="F153" s="274">
        <v>6.72</v>
      </c>
    </row>
    <row r="154" spans="1:24" s="93" customFormat="1" ht="14.25" thickBot="1" x14ac:dyDescent="0.3">
      <c r="A154" s="224" t="s">
        <v>41</v>
      </c>
      <c r="B154" s="68">
        <v>12.64</v>
      </c>
      <c r="C154" s="68">
        <v>15.57</v>
      </c>
      <c r="D154" s="68">
        <v>15.69</v>
      </c>
      <c r="E154" s="68">
        <v>13.87</v>
      </c>
      <c r="F154" s="68">
        <v>10.62</v>
      </c>
    </row>
    <row r="155" spans="1:24" s="93" customFormat="1" ht="14.25" thickBot="1" x14ac:dyDescent="0.3">
      <c r="A155" s="225" t="s">
        <v>13</v>
      </c>
      <c r="B155" s="73">
        <v>9.48</v>
      </c>
      <c r="C155" s="73">
        <v>11.54</v>
      </c>
      <c r="D155" s="73">
        <v>12.45</v>
      </c>
      <c r="E155" s="73">
        <v>10.84</v>
      </c>
      <c r="F155" s="73">
        <v>8.36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3.78</v>
      </c>
      <c r="C158" s="68">
        <v>2.4900000000000002</v>
      </c>
      <c r="D158" s="68">
        <v>4.3099999999999996</v>
      </c>
      <c r="E158" s="68">
        <v>4.71</v>
      </c>
      <c r="F158" s="68">
        <v>4.21</v>
      </c>
      <c r="G158" s="68">
        <v>4.3099999999999996</v>
      </c>
      <c r="H158" s="68">
        <v>4.55</v>
      </c>
      <c r="I158" s="68">
        <v>3.61</v>
      </c>
      <c r="J158" s="68">
        <v>3.92</v>
      </c>
      <c r="K158" s="68">
        <v>3.55</v>
      </c>
      <c r="L158" s="68">
        <v>4.7300000000000004</v>
      </c>
      <c r="M158" s="68">
        <v>4.49</v>
      </c>
      <c r="N158" s="68">
        <v>3.33</v>
      </c>
      <c r="O158" s="68">
        <v>2.62</v>
      </c>
      <c r="P158" s="68">
        <v>4.78</v>
      </c>
      <c r="Q158" s="68">
        <v>2.78</v>
      </c>
      <c r="R158" s="68">
        <v>2.13</v>
      </c>
      <c r="S158" s="68">
        <v>2.02</v>
      </c>
      <c r="T158" s="68">
        <v>2.23</v>
      </c>
      <c r="U158" s="68">
        <v>2.39</v>
      </c>
      <c r="V158" s="68">
        <v>1.48</v>
      </c>
      <c r="W158" s="68">
        <v>0.73</v>
      </c>
      <c r="X158" s="68">
        <v>1.87</v>
      </c>
    </row>
    <row r="159" spans="1:24" s="93" customFormat="1" ht="14.25" thickBot="1" x14ac:dyDescent="0.3">
      <c r="A159" s="225" t="s">
        <v>45</v>
      </c>
      <c r="B159" s="73">
        <v>6.82</v>
      </c>
      <c r="C159" s="73">
        <v>4.68</v>
      </c>
      <c r="D159" s="73">
        <v>8.8000000000000007</v>
      </c>
      <c r="E159" s="73">
        <v>9.1999999999999993</v>
      </c>
      <c r="F159" s="73">
        <v>7.48</v>
      </c>
      <c r="G159" s="73">
        <v>8.11</v>
      </c>
      <c r="H159" s="73">
        <v>8.93</v>
      </c>
      <c r="I159" s="73">
        <v>6.46</v>
      </c>
      <c r="J159" s="73">
        <v>6.73</v>
      </c>
      <c r="K159" s="73">
        <v>6.55</v>
      </c>
      <c r="L159" s="73">
        <v>9.1300000000000008</v>
      </c>
      <c r="M159" s="73">
        <v>7.91</v>
      </c>
      <c r="N159" s="73">
        <v>5.62</v>
      </c>
      <c r="O159" s="73">
        <v>4.92</v>
      </c>
      <c r="P159" s="73">
        <v>9.16</v>
      </c>
      <c r="Q159" s="73">
        <v>4.72</v>
      </c>
      <c r="R159" s="73">
        <v>3.45</v>
      </c>
      <c r="S159" s="73">
        <v>3.42</v>
      </c>
      <c r="T159" s="73">
        <v>3.96</v>
      </c>
      <c r="U159" s="73">
        <v>3.98</v>
      </c>
      <c r="V159" s="73">
        <v>2.38</v>
      </c>
      <c r="W159" s="73">
        <v>1.23</v>
      </c>
      <c r="X159" s="73">
        <v>3.29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9.48</v>
      </c>
      <c r="C162" s="68">
        <v>11.54</v>
      </c>
      <c r="D162" s="68">
        <v>12.45</v>
      </c>
      <c r="E162" s="68">
        <v>10.84</v>
      </c>
      <c r="F162" s="68">
        <v>8.36</v>
      </c>
    </row>
    <row r="163" spans="1:72" s="93" customFormat="1" ht="14.25" thickBot="1" x14ac:dyDescent="0.3">
      <c r="A163" s="225" t="s">
        <v>18</v>
      </c>
      <c r="B163" s="274">
        <v>1.46</v>
      </c>
      <c r="C163" s="274">
        <v>1.35</v>
      </c>
      <c r="D163" s="274">
        <v>1.25</v>
      </c>
      <c r="E163" s="274">
        <v>1.26</v>
      </c>
      <c r="F163" s="274">
        <v>1.06</v>
      </c>
    </row>
    <row r="164" spans="1:72" s="93" customFormat="1" ht="14.25" thickBot="1" x14ac:dyDescent="0.3">
      <c r="A164" s="224" t="s">
        <v>15</v>
      </c>
      <c r="B164" s="68">
        <v>1.91</v>
      </c>
      <c r="C164" s="68">
        <v>1.78</v>
      </c>
      <c r="D164" s="68">
        <v>1.73</v>
      </c>
      <c r="E164" s="68">
        <v>1.67</v>
      </c>
      <c r="F164" s="68">
        <v>1.65</v>
      </c>
    </row>
    <row r="165" spans="1:72" s="93" customFormat="1" ht="14.25" thickBot="1" x14ac:dyDescent="0.3">
      <c r="A165" s="225" t="s">
        <v>45</v>
      </c>
      <c r="B165" s="73">
        <v>28.77</v>
      </c>
      <c r="C165" s="73">
        <v>30.19</v>
      </c>
      <c r="D165" s="73">
        <v>29.29</v>
      </c>
      <c r="E165" s="73">
        <v>23.48</v>
      </c>
      <c r="F165" s="73">
        <v>14.48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28.66</v>
      </c>
      <c r="C168" s="68">
        <v>22.44</v>
      </c>
      <c r="D168" s="68">
        <v>17.510000000000002</v>
      </c>
      <c r="E168" s="68">
        <v>23.08</v>
      </c>
      <c r="F168" s="68">
        <v>27.11</v>
      </c>
      <c r="G168" s="68">
        <v>20.98</v>
      </c>
      <c r="H168" s="68">
        <v>15.18</v>
      </c>
      <c r="I168" s="68">
        <v>20.93</v>
      </c>
      <c r="J168" s="68">
        <v>25.86</v>
      </c>
      <c r="K168" s="68">
        <v>20.45</v>
      </c>
      <c r="L168" s="68">
        <v>16.57</v>
      </c>
      <c r="M168" s="68">
        <v>19.87</v>
      </c>
      <c r="N168" s="68">
        <v>27.61</v>
      </c>
      <c r="O168" s="68">
        <v>26.47</v>
      </c>
      <c r="P168" s="68">
        <v>21.13</v>
      </c>
      <c r="Q168" s="68">
        <v>26.55</v>
      </c>
      <c r="R168" s="68">
        <v>32.369999999999997</v>
      </c>
      <c r="S168" s="68">
        <v>30.41</v>
      </c>
      <c r="T168" s="68">
        <v>23.75</v>
      </c>
      <c r="U168" s="68">
        <v>26.32</v>
      </c>
      <c r="V168" s="68">
        <v>32.369999999999997</v>
      </c>
      <c r="W168" s="68">
        <v>29.41</v>
      </c>
      <c r="X168" s="68">
        <v>21.9</v>
      </c>
    </row>
    <row r="169" spans="1:72" s="93" customFormat="1" ht="14.25" thickBot="1" x14ac:dyDescent="0.3">
      <c r="A169" s="225" t="s">
        <v>17</v>
      </c>
      <c r="B169" s="274">
        <v>66.67</v>
      </c>
      <c r="C169" s="274">
        <v>59.6</v>
      </c>
      <c r="D169" s="274">
        <v>48.13</v>
      </c>
      <c r="E169" s="274">
        <v>52.02</v>
      </c>
      <c r="F169" s="274">
        <v>58.44</v>
      </c>
      <c r="G169" s="274">
        <v>60</v>
      </c>
      <c r="H169" s="274">
        <v>50.28</v>
      </c>
      <c r="I169" s="274">
        <v>52.02</v>
      </c>
      <c r="J169" s="274">
        <v>57.32</v>
      </c>
      <c r="K169" s="274">
        <v>50.85</v>
      </c>
      <c r="L169" s="274">
        <v>47.12</v>
      </c>
      <c r="M169" s="274">
        <v>50.56</v>
      </c>
      <c r="N169" s="274">
        <v>55.56</v>
      </c>
      <c r="O169" s="274">
        <v>54.55</v>
      </c>
      <c r="P169" s="274">
        <v>46.39</v>
      </c>
      <c r="Q169" s="274">
        <v>53.89</v>
      </c>
      <c r="R169" s="274">
        <v>57.69</v>
      </c>
      <c r="S169" s="274">
        <v>55.21</v>
      </c>
      <c r="T169" s="274">
        <v>52.02</v>
      </c>
      <c r="U169" s="274">
        <v>59.6</v>
      </c>
      <c r="V169" s="274">
        <v>70.31</v>
      </c>
      <c r="W169" s="274">
        <v>68.7</v>
      </c>
      <c r="X169" s="274">
        <v>56.6</v>
      </c>
    </row>
    <row r="170" spans="1:72" s="93" customFormat="1" ht="14.25" thickBot="1" x14ac:dyDescent="0.3">
      <c r="A170" s="224" t="s">
        <v>42</v>
      </c>
      <c r="B170" s="72">
        <v>95.33</v>
      </c>
      <c r="C170" s="72">
        <v>82.05</v>
      </c>
      <c r="D170" s="72">
        <v>65.64</v>
      </c>
      <c r="E170" s="72">
        <v>75.099999999999994</v>
      </c>
      <c r="F170" s="72">
        <v>85.55</v>
      </c>
      <c r="G170" s="72">
        <v>80.98</v>
      </c>
      <c r="H170" s="72">
        <v>65.459999999999994</v>
      </c>
      <c r="I170" s="72">
        <v>72.95</v>
      </c>
      <c r="J170" s="72">
        <v>83.19</v>
      </c>
      <c r="K170" s="72">
        <v>71.3</v>
      </c>
      <c r="L170" s="72">
        <v>63.7</v>
      </c>
      <c r="M170" s="72">
        <v>70.430000000000007</v>
      </c>
      <c r="N170" s="72">
        <v>83.16</v>
      </c>
      <c r="O170" s="72">
        <v>81.02</v>
      </c>
      <c r="P170" s="72">
        <v>67.52</v>
      </c>
      <c r="Q170" s="72">
        <v>80.44</v>
      </c>
      <c r="R170" s="72">
        <v>90.07</v>
      </c>
      <c r="S170" s="72">
        <v>85.62</v>
      </c>
      <c r="T170" s="72">
        <v>75.77</v>
      </c>
      <c r="U170" s="72">
        <v>85.92</v>
      </c>
      <c r="V170" s="72">
        <v>102.69</v>
      </c>
      <c r="W170" s="72">
        <v>98.11</v>
      </c>
      <c r="X170" s="72">
        <v>78.5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125.11</v>
      </c>
      <c r="C173" s="72">
        <v>92.81</v>
      </c>
      <c r="D173" s="72">
        <v>95.95</v>
      </c>
      <c r="E173" s="72">
        <v>63.55</v>
      </c>
      <c r="F173" s="72">
        <v>89.43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11.16</v>
      </c>
      <c r="C176" s="72">
        <v>12.32</v>
      </c>
      <c r="D176" s="72">
        <v>15.12</v>
      </c>
      <c r="E176" s="72">
        <v>13.64</v>
      </c>
      <c r="F176" s="72">
        <v>13.84</v>
      </c>
      <c r="G176" s="72">
        <v>13.69</v>
      </c>
      <c r="H176" s="72">
        <v>15.53</v>
      </c>
      <c r="I176" s="72">
        <v>17.18</v>
      </c>
      <c r="J176" s="72">
        <v>15.73</v>
      </c>
      <c r="K176" s="72">
        <v>16.87</v>
      </c>
      <c r="L176" s="72">
        <v>15.44</v>
      </c>
      <c r="M176" s="72">
        <v>17.48</v>
      </c>
      <c r="N176" s="72">
        <v>17.21</v>
      </c>
      <c r="O176" s="72">
        <v>19.23</v>
      </c>
      <c r="P176" s="72">
        <v>22.55</v>
      </c>
      <c r="Q176" s="72">
        <v>22</v>
      </c>
      <c r="R176" s="72">
        <v>21.53</v>
      </c>
      <c r="S176" s="72">
        <v>20.45</v>
      </c>
      <c r="T176" s="72">
        <v>23.04</v>
      </c>
      <c r="U176" s="72">
        <v>19.64</v>
      </c>
      <c r="V176" s="72">
        <v>19.66</v>
      </c>
      <c r="W176" s="72">
        <v>21.8</v>
      </c>
      <c r="X176" s="72">
        <v>20.43</v>
      </c>
      <c r="Y176" s="72">
        <v>20.7</v>
      </c>
      <c r="Z176" s="72">
        <v>19.23</v>
      </c>
      <c r="AA176" s="72">
        <v>17.84</v>
      </c>
      <c r="AB176" s="72">
        <v>19.850000000000001</v>
      </c>
      <c r="AC176" s="72">
        <v>19.64</v>
      </c>
      <c r="AD176" s="72">
        <v>19.579999999999998</v>
      </c>
      <c r="AE176" s="72">
        <v>19.440000000000001</v>
      </c>
      <c r="AF176" s="72">
        <v>20.98</v>
      </c>
      <c r="AG176" s="72">
        <v>21.93</v>
      </c>
      <c r="AH176" s="72">
        <v>20.78</v>
      </c>
      <c r="AI176" s="72">
        <v>20</v>
      </c>
      <c r="AJ176" s="72">
        <v>20.309999999999999</v>
      </c>
      <c r="AK176" s="72">
        <v>20.73</v>
      </c>
      <c r="AL176" s="72">
        <v>21.13</v>
      </c>
      <c r="AM176" s="72">
        <v>22.77</v>
      </c>
      <c r="AN176" s="72">
        <v>21.94</v>
      </c>
      <c r="AO176" s="72">
        <v>21.69</v>
      </c>
      <c r="AP176" s="72">
        <v>20.149999999999999</v>
      </c>
      <c r="AQ176" s="72">
        <v>18.7</v>
      </c>
      <c r="AR176" s="72">
        <v>18.61</v>
      </c>
      <c r="AS176" s="72">
        <v>16.350000000000001</v>
      </c>
      <c r="AT176" s="72">
        <v>16.88</v>
      </c>
      <c r="AU176" s="72">
        <v>17.62</v>
      </c>
      <c r="AV176" s="72">
        <v>17.11</v>
      </c>
      <c r="AW176" s="72">
        <v>15.73</v>
      </c>
      <c r="AX176" s="72">
        <v>13.18</v>
      </c>
      <c r="AY176" s="72">
        <v>13.5</v>
      </c>
      <c r="AZ176" s="72">
        <v>15.1</v>
      </c>
      <c r="BA176" s="72">
        <v>12.89</v>
      </c>
      <c r="BB176" s="72">
        <v>13.78</v>
      </c>
      <c r="BC176" s="72">
        <v>14.83</v>
      </c>
      <c r="BD176" s="72">
        <v>15.5</v>
      </c>
      <c r="BE176" s="72">
        <v>15.46</v>
      </c>
      <c r="BF176" s="72">
        <v>15.51</v>
      </c>
      <c r="BG176" s="72">
        <v>16.25</v>
      </c>
      <c r="BH176" s="72">
        <v>19.809999999999999</v>
      </c>
      <c r="BI176" s="72">
        <v>20.59</v>
      </c>
      <c r="BJ176" s="72">
        <v>23.54</v>
      </c>
      <c r="BK176" s="72">
        <v>23.74</v>
      </c>
      <c r="BL176" s="72">
        <v>24.1</v>
      </c>
      <c r="BM176" s="72">
        <v>24.75</v>
      </c>
      <c r="BN176" s="72">
        <v>26.35</v>
      </c>
      <c r="BO176" s="72">
        <v>27.35</v>
      </c>
      <c r="BP176" s="72">
        <v>26.05</v>
      </c>
      <c r="BQ176" s="72">
        <v>28.21</v>
      </c>
      <c r="BR176" s="72">
        <v>26.33</v>
      </c>
      <c r="BS176" s="72">
        <v>28.09</v>
      </c>
      <c r="BT176" s="72">
        <v>26.83</v>
      </c>
    </row>
  </sheetData>
  <phoneticPr fontId="3" type="noConversion"/>
  <conditionalFormatting sqref="E4">
    <cfRule type="cellIs" dxfId="749" priority="101" operator="greaterThan">
      <formula>0.2</formula>
    </cfRule>
    <cfRule type="cellIs" dxfId="74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74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746" priority="95" operator="greaterThan">
      <formula>$B$19</formula>
    </cfRule>
  </conditionalFormatting>
  <conditionalFormatting sqref="D33:D34">
    <cfRule type="cellIs" dxfId="74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744" priority="89" operator="lessThan">
      <formula>$H$62</formula>
    </cfRule>
    <cfRule type="cellIs" dxfId="743" priority="90" operator="greaterThan">
      <formula>$H$62</formula>
    </cfRule>
  </conditionalFormatting>
  <conditionalFormatting sqref="J62">
    <cfRule type="cellIs" dxfId="742" priority="87" operator="lessThan">
      <formula>$K$62</formula>
    </cfRule>
    <cfRule type="cellIs" dxfId="741" priority="88" operator="greaterThan">
      <formula>$K$62</formula>
    </cfRule>
  </conditionalFormatting>
  <conditionalFormatting sqref="M62">
    <cfRule type="cellIs" dxfId="740" priority="85" operator="lessThan">
      <formula>$N$62</formula>
    </cfRule>
    <cfRule type="cellIs" dxfId="739" priority="86" operator="greaterThan">
      <formula>$N$62</formula>
    </cfRule>
  </conditionalFormatting>
  <conditionalFormatting sqref="B44:E44">
    <cfRule type="cellIs" dxfId="738" priority="83" operator="greaterThan">
      <formula>0</formula>
    </cfRule>
    <cfRule type="cellIs" dxfId="737" priority="84" operator="lessThan">
      <formula>0</formula>
    </cfRule>
  </conditionalFormatting>
  <conditionalFormatting sqref="F72">
    <cfRule type="cellIs" dxfId="736" priority="82" operator="lessThan">
      <formula>$E$72*90%</formula>
    </cfRule>
  </conditionalFormatting>
  <conditionalFormatting sqref="F73">
    <cfRule type="cellIs" dxfId="735" priority="81" operator="lessThan">
      <formula>$E$73*90%</formula>
    </cfRule>
  </conditionalFormatting>
  <conditionalFormatting sqref="F74">
    <cfRule type="cellIs" dxfId="734" priority="80" operator="lessThan">
      <formula>$E$74*90%</formula>
    </cfRule>
  </conditionalFormatting>
  <conditionalFormatting sqref="F75">
    <cfRule type="cellIs" dxfId="733" priority="79" operator="lessThan">
      <formula>$E$75*90%</formula>
    </cfRule>
  </conditionalFormatting>
  <conditionalFormatting sqref="H44:K44">
    <cfRule type="cellIs" dxfId="732" priority="77" operator="greaterThan">
      <formula>0</formula>
    </cfRule>
    <cfRule type="cellIs" dxfId="731" priority="78" operator="lessThan">
      <formula>0</formula>
    </cfRule>
  </conditionalFormatting>
  <conditionalFormatting sqref="H51:K51">
    <cfRule type="cellIs" dxfId="730" priority="75" operator="greaterThan">
      <formula>0</formula>
    </cfRule>
    <cfRule type="cellIs" dxfId="729" priority="76" operator="lessThan">
      <formula>0</formula>
    </cfRule>
  </conditionalFormatting>
  <conditionalFormatting sqref="B51:E51">
    <cfRule type="cellIs" dxfId="728" priority="73" operator="greaterThan">
      <formula>0</formula>
    </cfRule>
    <cfRule type="cellIs" dxfId="72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72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72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724" priority="56" operator="lessThan">
      <formula>0</formula>
    </cfRule>
  </conditionalFormatting>
  <conditionalFormatting sqref="A25 E25 C25">
    <cfRule type="cellIs" dxfId="723" priority="57" operator="lessThan">
      <formula>0</formula>
    </cfRule>
  </conditionalFormatting>
  <conditionalFormatting sqref="F25">
    <cfRule type="cellIs" dxfId="722" priority="55" operator="lessThan">
      <formula>0</formula>
    </cfRule>
  </conditionalFormatting>
  <conditionalFormatting sqref="E1">
    <cfRule type="containsText" dxfId="721" priority="54" operator="containsText" text="本季業外損益/平均=-">
      <formula>NOT(ISERROR(SEARCH("本季業外損益/平均=-",E1)))</formula>
    </cfRule>
  </conditionalFormatting>
  <conditionalFormatting sqref="M65">
    <cfRule type="cellIs" dxfId="720" priority="53" operator="lessThan">
      <formula>$L$65*90%</formula>
    </cfRule>
  </conditionalFormatting>
  <conditionalFormatting sqref="M66">
    <cfRule type="cellIs" dxfId="719" priority="52" operator="lessThan">
      <formula>$L$66*90%</formula>
    </cfRule>
  </conditionalFormatting>
  <conditionalFormatting sqref="M67">
    <cfRule type="cellIs" dxfId="718" priority="51" operator="lessThan">
      <formula>$L$67*90%</formula>
    </cfRule>
  </conditionalFormatting>
  <conditionalFormatting sqref="M68">
    <cfRule type="cellIs" dxfId="717" priority="50" operator="lessThan">
      <formula>$L$68*90%</formula>
    </cfRule>
  </conditionalFormatting>
  <conditionalFormatting sqref="B60">
    <cfRule type="cellIs" dxfId="716" priority="49" operator="lessThan">
      <formula>0</formula>
    </cfRule>
  </conditionalFormatting>
  <conditionalFormatting sqref="B59:F59">
    <cfRule type="cellIs" dxfId="715" priority="48" operator="lessThanOrEqual">
      <formula>0</formula>
    </cfRule>
  </conditionalFormatting>
  <conditionalFormatting sqref="D62">
    <cfRule type="cellIs" dxfId="714" priority="46" operator="lessThan">
      <formula>$E$62</formula>
    </cfRule>
    <cfRule type="cellIs" dxfId="713" priority="47" operator="greaterThan">
      <formula>$E$62</formula>
    </cfRule>
  </conditionalFormatting>
  <conditionalFormatting sqref="F69">
    <cfRule type="cellIs" dxfId="712" priority="44" operator="lessThan">
      <formula>0</formula>
    </cfRule>
  </conditionalFormatting>
  <conditionalFormatting sqref="B65:E67 B69:E69 B68:D68">
    <cfRule type="cellIs" dxfId="711" priority="45" operator="lessThan">
      <formula>0</formula>
    </cfRule>
  </conditionalFormatting>
  <conditionalFormatting sqref="E68">
    <cfRule type="cellIs" dxfId="710" priority="43" operator="lessThan">
      <formula>0</formula>
    </cfRule>
  </conditionalFormatting>
  <conditionalFormatting sqref="F65:F68">
    <cfRule type="cellIs" dxfId="709" priority="42" operator="lessThan">
      <formula>0</formula>
    </cfRule>
  </conditionalFormatting>
  <conditionalFormatting sqref="F65:F68">
    <cfRule type="cellIs" dxfId="708" priority="41" operator="lessThan">
      <formula>$E$65*0.9</formula>
    </cfRule>
  </conditionalFormatting>
  <conditionalFormatting sqref="F66">
    <cfRule type="cellIs" dxfId="707" priority="40" operator="lessThan">
      <formula>$E$66*0.9</formula>
    </cfRule>
  </conditionalFormatting>
  <conditionalFormatting sqref="F67:F68">
    <cfRule type="cellIs" dxfId="706" priority="39" operator="lessThan">
      <formula>$E$67*0.9</formula>
    </cfRule>
  </conditionalFormatting>
  <conditionalFormatting sqref="F68">
    <cfRule type="cellIs" dxfId="705" priority="38" operator="lessThan">
      <formula>$E$68*0.9</formula>
    </cfRule>
  </conditionalFormatting>
  <conditionalFormatting sqref="B13:F13">
    <cfRule type="cellIs" dxfId="704" priority="27" operator="greaterThan">
      <formula>$I$16</formula>
    </cfRule>
    <cfRule type="cellIs" dxfId="703" priority="28" operator="lessThanOrEqual">
      <formula>$I$16</formula>
    </cfRule>
  </conditionalFormatting>
  <conditionalFormatting sqref="B10:F10">
    <cfRule type="cellIs" dxfId="702" priority="29" operator="greaterThan">
      <formula>15</formula>
    </cfRule>
    <cfRule type="cellIs" dxfId="701" priority="36" operator="lessThan">
      <formula>$I$9</formula>
    </cfRule>
    <cfRule type="cellIs" dxfId="700" priority="37" operator="greaterThan">
      <formula>$I$9</formula>
    </cfRule>
  </conditionalFormatting>
  <conditionalFormatting sqref="B16:F16">
    <cfRule type="cellIs" dxfId="699" priority="34" operator="greaterThan">
      <formula>$I$16</formula>
    </cfRule>
    <cfRule type="cellIs" dxfId="698" priority="35" operator="lessThanOrEqual">
      <formula>$I$16</formula>
    </cfRule>
  </conditionalFormatting>
  <conditionalFormatting sqref="B15:F15">
    <cfRule type="cellIs" dxfId="697" priority="32" operator="lessThanOrEqual">
      <formula>$I$16</formula>
    </cfRule>
    <cfRule type="cellIs" dxfId="696" priority="33" operator="greaterThan">
      <formula>$I$16</formula>
    </cfRule>
  </conditionalFormatting>
  <conditionalFormatting sqref="B14:F14">
    <cfRule type="cellIs" dxfId="695" priority="30" operator="greaterThan">
      <formula>$I$16</formula>
    </cfRule>
    <cfRule type="cellIs" dxfId="694" priority="31" operator="lessThanOrEqual">
      <formula>$I$16</formula>
    </cfRule>
  </conditionalFormatting>
  <conditionalFormatting sqref="K6">
    <cfRule type="containsText" dxfId="693" priority="25" operator="containsText" text="衰退">
      <formula>NOT(ISERROR(SEARCH("衰退",K6)))</formula>
    </cfRule>
    <cfRule type="containsText" dxfId="692" priority="26" operator="containsText" text="成長">
      <formula>NOT(ISERROR(SEARCH("成長",K6)))</formula>
    </cfRule>
  </conditionalFormatting>
  <conditionalFormatting sqref="I4:K4">
    <cfRule type="cellIs" dxfId="691" priority="23" operator="lessThan">
      <formula>0</formula>
    </cfRule>
    <cfRule type="cellIs" dxfId="69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89" priority="20" operator="lessThanOrEqual">
      <formula>$I$16</formula>
    </cfRule>
    <cfRule type="cellIs" dxfId="688" priority="21" operator="greaterThan">
      <formula>$I$16</formula>
    </cfRule>
  </conditionalFormatting>
  <conditionalFormatting sqref="I6">
    <cfRule type="containsText" dxfId="687" priority="18" operator="containsText" text="衰退">
      <formula>NOT(ISERROR(SEARCH("衰退",I6)))</formula>
    </cfRule>
    <cfRule type="containsText" dxfId="686" priority="19" operator="containsText" text="成長">
      <formula>NOT(ISERROR(SEARCH("成長",I6)))</formula>
    </cfRule>
  </conditionalFormatting>
  <conditionalFormatting sqref="M9">
    <cfRule type="cellIs" dxfId="685" priority="17" operator="lessThan">
      <formula>$I$9</formula>
    </cfRule>
  </conditionalFormatting>
  <conditionalFormatting sqref="M10">
    <cfRule type="cellIs" dxfId="684" priority="16" operator="greaterThan">
      <formula>$I$9</formula>
    </cfRule>
  </conditionalFormatting>
  <conditionalFormatting sqref="M11">
    <cfRule type="cellIs" dxfId="68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82" priority="12" operator="lessThan">
      <formula>0</formula>
    </cfRule>
    <cfRule type="cellIs" dxfId="681" priority="13" operator="greaterThan">
      <formula>0.5</formula>
    </cfRule>
  </conditionalFormatting>
  <conditionalFormatting sqref="N14">
    <cfRule type="cellIs" dxfId="68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79" priority="8" operator="lessThan">
      <formula>0.1</formula>
    </cfRule>
  </conditionalFormatting>
  <conditionalFormatting sqref="I14">
    <cfRule type="cellIs" dxfId="67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7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76" priority="1" operator="lessThan">
      <formula>$N$5*0.9</formula>
    </cfRule>
    <cfRule type="cellIs" dxfId="675" priority="2" operator="greaterThan">
      <formula>$N$5*1.1</formula>
    </cfRule>
  </conditionalFormatting>
  <hyperlinks>
    <hyperlink ref="L1" location="儀表板!A1" display="(回首頁)" xr:uid="{00000000-0004-0000-5E00-000000000000}"/>
  </hyperlink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201801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-22.94 ~ 22.68</v>
      </c>
      <c r="L1" s="83" t="s">
        <v>176</v>
      </c>
      <c r="M1" s="84" t="str">
        <f ca="1">VLOOKUP(_xlfn.NUMBERVALUE(N1),儀表板!A:B,2,FALSE)</f>
        <v>中保</v>
      </c>
      <c r="N1" s="85" t="str">
        <f ca="1">MID(CELL("filename",L1),FIND("]",CELL("filename",L1))+1,255)</f>
        <v>9917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0.37754366198273753</v>
      </c>
    </row>
    <row r="3" spans="1:15" s="93" customFormat="1" x14ac:dyDescent="0.25">
      <c r="A3" s="81" t="s">
        <v>179</v>
      </c>
      <c r="B3" s="94">
        <f>SUM(F19:F22,F24:F27,J19)</f>
        <v>65.03032163594672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80.542193548328981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83.829630019689347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94.876383456539983</v>
      </c>
      <c r="L3" s="100"/>
      <c r="M3" s="79" t="s">
        <v>385</v>
      </c>
      <c r="N3" s="92">
        <f>(F69-E69)/E69</f>
        <v>2.9057726777315729</v>
      </c>
    </row>
    <row r="4" spans="1:15" s="93" customFormat="1" x14ac:dyDescent="0.25">
      <c r="A4" s="81" t="s">
        <v>182</v>
      </c>
      <c r="B4" s="96">
        <f>SUM(G36:G40)*2</f>
        <v>68</v>
      </c>
      <c r="C4" s="101"/>
      <c r="D4" s="102">
        <f>F4*(1+F141/10)</f>
        <v>45.1</v>
      </c>
      <c r="E4" s="82">
        <f>(D4-F4)/F4</f>
        <v>0</v>
      </c>
      <c r="F4" s="103">
        <v>45.1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5.4680817488242024</v>
      </c>
    </row>
    <row r="5" spans="1:15" s="93" customFormat="1" x14ac:dyDescent="0.25">
      <c r="A5" s="81" t="s">
        <v>184</v>
      </c>
      <c r="B5" s="107">
        <f>SUM(F30:F34)*2</f>
        <v>99.140923701573342</v>
      </c>
      <c r="C5" s="87"/>
      <c r="D5" s="87"/>
      <c r="E5" s="87"/>
      <c r="F5" s="86"/>
      <c r="G5" s="88"/>
      <c r="M5" s="79" t="s">
        <v>386</v>
      </c>
      <c r="N5" s="152">
        <f>D62</f>
        <v>2.3000000000000003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連2月成長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連3季成長</v>
      </c>
      <c r="L6" s="112"/>
      <c r="M6" s="79" t="s">
        <v>190</v>
      </c>
      <c r="N6" s="152">
        <f>A53</f>
        <v>4.4975073478759295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64.5</v>
      </c>
      <c r="N9" s="129"/>
    </row>
    <row r="10" spans="1:15" s="93" customFormat="1" x14ac:dyDescent="0.25">
      <c r="A10" s="123" t="s">
        <v>194</v>
      </c>
      <c r="B10" s="126">
        <f>PERCENTILE(176:176,B9)</f>
        <v>15.89</v>
      </c>
      <c r="C10" s="126">
        <f>PERCENTILE(176:176,C9)</f>
        <v>16.66</v>
      </c>
      <c r="D10" s="126">
        <f>PERCENTILE(176:176,D9)</f>
        <v>17.34</v>
      </c>
      <c r="E10" s="126">
        <f>PERCENTILE(176:176,E9)</f>
        <v>19.625</v>
      </c>
      <c r="F10" s="126">
        <f>PERCENTILE(176:176,F9)</f>
        <v>20.5</v>
      </c>
      <c r="G10" s="95"/>
      <c r="H10" s="135"/>
      <c r="I10" s="135"/>
      <c r="J10" s="135"/>
      <c r="K10" s="135"/>
      <c r="L10" s="136" t="s">
        <v>374</v>
      </c>
      <c r="M10" s="130">
        <f>MIN(176:176)</f>
        <v>13.26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22.13</v>
      </c>
      <c r="L11" s="272" t="s">
        <v>193</v>
      </c>
      <c r="M11" s="128">
        <f>STDEV(176:176)</f>
        <v>10.567767694469133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52.52100840336135</v>
      </c>
      <c r="C13" s="141">
        <f>$B$34/5.88%</f>
        <v>63.775510204081634</v>
      </c>
      <c r="D13" s="141">
        <f>$B$34/5%</f>
        <v>75</v>
      </c>
      <c r="E13" s="141">
        <f>$B$34/4.35%</f>
        <v>86.206896551724142</v>
      </c>
      <c r="F13" s="141">
        <f>$B$34/3.85%</f>
        <v>97.402597402597408</v>
      </c>
      <c r="G13" s="138" t="str">
        <f>"$"&amp;ROUND(B34,2)&amp;"/"&amp;IF(STDEV(C140:F140)/AVERAGE(C140:F140)&lt;15%,"高",IF(STDEV(C140:F140)/AVERAGE(C140:F140)&lt;30%,"中","低"))</f>
        <v>$3.75/高</v>
      </c>
      <c r="H13" s="142" t="s">
        <v>199</v>
      </c>
      <c r="I13" s="143">
        <f>MAX(0,1-J15)</f>
        <v>0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61.255950000000006</v>
      </c>
      <c r="C14" s="141">
        <f>$B$33*C10</f>
        <v>64.224300000000014</v>
      </c>
      <c r="D14" s="141">
        <f>$B$33*D10</f>
        <v>66.845700000000008</v>
      </c>
      <c r="E14" s="141">
        <f>$B$33*E10</f>
        <v>75.654375000000002</v>
      </c>
      <c r="F14" s="141">
        <f>$B$33*F10</f>
        <v>79.027500000000003</v>
      </c>
      <c r="G14" s="138" t="str">
        <f>"$"&amp;ROUND(B33,2)&amp;"/"&amp;IF(STDEV(B69:E69)/AVERAGE(B69:E69)&lt;15%,"高",IF(STDEV(B69:E69)/AVERAGE(B69:E69)&lt;30%,"中","低"))</f>
        <v>$3.86/低</v>
      </c>
      <c r="H14" s="142" t="s">
        <v>203</v>
      </c>
      <c r="I14" s="145">
        <f>G62/100*I13</f>
        <v>0</v>
      </c>
      <c r="J14" s="76" t="s">
        <v>204</v>
      </c>
      <c r="K14" s="146"/>
      <c r="L14" s="147">
        <f>(HLOOKUP($C$1,$105:$106,2,FALSE)-HLOOKUP($C$1,$117:$127,9,FALSE))/(HLOOKUP($C$1,$117:$128,12,FALSE)/K11)</f>
        <v>3.1920691249482194</v>
      </c>
      <c r="M14" s="148">
        <f>E135/E69</f>
        <v>2.0642857142857145</v>
      </c>
      <c r="N14" s="149">
        <f>F173/100</f>
        <v>5.5787000000000004</v>
      </c>
    </row>
    <row r="15" spans="1:15" s="93" customFormat="1" x14ac:dyDescent="0.25">
      <c r="A15" s="140" t="s">
        <v>375</v>
      </c>
      <c r="B15" s="141">
        <f>$D$62*B10</f>
        <v>36.547000000000004</v>
      </c>
      <c r="C15" s="141">
        <f>$D$62*C10</f>
        <v>38.318000000000005</v>
      </c>
      <c r="D15" s="141">
        <f>$D$62*D10</f>
        <v>39.882000000000005</v>
      </c>
      <c r="E15" s="141">
        <f>$D$62*E10</f>
        <v>45.137500000000003</v>
      </c>
      <c r="F15" s="141">
        <f>$D$62*F10</f>
        <v>47.150000000000006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86.887818988816576</v>
      </c>
      <c r="C16" s="141">
        <f>$F$69*C10</f>
        <v>91.09824193541121</v>
      </c>
      <c r="D16" s="141">
        <f>$F$69*D10</f>
        <v>94.816537524611675</v>
      </c>
      <c r="E16" s="141">
        <f>$F$69*E10</f>
        <v>107.31110432067497</v>
      </c>
      <c r="F16" s="141">
        <f>$F$69*F10</f>
        <v>112.09567585089614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516</v>
      </c>
      <c r="J17" s="92">
        <f ca="1">IF(I17&lt;=0,"",IF(I17&lt;=MIN($B$13:$F$16),(I17-MIN($B$13:$F$16))/MIN($B$13:$F$16),IF(I17&gt;=MAX($B$13:$F$16),I17/MAX($B$13:$F$16),PERCENTRANK($B$13:$F$16,I17))))</f>
        <v>4.6032105706410693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2.7925000000000004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10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0.74466666666666681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4</v>
      </c>
      <c r="G20" s="88" t="s">
        <v>213</v>
      </c>
      <c r="H20" s="123" t="s">
        <v>219</v>
      </c>
      <c r="I20" s="237">
        <f>HLOOKUP($C$1,$117:$127,11,FALSE)*(1-N22)/HLOOKUP($C$1,$105:$115,11,FALSE)</f>
        <v>0.47079900764143573</v>
      </c>
      <c r="J20" s="171">
        <f>HLOOKUP($C$1,$117:$127,11,FALSE)/HLOOKUP($C$1,$105:$115,11,FALSE)</f>
        <v>0.50220944791896438</v>
      </c>
      <c r="K20" s="163"/>
    </row>
    <row r="21" spans="1:14" s="93" customFormat="1" x14ac:dyDescent="0.25">
      <c r="A21" s="151" t="s">
        <v>201</v>
      </c>
      <c r="B21" s="161">
        <f>AVERAGE(C173:F173)/100</f>
        <v>2.4833500000000002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1.054762614668358</v>
      </c>
      <c r="J21" s="78"/>
      <c r="K21" s="164" t="s">
        <v>356</v>
      </c>
      <c r="L21" s="165">
        <f>HLOOKUP($C$1,$105:$115,7,FALSE)/HLOOKUP($C$1,$105:$115,11,FALSE)</f>
        <v>0.36039286053416686</v>
      </c>
      <c r="M21" s="123" t="s">
        <v>268</v>
      </c>
      <c r="N21" s="165">
        <f>HLOOKUP($C$1,$117:$127,8,FALSE)/HLOOKUP($C$1,$117:$127,11,FALSE)</f>
        <v>0.68035655290500252</v>
      </c>
    </row>
    <row r="22" spans="1:14" s="93" customFormat="1" x14ac:dyDescent="0.25">
      <c r="A22" s="140" t="s">
        <v>222</v>
      </c>
      <c r="B22" s="161">
        <f>(-1)*SUM(C133:F133)/SUM(C132:F132)</f>
        <v>0.6113430758524705</v>
      </c>
      <c r="C22" s="157"/>
      <c r="D22" s="166"/>
      <c r="E22" s="140"/>
      <c r="F22" s="159">
        <f>IF(B22&lt;=0,10,IF(B22&gt;=100%,0,(1-B22)*10))</f>
        <v>3.886569241475295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1.011045877684021</v>
      </c>
      <c r="J22" s="78"/>
      <c r="K22" s="142" t="s">
        <v>357</v>
      </c>
      <c r="L22" s="165">
        <f>HLOOKUP($C$1,$105:$115,4,FALSE)/HLOOKUP($C$1,$105:$115,11,FALSE)</f>
        <v>6.3935578645593974E-2</v>
      </c>
      <c r="M22" s="123" t="s">
        <v>353</v>
      </c>
      <c r="N22" s="165">
        <f>HLOOKUP($C$1,$117:$127,4,FALSE)/HLOOKUP($C$1,$117:$127,11,FALSE)</f>
        <v>6.2544502911456565E-2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2.0088770182950548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1.4937199779268677E-2</v>
      </c>
      <c r="M23" s="123" t="s">
        <v>354</v>
      </c>
      <c r="N23" s="165">
        <f>IF(HLOOKUP($C$1,$117:$127,5,FALSE)="無",0,HLOOKUP($C$1,$117:$127,5,FALSE))/HLOOKUP($C$1,$117:$127,11,FALSE)</f>
        <v>0.11049972146441804</v>
      </c>
    </row>
    <row r="24" spans="1:14" s="93" customFormat="1" x14ac:dyDescent="0.25">
      <c r="A24" s="164" t="s">
        <v>228</v>
      </c>
      <c r="B24" s="127">
        <f>AVERAGE(C103:F103)</f>
        <v>0.97303664024951653</v>
      </c>
      <c r="C24" s="169">
        <f>STDEV(C103:F103)</f>
        <v>1.1117038734567396E-2</v>
      </c>
      <c r="D24" s="76" t="str">
        <f>IF(C24/B24&lt;15%,"高",IF(C24/B24&lt;30%,"中","低"))</f>
        <v>高</v>
      </c>
      <c r="E24" s="149"/>
      <c r="F24" s="160">
        <f>MIN(100%,B24)*5</f>
        <v>4.8651832012475822</v>
      </c>
      <c r="G24" s="88" t="s">
        <v>229</v>
      </c>
      <c r="H24" s="123" t="s">
        <v>16</v>
      </c>
      <c r="I24" s="170">
        <f>HLOOKUP(C1,167:170,2,FALSE)</f>
        <v>35.29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0.1012995323567927</v>
      </c>
      <c r="M24" s="123" t="s">
        <v>355</v>
      </c>
      <c r="N24" s="165">
        <f>HLOOKUP($C$1,$117:$127,9,FALSE)/HLOOKUP($C$1,$117:$127,11,FALSE)</f>
        <v>0.31964344709499748</v>
      </c>
    </row>
    <row r="25" spans="1:14" s="93" customFormat="1" x14ac:dyDescent="0.25">
      <c r="A25" s="151" t="s">
        <v>366</v>
      </c>
      <c r="B25" s="255">
        <f>AVERAGE(94:94)</f>
        <v>-33118.956521739128</v>
      </c>
      <c r="C25" s="254">
        <f>STDEV(94:94)/AVERAGE(94:94)</f>
        <v>-9.2214308067761568</v>
      </c>
      <c r="D25" s="76" t="str">
        <f>IF(C25&lt;=1,"高",IF(C25&lt;=2,"中","低"))</f>
        <v>高</v>
      </c>
      <c r="E25" s="149"/>
      <c r="F25" s="160">
        <f>MAX(0,10-ABS(C25))</f>
        <v>0.77856919322384321</v>
      </c>
      <c r="G25" s="88" t="s">
        <v>213</v>
      </c>
      <c r="H25" s="123" t="s">
        <v>232</v>
      </c>
      <c r="I25" s="170">
        <f>IF(HLOOKUP(C1,167:170,3,FALSE)="無",0,HLOOKUP(C1,167:170,3,FALSE))</f>
        <v>12.57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35.503043478260871</v>
      </c>
      <c r="C26" s="172">
        <f>IF(COUNTIF(168:168,"&gt;0")=0,0,STDEV(168:168))</f>
        <v>1.3010605281937175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25.334347826086958</v>
      </c>
      <c r="C27" s="172">
        <f>IF(COUNTIF(169:169,"&gt;0")=0,0,STDEV(169:169))</f>
        <v>7.478737026388969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0.37037500000000001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0.13075000000000001</v>
      </c>
      <c r="C31" s="157" t="s">
        <v>217</v>
      </c>
      <c r="D31" s="174">
        <f>COUNTIF(149:149,"&gt;8")/COUNT(149:149)</f>
        <v>0.95652173913043481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15.885000000000002</v>
      </c>
      <c r="C32" s="157" t="s">
        <v>217</v>
      </c>
      <c r="D32" s="174">
        <f>COUNTIF(159:159,"&gt;3")/COUNT(159:159)</f>
        <v>0.95652173913043481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3.8550000000000004</v>
      </c>
      <c r="C33" s="157" t="s">
        <v>217</v>
      </c>
      <c r="D33" s="174">
        <f>COUNTIF(82:82,"&gt;0")/COUNT(82:82)</f>
        <v>0.95652173913043481</v>
      </c>
      <c r="E33" s="140" t="s">
        <v>243</v>
      </c>
      <c r="F33" s="159">
        <f>MIN(B33,2)+D33*8</f>
        <v>9.6521739130434785</v>
      </c>
      <c r="G33" s="135"/>
    </row>
    <row r="34" spans="1:14" x14ac:dyDescent="0.25">
      <c r="A34" s="155" t="s">
        <v>244</v>
      </c>
      <c r="B34" s="156">
        <f>AVERAGE(C140:F140)</f>
        <v>3.75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9.918287937743191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13113333.75</v>
      </c>
      <c r="C36" s="178">
        <f>STDEV(C97:F97)</f>
        <v>373077.75101299817</v>
      </c>
      <c r="D36" s="76" t="str">
        <f>IF(C36/B36&lt;15%,"高",IF(C36/B36&lt;30%,"中","低"))</f>
        <v>高</v>
      </c>
      <c r="E36" s="107">
        <f>IF(F97&gt;E97,1,0)+IF(E97&gt;D97,1,0)+IF(D97&gt;C97,1,0)</f>
        <v>3</v>
      </c>
      <c r="F36" s="179"/>
      <c r="G36" s="160">
        <f>IF(D36="高",6,IF(D36="中",4,2))+E36+1</f>
        <v>10</v>
      </c>
    </row>
    <row r="37" spans="1:14" x14ac:dyDescent="0.25">
      <c r="A37" s="164" t="s">
        <v>248</v>
      </c>
      <c r="B37" s="180">
        <f>AVERAGE(C152:F152)</f>
        <v>37.037500000000001</v>
      </c>
      <c r="C37" s="180">
        <f>STDEV(C152:F152)</f>
        <v>0.87549509802549264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18.747499999999999</v>
      </c>
      <c r="C38" s="180">
        <f>STDEV(C153:F153)</f>
        <v>0.5668259580035715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15.885000000000002</v>
      </c>
      <c r="C39" s="181">
        <f>STDEV(C165:F165)</f>
        <v>6.5179777027336696</v>
      </c>
      <c r="D39" s="76" t="str">
        <f>IF(C39/B39&lt;15%,"高",IF(C39/B39&lt;30%,"中","低"))</f>
        <v>低</v>
      </c>
      <c r="E39" s="107">
        <f>IF(F165&gt;E165,1,0)+IF(E165&gt;D165,1,0)+IF(D165&gt;C165,1,0)</f>
        <v>1</v>
      </c>
      <c r="F39" s="182"/>
      <c r="G39" s="160">
        <f>IF(D39="高",6,IF(D39="中",4,2))+E39+1</f>
        <v>4</v>
      </c>
    </row>
    <row r="40" spans="1:14" x14ac:dyDescent="0.25">
      <c r="A40" s="164" t="s">
        <v>14</v>
      </c>
      <c r="B40" s="183">
        <f>AVERAGE(B69:E69)</f>
        <v>3.8550000000000004</v>
      </c>
      <c r="C40" s="183">
        <f>STDEV(B69:E69)</f>
        <v>1.6398068992008361</v>
      </c>
      <c r="D40" s="76" t="str">
        <f>IF(C40/B40&lt;15%,"高",IF(C40/B40&lt;30%,"中","低"))</f>
        <v>低</v>
      </c>
      <c r="E40" s="107">
        <f>IF(E69&gt;D69,1,0)+IF(D69&gt;C69,1,0)+IF(C69&gt;B69,1,0)</f>
        <v>1</v>
      </c>
      <c r="G40" s="160">
        <f>IF(D40="高",6,IF(D40="中",4,2))+E40+1</f>
        <v>4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0.10679611650485425</v>
      </c>
      <c r="C44" s="186">
        <f>(C46-C49)/C49</f>
        <v>0.1559633027522935</v>
      </c>
      <c r="D44" s="186">
        <f>(D46-D49)/D49</f>
        <v>0.59047619047619038</v>
      </c>
      <c r="E44" s="186">
        <f>(E46-E49)/E49</f>
        <v>-2.5945945945945943</v>
      </c>
      <c r="G44" s="86" t="s">
        <v>175</v>
      </c>
      <c r="H44" s="186">
        <f>(H47-H50)/H50</f>
        <v>-0.11839430894308936</v>
      </c>
      <c r="I44" s="186">
        <f>(I47-I50)/I50</f>
        <v>-8.0495356037151716E-2</v>
      </c>
      <c r="J44" s="186">
        <f>(J47-J50)/J50</f>
        <v>-0.27698863636363635</v>
      </c>
      <c r="K44" s="186">
        <f>(K47-K50)/K50</f>
        <v>1.7593643586832935E-2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1.1399999999999999</v>
      </c>
      <c r="C46" s="152">
        <f>HLOOKUP(C45,$81:$82,2,FALSE)</f>
        <v>1.26</v>
      </c>
      <c r="D46" s="152">
        <f>HLOOKUP(D45,$81:$82,2,FALSE)</f>
        <v>1.67</v>
      </c>
      <c r="E46" s="152">
        <f>HLOOKUP(E45,$81:$82,2,FALSE)</f>
        <v>-1.77</v>
      </c>
      <c r="G46" s="86" t="s">
        <v>164</v>
      </c>
      <c r="H46" s="145">
        <f>HLOOKUP(H45,$145:$147,2,FALSE)/100</f>
        <v>0.35820000000000002</v>
      </c>
      <c r="I46" s="145">
        <f>HLOOKUP(I45,$145:$147,2,FALSE)/100</f>
        <v>0.35229999999999995</v>
      </c>
      <c r="J46" s="145">
        <f>HLOOKUP(J45,$145:$147,2,FALSE)/100</f>
        <v>0.36959999999999998</v>
      </c>
      <c r="K46" s="145">
        <f>HLOOKUP(K45,$145:$147,2,FALSE)/100</f>
        <v>0.34450000000000003</v>
      </c>
    </row>
    <row r="47" spans="1:14" x14ac:dyDescent="0.25">
      <c r="A47" s="188" t="s">
        <v>165</v>
      </c>
      <c r="B47" s="189">
        <f>HLOOKUP(B45,$157:$159,3,FALSE)</f>
        <v>5.21</v>
      </c>
      <c r="C47" s="189">
        <f>HLOOKUP(C45,$157:$159,3,FALSE)</f>
        <v>5.57</v>
      </c>
      <c r="D47" s="189">
        <f>HLOOKUP(D45,$157:$159,3,FALSE)</f>
        <v>7.12</v>
      </c>
      <c r="E47" s="189">
        <f>HLOOKUP(E45,$157:$159,3,FALSE)</f>
        <v>-7.68</v>
      </c>
      <c r="G47" s="190" t="s">
        <v>166</v>
      </c>
      <c r="H47" s="145">
        <f>HLOOKUP(H45,$145:$147,3,FALSE)/100</f>
        <v>0.17350000000000002</v>
      </c>
      <c r="I47" s="145">
        <f>HLOOKUP(I45,$145:$147,3,FALSE)/100</f>
        <v>0.1782</v>
      </c>
      <c r="J47" s="145">
        <f>HLOOKUP(J45,$145:$147,3,FALSE)/100</f>
        <v>0.1527</v>
      </c>
      <c r="K47" s="145">
        <f>HLOOKUP(K45,$145:$147,3,FALSE)/100</f>
        <v>0.17929999999999999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1.03</v>
      </c>
      <c r="C49" s="152">
        <f>HLOOKUP(C48,$81:$82,2,FALSE)</f>
        <v>1.0900000000000001</v>
      </c>
      <c r="D49" s="152">
        <f>HLOOKUP(D48,$81:$82,2,FALSE)</f>
        <v>1.05</v>
      </c>
      <c r="E49" s="152">
        <f>HLOOKUP(E48,$81:$82,2,FALSE)</f>
        <v>1.1100000000000001</v>
      </c>
      <c r="G49" s="86" t="s">
        <v>164</v>
      </c>
      <c r="H49" s="145">
        <f>HLOOKUP(H48,$145:$147,2,FALSE)/100</f>
        <v>0.37420000000000003</v>
      </c>
      <c r="I49" s="145">
        <f>HLOOKUP(I48,$145:$147,2,FALSE)/100</f>
        <v>0.37109999999999999</v>
      </c>
      <c r="J49" s="145">
        <f>HLOOKUP(J48,$145:$147,2,FALSE)/100</f>
        <v>0.38990000000000002</v>
      </c>
      <c r="K49" s="145">
        <f>HLOOKUP(K48,$145:$147,2,FALSE)/100</f>
        <v>0.35780000000000001</v>
      </c>
    </row>
    <row r="50" spans="1:15" x14ac:dyDescent="0.25">
      <c r="A50" s="188" t="s">
        <v>165</v>
      </c>
      <c r="B50" s="189">
        <f>HLOOKUP(B48,$157:$159,3,FALSE)</f>
        <v>4.5</v>
      </c>
      <c r="C50" s="189">
        <f>HLOOKUP(C48,$157:$159,3,FALSE)</f>
        <v>4.4800000000000004</v>
      </c>
      <c r="D50" s="189">
        <f>HLOOKUP(D48,$157:$159,3,FALSE)</f>
        <v>4.22</v>
      </c>
      <c r="E50" s="189">
        <f>HLOOKUP(E48,$157:$159,3,FALSE)</f>
        <v>4.63</v>
      </c>
      <c r="G50" s="190" t="s">
        <v>166</v>
      </c>
      <c r="H50" s="145">
        <f>HLOOKUP(H48,$145:$147,3,FALSE)/100</f>
        <v>0.1968</v>
      </c>
      <c r="I50" s="145">
        <f>HLOOKUP(I48,$145:$147,3,FALSE)/100</f>
        <v>0.1938</v>
      </c>
      <c r="J50" s="145">
        <f>HLOOKUP(J48,$145:$147,3,FALSE)/100</f>
        <v>0.2112</v>
      </c>
      <c r="K50" s="145">
        <f>HLOOKUP(K48,$145:$147,3,FALSE)/100</f>
        <v>0.17620000000000002</v>
      </c>
    </row>
    <row r="51" spans="1:15" x14ac:dyDescent="0.25">
      <c r="A51" s="86" t="s">
        <v>351</v>
      </c>
      <c r="B51" s="186">
        <f>(B47-B50)/B50</f>
        <v>0.15777777777777777</v>
      </c>
      <c r="C51" s="186">
        <f>(C47-C50)/C50</f>
        <v>0.24330357142857137</v>
      </c>
      <c r="D51" s="186">
        <f>(D47-D50)/D50</f>
        <v>0.68720379146919441</v>
      </c>
      <c r="E51" s="186">
        <f>(E47-E50)/E50</f>
        <v>-2.6587473002159827</v>
      </c>
      <c r="G51" s="235" t="s">
        <v>174</v>
      </c>
      <c r="H51" s="186">
        <f>(H46-H49)/H49</f>
        <v>-4.2757883484767535E-2</v>
      </c>
      <c r="I51" s="186">
        <f>(I46-I49)/I49</f>
        <v>-5.0660199407167983E-2</v>
      </c>
      <c r="J51" s="186">
        <f>(J46-J49)/J49</f>
        <v>-5.2064631956912126E-2</v>
      </c>
      <c r="K51" s="186">
        <f>(K46-K49)/K49</f>
        <v>-3.7171604248183283E-2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4.4975073478759295</v>
      </c>
      <c r="B53" s="193">
        <f>B46</f>
        <v>1.1399999999999999</v>
      </c>
      <c r="C53" s="193">
        <f>E46/HLOOKUP(E45,$87:$94,5,FALSE)*HLOOKUP(E45,$87:$94,4,FALSE)*($B$25/HLOOKUP(E45,$87:$94,4,FALSE)+SUM($B$57:$D$57)/SUM($B58:$D$58)*$G$69/100/K46)</f>
        <v>1.3980817488242026</v>
      </c>
      <c r="D53" s="193">
        <f>D46/HLOOKUP(D45,$87:$94,5,FALSE)*HLOOKUP(D45,$87:$94,4,FALSE)*($B$25/HLOOKUP(D45,$87:$94,4,FALSE)+SUM($B$57:$D$57)/SUM($B58:$D$58)*$G$69/100/J46)</f>
        <v>0.8899083015185123</v>
      </c>
      <c r="E53" s="193">
        <f>C46/HLOOKUP(C45,$87:$94,5,FALSE)*HLOOKUP(C45,$87:$94,4,FALSE)*($B$25/HLOOKUP(C45,$87:$94,4,FALSE)+SUM($B$57:$D$57)/SUM($B58:$D$58)*$G$69/100/I46)</f>
        <v>1.0695172975332148</v>
      </c>
    </row>
    <row r="54" spans="1:15" x14ac:dyDescent="0.25">
      <c r="A54" s="278">
        <f>SUM(B54:E54)</f>
        <v>2.19</v>
      </c>
      <c r="B54" s="277">
        <f t="shared" ref="B54:D54" si="0">HLOOKUP(B52-10,81:82,2,FALSE)</f>
        <v>1.03</v>
      </c>
      <c r="C54" s="277">
        <f t="shared" si="0"/>
        <v>-1.77</v>
      </c>
      <c r="D54" s="277">
        <f t="shared" si="0"/>
        <v>1.67</v>
      </c>
      <c r="E54" s="277">
        <f>HLOOKUP(E52-10,81:82,2,FALSE)</f>
        <v>1.26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201801</v>
      </c>
      <c r="C56" s="194">
        <f>IF(B56-ROUNDDOWN(B56/100,0)*100-1=0,(ROUNDDOWN(B56/100,0)-1)*100+12,B56-1)</f>
        <v>201712</v>
      </c>
      <c r="D56" s="194">
        <f>IF(C56-ROUNDDOWN(C56/100,0)*100-1=0,(ROUNDDOWN(C56/100,0)-1)*100+12,C56-1)</f>
        <v>201711</v>
      </c>
      <c r="E56" s="194">
        <f>IF(D56-ROUNDDOWN(D56/100,0)*100-1=0,(ROUNDDOWN(D56/100,0)-1)*100+12,D56-1)</f>
        <v>201710</v>
      </c>
      <c r="F56" s="194">
        <f>IF(E56-ROUNDDOWN(E56/100,0)*100-1=0,(ROUNDDOWN(E56/100,0)-1)*100+12,E56-1)</f>
        <v>201709</v>
      </c>
      <c r="G56" s="194">
        <f t="shared" ref="G56:M56" si="1">IF(F56-ROUNDDOWN(F56/100,0)*100-1=0,(ROUNDDOWN(F56/100,0)-1)*100+12,F56-1)</f>
        <v>201708</v>
      </c>
      <c r="H56" s="194">
        <f t="shared" si="1"/>
        <v>201707</v>
      </c>
      <c r="I56" s="194">
        <f t="shared" si="1"/>
        <v>201706</v>
      </c>
      <c r="J56" s="194">
        <f t="shared" si="1"/>
        <v>201705</v>
      </c>
      <c r="K56" s="194">
        <f t="shared" si="1"/>
        <v>201704</v>
      </c>
      <c r="L56" s="194">
        <f t="shared" si="1"/>
        <v>201703</v>
      </c>
      <c r="M56" s="194">
        <f t="shared" si="1"/>
        <v>201702</v>
      </c>
      <c r="N56" s="138"/>
    </row>
    <row r="57" spans="1:15" x14ac:dyDescent="0.25">
      <c r="A57" s="195" t="s">
        <v>252</v>
      </c>
      <c r="B57" s="196">
        <f>HLOOKUP(B56,78:79,2,FALSE)</f>
        <v>1132211</v>
      </c>
      <c r="C57" s="196">
        <f>HLOOKUP(C56,78:79,2,FALSE)</f>
        <v>1216612</v>
      </c>
      <c r="D57" s="196">
        <f>HLOOKUP(D56,78:79,2,FALSE)</f>
        <v>1081095</v>
      </c>
      <c r="E57" s="196">
        <f>HLOOKUP(E56,78:79,2,FALSE)</f>
        <v>1066720</v>
      </c>
      <c r="F57" s="196">
        <f>HLOOKUP(F56,78:79,2,FALSE)</f>
        <v>1068967</v>
      </c>
      <c r="G57" s="196">
        <f t="shared" ref="G57:M57" si="2">HLOOKUP(G56,78:79,2,FALSE)</f>
        <v>1094749</v>
      </c>
      <c r="H57" s="196">
        <f t="shared" si="2"/>
        <v>1126361</v>
      </c>
      <c r="I57" s="196">
        <f t="shared" si="2"/>
        <v>1069843</v>
      </c>
      <c r="J57" s="196">
        <f t="shared" si="2"/>
        <v>1053112</v>
      </c>
      <c r="K57" s="196">
        <f t="shared" si="2"/>
        <v>1047285</v>
      </c>
      <c r="L57" s="196">
        <f t="shared" si="2"/>
        <v>1096822</v>
      </c>
      <c r="M57" s="196">
        <f t="shared" si="2"/>
        <v>1022900</v>
      </c>
      <c r="N57" s="197"/>
    </row>
    <row r="58" spans="1:15" x14ac:dyDescent="0.25">
      <c r="A58" s="198" t="s">
        <v>253</v>
      </c>
      <c r="B58" s="196">
        <f>HLOOKUP(B56-100,78:79,2,FALSE)</f>
        <v>1108988</v>
      </c>
      <c r="C58" s="196">
        <f>HLOOKUP(C56-100,78:79,2,FALSE)</f>
        <v>1172822</v>
      </c>
      <c r="D58" s="196">
        <f>HLOOKUP(D56-100,78:79,2,FALSE)</f>
        <v>1147913</v>
      </c>
      <c r="E58" s="196">
        <f>HLOOKUP(E56-100,78:79,2,FALSE)</f>
        <v>1125822</v>
      </c>
      <c r="F58" s="196">
        <f>HLOOKUP(F56-100,78:79,2,FALSE)</f>
        <v>1115436</v>
      </c>
      <c r="G58" s="196">
        <f t="shared" ref="G58:M58" si="3">HLOOKUP(G56-100,78:79,2,FALSE)</f>
        <v>1151393</v>
      </c>
      <c r="H58" s="196">
        <f t="shared" si="3"/>
        <v>1162222</v>
      </c>
      <c r="I58" s="196">
        <f t="shared" si="3"/>
        <v>1155484</v>
      </c>
      <c r="J58" s="196">
        <f t="shared" si="3"/>
        <v>1132529</v>
      </c>
      <c r="K58" s="196">
        <f t="shared" si="3"/>
        <v>1107014</v>
      </c>
      <c r="L58" s="196">
        <f t="shared" si="3"/>
        <v>1093949</v>
      </c>
      <c r="M58" s="196">
        <f t="shared" si="3"/>
        <v>1002545</v>
      </c>
      <c r="N58" s="197"/>
    </row>
    <row r="59" spans="1:15" x14ac:dyDescent="0.25">
      <c r="A59" s="199" t="s">
        <v>254</v>
      </c>
      <c r="B59" s="165">
        <f>IF(B57&lt;&gt;"",(B57-B58)/B58,"")</f>
        <v>2.0940713515385199E-2</v>
      </c>
      <c r="C59" s="165">
        <f>IF(C57&lt;&gt;"",(C57-C58)/C58,"")</f>
        <v>3.7337294150348477E-2</v>
      </c>
      <c r="D59" s="165">
        <f>IF(D57&lt;&gt;"",(D57-D58)/D58,"")</f>
        <v>-5.8208244004554349E-2</v>
      </c>
      <c r="E59" s="165">
        <f>IF(E57&lt;&gt;"",(E57-E58)/E58,"")</f>
        <v>-5.2496753483232697E-2</v>
      </c>
      <c r="F59" s="165">
        <f>IF(F57&lt;&gt;"",(F57-F58)/F58,"")</f>
        <v>-4.1659942838495438E-2</v>
      </c>
      <c r="G59" s="165">
        <f t="shared" ref="G59:M59" si="4">IF(G57&lt;&gt;"",(G57-G58)/G58,"")</f>
        <v>-4.9196060771604481E-2</v>
      </c>
      <c r="H59" s="165">
        <f t="shared" si="4"/>
        <v>-3.0855550832801306E-2</v>
      </c>
      <c r="I59" s="165">
        <f t="shared" si="4"/>
        <v>-7.4116993398437359E-2</v>
      </c>
      <c r="J59" s="165">
        <f t="shared" si="4"/>
        <v>-7.0123590654190757E-2</v>
      </c>
      <c r="K59" s="165">
        <f t="shared" si="4"/>
        <v>-5.3955053865624103E-2</v>
      </c>
      <c r="L59" s="165">
        <f t="shared" si="4"/>
        <v>2.626265026980234E-3</v>
      </c>
      <c r="M59" s="165">
        <f t="shared" si="4"/>
        <v>2.0303328030163235E-2</v>
      </c>
    </row>
    <row r="60" spans="1:15" x14ac:dyDescent="0.25">
      <c r="A60" s="195" t="s">
        <v>255</v>
      </c>
      <c r="B60" s="196">
        <f>SUM(B57:M57)</f>
        <v>13076677</v>
      </c>
    </row>
    <row r="61" spans="1:15" x14ac:dyDescent="0.25">
      <c r="A61" s="198" t="s">
        <v>256</v>
      </c>
      <c r="B61" s="196">
        <f>SUM(B58:M58)</f>
        <v>13476117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0.97035941436246065</v>
      </c>
      <c r="D62" s="152">
        <f>SUM(B46:E46)</f>
        <v>2.3000000000000003</v>
      </c>
      <c r="E62" s="152">
        <f>SUM(B49:E49)</f>
        <v>4.28</v>
      </c>
      <c r="G62" s="126">
        <f>SUM(B47:E47)</f>
        <v>10.220000000000002</v>
      </c>
      <c r="H62" s="126">
        <f>SUM(B50:E50)</f>
        <v>17.829999999999998</v>
      </c>
      <c r="J62" s="200">
        <f>AVERAGE(H46:K46)</f>
        <v>0.35614999999999997</v>
      </c>
      <c r="K62" s="200">
        <f>AVERAGE(H49:K49)</f>
        <v>0.37325000000000008</v>
      </c>
      <c r="M62" s="200">
        <f>AVERAGE(H47:K47)</f>
        <v>0.17092499999999999</v>
      </c>
      <c r="N62" s="200">
        <f>AVERAGE(H50:K50)</f>
        <v>0.19450000000000001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2" x14ac:dyDescent="0.25">
      <c r="A65" s="204">
        <v>1</v>
      </c>
      <c r="B65" s="205">
        <f t="shared" ref="B65:E67" si="5">HLOOKUP(B$64*10+$A65,$81:$82,2,FALSE)</f>
        <v>1.08</v>
      </c>
      <c r="C65" s="205">
        <f t="shared" si="5"/>
        <v>1.1599999999999999</v>
      </c>
      <c r="D65" s="205">
        <f t="shared" si="5"/>
        <v>1.2</v>
      </c>
      <c r="E65" s="205">
        <f t="shared" si="5"/>
        <v>1.05</v>
      </c>
      <c r="F65" s="206">
        <f>IF(ISNA(HLOOKUP(F$64*10+$A65,$81:$82,2,FALSE)),(HLOOKUP(E$64*10+$A65,$87:$94,4,FALSE)*$G65+$B$25)/HLOOKUP(E$64*10+$A65,$87:$94,5,FALSE)*$E65,HLOOKUP(F$64*10+$A65,$81:$82,2,FALSE))</f>
        <v>1.67</v>
      </c>
      <c r="G65" s="101">
        <f>MIN(130%,SUM($B$57:$D$57)/SUM($B$58:$D$58)*$G$69/HLOOKUP(E$64*10+$A65,$145:$146,2,FALSE))</f>
        <v>0.91211651008242056</v>
      </c>
      <c r="H65" s="204">
        <v>1</v>
      </c>
      <c r="I65" s="208">
        <f t="shared" ref="I65:M68" si="6">IF(ISNA(HLOOKUP(I$64*10+$H65,$145:$147,3,FALSE)),"",HLOOKUP(I$64*10+$H65,$145:$147,3,FALSE)/100)</f>
        <v>0.1893</v>
      </c>
      <c r="J65" s="208">
        <f t="shared" si="6"/>
        <v>0.19289999999999999</v>
      </c>
      <c r="K65" s="208">
        <f t="shared" si="6"/>
        <v>0.18590000000000001</v>
      </c>
      <c r="L65" s="208">
        <f t="shared" si="6"/>
        <v>0.2112</v>
      </c>
      <c r="M65" s="209">
        <f t="shared" si="6"/>
        <v>0.1527</v>
      </c>
      <c r="N65" s="256">
        <f t="shared" ref="N65:O68" si="7">HLOOKUP(E$64*10+$A65,$87:$94,8,FALSE)</f>
        <v>-79876</v>
      </c>
      <c r="O65" s="256">
        <f t="shared" si="7"/>
        <v>335109</v>
      </c>
      <c r="P65" s="210"/>
    </row>
    <row r="66" spans="1:72" x14ac:dyDescent="0.25">
      <c r="A66" s="204">
        <v>2</v>
      </c>
      <c r="B66" s="205">
        <f t="shared" si="5"/>
        <v>1.0900000000000001</v>
      </c>
      <c r="C66" s="205">
        <f t="shared" si="5"/>
        <v>1.22</v>
      </c>
      <c r="D66" s="205">
        <f t="shared" si="5"/>
        <v>1.18</v>
      </c>
      <c r="E66" s="205">
        <f t="shared" si="5"/>
        <v>1.0900000000000001</v>
      </c>
      <c r="F66" s="206">
        <f>IF(ISNA(HLOOKUP(F$64*10+$A66,$81:$82,2,FALSE)),(HLOOKUP(E$64*10+$A66,$87:$94,4,FALSE)*$G66+$B$25)/HLOOKUP(E$64*10+$A66,$87:$94,5,FALSE)*$E66,HLOOKUP(F$64*10+$A66,$81:$82,2,FALSE))</f>
        <v>1.26</v>
      </c>
      <c r="G66" s="101">
        <f>MIN(130%,SUM($B$57:$D$57)/SUM($B$58:$D$58)*$G$69/HLOOKUP(E$64*10+$A66,$145:$146,2,FALSE))</f>
        <v>0.95832451436576604</v>
      </c>
      <c r="H66" s="204">
        <v>2</v>
      </c>
      <c r="I66" s="208">
        <f t="shared" si="6"/>
        <v>0.18969999999999998</v>
      </c>
      <c r="J66" s="208">
        <f t="shared" si="6"/>
        <v>0.18989999999999999</v>
      </c>
      <c r="K66" s="208">
        <f t="shared" si="6"/>
        <v>0.1668</v>
      </c>
      <c r="L66" s="208">
        <f t="shared" si="6"/>
        <v>0.1938</v>
      </c>
      <c r="M66" s="209">
        <f t="shared" si="6"/>
        <v>0.1782</v>
      </c>
      <c r="N66" s="256">
        <f t="shared" si="7"/>
        <v>-47011</v>
      </c>
      <c r="O66" s="256">
        <f t="shared" si="7"/>
        <v>67869</v>
      </c>
      <c r="P66" s="210"/>
    </row>
    <row r="67" spans="1:72" x14ac:dyDescent="0.25">
      <c r="A67" s="204">
        <v>3</v>
      </c>
      <c r="B67" s="205">
        <f t="shared" si="5"/>
        <v>1.2</v>
      </c>
      <c r="C67" s="205">
        <f t="shared" si="5"/>
        <v>1.31</v>
      </c>
      <c r="D67" s="205">
        <f t="shared" si="5"/>
        <v>1.25</v>
      </c>
      <c r="E67" s="205">
        <f t="shared" si="5"/>
        <v>1.03</v>
      </c>
      <c r="F67" s="206">
        <f>IF(ISNA(HLOOKUP(F$64*10+$A67,$81:$82,2,FALSE)),(HLOOKUP(E$64*10+$A67,$87:$94,4,FALSE)*$G67+$B$25)/HLOOKUP(E$64*10+$A67,$87:$94,5,FALSE)*$E67,HLOOKUP(F$64*10+$A67,$81:$82,2,FALSE))</f>
        <v>1.1399999999999999</v>
      </c>
      <c r="G67" s="101">
        <f>MIN(130%,SUM($B$57:$D$57)/SUM($B$58:$D$58)*$G$69/HLOOKUP(E$64*10+$A67,$145:$146,2,FALSE))</f>
        <v>0.95038542833013306</v>
      </c>
      <c r="H67" s="204">
        <v>3</v>
      </c>
      <c r="I67" s="208">
        <f t="shared" si="6"/>
        <v>0.19489999999999999</v>
      </c>
      <c r="J67" s="208">
        <f t="shared" si="6"/>
        <v>0.18530000000000002</v>
      </c>
      <c r="K67" s="208">
        <f t="shared" si="6"/>
        <v>0.1971</v>
      </c>
      <c r="L67" s="208">
        <f t="shared" si="6"/>
        <v>0.1968</v>
      </c>
      <c r="M67" s="209">
        <f t="shared" si="6"/>
        <v>0.17350000000000002</v>
      </c>
      <c r="N67" s="256">
        <f t="shared" si="7"/>
        <v>-84705</v>
      </c>
      <c r="O67" s="256">
        <f t="shared" si="7"/>
        <v>49877</v>
      </c>
      <c r="P67" s="210"/>
    </row>
    <row r="68" spans="1:72" x14ac:dyDescent="0.25">
      <c r="A68" s="204">
        <v>4</v>
      </c>
      <c r="B68" s="205">
        <f>HLOOKUP(B$64*10+$A68,$81:$82,2,FALSE)</f>
        <v>1.1599999999999999</v>
      </c>
      <c r="C68" s="205">
        <f>HLOOKUP(C$64*10+$A68,$81:$82,2,FALSE)</f>
        <v>1.06</v>
      </c>
      <c r="D68" s="205">
        <f>HLOOKUP(D$64*10+$A68,$81:$82,2,FALSE)</f>
        <v>1.1100000000000001</v>
      </c>
      <c r="E68" s="206">
        <f>IF(ISNA(HLOOKUP(E$64*10+$A68,$81:$82,2,FALSE)),D68*(1-$N68)*#REF!*(1+$B$25)/(1+$E$4),HLOOKUP(E$64*10+$A68,$81:$82,2,FALSE))</f>
        <v>-1.77</v>
      </c>
      <c r="F68" s="206">
        <f>IF(ISNA(HLOOKUP(F$64*10+$A68,$81:$82,2,FALSE)),(HLOOKUP(E$64*10+$A68,$87:$94,4,FALSE)*$G68+$B$25)/HLOOKUP(E$64*10+$A68,$87:$94,5,FALSE)*$E68,HLOOKUP(F$64*10+$A68,$81:$82,2,FALSE))</f>
        <v>1.3980817488242026</v>
      </c>
      <c r="G68" s="101">
        <f>MIN(130%,SUM($B$57:$D$57)/SUM($B$58:$D$58)*$G$69/HLOOKUP(E$64*10+$A68,$145:$146,2,FALSE))</f>
        <v>1.03231996308022</v>
      </c>
      <c r="H68" s="204">
        <v>4</v>
      </c>
      <c r="I68" s="208">
        <f t="shared" si="6"/>
        <v>0.17730000000000001</v>
      </c>
      <c r="J68" s="208">
        <f t="shared" si="6"/>
        <v>0.1759</v>
      </c>
      <c r="K68" s="208">
        <f t="shared" si="6"/>
        <v>0.17620000000000002</v>
      </c>
      <c r="L68" s="208">
        <f t="shared" si="6"/>
        <v>0.17929999999999999</v>
      </c>
      <c r="M68" s="209" t="str">
        <f t="shared" si="6"/>
        <v/>
      </c>
      <c r="N68" s="256">
        <f t="shared" si="7"/>
        <v>-1383830</v>
      </c>
      <c r="O68" s="256" t="e">
        <f t="shared" si="7"/>
        <v>#N/A</v>
      </c>
    </row>
    <row r="69" spans="1:72" x14ac:dyDescent="0.25">
      <c r="A69" s="212" t="s">
        <v>162</v>
      </c>
      <c r="B69" s="213">
        <f>SUM(B65:B68)</f>
        <v>4.53</v>
      </c>
      <c r="C69" s="213">
        <f>SUM(C65:C68)</f>
        <v>4.75</v>
      </c>
      <c r="D69" s="213">
        <f>SUM(D65:D68)</f>
        <v>4.74</v>
      </c>
      <c r="E69" s="213">
        <f>SUM(E65:E68)</f>
        <v>1.4</v>
      </c>
      <c r="F69" s="213">
        <f>SUM(F65:F68)</f>
        <v>5.4680817488242024</v>
      </c>
      <c r="G69" s="257">
        <f>_xlfn.FORECAST.ETS(23,B146:W146,{1,2,3,4,5,6,7,8,9,10,11,12,13,14,15,16,17,18,19,20,21,22})</f>
        <v>35.561400852537545</v>
      </c>
      <c r="H69" s="214" t="s">
        <v>19</v>
      </c>
      <c r="I69" s="215">
        <f>HLOOKUP(I64,151:155,3,FALSE)/100</f>
        <v>0.18770000000000001</v>
      </c>
      <c r="J69" s="215">
        <f>HLOOKUP(J64,151:155,3,FALSE)/100</f>
        <v>0.18579999999999999</v>
      </c>
      <c r="K69" s="215">
        <f>HLOOKUP(K64,151:155,3,FALSE)/100</f>
        <v>0.18140000000000001</v>
      </c>
      <c r="L69" s="215">
        <f>IF(ISNA(HLOOKUP(L64,151:155,3,FALSE)/100),AVERAGE(L65:L68),HLOOKUP(L64,151:155,3,FALSE)/100)</f>
        <v>0.19500000000000001</v>
      </c>
      <c r="M69" s="215"/>
      <c r="N69" s="216"/>
    </row>
    <row r="70" spans="1:72" s="135" customFormat="1" x14ac:dyDescent="0.25">
      <c r="A70" s="217"/>
      <c r="B70" s="218"/>
      <c r="C70" s="218"/>
      <c r="D70" s="218"/>
      <c r="E70" s="218"/>
      <c r="F70" s="218"/>
    </row>
    <row r="71" spans="1:72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2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4.58</v>
      </c>
      <c r="C72" s="205">
        <f t="shared" si="8"/>
        <v>4.68</v>
      </c>
      <c r="D72" s="205">
        <f t="shared" si="8"/>
        <v>4.66</v>
      </c>
      <c r="E72" s="205">
        <f t="shared" si="8"/>
        <v>4.22</v>
      </c>
      <c r="F72" s="205">
        <f t="shared" si="8"/>
        <v>7.12</v>
      </c>
    </row>
    <row r="73" spans="1:72" s="135" customFormat="1" x14ac:dyDescent="0.25">
      <c r="A73" s="204">
        <v>2</v>
      </c>
      <c r="B73" s="205">
        <f t="shared" si="8"/>
        <v>4.82</v>
      </c>
      <c r="C73" s="205">
        <f t="shared" si="8"/>
        <v>5.0199999999999996</v>
      </c>
      <c r="D73" s="205">
        <f t="shared" si="8"/>
        <v>4.79</v>
      </c>
      <c r="E73" s="205">
        <f t="shared" si="8"/>
        <v>4.4800000000000004</v>
      </c>
      <c r="F73" s="205">
        <f t="shared" si="8"/>
        <v>5.57</v>
      </c>
    </row>
    <row r="74" spans="1:72" s="135" customFormat="1" x14ac:dyDescent="0.25">
      <c r="A74" s="204">
        <v>3</v>
      </c>
      <c r="B74" s="205">
        <f t="shared" si="8"/>
        <v>5.48</v>
      </c>
      <c r="C74" s="205">
        <f t="shared" si="8"/>
        <v>5.61</v>
      </c>
      <c r="D74" s="205">
        <f t="shared" si="8"/>
        <v>5.3</v>
      </c>
      <c r="E74" s="205">
        <f t="shared" si="8"/>
        <v>4.5</v>
      </c>
      <c r="F74" s="205">
        <f t="shared" si="8"/>
        <v>5.21</v>
      </c>
    </row>
    <row r="75" spans="1:72" s="135" customFormat="1" x14ac:dyDescent="0.25">
      <c r="A75" s="204">
        <v>4</v>
      </c>
      <c r="B75" s="205">
        <f t="shared" si="8"/>
        <v>5.09</v>
      </c>
      <c r="C75" s="205">
        <f t="shared" si="8"/>
        <v>4.43</v>
      </c>
      <c r="D75" s="205">
        <f t="shared" si="8"/>
        <v>4.63</v>
      </c>
      <c r="E75" s="205">
        <f t="shared" si="8"/>
        <v>-7.68</v>
      </c>
      <c r="F75" s="205" t="str">
        <f t="shared" si="8"/>
        <v/>
      </c>
    </row>
    <row r="76" spans="1:72" s="135" customFormat="1" x14ac:dyDescent="0.25">
      <c r="A76" s="212" t="s">
        <v>165</v>
      </c>
      <c r="B76" s="213">
        <f>SUM(B72:B75)</f>
        <v>19.97</v>
      </c>
      <c r="C76" s="213">
        <f>SUM(C72:C75)</f>
        <v>19.739999999999998</v>
      </c>
      <c r="D76" s="213">
        <f>SUM(D72:D75)</f>
        <v>19.38</v>
      </c>
      <c r="E76" s="213">
        <f>AVERAGE(E72:E75)*4</f>
        <v>5.52</v>
      </c>
      <c r="F76" s="213"/>
    </row>
    <row r="77" spans="1:72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2" s="135" customFormat="1" ht="14.25" thickBot="1" x14ac:dyDescent="0.3">
      <c r="A78" s="217"/>
      <c r="B78" s="69">
        <v>201301</v>
      </c>
      <c r="C78" s="70">
        <v>201302</v>
      </c>
      <c r="D78" s="70">
        <v>201303</v>
      </c>
      <c r="E78" s="70">
        <v>201304</v>
      </c>
      <c r="F78" s="70">
        <v>201305</v>
      </c>
      <c r="G78" s="70">
        <v>201306</v>
      </c>
      <c r="H78" s="70">
        <v>201307</v>
      </c>
      <c r="I78" s="70">
        <v>201308</v>
      </c>
      <c r="J78" s="70">
        <v>201309</v>
      </c>
      <c r="K78" s="70">
        <v>201310</v>
      </c>
      <c r="L78" s="70">
        <v>201311</v>
      </c>
      <c r="M78" s="70">
        <v>201312</v>
      </c>
      <c r="N78" s="70">
        <v>201401</v>
      </c>
      <c r="O78" s="70">
        <v>201402</v>
      </c>
      <c r="P78" s="70">
        <v>201403</v>
      </c>
      <c r="Q78" s="70">
        <v>201404</v>
      </c>
      <c r="R78" s="70">
        <v>201405</v>
      </c>
      <c r="S78" s="70">
        <v>201406</v>
      </c>
      <c r="T78" s="70">
        <v>201407</v>
      </c>
      <c r="U78" s="70">
        <v>201408</v>
      </c>
      <c r="V78" s="70">
        <v>201409</v>
      </c>
      <c r="W78" s="70">
        <v>201410</v>
      </c>
      <c r="X78" s="70">
        <v>201411</v>
      </c>
      <c r="Y78" s="70">
        <v>201412</v>
      </c>
      <c r="Z78" s="70">
        <v>201501</v>
      </c>
      <c r="AA78" s="70">
        <v>201502</v>
      </c>
      <c r="AB78" s="70">
        <v>201503</v>
      </c>
      <c r="AC78" s="70">
        <v>201504</v>
      </c>
      <c r="AD78" s="70">
        <v>201505</v>
      </c>
      <c r="AE78" s="70">
        <v>201506</v>
      </c>
      <c r="AF78" s="70">
        <v>201507</v>
      </c>
      <c r="AG78" s="70">
        <v>201508</v>
      </c>
      <c r="AH78" s="70">
        <v>201509</v>
      </c>
      <c r="AI78" s="70">
        <v>201510</v>
      </c>
      <c r="AJ78" s="70">
        <v>201511</v>
      </c>
      <c r="AK78" s="70">
        <v>201512</v>
      </c>
      <c r="AL78" s="70">
        <v>201601</v>
      </c>
      <c r="AM78" s="70">
        <v>201602</v>
      </c>
      <c r="AN78" s="70">
        <v>201603</v>
      </c>
      <c r="AO78" s="70">
        <v>201604</v>
      </c>
      <c r="AP78" s="70">
        <v>201605</v>
      </c>
      <c r="AQ78" s="70">
        <v>201606</v>
      </c>
      <c r="AR78" s="70">
        <v>201607</v>
      </c>
      <c r="AS78" s="70">
        <v>201608</v>
      </c>
      <c r="AT78" s="70">
        <v>201609</v>
      </c>
      <c r="AU78" s="70">
        <v>201610</v>
      </c>
      <c r="AV78" s="70">
        <v>201611</v>
      </c>
      <c r="AW78" s="70">
        <v>201612</v>
      </c>
      <c r="AX78" s="70">
        <v>201701</v>
      </c>
      <c r="AY78" s="70">
        <v>201702</v>
      </c>
      <c r="AZ78" s="70">
        <v>201703</v>
      </c>
      <c r="BA78" s="70">
        <v>201704</v>
      </c>
      <c r="BB78" s="70">
        <v>201705</v>
      </c>
      <c r="BC78" s="70">
        <v>201706</v>
      </c>
      <c r="BD78" s="70">
        <v>201707</v>
      </c>
      <c r="BE78" s="70">
        <v>201708</v>
      </c>
      <c r="BF78" s="70">
        <v>201709</v>
      </c>
      <c r="BG78" s="70">
        <v>201710</v>
      </c>
      <c r="BH78" s="70">
        <v>201711</v>
      </c>
      <c r="BI78" s="70">
        <v>201712</v>
      </c>
      <c r="BJ78" s="71">
        <v>201801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0">
        <v>201710</v>
      </c>
      <c r="BT78" s="71">
        <v>201711</v>
      </c>
    </row>
    <row r="79" spans="1:72" ht="14.25" thickBot="1" x14ac:dyDescent="0.3">
      <c r="A79" s="222" t="s">
        <v>9</v>
      </c>
      <c r="B79" s="270">
        <v>995888</v>
      </c>
      <c r="C79" s="270">
        <v>975416</v>
      </c>
      <c r="D79" s="270">
        <v>1081821</v>
      </c>
      <c r="E79" s="270">
        <v>1053358</v>
      </c>
      <c r="F79" s="270">
        <v>1038987</v>
      </c>
      <c r="G79" s="270">
        <v>1038249</v>
      </c>
      <c r="H79" s="270">
        <v>1020824</v>
      </c>
      <c r="I79" s="270">
        <v>1050039</v>
      </c>
      <c r="J79" s="270">
        <v>1076036</v>
      </c>
      <c r="K79" s="270">
        <v>1047953</v>
      </c>
      <c r="L79" s="270">
        <v>1101927</v>
      </c>
      <c r="M79" s="270">
        <v>1132249</v>
      </c>
      <c r="N79" s="270">
        <v>1089223</v>
      </c>
      <c r="O79" s="270">
        <v>992964</v>
      </c>
      <c r="P79" s="270">
        <v>1061492</v>
      </c>
      <c r="Q79" s="270">
        <v>1046091</v>
      </c>
      <c r="R79" s="270">
        <v>1088049</v>
      </c>
      <c r="S79" s="270">
        <v>1052164</v>
      </c>
      <c r="T79" s="270">
        <v>1090855</v>
      </c>
      <c r="U79" s="270">
        <v>1136556</v>
      </c>
      <c r="V79" s="270">
        <v>1059765</v>
      </c>
      <c r="W79" s="270">
        <v>1080763</v>
      </c>
      <c r="X79" s="270">
        <v>1158887</v>
      </c>
      <c r="Y79" s="270">
        <v>1215107</v>
      </c>
      <c r="Z79" s="270">
        <v>1198271</v>
      </c>
      <c r="AA79" s="270">
        <v>1046953</v>
      </c>
      <c r="AB79" s="270">
        <v>1045346</v>
      </c>
      <c r="AC79" s="270">
        <v>1090176</v>
      </c>
      <c r="AD79" s="270">
        <v>1094167</v>
      </c>
      <c r="AE79" s="270">
        <v>1119774</v>
      </c>
      <c r="AF79" s="270">
        <v>1095308</v>
      </c>
      <c r="AG79" s="270">
        <v>1108347</v>
      </c>
      <c r="AH79" s="270">
        <v>1094607</v>
      </c>
      <c r="AI79" s="270">
        <v>1096402</v>
      </c>
      <c r="AJ79" s="270">
        <v>1112229</v>
      </c>
      <c r="AK79" s="270">
        <v>1186907</v>
      </c>
      <c r="AL79" s="270">
        <v>1113056</v>
      </c>
      <c r="AM79" s="270">
        <v>1002545</v>
      </c>
      <c r="AN79" s="270">
        <v>1093949</v>
      </c>
      <c r="AO79" s="270">
        <v>1107014</v>
      </c>
      <c r="AP79" s="270">
        <v>1132529</v>
      </c>
      <c r="AQ79" s="270">
        <v>1155484</v>
      </c>
      <c r="AR79" s="270">
        <v>1162222</v>
      </c>
      <c r="AS79" s="270">
        <v>1151393</v>
      </c>
      <c r="AT79" s="270">
        <v>1115436</v>
      </c>
      <c r="AU79" s="270">
        <v>1125822</v>
      </c>
      <c r="AV79" s="270">
        <v>1147913</v>
      </c>
      <c r="AW79" s="270">
        <v>1172822</v>
      </c>
      <c r="AX79" s="270">
        <v>1108988</v>
      </c>
      <c r="AY79" s="270">
        <v>1022900</v>
      </c>
      <c r="AZ79" s="270">
        <v>1096822</v>
      </c>
      <c r="BA79" s="270">
        <v>1047285</v>
      </c>
      <c r="BB79" s="270">
        <v>1053112</v>
      </c>
      <c r="BC79" s="270">
        <v>1069843</v>
      </c>
      <c r="BD79" s="270">
        <v>1126361</v>
      </c>
      <c r="BE79" s="270">
        <v>1094749</v>
      </c>
      <c r="BF79" s="270">
        <v>1068967</v>
      </c>
      <c r="BG79" s="270">
        <v>1066720</v>
      </c>
      <c r="BH79" s="270">
        <v>1081095</v>
      </c>
      <c r="BI79" s="270">
        <v>1216612</v>
      </c>
      <c r="BJ79" s="270">
        <v>1132211</v>
      </c>
      <c r="BK79" s="270">
        <v>1022900</v>
      </c>
      <c r="BL79" s="270">
        <v>1096822</v>
      </c>
      <c r="BM79" s="270">
        <v>1047285</v>
      </c>
      <c r="BN79" s="270">
        <v>1053112</v>
      </c>
      <c r="BO79" s="270">
        <v>1069843</v>
      </c>
      <c r="BP79" s="270">
        <v>1126361</v>
      </c>
      <c r="BQ79" s="270">
        <v>1094749</v>
      </c>
      <c r="BR79" s="270">
        <v>1068967</v>
      </c>
      <c r="BS79" s="270">
        <v>1066720</v>
      </c>
      <c r="BT79" s="270">
        <v>1081095</v>
      </c>
    </row>
    <row r="80" spans="1:72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1.06</v>
      </c>
      <c r="C82" s="72">
        <v>1.06</v>
      </c>
      <c r="D82" s="72">
        <v>1.2</v>
      </c>
      <c r="E82" s="72">
        <v>1</v>
      </c>
      <c r="F82" s="72">
        <v>1.08</v>
      </c>
      <c r="G82" s="72">
        <v>1.0900000000000001</v>
      </c>
      <c r="H82" s="72">
        <v>1.2</v>
      </c>
      <c r="I82" s="72">
        <v>1.1599999999999999</v>
      </c>
      <c r="J82" s="72">
        <v>1.1599999999999999</v>
      </c>
      <c r="K82" s="72">
        <v>1.22</v>
      </c>
      <c r="L82" s="72">
        <v>1.31</v>
      </c>
      <c r="M82" s="72">
        <v>1.06</v>
      </c>
      <c r="N82" s="72">
        <v>1.2</v>
      </c>
      <c r="O82" s="72">
        <v>1.18</v>
      </c>
      <c r="P82" s="72">
        <v>1.25</v>
      </c>
      <c r="Q82" s="72">
        <v>1.1100000000000001</v>
      </c>
      <c r="R82" s="72">
        <v>1.05</v>
      </c>
      <c r="S82" s="72">
        <v>1.0900000000000001</v>
      </c>
      <c r="T82" s="72">
        <v>1.03</v>
      </c>
      <c r="U82" s="72">
        <v>-1.77</v>
      </c>
      <c r="V82" s="72">
        <v>1.67</v>
      </c>
      <c r="W82" s="72">
        <v>1.26</v>
      </c>
      <c r="X82" s="72">
        <v>1.1399999999999999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23</v>
      </c>
      <c r="C85" s="72">
        <v>20.75</v>
      </c>
      <c r="D85" s="72">
        <v>22</v>
      </c>
      <c r="E85" s="72">
        <v>22.6</v>
      </c>
      <c r="F85" s="72">
        <v>22.85</v>
      </c>
      <c r="G85" s="72">
        <v>20.48</v>
      </c>
      <c r="H85" s="72">
        <v>21.8</v>
      </c>
      <c r="I85" s="72">
        <v>23.35</v>
      </c>
      <c r="J85" s="72">
        <v>24.46</v>
      </c>
      <c r="K85" s="72">
        <v>21.93</v>
      </c>
      <c r="L85" s="72">
        <v>22.98</v>
      </c>
      <c r="M85" s="72">
        <v>24.08</v>
      </c>
      <c r="N85" s="72">
        <v>25.26</v>
      </c>
      <c r="O85" s="72">
        <v>21.99</v>
      </c>
      <c r="P85" s="72">
        <v>23.15</v>
      </c>
      <c r="Q85" s="72">
        <v>24.19</v>
      </c>
      <c r="R85" s="72">
        <v>25.22</v>
      </c>
      <c r="S85" s="72">
        <v>22.22</v>
      </c>
      <c r="T85" s="72">
        <v>23.21</v>
      </c>
      <c r="U85" s="72">
        <v>21.63</v>
      </c>
      <c r="V85" s="72">
        <v>23.24</v>
      </c>
      <c r="W85" s="72">
        <v>20.94</v>
      </c>
      <c r="X85" s="72">
        <v>22.13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2939309</v>
      </c>
      <c r="C88" s="273">
        <v>3019296</v>
      </c>
      <c r="D88" s="273">
        <v>3037180</v>
      </c>
      <c r="E88" s="273">
        <v>3062881</v>
      </c>
      <c r="F88" s="273">
        <v>3053125</v>
      </c>
      <c r="G88" s="273">
        <v>3130594</v>
      </c>
      <c r="H88" s="273">
        <v>3146898</v>
      </c>
      <c r="I88" s="273">
        <v>3282130</v>
      </c>
      <c r="J88" s="273">
        <v>3143679</v>
      </c>
      <c r="K88" s="273">
        <v>3186304</v>
      </c>
      <c r="L88" s="273">
        <v>3287176</v>
      </c>
      <c r="M88" s="273">
        <v>3454757</v>
      </c>
      <c r="N88" s="273">
        <v>3290570</v>
      </c>
      <c r="O88" s="273">
        <v>3304117</v>
      </c>
      <c r="P88" s="273">
        <v>3298262</v>
      </c>
      <c r="Q88" s="273">
        <v>3395538</v>
      </c>
      <c r="R88" s="273">
        <v>3209550</v>
      </c>
      <c r="S88" s="273">
        <v>3395027</v>
      </c>
      <c r="T88" s="273">
        <v>3429051</v>
      </c>
      <c r="U88" s="273">
        <v>3446557</v>
      </c>
      <c r="V88" s="273">
        <v>3228710</v>
      </c>
      <c r="W88" s="273">
        <v>3170240</v>
      </c>
      <c r="X88" s="273">
        <v>3290077</v>
      </c>
    </row>
    <row r="89" spans="1:25" ht="14.25" thickBot="1" x14ac:dyDescent="0.3">
      <c r="A89" s="250" t="s">
        <v>4</v>
      </c>
      <c r="B89" s="275">
        <v>1283305</v>
      </c>
      <c r="C89" s="275">
        <v>1310046</v>
      </c>
      <c r="D89" s="275">
        <v>1321028</v>
      </c>
      <c r="E89" s="275">
        <v>640939</v>
      </c>
      <c r="F89" s="275">
        <v>1150652</v>
      </c>
      <c r="G89" s="275">
        <v>1209706</v>
      </c>
      <c r="H89" s="275">
        <v>1212392</v>
      </c>
      <c r="I89" s="275">
        <v>1238571</v>
      </c>
      <c r="J89" s="275">
        <v>1215425</v>
      </c>
      <c r="K89" s="275">
        <v>1190630</v>
      </c>
      <c r="L89" s="275">
        <v>1229366</v>
      </c>
      <c r="M89" s="275">
        <v>1205008</v>
      </c>
      <c r="N89" s="275">
        <v>1189487</v>
      </c>
      <c r="O89" s="275">
        <v>1128082</v>
      </c>
      <c r="P89" s="275">
        <v>1252458</v>
      </c>
      <c r="Q89" s="275">
        <v>1215026</v>
      </c>
      <c r="R89" s="275">
        <v>1251316</v>
      </c>
      <c r="S89" s="275">
        <v>1260029</v>
      </c>
      <c r="T89" s="275">
        <v>1283162</v>
      </c>
      <c r="U89" s="275">
        <v>1187301</v>
      </c>
      <c r="V89" s="275">
        <v>1193241</v>
      </c>
      <c r="W89" s="275">
        <v>1116736</v>
      </c>
      <c r="X89" s="275">
        <v>1178472</v>
      </c>
    </row>
    <row r="90" spans="1:25" ht="14.25" thickBot="1" x14ac:dyDescent="0.3">
      <c r="A90" s="251" t="s">
        <v>5</v>
      </c>
      <c r="B90" s="273">
        <v>554677</v>
      </c>
      <c r="C90" s="273">
        <v>571063</v>
      </c>
      <c r="D90" s="273">
        <v>569906</v>
      </c>
      <c r="E90" s="273">
        <v>568166</v>
      </c>
      <c r="F90" s="273">
        <v>578006</v>
      </c>
      <c r="G90" s="273">
        <v>593775</v>
      </c>
      <c r="H90" s="273">
        <v>613474</v>
      </c>
      <c r="I90" s="273">
        <v>582069</v>
      </c>
      <c r="J90" s="273">
        <v>606428</v>
      </c>
      <c r="K90" s="273">
        <v>605005</v>
      </c>
      <c r="L90" s="273">
        <v>609263</v>
      </c>
      <c r="M90" s="273">
        <v>607735</v>
      </c>
      <c r="N90" s="273">
        <v>611724</v>
      </c>
      <c r="O90" s="273">
        <v>551019</v>
      </c>
      <c r="P90" s="273">
        <v>650191</v>
      </c>
      <c r="Q90" s="273">
        <v>598148</v>
      </c>
      <c r="R90" s="273">
        <v>677712</v>
      </c>
      <c r="S90" s="273">
        <v>657843</v>
      </c>
      <c r="T90" s="273">
        <v>674943</v>
      </c>
      <c r="U90" s="273">
        <v>618031</v>
      </c>
      <c r="V90" s="273">
        <v>493069</v>
      </c>
      <c r="W90" s="273">
        <v>564786</v>
      </c>
      <c r="X90" s="273">
        <v>570796</v>
      </c>
    </row>
    <row r="91" spans="1:25" ht="14.25" thickBot="1" x14ac:dyDescent="0.3">
      <c r="A91" s="250" t="s">
        <v>6</v>
      </c>
      <c r="B91" s="275">
        <v>560908</v>
      </c>
      <c r="C91" s="275">
        <v>574461</v>
      </c>
      <c r="D91" s="275">
        <v>608527</v>
      </c>
      <c r="E91" s="275">
        <v>535140</v>
      </c>
      <c r="F91" s="275">
        <v>571527</v>
      </c>
      <c r="G91" s="275">
        <v>591800</v>
      </c>
      <c r="H91" s="275">
        <v>633009</v>
      </c>
      <c r="I91" s="275">
        <v>619451</v>
      </c>
      <c r="J91" s="275">
        <v>604284</v>
      </c>
      <c r="K91" s="275">
        <v>626366</v>
      </c>
      <c r="L91" s="275">
        <v>660889</v>
      </c>
      <c r="M91" s="275">
        <v>672914</v>
      </c>
      <c r="N91" s="275">
        <v>637139</v>
      </c>
      <c r="O91" s="275">
        <v>667898</v>
      </c>
      <c r="P91" s="275">
        <v>660375</v>
      </c>
      <c r="Q91" s="275">
        <v>626792</v>
      </c>
      <c r="R91" s="275">
        <v>597836</v>
      </c>
      <c r="S91" s="275">
        <v>610832</v>
      </c>
      <c r="T91" s="275">
        <v>590238</v>
      </c>
      <c r="U91" s="275">
        <v>-765799</v>
      </c>
      <c r="V91" s="275">
        <v>828178</v>
      </c>
      <c r="W91" s="275">
        <v>632655</v>
      </c>
      <c r="X91" s="275">
        <v>620673</v>
      </c>
    </row>
    <row r="92" spans="1:25" ht="14.25" thickBot="1" x14ac:dyDescent="0.3">
      <c r="A92" s="251" t="s">
        <v>7</v>
      </c>
      <c r="B92" s="273">
        <v>460821</v>
      </c>
      <c r="C92" s="273">
        <v>463914</v>
      </c>
      <c r="D92" s="273">
        <v>520106</v>
      </c>
      <c r="E92" s="273">
        <v>435653</v>
      </c>
      <c r="F92" s="273">
        <v>468499</v>
      </c>
      <c r="G92" s="273">
        <v>472001</v>
      </c>
      <c r="H92" s="273">
        <v>523887</v>
      </c>
      <c r="I92" s="273">
        <v>519753</v>
      </c>
      <c r="J92" s="273">
        <v>506060</v>
      </c>
      <c r="K92" s="273">
        <v>526817</v>
      </c>
      <c r="L92" s="273">
        <v>575158</v>
      </c>
      <c r="M92" s="273">
        <v>478754</v>
      </c>
      <c r="N92" s="273">
        <v>527967</v>
      </c>
      <c r="O92" s="273">
        <v>521746</v>
      </c>
      <c r="P92" s="273">
        <v>551275</v>
      </c>
      <c r="Q92" s="273">
        <v>503405</v>
      </c>
      <c r="R92" s="273">
        <v>477710</v>
      </c>
      <c r="S92" s="273">
        <v>487111</v>
      </c>
      <c r="T92" s="273">
        <v>468877</v>
      </c>
      <c r="U92" s="273">
        <v>-790634</v>
      </c>
      <c r="V92" s="273">
        <v>732412</v>
      </c>
      <c r="W92" s="273">
        <v>564533</v>
      </c>
      <c r="X92" s="273">
        <v>515602</v>
      </c>
    </row>
    <row r="93" spans="1:25" ht="26.25" thickBot="1" x14ac:dyDescent="0.3">
      <c r="A93" s="252" t="s">
        <v>8</v>
      </c>
      <c r="B93" s="276">
        <v>461254</v>
      </c>
      <c r="C93" s="276">
        <v>461913</v>
      </c>
      <c r="D93" s="276">
        <v>520828</v>
      </c>
      <c r="E93" s="276">
        <v>435081</v>
      </c>
      <c r="F93" s="276">
        <v>467293</v>
      </c>
      <c r="G93" s="276">
        <v>464912</v>
      </c>
      <c r="H93" s="276">
        <v>511409</v>
      </c>
      <c r="I93" s="276">
        <v>501953</v>
      </c>
      <c r="J93" s="276">
        <v>491313</v>
      </c>
      <c r="K93" s="276">
        <v>516825</v>
      </c>
      <c r="L93" s="276">
        <v>559096</v>
      </c>
      <c r="M93" s="276">
        <v>466708</v>
      </c>
      <c r="N93" s="276">
        <v>518900</v>
      </c>
      <c r="O93" s="276">
        <v>515497</v>
      </c>
      <c r="P93" s="276">
        <v>537690</v>
      </c>
      <c r="Q93" s="276">
        <v>490354</v>
      </c>
      <c r="R93" s="276">
        <v>461587</v>
      </c>
      <c r="S93" s="276">
        <v>478569</v>
      </c>
      <c r="T93" s="276">
        <v>452924</v>
      </c>
      <c r="U93" s="276">
        <v>-777766</v>
      </c>
      <c r="V93" s="276">
        <v>735666</v>
      </c>
      <c r="W93" s="276">
        <v>554486</v>
      </c>
      <c r="X93" s="276">
        <v>503829</v>
      </c>
    </row>
    <row r="94" spans="1:25" x14ac:dyDescent="0.25">
      <c r="A94" s="233" t="s">
        <v>365</v>
      </c>
      <c r="B94" s="253">
        <f>IF(B91="","",B91-B90)</f>
        <v>6231</v>
      </c>
      <c r="C94" s="253">
        <f>IF(C91="","",C91-C90)</f>
        <v>3398</v>
      </c>
      <c r="D94" s="253">
        <f t="shared" ref="D94:Y94" si="9">IF(D91="","",D91-D90)</f>
        <v>38621</v>
      </c>
      <c r="E94" s="253">
        <f t="shared" si="9"/>
        <v>-33026</v>
      </c>
      <c r="F94" s="253">
        <f t="shared" si="9"/>
        <v>-6479</v>
      </c>
      <c r="G94" s="253">
        <f t="shared" si="9"/>
        <v>-1975</v>
      </c>
      <c r="H94" s="253">
        <f t="shared" si="9"/>
        <v>19535</v>
      </c>
      <c r="I94" s="253">
        <f t="shared" si="9"/>
        <v>37382</v>
      </c>
      <c r="J94" s="253">
        <f t="shared" si="9"/>
        <v>-2144</v>
      </c>
      <c r="K94" s="253">
        <f t="shared" si="9"/>
        <v>21361</v>
      </c>
      <c r="L94" s="253">
        <f t="shared" si="9"/>
        <v>51626</v>
      </c>
      <c r="M94" s="253">
        <f t="shared" si="9"/>
        <v>65179</v>
      </c>
      <c r="N94" s="253">
        <f t="shared" si="9"/>
        <v>25415</v>
      </c>
      <c r="O94" s="253">
        <f t="shared" si="9"/>
        <v>116879</v>
      </c>
      <c r="P94" s="253">
        <f t="shared" si="9"/>
        <v>10184</v>
      </c>
      <c r="Q94" s="253">
        <f t="shared" si="9"/>
        <v>28644</v>
      </c>
      <c r="R94" s="253">
        <f t="shared" si="9"/>
        <v>-79876</v>
      </c>
      <c r="S94" s="253">
        <f t="shared" si="9"/>
        <v>-47011</v>
      </c>
      <c r="T94" s="253">
        <f t="shared" si="9"/>
        <v>-84705</v>
      </c>
      <c r="U94" s="253">
        <f t="shared" si="9"/>
        <v>-1383830</v>
      </c>
      <c r="V94" s="253">
        <f t="shared" si="9"/>
        <v>335109</v>
      </c>
      <c r="W94" s="253">
        <f t="shared" si="9"/>
        <v>67869</v>
      </c>
      <c r="X94" s="253">
        <f t="shared" si="9"/>
        <v>49877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12058666</v>
      </c>
      <c r="C97" s="273">
        <v>12612747</v>
      </c>
      <c r="D97" s="273">
        <v>13071916</v>
      </c>
      <c r="E97" s="273">
        <v>13288487</v>
      </c>
      <c r="F97" s="273">
        <v>13480185</v>
      </c>
    </row>
    <row r="98" spans="1:24" ht="14.25" thickBot="1" x14ac:dyDescent="0.3">
      <c r="A98" s="225" t="s">
        <v>4</v>
      </c>
      <c r="B98" s="275">
        <v>4555318</v>
      </c>
      <c r="C98" s="275">
        <v>4811321</v>
      </c>
      <c r="D98" s="275">
        <v>4840429</v>
      </c>
      <c r="E98" s="275">
        <v>4785053</v>
      </c>
      <c r="F98" s="275">
        <v>4981808</v>
      </c>
    </row>
    <row r="99" spans="1:24" ht="14.25" thickBot="1" x14ac:dyDescent="0.3">
      <c r="A99" s="224" t="s">
        <v>5</v>
      </c>
      <c r="B99" s="273">
        <v>2263812</v>
      </c>
      <c r="C99" s="273">
        <v>2367324</v>
      </c>
      <c r="D99" s="273">
        <v>2428431</v>
      </c>
      <c r="E99" s="273">
        <v>2411082</v>
      </c>
      <c r="F99" s="273">
        <v>2628529</v>
      </c>
    </row>
    <row r="100" spans="1:24" ht="14.25" thickBot="1" x14ac:dyDescent="0.3">
      <c r="A100" s="225" t="s">
        <v>6</v>
      </c>
      <c r="B100" s="275">
        <v>2279036</v>
      </c>
      <c r="C100" s="275">
        <v>2415787</v>
      </c>
      <c r="D100" s="275">
        <v>2564453</v>
      </c>
      <c r="E100" s="275">
        <v>2592204</v>
      </c>
      <c r="F100" s="275">
        <v>1033107</v>
      </c>
    </row>
    <row r="101" spans="1:24" ht="14.25" thickBot="1" x14ac:dyDescent="0.3">
      <c r="A101" s="224" t="s">
        <v>7</v>
      </c>
      <c r="B101" s="273">
        <v>1880494</v>
      </c>
      <c r="C101" s="273">
        <v>1984140</v>
      </c>
      <c r="D101" s="273">
        <v>2086789</v>
      </c>
      <c r="E101" s="273">
        <v>2104393</v>
      </c>
      <c r="F101" s="273">
        <v>643064</v>
      </c>
    </row>
    <row r="102" spans="1:24" ht="14.25" thickBot="1" x14ac:dyDescent="0.3">
      <c r="A102" s="227" t="s">
        <v>8</v>
      </c>
      <c r="B102" s="276">
        <v>1879076</v>
      </c>
      <c r="C102" s="276">
        <v>1945567</v>
      </c>
      <c r="D102" s="276">
        <v>2033942</v>
      </c>
      <c r="E102" s="276">
        <v>2062441</v>
      </c>
      <c r="F102" s="276">
        <v>615314</v>
      </c>
    </row>
    <row r="103" spans="1:24" x14ac:dyDescent="0.25">
      <c r="A103" s="233" t="s">
        <v>262</v>
      </c>
      <c r="B103" s="234">
        <f>IF(OR(B102="",B102="無"),"",B102/B101)</f>
        <v>0.99924594282140755</v>
      </c>
      <c r="C103" s="234">
        <f>IF(OR(C102="",C102="無"),"",C102/C101)</f>
        <v>0.98055933553075891</v>
      </c>
      <c r="D103" s="234">
        <f>IF(OR(D102="",D102="無"),"",D102/D101)</f>
        <v>0.97467544634364089</v>
      </c>
      <c r="E103" s="234">
        <f>IF(OR(E102="",E102="無"),"",E102/E101)</f>
        <v>0.98006456018433818</v>
      </c>
      <c r="F103" s="234">
        <f>IF(OR(F102="",F102="無"),"",F102/F101)</f>
        <v>0.956847218939328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2993213</v>
      </c>
      <c r="C106" s="273">
        <v>3080581</v>
      </c>
      <c r="D106" s="273">
        <v>3309126</v>
      </c>
      <c r="E106" s="273">
        <v>3895053</v>
      </c>
      <c r="F106" s="273">
        <v>2975113</v>
      </c>
      <c r="G106" s="273">
        <v>3149404</v>
      </c>
      <c r="H106" s="273">
        <v>2806966</v>
      </c>
      <c r="I106" s="273">
        <v>2901636</v>
      </c>
      <c r="J106" s="273">
        <v>3562508</v>
      </c>
      <c r="K106" s="273">
        <v>3759276</v>
      </c>
      <c r="L106" s="273">
        <v>3792116</v>
      </c>
      <c r="M106" s="273">
        <v>3942981</v>
      </c>
      <c r="N106" s="273">
        <v>4086528</v>
      </c>
      <c r="O106" s="273">
        <v>4730890</v>
      </c>
      <c r="P106" s="273">
        <v>3841278</v>
      </c>
      <c r="Q106" s="273">
        <v>3963264</v>
      </c>
      <c r="R106" s="273">
        <v>4568536</v>
      </c>
      <c r="S106" s="273">
        <v>4951781</v>
      </c>
      <c r="T106" s="273">
        <v>3576002</v>
      </c>
      <c r="U106" s="273">
        <v>4841311</v>
      </c>
      <c r="V106" s="273">
        <v>4775641</v>
      </c>
      <c r="W106" s="273">
        <v>3937333</v>
      </c>
      <c r="X106" s="273">
        <v>4734357</v>
      </c>
    </row>
    <row r="107" spans="1:24" ht="14.25" thickBot="1" x14ac:dyDescent="0.3">
      <c r="A107" s="225" t="s">
        <v>22</v>
      </c>
      <c r="B107" s="275">
        <v>766607</v>
      </c>
      <c r="C107" s="275">
        <v>832154</v>
      </c>
      <c r="D107" s="275">
        <v>987188</v>
      </c>
      <c r="E107" s="275">
        <v>1183020</v>
      </c>
      <c r="F107" s="275">
        <v>984040</v>
      </c>
      <c r="G107" s="275">
        <v>963646</v>
      </c>
      <c r="H107" s="275">
        <v>1163213</v>
      </c>
      <c r="I107" s="275">
        <v>1171282</v>
      </c>
      <c r="J107" s="275">
        <v>1252952</v>
      </c>
      <c r="K107" s="275">
        <v>1332033</v>
      </c>
      <c r="L107" s="275">
        <v>1177002</v>
      </c>
      <c r="M107" s="275">
        <v>1163421</v>
      </c>
      <c r="N107" s="275">
        <v>1100870</v>
      </c>
      <c r="O107" s="275">
        <v>172538</v>
      </c>
      <c r="P107" s="275">
        <v>149917</v>
      </c>
      <c r="Q107" s="275">
        <v>199790</v>
      </c>
      <c r="R107" s="275">
        <v>284081</v>
      </c>
      <c r="S107" s="275">
        <v>207081</v>
      </c>
      <c r="T107" s="275">
        <v>236788</v>
      </c>
      <c r="U107" s="275">
        <v>218540</v>
      </c>
      <c r="V107" s="275">
        <v>233191</v>
      </c>
      <c r="W107" s="275">
        <v>221414</v>
      </c>
      <c r="X107" s="275">
        <v>225046</v>
      </c>
    </row>
    <row r="108" spans="1:24" ht="14.25" thickBot="1" x14ac:dyDescent="0.3">
      <c r="A108" s="224" t="s">
        <v>263</v>
      </c>
      <c r="B108" s="273">
        <v>1192653</v>
      </c>
      <c r="C108" s="273">
        <v>1198551</v>
      </c>
      <c r="D108" s="273">
        <v>1206057</v>
      </c>
      <c r="E108" s="273">
        <v>1173178</v>
      </c>
      <c r="F108" s="273">
        <v>1175023</v>
      </c>
      <c r="G108" s="273">
        <v>1193509</v>
      </c>
      <c r="H108" s="273">
        <v>1154312</v>
      </c>
      <c r="I108" s="273">
        <v>1196992</v>
      </c>
      <c r="J108" s="273">
        <v>1179528</v>
      </c>
      <c r="K108" s="273">
        <v>1291919</v>
      </c>
      <c r="L108" s="273">
        <v>1373535</v>
      </c>
      <c r="M108" s="273">
        <v>1308520</v>
      </c>
      <c r="N108" s="273">
        <v>1302682</v>
      </c>
      <c r="O108" s="273">
        <v>1343216</v>
      </c>
      <c r="P108" s="273">
        <v>1382587</v>
      </c>
      <c r="Q108" s="273">
        <v>1396488</v>
      </c>
      <c r="R108" s="273">
        <v>1348384</v>
      </c>
      <c r="S108" s="273">
        <v>1384610</v>
      </c>
      <c r="T108" s="273">
        <v>1362169</v>
      </c>
      <c r="U108" s="273">
        <v>1360297</v>
      </c>
      <c r="V108" s="273">
        <v>1250952</v>
      </c>
      <c r="W108" s="273">
        <v>1273246</v>
      </c>
      <c r="X108" s="273">
        <v>1302861</v>
      </c>
    </row>
    <row r="109" spans="1:24" ht="14.25" thickBot="1" x14ac:dyDescent="0.3">
      <c r="A109" s="225" t="s">
        <v>264</v>
      </c>
      <c r="B109" s="275">
        <v>670605</v>
      </c>
      <c r="C109" s="275">
        <v>613134</v>
      </c>
      <c r="D109" s="275">
        <v>600370</v>
      </c>
      <c r="E109" s="275">
        <v>575870</v>
      </c>
      <c r="F109" s="275">
        <v>646205</v>
      </c>
      <c r="G109" s="275">
        <v>696068</v>
      </c>
      <c r="H109" s="275">
        <v>655351</v>
      </c>
      <c r="I109" s="275">
        <v>636288</v>
      </c>
      <c r="J109" s="275">
        <v>729772</v>
      </c>
      <c r="K109" s="275">
        <v>772888</v>
      </c>
      <c r="L109" s="275">
        <v>725115</v>
      </c>
      <c r="M109" s="275">
        <v>706660</v>
      </c>
      <c r="N109" s="275">
        <v>652681</v>
      </c>
      <c r="O109" s="275">
        <v>559056</v>
      </c>
      <c r="P109" s="275">
        <v>559634</v>
      </c>
      <c r="Q109" s="275">
        <v>485241</v>
      </c>
      <c r="R109" s="275">
        <v>485870</v>
      </c>
      <c r="S109" s="275">
        <v>434135</v>
      </c>
      <c r="T109" s="275">
        <v>376842</v>
      </c>
      <c r="U109" s="275">
        <v>299771</v>
      </c>
      <c r="V109" s="275">
        <v>324376</v>
      </c>
      <c r="W109" s="275">
        <v>285391</v>
      </c>
      <c r="X109" s="275">
        <v>304386</v>
      </c>
    </row>
    <row r="110" spans="1:24" ht="14.25" thickBot="1" x14ac:dyDescent="0.3">
      <c r="A110" s="224" t="s">
        <v>23</v>
      </c>
      <c r="B110" s="273">
        <v>528096</v>
      </c>
      <c r="C110" s="273">
        <v>518284</v>
      </c>
      <c r="D110" s="273">
        <v>441414</v>
      </c>
      <c r="E110" s="273">
        <v>413882</v>
      </c>
      <c r="F110" s="273">
        <v>394726</v>
      </c>
      <c r="G110" s="273">
        <v>368768</v>
      </c>
      <c r="H110" s="273">
        <v>477888</v>
      </c>
      <c r="I110" s="273">
        <v>1107999</v>
      </c>
      <c r="J110" s="273">
        <v>431455</v>
      </c>
      <c r="K110" s="273">
        <v>430060</v>
      </c>
      <c r="L110" s="273">
        <v>459265</v>
      </c>
      <c r="M110" s="273">
        <v>467483</v>
      </c>
      <c r="N110" s="273">
        <v>574692</v>
      </c>
      <c r="O110" s="273">
        <v>673576</v>
      </c>
      <c r="P110" s="273">
        <v>611903</v>
      </c>
      <c r="Q110" s="273">
        <v>523364</v>
      </c>
      <c r="R110" s="273">
        <v>647971</v>
      </c>
      <c r="S110" s="273">
        <v>606964</v>
      </c>
      <c r="T110" s="273">
        <v>591458</v>
      </c>
      <c r="U110" s="273">
        <v>571077</v>
      </c>
      <c r="V110" s="273">
        <v>622779</v>
      </c>
      <c r="W110" s="273">
        <v>903164</v>
      </c>
      <c r="X110" s="273">
        <v>777333</v>
      </c>
    </row>
    <row r="111" spans="1:24" ht="14.25" thickBot="1" x14ac:dyDescent="0.3">
      <c r="A111" s="225" t="s">
        <v>24</v>
      </c>
      <c r="B111" s="275">
        <v>6151174</v>
      </c>
      <c r="C111" s="275">
        <v>6242704</v>
      </c>
      <c r="D111" s="275">
        <v>6544155</v>
      </c>
      <c r="E111" s="275">
        <v>7241003</v>
      </c>
      <c r="F111" s="275">
        <v>6175107</v>
      </c>
      <c r="G111" s="275">
        <v>6371395</v>
      </c>
      <c r="H111" s="275">
        <v>6257730</v>
      </c>
      <c r="I111" s="275">
        <v>7014197</v>
      </c>
      <c r="J111" s="275">
        <v>7156215</v>
      </c>
      <c r="K111" s="275">
        <v>7586176</v>
      </c>
      <c r="L111" s="275">
        <v>7527033</v>
      </c>
      <c r="M111" s="275">
        <v>7589065</v>
      </c>
      <c r="N111" s="275">
        <v>7717453</v>
      </c>
      <c r="O111" s="275">
        <v>7479276</v>
      </c>
      <c r="P111" s="275">
        <v>6545319</v>
      </c>
      <c r="Q111" s="275">
        <v>6568147</v>
      </c>
      <c r="R111" s="275">
        <v>7334842</v>
      </c>
      <c r="S111" s="275">
        <v>7584571</v>
      </c>
      <c r="T111" s="275">
        <v>6143259</v>
      </c>
      <c r="U111" s="275">
        <v>7290996</v>
      </c>
      <c r="V111" s="275">
        <v>7206939</v>
      </c>
      <c r="W111" s="275">
        <v>6620548</v>
      </c>
      <c r="X111" s="275">
        <v>7343983</v>
      </c>
    </row>
    <row r="112" spans="1:24" ht="14.25" thickBot="1" x14ac:dyDescent="0.3">
      <c r="A112" s="224" t="s">
        <v>25</v>
      </c>
      <c r="B112" s="273">
        <v>4016729</v>
      </c>
      <c r="C112" s="273">
        <v>4020570</v>
      </c>
      <c r="D112" s="273">
        <v>3987272</v>
      </c>
      <c r="E112" s="273">
        <v>3996686</v>
      </c>
      <c r="F112" s="273">
        <v>4022697</v>
      </c>
      <c r="G112" s="273">
        <v>4174946</v>
      </c>
      <c r="H112" s="273">
        <v>4187038</v>
      </c>
      <c r="I112" s="273">
        <v>4336519</v>
      </c>
      <c r="J112" s="273">
        <v>4365684</v>
      </c>
      <c r="K112" s="273">
        <v>4456717</v>
      </c>
      <c r="L112" s="273">
        <v>4476882</v>
      </c>
      <c r="M112" s="273">
        <v>4477463</v>
      </c>
      <c r="N112" s="273">
        <v>4505559</v>
      </c>
      <c r="O112" s="273">
        <v>4613876</v>
      </c>
      <c r="P112" s="273">
        <v>4584046</v>
      </c>
      <c r="Q112" s="273">
        <v>4747062</v>
      </c>
      <c r="R112" s="273">
        <v>4663778</v>
      </c>
      <c r="S112" s="273">
        <v>4553705</v>
      </c>
      <c r="T112" s="273">
        <v>4624231</v>
      </c>
      <c r="U112" s="273">
        <v>3357751</v>
      </c>
      <c r="V112" s="273">
        <v>3695127</v>
      </c>
      <c r="W112" s="273">
        <v>3728960</v>
      </c>
      <c r="X112" s="273">
        <v>3749035</v>
      </c>
    </row>
    <row r="113" spans="1:24" ht="14.25" thickBot="1" x14ac:dyDescent="0.3">
      <c r="A113" s="225" t="s">
        <v>26</v>
      </c>
      <c r="B113" s="275">
        <v>4505234</v>
      </c>
      <c r="C113" s="275">
        <v>4607853</v>
      </c>
      <c r="D113" s="275">
        <v>4605066</v>
      </c>
      <c r="E113" s="275">
        <v>4915502</v>
      </c>
      <c r="F113" s="275">
        <v>4425322</v>
      </c>
      <c r="G113" s="275">
        <v>4466505</v>
      </c>
      <c r="H113" s="275">
        <v>4581912</v>
      </c>
      <c r="I113" s="275">
        <v>4940768</v>
      </c>
      <c r="J113" s="275">
        <v>5002482</v>
      </c>
      <c r="K113" s="275">
        <v>5039834</v>
      </c>
      <c r="L113" s="275">
        <v>5142950</v>
      </c>
      <c r="M113" s="275">
        <v>5382038</v>
      </c>
      <c r="N113" s="275">
        <v>5419208</v>
      </c>
      <c r="O113" s="275">
        <v>5425649</v>
      </c>
      <c r="P113" s="275">
        <v>6061582</v>
      </c>
      <c r="Q113" s="275">
        <v>6896580</v>
      </c>
      <c r="R113" s="275">
        <v>7410448</v>
      </c>
      <c r="S113" s="275">
        <v>7383778</v>
      </c>
      <c r="T113" s="275">
        <v>7324080</v>
      </c>
      <c r="U113" s="275">
        <v>7200646</v>
      </c>
      <c r="V113" s="275">
        <v>7160078</v>
      </c>
      <c r="W113" s="275">
        <v>7080126</v>
      </c>
      <c r="X113" s="275">
        <v>7220444</v>
      </c>
    </row>
    <row r="114" spans="1:24" ht="14.25" thickBot="1" x14ac:dyDescent="0.3">
      <c r="A114" s="224" t="s">
        <v>27</v>
      </c>
      <c r="B114" s="273">
        <v>1001840</v>
      </c>
      <c r="C114" s="273">
        <v>934020</v>
      </c>
      <c r="D114" s="273">
        <v>902460</v>
      </c>
      <c r="E114" s="273">
        <v>950666</v>
      </c>
      <c r="F114" s="273">
        <v>1642504</v>
      </c>
      <c r="G114" s="273">
        <v>1768085</v>
      </c>
      <c r="H114" s="273">
        <v>1920277</v>
      </c>
      <c r="I114" s="273">
        <v>2470945</v>
      </c>
      <c r="J114" s="273">
        <v>2419790</v>
      </c>
      <c r="K114" s="273">
        <v>2395692</v>
      </c>
      <c r="L114" s="273">
        <v>2436557</v>
      </c>
      <c r="M114" s="273">
        <v>2450486</v>
      </c>
      <c r="N114" s="273">
        <v>2463101</v>
      </c>
      <c r="O114" s="273">
        <v>2420905</v>
      </c>
      <c r="P114" s="273">
        <v>1959142</v>
      </c>
      <c r="Q114" s="273">
        <v>2060368</v>
      </c>
      <c r="R114" s="273">
        <v>2154208</v>
      </c>
      <c r="S114" s="273">
        <v>2147033</v>
      </c>
      <c r="T114" s="273">
        <v>2228182</v>
      </c>
      <c r="U114" s="273">
        <v>2393116</v>
      </c>
      <c r="V114" s="273">
        <v>2461241</v>
      </c>
      <c r="W114" s="273">
        <v>2327224</v>
      </c>
      <c r="X114" s="273">
        <v>2064253</v>
      </c>
    </row>
    <row r="115" spans="1:24" ht="14.25" thickBot="1" x14ac:dyDescent="0.3">
      <c r="A115" s="225" t="s">
        <v>265</v>
      </c>
      <c r="B115" s="276">
        <v>15674977</v>
      </c>
      <c r="C115" s="276">
        <v>15805147</v>
      </c>
      <c r="D115" s="276">
        <v>16038953</v>
      </c>
      <c r="E115" s="276">
        <v>17103857</v>
      </c>
      <c r="F115" s="276">
        <v>16265630</v>
      </c>
      <c r="G115" s="276">
        <v>16780931</v>
      </c>
      <c r="H115" s="276">
        <v>16946957</v>
      </c>
      <c r="I115" s="276">
        <v>18762429</v>
      </c>
      <c r="J115" s="276">
        <v>18944171</v>
      </c>
      <c r="K115" s="276">
        <v>19478419</v>
      </c>
      <c r="L115" s="276">
        <v>19583422</v>
      </c>
      <c r="M115" s="276">
        <v>19899052</v>
      </c>
      <c r="N115" s="276">
        <v>20105321</v>
      </c>
      <c r="O115" s="276">
        <v>19939706</v>
      </c>
      <c r="P115" s="276">
        <v>19150089</v>
      </c>
      <c r="Q115" s="276">
        <v>20272157</v>
      </c>
      <c r="R115" s="276">
        <v>21563276</v>
      </c>
      <c r="S115" s="276">
        <v>21669087</v>
      </c>
      <c r="T115" s="276">
        <v>20319752</v>
      </c>
      <c r="U115" s="276">
        <v>20242509</v>
      </c>
      <c r="V115" s="276">
        <v>20523385</v>
      </c>
      <c r="W115" s="276">
        <v>19756858</v>
      </c>
      <c r="X115" s="276">
        <v>20377715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556588</v>
      </c>
      <c r="C118" s="273">
        <v>378039</v>
      </c>
      <c r="D118" s="273">
        <v>1379490</v>
      </c>
      <c r="E118" s="273">
        <v>1039336</v>
      </c>
      <c r="F118" s="273">
        <v>595085</v>
      </c>
      <c r="G118" s="273">
        <v>597557</v>
      </c>
      <c r="H118" s="273">
        <v>2116523</v>
      </c>
      <c r="I118" s="273">
        <v>2642729</v>
      </c>
      <c r="J118" s="273">
        <v>2514921</v>
      </c>
      <c r="K118" s="273">
        <v>2499989</v>
      </c>
      <c r="L118" s="273">
        <v>2174795</v>
      </c>
      <c r="M118" s="273">
        <v>2159577</v>
      </c>
      <c r="N118" s="273">
        <v>2887435</v>
      </c>
      <c r="O118" s="273">
        <v>2520538</v>
      </c>
      <c r="P118" s="273">
        <v>3179995</v>
      </c>
      <c r="Q118" s="273">
        <v>2905913</v>
      </c>
      <c r="R118" s="273">
        <v>2895443</v>
      </c>
      <c r="S118" s="273">
        <v>2683277</v>
      </c>
      <c r="T118" s="273">
        <v>2877103</v>
      </c>
      <c r="U118" s="273">
        <v>2835000</v>
      </c>
      <c r="V118" s="273">
        <v>2505000</v>
      </c>
      <c r="W118" s="273">
        <v>1675000</v>
      </c>
      <c r="X118" s="273">
        <v>2705150</v>
      </c>
    </row>
    <row r="119" spans="1:24" ht="14.25" thickBot="1" x14ac:dyDescent="0.3">
      <c r="A119" s="225" t="s">
        <v>29</v>
      </c>
      <c r="B119" s="275">
        <v>59926</v>
      </c>
      <c r="C119" s="275">
        <v>59956</v>
      </c>
      <c r="D119" s="275">
        <v>89929</v>
      </c>
      <c r="E119" s="275">
        <v>29985</v>
      </c>
      <c r="F119" s="275">
        <v>59966</v>
      </c>
      <c r="G119" s="275">
        <v>109944</v>
      </c>
      <c r="H119" s="275">
        <v>99983</v>
      </c>
      <c r="I119" s="275">
        <v>69958</v>
      </c>
      <c r="J119" s="275">
        <v>99968</v>
      </c>
      <c r="K119" s="275">
        <v>69953</v>
      </c>
      <c r="L119" s="275">
        <v>69970</v>
      </c>
      <c r="M119" s="275">
        <v>74949</v>
      </c>
      <c r="N119" s="275">
        <v>69980</v>
      </c>
      <c r="O119" s="275">
        <v>99975</v>
      </c>
      <c r="P119" s="275">
        <v>119985</v>
      </c>
      <c r="Q119" s="275">
        <v>29991</v>
      </c>
      <c r="R119" s="275">
        <v>614956</v>
      </c>
      <c r="S119" s="275">
        <v>559976</v>
      </c>
      <c r="T119" s="275">
        <v>394979</v>
      </c>
      <c r="U119" s="275">
        <v>174960</v>
      </c>
      <c r="V119" s="275">
        <v>184989</v>
      </c>
      <c r="W119" s="275">
        <v>189991</v>
      </c>
      <c r="X119" s="275">
        <v>684978</v>
      </c>
    </row>
    <row r="120" spans="1:24" ht="14.25" thickBot="1" x14ac:dyDescent="0.3">
      <c r="A120" s="224" t="s">
        <v>266</v>
      </c>
      <c r="B120" s="273">
        <v>627467</v>
      </c>
      <c r="C120" s="273">
        <v>599655</v>
      </c>
      <c r="D120" s="273">
        <v>707656</v>
      </c>
      <c r="E120" s="273">
        <v>633170</v>
      </c>
      <c r="F120" s="273">
        <v>629075</v>
      </c>
      <c r="G120" s="273">
        <v>661356</v>
      </c>
      <c r="H120" s="273">
        <v>522686</v>
      </c>
      <c r="I120" s="273">
        <v>581094</v>
      </c>
      <c r="J120" s="273">
        <v>623720</v>
      </c>
      <c r="K120" s="273">
        <v>594603</v>
      </c>
      <c r="L120" s="273">
        <v>705629</v>
      </c>
      <c r="M120" s="273">
        <v>830425</v>
      </c>
      <c r="N120" s="273">
        <v>696842</v>
      </c>
      <c r="O120" s="273">
        <v>611258</v>
      </c>
      <c r="P120" s="273">
        <v>647937</v>
      </c>
      <c r="Q120" s="273">
        <v>640667</v>
      </c>
      <c r="R120" s="273">
        <v>663968</v>
      </c>
      <c r="S120" s="273">
        <v>613470</v>
      </c>
      <c r="T120" s="273">
        <v>610926</v>
      </c>
      <c r="U120" s="273">
        <v>818911</v>
      </c>
      <c r="V120" s="273">
        <v>683396</v>
      </c>
      <c r="W120" s="273">
        <v>642368</v>
      </c>
      <c r="X120" s="273">
        <v>640073</v>
      </c>
    </row>
    <row r="121" spans="1:24" ht="14.25" thickBot="1" x14ac:dyDescent="0.3">
      <c r="A121" s="225" t="s">
        <v>267</v>
      </c>
      <c r="B121" s="275">
        <v>1155302</v>
      </c>
      <c r="C121" s="275">
        <v>1111621</v>
      </c>
      <c r="D121" s="275">
        <v>1098055</v>
      </c>
      <c r="E121" s="275">
        <v>1055784</v>
      </c>
      <c r="F121" s="275">
        <v>1063504</v>
      </c>
      <c r="G121" s="275">
        <v>1028680</v>
      </c>
      <c r="H121" s="275">
        <v>1047035</v>
      </c>
      <c r="I121" s="275">
        <v>1026442</v>
      </c>
      <c r="J121" s="275">
        <v>1109830</v>
      </c>
      <c r="K121" s="275">
        <v>1105481</v>
      </c>
      <c r="L121" s="275">
        <v>1139509</v>
      </c>
      <c r="M121" s="275">
        <v>1051672</v>
      </c>
      <c r="N121" s="275">
        <v>1170678</v>
      </c>
      <c r="O121" s="275">
        <v>1142890</v>
      </c>
      <c r="P121" s="275">
        <v>1130871</v>
      </c>
      <c r="Q121" s="275">
        <v>1083399</v>
      </c>
      <c r="R121" s="275">
        <v>1166922</v>
      </c>
      <c r="S121" s="275">
        <v>1179596</v>
      </c>
      <c r="T121" s="275">
        <v>1202068</v>
      </c>
      <c r="U121" s="275">
        <v>1110688</v>
      </c>
      <c r="V121" s="275">
        <v>1155344</v>
      </c>
      <c r="W121" s="275">
        <v>1134462</v>
      </c>
      <c r="X121" s="275">
        <v>1130841</v>
      </c>
    </row>
    <row r="122" spans="1:24" ht="14.25" thickBot="1" x14ac:dyDescent="0.3">
      <c r="A122" s="224" t="s">
        <v>30</v>
      </c>
      <c r="B122" s="68">
        <v>667</v>
      </c>
      <c r="C122" s="68">
        <v>667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273">
        <v>20000</v>
      </c>
      <c r="L122" s="273">
        <v>40000</v>
      </c>
      <c r="M122" s="273">
        <v>40000</v>
      </c>
      <c r="N122" s="273">
        <v>40000</v>
      </c>
      <c r="O122" s="273">
        <v>41614</v>
      </c>
      <c r="P122" s="273">
        <v>41729</v>
      </c>
      <c r="Q122" s="273">
        <v>41681</v>
      </c>
      <c r="R122" s="273">
        <v>77710</v>
      </c>
      <c r="S122" s="273">
        <v>131681</v>
      </c>
      <c r="T122" s="273">
        <v>105643</v>
      </c>
      <c r="U122" s="273">
        <v>104000</v>
      </c>
      <c r="V122" s="273">
        <v>104000</v>
      </c>
      <c r="W122" s="273">
        <v>184000</v>
      </c>
      <c r="X122" s="273">
        <v>239000</v>
      </c>
    </row>
    <row r="123" spans="1:24" ht="14.25" thickBot="1" x14ac:dyDescent="0.3">
      <c r="A123" s="225" t="s">
        <v>31</v>
      </c>
      <c r="B123" s="275">
        <v>1384447</v>
      </c>
      <c r="C123" s="275">
        <v>2746151</v>
      </c>
      <c r="D123" s="275">
        <v>1292582</v>
      </c>
      <c r="E123" s="275">
        <v>2386694</v>
      </c>
      <c r="F123" s="275">
        <v>1519461</v>
      </c>
      <c r="G123" s="275">
        <v>2982031</v>
      </c>
      <c r="H123" s="275">
        <v>1159486</v>
      </c>
      <c r="I123" s="275">
        <v>1783183</v>
      </c>
      <c r="J123" s="275">
        <v>1415774</v>
      </c>
      <c r="K123" s="275">
        <v>3117908</v>
      </c>
      <c r="L123" s="275">
        <v>2756840</v>
      </c>
      <c r="M123" s="275">
        <v>2532277</v>
      </c>
      <c r="N123" s="275">
        <v>1513135</v>
      </c>
      <c r="O123" s="275">
        <v>3206563</v>
      </c>
      <c r="P123" s="275">
        <v>1262695</v>
      </c>
      <c r="Q123" s="275">
        <v>2256696</v>
      </c>
      <c r="R123" s="275">
        <v>1712937</v>
      </c>
      <c r="S123" s="275">
        <v>3210910</v>
      </c>
      <c r="T123" s="275">
        <v>1381853</v>
      </c>
      <c r="U123" s="275">
        <v>2202104</v>
      </c>
      <c r="V123" s="275">
        <v>2198557</v>
      </c>
      <c r="W123" s="275">
        <v>2946852</v>
      </c>
      <c r="X123" s="275">
        <v>1562646</v>
      </c>
    </row>
    <row r="124" spans="1:24" ht="14.25" thickBot="1" x14ac:dyDescent="0.3">
      <c r="A124" s="224" t="s">
        <v>268</v>
      </c>
      <c r="B124" s="273">
        <v>3784397</v>
      </c>
      <c r="C124" s="273">
        <v>4896089</v>
      </c>
      <c r="D124" s="273">
        <v>4567712</v>
      </c>
      <c r="E124" s="273">
        <v>5144969</v>
      </c>
      <c r="F124" s="273">
        <v>3867091</v>
      </c>
      <c r="G124" s="273">
        <v>5379568</v>
      </c>
      <c r="H124" s="273">
        <v>4945713</v>
      </c>
      <c r="I124" s="273">
        <v>6103406</v>
      </c>
      <c r="J124" s="273">
        <v>5764213</v>
      </c>
      <c r="K124" s="273">
        <v>7407934</v>
      </c>
      <c r="L124" s="273">
        <v>6886743</v>
      </c>
      <c r="M124" s="273">
        <v>6688900</v>
      </c>
      <c r="N124" s="273">
        <v>6378070</v>
      </c>
      <c r="O124" s="273">
        <v>7622838</v>
      </c>
      <c r="P124" s="273">
        <v>6383212</v>
      </c>
      <c r="Q124" s="273">
        <v>6958347</v>
      </c>
      <c r="R124" s="273">
        <v>7131936</v>
      </c>
      <c r="S124" s="273">
        <v>8378910</v>
      </c>
      <c r="T124" s="273">
        <v>6572572</v>
      </c>
      <c r="U124" s="273">
        <v>7245663</v>
      </c>
      <c r="V124" s="273">
        <v>6831286</v>
      </c>
      <c r="W124" s="273">
        <v>6772673</v>
      </c>
      <c r="X124" s="273">
        <v>6962688</v>
      </c>
    </row>
    <row r="125" spans="1:24" ht="14.25" thickBot="1" x14ac:dyDescent="0.3">
      <c r="A125" s="225" t="s">
        <v>32</v>
      </c>
      <c r="B125" s="275">
        <v>113642</v>
      </c>
      <c r="C125" s="275">
        <v>113475</v>
      </c>
      <c r="D125" s="275">
        <v>111145</v>
      </c>
      <c r="E125" s="275">
        <v>120494</v>
      </c>
      <c r="F125" s="275">
        <v>2106042</v>
      </c>
      <c r="G125" s="275">
        <v>2122152</v>
      </c>
      <c r="H125" s="275">
        <v>2145845</v>
      </c>
      <c r="I125" s="275">
        <v>2104487</v>
      </c>
      <c r="J125" s="275">
        <v>2124864</v>
      </c>
      <c r="K125" s="275">
        <v>2122309</v>
      </c>
      <c r="L125" s="275">
        <v>2129236</v>
      </c>
      <c r="M125" s="275">
        <v>2139140</v>
      </c>
      <c r="N125" s="275">
        <v>2125831</v>
      </c>
      <c r="O125" s="275">
        <v>2140033</v>
      </c>
      <c r="P125" s="275">
        <v>2136036</v>
      </c>
      <c r="Q125" s="275">
        <v>2214918</v>
      </c>
      <c r="R125" s="275">
        <v>2906114</v>
      </c>
      <c r="S125" s="275">
        <v>3092951</v>
      </c>
      <c r="T125" s="275">
        <v>3097272</v>
      </c>
      <c r="U125" s="275">
        <v>3062612</v>
      </c>
      <c r="V125" s="275">
        <v>3049514</v>
      </c>
      <c r="W125" s="275">
        <v>3352866</v>
      </c>
      <c r="X125" s="275">
        <v>3271193</v>
      </c>
    </row>
    <row r="126" spans="1:24" ht="14.25" thickBot="1" x14ac:dyDescent="0.3">
      <c r="A126" s="224" t="s">
        <v>33</v>
      </c>
      <c r="B126" s="273">
        <v>1408657</v>
      </c>
      <c r="C126" s="273">
        <v>1427081</v>
      </c>
      <c r="D126" s="273">
        <v>1447684</v>
      </c>
      <c r="E126" s="273">
        <v>1669735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5306696</v>
      </c>
      <c r="C127" s="275">
        <v>6436645</v>
      </c>
      <c r="D127" s="275">
        <v>6126541</v>
      </c>
      <c r="E127" s="275">
        <v>6935198</v>
      </c>
      <c r="F127" s="275">
        <v>5973133</v>
      </c>
      <c r="G127" s="275">
        <v>7501720</v>
      </c>
      <c r="H127" s="275">
        <v>7091558</v>
      </c>
      <c r="I127" s="275">
        <v>8207893</v>
      </c>
      <c r="J127" s="275">
        <v>7889077</v>
      </c>
      <c r="K127" s="275">
        <v>9530243</v>
      </c>
      <c r="L127" s="275">
        <v>9015979</v>
      </c>
      <c r="M127" s="275">
        <v>8828040</v>
      </c>
      <c r="N127" s="275">
        <v>8503901</v>
      </c>
      <c r="O127" s="275">
        <v>9762871</v>
      </c>
      <c r="P127" s="275">
        <v>8519248</v>
      </c>
      <c r="Q127" s="275">
        <v>9173265</v>
      </c>
      <c r="R127" s="275">
        <v>10038050</v>
      </c>
      <c r="S127" s="275">
        <v>11471861</v>
      </c>
      <c r="T127" s="275">
        <v>9669844</v>
      </c>
      <c r="U127" s="275">
        <v>10308275</v>
      </c>
      <c r="V127" s="275">
        <v>9880800</v>
      </c>
      <c r="W127" s="275">
        <v>10125539</v>
      </c>
      <c r="X127" s="275">
        <v>10233881</v>
      </c>
    </row>
    <row r="128" spans="1:24" ht="14.25" thickBot="1" x14ac:dyDescent="0.3">
      <c r="A128" s="224" t="s">
        <v>34</v>
      </c>
      <c r="B128" s="273">
        <v>10368281</v>
      </c>
      <c r="C128" s="273">
        <v>9368502</v>
      </c>
      <c r="D128" s="273">
        <v>9912412</v>
      </c>
      <c r="E128" s="273">
        <v>10168659</v>
      </c>
      <c r="F128" s="273">
        <v>10292497</v>
      </c>
      <c r="G128" s="273">
        <v>9279211</v>
      </c>
      <c r="H128" s="273">
        <v>9855399</v>
      </c>
      <c r="I128" s="273">
        <v>10554536</v>
      </c>
      <c r="J128" s="273">
        <v>11055094</v>
      </c>
      <c r="K128" s="273">
        <v>9948176</v>
      </c>
      <c r="L128" s="273">
        <v>10567443</v>
      </c>
      <c r="M128" s="273">
        <v>11071012</v>
      </c>
      <c r="N128" s="273">
        <v>11601420</v>
      </c>
      <c r="O128" s="273">
        <v>10176835</v>
      </c>
      <c r="P128" s="273">
        <v>10630841</v>
      </c>
      <c r="Q128" s="273">
        <v>11098892</v>
      </c>
      <c r="R128" s="273">
        <v>11525226</v>
      </c>
      <c r="S128" s="273">
        <v>10197226</v>
      </c>
      <c r="T128" s="273">
        <v>10649908</v>
      </c>
      <c r="U128" s="273">
        <v>9934234</v>
      </c>
      <c r="V128" s="273">
        <v>10642585</v>
      </c>
      <c r="W128" s="273">
        <v>9631319</v>
      </c>
      <c r="X128" s="273">
        <v>10143834</v>
      </c>
    </row>
    <row r="129" spans="1:24" ht="14.25" thickBot="1" x14ac:dyDescent="0.3">
      <c r="A129" s="225" t="s">
        <v>35</v>
      </c>
      <c r="B129" s="276">
        <v>15674977</v>
      </c>
      <c r="C129" s="276">
        <v>15805147</v>
      </c>
      <c r="D129" s="276">
        <v>16038953</v>
      </c>
      <c r="E129" s="276">
        <v>17103857</v>
      </c>
      <c r="F129" s="276">
        <v>16265630</v>
      </c>
      <c r="G129" s="276">
        <v>16780931</v>
      </c>
      <c r="H129" s="276">
        <v>16946957</v>
      </c>
      <c r="I129" s="276">
        <v>18762429</v>
      </c>
      <c r="J129" s="276">
        <v>18944171</v>
      </c>
      <c r="K129" s="276">
        <v>19478419</v>
      </c>
      <c r="L129" s="276">
        <v>19583422</v>
      </c>
      <c r="M129" s="276">
        <v>19899052</v>
      </c>
      <c r="N129" s="276">
        <v>20105321</v>
      </c>
      <c r="O129" s="276">
        <v>19939706</v>
      </c>
      <c r="P129" s="276">
        <v>19150089</v>
      </c>
      <c r="Q129" s="276">
        <v>20272157</v>
      </c>
      <c r="R129" s="276">
        <v>21563276</v>
      </c>
      <c r="S129" s="276">
        <v>21669087</v>
      </c>
      <c r="T129" s="276">
        <v>20319752</v>
      </c>
      <c r="U129" s="276">
        <v>20242509</v>
      </c>
      <c r="V129" s="276">
        <v>20523385</v>
      </c>
      <c r="W129" s="276">
        <v>19756858</v>
      </c>
      <c r="X129" s="276">
        <v>20377715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8.85</v>
      </c>
      <c r="C132" s="68">
        <v>2.93</v>
      </c>
      <c r="D132" s="68">
        <v>10.14</v>
      </c>
      <c r="E132" s="68">
        <v>7.51</v>
      </c>
      <c r="F132" s="68">
        <v>8.16</v>
      </c>
    </row>
    <row r="133" spans="1:24" ht="14.25" thickBot="1" x14ac:dyDescent="0.3">
      <c r="A133" s="225" t="s">
        <v>37</v>
      </c>
      <c r="B133" s="274">
        <v>-3.27</v>
      </c>
      <c r="C133" s="274">
        <v>-5.73</v>
      </c>
      <c r="D133" s="274">
        <v>-3.36</v>
      </c>
      <c r="E133" s="274">
        <v>-4.62</v>
      </c>
      <c r="F133" s="274">
        <v>-3.86</v>
      </c>
    </row>
    <row r="134" spans="1:24" ht="14.25" thickBot="1" x14ac:dyDescent="0.3">
      <c r="A134" s="224" t="s">
        <v>38</v>
      </c>
      <c r="B134" s="68">
        <v>-3.04</v>
      </c>
      <c r="C134" s="68">
        <v>0.48</v>
      </c>
      <c r="D134" s="68">
        <v>-4.41</v>
      </c>
      <c r="E134" s="68">
        <v>-2.63</v>
      </c>
      <c r="F134" s="68">
        <v>-2.29</v>
      </c>
    </row>
    <row r="135" spans="1:24" ht="14.25" thickBot="1" x14ac:dyDescent="0.3">
      <c r="A135" s="225" t="s">
        <v>270</v>
      </c>
      <c r="B135" s="274">
        <v>5.57</v>
      </c>
      <c r="C135" s="274">
        <v>-2.8</v>
      </c>
      <c r="D135" s="274">
        <v>6.78</v>
      </c>
      <c r="E135" s="274">
        <v>2.89</v>
      </c>
      <c r="F135" s="274">
        <v>4.3</v>
      </c>
    </row>
    <row r="136" spans="1:24" ht="14.25" thickBot="1" x14ac:dyDescent="0.3">
      <c r="A136" s="229" t="s">
        <v>39</v>
      </c>
      <c r="B136" s="72">
        <v>2.5299999999999998</v>
      </c>
      <c r="C136" s="72">
        <v>-2.3199999999999998</v>
      </c>
      <c r="D136" s="72">
        <v>2.37</v>
      </c>
      <c r="E136" s="72">
        <v>0.26</v>
      </c>
      <c r="F136" s="72">
        <v>2.0099999999999998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借錢配息?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3.4</v>
      </c>
      <c r="C140" s="68">
        <v>3.5</v>
      </c>
      <c r="D140" s="68">
        <v>4</v>
      </c>
      <c r="E140" s="68">
        <v>4</v>
      </c>
      <c r="F140" s="68">
        <v>3.5</v>
      </c>
    </row>
    <row r="141" spans="1:24" ht="14.25" thickBot="1" x14ac:dyDescent="0.3">
      <c r="A141" s="227" t="s">
        <v>1</v>
      </c>
      <c r="B141" s="73">
        <v>0</v>
      </c>
      <c r="C141" s="73">
        <v>0.15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0.78703703703703698</v>
      </c>
      <c r="C142" s="234">
        <f>IF(C140&lt;&gt;"無",IF(ISNA(HLOOKUP(C139,$B$64:$F$69,6,FALSE)),"",C140/HLOOKUP(C139,$B$64:$F$69,6,FALSE)),"")</f>
        <v>0.77262693156732887</v>
      </c>
      <c r="D142" s="234">
        <f>IF(D140&lt;&gt;"無",IF(ISNA(HLOOKUP(D139,$B$64:$F$69,6,FALSE)),"",D140/HLOOKUP(D139,$B$64:$F$69,6,FALSE)),"")</f>
        <v>0.84210526315789469</v>
      </c>
      <c r="E142" s="234">
        <f>IF(E140&lt;&gt;"無",IF(ISNA(HLOOKUP(E139,$B$64:$F$69,6,FALSE)),"",E140/HLOOKUP(E139,$B$64:$F$69,6,FALSE)),"")</f>
        <v>0.8438818565400843</v>
      </c>
      <c r="F142" s="234">
        <f>IF(F140&lt;&gt;"無",IF(ISNA(HLOOKUP(F139,$B$64:$F$69,6,FALSE)),"",F140/HLOOKUP(F139,$B$64:$F$69,6,FALSE)),"")</f>
        <v>2.5</v>
      </c>
    </row>
    <row r="143" spans="1:24" x14ac:dyDescent="0.25">
      <c r="A143" s="233" t="s">
        <v>216</v>
      </c>
      <c r="B143" s="234">
        <f>IF(OR(B140=0,B140="無"),"",B135/B140)</f>
        <v>1.6382352941176472</v>
      </c>
      <c r="C143" s="234">
        <f>IF(OR(C140=0,C140="無"),"",C135/C140)</f>
        <v>-0.79999999999999993</v>
      </c>
      <c r="D143" s="234">
        <f>IF(OR(D140=0,D140="無"),"",D135/D140)</f>
        <v>1.6950000000000001</v>
      </c>
      <c r="E143" s="234">
        <f>IF(OR(E140=0,E140="無"),"",E135/E140)</f>
        <v>0.72250000000000003</v>
      </c>
      <c r="F143" s="234">
        <f>IF(OR(F140=0,F140="無"),"",F135/F140)</f>
        <v>1.2285714285714284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43.66</v>
      </c>
      <c r="C146" s="68">
        <v>43.39</v>
      </c>
      <c r="D146" s="68">
        <v>43.5</v>
      </c>
      <c r="E146" s="68">
        <v>20.93</v>
      </c>
      <c r="F146" s="68">
        <v>37.69</v>
      </c>
      <c r="G146" s="68">
        <v>38.64</v>
      </c>
      <c r="H146" s="68">
        <v>38.53</v>
      </c>
      <c r="I146" s="68">
        <v>37.74</v>
      </c>
      <c r="J146" s="68">
        <v>38.659999999999997</v>
      </c>
      <c r="K146" s="68">
        <v>37.369999999999997</v>
      </c>
      <c r="L146" s="68">
        <v>37.4</v>
      </c>
      <c r="M146" s="68">
        <v>34.880000000000003</v>
      </c>
      <c r="N146" s="68">
        <v>36.15</v>
      </c>
      <c r="O146" s="68">
        <v>34.14</v>
      </c>
      <c r="P146" s="68">
        <v>37.97</v>
      </c>
      <c r="Q146" s="68">
        <v>35.78</v>
      </c>
      <c r="R146" s="68">
        <v>38.99</v>
      </c>
      <c r="S146" s="68">
        <v>37.11</v>
      </c>
      <c r="T146" s="68">
        <v>37.42</v>
      </c>
      <c r="U146" s="68">
        <v>34.450000000000003</v>
      </c>
      <c r="V146" s="68">
        <v>36.96</v>
      </c>
      <c r="W146" s="68">
        <v>35.229999999999997</v>
      </c>
      <c r="X146" s="68">
        <v>35.82</v>
      </c>
    </row>
    <row r="147" spans="1:24" s="93" customFormat="1" ht="14.25" thickBot="1" x14ac:dyDescent="0.3">
      <c r="A147" s="225" t="s">
        <v>19</v>
      </c>
      <c r="B147" s="274">
        <v>18.87</v>
      </c>
      <c r="C147" s="274">
        <v>18.91</v>
      </c>
      <c r="D147" s="274">
        <v>18.760000000000002</v>
      </c>
      <c r="E147" s="274">
        <v>18.55</v>
      </c>
      <c r="F147" s="274">
        <v>18.93</v>
      </c>
      <c r="G147" s="274">
        <v>18.97</v>
      </c>
      <c r="H147" s="274">
        <v>19.489999999999998</v>
      </c>
      <c r="I147" s="274">
        <v>17.73</v>
      </c>
      <c r="J147" s="274">
        <v>19.29</v>
      </c>
      <c r="K147" s="274">
        <v>18.989999999999998</v>
      </c>
      <c r="L147" s="274">
        <v>18.53</v>
      </c>
      <c r="M147" s="274">
        <v>17.59</v>
      </c>
      <c r="N147" s="274">
        <v>18.59</v>
      </c>
      <c r="O147" s="274">
        <v>16.68</v>
      </c>
      <c r="P147" s="274">
        <v>19.71</v>
      </c>
      <c r="Q147" s="274">
        <v>17.62</v>
      </c>
      <c r="R147" s="274">
        <v>21.12</v>
      </c>
      <c r="S147" s="274">
        <v>19.38</v>
      </c>
      <c r="T147" s="274">
        <v>19.68</v>
      </c>
      <c r="U147" s="274">
        <v>17.93</v>
      </c>
      <c r="V147" s="274">
        <v>15.27</v>
      </c>
      <c r="W147" s="274">
        <v>17.82</v>
      </c>
      <c r="X147" s="274">
        <v>17.350000000000001</v>
      </c>
    </row>
    <row r="148" spans="1:24" s="93" customFormat="1" ht="14.25" thickBot="1" x14ac:dyDescent="0.3">
      <c r="A148" s="224" t="s">
        <v>41</v>
      </c>
      <c r="B148" s="68">
        <v>19.079999999999998</v>
      </c>
      <c r="C148" s="68">
        <v>19.03</v>
      </c>
      <c r="D148" s="68">
        <v>20.04</v>
      </c>
      <c r="E148" s="68">
        <v>17.47</v>
      </c>
      <c r="F148" s="68">
        <v>18.72</v>
      </c>
      <c r="G148" s="68">
        <v>18.899999999999999</v>
      </c>
      <c r="H148" s="68">
        <v>20.12</v>
      </c>
      <c r="I148" s="68">
        <v>18.87</v>
      </c>
      <c r="J148" s="68">
        <v>19.22</v>
      </c>
      <c r="K148" s="68">
        <v>19.66</v>
      </c>
      <c r="L148" s="68">
        <v>20.11</v>
      </c>
      <c r="M148" s="68">
        <v>19.48</v>
      </c>
      <c r="N148" s="68">
        <v>19.36</v>
      </c>
      <c r="O148" s="68">
        <v>20.21</v>
      </c>
      <c r="P148" s="68">
        <v>20.02</v>
      </c>
      <c r="Q148" s="68">
        <v>18.46</v>
      </c>
      <c r="R148" s="68">
        <v>18.63</v>
      </c>
      <c r="S148" s="68">
        <v>17.989999999999998</v>
      </c>
      <c r="T148" s="68">
        <v>17.21</v>
      </c>
      <c r="U148" s="68">
        <v>-22.22</v>
      </c>
      <c r="V148" s="68">
        <v>25.65</v>
      </c>
      <c r="W148" s="68">
        <v>19.96</v>
      </c>
      <c r="X148" s="68">
        <v>18.87</v>
      </c>
    </row>
    <row r="149" spans="1:24" s="93" customFormat="1" ht="14.25" thickBot="1" x14ac:dyDescent="0.3">
      <c r="A149" s="225" t="s">
        <v>13</v>
      </c>
      <c r="B149" s="73">
        <v>15.68</v>
      </c>
      <c r="C149" s="73">
        <v>15.37</v>
      </c>
      <c r="D149" s="73">
        <v>17.12</v>
      </c>
      <c r="E149" s="73">
        <v>14.22</v>
      </c>
      <c r="F149" s="73">
        <v>15.34</v>
      </c>
      <c r="G149" s="73">
        <v>15.08</v>
      </c>
      <c r="H149" s="73">
        <v>16.649999999999999</v>
      </c>
      <c r="I149" s="73">
        <v>15.84</v>
      </c>
      <c r="J149" s="73">
        <v>16.100000000000001</v>
      </c>
      <c r="K149" s="73">
        <v>16.53</v>
      </c>
      <c r="L149" s="73">
        <v>17.5</v>
      </c>
      <c r="M149" s="73">
        <v>13.86</v>
      </c>
      <c r="N149" s="73">
        <v>16.04</v>
      </c>
      <c r="O149" s="73">
        <v>15.79</v>
      </c>
      <c r="P149" s="73">
        <v>16.71</v>
      </c>
      <c r="Q149" s="73">
        <v>14.83</v>
      </c>
      <c r="R149" s="73">
        <v>14.88</v>
      </c>
      <c r="S149" s="73">
        <v>14.35</v>
      </c>
      <c r="T149" s="73">
        <v>13.67</v>
      </c>
      <c r="U149" s="73">
        <v>-22.94</v>
      </c>
      <c r="V149" s="73">
        <v>22.68</v>
      </c>
      <c r="W149" s="73">
        <v>17.809999999999999</v>
      </c>
      <c r="X149" s="73">
        <v>15.67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37.78</v>
      </c>
      <c r="C152" s="68">
        <v>38.15</v>
      </c>
      <c r="D152" s="68">
        <v>37.03</v>
      </c>
      <c r="E152" s="68">
        <v>36.01</v>
      </c>
      <c r="F152" s="68">
        <v>36.96</v>
      </c>
    </row>
    <row r="153" spans="1:24" s="93" customFormat="1" ht="14.25" thickBot="1" x14ac:dyDescent="0.3">
      <c r="A153" s="225" t="s">
        <v>19</v>
      </c>
      <c r="B153" s="274">
        <v>18.77</v>
      </c>
      <c r="C153" s="274">
        <v>18.77</v>
      </c>
      <c r="D153" s="274">
        <v>18.579999999999998</v>
      </c>
      <c r="E153" s="274">
        <v>18.14</v>
      </c>
      <c r="F153" s="274">
        <v>19.5</v>
      </c>
    </row>
    <row r="154" spans="1:24" s="93" customFormat="1" ht="14.25" thickBot="1" x14ac:dyDescent="0.3">
      <c r="A154" s="224" t="s">
        <v>41</v>
      </c>
      <c r="B154" s="68">
        <v>18.899999999999999</v>
      </c>
      <c r="C154" s="68">
        <v>19.149999999999999</v>
      </c>
      <c r="D154" s="68">
        <v>19.62</v>
      </c>
      <c r="E154" s="68">
        <v>19.510000000000002</v>
      </c>
      <c r="F154" s="68">
        <v>7.66</v>
      </c>
    </row>
    <row r="155" spans="1:24" s="93" customFormat="1" ht="14.25" thickBot="1" x14ac:dyDescent="0.3">
      <c r="A155" s="225" t="s">
        <v>13</v>
      </c>
      <c r="B155" s="73">
        <v>15.59</v>
      </c>
      <c r="C155" s="73">
        <v>15.73</v>
      </c>
      <c r="D155" s="73">
        <v>15.96</v>
      </c>
      <c r="E155" s="73">
        <v>15.84</v>
      </c>
      <c r="F155" s="73">
        <v>4.7699999999999996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</v>
      </c>
      <c r="C158" s="68">
        <v>2.97</v>
      </c>
      <c r="D158" s="68">
        <v>3.29</v>
      </c>
      <c r="E158" s="68">
        <v>2.66</v>
      </c>
      <c r="F158" s="68">
        <v>2.83</v>
      </c>
      <c r="G158" s="68">
        <v>2.88</v>
      </c>
      <c r="H158" s="68">
        <v>3.13</v>
      </c>
      <c r="I158" s="68">
        <v>2.94</v>
      </c>
      <c r="J158" s="68">
        <v>2.71</v>
      </c>
      <c r="K158" s="68">
        <v>2.77</v>
      </c>
      <c r="L158" s="68">
        <v>2.97</v>
      </c>
      <c r="M158" s="68">
        <v>2.4500000000000002</v>
      </c>
      <c r="N158" s="68">
        <v>2.67</v>
      </c>
      <c r="O158" s="68">
        <v>2.63</v>
      </c>
      <c r="P158" s="68">
        <v>2.85</v>
      </c>
      <c r="Q158" s="68">
        <v>2.58</v>
      </c>
      <c r="R158" s="68">
        <v>2.31</v>
      </c>
      <c r="S158" s="68">
        <v>2.29</v>
      </c>
      <c r="T158" s="68">
        <v>2.27</v>
      </c>
      <c r="U158" s="68">
        <v>-3.85</v>
      </c>
      <c r="V158" s="68">
        <v>3.64</v>
      </c>
      <c r="W158" s="68">
        <v>2.84</v>
      </c>
      <c r="X158" s="68">
        <v>2.61</v>
      </c>
    </row>
    <row r="159" spans="1:24" s="93" customFormat="1" ht="14.25" thickBot="1" x14ac:dyDescent="0.3">
      <c r="A159" s="225" t="s">
        <v>45</v>
      </c>
      <c r="B159" s="73">
        <v>4.5599999999999996</v>
      </c>
      <c r="C159" s="73">
        <v>4.7</v>
      </c>
      <c r="D159" s="73">
        <v>5.4</v>
      </c>
      <c r="E159" s="73">
        <v>4.34</v>
      </c>
      <c r="F159" s="73">
        <v>4.58</v>
      </c>
      <c r="G159" s="73">
        <v>4.82</v>
      </c>
      <c r="H159" s="73">
        <v>5.48</v>
      </c>
      <c r="I159" s="73">
        <v>5.09</v>
      </c>
      <c r="J159" s="73">
        <v>4.68</v>
      </c>
      <c r="K159" s="73">
        <v>5.0199999999999996</v>
      </c>
      <c r="L159" s="73">
        <v>5.61</v>
      </c>
      <c r="M159" s="73">
        <v>4.43</v>
      </c>
      <c r="N159" s="73">
        <v>4.66</v>
      </c>
      <c r="O159" s="73">
        <v>4.79</v>
      </c>
      <c r="P159" s="73">
        <v>5.3</v>
      </c>
      <c r="Q159" s="73">
        <v>4.63</v>
      </c>
      <c r="R159" s="73">
        <v>4.22</v>
      </c>
      <c r="S159" s="73">
        <v>4.4800000000000004</v>
      </c>
      <c r="T159" s="73">
        <v>4.5</v>
      </c>
      <c r="U159" s="73">
        <v>-7.68</v>
      </c>
      <c r="V159" s="73">
        <v>7.12</v>
      </c>
      <c r="W159" s="73">
        <v>5.57</v>
      </c>
      <c r="X159" s="73">
        <v>5.21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15.59</v>
      </c>
      <c r="C162" s="68">
        <v>15.73</v>
      </c>
      <c r="D162" s="68">
        <v>15.96</v>
      </c>
      <c r="E162" s="68">
        <v>15.84</v>
      </c>
      <c r="F162" s="68">
        <v>4.7699999999999996</v>
      </c>
    </row>
    <row r="163" spans="1:72" s="93" customFormat="1" ht="14.25" thickBot="1" x14ac:dyDescent="0.3">
      <c r="A163" s="225" t="s">
        <v>18</v>
      </c>
      <c r="B163" s="274">
        <v>0.71</v>
      </c>
      <c r="C163" s="274">
        <v>0.67</v>
      </c>
      <c r="D163" s="274">
        <v>0.66</v>
      </c>
      <c r="E163" s="274">
        <v>0.66</v>
      </c>
      <c r="F163" s="274">
        <v>0.67</v>
      </c>
    </row>
    <row r="164" spans="1:72" s="93" customFormat="1" ht="14.25" thickBot="1" x14ac:dyDescent="0.3">
      <c r="A164" s="224" t="s">
        <v>15</v>
      </c>
      <c r="B164" s="68">
        <v>1.68</v>
      </c>
      <c r="C164" s="68">
        <v>1.78</v>
      </c>
      <c r="D164" s="68">
        <v>1.8</v>
      </c>
      <c r="E164" s="68">
        <v>1.83</v>
      </c>
      <c r="F164" s="68">
        <v>2.04</v>
      </c>
    </row>
    <row r="165" spans="1:72" s="93" customFormat="1" ht="14.25" thickBot="1" x14ac:dyDescent="0.3">
      <c r="A165" s="225" t="s">
        <v>45</v>
      </c>
      <c r="B165" s="73">
        <v>18.78</v>
      </c>
      <c r="C165" s="73">
        <v>19.149999999999999</v>
      </c>
      <c r="D165" s="73">
        <v>19.3</v>
      </c>
      <c r="E165" s="73">
        <v>18.98</v>
      </c>
      <c r="F165" s="73">
        <v>6.11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36</v>
      </c>
      <c r="C168" s="68">
        <v>35.57</v>
      </c>
      <c r="D168" s="68">
        <v>35.57</v>
      </c>
      <c r="E168" s="68">
        <v>35.020000000000003</v>
      </c>
      <c r="F168" s="68">
        <v>34.619999999999997</v>
      </c>
      <c r="G168" s="68">
        <v>34.090000000000003</v>
      </c>
      <c r="H168" s="68">
        <v>33.58</v>
      </c>
      <c r="I168" s="68">
        <v>32.26</v>
      </c>
      <c r="J168" s="68">
        <v>33.96</v>
      </c>
      <c r="K168" s="68">
        <v>34.880000000000003</v>
      </c>
      <c r="L168" s="68">
        <v>36.44</v>
      </c>
      <c r="M168" s="68">
        <v>34.880000000000003</v>
      </c>
      <c r="N168" s="68">
        <v>35.71</v>
      </c>
      <c r="O168" s="68">
        <v>36</v>
      </c>
      <c r="P168" s="68">
        <v>37.19</v>
      </c>
      <c r="Q168" s="68">
        <v>36.89</v>
      </c>
      <c r="R168" s="68">
        <v>38.46</v>
      </c>
      <c r="S168" s="68">
        <v>36.29</v>
      </c>
      <c r="T168" s="68">
        <v>36</v>
      </c>
      <c r="U168" s="68">
        <v>35.57</v>
      </c>
      <c r="V168" s="68">
        <v>36.44</v>
      </c>
      <c r="W168" s="68">
        <v>35.86</v>
      </c>
      <c r="X168" s="68">
        <v>35.29</v>
      </c>
    </row>
    <row r="169" spans="1:72" s="93" customFormat="1" ht="14.25" thickBot="1" x14ac:dyDescent="0.3">
      <c r="A169" s="225" t="s">
        <v>17</v>
      </c>
      <c r="B169" s="274">
        <v>35.43</v>
      </c>
      <c r="C169" s="274">
        <v>33.83</v>
      </c>
      <c r="D169" s="274">
        <v>31.8</v>
      </c>
      <c r="E169" s="274">
        <v>21.84</v>
      </c>
      <c r="F169" s="274">
        <v>28.94</v>
      </c>
      <c r="G169" s="274">
        <v>31.47</v>
      </c>
      <c r="H169" s="274">
        <v>31.47</v>
      </c>
      <c r="I169" s="274">
        <v>28.48</v>
      </c>
      <c r="J169" s="274">
        <v>31.91</v>
      </c>
      <c r="K169" s="274">
        <v>33.83</v>
      </c>
      <c r="L169" s="274">
        <v>32.729999999999997</v>
      </c>
      <c r="M169" s="274">
        <v>28.66</v>
      </c>
      <c r="N169" s="274">
        <v>29.13</v>
      </c>
      <c r="O169" s="274">
        <v>25.07</v>
      </c>
      <c r="P169" s="274">
        <v>24.59</v>
      </c>
      <c r="Q169" s="274">
        <v>21.58</v>
      </c>
      <c r="R169" s="274">
        <v>22.33</v>
      </c>
      <c r="S169" s="274">
        <v>19.399999999999999</v>
      </c>
      <c r="T169" s="274">
        <v>17.010000000000002</v>
      </c>
      <c r="U169" s="274">
        <v>13.47</v>
      </c>
      <c r="V169" s="274">
        <v>13.8</v>
      </c>
      <c r="W169" s="274">
        <v>13.35</v>
      </c>
      <c r="X169" s="274">
        <v>12.57</v>
      </c>
    </row>
    <row r="170" spans="1:72" s="93" customFormat="1" ht="14.25" thickBot="1" x14ac:dyDescent="0.3">
      <c r="A170" s="224" t="s">
        <v>42</v>
      </c>
      <c r="B170" s="72">
        <v>71.430000000000007</v>
      </c>
      <c r="C170" s="72">
        <v>69.41</v>
      </c>
      <c r="D170" s="72">
        <v>67.38</v>
      </c>
      <c r="E170" s="72">
        <v>56.86</v>
      </c>
      <c r="F170" s="72">
        <v>63.55</v>
      </c>
      <c r="G170" s="72">
        <v>65.56</v>
      </c>
      <c r="H170" s="72">
        <v>65.05</v>
      </c>
      <c r="I170" s="72">
        <v>60.74</v>
      </c>
      <c r="J170" s="72">
        <v>65.88</v>
      </c>
      <c r="K170" s="72">
        <v>68.72</v>
      </c>
      <c r="L170" s="72">
        <v>69.16</v>
      </c>
      <c r="M170" s="72">
        <v>63.55</v>
      </c>
      <c r="N170" s="72">
        <v>64.84</v>
      </c>
      <c r="O170" s="72">
        <v>61.07</v>
      </c>
      <c r="P170" s="72">
        <v>61.78</v>
      </c>
      <c r="Q170" s="72">
        <v>58.47</v>
      </c>
      <c r="R170" s="72">
        <v>60.79</v>
      </c>
      <c r="S170" s="72">
        <v>55.69</v>
      </c>
      <c r="T170" s="72">
        <v>53.01</v>
      </c>
      <c r="U170" s="72">
        <v>49.05</v>
      </c>
      <c r="V170" s="72">
        <v>50.24</v>
      </c>
      <c r="W170" s="72">
        <v>49.21</v>
      </c>
      <c r="X170" s="72">
        <v>47.86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204.68</v>
      </c>
      <c r="C173" s="72">
        <v>63.82</v>
      </c>
      <c r="D173" s="72">
        <v>213.97</v>
      </c>
      <c r="E173" s="72">
        <v>157.68</v>
      </c>
      <c r="F173" s="72">
        <v>557.87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13.26</v>
      </c>
      <c r="C176" s="72">
        <v>13.96</v>
      </c>
      <c r="D176" s="72">
        <v>14.37</v>
      </c>
      <c r="E176" s="72">
        <v>14.99</v>
      </c>
      <c r="F176" s="72">
        <v>15.57</v>
      </c>
      <c r="G176" s="72">
        <v>15.9</v>
      </c>
      <c r="H176" s="72">
        <v>15.56</v>
      </c>
      <c r="I176" s="72">
        <v>15.04</v>
      </c>
      <c r="J176" s="72">
        <v>15.61</v>
      </c>
      <c r="K176" s="72">
        <v>15.81</v>
      </c>
      <c r="L176" s="72">
        <v>14.82</v>
      </c>
      <c r="M176" s="72">
        <v>15.46</v>
      </c>
      <c r="N176" s="72">
        <v>15.48</v>
      </c>
      <c r="O176" s="72">
        <v>15.98</v>
      </c>
      <c r="P176" s="72">
        <v>16.059999999999999</v>
      </c>
      <c r="Q176" s="72">
        <v>16.13</v>
      </c>
      <c r="R176" s="72">
        <v>16.78</v>
      </c>
      <c r="S176" s="72">
        <v>16.34</v>
      </c>
      <c r="T176" s="72">
        <v>15.76</v>
      </c>
      <c r="U176" s="72">
        <v>15.68</v>
      </c>
      <c r="V176" s="72">
        <v>15.89</v>
      </c>
      <c r="W176" s="72">
        <v>16.07</v>
      </c>
      <c r="X176" s="72">
        <v>16.07</v>
      </c>
      <c r="Y176" s="72">
        <v>16.989999999999998</v>
      </c>
      <c r="Z176" s="72">
        <v>17.239999999999998</v>
      </c>
      <c r="AA176" s="72">
        <v>17.34</v>
      </c>
      <c r="AB176" s="72">
        <v>17.07</v>
      </c>
      <c r="AC176" s="72">
        <v>17.34</v>
      </c>
      <c r="AD176" s="72">
        <v>16.420000000000002</v>
      </c>
      <c r="AE176" s="72">
        <v>16.59</v>
      </c>
      <c r="AF176" s="72">
        <v>17.04</v>
      </c>
      <c r="AG176" s="72">
        <v>17.72</v>
      </c>
      <c r="AH176" s="72">
        <v>17.59</v>
      </c>
      <c r="AI176" s="72">
        <v>17.11</v>
      </c>
      <c r="AJ176" s="72">
        <v>16.53</v>
      </c>
      <c r="AK176" s="72">
        <v>16.73</v>
      </c>
      <c r="AL176" s="72">
        <v>16.91</v>
      </c>
      <c r="AM176" s="72">
        <v>17.07</v>
      </c>
      <c r="AN176" s="72">
        <v>18.190000000000001</v>
      </c>
      <c r="AO176" s="72">
        <v>19.510000000000002</v>
      </c>
      <c r="AP176" s="72">
        <v>19.03</v>
      </c>
      <c r="AQ176" s="72">
        <v>19.59</v>
      </c>
      <c r="AR176" s="72">
        <v>19.48</v>
      </c>
      <c r="AS176" s="72">
        <v>19.34</v>
      </c>
      <c r="AT176" s="72">
        <v>19.36</v>
      </c>
      <c r="AU176" s="72">
        <v>20.13</v>
      </c>
      <c r="AV176" s="72">
        <v>20.75</v>
      </c>
      <c r="AW176" s="72">
        <v>19.66</v>
      </c>
      <c r="AX176" s="72">
        <v>19.54</v>
      </c>
      <c r="AY176" s="72">
        <v>19.760000000000002</v>
      </c>
      <c r="AZ176" s="72">
        <v>19.86</v>
      </c>
      <c r="BA176" s="72">
        <v>19.670000000000002</v>
      </c>
      <c r="BB176" s="72">
        <v>19.899999999999999</v>
      </c>
      <c r="BC176" s="72">
        <v>19.82</v>
      </c>
      <c r="BD176" s="72">
        <v>20.61</v>
      </c>
      <c r="BE176" s="72">
        <v>20.72</v>
      </c>
      <c r="BF176" s="72">
        <v>20.5</v>
      </c>
      <c r="BG176" s="72">
        <v>20.32</v>
      </c>
      <c r="BH176" s="72">
        <v>20.93</v>
      </c>
      <c r="BI176" s="72">
        <v>20.34</v>
      </c>
      <c r="BJ176" s="72">
        <v>20.43</v>
      </c>
      <c r="BK176" s="72">
        <v>20.88</v>
      </c>
      <c r="BL176" s="72">
        <v>64.5</v>
      </c>
      <c r="BM176" s="72">
        <v>63.59</v>
      </c>
      <c r="BN176" s="72">
        <v>44.08</v>
      </c>
      <c r="BO176" s="72">
        <v>44.54</v>
      </c>
      <c r="BP176" s="72">
        <v>45.42</v>
      </c>
      <c r="BQ176" s="72">
        <v>40.43</v>
      </c>
      <c r="BR176" s="72">
        <v>40.68</v>
      </c>
      <c r="BS176" s="72">
        <v>40.53</v>
      </c>
      <c r="BT176" s="72">
        <v>38.49</v>
      </c>
    </row>
  </sheetData>
  <phoneticPr fontId="3" type="noConversion"/>
  <conditionalFormatting sqref="E4">
    <cfRule type="cellIs" dxfId="674" priority="103" operator="greaterThan">
      <formula>0.2</formula>
    </cfRule>
    <cfRule type="cellIs" dxfId="67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67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671" priority="97" operator="greaterThan">
      <formula>$B$19</formula>
    </cfRule>
  </conditionalFormatting>
  <conditionalFormatting sqref="D33:D34">
    <cfRule type="cellIs" dxfId="67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669" priority="91" operator="lessThan">
      <formula>$H$62</formula>
    </cfRule>
    <cfRule type="cellIs" dxfId="668" priority="92" operator="greaterThan">
      <formula>$H$62</formula>
    </cfRule>
  </conditionalFormatting>
  <conditionalFormatting sqref="J62">
    <cfRule type="cellIs" dxfId="667" priority="89" operator="lessThan">
      <formula>$K$62</formula>
    </cfRule>
    <cfRule type="cellIs" dxfId="666" priority="90" operator="greaterThan">
      <formula>$K$62</formula>
    </cfRule>
  </conditionalFormatting>
  <conditionalFormatting sqref="M62">
    <cfRule type="cellIs" dxfId="665" priority="87" operator="lessThan">
      <formula>$N$62</formula>
    </cfRule>
    <cfRule type="cellIs" dxfId="664" priority="88" operator="greaterThan">
      <formula>$N$62</formula>
    </cfRule>
  </conditionalFormatting>
  <conditionalFormatting sqref="B44:E44">
    <cfRule type="cellIs" dxfId="663" priority="85" operator="greaterThan">
      <formula>0</formula>
    </cfRule>
    <cfRule type="cellIs" dxfId="662" priority="86" operator="lessThan">
      <formula>0</formula>
    </cfRule>
  </conditionalFormatting>
  <conditionalFormatting sqref="F72">
    <cfRule type="cellIs" dxfId="661" priority="84" operator="lessThan">
      <formula>$E$72*90%</formula>
    </cfRule>
  </conditionalFormatting>
  <conditionalFormatting sqref="F73">
    <cfRule type="cellIs" dxfId="660" priority="83" operator="lessThan">
      <formula>$E$73*90%</formula>
    </cfRule>
  </conditionalFormatting>
  <conditionalFormatting sqref="F74">
    <cfRule type="cellIs" dxfId="659" priority="82" operator="lessThan">
      <formula>$E$74*90%</formula>
    </cfRule>
  </conditionalFormatting>
  <conditionalFormatting sqref="F75">
    <cfRule type="cellIs" dxfId="658" priority="81" operator="lessThan">
      <formula>$E$75*90%</formula>
    </cfRule>
  </conditionalFormatting>
  <conditionalFormatting sqref="H44:K44">
    <cfRule type="cellIs" dxfId="657" priority="79" operator="greaterThan">
      <formula>0</formula>
    </cfRule>
    <cfRule type="cellIs" dxfId="656" priority="80" operator="lessThan">
      <formula>0</formula>
    </cfRule>
  </conditionalFormatting>
  <conditionalFormatting sqref="H51:K51">
    <cfRule type="cellIs" dxfId="655" priority="77" operator="greaterThan">
      <formula>0</formula>
    </cfRule>
    <cfRule type="cellIs" dxfId="654" priority="78" operator="lessThan">
      <formula>0</formula>
    </cfRule>
  </conditionalFormatting>
  <conditionalFormatting sqref="B51:E51">
    <cfRule type="cellIs" dxfId="653" priority="75" operator="greaterThan">
      <formula>0</formula>
    </cfRule>
    <cfRule type="cellIs" dxfId="65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65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65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649" priority="58" operator="lessThan">
      <formula>0</formula>
    </cfRule>
  </conditionalFormatting>
  <conditionalFormatting sqref="A25 E25 C25">
    <cfRule type="cellIs" dxfId="648" priority="59" operator="lessThan">
      <formula>0</formula>
    </cfRule>
  </conditionalFormatting>
  <conditionalFormatting sqref="F25">
    <cfRule type="cellIs" dxfId="647" priority="57" operator="lessThan">
      <formula>0</formula>
    </cfRule>
  </conditionalFormatting>
  <conditionalFormatting sqref="E1">
    <cfRule type="containsText" dxfId="646" priority="56" operator="containsText" text="本季業外損益/平均=-">
      <formula>NOT(ISERROR(SEARCH("本季業外損益/平均=-",E1)))</formula>
    </cfRule>
  </conditionalFormatting>
  <conditionalFormatting sqref="M65">
    <cfRule type="cellIs" dxfId="645" priority="55" operator="lessThan">
      <formula>$L$65*90%</formula>
    </cfRule>
  </conditionalFormatting>
  <conditionalFormatting sqref="M66">
    <cfRule type="cellIs" dxfId="644" priority="54" operator="lessThan">
      <formula>$L$66*90%</formula>
    </cfRule>
  </conditionalFormatting>
  <conditionalFormatting sqref="M67">
    <cfRule type="cellIs" dxfId="643" priority="53" operator="lessThan">
      <formula>$L$67*90%</formula>
    </cfRule>
  </conditionalFormatting>
  <conditionalFormatting sqref="M68">
    <cfRule type="cellIs" dxfId="642" priority="52" operator="lessThan">
      <formula>$L$68*90%</formula>
    </cfRule>
  </conditionalFormatting>
  <conditionalFormatting sqref="B60">
    <cfRule type="cellIs" dxfId="641" priority="51" operator="lessThan">
      <formula>0</formula>
    </cfRule>
  </conditionalFormatting>
  <conditionalFormatting sqref="B59:F59">
    <cfRule type="cellIs" dxfId="640" priority="50" operator="lessThanOrEqual">
      <formula>0</formula>
    </cfRule>
  </conditionalFormatting>
  <conditionalFormatting sqref="D62">
    <cfRule type="cellIs" dxfId="639" priority="48" operator="lessThan">
      <formula>$E$62</formula>
    </cfRule>
    <cfRule type="cellIs" dxfId="638" priority="49" operator="greaterThan">
      <formula>$E$62</formula>
    </cfRule>
  </conditionalFormatting>
  <conditionalFormatting sqref="F69">
    <cfRule type="cellIs" dxfId="637" priority="46" operator="lessThan">
      <formula>0</formula>
    </cfRule>
  </conditionalFormatting>
  <conditionalFormatting sqref="B65:E67 B69:E69 B68:D68">
    <cfRule type="cellIs" dxfId="636" priority="47" operator="lessThan">
      <formula>0</formula>
    </cfRule>
  </conditionalFormatting>
  <conditionalFormatting sqref="E68">
    <cfRule type="cellIs" dxfId="635" priority="45" operator="lessThan">
      <formula>0</formula>
    </cfRule>
  </conditionalFormatting>
  <conditionalFormatting sqref="F65:F68">
    <cfRule type="cellIs" dxfId="634" priority="44" operator="lessThan">
      <formula>0</formula>
    </cfRule>
  </conditionalFormatting>
  <conditionalFormatting sqref="F65:F68">
    <cfRule type="cellIs" dxfId="633" priority="43" operator="lessThan">
      <formula>$E$65*0.9</formula>
    </cfRule>
  </conditionalFormatting>
  <conditionalFormatting sqref="F66">
    <cfRule type="cellIs" dxfId="632" priority="42" operator="lessThan">
      <formula>$E$66*0.9</formula>
    </cfRule>
  </conditionalFormatting>
  <conditionalFormatting sqref="F67:F68">
    <cfRule type="cellIs" dxfId="631" priority="41" operator="lessThan">
      <formula>$E$67*0.9</formula>
    </cfRule>
  </conditionalFormatting>
  <conditionalFormatting sqref="F68">
    <cfRule type="cellIs" dxfId="630" priority="40" operator="lessThan">
      <formula>$E$68*0.9</formula>
    </cfRule>
  </conditionalFormatting>
  <conditionalFormatting sqref="B13:F13">
    <cfRule type="cellIs" dxfId="629" priority="29" operator="greaterThan">
      <formula>$I$16</formula>
    </cfRule>
    <cfRule type="cellIs" dxfId="628" priority="30" operator="lessThanOrEqual">
      <formula>$I$16</formula>
    </cfRule>
  </conditionalFormatting>
  <conditionalFormatting sqref="B10:F10">
    <cfRule type="cellIs" dxfId="627" priority="31" operator="greaterThan">
      <formula>15</formula>
    </cfRule>
    <cfRule type="cellIs" dxfId="626" priority="38" operator="lessThan">
      <formula>$I$9</formula>
    </cfRule>
    <cfRule type="cellIs" dxfId="625" priority="39" operator="greaterThan">
      <formula>$I$9</formula>
    </cfRule>
  </conditionalFormatting>
  <conditionalFormatting sqref="B16:F16">
    <cfRule type="cellIs" dxfId="624" priority="36" operator="greaterThan">
      <formula>$I$16</formula>
    </cfRule>
    <cfRule type="cellIs" dxfId="623" priority="37" operator="lessThanOrEqual">
      <formula>$I$16</formula>
    </cfRule>
  </conditionalFormatting>
  <conditionalFormatting sqref="B15:F15">
    <cfRule type="cellIs" dxfId="622" priority="34" operator="lessThanOrEqual">
      <formula>$I$16</formula>
    </cfRule>
    <cfRule type="cellIs" dxfId="621" priority="35" operator="greaterThan">
      <formula>$I$16</formula>
    </cfRule>
  </conditionalFormatting>
  <conditionalFormatting sqref="B14:F14">
    <cfRule type="cellIs" dxfId="620" priority="32" operator="greaterThan">
      <formula>$I$16</formula>
    </cfRule>
    <cfRule type="cellIs" dxfId="619" priority="33" operator="lessThanOrEqual">
      <formula>$I$16</formula>
    </cfRule>
  </conditionalFormatting>
  <conditionalFormatting sqref="K6">
    <cfRule type="containsText" dxfId="618" priority="27" operator="containsText" text="衰退">
      <formula>NOT(ISERROR(SEARCH("衰退",K6)))</formula>
    </cfRule>
    <cfRule type="containsText" dxfId="617" priority="28" operator="containsText" text="成長">
      <formula>NOT(ISERROR(SEARCH("成長",K6)))</formula>
    </cfRule>
  </conditionalFormatting>
  <conditionalFormatting sqref="I4:K4">
    <cfRule type="cellIs" dxfId="616" priority="25" operator="lessThan">
      <formula>0</formula>
    </cfRule>
    <cfRule type="cellIs" dxfId="61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614" priority="22" operator="lessThanOrEqual">
      <formula>$I$16</formula>
    </cfRule>
    <cfRule type="cellIs" dxfId="613" priority="23" operator="greaterThan">
      <formula>$I$16</formula>
    </cfRule>
  </conditionalFormatting>
  <conditionalFormatting sqref="I6">
    <cfRule type="containsText" dxfId="612" priority="20" operator="containsText" text="衰退">
      <formula>NOT(ISERROR(SEARCH("衰退",I6)))</formula>
    </cfRule>
    <cfRule type="containsText" dxfId="611" priority="21" operator="containsText" text="成長">
      <formula>NOT(ISERROR(SEARCH("成長",I6)))</formula>
    </cfRule>
  </conditionalFormatting>
  <conditionalFormatting sqref="M9">
    <cfRule type="cellIs" dxfId="610" priority="19" operator="lessThan">
      <formula>$I$9</formula>
    </cfRule>
  </conditionalFormatting>
  <conditionalFormatting sqref="M10">
    <cfRule type="cellIs" dxfId="609" priority="18" operator="greaterThan">
      <formula>$I$9</formula>
    </cfRule>
  </conditionalFormatting>
  <conditionalFormatting sqref="M11">
    <cfRule type="cellIs" dxfId="60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607" priority="14" operator="lessThan">
      <formula>0</formula>
    </cfRule>
    <cfRule type="cellIs" dxfId="606" priority="15" operator="greaterThan">
      <formula>0.5</formula>
    </cfRule>
  </conditionalFormatting>
  <conditionalFormatting sqref="N14">
    <cfRule type="cellIs" dxfId="60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604" priority="10" operator="lessThan">
      <formula>0.1</formula>
    </cfRule>
  </conditionalFormatting>
  <conditionalFormatting sqref="I14">
    <cfRule type="cellIs" dxfId="60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60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601" priority="1" operator="lessThan">
      <formula>$N$5*0.9</formula>
    </cfRule>
    <cfRule type="cellIs" dxfId="600" priority="2" operator="greaterThan">
      <formula>$N$5*1.1</formula>
    </cfRule>
  </conditionalFormatting>
  <hyperlinks>
    <hyperlink ref="L1" location="儀表板!A1" display="(回首頁)" xr:uid="{00000000-0004-0000-5F00-000000000000}"/>
  </hyperlink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3.84 ~ 7.51</v>
      </c>
      <c r="L1" s="83" t="s">
        <v>176</v>
      </c>
      <c r="M1" s="84" t="str">
        <f ca="1">VLOOKUP(_xlfn.NUMBERVALUE(N1),儀表板!A:B,2,FALSE)</f>
        <v>巨大</v>
      </c>
      <c r="N1" s="85" t="str">
        <f ca="1">MID(CELL("filename",L1),FIND("]",CELL("filename",L1))+1,255)</f>
        <v>9921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0.27526718945388379</v>
      </c>
    </row>
    <row r="3" spans="1:15" s="93" customFormat="1" x14ac:dyDescent="0.25">
      <c r="A3" s="81" t="s">
        <v>179</v>
      </c>
      <c r="B3" s="94">
        <f>SUM(F19:F22,F24:F27,J19)</f>
        <v>77.809070522710627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143.87360592754169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149.41107851397612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155.25059505967056</v>
      </c>
      <c r="L3" s="100"/>
      <c r="M3" s="79" t="s">
        <v>385</v>
      </c>
      <c r="N3" s="92">
        <f>(F69-E69)/E69</f>
        <v>-0.18458313209705404</v>
      </c>
    </row>
    <row r="4" spans="1:15" s="93" customFormat="1" x14ac:dyDescent="0.25">
      <c r="A4" s="81" t="s">
        <v>182</v>
      </c>
      <c r="B4" s="96">
        <f>SUM(G36:G40)*2</f>
        <v>78</v>
      </c>
      <c r="C4" s="101"/>
      <c r="D4" s="102">
        <f>F4*(1+F141/10)</f>
        <v>37.5</v>
      </c>
      <c r="E4" s="82">
        <f>(D4-F4)/F4</f>
        <v>0</v>
      </c>
      <c r="F4" s="103">
        <v>37.5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6.6701099794460976</v>
      </c>
    </row>
    <row r="5" spans="1:15" s="93" customFormat="1" x14ac:dyDescent="0.25">
      <c r="A5" s="81" t="s">
        <v>184</v>
      </c>
      <c r="B5" s="107">
        <f>SUM(F30:F34)*2</f>
        <v>87.514112545172949</v>
      </c>
      <c r="C5" s="87"/>
      <c r="D5" s="87"/>
      <c r="E5" s="87"/>
      <c r="F5" s="86"/>
      <c r="G5" s="88"/>
      <c r="M5" s="79" t="s">
        <v>386</v>
      </c>
      <c r="N5" s="152">
        <f>D62</f>
        <v>6.879999999999999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7.0622994691161995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27.81</v>
      </c>
      <c r="N9" s="129"/>
    </row>
    <row r="10" spans="1:15" s="93" customFormat="1" x14ac:dyDescent="0.25">
      <c r="A10" s="123" t="s">
        <v>194</v>
      </c>
      <c r="B10" s="126">
        <f>PERCENTILE(176:176,B9)</f>
        <v>20</v>
      </c>
      <c r="C10" s="126">
        <f>PERCENTILE(176:176,C9)</f>
        <v>21.435000000000002</v>
      </c>
      <c r="D10" s="126">
        <f>PERCENTILE(176:176,D9)</f>
        <v>22.26</v>
      </c>
      <c r="E10" s="126">
        <f>PERCENTILE(176:176,E9)</f>
        <v>23.13</v>
      </c>
      <c r="F10" s="126">
        <f>PERCENTILE(176:176,F9)</f>
        <v>24.14</v>
      </c>
      <c r="G10" s="95"/>
      <c r="H10" s="135"/>
      <c r="I10" s="135"/>
      <c r="J10" s="135"/>
      <c r="K10" s="135"/>
      <c r="L10" s="136" t="s">
        <v>374</v>
      </c>
      <c r="M10" s="130">
        <f>MIN(176:176)</f>
        <v>16.43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53.66</v>
      </c>
      <c r="L11" s="272" t="s">
        <v>193</v>
      </c>
      <c r="M11" s="128">
        <f>STDEV(176:176)</f>
        <v>2.5210951358693423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83.333333333333343</v>
      </c>
      <c r="C13" s="141">
        <f>$B$34/5.88%</f>
        <v>101.19047619047619</v>
      </c>
      <c r="D13" s="141">
        <f>$B$34/5%</f>
        <v>119</v>
      </c>
      <c r="E13" s="141">
        <f>$B$34/4.35%</f>
        <v>136.78160919540232</v>
      </c>
      <c r="F13" s="141">
        <f>$B$34/3.85%</f>
        <v>154.54545454545456</v>
      </c>
      <c r="G13" s="138" t="str">
        <f>"$"&amp;ROUND(B34,2)&amp;"/"&amp;IF(STDEV(C140:F140)/AVERAGE(C140:F140)&lt;15%,"高",IF(STDEV(C140:F140)/AVERAGE(C140:F140)&lt;30%,"中","低"))</f>
        <v>$5.95/高</v>
      </c>
      <c r="H13" s="142" t="s">
        <v>199</v>
      </c>
      <c r="I13" s="143">
        <f>MAX(0,1-J15)</f>
        <v>0.38875305623471879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193.7</v>
      </c>
      <c r="C14" s="141">
        <f>$B$33*C10</f>
        <v>207.59797499999999</v>
      </c>
      <c r="D14" s="141">
        <f>$B$33*D10</f>
        <v>215.5881</v>
      </c>
      <c r="E14" s="141">
        <f>$B$33*E10</f>
        <v>224.01404999999997</v>
      </c>
      <c r="F14" s="141">
        <f>$B$33*F10</f>
        <v>233.79589999999996</v>
      </c>
      <c r="G14" s="138" t="str">
        <f>"$"&amp;ROUND(B33,2)&amp;"/"&amp;IF(STDEV(B69:E69)/AVERAGE(B69:E69)&lt;15%,"高",IF(STDEV(B69:E69)/AVERAGE(B69:E69)&lt;30%,"中","低"))</f>
        <v>$9.69/高</v>
      </c>
      <c r="H14" s="142" t="s">
        <v>203</v>
      </c>
      <c r="I14" s="145">
        <f>G62/100*I13</f>
        <v>5.077114914425427E-2</v>
      </c>
      <c r="J14" s="76" t="s">
        <v>204</v>
      </c>
      <c r="K14" s="146"/>
      <c r="L14" s="147">
        <f>(HLOOKUP($C$1,$105:$106,2,FALSE)-HLOOKUP($C$1,$117:$127,9,FALSE))/(HLOOKUP($C$1,$117:$128,12,FALSE)/K11)</f>
        <v>14.417669086607614</v>
      </c>
      <c r="M14" s="148">
        <f>E135/E69</f>
        <v>1.0513447432762837</v>
      </c>
      <c r="N14" s="149">
        <f>F173/100</f>
        <v>0.77689999999999992</v>
      </c>
    </row>
    <row r="15" spans="1:15" s="93" customFormat="1" x14ac:dyDescent="0.25">
      <c r="A15" s="140" t="s">
        <v>375</v>
      </c>
      <c r="B15" s="141">
        <f>$D$62*B10</f>
        <v>137.59999999999997</v>
      </c>
      <c r="C15" s="141">
        <f>$D$62*C10</f>
        <v>147.47280000000001</v>
      </c>
      <c r="D15" s="141">
        <f>$D$62*D10</f>
        <v>153.14879999999999</v>
      </c>
      <c r="E15" s="141">
        <f>$D$62*E10</f>
        <v>159.13439999999997</v>
      </c>
      <c r="F15" s="141">
        <f>$D$62*F10</f>
        <v>166.08319999999998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0.61124694376528121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133.40219958892195</v>
      </c>
      <c r="C16" s="141">
        <f>$F$69*C10</f>
        <v>142.97380740942711</v>
      </c>
      <c r="D16" s="141">
        <f>$F$69*D10</f>
        <v>148.47664814247014</v>
      </c>
      <c r="E16" s="141">
        <f>$F$69*E10</f>
        <v>154.27964382458822</v>
      </c>
      <c r="F16" s="141">
        <f>$F$69*F10</f>
        <v>161.01645490382879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1334</v>
      </c>
      <c r="J17" s="92">
        <f ca="1">IF(I17&lt;=0,"",IF(I17&lt;=MIN($B$13:$F$16),(I17-MIN($B$13:$F$16))/MIN($B$13:$F$16),IF(I17&gt;=MAX($B$13:$F$16),I17/MAX($B$13:$F$16),PERCENTRANK($B$13:$F$16,I17))))</f>
        <v>5.7058314538449997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7.2075000000000005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10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1.2113445378151262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0.41364818595534741</v>
      </c>
      <c r="J20" s="171">
        <f>HLOOKUP($C$1,$117:$127,11,FALSE)/HLOOKUP($C$1,$105:$115,11,FALSE)</f>
        <v>0.55875336921182694</v>
      </c>
      <c r="K20" s="163"/>
    </row>
    <row r="21" spans="1:14" s="93" customFormat="1" x14ac:dyDescent="0.25">
      <c r="A21" s="151" t="s">
        <v>201</v>
      </c>
      <c r="B21" s="161">
        <f>AVERAGE(C173:F173)/100</f>
        <v>1.0041</v>
      </c>
      <c r="C21" s="157" t="s">
        <v>217</v>
      </c>
      <c r="D21" s="158">
        <f>COUNTIF(C173:F173,"&gt;=80")/COUNT(C173:F173)</f>
        <v>0.5</v>
      </c>
      <c r="E21" s="140" t="s">
        <v>218</v>
      </c>
      <c r="F21" s="159">
        <f>MIN(100%,B21)*9+D21*6-COUNTIF(B132:E132,"&lt;=0")*4</f>
        <v>12</v>
      </c>
      <c r="G21" s="88" t="s">
        <v>220</v>
      </c>
      <c r="H21" s="123" t="s">
        <v>221</v>
      </c>
      <c r="I21" s="162">
        <f>HLOOKUP($C$1,$105:$115,7,FALSE)/HLOOKUP($C$1,$117:$127,8,FALSE)</f>
        <v>1.5423086406115984</v>
      </c>
      <c r="J21" s="78"/>
      <c r="K21" s="164" t="s">
        <v>356</v>
      </c>
      <c r="L21" s="165">
        <f>HLOOKUP($C$1,$105:$115,7,FALSE)/HLOOKUP($C$1,$105:$115,11,FALSE)</f>
        <v>0.77606954914714421</v>
      </c>
      <c r="M21" s="123" t="s">
        <v>268</v>
      </c>
      <c r="N21" s="165">
        <f>HLOOKUP($C$1,$117:$127,8,FALSE)/HLOOKUP($C$1,$117:$127,11,FALSE)</f>
        <v>0.9005528327616229</v>
      </c>
    </row>
    <row r="22" spans="1:14" s="93" customFormat="1" x14ac:dyDescent="0.25">
      <c r="A22" s="140" t="s">
        <v>222</v>
      </c>
      <c r="B22" s="161">
        <f>(-1)*SUM(C133:F133)/SUM(C132:F132)</f>
        <v>0.25175188165066181</v>
      </c>
      <c r="C22" s="157"/>
      <c r="D22" s="166"/>
      <c r="E22" s="140"/>
      <c r="F22" s="159">
        <f>IF(B22&lt;=0,10,IF(B22&gt;=100%,0,(1-B22)*10))</f>
        <v>7.4824811834933813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0.92945257380409974</v>
      </c>
      <c r="J22" s="78"/>
      <c r="K22" s="142" t="s">
        <v>357</v>
      </c>
      <c r="L22" s="165">
        <f>HLOOKUP($C$1,$105:$115,4,FALSE)/HLOOKUP($C$1,$105:$115,11,FALSE)</f>
        <v>0.26018261253828934</v>
      </c>
      <c r="M22" s="123" t="s">
        <v>353</v>
      </c>
      <c r="N22" s="165">
        <f>HLOOKUP($C$1,$117:$127,4,FALSE)/HLOOKUP($C$1,$117:$127,11,FALSE)</f>
        <v>0.25969451148216555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2.2663062564664989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0.3083811624570697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1.0034874073844664</v>
      </c>
      <c r="C24" s="169">
        <f>STDEV(C103:F103)</f>
        <v>9.8258715952403777E-3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67.67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5.7075404966852879E-2</v>
      </c>
      <c r="M24" s="123" t="s">
        <v>355</v>
      </c>
      <c r="N24" s="165">
        <f>HLOOKUP($C$1,$117:$127,9,FALSE)/HLOOKUP($C$1,$117:$127,11,FALSE)</f>
        <v>9.9447167238377085E-2</v>
      </c>
    </row>
    <row r="25" spans="1:14" s="93" customFormat="1" x14ac:dyDescent="0.25">
      <c r="A25" s="151" t="s">
        <v>366</v>
      </c>
      <c r="B25" s="255">
        <f>AVERAGE(94:94)</f>
        <v>77966.782608695648</v>
      </c>
      <c r="C25" s="254">
        <f>STDEV(94:94)/AVERAGE(94:94)</f>
        <v>1.6734106607827566</v>
      </c>
      <c r="D25" s="76" t="str">
        <f>IF(C25&lt;=1,"高",IF(C25&lt;=2,"中","低"))</f>
        <v>中</v>
      </c>
      <c r="E25" s="149"/>
      <c r="F25" s="160">
        <f>MAX(0,10-ABS(C25))</f>
        <v>8.326589339217243</v>
      </c>
      <c r="G25" s="88" t="s">
        <v>213</v>
      </c>
      <c r="H25" s="123" t="s">
        <v>232</v>
      </c>
      <c r="I25" s="170">
        <f>IF(HLOOKUP(C1,167:170,3,FALSE)="無",0,HLOOKUP(C1,167:170,3,FALSE))</f>
        <v>105.88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67.202608695652188</v>
      </c>
      <c r="C26" s="172">
        <f>IF(COUNTIF(168:168,"&gt;0")=0,0,STDEV(168:168))</f>
        <v>6.9095166370810919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99.265217391304361</v>
      </c>
      <c r="C27" s="172">
        <f>IF(COUNTIF(169:169,"&gt;0")=0,0,STDEV(169:169))</f>
        <v>11.714168138534774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0.21697500000000003</v>
      </c>
      <c r="C30" s="157" t="s">
        <v>217</v>
      </c>
      <c r="D30" s="174">
        <f>COUNTIF(146:146,"&gt;20")/COUNT(146:146)</f>
        <v>0.86956521739130432</v>
      </c>
      <c r="E30" s="140" t="s">
        <v>239</v>
      </c>
      <c r="F30" s="159">
        <f>MIN(B30/25%*10,10)</f>
        <v>8.679000000000002</v>
      </c>
      <c r="G30" s="175"/>
      <c r="H30" s="176"/>
    </row>
    <row r="31" spans="1:14" x14ac:dyDescent="0.25">
      <c r="A31" s="164" t="s">
        <v>240</v>
      </c>
      <c r="B31" s="173">
        <f>AVERAGE(C155:F155)/100</f>
        <v>6.2349999999999996E-2</v>
      </c>
      <c r="C31" s="157" t="s">
        <v>217</v>
      </c>
      <c r="D31" s="174">
        <f>COUNTIF(149:149,"&gt;8")/COUNT(149:149)</f>
        <v>0</v>
      </c>
      <c r="E31" s="140" t="s">
        <v>241</v>
      </c>
      <c r="F31" s="159">
        <f>MIN(B31/10%*10,10)</f>
        <v>6.2349999999999994</v>
      </c>
      <c r="G31" s="175"/>
    </row>
    <row r="32" spans="1:14" x14ac:dyDescent="0.25">
      <c r="A32" s="155" t="s">
        <v>47</v>
      </c>
      <c r="B32" s="177">
        <f>AVERAGE(C165:F165)</f>
        <v>19.327500000000001</v>
      </c>
      <c r="C32" s="157" t="s">
        <v>217</v>
      </c>
      <c r="D32" s="174">
        <f>COUNTIF(159:159,"&gt;3")/COUNT(159:159)</f>
        <v>0.95652173913043481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9.6849999999999987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5.95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8.8430562725864732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57986984.5</v>
      </c>
      <c r="C36" s="178">
        <f>STDEV(C97:F97)</f>
        <v>2820666.1289719609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21.697500000000002</v>
      </c>
      <c r="C37" s="180">
        <f>STDEV(C152:F152)</f>
        <v>0.80192996369175884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7.6224999999999996</v>
      </c>
      <c r="C38" s="180">
        <f>STDEV(C153:F153)</f>
        <v>0.7101349636982156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19.327500000000001</v>
      </c>
      <c r="C39" s="181">
        <f>STDEV(C165:F165)</f>
        <v>2.9936084691666949</v>
      </c>
      <c r="D39" s="76" t="str">
        <f>IF(C39/B39&lt;15%,"高",IF(C39/B39&lt;30%,"中","低"))</f>
        <v>中</v>
      </c>
      <c r="E39" s="107">
        <f>IF(F165&gt;E165,1,0)+IF(E165&gt;D165,1,0)+IF(D165&gt;C165,1,0)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9.6849999999999987</v>
      </c>
      <c r="C40" s="183">
        <f>STDEV(B69:E69)</f>
        <v>1.2047821379818053</v>
      </c>
      <c r="D40" s="76" t="str">
        <f>IF(C40/B40&lt;15%,"高",IF(C40/B40&lt;30%,"中","低"))</f>
        <v>高</v>
      </c>
      <c r="E40" s="107">
        <f>IF(E69&gt;D69,1,0)+IF(D69&gt;C69,1,0)+IF(C69&gt;B69,1,0)</f>
        <v>1</v>
      </c>
      <c r="G40" s="160">
        <f>IF(D40="高",6,IF(D40="中",4,2))+E40+1</f>
        <v>8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1.5873015873015889E-2</v>
      </c>
      <c r="C44" s="186">
        <f>(C46-C49)/C49</f>
        <v>-0.19196428571428575</v>
      </c>
      <c r="D44" s="186">
        <f>(D46-D49)/D49</f>
        <v>-0.39473684210526316</v>
      </c>
      <c r="E44" s="186">
        <f>(E46-E49)/E49</f>
        <v>-0.21681415929203532</v>
      </c>
      <c r="G44" s="86" t="s">
        <v>175</v>
      </c>
      <c r="H44" s="186">
        <f>(H47-H50)/H50</f>
        <v>1.6835016835017318E-3</v>
      </c>
      <c r="I44" s="186">
        <f>(I47-I50)/I50</f>
        <v>-0.18355184743742564</v>
      </c>
      <c r="J44" s="186">
        <f>(J47-J50)/J50</f>
        <v>-0.24380165289256189</v>
      </c>
      <c r="K44" s="186">
        <f>(K47-K50)/K50</f>
        <v>-0.22847682119205298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1.92</v>
      </c>
      <c r="C46" s="152">
        <f>HLOOKUP(C45,$81:$82,2,FALSE)</f>
        <v>1.81</v>
      </c>
      <c r="D46" s="152">
        <f>HLOOKUP(D45,$81:$82,2,FALSE)</f>
        <v>1.38</v>
      </c>
      <c r="E46" s="152">
        <f>HLOOKUP(E45,$81:$82,2,FALSE)</f>
        <v>1.77</v>
      </c>
      <c r="G46" s="86" t="s">
        <v>164</v>
      </c>
      <c r="H46" s="145">
        <f>HLOOKUP(H45,$145:$147,2,FALSE)/100</f>
        <v>0.19719999999999999</v>
      </c>
      <c r="I46" s="145">
        <f>HLOOKUP(I45,$145:$147,2,FALSE)/100</f>
        <v>0.20420000000000002</v>
      </c>
      <c r="J46" s="145">
        <f>HLOOKUP(J45,$145:$147,2,FALSE)/100</f>
        <v>0.18739999999999998</v>
      </c>
      <c r="K46" s="145">
        <f>HLOOKUP(K45,$145:$147,2,FALSE)/100</f>
        <v>0.18100000000000002</v>
      </c>
    </row>
    <row r="47" spans="1:14" x14ac:dyDescent="0.25">
      <c r="A47" s="188" t="s">
        <v>165</v>
      </c>
      <c r="B47" s="189">
        <f>HLOOKUP(B45,$157:$159,3,FALSE)</f>
        <v>3.65</v>
      </c>
      <c r="C47" s="189">
        <f>HLOOKUP(C45,$157:$159,3,FALSE)</f>
        <v>3.47</v>
      </c>
      <c r="D47" s="189">
        <f>HLOOKUP(D45,$157:$159,3,FALSE)</f>
        <v>2.59</v>
      </c>
      <c r="E47" s="189">
        <f>HLOOKUP(E45,$157:$159,3,FALSE)</f>
        <v>3.35</v>
      </c>
      <c r="G47" s="190" t="s">
        <v>166</v>
      </c>
      <c r="H47" s="145">
        <f>HLOOKUP(H45,$145:$147,3,FALSE)/100</f>
        <v>5.9500000000000004E-2</v>
      </c>
      <c r="I47" s="145">
        <f>HLOOKUP(I45,$145:$147,3,FALSE)/100</f>
        <v>6.8499999999999991E-2</v>
      </c>
      <c r="J47" s="145">
        <f>HLOOKUP(J45,$145:$147,3,FALSE)/100</f>
        <v>5.4900000000000004E-2</v>
      </c>
      <c r="K47" s="145">
        <f>HLOOKUP(K45,$145:$147,3,FALSE)/100</f>
        <v>4.6600000000000003E-2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1.89</v>
      </c>
      <c r="C49" s="152">
        <f>HLOOKUP(C48,$81:$82,2,FALSE)</f>
        <v>2.2400000000000002</v>
      </c>
      <c r="D49" s="152">
        <f>HLOOKUP(D48,$81:$82,2,FALSE)</f>
        <v>2.2799999999999998</v>
      </c>
      <c r="E49" s="152">
        <f>HLOOKUP(E48,$81:$82,2,FALSE)</f>
        <v>2.2599999999999998</v>
      </c>
      <c r="G49" s="86" t="s">
        <v>164</v>
      </c>
      <c r="H49" s="145">
        <f>HLOOKUP(H48,$145:$147,2,FALSE)/100</f>
        <v>0.20550000000000002</v>
      </c>
      <c r="I49" s="145">
        <f>HLOOKUP(I48,$145:$147,2,FALSE)/100</f>
        <v>0.2253</v>
      </c>
      <c r="J49" s="145">
        <f>HLOOKUP(J48,$145:$147,2,FALSE)/100</f>
        <v>0.21190000000000001</v>
      </c>
      <c r="K49" s="145">
        <f>HLOOKUP(K48,$145:$147,2,FALSE)/100</f>
        <v>0.22219999999999998</v>
      </c>
    </row>
    <row r="50" spans="1:15" x14ac:dyDescent="0.25">
      <c r="A50" s="188" t="s">
        <v>165</v>
      </c>
      <c r="B50" s="189">
        <f>HLOOKUP(B48,$157:$159,3,FALSE)</f>
        <v>3.6</v>
      </c>
      <c r="C50" s="189">
        <f>HLOOKUP(C48,$157:$159,3,FALSE)</f>
        <v>4.12</v>
      </c>
      <c r="D50" s="189">
        <f>HLOOKUP(D48,$157:$159,3,FALSE)</f>
        <v>4.1100000000000003</v>
      </c>
      <c r="E50" s="189">
        <f>HLOOKUP(E48,$157:$159,3,FALSE)</f>
        <v>4.17</v>
      </c>
      <c r="G50" s="190" t="s">
        <v>166</v>
      </c>
      <c r="H50" s="145">
        <f>HLOOKUP(H48,$145:$147,3,FALSE)/100</f>
        <v>5.9400000000000001E-2</v>
      </c>
      <c r="I50" s="145">
        <f>HLOOKUP(I48,$145:$147,3,FALSE)/100</f>
        <v>8.3900000000000002E-2</v>
      </c>
      <c r="J50" s="145">
        <f>HLOOKUP(J48,$145:$147,3,FALSE)/100</f>
        <v>7.2599999999999998E-2</v>
      </c>
      <c r="K50" s="145">
        <f>HLOOKUP(K48,$145:$147,3,FALSE)/100</f>
        <v>6.0400000000000002E-2</v>
      </c>
    </row>
    <row r="51" spans="1:15" x14ac:dyDescent="0.25">
      <c r="A51" s="86" t="s">
        <v>351</v>
      </c>
      <c r="B51" s="186">
        <f>(B47-B50)/B50</f>
        <v>1.388888888888884E-2</v>
      </c>
      <c r="C51" s="186">
        <f>(C47-C50)/C50</f>
        <v>-0.15776699029126212</v>
      </c>
      <c r="D51" s="186">
        <f>(D47-D50)/D50</f>
        <v>-0.36982968369829694</v>
      </c>
      <c r="E51" s="186">
        <f>(E47-E50)/E50</f>
        <v>-0.19664268585131892</v>
      </c>
      <c r="G51" s="235" t="s">
        <v>174</v>
      </c>
      <c r="H51" s="186">
        <f>(H46-H49)/H49</f>
        <v>-4.0389294403893085E-2</v>
      </c>
      <c r="I51" s="186">
        <f>(I46-I49)/I49</f>
        <v>-9.3652907234797952E-2</v>
      </c>
      <c r="J51" s="186">
        <f>(J46-J49)/J49</f>
        <v>-0.11562057574327524</v>
      </c>
      <c r="K51" s="186">
        <f>(K46-K49)/K49</f>
        <v>-0.18541854185418524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7.0622994691161995</v>
      </c>
      <c r="B53" s="193">
        <f>B46</f>
        <v>1.92</v>
      </c>
      <c r="C53" s="193">
        <f>E46/HLOOKUP(E45,$87:$94,5,FALSE)*HLOOKUP(E45,$87:$94,4,FALSE)*($B$25/HLOOKUP(E45,$87:$94,4,FALSE)+SUM($B$57:$D$57)/SUM($B58:$D$58)*$G$69/100/K46)</f>
        <v>1.5601099794460982</v>
      </c>
      <c r="D53" s="193">
        <f>D46/HLOOKUP(D45,$87:$94,5,FALSE)*HLOOKUP(D45,$87:$94,4,FALSE)*($B$25/HLOOKUP(D45,$87:$94,4,FALSE)+SUM($B$57:$D$57)/SUM($B58:$D$58)*$G$69/100/J46)</f>
        <v>1.6882419683449925</v>
      </c>
      <c r="E53" s="193">
        <f>C46/HLOOKUP(C45,$87:$94,5,FALSE)*HLOOKUP(C45,$87:$94,4,FALSE)*($B$25/HLOOKUP(C45,$87:$94,4,FALSE)+SUM($B$57:$D$57)/SUM($B58:$D$58)*$G$69/100/I46)</f>
        <v>1.8939475213251091</v>
      </c>
    </row>
    <row r="54" spans="1:15" x14ac:dyDescent="0.25">
      <c r="A54" s="278">
        <f>SUM(B54:E54)</f>
        <v>6.85</v>
      </c>
      <c r="B54" s="277">
        <f t="shared" ref="B54:D54" si="0">HLOOKUP(B52-10,81:82,2,FALSE)</f>
        <v>1.89</v>
      </c>
      <c r="C54" s="277">
        <f t="shared" si="0"/>
        <v>1.77</v>
      </c>
      <c r="D54" s="277">
        <f t="shared" si="0"/>
        <v>1.38</v>
      </c>
      <c r="E54" s="277">
        <f>HLOOKUP(E52-10,81:82,2,FALSE)</f>
        <v>1.81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4400296</v>
      </c>
      <c r="C57" s="196">
        <f>HLOOKUP(C56,78:79,2,FALSE)</f>
        <v>5163208</v>
      </c>
      <c r="D57" s="196">
        <f>HLOOKUP(D56,78:79,2,FALSE)</f>
        <v>4925942</v>
      </c>
      <c r="E57" s="196">
        <f>HLOOKUP(E56,78:79,2,FALSE)</f>
        <v>4775205</v>
      </c>
      <c r="F57" s="196">
        <f>HLOOKUP(F56,78:79,2,FALSE)</f>
        <v>4367850</v>
      </c>
      <c r="G57" s="196">
        <f t="shared" ref="G57:M57" si="2">HLOOKUP(G56,78:79,2,FALSE)</f>
        <v>4491645</v>
      </c>
      <c r="H57" s="196">
        <f t="shared" si="2"/>
        <v>4518691</v>
      </c>
      <c r="I57" s="196">
        <f t="shared" si="2"/>
        <v>5267028</v>
      </c>
      <c r="J57" s="196">
        <f t="shared" si="2"/>
        <v>4095873</v>
      </c>
      <c r="K57" s="196">
        <f t="shared" si="2"/>
        <v>4141944</v>
      </c>
      <c r="L57" s="196">
        <f t="shared" si="2"/>
        <v>4132229</v>
      </c>
      <c r="M57" s="196">
        <f t="shared" si="2"/>
        <v>4394789</v>
      </c>
      <c r="N57" s="197"/>
    </row>
    <row r="58" spans="1:15" x14ac:dyDescent="0.25">
      <c r="A58" s="198" t="s">
        <v>253</v>
      </c>
      <c r="B58" s="196">
        <f>HLOOKUP(B56-100,78:79,2,FALSE)</f>
        <v>4252636</v>
      </c>
      <c r="C58" s="196">
        <f>HLOOKUP(C56-100,78:79,2,FALSE)</f>
        <v>5200784</v>
      </c>
      <c r="D58" s="196">
        <f>HLOOKUP(D56-100,78:79,2,FALSE)</f>
        <v>5051284</v>
      </c>
      <c r="E58" s="196">
        <f>HLOOKUP(E56-100,78:79,2,FALSE)</f>
        <v>4910674</v>
      </c>
      <c r="F58" s="196">
        <f>HLOOKUP(F56-100,78:79,2,FALSE)</f>
        <v>4745198</v>
      </c>
      <c r="G58" s="196">
        <f t="shared" ref="G58:M58" si="3">HLOOKUP(G56-100,78:79,2,FALSE)</f>
        <v>4747403</v>
      </c>
      <c r="H58" s="196">
        <f t="shared" si="3"/>
        <v>5298656</v>
      </c>
      <c r="I58" s="196">
        <f t="shared" si="3"/>
        <v>5549056</v>
      </c>
      <c r="J58" s="196">
        <f t="shared" si="3"/>
        <v>4155397</v>
      </c>
      <c r="K58" s="196">
        <f t="shared" si="3"/>
        <v>4571050</v>
      </c>
      <c r="L58" s="196">
        <f t="shared" si="3"/>
        <v>4135243</v>
      </c>
      <c r="M58" s="196">
        <f t="shared" si="3"/>
        <v>4201358</v>
      </c>
      <c r="N58" s="197"/>
    </row>
    <row r="59" spans="1:15" x14ac:dyDescent="0.25">
      <c r="A59" s="199" t="s">
        <v>254</v>
      </c>
      <c r="B59" s="165">
        <f>IF(B57&lt;&gt;"",(B57-B58)/B58,"")</f>
        <v>3.4721993605848232E-2</v>
      </c>
      <c r="C59" s="165">
        <f>IF(C57&lt;&gt;"",(C57-C58)/C58,"")</f>
        <v>-7.2250645287325914E-3</v>
      </c>
      <c r="D59" s="165">
        <f>IF(D57&lt;&gt;"",(D57-D58)/D58,"")</f>
        <v>-2.4813888904286513E-2</v>
      </c>
      <c r="E59" s="165">
        <f>IF(E57&lt;&gt;"",(E57-E58)/E58,"")</f>
        <v>-2.7586640856224625E-2</v>
      </c>
      <c r="F59" s="165">
        <f>IF(F57&lt;&gt;"",(F57-F58)/F58,"")</f>
        <v>-7.9522076844843984E-2</v>
      </c>
      <c r="G59" s="165">
        <f t="shared" ref="G59:M59" si="4">IF(G57&lt;&gt;"",(G57-G58)/G58,"")</f>
        <v>-5.3873243960961395E-2</v>
      </c>
      <c r="H59" s="165">
        <f t="shared" si="4"/>
        <v>-0.14720053538104758</v>
      </c>
      <c r="I59" s="165">
        <f t="shared" si="4"/>
        <v>-5.0824500599741647E-2</v>
      </c>
      <c r="J59" s="165">
        <f t="shared" si="4"/>
        <v>-1.4324503771841775E-2</v>
      </c>
      <c r="K59" s="165">
        <f t="shared" si="4"/>
        <v>-9.3874711499546057E-2</v>
      </c>
      <c r="L59" s="165">
        <f t="shared" si="4"/>
        <v>-7.2885680478752997E-4</v>
      </c>
      <c r="M59" s="165">
        <f t="shared" si="4"/>
        <v>4.604011369657144E-2</v>
      </c>
    </row>
    <row r="60" spans="1:15" x14ac:dyDescent="0.25">
      <c r="A60" s="195" t="s">
        <v>255</v>
      </c>
      <c r="B60" s="196">
        <f>SUM(B57:M57)</f>
        <v>54674700</v>
      </c>
    </row>
    <row r="61" spans="1:15" x14ac:dyDescent="0.25">
      <c r="A61" s="198" t="s">
        <v>256</v>
      </c>
      <c r="B61" s="196">
        <f>SUM(B58:M58)</f>
        <v>56818739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0.96226528364172248</v>
      </c>
      <c r="D62" s="152">
        <f>SUM(B46:E46)</f>
        <v>6.879999999999999</v>
      </c>
      <c r="E62" s="152">
        <f>SUM(B49:E49)</f>
        <v>8.67</v>
      </c>
      <c r="G62" s="126">
        <f>SUM(B47:E47)</f>
        <v>13.06</v>
      </c>
      <c r="H62" s="126">
        <f>SUM(B50:E50)</f>
        <v>16</v>
      </c>
      <c r="J62" s="200">
        <f>AVERAGE(H46:K46)</f>
        <v>0.19245000000000001</v>
      </c>
      <c r="K62" s="200">
        <f>AVERAGE(H49:K49)</f>
        <v>0.216225</v>
      </c>
      <c r="M62" s="200">
        <f>AVERAGE(H47:K47)</f>
        <v>5.7375000000000002E-2</v>
      </c>
      <c r="N62" s="200">
        <f>AVERAGE(H50:K50)</f>
        <v>6.9074999999999998E-2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2.36</v>
      </c>
      <c r="C65" s="205">
        <f t="shared" si="5"/>
        <v>2.83</v>
      </c>
      <c r="D65" s="205">
        <f t="shared" si="5"/>
        <v>2.5299999999999998</v>
      </c>
      <c r="E65" s="205">
        <f t="shared" si="5"/>
        <v>2.2799999999999998</v>
      </c>
      <c r="F65" s="206">
        <f>IF(ISNA(HLOOKUP(F$64*10+$A65,$81:$82,2,FALSE)),(HLOOKUP(E$64*10+$A65,$87:$94,4,FALSE)*$G65+$B$25)/HLOOKUP(E$64*10+$A65,$87:$94,5,FALSE)*$E65,HLOOKUP(F$64*10+$A65,$81:$82,2,FALSE))</f>
        <v>1.38</v>
      </c>
      <c r="G65" s="101">
        <f>MIN(130%,SUM($B$57:$D$57)/SUM($B$58:$D$58)*$G$69/HLOOKUP(E$64*10+$A65,$145:$146,2,FALSE))</f>
        <v>0.94423871568977946</v>
      </c>
      <c r="H65" s="204">
        <v>1</v>
      </c>
      <c r="I65" s="208">
        <f t="shared" ref="I65:M68" si="6">IF(ISNA(HLOOKUP(I$64*10+$H65,$145:$147,3,FALSE)),"",HLOOKUP(I$64*10+$H65,$145:$147,3,FALSE)/100)</f>
        <v>7.6299999999999993E-2</v>
      </c>
      <c r="J65" s="208">
        <f t="shared" si="6"/>
        <v>8.4700000000000011E-2</v>
      </c>
      <c r="K65" s="208">
        <f t="shared" si="6"/>
        <v>9.1999999999999998E-2</v>
      </c>
      <c r="L65" s="208">
        <f t="shared" si="6"/>
        <v>7.2599999999999998E-2</v>
      </c>
      <c r="M65" s="209">
        <f t="shared" si="6"/>
        <v>5.4900000000000004E-2</v>
      </c>
      <c r="N65" s="256">
        <f t="shared" ref="N65:O68" si="7">HLOOKUP(E$64*10+$A65,$87:$94,8,FALSE)</f>
        <v>40416</v>
      </c>
      <c r="O65" s="256">
        <f t="shared" si="7"/>
        <v>-30674</v>
      </c>
      <c r="P65" s="210"/>
    </row>
    <row r="66" spans="1:71" x14ac:dyDescent="0.25">
      <c r="A66" s="204">
        <v>2</v>
      </c>
      <c r="B66" s="205">
        <f t="shared" si="5"/>
        <v>2.2200000000000002</v>
      </c>
      <c r="C66" s="205">
        <f t="shared" si="5"/>
        <v>2.29</v>
      </c>
      <c r="D66" s="205">
        <f t="shared" si="5"/>
        <v>2.2200000000000002</v>
      </c>
      <c r="E66" s="205">
        <f t="shared" si="5"/>
        <v>2.2400000000000002</v>
      </c>
      <c r="F66" s="206">
        <f>IF(ISNA(HLOOKUP(F$64*10+$A66,$81:$82,2,FALSE)),(HLOOKUP(E$64*10+$A66,$87:$94,4,FALSE)*$G66+$B$25)/HLOOKUP(E$64*10+$A66,$87:$94,5,FALSE)*$E66,HLOOKUP(F$64*10+$A66,$81:$82,2,FALSE))</f>
        <v>1.81</v>
      </c>
      <c r="G66" s="101">
        <f>MIN(130%,SUM($B$57:$D$57)/SUM($B$58:$D$58)*$G$69/HLOOKUP(E$64*10+$A66,$145:$146,2,FALSE))</f>
        <v>0.88807893410858529</v>
      </c>
      <c r="H66" s="204">
        <v>2</v>
      </c>
      <c r="I66" s="208">
        <f t="shared" si="6"/>
        <v>8.3599999999999994E-2</v>
      </c>
      <c r="J66" s="208">
        <f t="shared" si="6"/>
        <v>0.1017</v>
      </c>
      <c r="K66" s="208">
        <f t="shared" si="6"/>
        <v>9.0999999999999998E-2</v>
      </c>
      <c r="L66" s="208">
        <f t="shared" si="6"/>
        <v>8.3900000000000002E-2</v>
      </c>
      <c r="M66" s="209">
        <f t="shared" si="6"/>
        <v>6.8499999999999991E-2</v>
      </c>
      <c r="N66" s="256">
        <f t="shared" si="7"/>
        <v>142617</v>
      </c>
      <c r="O66" s="256">
        <f t="shared" si="7"/>
        <v>16026</v>
      </c>
      <c r="P66" s="210"/>
    </row>
    <row r="67" spans="1:71" x14ac:dyDescent="0.25">
      <c r="A67" s="204">
        <v>3</v>
      </c>
      <c r="B67" s="205">
        <f t="shared" si="5"/>
        <v>2.4700000000000002</v>
      </c>
      <c r="C67" s="205">
        <f t="shared" si="5"/>
        <v>3.07</v>
      </c>
      <c r="D67" s="205">
        <f t="shared" si="5"/>
        <v>3.24</v>
      </c>
      <c r="E67" s="205">
        <f t="shared" si="5"/>
        <v>1.89</v>
      </c>
      <c r="F67" s="206">
        <f>IF(ISNA(HLOOKUP(F$64*10+$A67,$81:$82,2,FALSE)),(HLOOKUP(E$64*10+$A67,$87:$94,4,FALSE)*$G67+$B$25)/HLOOKUP(E$64*10+$A67,$87:$94,5,FALSE)*$E67,HLOOKUP(F$64*10+$A67,$81:$82,2,FALSE))</f>
        <v>1.92</v>
      </c>
      <c r="G67" s="101">
        <f>MIN(130%,SUM($B$57:$D$57)/SUM($B$58:$D$58)*$G$69/HLOOKUP(E$64*10+$A67,$145:$146,2,FALSE))</f>
        <v>0.97364566352634685</v>
      </c>
      <c r="H67" s="204">
        <v>3</v>
      </c>
      <c r="I67" s="208">
        <f t="shared" si="6"/>
        <v>7.7899999999999997E-2</v>
      </c>
      <c r="J67" s="208">
        <f t="shared" si="6"/>
        <v>7.7800000000000008E-2</v>
      </c>
      <c r="K67" s="208">
        <f t="shared" si="6"/>
        <v>7.6100000000000001E-2</v>
      </c>
      <c r="L67" s="208">
        <f t="shared" si="6"/>
        <v>5.9400000000000001E-2</v>
      </c>
      <c r="M67" s="209">
        <f t="shared" si="6"/>
        <v>5.9500000000000004E-2</v>
      </c>
      <c r="N67" s="256">
        <f t="shared" si="7"/>
        <v>33512</v>
      </c>
      <c r="O67" s="256">
        <f t="shared" si="7"/>
        <v>103546</v>
      </c>
      <c r="P67" s="210"/>
    </row>
    <row r="68" spans="1:71" x14ac:dyDescent="0.25">
      <c r="A68" s="204">
        <v>4</v>
      </c>
      <c r="B68" s="205">
        <f>HLOOKUP(B$64*10+$A68,$81:$82,2,FALSE)</f>
        <v>2.29</v>
      </c>
      <c r="C68" s="205">
        <f>HLOOKUP(C$64*10+$A68,$81:$82,2,FALSE)</f>
        <v>2.78</v>
      </c>
      <c r="D68" s="205">
        <f>HLOOKUP(D$64*10+$A68,$81:$82,2,FALSE)</f>
        <v>2.2599999999999998</v>
      </c>
      <c r="E68" s="206">
        <f>IF(ISNA(HLOOKUP(E$64*10+$A68,$81:$82,2,FALSE)),D68*(1-$N68)*#REF!*(1+$B$25)/(1+$E$4),HLOOKUP(E$64*10+$A68,$81:$82,2,FALSE))</f>
        <v>1.77</v>
      </c>
      <c r="F68" s="206">
        <f>IF(ISNA(HLOOKUP(F$64*10+$A68,$81:$82,2,FALSE)),(HLOOKUP(E$64*10+$A68,$87:$94,4,FALSE)*$G68+$B$25)/HLOOKUP(E$64*10+$A68,$87:$94,5,FALSE)*$E68,HLOOKUP(F$64*10+$A68,$81:$82,2,FALSE))</f>
        <v>1.5601099794460984</v>
      </c>
      <c r="G68" s="101">
        <f>MIN(130%,SUM($B$57:$D$57)/SUM($B$58:$D$58)*$G$69/HLOOKUP(E$64*10+$A68,$145:$146,2,FALSE))</f>
        <v>1.1054374798600235</v>
      </c>
      <c r="H68" s="204">
        <v>4</v>
      </c>
      <c r="I68" s="208">
        <f t="shared" si="6"/>
        <v>6.6000000000000003E-2</v>
      </c>
      <c r="J68" s="208">
        <f t="shared" si="6"/>
        <v>6.3E-2</v>
      </c>
      <c r="K68" s="208">
        <f t="shared" si="6"/>
        <v>6.0400000000000002E-2</v>
      </c>
      <c r="L68" s="208">
        <f t="shared" si="6"/>
        <v>4.6600000000000003E-2</v>
      </c>
      <c r="M68" s="209" t="str">
        <f t="shared" si="6"/>
        <v/>
      </c>
      <c r="N68" s="256">
        <f t="shared" si="7"/>
        <v>240624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9.34</v>
      </c>
      <c r="C69" s="213">
        <f>SUM(C65:C68)</f>
        <v>10.969999999999999</v>
      </c>
      <c r="D69" s="213">
        <f>SUM(D65:D68)</f>
        <v>10.25</v>
      </c>
      <c r="E69" s="213">
        <f>SUM(E65:E68)</f>
        <v>8.18</v>
      </c>
      <c r="F69" s="213">
        <f>SUM(F65:F68)</f>
        <v>6.6701099794460976</v>
      </c>
      <c r="G69" s="257">
        <f>_xlfn.FORECAST.ETS(23,B146:W146,{1,2,3,4,5,6,7,8,9,10,11,12,13,14,15,16,17,18,19,20,21,22})</f>
        <v>20.029488097015474</v>
      </c>
      <c r="H69" s="214" t="s">
        <v>19</v>
      </c>
      <c r="I69" s="215">
        <f>HLOOKUP(I64,151:155,3,FALSE)/100</f>
        <v>7.6299999999999993E-2</v>
      </c>
      <c r="J69" s="215">
        <f>HLOOKUP(J64,151:155,3,FALSE)/100</f>
        <v>8.199999999999999E-2</v>
      </c>
      <c r="K69" s="215">
        <f>HLOOKUP(K64,151:155,3,FALSE)/100</f>
        <v>8.0399999999999985E-2</v>
      </c>
      <c r="L69" s="215">
        <f>IF(ISNA(HLOOKUP(L64,151:155,3,FALSE)/100),AVERAGE(L65:L68),HLOOKUP(L64,151:155,3,FALSE)/100)</f>
        <v>6.6199999999999995E-2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5.44</v>
      </c>
      <c r="C72" s="205">
        <f t="shared" si="8"/>
        <v>5.87</v>
      </c>
      <c r="D72" s="205">
        <f t="shared" si="8"/>
        <v>4.84</v>
      </c>
      <c r="E72" s="205">
        <f t="shared" si="8"/>
        <v>4.1100000000000003</v>
      </c>
      <c r="F72" s="205">
        <f t="shared" si="8"/>
        <v>2.59</v>
      </c>
    </row>
    <row r="73" spans="1:71" s="135" customFormat="1" x14ac:dyDescent="0.25">
      <c r="A73" s="204">
        <v>2</v>
      </c>
      <c r="B73" s="205">
        <f t="shared" si="8"/>
        <v>5.1100000000000003</v>
      </c>
      <c r="C73" s="205">
        <f t="shared" si="8"/>
        <v>4.8099999999999996</v>
      </c>
      <c r="D73" s="205">
        <f t="shared" si="8"/>
        <v>4.41</v>
      </c>
      <c r="E73" s="205">
        <f t="shared" si="8"/>
        <v>4.12</v>
      </c>
      <c r="F73" s="205">
        <f t="shared" si="8"/>
        <v>3.47</v>
      </c>
    </row>
    <row r="74" spans="1:71" s="135" customFormat="1" x14ac:dyDescent="0.25">
      <c r="A74" s="204">
        <v>3</v>
      </c>
      <c r="B74" s="205">
        <f t="shared" si="8"/>
        <v>5.68</v>
      </c>
      <c r="C74" s="205">
        <f t="shared" si="8"/>
        <v>6.47</v>
      </c>
      <c r="D74" s="205">
        <f t="shared" si="8"/>
        <v>6.34</v>
      </c>
      <c r="E74" s="205">
        <f t="shared" si="8"/>
        <v>3.6</v>
      </c>
      <c r="F74" s="205">
        <f t="shared" si="8"/>
        <v>3.65</v>
      </c>
    </row>
    <row r="75" spans="1:71" s="135" customFormat="1" x14ac:dyDescent="0.25">
      <c r="A75" s="204">
        <v>4</v>
      </c>
      <c r="B75" s="205">
        <f t="shared" si="8"/>
        <v>4.74</v>
      </c>
      <c r="C75" s="205">
        <f t="shared" si="8"/>
        <v>5.46</v>
      </c>
      <c r="D75" s="205">
        <f t="shared" si="8"/>
        <v>4.17</v>
      </c>
      <c r="E75" s="205">
        <f t="shared" si="8"/>
        <v>3.35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20.97</v>
      </c>
      <c r="C76" s="213">
        <f>SUM(C72:C75)</f>
        <v>22.61</v>
      </c>
      <c r="D76" s="213">
        <f>SUM(D72:D75)</f>
        <v>19.759999999999998</v>
      </c>
      <c r="E76" s="213">
        <f>AVERAGE(E72:E75)*4</f>
        <v>15.18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1531275</v>
      </c>
      <c r="C79" s="270">
        <v>1853962</v>
      </c>
      <c r="D79" s="270">
        <v>1756613</v>
      </c>
      <c r="E79" s="270">
        <v>1085563</v>
      </c>
      <c r="F79" s="270">
        <v>1379882</v>
      </c>
      <c r="G79" s="270">
        <v>1807174</v>
      </c>
      <c r="H79" s="270">
        <v>1718672</v>
      </c>
      <c r="I79" s="270">
        <v>2293969</v>
      </c>
      <c r="J79" s="270">
        <v>1937862</v>
      </c>
      <c r="K79" s="270">
        <v>1932716</v>
      </c>
      <c r="L79" s="270">
        <v>2212876</v>
      </c>
      <c r="M79" s="270">
        <v>1734230</v>
      </c>
      <c r="N79" s="270">
        <v>4397144</v>
      </c>
      <c r="O79" s="270">
        <v>3711993</v>
      </c>
      <c r="P79" s="270">
        <v>5140036</v>
      </c>
      <c r="Q79" s="270">
        <v>4821741</v>
      </c>
      <c r="R79" s="270">
        <v>4854022</v>
      </c>
      <c r="S79" s="270">
        <v>4252670</v>
      </c>
      <c r="T79" s="270">
        <v>5066236</v>
      </c>
      <c r="U79" s="270">
        <v>4954583</v>
      </c>
      <c r="V79" s="270">
        <v>4959112</v>
      </c>
      <c r="W79" s="270">
        <v>4395387</v>
      </c>
      <c r="X79" s="270">
        <v>4002703</v>
      </c>
      <c r="Y79" s="270">
        <v>3767877</v>
      </c>
      <c r="Z79" s="270">
        <v>4391704</v>
      </c>
      <c r="AA79" s="270">
        <v>3855725</v>
      </c>
      <c r="AB79" s="270">
        <v>5934128</v>
      </c>
      <c r="AC79" s="270">
        <v>5558954</v>
      </c>
      <c r="AD79" s="270">
        <v>4857547</v>
      </c>
      <c r="AE79" s="270">
        <v>4728565</v>
      </c>
      <c r="AF79" s="270">
        <v>5634175</v>
      </c>
      <c r="AG79" s="270">
        <v>5301028</v>
      </c>
      <c r="AH79" s="270">
        <v>5721807</v>
      </c>
      <c r="AI79" s="270">
        <v>5020807</v>
      </c>
      <c r="AJ79" s="270">
        <v>4737097</v>
      </c>
      <c r="AK79" s="270">
        <v>4483083</v>
      </c>
      <c r="AL79" s="270">
        <v>4667072</v>
      </c>
      <c r="AM79" s="270">
        <v>4042501</v>
      </c>
      <c r="AN79" s="270">
        <v>5746336</v>
      </c>
      <c r="AO79" s="270">
        <v>5587581</v>
      </c>
      <c r="AP79" s="270">
        <v>4977065</v>
      </c>
      <c r="AQ79" s="270">
        <v>5129962</v>
      </c>
      <c r="AR79" s="270">
        <v>5424386</v>
      </c>
      <c r="AS79" s="270">
        <v>5806161</v>
      </c>
      <c r="AT79" s="270">
        <v>5536443</v>
      </c>
      <c r="AU79" s="270">
        <v>5117023</v>
      </c>
      <c r="AV79" s="270">
        <v>4201358</v>
      </c>
      <c r="AW79" s="270">
        <v>4135243</v>
      </c>
      <c r="AX79" s="270">
        <v>4571050</v>
      </c>
      <c r="AY79" s="270">
        <v>4155397</v>
      </c>
      <c r="AZ79" s="270">
        <v>5549056</v>
      </c>
      <c r="BA79" s="270">
        <v>5298656</v>
      </c>
      <c r="BB79" s="270">
        <v>4747403</v>
      </c>
      <c r="BC79" s="270">
        <v>4745198</v>
      </c>
      <c r="BD79" s="270">
        <v>4910674</v>
      </c>
      <c r="BE79" s="270">
        <v>5051284</v>
      </c>
      <c r="BF79" s="270">
        <v>5200784</v>
      </c>
      <c r="BG79" s="270">
        <v>4252636</v>
      </c>
      <c r="BH79" s="270">
        <v>4394789</v>
      </c>
      <c r="BI79" s="270">
        <v>4132229</v>
      </c>
      <c r="BJ79" s="270">
        <v>4141944</v>
      </c>
      <c r="BK79" s="270">
        <v>4095873</v>
      </c>
      <c r="BL79" s="270">
        <v>5267028</v>
      </c>
      <c r="BM79" s="270">
        <v>4518691</v>
      </c>
      <c r="BN79" s="270">
        <v>4491645</v>
      </c>
      <c r="BO79" s="270">
        <v>4367850</v>
      </c>
      <c r="BP79" s="270">
        <v>4775205</v>
      </c>
      <c r="BQ79" s="270">
        <v>4925942</v>
      </c>
      <c r="BR79" s="270">
        <v>5163208</v>
      </c>
      <c r="BS79" s="270">
        <v>4400296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1.78</v>
      </c>
      <c r="C82" s="72">
        <v>2.04</v>
      </c>
      <c r="D82" s="72">
        <v>2.35</v>
      </c>
      <c r="E82" s="72">
        <v>1.85</v>
      </c>
      <c r="F82" s="72">
        <v>2.36</v>
      </c>
      <c r="G82" s="72">
        <v>2.2200000000000002</v>
      </c>
      <c r="H82" s="72">
        <v>2.4700000000000002</v>
      </c>
      <c r="I82" s="72">
        <v>2.29</v>
      </c>
      <c r="J82" s="72">
        <v>2.83</v>
      </c>
      <c r="K82" s="72">
        <v>2.29</v>
      </c>
      <c r="L82" s="72">
        <v>3.07</v>
      </c>
      <c r="M82" s="72">
        <v>2.78</v>
      </c>
      <c r="N82" s="72">
        <v>2.5299999999999998</v>
      </c>
      <c r="O82" s="72">
        <v>2.2200000000000002</v>
      </c>
      <c r="P82" s="72">
        <v>3.24</v>
      </c>
      <c r="Q82" s="72">
        <v>2.2599999999999998</v>
      </c>
      <c r="R82" s="72">
        <v>2.2799999999999998</v>
      </c>
      <c r="S82" s="72">
        <v>2.2400000000000002</v>
      </c>
      <c r="T82" s="72">
        <v>1.89</v>
      </c>
      <c r="U82" s="72">
        <v>1.77</v>
      </c>
      <c r="V82" s="72">
        <v>1.38</v>
      </c>
      <c r="W82" s="72">
        <v>1.81</v>
      </c>
      <c r="X82" s="72">
        <v>1.92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40.86</v>
      </c>
      <c r="C85" s="72">
        <v>37.29</v>
      </c>
      <c r="D85" s="72">
        <v>39.619999999999997</v>
      </c>
      <c r="E85" s="72">
        <v>41.2</v>
      </c>
      <c r="F85" s="72">
        <v>44.18</v>
      </c>
      <c r="G85" s="72">
        <v>41.24</v>
      </c>
      <c r="H85" s="72">
        <v>43.55</v>
      </c>
      <c r="I85" s="72">
        <v>46.36</v>
      </c>
      <c r="J85" s="72">
        <v>49.44</v>
      </c>
      <c r="K85" s="72">
        <v>45.06</v>
      </c>
      <c r="L85" s="72">
        <v>48.27</v>
      </c>
      <c r="M85" s="72">
        <v>51.67</v>
      </c>
      <c r="N85" s="72">
        <v>52.83</v>
      </c>
      <c r="O85" s="72">
        <v>48.51</v>
      </c>
      <c r="P85" s="72">
        <v>53.43</v>
      </c>
      <c r="Q85" s="72">
        <v>54.28</v>
      </c>
      <c r="R85" s="72">
        <v>56.71</v>
      </c>
      <c r="S85" s="72">
        <v>51.78</v>
      </c>
      <c r="T85" s="72">
        <v>52.48</v>
      </c>
      <c r="U85" s="72">
        <v>53.24</v>
      </c>
      <c r="V85" s="72">
        <v>53.06</v>
      </c>
      <c r="W85" s="72">
        <v>51.06</v>
      </c>
      <c r="X85" s="72">
        <v>53.66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12796603</v>
      </c>
      <c r="C88" s="273">
        <v>13335600</v>
      </c>
      <c r="D88" s="273">
        <v>14998089</v>
      </c>
      <c r="E88" s="273">
        <v>12911109</v>
      </c>
      <c r="F88" s="273">
        <v>13240567</v>
      </c>
      <c r="G88" s="273">
        <v>13954098</v>
      </c>
      <c r="H88" s="273">
        <v>14911472</v>
      </c>
      <c r="I88" s="273">
        <v>12285718</v>
      </c>
      <c r="J88" s="273">
        <v>14199655</v>
      </c>
      <c r="K88" s="273">
        <v>15138048</v>
      </c>
      <c r="L88" s="273">
        <v>16697213</v>
      </c>
      <c r="M88" s="273">
        <v>14010374</v>
      </c>
      <c r="N88" s="273">
        <v>14586968</v>
      </c>
      <c r="O88" s="273">
        <v>15614462</v>
      </c>
      <c r="P88" s="273">
        <v>17108530</v>
      </c>
      <c r="Q88" s="273">
        <v>13107661</v>
      </c>
      <c r="R88" s="273">
        <v>14353895</v>
      </c>
      <c r="S88" s="273">
        <v>14728220</v>
      </c>
      <c r="T88" s="273">
        <v>15156532</v>
      </c>
      <c r="U88" s="273">
        <v>12854525</v>
      </c>
      <c r="V88" s="273">
        <v>13509141</v>
      </c>
      <c r="W88" s="273">
        <v>13432350</v>
      </c>
      <c r="X88" s="273">
        <v>14948234</v>
      </c>
    </row>
    <row r="89" spans="1:25" ht="14.25" thickBot="1" x14ac:dyDescent="0.3">
      <c r="A89" s="250" t="s">
        <v>4</v>
      </c>
      <c r="B89" s="275">
        <v>2650087</v>
      </c>
      <c r="C89" s="275">
        <v>2902986</v>
      </c>
      <c r="D89" s="275">
        <v>3297076</v>
      </c>
      <c r="E89" s="275">
        <v>2860604</v>
      </c>
      <c r="F89" s="275">
        <v>2800723</v>
      </c>
      <c r="G89" s="275">
        <v>2983391</v>
      </c>
      <c r="H89" s="275">
        <v>3144257</v>
      </c>
      <c r="I89" s="275">
        <v>2755378</v>
      </c>
      <c r="J89" s="275">
        <v>3121278</v>
      </c>
      <c r="K89" s="275">
        <v>3585235</v>
      </c>
      <c r="L89" s="275">
        <v>3650059</v>
      </c>
      <c r="M89" s="275">
        <v>3141329</v>
      </c>
      <c r="N89" s="275">
        <v>3300307</v>
      </c>
      <c r="O89" s="275">
        <v>3514930</v>
      </c>
      <c r="P89" s="275">
        <v>3660502</v>
      </c>
      <c r="Q89" s="275">
        <v>2912582</v>
      </c>
      <c r="R89" s="275">
        <v>3041688</v>
      </c>
      <c r="S89" s="275">
        <v>3318677</v>
      </c>
      <c r="T89" s="275">
        <v>3114072</v>
      </c>
      <c r="U89" s="275">
        <v>2326497</v>
      </c>
      <c r="V89" s="275">
        <v>2531192</v>
      </c>
      <c r="W89" s="275">
        <v>2742237</v>
      </c>
      <c r="X89" s="275">
        <v>2948330</v>
      </c>
    </row>
    <row r="90" spans="1:25" ht="14.25" thickBot="1" x14ac:dyDescent="0.3">
      <c r="A90" s="251" t="s">
        <v>5</v>
      </c>
      <c r="B90" s="273">
        <v>943569</v>
      </c>
      <c r="C90" s="273">
        <v>1084762</v>
      </c>
      <c r="D90" s="273">
        <v>1162183</v>
      </c>
      <c r="E90" s="273">
        <v>764144</v>
      </c>
      <c r="F90" s="273">
        <v>1010453</v>
      </c>
      <c r="G90" s="273">
        <v>1166231</v>
      </c>
      <c r="H90" s="273">
        <v>1161733</v>
      </c>
      <c r="I90" s="273">
        <v>810900</v>
      </c>
      <c r="J90" s="273">
        <v>1202540</v>
      </c>
      <c r="K90" s="273">
        <v>1539470</v>
      </c>
      <c r="L90" s="273">
        <v>1298704</v>
      </c>
      <c r="M90" s="273">
        <v>882502</v>
      </c>
      <c r="N90" s="273">
        <v>1341279</v>
      </c>
      <c r="O90" s="273">
        <v>1421303</v>
      </c>
      <c r="P90" s="273">
        <v>1301444</v>
      </c>
      <c r="Q90" s="273">
        <v>791928</v>
      </c>
      <c r="R90" s="273">
        <v>1042240</v>
      </c>
      <c r="S90" s="273">
        <v>1235640</v>
      </c>
      <c r="T90" s="273">
        <v>900592</v>
      </c>
      <c r="U90" s="273">
        <v>598714</v>
      </c>
      <c r="V90" s="273">
        <v>741863</v>
      </c>
      <c r="W90" s="273">
        <v>919770</v>
      </c>
      <c r="X90" s="273">
        <v>889791</v>
      </c>
    </row>
    <row r="91" spans="1:25" ht="14.25" thickBot="1" x14ac:dyDescent="0.3">
      <c r="A91" s="250" t="s">
        <v>6</v>
      </c>
      <c r="B91" s="275">
        <v>895772</v>
      </c>
      <c r="C91" s="275">
        <v>1127346</v>
      </c>
      <c r="D91" s="275">
        <v>1170063</v>
      </c>
      <c r="E91" s="275">
        <v>773075</v>
      </c>
      <c r="F91" s="275">
        <v>1171690</v>
      </c>
      <c r="G91" s="275">
        <v>1236676</v>
      </c>
      <c r="H91" s="275">
        <v>1189702</v>
      </c>
      <c r="I91" s="275">
        <v>907142</v>
      </c>
      <c r="J91" s="275">
        <v>1363668</v>
      </c>
      <c r="K91" s="275">
        <v>1570386</v>
      </c>
      <c r="L91" s="275">
        <v>1437859</v>
      </c>
      <c r="M91" s="275">
        <v>1204791</v>
      </c>
      <c r="N91" s="275">
        <v>1190774</v>
      </c>
      <c r="O91" s="275">
        <v>1249061</v>
      </c>
      <c r="P91" s="275">
        <v>1683177</v>
      </c>
      <c r="Q91" s="275">
        <v>959132</v>
      </c>
      <c r="R91" s="275">
        <v>1082656</v>
      </c>
      <c r="S91" s="275">
        <v>1378257</v>
      </c>
      <c r="T91" s="275">
        <v>934104</v>
      </c>
      <c r="U91" s="275">
        <v>839338</v>
      </c>
      <c r="V91" s="275">
        <v>711189</v>
      </c>
      <c r="W91" s="275">
        <v>935796</v>
      </c>
      <c r="X91" s="275">
        <v>993337</v>
      </c>
    </row>
    <row r="92" spans="1:25" ht="14.25" thickBot="1" x14ac:dyDescent="0.3">
      <c r="A92" s="251" t="s">
        <v>7</v>
      </c>
      <c r="B92" s="273">
        <v>667517</v>
      </c>
      <c r="C92" s="273">
        <v>768354</v>
      </c>
      <c r="D92" s="273">
        <v>877247</v>
      </c>
      <c r="E92" s="273">
        <v>677221</v>
      </c>
      <c r="F92" s="273">
        <v>886064</v>
      </c>
      <c r="G92" s="273">
        <v>831820</v>
      </c>
      <c r="H92" s="273">
        <v>916879</v>
      </c>
      <c r="I92" s="273">
        <v>808589</v>
      </c>
      <c r="J92" s="273">
        <v>1066069</v>
      </c>
      <c r="K92" s="273">
        <v>861905</v>
      </c>
      <c r="L92" s="273">
        <v>1145033</v>
      </c>
      <c r="M92" s="273">
        <v>1033324</v>
      </c>
      <c r="N92" s="273">
        <v>957230</v>
      </c>
      <c r="O92" s="273">
        <v>842479</v>
      </c>
      <c r="P92" s="273">
        <v>1214673</v>
      </c>
      <c r="Q92" s="273">
        <v>845204</v>
      </c>
      <c r="R92" s="273">
        <v>857503</v>
      </c>
      <c r="S92" s="273">
        <v>840112</v>
      </c>
      <c r="T92" s="273">
        <v>705759</v>
      </c>
      <c r="U92" s="273">
        <v>665402</v>
      </c>
      <c r="V92" s="273">
        <v>518138</v>
      </c>
      <c r="W92" s="273">
        <v>678716</v>
      </c>
      <c r="X92" s="273">
        <v>718388</v>
      </c>
    </row>
    <row r="93" spans="1:25" ht="26.25" thickBot="1" x14ac:dyDescent="0.3">
      <c r="A93" s="252" t="s">
        <v>8</v>
      </c>
      <c r="B93" s="276">
        <v>667118</v>
      </c>
      <c r="C93" s="276">
        <v>764623</v>
      </c>
      <c r="D93" s="276">
        <v>882872</v>
      </c>
      <c r="E93" s="276">
        <v>694494</v>
      </c>
      <c r="F93" s="276">
        <v>886926</v>
      </c>
      <c r="G93" s="276">
        <v>831229</v>
      </c>
      <c r="H93" s="276">
        <v>926390</v>
      </c>
      <c r="I93" s="276">
        <v>860177</v>
      </c>
      <c r="J93" s="276">
        <v>1060098</v>
      </c>
      <c r="K93" s="276">
        <v>859332</v>
      </c>
      <c r="L93" s="276">
        <v>1149760</v>
      </c>
      <c r="M93" s="276">
        <v>1042935</v>
      </c>
      <c r="N93" s="276">
        <v>947239</v>
      </c>
      <c r="O93" s="276">
        <v>835641</v>
      </c>
      <c r="P93" s="276">
        <v>1214144</v>
      </c>
      <c r="Q93" s="276">
        <v>846455</v>
      </c>
      <c r="R93" s="276">
        <v>854817</v>
      </c>
      <c r="S93" s="276">
        <v>838724</v>
      </c>
      <c r="T93" s="276">
        <v>707677</v>
      </c>
      <c r="U93" s="276">
        <v>664149</v>
      </c>
      <c r="V93" s="276">
        <v>516313</v>
      </c>
      <c r="W93" s="276">
        <v>677228</v>
      </c>
      <c r="X93" s="276">
        <v>719473</v>
      </c>
    </row>
    <row r="94" spans="1:25" x14ac:dyDescent="0.25">
      <c r="A94" s="233" t="s">
        <v>365</v>
      </c>
      <c r="B94" s="253">
        <f>IF(B91="","",B91-B90)</f>
        <v>-47797</v>
      </c>
      <c r="C94" s="253">
        <f>IF(C91="","",C91-C90)</f>
        <v>42584</v>
      </c>
      <c r="D94" s="253">
        <f t="shared" ref="D94:Y94" si="9">IF(D91="","",D91-D90)</f>
        <v>7880</v>
      </c>
      <c r="E94" s="253">
        <f t="shared" si="9"/>
        <v>8931</v>
      </c>
      <c r="F94" s="253">
        <f t="shared" si="9"/>
        <v>161237</v>
      </c>
      <c r="G94" s="253">
        <f t="shared" si="9"/>
        <v>70445</v>
      </c>
      <c r="H94" s="253">
        <f t="shared" si="9"/>
        <v>27969</v>
      </c>
      <c r="I94" s="253">
        <f t="shared" si="9"/>
        <v>96242</v>
      </c>
      <c r="J94" s="253">
        <f t="shared" si="9"/>
        <v>161128</v>
      </c>
      <c r="K94" s="253">
        <f t="shared" si="9"/>
        <v>30916</v>
      </c>
      <c r="L94" s="253">
        <f t="shared" si="9"/>
        <v>139155</v>
      </c>
      <c r="M94" s="253">
        <f t="shared" si="9"/>
        <v>322289</v>
      </c>
      <c r="N94" s="253">
        <f t="shared" si="9"/>
        <v>-150505</v>
      </c>
      <c r="O94" s="253">
        <f t="shared" si="9"/>
        <v>-172242</v>
      </c>
      <c r="P94" s="253">
        <f t="shared" si="9"/>
        <v>381733</v>
      </c>
      <c r="Q94" s="253">
        <f t="shared" si="9"/>
        <v>167204</v>
      </c>
      <c r="R94" s="253">
        <f t="shared" si="9"/>
        <v>40416</v>
      </c>
      <c r="S94" s="253">
        <f t="shared" si="9"/>
        <v>142617</v>
      </c>
      <c r="T94" s="253">
        <f t="shared" si="9"/>
        <v>33512</v>
      </c>
      <c r="U94" s="253">
        <f t="shared" si="9"/>
        <v>240624</v>
      </c>
      <c r="V94" s="253">
        <f t="shared" si="9"/>
        <v>-30674</v>
      </c>
      <c r="W94" s="253">
        <f t="shared" si="9"/>
        <v>16026</v>
      </c>
      <c r="X94" s="253">
        <f t="shared" si="9"/>
        <v>103546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54041401</v>
      </c>
      <c r="C97" s="273">
        <v>54391855</v>
      </c>
      <c r="D97" s="273">
        <v>60045290</v>
      </c>
      <c r="E97" s="273">
        <v>60417621</v>
      </c>
      <c r="F97" s="273">
        <v>57093172</v>
      </c>
    </row>
    <row r="98" spans="1:24" ht="14.25" thickBot="1" x14ac:dyDescent="0.3">
      <c r="A98" s="225" t="s">
        <v>4</v>
      </c>
      <c r="B98" s="275">
        <v>11710753</v>
      </c>
      <c r="C98" s="275">
        <v>11683749</v>
      </c>
      <c r="D98" s="275">
        <v>13497901</v>
      </c>
      <c r="E98" s="275">
        <v>13388321</v>
      </c>
      <c r="F98" s="275">
        <v>11800934</v>
      </c>
    </row>
    <row r="99" spans="1:24" ht="14.25" thickBot="1" x14ac:dyDescent="0.3">
      <c r="A99" s="224" t="s">
        <v>5</v>
      </c>
      <c r="B99" s="273">
        <v>3954658</v>
      </c>
      <c r="C99" s="273">
        <v>4149317</v>
      </c>
      <c r="D99" s="273">
        <v>4923216</v>
      </c>
      <c r="E99" s="273">
        <v>4855954</v>
      </c>
      <c r="F99" s="273">
        <v>3777186</v>
      </c>
    </row>
    <row r="100" spans="1:24" ht="14.25" thickBot="1" x14ac:dyDescent="0.3">
      <c r="A100" s="225" t="s">
        <v>6</v>
      </c>
      <c r="B100" s="275">
        <v>3966256</v>
      </c>
      <c r="C100" s="275">
        <v>4505210</v>
      </c>
      <c r="D100" s="275">
        <v>5576704</v>
      </c>
      <c r="E100" s="275">
        <v>5082144</v>
      </c>
      <c r="F100" s="275">
        <v>4234355</v>
      </c>
    </row>
    <row r="101" spans="1:24" ht="14.25" thickBot="1" x14ac:dyDescent="0.3">
      <c r="A101" s="224" t="s">
        <v>7</v>
      </c>
      <c r="B101" s="273">
        <v>2990339</v>
      </c>
      <c r="C101" s="273">
        <v>3443352</v>
      </c>
      <c r="D101" s="273">
        <v>4106331</v>
      </c>
      <c r="E101" s="273">
        <v>3859586</v>
      </c>
      <c r="F101" s="273">
        <v>3068776</v>
      </c>
    </row>
    <row r="102" spans="1:24" ht="14.25" thickBot="1" x14ac:dyDescent="0.3">
      <c r="A102" s="227" t="s">
        <v>8</v>
      </c>
      <c r="B102" s="276">
        <v>3009107</v>
      </c>
      <c r="C102" s="276">
        <v>3504722</v>
      </c>
      <c r="D102" s="276">
        <v>4112125</v>
      </c>
      <c r="E102" s="276">
        <v>3843479</v>
      </c>
      <c r="F102" s="276">
        <v>3065367</v>
      </c>
    </row>
    <row r="103" spans="1:24" x14ac:dyDescent="0.25">
      <c r="A103" s="233" t="s">
        <v>262</v>
      </c>
      <c r="B103" s="234">
        <f>IF(OR(B102="",B102="無"),"",B102/B101)</f>
        <v>1.0062762114930781</v>
      </c>
      <c r="C103" s="234">
        <f>IF(OR(C102="",C102="無"),"",C102/C101)</f>
        <v>1.0178227494604095</v>
      </c>
      <c r="D103" s="234">
        <f>IF(OR(D102="",D102="無"),"",D102/D101)</f>
        <v>1.0014109919536442</v>
      </c>
      <c r="E103" s="234">
        <f>IF(OR(E102="",E102="無"),"",E102/E101)</f>
        <v>0.9958267544757391</v>
      </c>
      <c r="F103" s="234">
        <f>IF(OR(F102="",F102="無"),"",F102/F101)</f>
        <v>0.99888913364807341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5498381</v>
      </c>
      <c r="C106" s="273">
        <v>7482656</v>
      </c>
      <c r="D106" s="273">
        <v>7473362</v>
      </c>
      <c r="E106" s="273">
        <v>5499484</v>
      </c>
      <c r="F106" s="273">
        <v>7052536</v>
      </c>
      <c r="G106" s="273">
        <v>7600928</v>
      </c>
      <c r="H106" s="273">
        <v>6969445</v>
      </c>
      <c r="I106" s="273">
        <v>5447729</v>
      </c>
      <c r="J106" s="273">
        <v>7056785</v>
      </c>
      <c r="K106" s="273">
        <v>6693310</v>
      </c>
      <c r="L106" s="273">
        <v>7487102</v>
      </c>
      <c r="M106" s="273">
        <v>6470505</v>
      </c>
      <c r="N106" s="273">
        <v>7043281</v>
      </c>
      <c r="O106" s="273">
        <v>6999628</v>
      </c>
      <c r="P106" s="273">
        <v>6679719</v>
      </c>
      <c r="Q106" s="273">
        <v>7843889</v>
      </c>
      <c r="R106" s="273">
        <v>8918639</v>
      </c>
      <c r="S106" s="273">
        <v>8665891</v>
      </c>
      <c r="T106" s="273">
        <v>7305601</v>
      </c>
      <c r="U106" s="273">
        <v>6761085</v>
      </c>
      <c r="V106" s="273">
        <v>7734064</v>
      </c>
      <c r="W106" s="273">
        <v>5969368</v>
      </c>
      <c r="X106" s="273">
        <v>7963342</v>
      </c>
    </row>
    <row r="107" spans="1:24" ht="14.25" thickBot="1" x14ac:dyDescent="0.3">
      <c r="A107" s="225" t="s">
        <v>22</v>
      </c>
      <c r="B107" s="275">
        <v>5546</v>
      </c>
      <c r="C107" s="275">
        <v>5787</v>
      </c>
      <c r="D107" s="275">
        <v>5764</v>
      </c>
      <c r="E107" s="275">
        <v>5241</v>
      </c>
      <c r="F107" s="275">
        <v>1541855</v>
      </c>
      <c r="G107" s="275">
        <v>3526225</v>
      </c>
      <c r="H107" s="275">
        <v>3697379</v>
      </c>
      <c r="I107" s="275">
        <v>2930306</v>
      </c>
      <c r="J107" s="275">
        <v>3398786</v>
      </c>
      <c r="K107" s="275">
        <v>4431050</v>
      </c>
      <c r="L107" s="275">
        <v>3913304</v>
      </c>
      <c r="M107" s="275">
        <v>3343096</v>
      </c>
      <c r="N107" s="275">
        <v>2752770</v>
      </c>
      <c r="O107" s="275">
        <v>3584176</v>
      </c>
      <c r="P107" s="275">
        <v>3089932</v>
      </c>
      <c r="Q107" s="275">
        <v>1180607</v>
      </c>
      <c r="R107" s="275">
        <v>971560</v>
      </c>
      <c r="S107" s="275">
        <v>1510113</v>
      </c>
      <c r="T107" s="275">
        <v>1352600</v>
      </c>
      <c r="U107" s="275">
        <v>796112</v>
      </c>
      <c r="V107" s="275">
        <v>1084820</v>
      </c>
      <c r="W107" s="275">
        <v>1437439</v>
      </c>
      <c r="X107" s="275">
        <v>436416</v>
      </c>
    </row>
    <row r="108" spans="1:24" ht="14.25" thickBot="1" x14ac:dyDescent="0.3">
      <c r="A108" s="224" t="s">
        <v>263</v>
      </c>
      <c r="B108" s="273">
        <v>10310127</v>
      </c>
      <c r="C108" s="273">
        <v>8854959</v>
      </c>
      <c r="D108" s="273">
        <v>9915611</v>
      </c>
      <c r="E108" s="273">
        <v>10281436</v>
      </c>
      <c r="F108" s="273">
        <v>10948206</v>
      </c>
      <c r="G108" s="273">
        <v>8839078</v>
      </c>
      <c r="H108" s="273">
        <v>8876262</v>
      </c>
      <c r="I108" s="273">
        <v>9829395</v>
      </c>
      <c r="J108" s="273">
        <v>11205786</v>
      </c>
      <c r="K108" s="273">
        <v>10035929</v>
      </c>
      <c r="L108" s="273">
        <v>10562394</v>
      </c>
      <c r="M108" s="273">
        <v>11206992</v>
      </c>
      <c r="N108" s="273">
        <v>11782201</v>
      </c>
      <c r="O108" s="273">
        <v>10697455</v>
      </c>
      <c r="P108" s="273">
        <v>11659671</v>
      </c>
      <c r="Q108" s="273">
        <v>10718277</v>
      </c>
      <c r="R108" s="273">
        <v>11811094</v>
      </c>
      <c r="S108" s="273">
        <v>10650057</v>
      </c>
      <c r="T108" s="273">
        <v>10696352</v>
      </c>
      <c r="U108" s="273">
        <v>11548709</v>
      </c>
      <c r="V108" s="273">
        <v>12085773</v>
      </c>
      <c r="W108" s="273">
        <v>10502405</v>
      </c>
      <c r="X108" s="273">
        <v>11899189</v>
      </c>
    </row>
    <row r="109" spans="1:24" ht="14.25" thickBot="1" x14ac:dyDescent="0.3">
      <c r="A109" s="225" t="s">
        <v>264</v>
      </c>
      <c r="B109" s="275">
        <v>9970970</v>
      </c>
      <c r="C109" s="275">
        <v>10681859</v>
      </c>
      <c r="D109" s="275">
        <v>11063017</v>
      </c>
      <c r="E109" s="275">
        <v>11631157</v>
      </c>
      <c r="F109" s="275">
        <v>10885460</v>
      </c>
      <c r="G109" s="275">
        <v>11534909</v>
      </c>
      <c r="H109" s="275">
        <v>10958711</v>
      </c>
      <c r="I109" s="275">
        <v>11479841</v>
      </c>
      <c r="J109" s="275">
        <v>10719183</v>
      </c>
      <c r="K109" s="275">
        <v>11597583</v>
      </c>
      <c r="L109" s="275">
        <v>11782549</v>
      </c>
      <c r="M109" s="275">
        <v>12643907</v>
      </c>
      <c r="N109" s="275">
        <v>12528923</v>
      </c>
      <c r="O109" s="275">
        <v>13311902</v>
      </c>
      <c r="P109" s="275">
        <v>13334181</v>
      </c>
      <c r="Q109" s="275">
        <v>14133079</v>
      </c>
      <c r="R109" s="275">
        <v>13461806</v>
      </c>
      <c r="S109" s="275">
        <v>13945568</v>
      </c>
      <c r="T109" s="275">
        <v>13668074</v>
      </c>
      <c r="U109" s="275">
        <v>14503974</v>
      </c>
      <c r="V109" s="275">
        <v>12969318</v>
      </c>
      <c r="W109" s="275">
        <v>13968748</v>
      </c>
      <c r="X109" s="275">
        <v>14103501</v>
      </c>
    </row>
    <row r="110" spans="1:24" ht="14.25" thickBot="1" x14ac:dyDescent="0.3">
      <c r="A110" s="224" t="s">
        <v>23</v>
      </c>
      <c r="B110" s="273">
        <v>1387225</v>
      </c>
      <c r="C110" s="273">
        <v>1219282</v>
      </c>
      <c r="D110" s="273">
        <v>2053839</v>
      </c>
      <c r="E110" s="273">
        <v>2584785</v>
      </c>
      <c r="F110" s="273">
        <v>1025397</v>
      </c>
      <c r="G110" s="273">
        <v>1020165</v>
      </c>
      <c r="H110" s="273">
        <v>1158309</v>
      </c>
      <c r="I110" s="273">
        <v>819723</v>
      </c>
      <c r="J110" s="273">
        <v>1049652</v>
      </c>
      <c r="K110" s="273">
        <v>1353811</v>
      </c>
      <c r="L110" s="273">
        <v>1413900</v>
      </c>
      <c r="M110" s="273">
        <v>1191761</v>
      </c>
      <c r="N110" s="273">
        <v>1432498</v>
      </c>
      <c r="O110" s="273">
        <v>1365573</v>
      </c>
      <c r="P110" s="273">
        <v>1559810</v>
      </c>
      <c r="Q110" s="273">
        <v>1553600</v>
      </c>
      <c r="R110" s="273">
        <v>1507046</v>
      </c>
      <c r="S110" s="273">
        <v>1675282</v>
      </c>
      <c r="T110" s="273">
        <v>1791182</v>
      </c>
      <c r="U110" s="273">
        <v>1387452</v>
      </c>
      <c r="V110" s="273">
        <v>1052032</v>
      </c>
      <c r="W110" s="273">
        <v>1202016</v>
      </c>
      <c r="X110" s="273">
        <v>1090309</v>
      </c>
    </row>
    <row r="111" spans="1:24" ht="14.25" thickBot="1" x14ac:dyDescent="0.3">
      <c r="A111" s="225" t="s">
        <v>24</v>
      </c>
      <c r="B111" s="275">
        <v>27172249</v>
      </c>
      <c r="C111" s="275">
        <v>28244543</v>
      </c>
      <c r="D111" s="275">
        <v>30511593</v>
      </c>
      <c r="E111" s="275">
        <v>30002103</v>
      </c>
      <c r="F111" s="275">
        <v>31453454</v>
      </c>
      <c r="G111" s="275">
        <v>32521305</v>
      </c>
      <c r="H111" s="275">
        <v>31660106</v>
      </c>
      <c r="I111" s="275">
        <v>30506994</v>
      </c>
      <c r="J111" s="275">
        <v>33430192</v>
      </c>
      <c r="K111" s="275">
        <v>34111683</v>
      </c>
      <c r="L111" s="275">
        <v>35159249</v>
      </c>
      <c r="M111" s="275">
        <v>34856261</v>
      </c>
      <c r="N111" s="275">
        <v>35539673</v>
      </c>
      <c r="O111" s="275">
        <v>35958734</v>
      </c>
      <c r="P111" s="275">
        <v>36323313</v>
      </c>
      <c r="Q111" s="275">
        <v>35429452</v>
      </c>
      <c r="R111" s="275">
        <v>36670145</v>
      </c>
      <c r="S111" s="275">
        <v>36446911</v>
      </c>
      <c r="T111" s="275">
        <v>34813809</v>
      </c>
      <c r="U111" s="275">
        <v>34997332</v>
      </c>
      <c r="V111" s="275">
        <v>34926007</v>
      </c>
      <c r="W111" s="275">
        <v>33079976</v>
      </c>
      <c r="X111" s="275">
        <v>35492757</v>
      </c>
    </row>
    <row r="112" spans="1:24" ht="14.25" thickBot="1" x14ac:dyDescent="0.3">
      <c r="A112" s="224" t="s">
        <v>25</v>
      </c>
      <c r="B112" s="273">
        <v>14850</v>
      </c>
      <c r="C112" s="273">
        <v>14850</v>
      </c>
      <c r="D112" s="273">
        <v>14850</v>
      </c>
      <c r="E112" s="273">
        <v>14850</v>
      </c>
      <c r="F112" s="273">
        <v>196880</v>
      </c>
      <c r="G112" s="273">
        <v>350069</v>
      </c>
      <c r="H112" s="273">
        <v>396631</v>
      </c>
      <c r="I112" s="273">
        <v>403281</v>
      </c>
      <c r="J112" s="273">
        <v>445838</v>
      </c>
      <c r="K112" s="273">
        <v>392125</v>
      </c>
      <c r="L112" s="273">
        <v>553156</v>
      </c>
      <c r="M112" s="273">
        <v>369199</v>
      </c>
      <c r="N112" s="273">
        <v>395829</v>
      </c>
      <c r="O112" s="273">
        <v>382684</v>
      </c>
      <c r="P112" s="273">
        <v>426131</v>
      </c>
      <c r="Q112" s="273">
        <v>426588</v>
      </c>
      <c r="R112" s="273">
        <v>428039</v>
      </c>
      <c r="S112" s="273">
        <v>415518</v>
      </c>
      <c r="T112" s="273">
        <v>402245</v>
      </c>
      <c r="U112" s="273">
        <v>401219</v>
      </c>
      <c r="V112" s="273">
        <v>453813</v>
      </c>
      <c r="W112" s="273">
        <v>458364</v>
      </c>
      <c r="X112" s="273">
        <v>448934</v>
      </c>
    </row>
    <row r="113" spans="1:24" ht="14.25" thickBot="1" x14ac:dyDescent="0.3">
      <c r="A113" s="225" t="s">
        <v>26</v>
      </c>
      <c r="B113" s="275">
        <v>6963602</v>
      </c>
      <c r="C113" s="275">
        <v>7163582</v>
      </c>
      <c r="D113" s="275">
        <v>7302446</v>
      </c>
      <c r="E113" s="275">
        <v>7256229</v>
      </c>
      <c r="F113" s="275">
        <v>7251450</v>
      </c>
      <c r="G113" s="275">
        <v>7394909</v>
      </c>
      <c r="H113" s="275">
        <v>7387037</v>
      </c>
      <c r="I113" s="275">
        <v>7527139</v>
      </c>
      <c r="J113" s="275">
        <v>7517027</v>
      </c>
      <c r="K113" s="275">
        <v>7469372</v>
      </c>
      <c r="L113" s="275">
        <v>7462243</v>
      </c>
      <c r="M113" s="275">
        <v>7662570</v>
      </c>
      <c r="N113" s="275">
        <v>7564524</v>
      </c>
      <c r="O113" s="275">
        <v>7371331</v>
      </c>
      <c r="P113" s="275">
        <v>7723875</v>
      </c>
      <c r="Q113" s="275">
        <v>7652305</v>
      </c>
      <c r="R113" s="275">
        <v>7569201</v>
      </c>
      <c r="S113" s="275">
        <v>7401355</v>
      </c>
      <c r="T113" s="275">
        <v>7207706</v>
      </c>
      <c r="U113" s="275">
        <v>7276325</v>
      </c>
      <c r="V113" s="275">
        <v>6924801</v>
      </c>
      <c r="W113" s="275">
        <v>7120905</v>
      </c>
      <c r="X113" s="275">
        <v>7182013</v>
      </c>
    </row>
    <row r="114" spans="1:24" ht="14.25" thickBot="1" x14ac:dyDescent="0.3">
      <c r="A114" s="224" t="s">
        <v>27</v>
      </c>
      <c r="B114" s="273">
        <v>1381886</v>
      </c>
      <c r="C114" s="273">
        <v>1372307</v>
      </c>
      <c r="D114" s="273">
        <v>1399727</v>
      </c>
      <c r="E114" s="273">
        <v>1668269</v>
      </c>
      <c r="F114" s="273">
        <v>2014538</v>
      </c>
      <c r="G114" s="273">
        <v>2017959</v>
      </c>
      <c r="H114" s="273">
        <v>2098203</v>
      </c>
      <c r="I114" s="273">
        <v>2063330</v>
      </c>
      <c r="J114" s="273">
        <v>2032224</v>
      </c>
      <c r="K114" s="273">
        <v>1984462</v>
      </c>
      <c r="L114" s="273">
        <v>2182669</v>
      </c>
      <c r="M114" s="273">
        <v>2286375</v>
      </c>
      <c r="N114" s="273">
        <v>2490162</v>
      </c>
      <c r="O114" s="273">
        <v>2480058</v>
      </c>
      <c r="P114" s="273">
        <v>2531125</v>
      </c>
      <c r="Q114" s="273">
        <v>2445118</v>
      </c>
      <c r="R114" s="273">
        <v>2484269</v>
      </c>
      <c r="S114" s="273">
        <v>2532934</v>
      </c>
      <c r="T114" s="273">
        <v>2686321</v>
      </c>
      <c r="U114" s="273">
        <v>2568642</v>
      </c>
      <c r="V114" s="273">
        <v>2738464</v>
      </c>
      <c r="W114" s="273">
        <v>2570774</v>
      </c>
      <c r="X114" s="273">
        <v>2610286</v>
      </c>
    </row>
    <row r="115" spans="1:24" ht="14.25" thickBot="1" x14ac:dyDescent="0.3">
      <c r="A115" s="225" t="s">
        <v>265</v>
      </c>
      <c r="B115" s="276">
        <v>35532587</v>
      </c>
      <c r="C115" s="276">
        <v>36795282</v>
      </c>
      <c r="D115" s="276">
        <v>39228616</v>
      </c>
      <c r="E115" s="276">
        <v>38941451</v>
      </c>
      <c r="F115" s="276">
        <v>40916322</v>
      </c>
      <c r="G115" s="276">
        <v>42284242</v>
      </c>
      <c r="H115" s="276">
        <v>41541977</v>
      </c>
      <c r="I115" s="276">
        <v>40500744</v>
      </c>
      <c r="J115" s="276">
        <v>43425281</v>
      </c>
      <c r="K115" s="276">
        <v>43957642</v>
      </c>
      <c r="L115" s="276">
        <v>45357317</v>
      </c>
      <c r="M115" s="276">
        <v>45174405</v>
      </c>
      <c r="N115" s="276">
        <v>45990188</v>
      </c>
      <c r="O115" s="276">
        <v>46192807</v>
      </c>
      <c r="P115" s="276">
        <v>47004444</v>
      </c>
      <c r="Q115" s="276">
        <v>45953463</v>
      </c>
      <c r="R115" s="276">
        <v>47151654</v>
      </c>
      <c r="S115" s="276">
        <v>46796718</v>
      </c>
      <c r="T115" s="276">
        <v>45110081</v>
      </c>
      <c r="U115" s="276">
        <v>45243518</v>
      </c>
      <c r="V115" s="276">
        <v>45043085</v>
      </c>
      <c r="W115" s="276">
        <v>43230019</v>
      </c>
      <c r="X115" s="276">
        <v>45733990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7737236</v>
      </c>
      <c r="C118" s="273">
        <v>7605328</v>
      </c>
      <c r="D118" s="273">
        <v>9503924</v>
      </c>
      <c r="E118" s="273">
        <v>9416545</v>
      </c>
      <c r="F118" s="273">
        <v>11374813</v>
      </c>
      <c r="G118" s="273">
        <v>10333294</v>
      </c>
      <c r="H118" s="273">
        <v>10521145</v>
      </c>
      <c r="I118" s="273">
        <v>9616260</v>
      </c>
      <c r="J118" s="273">
        <v>10936994</v>
      </c>
      <c r="K118" s="273">
        <v>9577945</v>
      </c>
      <c r="L118" s="273">
        <v>11205424</v>
      </c>
      <c r="M118" s="273">
        <v>10621343</v>
      </c>
      <c r="N118" s="273">
        <v>11231669</v>
      </c>
      <c r="O118" s="273">
        <v>10451907</v>
      </c>
      <c r="P118" s="273">
        <v>11017584</v>
      </c>
      <c r="Q118" s="273">
        <v>11327156</v>
      </c>
      <c r="R118" s="273">
        <v>11846291</v>
      </c>
      <c r="S118" s="273">
        <v>10283968</v>
      </c>
      <c r="T118" s="273">
        <v>10680192</v>
      </c>
      <c r="U118" s="273">
        <v>10876411</v>
      </c>
      <c r="V118" s="273">
        <v>12249722</v>
      </c>
      <c r="W118" s="273">
        <v>8255560</v>
      </c>
      <c r="X118" s="273">
        <v>11007815</v>
      </c>
    </row>
    <row r="119" spans="1:24" ht="14.25" thickBot="1" x14ac:dyDescent="0.3">
      <c r="A119" s="225" t="s">
        <v>29</v>
      </c>
      <c r="B119" s="275">
        <v>199725</v>
      </c>
      <c r="C119" s="275">
        <v>199730</v>
      </c>
      <c r="D119" s="275">
        <v>399413</v>
      </c>
      <c r="E119" s="275">
        <v>399127</v>
      </c>
      <c r="F119" s="275">
        <v>399561</v>
      </c>
      <c r="G119" s="275">
        <v>199957</v>
      </c>
      <c r="H119" s="275">
        <v>199643</v>
      </c>
      <c r="I119" s="275">
        <v>399523</v>
      </c>
      <c r="J119" s="275">
        <v>399532</v>
      </c>
      <c r="K119" s="275">
        <v>399636</v>
      </c>
      <c r="L119" s="275">
        <v>399552</v>
      </c>
      <c r="M119" s="275">
        <v>399581</v>
      </c>
      <c r="N119" s="275">
        <v>399581</v>
      </c>
      <c r="O119" s="275">
        <v>399601</v>
      </c>
      <c r="P119" s="275">
        <v>399625</v>
      </c>
      <c r="Q119" s="274">
        <v>0</v>
      </c>
      <c r="R119" s="274">
        <v>0</v>
      </c>
      <c r="S119" s="274">
        <v>0</v>
      </c>
      <c r="T119" s="275">
        <v>199858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5285078</v>
      </c>
      <c r="C120" s="273">
        <v>6314998</v>
      </c>
      <c r="D120" s="273">
        <v>7521576</v>
      </c>
      <c r="E120" s="273">
        <v>6710385</v>
      </c>
      <c r="F120" s="273">
        <v>5223168</v>
      </c>
      <c r="G120" s="273">
        <v>7022681</v>
      </c>
      <c r="H120" s="273">
        <v>6961026</v>
      </c>
      <c r="I120" s="273">
        <v>5735540</v>
      </c>
      <c r="J120" s="273">
        <v>5584349</v>
      </c>
      <c r="K120" s="273">
        <v>7290038</v>
      </c>
      <c r="L120" s="273">
        <v>7482389</v>
      </c>
      <c r="M120" s="273">
        <v>6485142</v>
      </c>
      <c r="N120" s="273">
        <v>5953721</v>
      </c>
      <c r="O120" s="273">
        <v>6939667</v>
      </c>
      <c r="P120" s="273">
        <v>6917370</v>
      </c>
      <c r="Q120" s="273">
        <v>5501176</v>
      </c>
      <c r="R120" s="273">
        <v>5233228</v>
      </c>
      <c r="S120" s="273">
        <v>6723290</v>
      </c>
      <c r="T120" s="273">
        <v>6420038</v>
      </c>
      <c r="U120" s="273">
        <v>5956115</v>
      </c>
      <c r="V120" s="273">
        <v>4963409</v>
      </c>
      <c r="W120" s="273">
        <v>6687855</v>
      </c>
      <c r="X120" s="273">
        <v>6636239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630381</v>
      </c>
      <c r="C122" s="273">
        <v>393272</v>
      </c>
      <c r="D122" s="273">
        <v>390136</v>
      </c>
      <c r="E122" s="273">
        <v>703852</v>
      </c>
      <c r="F122" s="273">
        <v>49533</v>
      </c>
      <c r="G122" s="273">
        <v>37069</v>
      </c>
      <c r="H122" s="273">
        <v>55438</v>
      </c>
      <c r="I122" s="273">
        <v>103598</v>
      </c>
      <c r="J122" s="273">
        <v>101390</v>
      </c>
      <c r="K122" s="273">
        <v>93467</v>
      </c>
      <c r="L122" s="273">
        <v>102724</v>
      </c>
      <c r="M122" s="273">
        <v>75430</v>
      </c>
      <c r="N122" s="273">
        <v>53020</v>
      </c>
      <c r="O122" s="68">
        <v>228</v>
      </c>
      <c r="P122" s="273">
        <v>4066</v>
      </c>
      <c r="Q122" s="273">
        <v>17530</v>
      </c>
      <c r="R122" s="273">
        <v>16891</v>
      </c>
      <c r="S122" s="273">
        <v>15431</v>
      </c>
      <c r="T122" s="273">
        <v>11575</v>
      </c>
      <c r="U122" s="273">
        <v>8212</v>
      </c>
      <c r="V122" s="273">
        <v>6475</v>
      </c>
      <c r="W122" s="273">
        <v>4622</v>
      </c>
      <c r="X122" s="273">
        <v>3020</v>
      </c>
    </row>
    <row r="123" spans="1:24" ht="14.25" thickBot="1" x14ac:dyDescent="0.3">
      <c r="A123" s="225" t="s">
        <v>31</v>
      </c>
      <c r="B123" s="275">
        <v>3916849</v>
      </c>
      <c r="C123" s="275">
        <v>5649899</v>
      </c>
      <c r="D123" s="275">
        <v>3919232</v>
      </c>
      <c r="E123" s="275">
        <v>3574307</v>
      </c>
      <c r="F123" s="275">
        <v>4361101</v>
      </c>
      <c r="G123" s="275">
        <v>6311214</v>
      </c>
      <c r="H123" s="275">
        <v>4584428</v>
      </c>
      <c r="I123" s="275">
        <v>4716286</v>
      </c>
      <c r="J123" s="275">
        <v>5257955</v>
      </c>
      <c r="K123" s="275">
        <v>6956508</v>
      </c>
      <c r="L123" s="275">
        <v>5407711</v>
      </c>
      <c r="M123" s="275">
        <v>5679653</v>
      </c>
      <c r="N123" s="275">
        <v>6009025</v>
      </c>
      <c r="O123" s="275">
        <v>7913134</v>
      </c>
      <c r="P123" s="275">
        <v>6147903</v>
      </c>
      <c r="Q123" s="275">
        <v>6469997</v>
      </c>
      <c r="R123" s="275">
        <v>6594932</v>
      </c>
      <c r="S123" s="275">
        <v>8056775</v>
      </c>
      <c r="T123" s="275">
        <v>5813498</v>
      </c>
      <c r="U123" s="275">
        <v>6200482</v>
      </c>
      <c r="V123" s="275">
        <v>5640501</v>
      </c>
      <c r="W123" s="275">
        <v>6788134</v>
      </c>
      <c r="X123" s="275">
        <v>5365672</v>
      </c>
    </row>
    <row r="124" spans="1:24" ht="14.25" thickBot="1" x14ac:dyDescent="0.3">
      <c r="A124" s="224" t="s">
        <v>268</v>
      </c>
      <c r="B124" s="273">
        <v>17769269</v>
      </c>
      <c r="C124" s="273">
        <v>20163227</v>
      </c>
      <c r="D124" s="273">
        <v>21734281</v>
      </c>
      <c r="E124" s="273">
        <v>20804216</v>
      </c>
      <c r="F124" s="273">
        <v>21408176</v>
      </c>
      <c r="G124" s="273">
        <v>23904215</v>
      </c>
      <c r="H124" s="273">
        <v>22321680</v>
      </c>
      <c r="I124" s="273">
        <v>20571207</v>
      </c>
      <c r="J124" s="273">
        <v>22280220</v>
      </c>
      <c r="K124" s="273">
        <v>24317594</v>
      </c>
      <c r="L124" s="273">
        <v>24597800</v>
      </c>
      <c r="M124" s="273">
        <v>23261149</v>
      </c>
      <c r="N124" s="273">
        <v>23647016</v>
      </c>
      <c r="O124" s="273">
        <v>25704537</v>
      </c>
      <c r="P124" s="273">
        <v>24486548</v>
      </c>
      <c r="Q124" s="273">
        <v>23315859</v>
      </c>
      <c r="R124" s="273">
        <v>23691342</v>
      </c>
      <c r="S124" s="273">
        <v>25079464</v>
      </c>
      <c r="T124" s="273">
        <v>23125161</v>
      </c>
      <c r="U124" s="273">
        <v>23041220</v>
      </c>
      <c r="V124" s="273">
        <v>22860107</v>
      </c>
      <c r="W124" s="273">
        <v>21736171</v>
      </c>
      <c r="X124" s="273">
        <v>23012746</v>
      </c>
    </row>
    <row r="125" spans="1:24" ht="14.25" thickBot="1" x14ac:dyDescent="0.3">
      <c r="A125" s="225" t="s">
        <v>32</v>
      </c>
      <c r="B125" s="275">
        <v>911050</v>
      </c>
      <c r="C125" s="275">
        <v>1045274</v>
      </c>
      <c r="D125" s="275">
        <v>1013314</v>
      </c>
      <c r="E125" s="275">
        <v>1044274</v>
      </c>
      <c r="F125" s="275">
        <v>2677631</v>
      </c>
      <c r="G125" s="275">
        <v>2662571</v>
      </c>
      <c r="H125" s="275">
        <v>2645198</v>
      </c>
      <c r="I125" s="275">
        <v>2359931</v>
      </c>
      <c r="J125" s="275">
        <v>2407904</v>
      </c>
      <c r="K125" s="275">
        <v>2543023</v>
      </c>
      <c r="L125" s="275">
        <v>2474802</v>
      </c>
      <c r="M125" s="275">
        <v>2371529</v>
      </c>
      <c r="N125" s="275">
        <v>2359702</v>
      </c>
      <c r="O125" s="275">
        <v>2244580</v>
      </c>
      <c r="P125" s="275">
        <v>2426982</v>
      </c>
      <c r="Q125" s="275">
        <v>2231715</v>
      </c>
      <c r="R125" s="275">
        <v>2137741</v>
      </c>
      <c r="S125" s="275">
        <v>2243695</v>
      </c>
      <c r="T125" s="275">
        <v>2251541</v>
      </c>
      <c r="U125" s="275">
        <v>2184940</v>
      </c>
      <c r="V125" s="275">
        <v>2232954</v>
      </c>
      <c r="W125" s="275">
        <v>2289421</v>
      </c>
      <c r="X125" s="275">
        <v>2541275</v>
      </c>
    </row>
    <row r="126" spans="1:24" ht="14.25" thickBot="1" x14ac:dyDescent="0.3">
      <c r="A126" s="224" t="s">
        <v>33</v>
      </c>
      <c r="B126" s="273">
        <v>1214882</v>
      </c>
      <c r="C126" s="273">
        <v>1277685</v>
      </c>
      <c r="D126" s="273">
        <v>1299122</v>
      </c>
      <c r="E126" s="273">
        <v>1365012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19895201</v>
      </c>
      <c r="C127" s="275">
        <v>22486186</v>
      </c>
      <c r="D127" s="275">
        <v>24046717</v>
      </c>
      <c r="E127" s="275">
        <v>23213502</v>
      </c>
      <c r="F127" s="275">
        <v>24085807</v>
      </c>
      <c r="G127" s="275">
        <v>26566786</v>
      </c>
      <c r="H127" s="275">
        <v>24966878</v>
      </c>
      <c r="I127" s="275">
        <v>22931138</v>
      </c>
      <c r="J127" s="275">
        <v>24688124</v>
      </c>
      <c r="K127" s="275">
        <v>26860617</v>
      </c>
      <c r="L127" s="275">
        <v>27072602</v>
      </c>
      <c r="M127" s="275">
        <v>25632678</v>
      </c>
      <c r="N127" s="275">
        <v>26006718</v>
      </c>
      <c r="O127" s="275">
        <v>27949117</v>
      </c>
      <c r="P127" s="275">
        <v>26913530</v>
      </c>
      <c r="Q127" s="275">
        <v>25547574</v>
      </c>
      <c r="R127" s="275">
        <v>25829083</v>
      </c>
      <c r="S127" s="275">
        <v>27323159</v>
      </c>
      <c r="T127" s="275">
        <v>25376702</v>
      </c>
      <c r="U127" s="275">
        <v>25226160</v>
      </c>
      <c r="V127" s="275">
        <v>25093061</v>
      </c>
      <c r="W127" s="275">
        <v>24025592</v>
      </c>
      <c r="X127" s="275">
        <v>25554021</v>
      </c>
    </row>
    <row r="128" spans="1:24" ht="14.25" thickBot="1" x14ac:dyDescent="0.3">
      <c r="A128" s="224" t="s">
        <v>34</v>
      </c>
      <c r="B128" s="273">
        <v>15637386</v>
      </c>
      <c r="C128" s="273">
        <v>14309096</v>
      </c>
      <c r="D128" s="273">
        <v>15181899</v>
      </c>
      <c r="E128" s="273">
        <v>15727949</v>
      </c>
      <c r="F128" s="273">
        <v>16830515</v>
      </c>
      <c r="G128" s="273">
        <v>15717456</v>
      </c>
      <c r="H128" s="273">
        <v>16575099</v>
      </c>
      <c r="I128" s="273">
        <v>17569606</v>
      </c>
      <c r="J128" s="273">
        <v>18737157</v>
      </c>
      <c r="K128" s="273">
        <v>17097025</v>
      </c>
      <c r="L128" s="273">
        <v>18284715</v>
      </c>
      <c r="M128" s="273">
        <v>19541727</v>
      </c>
      <c r="N128" s="273">
        <v>19983470</v>
      </c>
      <c r="O128" s="273">
        <v>18243690</v>
      </c>
      <c r="P128" s="273">
        <v>20090914</v>
      </c>
      <c r="Q128" s="273">
        <v>20405889</v>
      </c>
      <c r="R128" s="273">
        <v>21322571</v>
      </c>
      <c r="S128" s="273">
        <v>19473559</v>
      </c>
      <c r="T128" s="273">
        <v>19733379</v>
      </c>
      <c r="U128" s="273">
        <v>20017358</v>
      </c>
      <c r="V128" s="273">
        <v>19950024</v>
      </c>
      <c r="W128" s="273">
        <v>19204427</v>
      </c>
      <c r="X128" s="273">
        <v>20179969</v>
      </c>
    </row>
    <row r="129" spans="1:24" ht="14.25" thickBot="1" x14ac:dyDescent="0.3">
      <c r="A129" s="225" t="s">
        <v>35</v>
      </c>
      <c r="B129" s="276">
        <v>35532587</v>
      </c>
      <c r="C129" s="276">
        <v>36795282</v>
      </c>
      <c r="D129" s="276">
        <v>39228616</v>
      </c>
      <c r="E129" s="276">
        <v>38941451</v>
      </c>
      <c r="F129" s="276">
        <v>40916322</v>
      </c>
      <c r="G129" s="276">
        <v>42284242</v>
      </c>
      <c r="H129" s="276">
        <v>41541977</v>
      </c>
      <c r="I129" s="276">
        <v>40500744</v>
      </c>
      <c r="J129" s="276">
        <v>43425281</v>
      </c>
      <c r="K129" s="276">
        <v>43957642</v>
      </c>
      <c r="L129" s="276">
        <v>45357317</v>
      </c>
      <c r="M129" s="276">
        <v>45174405</v>
      </c>
      <c r="N129" s="276">
        <v>45990188</v>
      </c>
      <c r="O129" s="276">
        <v>46192807</v>
      </c>
      <c r="P129" s="276">
        <v>47004444</v>
      </c>
      <c r="Q129" s="276">
        <v>45953463</v>
      </c>
      <c r="R129" s="276">
        <v>47151654</v>
      </c>
      <c r="S129" s="276">
        <v>46796718</v>
      </c>
      <c r="T129" s="276">
        <v>45110081</v>
      </c>
      <c r="U129" s="276">
        <v>45243518</v>
      </c>
      <c r="V129" s="276">
        <v>45043085</v>
      </c>
      <c r="W129" s="276">
        <v>43230019</v>
      </c>
      <c r="X129" s="276">
        <v>45733990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5.89</v>
      </c>
      <c r="C132" s="68">
        <v>14.55</v>
      </c>
      <c r="D132" s="68">
        <v>10.39</v>
      </c>
      <c r="E132" s="68">
        <v>7.24</v>
      </c>
      <c r="F132" s="68">
        <v>6.35</v>
      </c>
    </row>
    <row r="133" spans="1:24" ht="14.25" thickBot="1" x14ac:dyDescent="0.3">
      <c r="A133" s="225" t="s">
        <v>37</v>
      </c>
      <c r="B133" s="274">
        <v>-6.95</v>
      </c>
      <c r="C133" s="274">
        <v>-4.0199999999999996</v>
      </c>
      <c r="D133" s="274">
        <v>-4.07</v>
      </c>
      <c r="E133" s="274">
        <v>1.36</v>
      </c>
      <c r="F133" s="274">
        <v>-2.97</v>
      </c>
    </row>
    <row r="134" spans="1:24" ht="14.25" thickBot="1" x14ac:dyDescent="0.3">
      <c r="A134" s="224" t="s">
        <v>38</v>
      </c>
      <c r="B134" s="68">
        <v>2.44</v>
      </c>
      <c r="C134" s="68">
        <v>-7.51</v>
      </c>
      <c r="D134" s="68">
        <v>-4.0199999999999996</v>
      </c>
      <c r="E134" s="68">
        <v>-4.95</v>
      </c>
      <c r="F134" s="68">
        <v>-6.32</v>
      </c>
    </row>
    <row r="135" spans="1:24" ht="14.25" thickBot="1" x14ac:dyDescent="0.3">
      <c r="A135" s="225" t="s">
        <v>270</v>
      </c>
      <c r="B135" s="274">
        <v>-1.06</v>
      </c>
      <c r="C135" s="274">
        <v>10.53</v>
      </c>
      <c r="D135" s="274">
        <v>6.32</v>
      </c>
      <c r="E135" s="274">
        <v>8.6</v>
      </c>
      <c r="F135" s="274">
        <v>3.38</v>
      </c>
    </row>
    <row r="136" spans="1:24" ht="14.25" thickBot="1" x14ac:dyDescent="0.3">
      <c r="A136" s="229" t="s">
        <v>39</v>
      </c>
      <c r="B136" s="72">
        <v>1.38</v>
      </c>
      <c r="C136" s="72">
        <v>3.03</v>
      </c>
      <c r="D136" s="72">
        <v>2.29</v>
      </c>
      <c r="E136" s="72">
        <v>3.66</v>
      </c>
      <c r="F136" s="72">
        <v>-2.94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5.5</v>
      </c>
      <c r="C140" s="68">
        <v>6</v>
      </c>
      <c r="D140" s="68">
        <v>6.6</v>
      </c>
      <c r="E140" s="68">
        <v>6.2</v>
      </c>
      <c r="F140" s="68">
        <v>5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0.68578553615960103</v>
      </c>
      <c r="C142" s="234">
        <f>IF(C140&lt;&gt;"無",IF(ISNA(HLOOKUP(C139,$B$64:$F$69,6,FALSE)),"",C140/HLOOKUP(C139,$B$64:$F$69,6,FALSE)),"")</f>
        <v>0.64239828693790146</v>
      </c>
      <c r="D142" s="234">
        <f>IF(D140&lt;&gt;"無",IF(ISNA(HLOOKUP(D139,$B$64:$F$69,6,FALSE)),"",D140/HLOOKUP(D139,$B$64:$F$69,6,FALSE)),"")</f>
        <v>0.60164083865086604</v>
      </c>
      <c r="E142" s="234">
        <f>IF(E140&lt;&gt;"無",IF(ISNA(HLOOKUP(E139,$B$64:$F$69,6,FALSE)),"",E140/HLOOKUP(E139,$B$64:$F$69,6,FALSE)),"")</f>
        <v>0.60487804878048779</v>
      </c>
      <c r="F142" s="234">
        <f>IF(F140&lt;&gt;"無",IF(ISNA(HLOOKUP(F139,$B$64:$F$69,6,FALSE)),"",F140/HLOOKUP(F139,$B$64:$F$69,6,FALSE)),"")</f>
        <v>0.61124694376528121</v>
      </c>
    </row>
    <row r="143" spans="1:24" x14ac:dyDescent="0.25">
      <c r="A143" s="233" t="s">
        <v>216</v>
      </c>
      <c r="B143" s="234">
        <f>IF(OR(B140=0,B140="無"),"",B135/B140)</f>
        <v>-0.19272727272727275</v>
      </c>
      <c r="C143" s="234">
        <f>IF(OR(C140=0,C140="無"),"",C135/C140)</f>
        <v>1.7549999999999999</v>
      </c>
      <c r="D143" s="234">
        <f>IF(OR(D140=0,D140="無"),"",D135/D140)</f>
        <v>0.95757575757575764</v>
      </c>
      <c r="E143" s="234">
        <f>IF(OR(E140=0,E140="無"),"",E135/E140)</f>
        <v>1.3870967741935483</v>
      </c>
      <c r="F143" s="234">
        <f>IF(OR(F140=0,F140="無"),"",F135/F140)</f>
        <v>0.67599999999999993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20.71</v>
      </c>
      <c r="C146" s="68">
        <v>21.77</v>
      </c>
      <c r="D146" s="68">
        <v>21.98</v>
      </c>
      <c r="E146" s="68">
        <v>22.16</v>
      </c>
      <c r="F146" s="68">
        <v>21.15</v>
      </c>
      <c r="G146" s="68">
        <v>21.38</v>
      </c>
      <c r="H146" s="68">
        <v>21.09</v>
      </c>
      <c r="I146" s="68">
        <v>22.43</v>
      </c>
      <c r="J146" s="68">
        <v>21.98</v>
      </c>
      <c r="K146" s="68">
        <v>23.68</v>
      </c>
      <c r="L146" s="68">
        <v>21.86</v>
      </c>
      <c r="M146" s="68">
        <v>22.42</v>
      </c>
      <c r="N146" s="68">
        <v>22.63</v>
      </c>
      <c r="O146" s="68">
        <v>22.51</v>
      </c>
      <c r="P146" s="68">
        <v>21.4</v>
      </c>
      <c r="Q146" s="68">
        <v>22.22</v>
      </c>
      <c r="R146" s="68">
        <v>21.19</v>
      </c>
      <c r="S146" s="68">
        <v>22.53</v>
      </c>
      <c r="T146" s="68">
        <v>20.55</v>
      </c>
      <c r="U146" s="68">
        <v>18.100000000000001</v>
      </c>
      <c r="V146" s="68">
        <v>18.739999999999998</v>
      </c>
      <c r="W146" s="68">
        <v>20.420000000000002</v>
      </c>
      <c r="X146" s="68">
        <v>19.72</v>
      </c>
    </row>
    <row r="147" spans="1:24" s="93" customFormat="1" ht="14.25" thickBot="1" x14ac:dyDescent="0.3">
      <c r="A147" s="225" t="s">
        <v>19</v>
      </c>
      <c r="B147" s="274">
        <v>7.37</v>
      </c>
      <c r="C147" s="274">
        <v>8.1300000000000008</v>
      </c>
      <c r="D147" s="274">
        <v>7.75</v>
      </c>
      <c r="E147" s="274">
        <v>5.92</v>
      </c>
      <c r="F147" s="274">
        <v>7.63</v>
      </c>
      <c r="G147" s="274">
        <v>8.36</v>
      </c>
      <c r="H147" s="274">
        <v>7.79</v>
      </c>
      <c r="I147" s="274">
        <v>6.6</v>
      </c>
      <c r="J147" s="274">
        <v>8.4700000000000006</v>
      </c>
      <c r="K147" s="274">
        <v>10.17</v>
      </c>
      <c r="L147" s="274">
        <v>7.78</v>
      </c>
      <c r="M147" s="274">
        <v>6.3</v>
      </c>
      <c r="N147" s="274">
        <v>9.1999999999999993</v>
      </c>
      <c r="O147" s="274">
        <v>9.1</v>
      </c>
      <c r="P147" s="274">
        <v>7.61</v>
      </c>
      <c r="Q147" s="274">
        <v>6.04</v>
      </c>
      <c r="R147" s="274">
        <v>7.26</v>
      </c>
      <c r="S147" s="274">
        <v>8.39</v>
      </c>
      <c r="T147" s="274">
        <v>5.94</v>
      </c>
      <c r="U147" s="274">
        <v>4.66</v>
      </c>
      <c r="V147" s="274">
        <v>5.49</v>
      </c>
      <c r="W147" s="274">
        <v>6.85</v>
      </c>
      <c r="X147" s="274">
        <v>5.95</v>
      </c>
    </row>
    <row r="148" spans="1:24" s="93" customFormat="1" ht="14.25" thickBot="1" x14ac:dyDescent="0.3">
      <c r="A148" s="224" t="s">
        <v>41</v>
      </c>
      <c r="B148" s="68">
        <v>7</v>
      </c>
      <c r="C148" s="68">
        <v>8.4499999999999993</v>
      </c>
      <c r="D148" s="68">
        <v>7.8</v>
      </c>
      <c r="E148" s="68">
        <v>5.99</v>
      </c>
      <c r="F148" s="68">
        <v>8.85</v>
      </c>
      <c r="G148" s="68">
        <v>8.86</v>
      </c>
      <c r="H148" s="68">
        <v>7.98</v>
      </c>
      <c r="I148" s="68">
        <v>7.38</v>
      </c>
      <c r="J148" s="68">
        <v>9.6</v>
      </c>
      <c r="K148" s="68">
        <v>10.37</v>
      </c>
      <c r="L148" s="68">
        <v>8.61</v>
      </c>
      <c r="M148" s="68">
        <v>8.6</v>
      </c>
      <c r="N148" s="68">
        <v>8.16</v>
      </c>
      <c r="O148" s="68">
        <v>8</v>
      </c>
      <c r="P148" s="68">
        <v>9.84</v>
      </c>
      <c r="Q148" s="68">
        <v>7.32</v>
      </c>
      <c r="R148" s="68">
        <v>7.54</v>
      </c>
      <c r="S148" s="68">
        <v>9.36</v>
      </c>
      <c r="T148" s="68">
        <v>6.16</v>
      </c>
      <c r="U148" s="68">
        <v>6.53</v>
      </c>
      <c r="V148" s="68">
        <v>5.26</v>
      </c>
      <c r="W148" s="68">
        <v>6.97</v>
      </c>
      <c r="X148" s="68">
        <v>6.65</v>
      </c>
    </row>
    <row r="149" spans="1:24" s="93" customFormat="1" ht="14.25" thickBot="1" x14ac:dyDescent="0.3">
      <c r="A149" s="225" t="s">
        <v>13</v>
      </c>
      <c r="B149" s="73">
        <v>5.22</v>
      </c>
      <c r="C149" s="73">
        <v>5.76</v>
      </c>
      <c r="D149" s="73">
        <v>5.85</v>
      </c>
      <c r="E149" s="73">
        <v>5.25</v>
      </c>
      <c r="F149" s="73">
        <v>6.69</v>
      </c>
      <c r="G149" s="73">
        <v>5.96</v>
      </c>
      <c r="H149" s="73">
        <v>6.15</v>
      </c>
      <c r="I149" s="73">
        <v>6.58</v>
      </c>
      <c r="J149" s="73">
        <v>7.51</v>
      </c>
      <c r="K149" s="73">
        <v>5.69</v>
      </c>
      <c r="L149" s="73">
        <v>6.86</v>
      </c>
      <c r="M149" s="73">
        <v>7.38</v>
      </c>
      <c r="N149" s="73">
        <v>6.56</v>
      </c>
      <c r="O149" s="73">
        <v>5.4</v>
      </c>
      <c r="P149" s="73">
        <v>7.1</v>
      </c>
      <c r="Q149" s="73">
        <v>6.45</v>
      </c>
      <c r="R149" s="73">
        <v>5.97</v>
      </c>
      <c r="S149" s="73">
        <v>5.7</v>
      </c>
      <c r="T149" s="73">
        <v>4.66</v>
      </c>
      <c r="U149" s="73">
        <v>5.18</v>
      </c>
      <c r="V149" s="73">
        <v>3.84</v>
      </c>
      <c r="W149" s="73">
        <v>5.05</v>
      </c>
      <c r="X149" s="73">
        <v>4.8099999999999996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21.67</v>
      </c>
      <c r="C152" s="68">
        <v>21.48</v>
      </c>
      <c r="D152" s="68">
        <v>22.48</v>
      </c>
      <c r="E152" s="68">
        <v>22.16</v>
      </c>
      <c r="F152" s="68">
        <v>20.67</v>
      </c>
    </row>
    <row r="153" spans="1:24" s="93" customFormat="1" ht="14.25" thickBot="1" x14ac:dyDescent="0.3">
      <c r="A153" s="225" t="s">
        <v>19</v>
      </c>
      <c r="B153" s="274">
        <v>7.32</v>
      </c>
      <c r="C153" s="274">
        <v>7.63</v>
      </c>
      <c r="D153" s="274">
        <v>8.1999999999999993</v>
      </c>
      <c r="E153" s="274">
        <v>8.0399999999999991</v>
      </c>
      <c r="F153" s="274">
        <v>6.62</v>
      </c>
    </row>
    <row r="154" spans="1:24" s="93" customFormat="1" ht="14.25" thickBot="1" x14ac:dyDescent="0.3">
      <c r="A154" s="224" t="s">
        <v>41</v>
      </c>
      <c r="B154" s="68">
        <v>7.34</v>
      </c>
      <c r="C154" s="68">
        <v>8.2799999999999994</v>
      </c>
      <c r="D154" s="68">
        <v>9.2899999999999991</v>
      </c>
      <c r="E154" s="68">
        <v>8.41</v>
      </c>
      <c r="F154" s="68">
        <v>7.42</v>
      </c>
    </row>
    <row r="155" spans="1:24" s="93" customFormat="1" ht="14.25" thickBot="1" x14ac:dyDescent="0.3">
      <c r="A155" s="225" t="s">
        <v>13</v>
      </c>
      <c r="B155" s="73">
        <v>5.53</v>
      </c>
      <c r="C155" s="73">
        <v>6.33</v>
      </c>
      <c r="D155" s="73">
        <v>6.84</v>
      </c>
      <c r="E155" s="73">
        <v>6.39</v>
      </c>
      <c r="F155" s="73">
        <v>5.38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</v>
      </c>
      <c r="C158" s="68">
        <v>2.2000000000000002</v>
      </c>
      <c r="D158" s="68">
        <v>2.36</v>
      </c>
      <c r="E158" s="68">
        <v>1.79</v>
      </c>
      <c r="F158" s="68">
        <v>2.29</v>
      </c>
      <c r="G158" s="68">
        <v>2.06</v>
      </c>
      <c r="H158" s="68">
        <v>2.25</v>
      </c>
      <c r="I158" s="68">
        <v>2.04</v>
      </c>
      <c r="J158" s="68">
        <v>2.6</v>
      </c>
      <c r="K158" s="68">
        <v>2.0099999999999998</v>
      </c>
      <c r="L158" s="68">
        <v>2.62</v>
      </c>
      <c r="M158" s="68">
        <v>2.33</v>
      </c>
      <c r="N158" s="68">
        <v>2.17</v>
      </c>
      <c r="O158" s="68">
        <v>1.88</v>
      </c>
      <c r="P158" s="68">
        <v>2.66</v>
      </c>
      <c r="Q158" s="68">
        <v>1.88</v>
      </c>
      <c r="R158" s="68">
        <v>1.9</v>
      </c>
      <c r="S158" s="68">
        <v>1.84</v>
      </c>
      <c r="T158" s="68">
        <v>1.58</v>
      </c>
      <c r="U158" s="68">
        <v>1.52</v>
      </c>
      <c r="V158" s="68">
        <v>1.2</v>
      </c>
      <c r="W158" s="68">
        <v>1.6</v>
      </c>
      <c r="X158" s="68">
        <v>1.68</v>
      </c>
    </row>
    <row r="159" spans="1:24" s="93" customFormat="1" ht="14.25" thickBot="1" x14ac:dyDescent="0.3">
      <c r="A159" s="225" t="s">
        <v>45</v>
      </c>
      <c r="B159" s="73">
        <v>4.32</v>
      </c>
      <c r="C159" s="73">
        <v>5.13</v>
      </c>
      <c r="D159" s="73">
        <v>5.95</v>
      </c>
      <c r="E159" s="73">
        <v>4.38</v>
      </c>
      <c r="F159" s="73">
        <v>5.44</v>
      </c>
      <c r="G159" s="73">
        <v>5.1100000000000003</v>
      </c>
      <c r="H159" s="73">
        <v>5.68</v>
      </c>
      <c r="I159" s="73">
        <v>4.74</v>
      </c>
      <c r="J159" s="73">
        <v>5.87</v>
      </c>
      <c r="K159" s="73">
        <v>4.8099999999999996</v>
      </c>
      <c r="L159" s="73">
        <v>6.47</v>
      </c>
      <c r="M159" s="73">
        <v>5.46</v>
      </c>
      <c r="N159" s="73">
        <v>4.84</v>
      </c>
      <c r="O159" s="73">
        <v>4.41</v>
      </c>
      <c r="P159" s="73">
        <v>6.34</v>
      </c>
      <c r="Q159" s="73">
        <v>4.17</v>
      </c>
      <c r="R159" s="73">
        <v>4.1100000000000003</v>
      </c>
      <c r="S159" s="73">
        <v>4.12</v>
      </c>
      <c r="T159" s="73">
        <v>3.6</v>
      </c>
      <c r="U159" s="73">
        <v>3.35</v>
      </c>
      <c r="V159" s="73">
        <v>2.59</v>
      </c>
      <c r="W159" s="73">
        <v>3.47</v>
      </c>
      <c r="X159" s="73">
        <v>3.65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5.53</v>
      </c>
      <c r="C162" s="68">
        <v>6.33</v>
      </c>
      <c r="D162" s="68">
        <v>6.84</v>
      </c>
      <c r="E162" s="68">
        <v>6.39</v>
      </c>
      <c r="F162" s="68">
        <v>5.38</v>
      </c>
    </row>
    <row r="163" spans="1:72" s="93" customFormat="1" ht="14.25" thickBot="1" x14ac:dyDescent="0.3">
      <c r="A163" s="225" t="s">
        <v>18</v>
      </c>
      <c r="B163" s="274">
        <v>1.39</v>
      </c>
      <c r="C163" s="274">
        <v>1.34</v>
      </c>
      <c r="D163" s="274">
        <v>1.33</v>
      </c>
      <c r="E163" s="274">
        <v>1.31</v>
      </c>
      <c r="F163" s="274">
        <v>1.26</v>
      </c>
    </row>
    <row r="164" spans="1:72" s="93" customFormat="1" ht="14.25" thickBot="1" x14ac:dyDescent="0.3">
      <c r="A164" s="224" t="s">
        <v>15</v>
      </c>
      <c r="B164" s="68">
        <v>2.48</v>
      </c>
      <c r="C164" s="68">
        <v>2.31</v>
      </c>
      <c r="D164" s="68">
        <v>2.31</v>
      </c>
      <c r="E164" s="68">
        <v>2.25</v>
      </c>
      <c r="F164" s="68">
        <v>2.2599999999999998</v>
      </c>
    </row>
    <row r="165" spans="1:72" s="93" customFormat="1" ht="14.25" thickBot="1" x14ac:dyDescent="0.3">
      <c r="A165" s="225" t="s">
        <v>45</v>
      </c>
      <c r="B165" s="73">
        <v>19.28</v>
      </c>
      <c r="C165" s="73">
        <v>20.68</v>
      </c>
      <c r="D165" s="73">
        <v>22.13</v>
      </c>
      <c r="E165" s="73">
        <v>19.32</v>
      </c>
      <c r="F165" s="73">
        <v>15.18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67.16</v>
      </c>
      <c r="C168" s="68">
        <v>64.75</v>
      </c>
      <c r="D168" s="68">
        <v>56.25</v>
      </c>
      <c r="E168" s="68">
        <v>70.31</v>
      </c>
      <c r="F168" s="68">
        <v>72</v>
      </c>
      <c r="G168" s="68">
        <v>63.83</v>
      </c>
      <c r="H168" s="68">
        <v>53.57</v>
      </c>
      <c r="I168" s="68">
        <v>68.7</v>
      </c>
      <c r="J168" s="68">
        <v>66.67</v>
      </c>
      <c r="K168" s="68">
        <v>62.94</v>
      </c>
      <c r="L168" s="68">
        <v>55.56</v>
      </c>
      <c r="M168" s="68">
        <v>69.77</v>
      </c>
      <c r="N168" s="68">
        <v>70.87</v>
      </c>
      <c r="O168" s="68">
        <v>64.75</v>
      </c>
      <c r="P168" s="68">
        <v>58.82</v>
      </c>
      <c r="Q168" s="68">
        <v>76.92</v>
      </c>
      <c r="R168" s="68">
        <v>70.87</v>
      </c>
      <c r="S168" s="68">
        <v>68.7</v>
      </c>
      <c r="T168" s="68">
        <v>63.38</v>
      </c>
      <c r="U168" s="68">
        <v>77.59</v>
      </c>
      <c r="V168" s="68">
        <v>78.95</v>
      </c>
      <c r="W168" s="68">
        <v>75.63</v>
      </c>
      <c r="X168" s="68">
        <v>67.67</v>
      </c>
    </row>
    <row r="169" spans="1:72" s="93" customFormat="1" ht="14.25" thickBot="1" x14ac:dyDescent="0.3">
      <c r="A169" s="225" t="s">
        <v>17</v>
      </c>
      <c r="B169" s="274">
        <v>90.91</v>
      </c>
      <c r="C169" s="274">
        <v>89.11</v>
      </c>
      <c r="D169" s="274">
        <v>83.33</v>
      </c>
      <c r="E169" s="274">
        <v>101.12</v>
      </c>
      <c r="F169" s="274">
        <v>96.77</v>
      </c>
      <c r="G169" s="274">
        <v>91.84</v>
      </c>
      <c r="H169" s="274">
        <v>85.71</v>
      </c>
      <c r="I169" s="274">
        <v>105.88</v>
      </c>
      <c r="J169" s="274">
        <v>90</v>
      </c>
      <c r="K169" s="274">
        <v>86.54</v>
      </c>
      <c r="L169" s="274">
        <v>80.36</v>
      </c>
      <c r="M169" s="274">
        <v>101.12</v>
      </c>
      <c r="N169" s="274">
        <v>100</v>
      </c>
      <c r="O169" s="274">
        <v>95.74</v>
      </c>
      <c r="P169" s="274">
        <v>89.11</v>
      </c>
      <c r="Q169" s="274">
        <v>121.62</v>
      </c>
      <c r="R169" s="274">
        <v>109.76</v>
      </c>
      <c r="S169" s="274">
        <v>108.43</v>
      </c>
      <c r="T169" s="274">
        <v>103.45</v>
      </c>
      <c r="U169" s="274">
        <v>120</v>
      </c>
      <c r="V169" s="274">
        <v>112.5</v>
      </c>
      <c r="W169" s="274">
        <v>113.92</v>
      </c>
      <c r="X169" s="274">
        <v>105.88</v>
      </c>
    </row>
    <row r="170" spans="1:72" s="93" customFormat="1" ht="14.25" thickBot="1" x14ac:dyDescent="0.3">
      <c r="A170" s="224" t="s">
        <v>42</v>
      </c>
      <c r="B170" s="72">
        <v>158.07</v>
      </c>
      <c r="C170" s="72">
        <v>153.86000000000001</v>
      </c>
      <c r="D170" s="72">
        <v>139.58000000000001</v>
      </c>
      <c r="E170" s="72">
        <v>171.44</v>
      </c>
      <c r="F170" s="72">
        <v>168.77</v>
      </c>
      <c r="G170" s="72">
        <v>155.66999999999999</v>
      </c>
      <c r="H170" s="72">
        <v>139.29</v>
      </c>
      <c r="I170" s="72">
        <v>174.58</v>
      </c>
      <c r="J170" s="72">
        <v>156.66999999999999</v>
      </c>
      <c r="K170" s="72">
        <v>149.47999999999999</v>
      </c>
      <c r="L170" s="72">
        <v>135.91</v>
      </c>
      <c r="M170" s="72">
        <v>170.89</v>
      </c>
      <c r="N170" s="72">
        <v>170.87</v>
      </c>
      <c r="O170" s="72">
        <v>160.49</v>
      </c>
      <c r="P170" s="72">
        <v>147.93</v>
      </c>
      <c r="Q170" s="72">
        <v>198.54</v>
      </c>
      <c r="R170" s="72">
        <v>180.62</v>
      </c>
      <c r="S170" s="72">
        <v>177.14</v>
      </c>
      <c r="T170" s="72">
        <v>166.83</v>
      </c>
      <c r="U170" s="72">
        <v>197.59</v>
      </c>
      <c r="V170" s="72">
        <v>191.45</v>
      </c>
      <c r="W170" s="72">
        <v>189.55</v>
      </c>
      <c r="X170" s="72">
        <v>173.55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73.900000000000006</v>
      </c>
      <c r="C173" s="72">
        <v>158.72999999999999</v>
      </c>
      <c r="D173" s="72">
        <v>94.94</v>
      </c>
      <c r="E173" s="72">
        <v>70.28</v>
      </c>
      <c r="F173" s="72">
        <v>77.69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17.52</v>
      </c>
      <c r="C176" s="72">
        <v>17.72</v>
      </c>
      <c r="D176" s="72">
        <v>19.260000000000002</v>
      </c>
      <c r="E176" s="72">
        <v>17.39</v>
      </c>
      <c r="F176" s="72">
        <v>17.440000000000001</v>
      </c>
      <c r="G176" s="72">
        <v>16.43</v>
      </c>
      <c r="H176" s="72">
        <v>18.32</v>
      </c>
      <c r="I176" s="72">
        <v>20.149999999999999</v>
      </c>
      <c r="J176" s="72">
        <v>19.059999999999999</v>
      </c>
      <c r="K176" s="72">
        <v>19.329999999999998</v>
      </c>
      <c r="L176" s="72">
        <v>18.09</v>
      </c>
      <c r="M176" s="72">
        <v>20.350000000000001</v>
      </c>
      <c r="N176" s="72">
        <v>19.96</v>
      </c>
      <c r="O176" s="72">
        <v>20.47</v>
      </c>
      <c r="P176" s="72">
        <v>20.92</v>
      </c>
      <c r="Q176" s="72">
        <v>21.5</v>
      </c>
      <c r="R176" s="72">
        <v>22.29</v>
      </c>
      <c r="S176" s="72">
        <v>22.52</v>
      </c>
      <c r="T176" s="72">
        <v>26</v>
      </c>
      <c r="U176" s="72">
        <v>23.71</v>
      </c>
      <c r="V176" s="72">
        <v>23.77</v>
      </c>
      <c r="W176" s="72">
        <v>24.19</v>
      </c>
      <c r="X176" s="72">
        <v>23.49</v>
      </c>
      <c r="Y176" s="72">
        <v>22.92</v>
      </c>
      <c r="Z176" s="72">
        <v>22.27</v>
      </c>
      <c r="AA176" s="72">
        <v>22.25</v>
      </c>
      <c r="AB176" s="72">
        <v>21.81</v>
      </c>
      <c r="AC176" s="72">
        <v>23.78</v>
      </c>
      <c r="AD176" s="72">
        <v>23.67</v>
      </c>
      <c r="AE176" s="72">
        <v>24.07</v>
      </c>
      <c r="AF176" s="72">
        <v>24.58</v>
      </c>
      <c r="AG176" s="72">
        <v>24.81</v>
      </c>
      <c r="AH176" s="72">
        <v>24.68</v>
      </c>
      <c r="AI176" s="72">
        <v>23.63</v>
      </c>
      <c r="AJ176" s="72">
        <v>24.47</v>
      </c>
      <c r="AK176" s="72">
        <v>25.91</v>
      </c>
      <c r="AL176" s="72">
        <v>26.07</v>
      </c>
      <c r="AM176" s="72">
        <v>27.81</v>
      </c>
      <c r="AN176" s="72">
        <v>27.32</v>
      </c>
      <c r="AO176" s="72">
        <v>26.3</v>
      </c>
      <c r="AP176" s="72">
        <v>24.83</v>
      </c>
      <c r="AQ176" s="72">
        <v>23.91</v>
      </c>
      <c r="AR176" s="72">
        <v>24.7</v>
      </c>
      <c r="AS176" s="72">
        <v>22.97</v>
      </c>
      <c r="AT176" s="72">
        <v>22.97</v>
      </c>
      <c r="AU176" s="72">
        <v>23.29</v>
      </c>
      <c r="AV176" s="72">
        <v>21.69</v>
      </c>
      <c r="AW176" s="72">
        <v>20.079999999999998</v>
      </c>
      <c r="AX176" s="72">
        <v>19.149999999999999</v>
      </c>
      <c r="AY176" s="72">
        <v>20.260000000000002</v>
      </c>
      <c r="AZ176" s="72">
        <v>20.65</v>
      </c>
      <c r="BA176" s="72">
        <v>18.61</v>
      </c>
      <c r="BB176" s="72">
        <v>18.420000000000002</v>
      </c>
      <c r="BC176" s="72">
        <v>20</v>
      </c>
      <c r="BD176" s="72">
        <v>21.65</v>
      </c>
      <c r="BE176" s="72">
        <v>21.4</v>
      </c>
      <c r="BF176" s="72">
        <v>20.95</v>
      </c>
      <c r="BG176" s="72">
        <v>22.04</v>
      </c>
      <c r="BH176" s="72">
        <v>23.29</v>
      </c>
      <c r="BI176" s="72">
        <v>21.45</v>
      </c>
      <c r="BJ176" s="72">
        <v>22.4</v>
      </c>
      <c r="BK176" s="72">
        <v>22.54</v>
      </c>
      <c r="BL176" s="72">
        <v>22.65</v>
      </c>
      <c r="BM176" s="72">
        <v>21.75</v>
      </c>
      <c r="BN176" s="72">
        <v>24.58</v>
      </c>
      <c r="BO176" s="72">
        <v>24.14</v>
      </c>
      <c r="BP176" s="72">
        <v>22.38</v>
      </c>
      <c r="BQ176" s="72">
        <v>22.26</v>
      </c>
      <c r="BR176" s="72">
        <v>21.42</v>
      </c>
      <c r="BS176" s="72">
        <v>22.2</v>
      </c>
      <c r="BT176" s="72">
        <v>21.66</v>
      </c>
    </row>
  </sheetData>
  <phoneticPr fontId="3" type="noConversion"/>
  <conditionalFormatting sqref="E4">
    <cfRule type="cellIs" dxfId="599" priority="101" operator="greaterThan">
      <formula>0.2</formula>
    </cfRule>
    <cfRule type="cellIs" dxfId="59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59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96" priority="95" operator="greaterThan">
      <formula>$B$19</formula>
    </cfRule>
  </conditionalFormatting>
  <conditionalFormatting sqref="D33:D34">
    <cfRule type="cellIs" dxfId="59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594" priority="89" operator="lessThan">
      <formula>$H$62</formula>
    </cfRule>
    <cfRule type="cellIs" dxfId="593" priority="90" operator="greaterThan">
      <formula>$H$62</formula>
    </cfRule>
  </conditionalFormatting>
  <conditionalFormatting sqref="J62">
    <cfRule type="cellIs" dxfId="592" priority="87" operator="lessThan">
      <formula>$K$62</formula>
    </cfRule>
    <cfRule type="cellIs" dxfId="591" priority="88" operator="greaterThan">
      <formula>$K$62</formula>
    </cfRule>
  </conditionalFormatting>
  <conditionalFormatting sqref="M62">
    <cfRule type="cellIs" dxfId="590" priority="85" operator="lessThan">
      <formula>$N$62</formula>
    </cfRule>
    <cfRule type="cellIs" dxfId="589" priority="86" operator="greaterThan">
      <formula>$N$62</formula>
    </cfRule>
  </conditionalFormatting>
  <conditionalFormatting sqref="B44:E44">
    <cfRule type="cellIs" dxfId="588" priority="83" operator="greaterThan">
      <formula>0</formula>
    </cfRule>
    <cfRule type="cellIs" dxfId="587" priority="84" operator="lessThan">
      <formula>0</formula>
    </cfRule>
  </conditionalFormatting>
  <conditionalFormatting sqref="F72">
    <cfRule type="cellIs" dxfId="586" priority="82" operator="lessThan">
      <formula>$E$72*90%</formula>
    </cfRule>
  </conditionalFormatting>
  <conditionalFormatting sqref="F73">
    <cfRule type="cellIs" dxfId="585" priority="81" operator="lessThan">
      <formula>$E$73*90%</formula>
    </cfRule>
  </conditionalFormatting>
  <conditionalFormatting sqref="F74">
    <cfRule type="cellIs" dxfId="584" priority="80" operator="lessThan">
      <formula>$E$74*90%</formula>
    </cfRule>
  </conditionalFormatting>
  <conditionalFormatting sqref="F75">
    <cfRule type="cellIs" dxfId="583" priority="79" operator="lessThan">
      <formula>$E$75*90%</formula>
    </cfRule>
  </conditionalFormatting>
  <conditionalFormatting sqref="H44:K44">
    <cfRule type="cellIs" dxfId="582" priority="77" operator="greaterThan">
      <formula>0</formula>
    </cfRule>
    <cfRule type="cellIs" dxfId="581" priority="78" operator="lessThan">
      <formula>0</formula>
    </cfRule>
  </conditionalFormatting>
  <conditionalFormatting sqref="H51:K51">
    <cfRule type="cellIs" dxfId="580" priority="75" operator="greaterThan">
      <formula>0</formula>
    </cfRule>
    <cfRule type="cellIs" dxfId="579" priority="76" operator="lessThan">
      <formula>0</formula>
    </cfRule>
  </conditionalFormatting>
  <conditionalFormatting sqref="B51:E51">
    <cfRule type="cellIs" dxfId="578" priority="73" operator="greaterThan">
      <formula>0</formula>
    </cfRule>
    <cfRule type="cellIs" dxfId="57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7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7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574" priority="56" operator="lessThan">
      <formula>0</formula>
    </cfRule>
  </conditionalFormatting>
  <conditionalFormatting sqref="A25 E25 C25">
    <cfRule type="cellIs" dxfId="573" priority="57" operator="lessThan">
      <formula>0</formula>
    </cfRule>
  </conditionalFormatting>
  <conditionalFormatting sqref="F25">
    <cfRule type="cellIs" dxfId="572" priority="55" operator="lessThan">
      <formula>0</formula>
    </cfRule>
  </conditionalFormatting>
  <conditionalFormatting sqref="E1">
    <cfRule type="containsText" dxfId="571" priority="54" operator="containsText" text="本季業外損益/平均=-">
      <formula>NOT(ISERROR(SEARCH("本季業外損益/平均=-",E1)))</formula>
    </cfRule>
  </conditionalFormatting>
  <conditionalFormatting sqref="M65">
    <cfRule type="cellIs" dxfId="570" priority="53" operator="lessThan">
      <formula>$L$65*90%</formula>
    </cfRule>
  </conditionalFormatting>
  <conditionalFormatting sqref="M66">
    <cfRule type="cellIs" dxfId="569" priority="52" operator="lessThan">
      <formula>$L$66*90%</formula>
    </cfRule>
  </conditionalFormatting>
  <conditionalFormatting sqref="M67">
    <cfRule type="cellIs" dxfId="568" priority="51" operator="lessThan">
      <formula>$L$67*90%</formula>
    </cfRule>
  </conditionalFormatting>
  <conditionalFormatting sqref="M68">
    <cfRule type="cellIs" dxfId="567" priority="50" operator="lessThan">
      <formula>$L$68*90%</formula>
    </cfRule>
  </conditionalFormatting>
  <conditionalFormatting sqref="B60">
    <cfRule type="cellIs" dxfId="566" priority="49" operator="lessThan">
      <formula>0</formula>
    </cfRule>
  </conditionalFormatting>
  <conditionalFormatting sqref="B59:F59">
    <cfRule type="cellIs" dxfId="565" priority="48" operator="lessThanOrEqual">
      <formula>0</formula>
    </cfRule>
  </conditionalFormatting>
  <conditionalFormatting sqref="D62">
    <cfRule type="cellIs" dxfId="564" priority="46" operator="lessThan">
      <formula>$E$62</formula>
    </cfRule>
    <cfRule type="cellIs" dxfId="563" priority="47" operator="greaterThan">
      <formula>$E$62</formula>
    </cfRule>
  </conditionalFormatting>
  <conditionalFormatting sqref="F69">
    <cfRule type="cellIs" dxfId="562" priority="44" operator="lessThan">
      <formula>0</formula>
    </cfRule>
  </conditionalFormatting>
  <conditionalFormatting sqref="B65:E67 B69:E69 B68:D68">
    <cfRule type="cellIs" dxfId="561" priority="45" operator="lessThan">
      <formula>0</formula>
    </cfRule>
  </conditionalFormatting>
  <conditionalFormatting sqref="E68">
    <cfRule type="cellIs" dxfId="560" priority="43" operator="lessThan">
      <formula>0</formula>
    </cfRule>
  </conditionalFormatting>
  <conditionalFormatting sqref="F65:F68">
    <cfRule type="cellIs" dxfId="559" priority="42" operator="lessThan">
      <formula>0</formula>
    </cfRule>
  </conditionalFormatting>
  <conditionalFormatting sqref="F65:F68">
    <cfRule type="cellIs" dxfId="558" priority="41" operator="lessThan">
      <formula>$E$65*0.9</formula>
    </cfRule>
  </conditionalFormatting>
  <conditionalFormatting sqref="F66">
    <cfRule type="cellIs" dxfId="557" priority="40" operator="lessThan">
      <formula>$E$66*0.9</formula>
    </cfRule>
  </conditionalFormatting>
  <conditionalFormatting sqref="F67:F68">
    <cfRule type="cellIs" dxfId="556" priority="39" operator="lessThan">
      <formula>$E$67*0.9</formula>
    </cfRule>
  </conditionalFormatting>
  <conditionalFormatting sqref="F68">
    <cfRule type="cellIs" dxfId="555" priority="38" operator="lessThan">
      <formula>$E$68*0.9</formula>
    </cfRule>
  </conditionalFormatting>
  <conditionalFormatting sqref="B13:F13">
    <cfRule type="cellIs" dxfId="554" priority="27" operator="greaterThan">
      <formula>$I$16</formula>
    </cfRule>
    <cfRule type="cellIs" dxfId="553" priority="28" operator="lessThanOrEqual">
      <formula>$I$16</formula>
    </cfRule>
  </conditionalFormatting>
  <conditionalFormatting sqref="B10:F10">
    <cfRule type="cellIs" dxfId="552" priority="29" operator="greaterThan">
      <formula>15</formula>
    </cfRule>
    <cfRule type="cellIs" dxfId="551" priority="36" operator="lessThan">
      <formula>$I$9</formula>
    </cfRule>
    <cfRule type="cellIs" dxfId="550" priority="37" operator="greaterThan">
      <formula>$I$9</formula>
    </cfRule>
  </conditionalFormatting>
  <conditionalFormatting sqref="B16:F16">
    <cfRule type="cellIs" dxfId="549" priority="34" operator="greaterThan">
      <formula>$I$16</formula>
    </cfRule>
    <cfRule type="cellIs" dxfId="548" priority="35" operator="lessThanOrEqual">
      <formula>$I$16</formula>
    </cfRule>
  </conditionalFormatting>
  <conditionalFormatting sqref="B15:F15">
    <cfRule type="cellIs" dxfId="547" priority="32" operator="lessThanOrEqual">
      <formula>$I$16</formula>
    </cfRule>
    <cfRule type="cellIs" dxfId="546" priority="33" operator="greaterThan">
      <formula>$I$16</formula>
    </cfRule>
  </conditionalFormatting>
  <conditionalFormatting sqref="B14:F14">
    <cfRule type="cellIs" dxfId="545" priority="30" operator="greaterThan">
      <formula>$I$16</formula>
    </cfRule>
    <cfRule type="cellIs" dxfId="544" priority="31" operator="lessThanOrEqual">
      <formula>$I$16</formula>
    </cfRule>
  </conditionalFormatting>
  <conditionalFormatting sqref="K6">
    <cfRule type="containsText" dxfId="543" priority="25" operator="containsText" text="衰退">
      <formula>NOT(ISERROR(SEARCH("衰退",K6)))</formula>
    </cfRule>
    <cfRule type="containsText" dxfId="542" priority="26" operator="containsText" text="成長">
      <formula>NOT(ISERROR(SEARCH("成長",K6)))</formula>
    </cfRule>
  </conditionalFormatting>
  <conditionalFormatting sqref="I4:K4">
    <cfRule type="cellIs" dxfId="541" priority="23" operator="lessThan">
      <formula>0</formula>
    </cfRule>
    <cfRule type="cellIs" dxfId="54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539" priority="20" operator="lessThanOrEqual">
      <formula>$I$16</formula>
    </cfRule>
    <cfRule type="cellIs" dxfId="538" priority="21" operator="greaterThan">
      <formula>$I$16</formula>
    </cfRule>
  </conditionalFormatting>
  <conditionalFormatting sqref="I6">
    <cfRule type="containsText" dxfId="537" priority="18" operator="containsText" text="衰退">
      <formula>NOT(ISERROR(SEARCH("衰退",I6)))</formula>
    </cfRule>
    <cfRule type="containsText" dxfId="536" priority="19" operator="containsText" text="成長">
      <formula>NOT(ISERROR(SEARCH("成長",I6)))</formula>
    </cfRule>
  </conditionalFormatting>
  <conditionalFormatting sqref="M9">
    <cfRule type="cellIs" dxfId="535" priority="17" operator="lessThan">
      <formula>$I$9</formula>
    </cfRule>
  </conditionalFormatting>
  <conditionalFormatting sqref="M10">
    <cfRule type="cellIs" dxfId="534" priority="16" operator="greaterThan">
      <formula>$I$9</formula>
    </cfRule>
  </conditionalFormatting>
  <conditionalFormatting sqref="M11">
    <cfRule type="cellIs" dxfId="53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532" priority="12" operator="lessThan">
      <formula>0</formula>
    </cfRule>
    <cfRule type="cellIs" dxfId="531" priority="13" operator="greaterThan">
      <formula>0.5</formula>
    </cfRule>
  </conditionalFormatting>
  <conditionalFormatting sqref="N14">
    <cfRule type="cellIs" dxfId="53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529" priority="8" operator="lessThan">
      <formula>0.1</formula>
    </cfRule>
  </conditionalFormatting>
  <conditionalFormatting sqref="I14">
    <cfRule type="cellIs" dxfId="52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52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526" priority="1" operator="lessThan">
      <formula>$N$5*0.9</formula>
    </cfRule>
    <cfRule type="cellIs" dxfId="525" priority="2" operator="greaterThan">
      <formula>$N$5*1.1</formula>
    </cfRule>
  </conditionalFormatting>
  <hyperlinks>
    <hyperlink ref="L1" location="儀表板!A1" display="(回首頁)" xr:uid="{00000000-0004-0000-6000-000000000000}"/>
  </hyperlink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3.54 ~ 22.42</v>
      </c>
      <c r="L1" s="83" t="s">
        <v>176</v>
      </c>
      <c r="M1" s="84" t="str">
        <f ca="1">VLOOKUP(_xlfn.NUMBERVALUE(N1),儀表板!A:B,2,FALSE)</f>
        <v>福興</v>
      </c>
      <c r="N1" s="85" t="str">
        <f ca="1">MID(CELL("filename",L1),FIND("]",CELL("filename",L1))+1,255)</f>
        <v>9924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0.28894723056084975</v>
      </c>
    </row>
    <row r="3" spans="1:15" s="93" customFormat="1" x14ac:dyDescent="0.25">
      <c r="A3" s="81" t="s">
        <v>179</v>
      </c>
      <c r="B3" s="94">
        <f>SUM(F19:F22,F24:F27,J19)</f>
        <v>94.491776177308694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33.590228414375993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36.098383466111059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38.28905053661385</v>
      </c>
      <c r="L3" s="100"/>
      <c r="M3" s="79" t="s">
        <v>385</v>
      </c>
      <c r="N3" s="92">
        <f>(F69-E69)/E69</f>
        <v>-0.27398577667612822</v>
      </c>
    </row>
    <row r="4" spans="1:15" s="93" customFormat="1" x14ac:dyDescent="0.25">
      <c r="A4" s="81" t="s">
        <v>182</v>
      </c>
      <c r="B4" s="96">
        <f>SUM(G36:G40)*2</f>
        <v>70</v>
      </c>
      <c r="C4" s="101"/>
      <c r="D4" s="102">
        <f>F4*(1+F141/10)</f>
        <v>18.8</v>
      </c>
      <c r="E4" s="82">
        <f>(D4-F4)/F4</f>
        <v>0</v>
      </c>
      <c r="F4" s="103">
        <v>18.8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3.1654220136920812</v>
      </c>
    </row>
    <row r="5" spans="1:15" s="93" customFormat="1" x14ac:dyDescent="0.25">
      <c r="A5" s="81" t="s">
        <v>184</v>
      </c>
      <c r="B5" s="107">
        <f>SUM(F30:F34)*2</f>
        <v>92.726808727947997</v>
      </c>
      <c r="C5" s="87"/>
      <c r="D5" s="87"/>
      <c r="E5" s="87"/>
      <c r="F5" s="86"/>
      <c r="G5" s="88"/>
      <c r="M5" s="79" t="s">
        <v>386</v>
      </c>
      <c r="N5" s="152">
        <f>D62</f>
        <v>3.26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連3月衰退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3.7211013995677695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17.03</v>
      </c>
      <c r="N9" s="129"/>
    </row>
    <row r="10" spans="1:15" s="93" customFormat="1" x14ac:dyDescent="0.25">
      <c r="A10" s="123" t="s">
        <v>194</v>
      </c>
      <c r="B10" s="126">
        <f>PERCENTILE(176:176,B9)</f>
        <v>10.15</v>
      </c>
      <c r="C10" s="126">
        <f>PERCENTILE(176:176,C9)</f>
        <v>10.579999999999998</v>
      </c>
      <c r="D10" s="126">
        <f>PERCENTILE(176:176,D9)</f>
        <v>11.37</v>
      </c>
      <c r="E10" s="126">
        <f>PERCENTILE(176:176,E9)</f>
        <v>12.06</v>
      </c>
      <c r="F10" s="126">
        <f>PERCENTILE(176:176,F9)</f>
        <v>13.5</v>
      </c>
      <c r="G10" s="95"/>
      <c r="H10" s="135"/>
      <c r="I10" s="135"/>
      <c r="J10" s="135"/>
      <c r="K10" s="135"/>
      <c r="L10" s="136" t="s">
        <v>374</v>
      </c>
      <c r="M10" s="130">
        <f>MIN(176:176)</f>
        <v>8.6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25.98</v>
      </c>
      <c r="L11" s="272" t="s">
        <v>193</v>
      </c>
      <c r="M11" s="128">
        <f>STDEV(176:176)</f>
        <v>2.0076644388428027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33.613445378151262</v>
      </c>
      <c r="C13" s="141">
        <f>$B$34/5.88%</f>
        <v>40.816326530612244</v>
      </c>
      <c r="D13" s="141">
        <f>$B$34/5%</f>
        <v>47.999999999999993</v>
      </c>
      <c r="E13" s="141">
        <f>$B$34/4.35%</f>
        <v>55.172413793103452</v>
      </c>
      <c r="F13" s="141">
        <f>$B$34/3.85%</f>
        <v>62.337662337662337</v>
      </c>
      <c r="G13" s="138" t="str">
        <f>"$"&amp;ROUND(B34,2)&amp;"/"&amp;IF(STDEV(C140:F140)/AVERAGE(C140:F140)&lt;15%,"高",IF(STDEV(C140:F140)/AVERAGE(C140:F140)&lt;30%,"中","低"))</f>
        <v>$2.4/中</v>
      </c>
      <c r="H13" s="142" t="s">
        <v>199</v>
      </c>
      <c r="I13" s="143">
        <f>MAX(0,1-J15)</f>
        <v>0.35779816513761475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36.438499999999998</v>
      </c>
      <c r="C14" s="141">
        <f>$B$33*C10</f>
        <v>37.982199999999992</v>
      </c>
      <c r="D14" s="141">
        <f>$B$33*D10</f>
        <v>40.818299999999994</v>
      </c>
      <c r="E14" s="141">
        <f>$B$33*E10</f>
        <v>43.295400000000001</v>
      </c>
      <c r="F14" s="141">
        <f>$B$33*F10</f>
        <v>48.464999999999996</v>
      </c>
      <c r="G14" s="138" t="str">
        <f>"$"&amp;ROUND(B33,2)&amp;"/"&amp;IF(STDEV(B69:E69)/AVERAGE(B69:E69)&lt;15%,"高",IF(STDEV(B69:E69)/AVERAGE(B69:E69)&lt;30%,"中","低"))</f>
        <v>$3.59/中</v>
      </c>
      <c r="H14" s="142" t="s">
        <v>203</v>
      </c>
      <c r="I14" s="145">
        <f>G62/100*I13</f>
        <v>4.3508256880733953E-2</v>
      </c>
      <c r="J14" s="76" t="s">
        <v>204</v>
      </c>
      <c r="K14" s="146"/>
      <c r="L14" s="147">
        <f>(HLOOKUP($C$1,$105:$106,2,FALSE)-HLOOKUP($C$1,$117:$127,9,FALSE))/(HLOOKUP($C$1,$117:$128,12,FALSE)/K11)</f>
        <v>7.8820862129090479</v>
      </c>
      <c r="M14" s="148">
        <f>E135/E69</f>
        <v>1.3486238532110091</v>
      </c>
      <c r="N14" s="149">
        <f>F173/100</f>
        <v>1.7893000000000001</v>
      </c>
    </row>
    <row r="15" spans="1:15" s="93" customFormat="1" x14ac:dyDescent="0.25">
      <c r="A15" s="140" t="s">
        <v>375</v>
      </c>
      <c r="B15" s="141">
        <f>$D$62*B10</f>
        <v>33.088999999999999</v>
      </c>
      <c r="C15" s="141">
        <f>$D$62*C10</f>
        <v>34.490799999999993</v>
      </c>
      <c r="D15" s="141">
        <f>$D$62*D10</f>
        <v>37.066199999999995</v>
      </c>
      <c r="E15" s="141">
        <f>$D$62*E10</f>
        <v>39.315599999999996</v>
      </c>
      <c r="F15" s="141">
        <f>$D$62*F10</f>
        <v>44.01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0.64220183486238525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32.129033438974623</v>
      </c>
      <c r="C16" s="141">
        <f>$F$69*C10</f>
        <v>33.490164904862212</v>
      </c>
      <c r="D16" s="141">
        <f>$F$69*D10</f>
        <v>35.990848295678958</v>
      </c>
      <c r="E16" s="141">
        <f>$F$69*E10</f>
        <v>38.174989485126503</v>
      </c>
      <c r="F16" s="141">
        <f>$F$69*F10</f>
        <v>42.7331971848431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356</v>
      </c>
      <c r="J17" s="92">
        <f ca="1">IF(I17&lt;=0,"",IF(I17&lt;=MIN($B$13:$F$16),(I17-MIN($B$13:$F$16))/MIN($B$13:$F$16),IF(I17&gt;=MAX($B$13:$F$16),I17/MAX($B$13:$F$16),PERCENTRANK($B$13:$F$16,I17))))</f>
        <v>5.7108333333333334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4.53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19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1.8875000000000002</v>
      </c>
      <c r="C20" s="157" t="s">
        <v>217</v>
      </c>
      <c r="D20" s="236">
        <f>COUNTIF(C143:F143,"&gt;=80%")/COUNT(C143:F143)</f>
        <v>1</v>
      </c>
      <c r="E20" s="140" t="s">
        <v>218</v>
      </c>
      <c r="F20" s="159">
        <f>IF(B20&gt;=80%,2,0)+D20*8</f>
        <v>10</v>
      </c>
      <c r="G20" s="88" t="s">
        <v>213</v>
      </c>
      <c r="H20" s="123" t="s">
        <v>219</v>
      </c>
      <c r="I20" s="237">
        <f>HLOOKUP($C$1,$117:$127,11,FALSE)*(1-N22)/HLOOKUP($C$1,$105:$115,11,FALSE)</f>
        <v>0.14296287482381043</v>
      </c>
      <c r="J20" s="171">
        <f>HLOOKUP($C$1,$117:$127,11,FALSE)/HLOOKUP($C$1,$105:$115,11,FALSE)</f>
        <v>0.30967547751288083</v>
      </c>
      <c r="K20" s="163"/>
    </row>
    <row r="21" spans="1:14" s="93" customFormat="1" x14ac:dyDescent="0.25">
      <c r="A21" s="151" t="s">
        <v>201</v>
      </c>
      <c r="B21" s="161">
        <f>AVERAGE(C173:F173)/100</f>
        <v>1.4702250000000001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2.4605437805466601</v>
      </c>
      <c r="J21" s="78"/>
      <c r="K21" s="164" t="s">
        <v>356</v>
      </c>
      <c r="L21" s="165">
        <f>HLOOKUP($C$1,$105:$115,7,FALSE)/HLOOKUP($C$1,$105:$115,11,FALSE)</f>
        <v>0.63616781341270268</v>
      </c>
      <c r="M21" s="123" t="s">
        <v>268</v>
      </c>
      <c r="N21" s="165">
        <f>HLOOKUP($C$1,$117:$127,8,FALSE)/HLOOKUP($C$1,$117:$127,11,FALSE)</f>
        <v>0.83489868999793859</v>
      </c>
    </row>
    <row r="22" spans="1:14" s="93" customFormat="1" x14ac:dyDescent="0.25">
      <c r="A22" s="140" t="s">
        <v>222</v>
      </c>
      <c r="B22" s="161">
        <f>(-1)*SUM(C133:F133)/SUM(C132:F132)</f>
        <v>0.16428241808952473</v>
      </c>
      <c r="C22" s="157"/>
      <c r="D22" s="166"/>
      <c r="E22" s="140"/>
      <c r="F22" s="159">
        <f>IF(B22&lt;=0,10,IF(B22&gt;=100%,0,(1-B22)*10))</f>
        <v>8.3571758191047536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2.0329462645417435</v>
      </c>
      <c r="J22" s="78"/>
      <c r="K22" s="142" t="s">
        <v>357</v>
      </c>
      <c r="L22" s="165">
        <f>HLOOKUP($C$1,$105:$115,4,FALSE)/HLOOKUP($C$1,$105:$115,11,FALSE)</f>
        <v>0.22699160232521298</v>
      </c>
      <c r="M22" s="123" t="s">
        <v>353</v>
      </c>
      <c r="N22" s="165">
        <f>HLOOKUP($C$1,$117:$127,4,FALSE)/HLOOKUP($C$1,$117:$127,11,FALSE)</f>
        <v>0.53834615523321849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1.4485940560204553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0.11055433312270323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0.9783075339632491</v>
      </c>
      <c r="C24" s="169">
        <f>STDEV(C103:F103)</f>
        <v>1.2131718317007585E-2</v>
      </c>
      <c r="D24" s="76" t="str">
        <f>IF(C24/B24&lt;15%,"高",IF(C24/B24&lt;30%,"中","低"))</f>
        <v>高</v>
      </c>
      <c r="E24" s="149"/>
      <c r="F24" s="160">
        <f>MIN(100%,B24)*5</f>
        <v>4.8915376698162456</v>
      </c>
      <c r="G24" s="88" t="s">
        <v>229</v>
      </c>
      <c r="H24" s="123" t="s">
        <v>16</v>
      </c>
      <c r="I24" s="170">
        <f>HLOOKUP(C1,167:170,2,FALSE)</f>
        <v>66.180000000000007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2.3261781142037995E-2</v>
      </c>
      <c r="M24" s="123" t="s">
        <v>355</v>
      </c>
      <c r="N24" s="165">
        <f>HLOOKUP($C$1,$117:$127,9,FALSE)/HLOOKUP($C$1,$117:$127,11,FALSE)</f>
        <v>0.16510131000206141</v>
      </c>
    </row>
    <row r="25" spans="1:14" s="93" customFormat="1" x14ac:dyDescent="0.25">
      <c r="A25" s="151" t="s">
        <v>366</v>
      </c>
      <c r="B25" s="255">
        <f>AVERAGE(94:94)</f>
        <v>43417.260869565216</v>
      </c>
      <c r="C25" s="254">
        <f>STDEV(94:94)/AVERAGE(94:94)</f>
        <v>1.7569373116123055</v>
      </c>
      <c r="D25" s="76" t="str">
        <f>IF(C25&lt;=1,"高",IF(C25&lt;=2,"中","低"))</f>
        <v>中</v>
      </c>
      <c r="E25" s="149"/>
      <c r="F25" s="160">
        <f>MAX(0,10-ABS(C25))</f>
        <v>8.2430626883876954</v>
      </c>
      <c r="G25" s="88" t="s">
        <v>213</v>
      </c>
      <c r="H25" s="123" t="s">
        <v>232</v>
      </c>
      <c r="I25" s="170">
        <f>IF(HLOOKUP(C1,167:170,3,FALSE)="無",0,HLOOKUP(C1,167:170,3,FALSE))</f>
        <v>43.48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72.135217391304366</v>
      </c>
      <c r="C26" s="172">
        <f>IF(COUNTIF(168:168,"&gt;0")=0,0,STDEV(168:168))</f>
        <v>3.9318430440850696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46.521304347826089</v>
      </c>
      <c r="C27" s="172">
        <f>IF(COUNTIF(169:169,"&gt;0")=0,0,STDEV(169:169))</f>
        <v>4.0766310783067672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0.20804999999999998</v>
      </c>
      <c r="C30" s="157" t="s">
        <v>217</v>
      </c>
      <c r="D30" s="174">
        <f>COUNTIF(146:146,"&gt;20")/COUNT(146:146)</f>
        <v>0.47826086956521741</v>
      </c>
      <c r="E30" s="140" t="s">
        <v>239</v>
      </c>
      <c r="F30" s="159">
        <f>MIN(B30/25%*10,10)</f>
        <v>8.3219999999999992</v>
      </c>
      <c r="G30" s="175"/>
      <c r="H30" s="176"/>
    </row>
    <row r="31" spans="1:14" x14ac:dyDescent="0.25">
      <c r="A31" s="164" t="s">
        <v>240</v>
      </c>
      <c r="B31" s="173">
        <f>AVERAGE(C155:F155)/100</f>
        <v>9.3924999999999995E-2</v>
      </c>
      <c r="C31" s="157" t="s">
        <v>217</v>
      </c>
      <c r="D31" s="174">
        <f>COUNTIF(149:149,"&gt;8")/COUNT(149:149)</f>
        <v>0.56521739130434778</v>
      </c>
      <c r="E31" s="140" t="s">
        <v>241</v>
      </c>
      <c r="F31" s="159">
        <f>MIN(B31/10%*10,10)</f>
        <v>9.3924999999999983</v>
      </c>
      <c r="G31" s="175"/>
    </row>
    <row r="32" spans="1:14" x14ac:dyDescent="0.25">
      <c r="A32" s="155" t="s">
        <v>47</v>
      </c>
      <c r="B32" s="177">
        <f>AVERAGE(C165:F165)</f>
        <v>14.465</v>
      </c>
      <c r="C32" s="157" t="s">
        <v>217</v>
      </c>
      <c r="D32" s="174">
        <f>COUNTIF(159:159,"&gt;3")/COUNT(159:159)</f>
        <v>0.60869565217391308</v>
      </c>
      <c r="E32" s="140" t="s">
        <v>242</v>
      </c>
      <c r="F32" s="159">
        <f>MIN(B32/15*10,10)</f>
        <v>9.6433333333333344</v>
      </c>
      <c r="G32" s="135"/>
    </row>
    <row r="33" spans="1:14" x14ac:dyDescent="0.25">
      <c r="A33" s="155" t="s">
        <v>14</v>
      </c>
      <c r="B33" s="156">
        <f>AVERAGE(B69:E69)</f>
        <v>3.59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2.4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9.0055710306406684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7336929.5</v>
      </c>
      <c r="C36" s="178">
        <f>STDEV(C97:F97)</f>
        <v>1113327.998205231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20.805</v>
      </c>
      <c r="C37" s="180">
        <f>STDEV(C152:F152)</f>
        <v>3.950008438809554</v>
      </c>
      <c r="D37" s="76" t="str">
        <f>IF(C37/B37&lt;15%,"高",IF(C37/B37&lt;30%,"中","低"))</f>
        <v>中</v>
      </c>
      <c r="E37" s="107">
        <f>IF(F152&gt;E152,1,0)+IF(E152&gt;D152,1,0)+IF(D152&gt;C152,1,0)</f>
        <v>3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9.0350000000000001</v>
      </c>
      <c r="C38" s="180">
        <f>STDEV(C153:F153)</f>
        <v>3.5648422124969295</v>
      </c>
      <c r="D38" s="76" t="str">
        <f>IF(C38/B38&lt;15%,"高",IF(C38/B38&lt;30%,"中","低"))</f>
        <v>低</v>
      </c>
      <c r="E38" s="107">
        <f>IF(F153&gt;E153,1,0)+IF(E153&gt;D153,1,0)+IF(D153&gt;C153,1,0)</f>
        <v>3</v>
      </c>
      <c r="F38" s="179"/>
      <c r="G38" s="160">
        <f>IF(D38="高",6,IF(D38="中",4,2))+E38+1</f>
        <v>6</v>
      </c>
    </row>
    <row r="39" spans="1:14" x14ac:dyDescent="0.25">
      <c r="A39" s="142" t="s">
        <v>46</v>
      </c>
      <c r="B39" s="181">
        <f>AVERAGE(C165:F165)</f>
        <v>14.465</v>
      </c>
      <c r="C39" s="181">
        <f>STDEV(C165:F165)</f>
        <v>2.2948129916545925</v>
      </c>
      <c r="D39" s="76" t="str">
        <f>IF(C39/B39&lt;15%,"高",IF(C39/B39&lt;30%,"中","低"))</f>
        <v>中</v>
      </c>
      <c r="E39" s="107">
        <f>IF(F165&gt;E165,1,0)+IF(E165&gt;D165,1,0)+IF(D165&gt;C165,1,0)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3.59</v>
      </c>
      <c r="C40" s="183">
        <f>STDEV(B69:E69)</f>
        <v>0.82659945963366432</v>
      </c>
      <c r="D40" s="76" t="str">
        <f>IF(C40/B40&lt;15%,"高",IF(C40/B40&lt;30%,"中","低"))</f>
        <v>中</v>
      </c>
      <c r="E40" s="107">
        <f>IF(E69&gt;D69,1,0)+IF(D69&gt;C69,1,0)+IF(C69&gt;B69,1,0)</f>
        <v>2</v>
      </c>
      <c r="G40" s="160">
        <f>IF(D40="高",6,IF(D40="中",4,2))+E40+1</f>
        <v>7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-0.16071428571428584</v>
      </c>
      <c r="C44" s="186">
        <f>(C46-C49)/C49</f>
        <v>-0.36718749999999994</v>
      </c>
      <c r="D44" s="186">
        <f>(D46-D49)/D49</f>
        <v>-0.46874999999999994</v>
      </c>
      <c r="E44" s="186">
        <f>(E46-E49)/E49</f>
        <v>3.0927835051546421E-2</v>
      </c>
      <c r="G44" s="86" t="s">
        <v>175</v>
      </c>
      <c r="H44" s="186">
        <f>(H47-H50)/H50</f>
        <v>-0.21052631578947362</v>
      </c>
      <c r="I44" s="186">
        <f>(I47-I50)/I50</f>
        <v>-0.22058823529411772</v>
      </c>
      <c r="J44" s="186">
        <f>(J47-J50)/J50</f>
        <v>-0.20754716981132074</v>
      </c>
      <c r="K44" s="186">
        <f>(K47-K50)/K50</f>
        <v>1.9862490450725891E-2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0.94</v>
      </c>
      <c r="C46" s="152">
        <f>HLOOKUP(C45,$81:$82,2,FALSE)</f>
        <v>0.81</v>
      </c>
      <c r="D46" s="152">
        <f>HLOOKUP(D45,$81:$82,2,FALSE)</f>
        <v>0.51</v>
      </c>
      <c r="E46" s="152">
        <f>HLOOKUP(E45,$81:$82,2,FALSE)</f>
        <v>1</v>
      </c>
      <c r="G46" s="86" t="s">
        <v>164</v>
      </c>
      <c r="H46" s="145">
        <f>HLOOKUP(H45,$145:$147,2,FALSE)/100</f>
        <v>0.20550000000000002</v>
      </c>
      <c r="I46" s="145">
        <f>HLOOKUP(I45,$145:$147,2,FALSE)/100</f>
        <v>0.20629999999999998</v>
      </c>
      <c r="J46" s="145">
        <f>HLOOKUP(J45,$145:$147,2,FALSE)/100</f>
        <v>0.21079999999999999</v>
      </c>
      <c r="K46" s="145">
        <f>HLOOKUP(K45,$145:$147,2,FALSE)/100</f>
        <v>0.25209999999999999</v>
      </c>
    </row>
    <row r="47" spans="1:14" x14ac:dyDescent="0.25">
      <c r="A47" s="188" t="s">
        <v>165</v>
      </c>
      <c r="B47" s="189">
        <f>HLOOKUP(B45,$157:$159,3,FALSE)</f>
        <v>3.7</v>
      </c>
      <c r="C47" s="189">
        <f>HLOOKUP(C45,$157:$159,3,FALSE)</f>
        <v>3.15</v>
      </c>
      <c r="D47" s="189">
        <f>HLOOKUP(D45,$157:$159,3,FALSE)</f>
        <v>1.86</v>
      </c>
      <c r="E47" s="189">
        <f>HLOOKUP(E45,$157:$159,3,FALSE)</f>
        <v>3.45</v>
      </c>
      <c r="G47" s="190" t="s">
        <v>166</v>
      </c>
      <c r="H47" s="145">
        <f>HLOOKUP(H45,$145:$147,3,FALSE)/100</f>
        <v>0.10050000000000001</v>
      </c>
      <c r="I47" s="145">
        <f>HLOOKUP(I45,$145:$147,3,FALSE)/100</f>
        <v>0.1007</v>
      </c>
      <c r="J47" s="145">
        <f>HLOOKUP(J45,$145:$147,3,FALSE)/100</f>
        <v>0.10920000000000001</v>
      </c>
      <c r="K47" s="145">
        <f>HLOOKUP(K45,$145:$147,3,FALSE)/100</f>
        <v>0.13350000000000001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1.1200000000000001</v>
      </c>
      <c r="C49" s="152">
        <f>HLOOKUP(C48,$81:$82,2,FALSE)</f>
        <v>1.28</v>
      </c>
      <c r="D49" s="152">
        <f>HLOOKUP(D48,$81:$82,2,FALSE)</f>
        <v>0.96</v>
      </c>
      <c r="E49" s="152">
        <f>HLOOKUP(E48,$81:$82,2,FALSE)</f>
        <v>0.97</v>
      </c>
      <c r="G49" s="86" t="s">
        <v>164</v>
      </c>
      <c r="H49" s="145">
        <f>HLOOKUP(H48,$145:$147,2,FALSE)/100</f>
        <v>0.25019999999999998</v>
      </c>
      <c r="I49" s="145">
        <f>HLOOKUP(I48,$145:$147,2,FALSE)/100</f>
        <v>0.24809999999999999</v>
      </c>
      <c r="J49" s="145">
        <f>HLOOKUP(J48,$145:$147,2,FALSE)/100</f>
        <v>0.2576</v>
      </c>
      <c r="K49" s="145">
        <f>HLOOKUP(K48,$145:$147,2,FALSE)/100</f>
        <v>0.25340000000000001</v>
      </c>
    </row>
    <row r="50" spans="1:15" x14ac:dyDescent="0.25">
      <c r="A50" s="188" t="s">
        <v>165</v>
      </c>
      <c r="B50" s="189">
        <f>HLOOKUP(B48,$157:$159,3,FALSE)</f>
        <v>4.3</v>
      </c>
      <c r="C50" s="189">
        <f>HLOOKUP(C48,$157:$159,3,FALSE)</f>
        <v>4.74</v>
      </c>
      <c r="D50" s="189">
        <f>HLOOKUP(D48,$157:$159,3,FALSE)</f>
        <v>3.52</v>
      </c>
      <c r="E50" s="189">
        <f>HLOOKUP(E48,$157:$159,3,FALSE)</f>
        <v>3.74</v>
      </c>
      <c r="G50" s="190" t="s">
        <v>166</v>
      </c>
      <c r="H50" s="145">
        <f>HLOOKUP(H48,$145:$147,3,FALSE)/100</f>
        <v>0.1273</v>
      </c>
      <c r="I50" s="145">
        <f>HLOOKUP(I48,$145:$147,3,FALSE)/100</f>
        <v>0.12920000000000001</v>
      </c>
      <c r="J50" s="145">
        <f>HLOOKUP(J48,$145:$147,3,FALSE)/100</f>
        <v>0.13780000000000001</v>
      </c>
      <c r="K50" s="145">
        <f>HLOOKUP(K48,$145:$147,3,FALSE)/100</f>
        <v>0.13089999999999999</v>
      </c>
    </row>
    <row r="51" spans="1:15" x14ac:dyDescent="0.25">
      <c r="A51" s="86" t="s">
        <v>351</v>
      </c>
      <c r="B51" s="186">
        <f>(B47-B50)/B50</f>
        <v>-0.13953488372093015</v>
      </c>
      <c r="C51" s="186">
        <f>(C47-C50)/C50</f>
        <v>-0.33544303797468361</v>
      </c>
      <c r="D51" s="186">
        <f>(D47-D50)/D50</f>
        <v>-0.47159090909090906</v>
      </c>
      <c r="E51" s="186">
        <f>(E47-E50)/E50</f>
        <v>-7.7540106951871662E-2</v>
      </c>
      <c r="G51" s="235" t="s">
        <v>174</v>
      </c>
      <c r="H51" s="186">
        <f>(H46-H49)/H49</f>
        <v>-0.17865707434052744</v>
      </c>
      <c r="I51" s="186">
        <f>(I46-I49)/I49</f>
        <v>-0.16848045143087467</v>
      </c>
      <c r="J51" s="186">
        <f>(J46-J49)/J49</f>
        <v>-0.18167701863354041</v>
      </c>
      <c r="K51" s="186">
        <f>(K46-K49)/K49</f>
        <v>-5.1302288871350561E-3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3.7211013995677695</v>
      </c>
      <c r="B53" s="193">
        <f>B46</f>
        <v>0.94</v>
      </c>
      <c r="C53" s="193">
        <f>E46/HLOOKUP(E45,$87:$94,5,FALSE)*HLOOKUP(E45,$87:$94,4,FALSE)*($B$25/HLOOKUP(E45,$87:$94,4,FALSE)+SUM($B$57:$D$57)/SUM($B58:$D$58)*$G$69/100/K46)</f>
        <v>0.90542201369208142</v>
      </c>
      <c r="D53" s="193">
        <f>D46/HLOOKUP(D45,$87:$94,5,FALSE)*HLOOKUP(D45,$87:$94,4,FALSE)*($B$25/HLOOKUP(D45,$87:$94,4,FALSE)+SUM($B$57:$D$57)/SUM($B58:$D$58)*$G$69/100/J46)</f>
        <v>0.90400344839470037</v>
      </c>
      <c r="E53" s="193">
        <f>C46/HLOOKUP(C45,$87:$94,5,FALSE)*HLOOKUP(C45,$87:$94,4,FALSE)*($B$25/HLOOKUP(C45,$87:$94,4,FALSE)+SUM($B$57:$D$57)/SUM($B58:$D$58)*$G$69/100/I46)</f>
        <v>0.97167593748098768</v>
      </c>
    </row>
    <row r="54" spans="1:15" x14ac:dyDescent="0.25">
      <c r="A54" s="278">
        <f>SUM(B54:E54)</f>
        <v>3.44</v>
      </c>
      <c r="B54" s="277">
        <f t="shared" ref="B54:D54" si="0">HLOOKUP(B52-10,81:82,2,FALSE)</f>
        <v>1.1200000000000001</v>
      </c>
      <c r="C54" s="277">
        <f t="shared" si="0"/>
        <v>1</v>
      </c>
      <c r="D54" s="277">
        <f t="shared" si="0"/>
        <v>0.51</v>
      </c>
      <c r="E54" s="277">
        <f>HLOOKUP(E52-10,81:82,2,FALSE)</f>
        <v>0.81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631960</v>
      </c>
      <c r="C57" s="196">
        <f>HLOOKUP(C56,78:79,2,FALSE)</f>
        <v>661590</v>
      </c>
      <c r="D57" s="196">
        <f>HLOOKUP(D56,78:79,2,FALSE)</f>
        <v>765439</v>
      </c>
      <c r="E57" s="196">
        <f>HLOOKUP(E56,78:79,2,FALSE)</f>
        <v>686772</v>
      </c>
      <c r="F57" s="196">
        <f>HLOOKUP(F56,78:79,2,FALSE)</f>
        <v>613950</v>
      </c>
      <c r="G57" s="196">
        <f t="shared" ref="G57:M57" si="2">HLOOKUP(G56,78:79,2,FALSE)</f>
        <v>730886</v>
      </c>
      <c r="H57" s="196">
        <f t="shared" si="2"/>
        <v>681703</v>
      </c>
      <c r="I57" s="196">
        <f t="shared" si="2"/>
        <v>694180</v>
      </c>
      <c r="J57" s="196">
        <f t="shared" si="2"/>
        <v>467217</v>
      </c>
      <c r="K57" s="196">
        <f t="shared" si="2"/>
        <v>717620</v>
      </c>
      <c r="L57" s="196">
        <f t="shared" si="2"/>
        <v>736009</v>
      </c>
      <c r="M57" s="196">
        <f t="shared" si="2"/>
        <v>677741</v>
      </c>
      <c r="N57" s="197"/>
    </row>
    <row r="58" spans="1:15" x14ac:dyDescent="0.25">
      <c r="A58" s="198" t="s">
        <v>253</v>
      </c>
      <c r="B58" s="196">
        <f>HLOOKUP(B56-100,78:79,2,FALSE)</f>
        <v>638778</v>
      </c>
      <c r="C58" s="196">
        <f>HLOOKUP(C56-100,78:79,2,FALSE)</f>
        <v>693025</v>
      </c>
      <c r="D58" s="196">
        <f>HLOOKUP(D56-100,78:79,2,FALSE)</f>
        <v>783084</v>
      </c>
      <c r="E58" s="196">
        <f>HLOOKUP(E56-100,78:79,2,FALSE)</f>
        <v>679043</v>
      </c>
      <c r="F58" s="196">
        <f>HLOOKUP(F56-100,78:79,2,FALSE)</f>
        <v>738801</v>
      </c>
      <c r="G58" s="196">
        <f t="shared" ref="G58:M58" si="3">HLOOKUP(G56-100,78:79,2,FALSE)</f>
        <v>800605</v>
      </c>
      <c r="H58" s="196">
        <f t="shared" si="3"/>
        <v>673898</v>
      </c>
      <c r="I58" s="196">
        <f t="shared" si="3"/>
        <v>656468</v>
      </c>
      <c r="J58" s="196">
        <f t="shared" si="3"/>
        <v>542680</v>
      </c>
      <c r="K58" s="196">
        <f t="shared" si="3"/>
        <v>778420</v>
      </c>
      <c r="L58" s="196">
        <f t="shared" si="3"/>
        <v>746095</v>
      </c>
      <c r="M58" s="196">
        <f t="shared" si="3"/>
        <v>591238</v>
      </c>
      <c r="N58" s="197"/>
    </row>
    <row r="59" spans="1:15" x14ac:dyDescent="0.25">
      <c r="A59" s="199" t="s">
        <v>254</v>
      </c>
      <c r="B59" s="165">
        <f>IF(B57&lt;&gt;"",(B57-B58)/B58,"")</f>
        <v>-1.0673504723080632E-2</v>
      </c>
      <c r="C59" s="165">
        <f>IF(C57&lt;&gt;"",(C57-C58)/C58,"")</f>
        <v>-4.5359114029075429E-2</v>
      </c>
      <c r="D59" s="165">
        <f>IF(D57&lt;&gt;"",(D57-D58)/D58,"")</f>
        <v>-2.2532704026643376E-2</v>
      </c>
      <c r="E59" s="165">
        <f>IF(E57&lt;&gt;"",(E57-E58)/E58,"")</f>
        <v>1.1382195236531412E-2</v>
      </c>
      <c r="F59" s="165">
        <f>IF(F57&lt;&gt;"",(F57-F58)/F58,"")</f>
        <v>-0.16899137927533936</v>
      </c>
      <c r="G59" s="165">
        <f t="shared" ref="G59:M59" si="4">IF(G57&lt;&gt;"",(G57-G58)/G58,"")</f>
        <v>-8.7082893561743938E-2</v>
      </c>
      <c r="H59" s="165">
        <f t="shared" si="4"/>
        <v>1.1581871440485059E-2</v>
      </c>
      <c r="I59" s="165">
        <f t="shared" si="4"/>
        <v>5.744682147492338E-2</v>
      </c>
      <c r="J59" s="165">
        <f t="shared" si="4"/>
        <v>-0.13905616569617454</v>
      </c>
      <c r="K59" s="165">
        <f t="shared" si="4"/>
        <v>-7.8106934559749236E-2</v>
      </c>
      <c r="L59" s="165">
        <f t="shared" si="4"/>
        <v>-1.3518385728358989E-2</v>
      </c>
      <c r="M59" s="165">
        <f t="shared" si="4"/>
        <v>0.14630825488212867</v>
      </c>
    </row>
    <row r="60" spans="1:15" x14ac:dyDescent="0.25">
      <c r="A60" s="195" t="s">
        <v>255</v>
      </c>
      <c r="B60" s="196">
        <f>SUM(B57:M57)</f>
        <v>8065067</v>
      </c>
    </row>
    <row r="61" spans="1:15" x14ac:dyDescent="0.25">
      <c r="A61" s="198" t="s">
        <v>256</v>
      </c>
      <c r="B61" s="196">
        <f>SUM(B58:M58)</f>
        <v>8322135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0.96911033046207495</v>
      </c>
      <c r="D62" s="152">
        <f>SUM(B46:E46)</f>
        <v>3.26</v>
      </c>
      <c r="E62" s="152">
        <f>SUM(B49:E49)</f>
        <v>4.33</v>
      </c>
      <c r="G62" s="126">
        <f>SUM(B47:E47)</f>
        <v>12.16</v>
      </c>
      <c r="H62" s="126">
        <f>SUM(B50:E50)</f>
        <v>16.299999999999997</v>
      </c>
      <c r="J62" s="200">
        <f>AVERAGE(H46:K46)</f>
        <v>0.21867500000000001</v>
      </c>
      <c r="K62" s="200">
        <f>AVERAGE(H49:K49)</f>
        <v>0.25232500000000002</v>
      </c>
      <c r="M62" s="200">
        <f>AVERAGE(H47:K47)</f>
        <v>0.110975</v>
      </c>
      <c r="N62" s="200">
        <f>AVERAGE(H50:K50)</f>
        <v>0.1313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0.34</v>
      </c>
      <c r="C65" s="205">
        <f t="shared" si="5"/>
        <v>0.28000000000000003</v>
      </c>
      <c r="D65" s="205">
        <f t="shared" si="5"/>
        <v>0.88</v>
      </c>
      <c r="E65" s="205">
        <f t="shared" si="5"/>
        <v>0.96</v>
      </c>
      <c r="F65" s="206">
        <f>IF(ISNA(HLOOKUP(F$64*10+$A65,$81:$82,2,FALSE)),(HLOOKUP(E$64*10+$A65,$87:$94,4,FALSE)*$G65+$B$25)/HLOOKUP(E$64*10+$A65,$87:$94,5,FALSE)*$E65,HLOOKUP(F$64*10+$A65,$81:$82,2,FALSE))</f>
        <v>0.51</v>
      </c>
      <c r="G65" s="101">
        <f>MIN(130%,SUM($B$57:$D$57)/SUM($B$58:$D$58)*$G$69/HLOOKUP(E$64*10+$A65,$145:$146,2,FALSE))</f>
        <v>0.8020999975333406</v>
      </c>
      <c r="H65" s="204">
        <v>1</v>
      </c>
      <c r="I65" s="208">
        <f t="shared" ref="I65:M68" si="6">IF(ISNA(HLOOKUP(I$64*10+$H65,$145:$147,3,FALSE)),"",HLOOKUP(I$64*10+$H65,$145:$147,3,FALSE)/100)</f>
        <v>2.98E-2</v>
      </c>
      <c r="J65" s="208">
        <f t="shared" si="6"/>
        <v>6.0299999999999999E-2</v>
      </c>
      <c r="K65" s="208">
        <f t="shared" si="6"/>
        <v>9.4499999999999987E-2</v>
      </c>
      <c r="L65" s="208">
        <f t="shared" si="6"/>
        <v>0.13780000000000001</v>
      </c>
      <c r="M65" s="209">
        <f t="shared" si="6"/>
        <v>0.10920000000000001</v>
      </c>
      <c r="N65" s="256">
        <f t="shared" ref="N65:O68" si="7">HLOOKUP(E$64*10+$A65,$87:$94,8,FALSE)</f>
        <v>-28648</v>
      </c>
      <c r="O65" s="256">
        <f t="shared" si="7"/>
        <v>-67251</v>
      </c>
      <c r="P65" s="210"/>
    </row>
    <row r="66" spans="1:71" x14ac:dyDescent="0.25">
      <c r="A66" s="204">
        <v>2</v>
      </c>
      <c r="B66" s="205">
        <f t="shared" si="5"/>
        <v>0.39</v>
      </c>
      <c r="C66" s="205">
        <f t="shared" si="5"/>
        <v>0.73</v>
      </c>
      <c r="D66" s="205">
        <f t="shared" si="5"/>
        <v>0.93</v>
      </c>
      <c r="E66" s="205">
        <f t="shared" si="5"/>
        <v>1.28</v>
      </c>
      <c r="F66" s="206">
        <f>IF(ISNA(HLOOKUP(F$64*10+$A66,$81:$82,2,FALSE)),(HLOOKUP(E$64*10+$A66,$87:$94,4,FALSE)*$G66+$B$25)/HLOOKUP(E$64*10+$A66,$87:$94,5,FALSE)*$E66,HLOOKUP(F$64*10+$A66,$81:$82,2,FALSE))</f>
        <v>0.81</v>
      </c>
      <c r="G66" s="101">
        <f>MIN(130%,SUM($B$57:$D$57)/SUM($B$58:$D$58)*$G$69/HLOOKUP(E$64*10+$A66,$145:$146,2,FALSE))</f>
        <v>0.83281321791450447</v>
      </c>
      <c r="H66" s="204">
        <v>2</v>
      </c>
      <c r="I66" s="208">
        <f t="shared" si="6"/>
        <v>4.2599999999999999E-2</v>
      </c>
      <c r="J66" s="208">
        <f t="shared" si="6"/>
        <v>7.9000000000000001E-2</v>
      </c>
      <c r="K66" s="208">
        <f t="shared" si="6"/>
        <v>9.2499999999999999E-2</v>
      </c>
      <c r="L66" s="208">
        <f t="shared" si="6"/>
        <v>0.12920000000000001</v>
      </c>
      <c r="M66" s="209">
        <f t="shared" si="6"/>
        <v>0.1007</v>
      </c>
      <c r="N66" s="256">
        <f t="shared" si="7"/>
        <v>50766</v>
      </c>
      <c r="O66" s="256">
        <f t="shared" si="7"/>
        <v>2485</v>
      </c>
      <c r="P66" s="210"/>
    </row>
    <row r="67" spans="1:71" x14ac:dyDescent="0.25">
      <c r="A67" s="204">
        <v>3</v>
      </c>
      <c r="B67" s="205">
        <f t="shared" si="5"/>
        <v>1.9</v>
      </c>
      <c r="C67" s="205">
        <f t="shared" si="5"/>
        <v>1</v>
      </c>
      <c r="D67" s="205">
        <f t="shared" si="5"/>
        <v>1.44</v>
      </c>
      <c r="E67" s="205">
        <f t="shared" si="5"/>
        <v>1.1200000000000001</v>
      </c>
      <c r="F67" s="206">
        <f>IF(ISNA(HLOOKUP(F$64*10+$A67,$81:$82,2,FALSE)),(HLOOKUP(E$64*10+$A67,$87:$94,4,FALSE)*$G67+$B$25)/HLOOKUP(E$64*10+$A67,$87:$94,5,FALSE)*$E67,HLOOKUP(F$64*10+$A67,$81:$82,2,FALSE))</f>
        <v>0.94</v>
      </c>
      <c r="G67" s="101">
        <f>MIN(130%,SUM($B$57:$D$57)/SUM($B$58:$D$58)*$G$69/HLOOKUP(E$64*10+$A67,$145:$146,2,FALSE))</f>
        <v>0.82582317891522206</v>
      </c>
      <c r="H67" s="204">
        <v>3</v>
      </c>
      <c r="I67" s="208">
        <f t="shared" si="6"/>
        <v>5.8400000000000001E-2</v>
      </c>
      <c r="J67" s="208">
        <f t="shared" si="6"/>
        <v>7.1099999999999997E-2</v>
      </c>
      <c r="K67" s="208">
        <f t="shared" si="6"/>
        <v>0.1082</v>
      </c>
      <c r="L67" s="208">
        <f t="shared" si="6"/>
        <v>0.1273</v>
      </c>
      <c r="M67" s="209">
        <f t="shared" si="6"/>
        <v>0.10050000000000001</v>
      </c>
      <c r="N67" s="256">
        <f t="shared" si="7"/>
        <v>9716</v>
      </c>
      <c r="O67" s="256">
        <f t="shared" si="7"/>
        <v>8581</v>
      </c>
      <c r="P67" s="210"/>
    </row>
    <row r="68" spans="1:71" x14ac:dyDescent="0.25">
      <c r="A68" s="204">
        <v>4</v>
      </c>
      <c r="B68" s="205">
        <f>HLOOKUP(B$64*10+$A68,$81:$82,2,FALSE)</f>
        <v>0.46</v>
      </c>
      <c r="C68" s="205">
        <f>HLOOKUP(C$64*10+$A68,$81:$82,2,FALSE)</f>
        <v>0.68</v>
      </c>
      <c r="D68" s="205">
        <f>HLOOKUP(D$64*10+$A68,$81:$82,2,FALSE)</f>
        <v>0.97</v>
      </c>
      <c r="E68" s="206">
        <f>IF(ISNA(HLOOKUP(E$64*10+$A68,$81:$82,2,FALSE)),D68*(1-$N68)*#REF!*(1+$B$25)/(1+$E$4),HLOOKUP(E$64*10+$A68,$81:$82,2,FALSE))</f>
        <v>1</v>
      </c>
      <c r="F68" s="206">
        <f>IF(ISNA(HLOOKUP(F$64*10+$A68,$81:$82,2,FALSE)),(HLOOKUP(E$64*10+$A68,$87:$94,4,FALSE)*$G68+$B$25)/HLOOKUP(E$64*10+$A68,$87:$94,5,FALSE)*$E68,HLOOKUP(F$64*10+$A68,$81:$82,2,FALSE))</f>
        <v>0.90542201369208142</v>
      </c>
      <c r="G68" s="101">
        <f>MIN(130%,SUM($B$57:$D$57)/SUM($B$58:$D$58)*$G$69/HLOOKUP(E$64*10+$A68,$145:$146,2,FALSE))</f>
        <v>0.81959920414354837</v>
      </c>
      <c r="H68" s="204">
        <v>4</v>
      </c>
      <c r="I68" s="208">
        <f t="shared" si="6"/>
        <v>7.4900000000000008E-2</v>
      </c>
      <c r="J68" s="208">
        <f t="shared" si="6"/>
        <v>7.0599999999999996E-2</v>
      </c>
      <c r="K68" s="208">
        <f t="shared" si="6"/>
        <v>0.13089999999999999</v>
      </c>
      <c r="L68" s="208">
        <f t="shared" si="6"/>
        <v>0.13350000000000001</v>
      </c>
      <c r="M68" s="209" t="str">
        <f t="shared" si="6"/>
        <v/>
      </c>
      <c r="N68" s="256">
        <f t="shared" si="7"/>
        <v>21968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3.09</v>
      </c>
      <c r="C69" s="213">
        <f>SUM(C65:C68)</f>
        <v>2.69</v>
      </c>
      <c r="D69" s="213">
        <f>SUM(D65:D68)</f>
        <v>4.22</v>
      </c>
      <c r="E69" s="213">
        <f>SUM(E65:E68)</f>
        <v>4.3600000000000003</v>
      </c>
      <c r="F69" s="213">
        <f>SUM(F65:F68)</f>
        <v>3.1654220136920812</v>
      </c>
      <c r="G69" s="257">
        <f>_xlfn.FORECAST.ETS(23,B146:W146,{1,2,3,4,5,6,7,8,9,10,11,12,13,14,15,16,17,18,19,20,21,22})</f>
        <v>21.223036203092711</v>
      </c>
      <c r="H69" s="214" t="s">
        <v>19</v>
      </c>
      <c r="I69" s="215">
        <f>HLOOKUP(I64,151:155,3,FALSE)/100</f>
        <v>5.2400000000000002E-2</v>
      </c>
      <c r="J69" s="215">
        <f>HLOOKUP(J64,151:155,3,FALSE)/100</f>
        <v>7.0599999999999996E-2</v>
      </c>
      <c r="K69" s="215">
        <f>HLOOKUP(K64,151:155,3,FALSE)/100</f>
        <v>0.1066</v>
      </c>
      <c r="L69" s="215">
        <f>IF(ISNA(HLOOKUP(L64,151:155,3,FALSE)/100),AVERAGE(L65:L68),HLOOKUP(L64,151:155,3,FALSE)/100)</f>
        <v>0.1318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1.55</v>
      </c>
      <c r="C72" s="205">
        <f t="shared" si="8"/>
        <v>1.23</v>
      </c>
      <c r="D72" s="205">
        <f t="shared" si="8"/>
        <v>3.55</v>
      </c>
      <c r="E72" s="205">
        <f t="shared" si="8"/>
        <v>3.52</v>
      </c>
      <c r="F72" s="205">
        <f t="shared" si="8"/>
        <v>1.86</v>
      </c>
    </row>
    <row r="73" spans="1:71" s="135" customFormat="1" x14ac:dyDescent="0.25">
      <c r="A73" s="204">
        <v>2</v>
      </c>
      <c r="B73" s="205">
        <f t="shared" si="8"/>
        <v>1.84</v>
      </c>
      <c r="C73" s="205">
        <f t="shared" si="8"/>
        <v>3.23</v>
      </c>
      <c r="D73" s="205">
        <f t="shared" si="8"/>
        <v>3.8</v>
      </c>
      <c r="E73" s="205">
        <f t="shared" si="8"/>
        <v>4.74</v>
      </c>
      <c r="F73" s="205">
        <f t="shared" si="8"/>
        <v>3.15</v>
      </c>
    </row>
    <row r="74" spans="1:71" s="135" customFormat="1" x14ac:dyDescent="0.25">
      <c r="A74" s="204">
        <v>3</v>
      </c>
      <c r="B74" s="205">
        <f t="shared" si="8"/>
        <v>8.66</v>
      </c>
      <c r="C74" s="205">
        <f t="shared" si="8"/>
        <v>4.41</v>
      </c>
      <c r="D74" s="205">
        <f t="shared" si="8"/>
        <v>5.76</v>
      </c>
      <c r="E74" s="205">
        <f t="shared" si="8"/>
        <v>4.3</v>
      </c>
      <c r="F74" s="205">
        <f t="shared" si="8"/>
        <v>3.7</v>
      </c>
    </row>
    <row r="75" spans="1:71" s="135" customFormat="1" x14ac:dyDescent="0.25">
      <c r="A75" s="204">
        <v>4</v>
      </c>
      <c r="B75" s="205">
        <f t="shared" si="8"/>
        <v>2.0699999999999998</v>
      </c>
      <c r="C75" s="205">
        <f t="shared" si="8"/>
        <v>2.93</v>
      </c>
      <c r="D75" s="205">
        <f t="shared" si="8"/>
        <v>3.74</v>
      </c>
      <c r="E75" s="205">
        <f t="shared" si="8"/>
        <v>3.45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14.120000000000001</v>
      </c>
      <c r="C76" s="213">
        <f>SUM(C72:C75)</f>
        <v>11.8</v>
      </c>
      <c r="D76" s="213">
        <f>SUM(D72:D75)</f>
        <v>16.850000000000001</v>
      </c>
      <c r="E76" s="213">
        <f>AVERAGE(E72:E75)*4</f>
        <v>16.009999999999998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277120</v>
      </c>
      <c r="C79" s="270">
        <v>225133</v>
      </c>
      <c r="D79" s="270">
        <v>317348</v>
      </c>
      <c r="E79" s="270">
        <v>315664</v>
      </c>
      <c r="F79" s="270">
        <v>322269</v>
      </c>
      <c r="G79" s="270">
        <v>322814</v>
      </c>
      <c r="H79" s="270">
        <v>360581</v>
      </c>
      <c r="I79" s="270">
        <v>331420</v>
      </c>
      <c r="J79" s="270">
        <v>291390</v>
      </c>
      <c r="K79" s="270">
        <v>319309</v>
      </c>
      <c r="L79" s="270">
        <v>337533</v>
      </c>
      <c r="M79" s="270">
        <v>361277</v>
      </c>
      <c r="N79" s="270">
        <v>537676</v>
      </c>
      <c r="O79" s="270">
        <v>309955</v>
      </c>
      <c r="P79" s="270">
        <v>440653</v>
      </c>
      <c r="Q79" s="270">
        <v>491761</v>
      </c>
      <c r="R79" s="270">
        <v>515858</v>
      </c>
      <c r="S79" s="270">
        <v>498463</v>
      </c>
      <c r="T79" s="270">
        <v>559532</v>
      </c>
      <c r="U79" s="270">
        <v>531977</v>
      </c>
      <c r="V79" s="270">
        <v>526730</v>
      </c>
      <c r="W79" s="270">
        <v>434836</v>
      </c>
      <c r="X79" s="270">
        <v>473601</v>
      </c>
      <c r="Y79" s="270">
        <v>547866</v>
      </c>
      <c r="Z79" s="270">
        <v>593890</v>
      </c>
      <c r="AA79" s="270">
        <v>363964</v>
      </c>
      <c r="AB79" s="270">
        <v>595976</v>
      </c>
      <c r="AC79" s="270">
        <v>598589</v>
      </c>
      <c r="AD79" s="270">
        <v>568870</v>
      </c>
      <c r="AE79" s="270">
        <v>592203</v>
      </c>
      <c r="AF79" s="270">
        <v>585574</v>
      </c>
      <c r="AG79" s="270">
        <v>577161</v>
      </c>
      <c r="AH79" s="270">
        <v>720921</v>
      </c>
      <c r="AI79" s="270">
        <v>627990</v>
      </c>
      <c r="AJ79" s="270">
        <v>587367</v>
      </c>
      <c r="AK79" s="270">
        <v>664211</v>
      </c>
      <c r="AL79" s="270">
        <v>692377</v>
      </c>
      <c r="AM79" s="270">
        <v>522710</v>
      </c>
      <c r="AN79" s="270">
        <v>706802</v>
      </c>
      <c r="AO79" s="270">
        <v>634934</v>
      </c>
      <c r="AP79" s="270">
        <v>615206</v>
      </c>
      <c r="AQ79" s="270">
        <v>719513</v>
      </c>
      <c r="AR79" s="270">
        <v>668221</v>
      </c>
      <c r="AS79" s="270">
        <v>665235</v>
      </c>
      <c r="AT79" s="270">
        <v>799533</v>
      </c>
      <c r="AU79" s="270">
        <v>630414</v>
      </c>
      <c r="AV79" s="270">
        <v>591238</v>
      </c>
      <c r="AW79" s="270">
        <v>746095</v>
      </c>
      <c r="AX79" s="270">
        <v>778420</v>
      </c>
      <c r="AY79" s="270">
        <v>542680</v>
      </c>
      <c r="AZ79" s="270">
        <v>656468</v>
      </c>
      <c r="BA79" s="270">
        <v>673898</v>
      </c>
      <c r="BB79" s="270">
        <v>800605</v>
      </c>
      <c r="BC79" s="270">
        <v>738801</v>
      </c>
      <c r="BD79" s="270">
        <v>679043</v>
      </c>
      <c r="BE79" s="270">
        <v>783084</v>
      </c>
      <c r="BF79" s="270">
        <v>693025</v>
      </c>
      <c r="BG79" s="270">
        <v>638778</v>
      </c>
      <c r="BH79" s="270">
        <v>677741</v>
      </c>
      <c r="BI79" s="270">
        <v>736009</v>
      </c>
      <c r="BJ79" s="270">
        <v>717620</v>
      </c>
      <c r="BK79" s="270">
        <v>467217</v>
      </c>
      <c r="BL79" s="270">
        <v>694180</v>
      </c>
      <c r="BM79" s="270">
        <v>681703</v>
      </c>
      <c r="BN79" s="270">
        <v>730886</v>
      </c>
      <c r="BO79" s="270">
        <v>613950</v>
      </c>
      <c r="BP79" s="270">
        <v>686772</v>
      </c>
      <c r="BQ79" s="270">
        <v>765439</v>
      </c>
      <c r="BR79" s="270">
        <v>661590</v>
      </c>
      <c r="BS79" s="270">
        <v>631960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0.37</v>
      </c>
      <c r="C82" s="72">
        <v>0.5</v>
      </c>
      <c r="D82" s="72">
        <v>0.68</v>
      </c>
      <c r="E82" s="72">
        <v>0.49</v>
      </c>
      <c r="F82" s="72">
        <v>0.34</v>
      </c>
      <c r="G82" s="72">
        <v>0.39</v>
      </c>
      <c r="H82" s="72">
        <v>1.9</v>
      </c>
      <c r="I82" s="72">
        <v>0.46</v>
      </c>
      <c r="J82" s="72">
        <v>0.28000000000000003</v>
      </c>
      <c r="K82" s="72">
        <v>0.73</v>
      </c>
      <c r="L82" s="72">
        <v>1</v>
      </c>
      <c r="M82" s="72">
        <v>0.68</v>
      </c>
      <c r="N82" s="72">
        <v>0.88</v>
      </c>
      <c r="O82" s="72">
        <v>0.93</v>
      </c>
      <c r="P82" s="72">
        <v>1.44</v>
      </c>
      <c r="Q82" s="72">
        <v>0.97</v>
      </c>
      <c r="R82" s="72">
        <v>0.96</v>
      </c>
      <c r="S82" s="72">
        <v>1.28</v>
      </c>
      <c r="T82" s="72">
        <v>1.1200000000000001</v>
      </c>
      <c r="U82" s="72">
        <v>1</v>
      </c>
      <c r="V82" s="72">
        <v>0.51</v>
      </c>
      <c r="W82" s="72">
        <v>0.81</v>
      </c>
      <c r="X82" s="72">
        <v>0.94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21.96</v>
      </c>
      <c r="C85" s="72">
        <v>21.18</v>
      </c>
      <c r="D85" s="72">
        <v>21.81</v>
      </c>
      <c r="E85" s="72">
        <v>22.08</v>
      </c>
      <c r="F85" s="72">
        <v>22.25</v>
      </c>
      <c r="G85" s="72">
        <v>21.23</v>
      </c>
      <c r="H85" s="72">
        <v>22.68</v>
      </c>
      <c r="I85" s="72">
        <v>23.26</v>
      </c>
      <c r="J85" s="72">
        <v>23.78</v>
      </c>
      <c r="K85" s="72">
        <v>22.3</v>
      </c>
      <c r="L85" s="72">
        <v>23.57</v>
      </c>
      <c r="M85" s="72">
        <v>24.37</v>
      </c>
      <c r="N85" s="72">
        <v>25.23</v>
      </c>
      <c r="O85" s="72">
        <v>24</v>
      </c>
      <c r="P85" s="72">
        <v>25.84</v>
      </c>
      <c r="Q85" s="72">
        <v>26.54</v>
      </c>
      <c r="R85" s="72">
        <v>27.88</v>
      </c>
      <c r="S85" s="72">
        <v>25.72</v>
      </c>
      <c r="T85" s="72">
        <v>26.55</v>
      </c>
      <c r="U85" s="72">
        <v>27.24</v>
      </c>
      <c r="V85" s="72">
        <v>26.99</v>
      </c>
      <c r="W85" s="72">
        <v>25.09</v>
      </c>
      <c r="X85" s="72">
        <v>25.98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1102910</v>
      </c>
      <c r="C88" s="273">
        <v>1266719</v>
      </c>
      <c r="D88" s="273">
        <v>1305021</v>
      </c>
      <c r="E88" s="273">
        <v>1340068</v>
      </c>
      <c r="F88" s="273">
        <v>1258209</v>
      </c>
      <c r="G88" s="273">
        <v>1528631</v>
      </c>
      <c r="H88" s="273">
        <v>1609605</v>
      </c>
      <c r="I88" s="273">
        <v>1491235</v>
      </c>
      <c r="J88" s="273">
        <v>1547763</v>
      </c>
      <c r="K88" s="273">
        <v>1766059</v>
      </c>
      <c r="L88" s="273">
        <v>1883536</v>
      </c>
      <c r="M88" s="273">
        <v>1877394</v>
      </c>
      <c r="N88" s="273">
        <v>1921805</v>
      </c>
      <c r="O88" s="273">
        <v>1970293</v>
      </c>
      <c r="P88" s="273">
        <v>2133918</v>
      </c>
      <c r="Q88" s="273">
        <v>1960538</v>
      </c>
      <c r="R88" s="273">
        <v>1977441</v>
      </c>
      <c r="S88" s="273">
        <v>2212462</v>
      </c>
      <c r="T88" s="273">
        <v>2155721</v>
      </c>
      <c r="U88" s="273">
        <v>2053108</v>
      </c>
      <c r="V88" s="273">
        <v>1879076</v>
      </c>
      <c r="W88" s="273">
        <v>2027879</v>
      </c>
      <c r="X88" s="273">
        <v>2115458</v>
      </c>
    </row>
    <row r="89" spans="1:25" ht="14.25" thickBot="1" x14ac:dyDescent="0.3">
      <c r="A89" s="250" t="s">
        <v>4</v>
      </c>
      <c r="B89" s="275">
        <v>186188</v>
      </c>
      <c r="C89" s="275">
        <v>209075</v>
      </c>
      <c r="D89" s="275">
        <v>241755</v>
      </c>
      <c r="E89" s="275">
        <v>220118</v>
      </c>
      <c r="F89" s="275">
        <v>165093</v>
      </c>
      <c r="G89" s="275">
        <v>214523</v>
      </c>
      <c r="H89" s="275">
        <v>263776</v>
      </c>
      <c r="I89" s="275">
        <v>283538</v>
      </c>
      <c r="J89" s="275">
        <v>271170</v>
      </c>
      <c r="K89" s="275">
        <v>347848</v>
      </c>
      <c r="L89" s="275">
        <v>368913</v>
      </c>
      <c r="M89" s="275">
        <v>368455</v>
      </c>
      <c r="N89" s="275">
        <v>407194</v>
      </c>
      <c r="O89" s="275">
        <v>432930</v>
      </c>
      <c r="P89" s="275">
        <v>474478</v>
      </c>
      <c r="Q89" s="275">
        <v>496722</v>
      </c>
      <c r="R89" s="275">
        <v>509390</v>
      </c>
      <c r="S89" s="275">
        <v>548971</v>
      </c>
      <c r="T89" s="275">
        <v>539448</v>
      </c>
      <c r="U89" s="275">
        <v>517552</v>
      </c>
      <c r="V89" s="275">
        <v>396191</v>
      </c>
      <c r="W89" s="275">
        <v>418359</v>
      </c>
      <c r="X89" s="275">
        <v>434727</v>
      </c>
    </row>
    <row r="90" spans="1:25" ht="14.25" thickBot="1" x14ac:dyDescent="0.3">
      <c r="A90" s="251" t="s">
        <v>5</v>
      </c>
      <c r="B90" s="273">
        <v>81266</v>
      </c>
      <c r="C90" s="273">
        <v>83675</v>
      </c>
      <c r="D90" s="273">
        <v>104190</v>
      </c>
      <c r="E90" s="273">
        <v>78351</v>
      </c>
      <c r="F90" s="273">
        <v>37515</v>
      </c>
      <c r="G90" s="273">
        <v>65150</v>
      </c>
      <c r="H90" s="273">
        <v>94074</v>
      </c>
      <c r="I90" s="273">
        <v>111762</v>
      </c>
      <c r="J90" s="273">
        <v>93381</v>
      </c>
      <c r="K90" s="273">
        <v>139513</v>
      </c>
      <c r="L90" s="273">
        <v>133933</v>
      </c>
      <c r="M90" s="273">
        <v>132606</v>
      </c>
      <c r="N90" s="273">
        <v>181590</v>
      </c>
      <c r="O90" s="273">
        <v>182336</v>
      </c>
      <c r="P90" s="273">
        <v>230936</v>
      </c>
      <c r="Q90" s="273">
        <v>256633</v>
      </c>
      <c r="R90" s="273">
        <v>272423</v>
      </c>
      <c r="S90" s="273">
        <v>285793</v>
      </c>
      <c r="T90" s="273">
        <v>274444</v>
      </c>
      <c r="U90" s="273">
        <v>274134</v>
      </c>
      <c r="V90" s="273">
        <v>205234</v>
      </c>
      <c r="W90" s="273">
        <v>204178</v>
      </c>
      <c r="X90" s="273">
        <v>212687</v>
      </c>
    </row>
    <row r="91" spans="1:25" ht="14.25" thickBot="1" x14ac:dyDescent="0.3">
      <c r="A91" s="250" t="s">
        <v>6</v>
      </c>
      <c r="B91" s="275">
        <v>91040</v>
      </c>
      <c r="C91" s="275">
        <v>132973</v>
      </c>
      <c r="D91" s="275">
        <v>157165</v>
      </c>
      <c r="E91" s="275">
        <v>116135</v>
      </c>
      <c r="F91" s="275">
        <v>88454</v>
      </c>
      <c r="G91" s="275">
        <v>102799</v>
      </c>
      <c r="H91" s="275">
        <v>437902</v>
      </c>
      <c r="I91" s="275">
        <v>133520</v>
      </c>
      <c r="J91" s="275">
        <v>71279</v>
      </c>
      <c r="K91" s="275">
        <v>185519</v>
      </c>
      <c r="L91" s="275">
        <v>239742</v>
      </c>
      <c r="M91" s="275">
        <v>174884</v>
      </c>
      <c r="N91" s="275">
        <v>219274</v>
      </c>
      <c r="O91" s="275">
        <v>226742</v>
      </c>
      <c r="P91" s="275">
        <v>347887</v>
      </c>
      <c r="Q91" s="275">
        <v>282576</v>
      </c>
      <c r="R91" s="275">
        <v>243775</v>
      </c>
      <c r="S91" s="275">
        <v>336559</v>
      </c>
      <c r="T91" s="275">
        <v>284160</v>
      </c>
      <c r="U91" s="275">
        <v>296102</v>
      </c>
      <c r="V91" s="275">
        <v>137983</v>
      </c>
      <c r="W91" s="275">
        <v>206663</v>
      </c>
      <c r="X91" s="275">
        <v>221268</v>
      </c>
    </row>
    <row r="92" spans="1:25" ht="14.25" thickBot="1" x14ac:dyDescent="0.3">
      <c r="A92" s="251" t="s">
        <v>7</v>
      </c>
      <c r="B92" s="273">
        <v>72307</v>
      </c>
      <c r="C92" s="273">
        <v>97710</v>
      </c>
      <c r="D92" s="273">
        <v>132551</v>
      </c>
      <c r="E92" s="273">
        <v>95281</v>
      </c>
      <c r="F92" s="273">
        <v>65225</v>
      </c>
      <c r="G92" s="273">
        <v>76065</v>
      </c>
      <c r="H92" s="273">
        <v>360807</v>
      </c>
      <c r="I92" s="273">
        <v>90215</v>
      </c>
      <c r="J92" s="273">
        <v>54832</v>
      </c>
      <c r="K92" s="273">
        <v>142285</v>
      </c>
      <c r="L92" s="273">
        <v>194326</v>
      </c>
      <c r="M92" s="273">
        <v>135276</v>
      </c>
      <c r="N92" s="273">
        <v>169794</v>
      </c>
      <c r="O92" s="273">
        <v>180532</v>
      </c>
      <c r="P92" s="273">
        <v>277159</v>
      </c>
      <c r="Q92" s="273">
        <v>189279</v>
      </c>
      <c r="R92" s="273">
        <v>184676</v>
      </c>
      <c r="S92" s="273">
        <v>245079</v>
      </c>
      <c r="T92" s="273">
        <v>216620</v>
      </c>
      <c r="U92" s="273">
        <v>178870</v>
      </c>
      <c r="V92" s="273">
        <v>97342</v>
      </c>
      <c r="W92" s="273">
        <v>158008</v>
      </c>
      <c r="X92" s="273">
        <v>182282</v>
      </c>
    </row>
    <row r="93" spans="1:25" ht="26.25" thickBot="1" x14ac:dyDescent="0.3">
      <c r="A93" s="252" t="s">
        <v>8</v>
      </c>
      <c r="B93" s="276">
        <v>70483</v>
      </c>
      <c r="C93" s="276">
        <v>94969</v>
      </c>
      <c r="D93" s="276">
        <v>128496</v>
      </c>
      <c r="E93" s="276">
        <v>92505</v>
      </c>
      <c r="F93" s="276">
        <v>64174</v>
      </c>
      <c r="G93" s="276">
        <v>73381</v>
      </c>
      <c r="H93" s="276">
        <v>357172</v>
      </c>
      <c r="I93" s="276">
        <v>86271</v>
      </c>
      <c r="J93" s="276">
        <v>52124</v>
      </c>
      <c r="K93" s="276">
        <v>138057</v>
      </c>
      <c r="L93" s="276">
        <v>189055</v>
      </c>
      <c r="M93" s="276">
        <v>128679</v>
      </c>
      <c r="N93" s="276">
        <v>166266</v>
      </c>
      <c r="O93" s="276">
        <v>175857</v>
      </c>
      <c r="P93" s="276">
        <v>271441</v>
      </c>
      <c r="Q93" s="276">
        <v>182539</v>
      </c>
      <c r="R93" s="276">
        <v>180200</v>
      </c>
      <c r="S93" s="276">
        <v>240575</v>
      </c>
      <c r="T93" s="276">
        <v>211344</v>
      </c>
      <c r="U93" s="276">
        <v>187620</v>
      </c>
      <c r="V93" s="276">
        <v>95763</v>
      </c>
      <c r="W93" s="276">
        <v>153521</v>
      </c>
      <c r="X93" s="276">
        <v>176373</v>
      </c>
    </row>
    <row r="94" spans="1:25" x14ac:dyDescent="0.25">
      <c r="A94" s="233" t="s">
        <v>365</v>
      </c>
      <c r="B94" s="253">
        <f>IF(B91="","",B91-B90)</f>
        <v>9774</v>
      </c>
      <c r="C94" s="253">
        <f>IF(C91="","",C91-C90)</f>
        <v>49298</v>
      </c>
      <c r="D94" s="253">
        <f t="shared" ref="D94:Y94" si="9">IF(D91="","",D91-D90)</f>
        <v>52975</v>
      </c>
      <c r="E94" s="253">
        <f t="shared" si="9"/>
        <v>37784</v>
      </c>
      <c r="F94" s="253">
        <f t="shared" si="9"/>
        <v>50939</v>
      </c>
      <c r="G94" s="253">
        <f t="shared" si="9"/>
        <v>37649</v>
      </c>
      <c r="H94" s="253">
        <f t="shared" si="9"/>
        <v>343828</v>
      </c>
      <c r="I94" s="253">
        <f t="shared" si="9"/>
        <v>21758</v>
      </c>
      <c r="J94" s="253">
        <f t="shared" si="9"/>
        <v>-22102</v>
      </c>
      <c r="K94" s="253">
        <f t="shared" si="9"/>
        <v>46006</v>
      </c>
      <c r="L94" s="253">
        <f t="shared" si="9"/>
        <v>105809</v>
      </c>
      <c r="M94" s="253">
        <f t="shared" si="9"/>
        <v>42278</v>
      </c>
      <c r="N94" s="253">
        <f t="shared" si="9"/>
        <v>37684</v>
      </c>
      <c r="O94" s="253">
        <f t="shared" si="9"/>
        <v>44406</v>
      </c>
      <c r="P94" s="253">
        <f t="shared" si="9"/>
        <v>116951</v>
      </c>
      <c r="Q94" s="253">
        <f t="shared" si="9"/>
        <v>25943</v>
      </c>
      <c r="R94" s="253">
        <f t="shared" si="9"/>
        <v>-28648</v>
      </c>
      <c r="S94" s="253">
        <f t="shared" si="9"/>
        <v>50766</v>
      </c>
      <c r="T94" s="253">
        <f t="shared" si="9"/>
        <v>9716</v>
      </c>
      <c r="U94" s="253">
        <f t="shared" si="9"/>
        <v>21968</v>
      </c>
      <c r="V94" s="253">
        <f t="shared" si="9"/>
        <v>-67251</v>
      </c>
      <c r="W94" s="253">
        <f t="shared" si="9"/>
        <v>2485</v>
      </c>
      <c r="X94" s="253">
        <f t="shared" si="9"/>
        <v>8581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5014718</v>
      </c>
      <c r="C97" s="273">
        <v>5887680</v>
      </c>
      <c r="D97" s="273">
        <v>7074752</v>
      </c>
      <c r="E97" s="273">
        <v>7986554</v>
      </c>
      <c r="F97" s="273">
        <v>8398732</v>
      </c>
    </row>
    <row r="98" spans="1:24" ht="14.25" thickBot="1" x14ac:dyDescent="0.3">
      <c r="A98" s="225" t="s">
        <v>4</v>
      </c>
      <c r="B98" s="275">
        <v>857136</v>
      </c>
      <c r="C98" s="275">
        <v>952667</v>
      </c>
      <c r="D98" s="275">
        <v>1356386</v>
      </c>
      <c r="E98" s="275">
        <v>1811324</v>
      </c>
      <c r="F98" s="275">
        <v>2115361</v>
      </c>
    </row>
    <row r="99" spans="1:24" ht="14.25" thickBot="1" x14ac:dyDescent="0.3">
      <c r="A99" s="224" t="s">
        <v>5</v>
      </c>
      <c r="B99" s="273">
        <v>347482</v>
      </c>
      <c r="C99" s="273">
        <v>308501</v>
      </c>
      <c r="D99" s="273">
        <v>499433</v>
      </c>
      <c r="E99" s="273">
        <v>851495</v>
      </c>
      <c r="F99" s="273">
        <v>1106794</v>
      </c>
    </row>
    <row r="100" spans="1:24" ht="14.25" thickBot="1" x14ac:dyDescent="0.3">
      <c r="A100" s="225" t="s">
        <v>6</v>
      </c>
      <c r="B100" s="275">
        <v>497313</v>
      </c>
      <c r="C100" s="275">
        <v>762675</v>
      </c>
      <c r="D100" s="275">
        <v>671423</v>
      </c>
      <c r="E100" s="275">
        <v>1076479</v>
      </c>
      <c r="F100" s="275">
        <v>1160596</v>
      </c>
    </row>
    <row r="101" spans="1:24" ht="14.25" thickBot="1" x14ac:dyDescent="0.3">
      <c r="A101" s="224" t="s">
        <v>7</v>
      </c>
      <c r="B101" s="273">
        <v>397849</v>
      </c>
      <c r="C101" s="273">
        <v>592312</v>
      </c>
      <c r="D101" s="273">
        <v>526718</v>
      </c>
      <c r="E101" s="273">
        <v>816764</v>
      </c>
      <c r="F101" s="273">
        <v>825245</v>
      </c>
    </row>
    <row r="102" spans="1:24" ht="14.25" thickBot="1" x14ac:dyDescent="0.3">
      <c r="A102" s="227" t="s">
        <v>8</v>
      </c>
      <c r="B102" s="276">
        <v>386453</v>
      </c>
      <c r="C102" s="276">
        <v>580998</v>
      </c>
      <c r="D102" s="276">
        <v>507914</v>
      </c>
      <c r="E102" s="276">
        <v>796103</v>
      </c>
      <c r="F102" s="276">
        <v>819739</v>
      </c>
    </row>
    <row r="103" spans="1:24" x14ac:dyDescent="0.25">
      <c r="A103" s="233" t="s">
        <v>262</v>
      </c>
      <c r="B103" s="234">
        <f>IF(OR(B102="",B102="無"),"",B102/B101)</f>
        <v>0.97135596671098834</v>
      </c>
      <c r="C103" s="234">
        <f>IF(OR(C102="",C102="無"),"",C102/C101)</f>
        <v>0.98089858047785627</v>
      </c>
      <c r="D103" s="234">
        <f>IF(OR(D102="",D102="無"),"",D102/D101)</f>
        <v>0.96429968218287587</v>
      </c>
      <c r="E103" s="234">
        <f>IF(OR(E102="",E102="無"),"",E102/E101)</f>
        <v>0.97470383121685089</v>
      </c>
      <c r="F103" s="234">
        <f>IF(OR(F102="",F102="無"),"",F102/F101)</f>
        <v>0.99332804197541336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472109</v>
      </c>
      <c r="C106" s="273">
        <v>546520</v>
      </c>
      <c r="D106" s="273">
        <v>590597</v>
      </c>
      <c r="E106" s="273">
        <v>667740</v>
      </c>
      <c r="F106" s="273">
        <v>785095</v>
      </c>
      <c r="G106" s="273">
        <v>678522</v>
      </c>
      <c r="H106" s="273">
        <v>861330</v>
      </c>
      <c r="I106" s="273">
        <v>878729</v>
      </c>
      <c r="J106" s="273">
        <v>980360</v>
      </c>
      <c r="K106" s="273">
        <v>1024584</v>
      </c>
      <c r="L106" s="273">
        <v>810178</v>
      </c>
      <c r="M106" s="273">
        <v>1000962</v>
      </c>
      <c r="N106" s="273">
        <v>1046598</v>
      </c>
      <c r="O106" s="273">
        <v>1233286</v>
      </c>
      <c r="P106" s="273">
        <v>1269402</v>
      </c>
      <c r="Q106" s="273">
        <v>1628441</v>
      </c>
      <c r="R106" s="273">
        <v>1860404</v>
      </c>
      <c r="S106" s="273">
        <v>1731966</v>
      </c>
      <c r="T106" s="273">
        <v>1846053</v>
      </c>
      <c r="U106" s="273">
        <v>2315324</v>
      </c>
      <c r="V106" s="273">
        <v>2229354</v>
      </c>
      <c r="W106" s="273">
        <v>2286567</v>
      </c>
      <c r="X106" s="273">
        <v>1889842</v>
      </c>
    </row>
    <row r="107" spans="1:24" ht="14.25" thickBot="1" x14ac:dyDescent="0.3">
      <c r="A107" s="225" t="s">
        <v>22</v>
      </c>
      <c r="B107" s="275">
        <v>537640</v>
      </c>
      <c r="C107" s="275">
        <v>600093</v>
      </c>
      <c r="D107" s="275">
        <v>417860</v>
      </c>
      <c r="E107" s="275">
        <v>363219</v>
      </c>
      <c r="F107" s="275">
        <v>241932</v>
      </c>
      <c r="G107" s="275">
        <v>230853</v>
      </c>
      <c r="H107" s="275">
        <v>238464</v>
      </c>
      <c r="I107" s="275">
        <v>278352</v>
      </c>
      <c r="J107" s="275">
        <v>237282</v>
      </c>
      <c r="K107" s="275">
        <v>145246</v>
      </c>
      <c r="L107" s="275">
        <v>216347</v>
      </c>
      <c r="M107" s="274">
        <v>0</v>
      </c>
      <c r="N107" s="275">
        <v>2382</v>
      </c>
      <c r="O107" s="274">
        <v>892</v>
      </c>
      <c r="P107" s="275">
        <v>187000</v>
      </c>
      <c r="Q107" s="275">
        <v>483385</v>
      </c>
      <c r="R107" s="275">
        <v>40907</v>
      </c>
      <c r="S107" s="275">
        <v>68789</v>
      </c>
      <c r="T107" s="275">
        <v>40128</v>
      </c>
      <c r="U107" s="275">
        <v>112151</v>
      </c>
      <c r="V107" s="275">
        <v>35172</v>
      </c>
      <c r="W107" s="275">
        <v>141031</v>
      </c>
      <c r="X107" s="275">
        <v>5023</v>
      </c>
    </row>
    <row r="108" spans="1:24" ht="14.25" thickBot="1" x14ac:dyDescent="0.3">
      <c r="A108" s="224" t="s">
        <v>263</v>
      </c>
      <c r="B108" s="273">
        <v>857252</v>
      </c>
      <c r="C108" s="273">
        <v>955462</v>
      </c>
      <c r="D108" s="273">
        <v>1071017</v>
      </c>
      <c r="E108" s="273">
        <v>1119128</v>
      </c>
      <c r="F108" s="273">
        <v>1005186</v>
      </c>
      <c r="G108" s="273">
        <v>1324262</v>
      </c>
      <c r="H108" s="273">
        <v>1268389</v>
      </c>
      <c r="I108" s="273">
        <v>1212990</v>
      </c>
      <c r="J108" s="273">
        <v>1246664</v>
      </c>
      <c r="K108" s="273">
        <v>1440685</v>
      </c>
      <c r="L108" s="273">
        <v>1600783</v>
      </c>
      <c r="M108" s="273">
        <v>1600331</v>
      </c>
      <c r="N108" s="273">
        <v>1577857</v>
      </c>
      <c r="O108" s="273">
        <v>1629542</v>
      </c>
      <c r="P108" s="273">
        <v>1853509</v>
      </c>
      <c r="Q108" s="273">
        <v>1626744</v>
      </c>
      <c r="R108" s="273">
        <v>1573031</v>
      </c>
      <c r="S108" s="273">
        <v>1803322</v>
      </c>
      <c r="T108" s="273">
        <v>1768990</v>
      </c>
      <c r="U108" s="273">
        <v>1700284</v>
      </c>
      <c r="V108" s="273">
        <v>1438940</v>
      </c>
      <c r="W108" s="273">
        <v>1470273</v>
      </c>
      <c r="X108" s="273">
        <v>1646334</v>
      </c>
    </row>
    <row r="109" spans="1:24" ht="14.25" thickBot="1" x14ac:dyDescent="0.3">
      <c r="A109" s="225" t="s">
        <v>264</v>
      </c>
      <c r="B109" s="275">
        <v>474214</v>
      </c>
      <c r="C109" s="275">
        <v>480934</v>
      </c>
      <c r="D109" s="275">
        <v>537439</v>
      </c>
      <c r="E109" s="275">
        <v>620472</v>
      </c>
      <c r="F109" s="275">
        <v>646752</v>
      </c>
      <c r="G109" s="275">
        <v>709972</v>
      </c>
      <c r="H109" s="275">
        <v>680797</v>
      </c>
      <c r="I109" s="275">
        <v>818478</v>
      </c>
      <c r="J109" s="275">
        <v>744784</v>
      </c>
      <c r="K109" s="275">
        <v>719691</v>
      </c>
      <c r="L109" s="275">
        <v>760430</v>
      </c>
      <c r="M109" s="275">
        <v>830318</v>
      </c>
      <c r="N109" s="275">
        <v>817104</v>
      </c>
      <c r="O109" s="275">
        <v>803867</v>
      </c>
      <c r="P109" s="275">
        <v>810183</v>
      </c>
      <c r="Q109" s="275">
        <v>810716</v>
      </c>
      <c r="R109" s="275">
        <v>740826</v>
      </c>
      <c r="S109" s="275">
        <v>756453</v>
      </c>
      <c r="T109" s="275">
        <v>707288</v>
      </c>
      <c r="U109" s="275">
        <v>786047</v>
      </c>
      <c r="V109" s="275">
        <v>784266</v>
      </c>
      <c r="W109" s="275">
        <v>819074</v>
      </c>
      <c r="X109" s="275">
        <v>801833</v>
      </c>
    </row>
    <row r="110" spans="1:24" ht="14.25" thickBot="1" x14ac:dyDescent="0.3">
      <c r="A110" s="224" t="s">
        <v>23</v>
      </c>
      <c r="B110" s="273">
        <v>83144</v>
      </c>
      <c r="C110" s="273">
        <v>108867</v>
      </c>
      <c r="D110" s="273">
        <v>101814</v>
      </c>
      <c r="E110" s="273">
        <v>181202</v>
      </c>
      <c r="F110" s="273">
        <v>130420</v>
      </c>
      <c r="G110" s="273">
        <v>150000</v>
      </c>
      <c r="H110" s="273">
        <v>182451</v>
      </c>
      <c r="I110" s="273">
        <v>98393</v>
      </c>
      <c r="J110" s="273">
        <v>108282</v>
      </c>
      <c r="K110" s="273">
        <v>126550</v>
      </c>
      <c r="L110" s="273">
        <v>118313</v>
      </c>
      <c r="M110" s="273">
        <v>126285</v>
      </c>
      <c r="N110" s="273">
        <v>156534</v>
      </c>
      <c r="O110" s="273">
        <v>108700</v>
      </c>
      <c r="P110" s="273">
        <v>99434</v>
      </c>
      <c r="Q110" s="273">
        <v>101937</v>
      </c>
      <c r="R110" s="273">
        <v>430166</v>
      </c>
      <c r="S110" s="273">
        <v>687912</v>
      </c>
      <c r="T110" s="273">
        <v>238828</v>
      </c>
      <c r="U110" s="273">
        <v>206296</v>
      </c>
      <c r="V110" s="273">
        <v>244254</v>
      </c>
      <c r="W110" s="273">
        <v>234144</v>
      </c>
      <c r="X110" s="273">
        <v>270992</v>
      </c>
    </row>
    <row r="111" spans="1:24" ht="14.25" thickBot="1" x14ac:dyDescent="0.3">
      <c r="A111" s="225" t="s">
        <v>24</v>
      </c>
      <c r="B111" s="275">
        <v>2424359</v>
      </c>
      <c r="C111" s="275">
        <v>2691876</v>
      </c>
      <c r="D111" s="275">
        <v>2718727</v>
      </c>
      <c r="E111" s="275">
        <v>2951761</v>
      </c>
      <c r="F111" s="275">
        <v>2809385</v>
      </c>
      <c r="G111" s="275">
        <v>3093609</v>
      </c>
      <c r="H111" s="275">
        <v>3231431</v>
      </c>
      <c r="I111" s="275">
        <v>3286942</v>
      </c>
      <c r="J111" s="275">
        <v>3317372</v>
      </c>
      <c r="K111" s="275">
        <v>3456756</v>
      </c>
      <c r="L111" s="275">
        <v>3506051</v>
      </c>
      <c r="M111" s="275">
        <v>3557896</v>
      </c>
      <c r="N111" s="275">
        <v>3600475</v>
      </c>
      <c r="O111" s="275">
        <v>3776287</v>
      </c>
      <c r="P111" s="275">
        <v>4219528</v>
      </c>
      <c r="Q111" s="275">
        <v>4651223</v>
      </c>
      <c r="R111" s="275">
        <v>4645334</v>
      </c>
      <c r="S111" s="275">
        <v>5048442</v>
      </c>
      <c r="T111" s="275">
        <v>4601287</v>
      </c>
      <c r="U111" s="275">
        <v>5120102</v>
      </c>
      <c r="V111" s="275">
        <v>4731986</v>
      </c>
      <c r="W111" s="275">
        <v>4951089</v>
      </c>
      <c r="X111" s="275">
        <v>4614024</v>
      </c>
    </row>
    <row r="112" spans="1:24" ht="14.25" thickBot="1" x14ac:dyDescent="0.3">
      <c r="A112" s="224" t="s">
        <v>25</v>
      </c>
      <c r="B112" s="273">
        <v>1359245</v>
      </c>
      <c r="C112" s="273">
        <v>1332696</v>
      </c>
      <c r="D112" s="273">
        <v>1322575</v>
      </c>
      <c r="E112" s="273">
        <v>1251842</v>
      </c>
      <c r="F112" s="273">
        <v>1277782</v>
      </c>
      <c r="G112" s="273">
        <v>1274827</v>
      </c>
      <c r="H112" s="273">
        <v>1219271</v>
      </c>
      <c r="I112" s="273">
        <v>1224441</v>
      </c>
      <c r="J112" s="273">
        <v>1280450</v>
      </c>
      <c r="K112" s="273">
        <v>1242237</v>
      </c>
      <c r="L112" s="273">
        <v>1203087</v>
      </c>
      <c r="M112" s="273">
        <v>1196571</v>
      </c>
      <c r="N112" s="273">
        <v>1211263</v>
      </c>
      <c r="O112" s="273">
        <v>1207634</v>
      </c>
      <c r="P112" s="273">
        <v>864601</v>
      </c>
      <c r="Q112" s="273">
        <v>554951</v>
      </c>
      <c r="R112" s="273">
        <v>625758</v>
      </c>
      <c r="S112" s="273">
        <v>507618</v>
      </c>
      <c r="T112" s="273">
        <v>518395</v>
      </c>
      <c r="U112" s="273">
        <v>518011</v>
      </c>
      <c r="V112" s="273">
        <v>531512</v>
      </c>
      <c r="W112" s="273">
        <v>517923</v>
      </c>
      <c r="X112" s="273">
        <v>443724</v>
      </c>
    </row>
    <row r="113" spans="1:24" ht="14.25" thickBot="1" x14ac:dyDescent="0.3">
      <c r="A113" s="225" t="s">
        <v>26</v>
      </c>
      <c r="B113" s="275">
        <v>1196376</v>
      </c>
      <c r="C113" s="275">
        <v>1186824</v>
      </c>
      <c r="D113" s="275">
        <v>1175798</v>
      </c>
      <c r="E113" s="275">
        <v>1221992</v>
      </c>
      <c r="F113" s="275">
        <v>1166381</v>
      </c>
      <c r="G113" s="275">
        <v>1231012</v>
      </c>
      <c r="H113" s="275">
        <v>1282526</v>
      </c>
      <c r="I113" s="275">
        <v>1271743</v>
      </c>
      <c r="J113" s="275">
        <v>1235994</v>
      </c>
      <c r="K113" s="275">
        <v>1403790</v>
      </c>
      <c r="L113" s="275">
        <v>1640165</v>
      </c>
      <c r="M113" s="275">
        <v>1765981</v>
      </c>
      <c r="N113" s="275">
        <v>1738179</v>
      </c>
      <c r="O113" s="275">
        <v>1718503</v>
      </c>
      <c r="P113" s="275">
        <v>1742780</v>
      </c>
      <c r="Q113" s="275">
        <v>1841250</v>
      </c>
      <c r="R113" s="275">
        <v>1802499</v>
      </c>
      <c r="S113" s="275">
        <v>1781682</v>
      </c>
      <c r="T113" s="275">
        <v>1737205</v>
      </c>
      <c r="U113" s="275">
        <v>1715994</v>
      </c>
      <c r="V113" s="275">
        <v>1712119</v>
      </c>
      <c r="W113" s="275">
        <v>1748530</v>
      </c>
      <c r="X113" s="275">
        <v>2026379</v>
      </c>
    </row>
    <row r="114" spans="1:24" ht="14.25" thickBot="1" x14ac:dyDescent="0.3">
      <c r="A114" s="224" t="s">
        <v>27</v>
      </c>
      <c r="B114" s="273">
        <v>138454</v>
      </c>
      <c r="C114" s="273">
        <v>138140</v>
      </c>
      <c r="D114" s="273">
        <v>136133</v>
      </c>
      <c r="E114" s="273">
        <v>139305</v>
      </c>
      <c r="F114" s="273">
        <v>293434</v>
      </c>
      <c r="G114" s="273">
        <v>312707</v>
      </c>
      <c r="H114" s="273">
        <v>241422</v>
      </c>
      <c r="I114" s="273">
        <v>415016</v>
      </c>
      <c r="J114" s="273">
        <v>437820</v>
      </c>
      <c r="K114" s="273">
        <v>462509</v>
      </c>
      <c r="L114" s="273">
        <v>322737</v>
      </c>
      <c r="M114" s="273">
        <v>372596</v>
      </c>
      <c r="N114" s="273">
        <v>379307</v>
      </c>
      <c r="O114" s="273">
        <v>374740</v>
      </c>
      <c r="P114" s="273">
        <v>330190</v>
      </c>
      <c r="Q114" s="273">
        <v>305007</v>
      </c>
      <c r="R114" s="273">
        <v>301780</v>
      </c>
      <c r="S114" s="273">
        <v>344658</v>
      </c>
      <c r="T114" s="273">
        <v>336911</v>
      </c>
      <c r="U114" s="273">
        <v>225731</v>
      </c>
      <c r="V114" s="273">
        <v>206633</v>
      </c>
      <c r="W114" s="273">
        <v>295744</v>
      </c>
      <c r="X114" s="273">
        <v>168714</v>
      </c>
    </row>
    <row r="115" spans="1:24" ht="14.25" thickBot="1" x14ac:dyDescent="0.3">
      <c r="A115" s="225" t="s">
        <v>265</v>
      </c>
      <c r="B115" s="276">
        <v>5118434</v>
      </c>
      <c r="C115" s="276">
        <v>5349536</v>
      </c>
      <c r="D115" s="276">
        <v>5353233</v>
      </c>
      <c r="E115" s="276">
        <v>5564900</v>
      </c>
      <c r="F115" s="276">
        <v>5546982</v>
      </c>
      <c r="G115" s="276">
        <v>5912155</v>
      </c>
      <c r="H115" s="276">
        <v>5974650</v>
      </c>
      <c r="I115" s="276">
        <v>6198142</v>
      </c>
      <c r="J115" s="276">
        <v>6271636</v>
      </c>
      <c r="K115" s="276">
        <v>6565292</v>
      </c>
      <c r="L115" s="276">
        <v>6672040</v>
      </c>
      <c r="M115" s="276">
        <v>6893044</v>
      </c>
      <c r="N115" s="276">
        <v>6929224</v>
      </c>
      <c r="O115" s="276">
        <v>7077164</v>
      </c>
      <c r="P115" s="276">
        <v>7157099</v>
      </c>
      <c r="Q115" s="276">
        <v>7352431</v>
      </c>
      <c r="R115" s="276">
        <v>7375371</v>
      </c>
      <c r="S115" s="276">
        <v>7682400</v>
      </c>
      <c r="T115" s="276">
        <v>7193798</v>
      </c>
      <c r="U115" s="276">
        <v>7579838</v>
      </c>
      <c r="V115" s="276">
        <v>7182250</v>
      </c>
      <c r="W115" s="276">
        <v>7513286</v>
      </c>
      <c r="X115" s="276">
        <v>7252841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273">
        <v>29930</v>
      </c>
      <c r="D118" s="273">
        <v>59214</v>
      </c>
      <c r="E118" s="273">
        <v>29348</v>
      </c>
      <c r="F118" s="68">
        <v>0</v>
      </c>
      <c r="G118" s="68">
        <v>0</v>
      </c>
      <c r="H118" s="273">
        <v>98747</v>
      </c>
      <c r="I118" s="273">
        <v>90059</v>
      </c>
      <c r="J118" s="273">
        <v>135661</v>
      </c>
      <c r="K118" s="273">
        <v>133284</v>
      </c>
      <c r="L118" s="273">
        <v>182907</v>
      </c>
      <c r="M118" s="273">
        <v>93649</v>
      </c>
      <c r="N118" s="273">
        <v>93031</v>
      </c>
      <c r="O118" s="273">
        <v>91275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523917</v>
      </c>
      <c r="C120" s="273">
        <v>612563</v>
      </c>
      <c r="D120" s="273">
        <v>657624</v>
      </c>
      <c r="E120" s="273">
        <v>745214</v>
      </c>
      <c r="F120" s="273">
        <v>692086</v>
      </c>
      <c r="G120" s="273">
        <v>888222</v>
      </c>
      <c r="H120" s="273">
        <v>879513</v>
      </c>
      <c r="I120" s="273">
        <v>882319</v>
      </c>
      <c r="J120" s="273">
        <v>826743</v>
      </c>
      <c r="K120" s="273">
        <v>928396</v>
      </c>
      <c r="L120" s="273">
        <v>1080793</v>
      </c>
      <c r="M120" s="273">
        <v>1097480</v>
      </c>
      <c r="N120" s="273">
        <v>1020466</v>
      </c>
      <c r="O120" s="273">
        <v>1074497</v>
      </c>
      <c r="P120" s="273">
        <v>1190471</v>
      </c>
      <c r="Q120" s="273">
        <v>1116547</v>
      </c>
      <c r="R120" s="273">
        <v>1005646</v>
      </c>
      <c r="S120" s="273">
        <v>1211981</v>
      </c>
      <c r="T120" s="273">
        <v>1112687</v>
      </c>
      <c r="U120" s="273">
        <v>1197221</v>
      </c>
      <c r="V120" s="273">
        <v>1115425</v>
      </c>
      <c r="W120" s="273">
        <v>1239850</v>
      </c>
      <c r="X120" s="273">
        <v>1209140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273">
        <v>16095</v>
      </c>
      <c r="S122" s="273">
        <v>16140</v>
      </c>
      <c r="T122" s="273">
        <v>15680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176840</v>
      </c>
      <c r="C123" s="275">
        <v>435387</v>
      </c>
      <c r="D123" s="275">
        <v>237116</v>
      </c>
      <c r="E123" s="275">
        <v>332901</v>
      </c>
      <c r="F123" s="275">
        <v>275690</v>
      </c>
      <c r="G123" s="275">
        <v>649689</v>
      </c>
      <c r="H123" s="275">
        <v>306503</v>
      </c>
      <c r="I123" s="275">
        <v>396288</v>
      </c>
      <c r="J123" s="275">
        <v>389809</v>
      </c>
      <c r="K123" s="275">
        <v>837949</v>
      </c>
      <c r="L123" s="275">
        <v>487065</v>
      </c>
      <c r="M123" s="275">
        <v>577851</v>
      </c>
      <c r="N123" s="275">
        <v>531598</v>
      </c>
      <c r="O123" s="275">
        <v>842747</v>
      </c>
      <c r="P123" s="275">
        <v>598670</v>
      </c>
      <c r="Q123" s="275">
        <v>726505</v>
      </c>
      <c r="R123" s="275">
        <v>646378</v>
      </c>
      <c r="S123" s="275">
        <v>1154578</v>
      </c>
      <c r="T123" s="275">
        <v>594340</v>
      </c>
      <c r="U123" s="275">
        <v>751833</v>
      </c>
      <c r="V123" s="275">
        <v>507040</v>
      </c>
      <c r="W123" s="275">
        <v>1070372</v>
      </c>
      <c r="X123" s="275">
        <v>666065</v>
      </c>
    </row>
    <row r="124" spans="1:24" ht="14.25" thickBot="1" x14ac:dyDescent="0.3">
      <c r="A124" s="224" t="s">
        <v>268</v>
      </c>
      <c r="B124" s="273">
        <v>700757</v>
      </c>
      <c r="C124" s="273">
        <v>1077880</v>
      </c>
      <c r="D124" s="273">
        <v>953954</v>
      </c>
      <c r="E124" s="273">
        <v>1107463</v>
      </c>
      <c r="F124" s="273">
        <v>967776</v>
      </c>
      <c r="G124" s="273">
        <v>1537911</v>
      </c>
      <c r="H124" s="273">
        <v>1284763</v>
      </c>
      <c r="I124" s="273">
        <v>1368666</v>
      </c>
      <c r="J124" s="273">
        <v>1352213</v>
      </c>
      <c r="K124" s="273">
        <v>1899629</v>
      </c>
      <c r="L124" s="273">
        <v>1750765</v>
      </c>
      <c r="M124" s="273">
        <v>1768980</v>
      </c>
      <c r="N124" s="273">
        <v>1645095</v>
      </c>
      <c r="O124" s="273">
        <v>2008519</v>
      </c>
      <c r="P124" s="273">
        <v>1789141</v>
      </c>
      <c r="Q124" s="273">
        <v>1843052</v>
      </c>
      <c r="R124" s="273">
        <v>1668119</v>
      </c>
      <c r="S124" s="273">
        <v>2382699</v>
      </c>
      <c r="T124" s="273">
        <v>1722707</v>
      </c>
      <c r="U124" s="273">
        <v>1949054</v>
      </c>
      <c r="V124" s="273">
        <v>1622465</v>
      </c>
      <c r="W124" s="273">
        <v>2310222</v>
      </c>
      <c r="X124" s="273">
        <v>1875205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353784</v>
      </c>
      <c r="G125" s="275">
        <v>345746</v>
      </c>
      <c r="H125" s="275">
        <v>384104</v>
      </c>
      <c r="I125" s="275">
        <v>410935</v>
      </c>
      <c r="J125" s="275">
        <v>400538</v>
      </c>
      <c r="K125" s="275">
        <v>386014</v>
      </c>
      <c r="L125" s="275">
        <v>396011</v>
      </c>
      <c r="M125" s="275">
        <v>424963</v>
      </c>
      <c r="N125" s="275">
        <v>417744</v>
      </c>
      <c r="O125" s="275">
        <v>432601</v>
      </c>
      <c r="P125" s="275">
        <v>382672</v>
      </c>
      <c r="Q125" s="275">
        <v>385715</v>
      </c>
      <c r="R125" s="275">
        <v>326828</v>
      </c>
      <c r="S125" s="275">
        <v>337781</v>
      </c>
      <c r="T125" s="275">
        <v>346936</v>
      </c>
      <c r="U125" s="275">
        <v>387247</v>
      </c>
      <c r="V125" s="275">
        <v>361272</v>
      </c>
      <c r="W125" s="275">
        <v>363016</v>
      </c>
      <c r="X125" s="275">
        <v>370822</v>
      </c>
    </row>
    <row r="126" spans="1:24" ht="14.25" thickBot="1" x14ac:dyDescent="0.3">
      <c r="A126" s="224" t="s">
        <v>33</v>
      </c>
      <c r="B126" s="273">
        <v>248568</v>
      </c>
      <c r="C126" s="273">
        <v>255306</v>
      </c>
      <c r="D126" s="273">
        <v>260770</v>
      </c>
      <c r="E126" s="273">
        <v>264052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949325</v>
      </c>
      <c r="C127" s="275">
        <v>1333186</v>
      </c>
      <c r="D127" s="275">
        <v>1214724</v>
      </c>
      <c r="E127" s="275">
        <v>1371515</v>
      </c>
      <c r="F127" s="275">
        <v>1321560</v>
      </c>
      <c r="G127" s="275">
        <v>1883657</v>
      </c>
      <c r="H127" s="275">
        <v>1668867</v>
      </c>
      <c r="I127" s="275">
        <v>1779601</v>
      </c>
      <c r="J127" s="275">
        <v>1752751</v>
      </c>
      <c r="K127" s="275">
        <v>2285643</v>
      </c>
      <c r="L127" s="275">
        <v>2146776</v>
      </c>
      <c r="M127" s="275">
        <v>2193943</v>
      </c>
      <c r="N127" s="275">
        <v>2062839</v>
      </c>
      <c r="O127" s="275">
        <v>2441120</v>
      </c>
      <c r="P127" s="275">
        <v>2171813</v>
      </c>
      <c r="Q127" s="275">
        <v>2228767</v>
      </c>
      <c r="R127" s="275">
        <v>1994947</v>
      </c>
      <c r="S127" s="275">
        <v>2720480</v>
      </c>
      <c r="T127" s="275">
        <v>2069643</v>
      </c>
      <c r="U127" s="275">
        <v>2336301</v>
      </c>
      <c r="V127" s="275">
        <v>1983737</v>
      </c>
      <c r="W127" s="275">
        <v>2673238</v>
      </c>
      <c r="X127" s="275">
        <v>2246027</v>
      </c>
    </row>
    <row r="128" spans="1:24" ht="14.25" thickBot="1" x14ac:dyDescent="0.3">
      <c r="A128" s="224" t="s">
        <v>34</v>
      </c>
      <c r="B128" s="273">
        <v>4169109</v>
      </c>
      <c r="C128" s="273">
        <v>4016350</v>
      </c>
      <c r="D128" s="273">
        <v>4138509</v>
      </c>
      <c r="E128" s="273">
        <v>4193385</v>
      </c>
      <c r="F128" s="273">
        <v>4225422</v>
      </c>
      <c r="G128" s="273">
        <v>4028498</v>
      </c>
      <c r="H128" s="273">
        <v>4305783</v>
      </c>
      <c r="I128" s="273">
        <v>4418541</v>
      </c>
      <c r="J128" s="273">
        <v>4518885</v>
      </c>
      <c r="K128" s="273">
        <v>4279649</v>
      </c>
      <c r="L128" s="273">
        <v>4525264</v>
      </c>
      <c r="M128" s="273">
        <v>4699101</v>
      </c>
      <c r="N128" s="273">
        <v>4866385</v>
      </c>
      <c r="O128" s="273">
        <v>4636044</v>
      </c>
      <c r="P128" s="273">
        <v>4985286</v>
      </c>
      <c r="Q128" s="273">
        <v>5123664</v>
      </c>
      <c r="R128" s="273">
        <v>5380424</v>
      </c>
      <c r="S128" s="273">
        <v>4961920</v>
      </c>
      <c r="T128" s="273">
        <v>5124155</v>
      </c>
      <c r="U128" s="273">
        <v>5243537</v>
      </c>
      <c r="V128" s="273">
        <v>5198513</v>
      </c>
      <c r="W128" s="273">
        <v>4840048</v>
      </c>
      <c r="X128" s="273">
        <v>5006814</v>
      </c>
    </row>
    <row r="129" spans="1:24" ht="14.25" thickBot="1" x14ac:dyDescent="0.3">
      <c r="A129" s="225" t="s">
        <v>35</v>
      </c>
      <c r="B129" s="276">
        <v>5118434</v>
      </c>
      <c r="C129" s="276">
        <v>5349536</v>
      </c>
      <c r="D129" s="276">
        <v>5353233</v>
      </c>
      <c r="E129" s="276">
        <v>5564900</v>
      </c>
      <c r="F129" s="276">
        <v>5546982</v>
      </c>
      <c r="G129" s="276">
        <v>5912155</v>
      </c>
      <c r="H129" s="276">
        <v>5974650</v>
      </c>
      <c r="I129" s="276">
        <v>6198142</v>
      </c>
      <c r="J129" s="276">
        <v>6271636</v>
      </c>
      <c r="K129" s="276">
        <v>6565292</v>
      </c>
      <c r="L129" s="276">
        <v>6672040</v>
      </c>
      <c r="M129" s="276">
        <v>6893044</v>
      </c>
      <c r="N129" s="276">
        <v>6929224</v>
      </c>
      <c r="O129" s="276">
        <v>7077164</v>
      </c>
      <c r="P129" s="276">
        <v>7157099</v>
      </c>
      <c r="Q129" s="276">
        <v>7352431</v>
      </c>
      <c r="R129" s="276">
        <v>7375371</v>
      </c>
      <c r="S129" s="276">
        <v>7682400</v>
      </c>
      <c r="T129" s="276">
        <v>7193798</v>
      </c>
      <c r="U129" s="276">
        <v>7579838</v>
      </c>
      <c r="V129" s="276">
        <v>7182250</v>
      </c>
      <c r="W129" s="276">
        <v>7513286</v>
      </c>
      <c r="X129" s="276">
        <v>7252841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2.89</v>
      </c>
      <c r="C132" s="68">
        <v>3.54</v>
      </c>
      <c r="D132" s="68">
        <v>4.66</v>
      </c>
      <c r="E132" s="68">
        <v>5.63</v>
      </c>
      <c r="F132" s="68">
        <v>7.84</v>
      </c>
    </row>
    <row r="133" spans="1:24" ht="14.25" thickBot="1" x14ac:dyDescent="0.3">
      <c r="A133" s="225" t="s">
        <v>37</v>
      </c>
      <c r="B133" s="274">
        <v>-0.61</v>
      </c>
      <c r="C133" s="274">
        <v>-0.68</v>
      </c>
      <c r="D133" s="274">
        <v>-2.06</v>
      </c>
      <c r="E133" s="274">
        <v>0.25</v>
      </c>
      <c r="F133" s="274">
        <v>-1.07</v>
      </c>
    </row>
    <row r="134" spans="1:24" ht="14.25" thickBot="1" x14ac:dyDescent="0.3">
      <c r="A134" s="224" t="s">
        <v>38</v>
      </c>
      <c r="B134" s="68">
        <v>-1.08</v>
      </c>
      <c r="C134" s="68">
        <v>-1.24</v>
      </c>
      <c r="D134" s="68">
        <v>-2.0499999999999998</v>
      </c>
      <c r="E134" s="68">
        <v>-2.5299999999999998</v>
      </c>
      <c r="F134" s="68">
        <v>-2.62</v>
      </c>
    </row>
    <row r="135" spans="1:24" ht="14.25" thickBot="1" x14ac:dyDescent="0.3">
      <c r="A135" s="225" t="s">
        <v>270</v>
      </c>
      <c r="B135" s="274">
        <v>2.29</v>
      </c>
      <c r="C135" s="274">
        <v>2.87</v>
      </c>
      <c r="D135" s="274">
        <v>2.6</v>
      </c>
      <c r="E135" s="274">
        <v>5.88</v>
      </c>
      <c r="F135" s="274">
        <v>6.77</v>
      </c>
    </row>
    <row r="136" spans="1:24" ht="14.25" thickBot="1" x14ac:dyDescent="0.3">
      <c r="A136" s="229" t="s">
        <v>39</v>
      </c>
      <c r="B136" s="72">
        <v>1.21</v>
      </c>
      <c r="C136" s="72">
        <v>1.62</v>
      </c>
      <c r="D136" s="72">
        <v>0.55000000000000004</v>
      </c>
      <c r="E136" s="72">
        <v>3.35</v>
      </c>
      <c r="F136" s="72">
        <v>4.1500000000000004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一般盈餘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1.5</v>
      </c>
      <c r="C140" s="68">
        <v>2</v>
      </c>
      <c r="D140" s="68">
        <v>2</v>
      </c>
      <c r="E140" s="68">
        <v>2.8</v>
      </c>
      <c r="F140" s="68">
        <v>2.8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0.73529411764705876</v>
      </c>
      <c r="C142" s="234">
        <f>IF(C140&lt;&gt;"無",IF(ISNA(HLOOKUP(C139,$B$64:$F$69,6,FALSE)),"",C140/HLOOKUP(C139,$B$64:$F$69,6,FALSE)),"")</f>
        <v>0.64724919093851141</v>
      </c>
      <c r="D142" s="234">
        <f>IF(D140&lt;&gt;"無",IF(ISNA(HLOOKUP(D139,$B$64:$F$69,6,FALSE)),"",D140/HLOOKUP(D139,$B$64:$F$69,6,FALSE)),"")</f>
        <v>0.74349442379182162</v>
      </c>
      <c r="E142" s="234">
        <f>IF(E140&lt;&gt;"無",IF(ISNA(HLOOKUP(E139,$B$64:$F$69,6,FALSE)),"",E140/HLOOKUP(E139,$B$64:$F$69,6,FALSE)),"")</f>
        <v>0.6635071090047393</v>
      </c>
      <c r="F142" s="234">
        <f>IF(F140&lt;&gt;"無",IF(ISNA(HLOOKUP(F139,$B$64:$F$69,6,FALSE)),"",F140/HLOOKUP(F139,$B$64:$F$69,6,FALSE)),"")</f>
        <v>0.64220183486238525</v>
      </c>
    </row>
    <row r="143" spans="1:24" x14ac:dyDescent="0.25">
      <c r="A143" s="233" t="s">
        <v>216</v>
      </c>
      <c r="B143" s="234">
        <f>IF(OR(B140=0,B140="無"),"",B135/B140)</f>
        <v>1.5266666666666666</v>
      </c>
      <c r="C143" s="234">
        <f>IF(OR(C140=0,C140="無"),"",C135/C140)</f>
        <v>1.4350000000000001</v>
      </c>
      <c r="D143" s="234">
        <f>IF(OR(D140=0,D140="無"),"",D135/D140)</f>
        <v>1.3</v>
      </c>
      <c r="E143" s="234">
        <f>IF(OR(E140=0,E140="無"),"",E135/E140)</f>
        <v>2.1</v>
      </c>
      <c r="F143" s="234">
        <f>IF(OR(F140=0,F140="無"),"",F135/F140)</f>
        <v>2.4178571428571427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16.88</v>
      </c>
      <c r="C146" s="68">
        <v>16.510000000000002</v>
      </c>
      <c r="D146" s="68">
        <v>18.52</v>
      </c>
      <c r="E146" s="68">
        <v>16.43</v>
      </c>
      <c r="F146" s="68">
        <v>13.12</v>
      </c>
      <c r="G146" s="68">
        <v>14.03</v>
      </c>
      <c r="H146" s="68">
        <v>16.39</v>
      </c>
      <c r="I146" s="68">
        <v>19.010000000000002</v>
      </c>
      <c r="J146" s="68">
        <v>17.52</v>
      </c>
      <c r="K146" s="68">
        <v>19.7</v>
      </c>
      <c r="L146" s="68">
        <v>19.59</v>
      </c>
      <c r="M146" s="68">
        <v>19.63</v>
      </c>
      <c r="N146" s="68">
        <v>21.19</v>
      </c>
      <c r="O146" s="68">
        <v>21.97</v>
      </c>
      <c r="P146" s="68">
        <v>22.24</v>
      </c>
      <c r="Q146" s="68">
        <v>25.34</v>
      </c>
      <c r="R146" s="68">
        <v>25.76</v>
      </c>
      <c r="S146" s="68">
        <v>24.81</v>
      </c>
      <c r="T146" s="68">
        <v>25.02</v>
      </c>
      <c r="U146" s="68">
        <v>25.21</v>
      </c>
      <c r="V146" s="68">
        <v>21.08</v>
      </c>
      <c r="W146" s="68">
        <v>20.63</v>
      </c>
      <c r="X146" s="68">
        <v>20.55</v>
      </c>
    </row>
    <row r="147" spans="1:24" s="93" customFormat="1" ht="14.25" thickBot="1" x14ac:dyDescent="0.3">
      <c r="A147" s="225" t="s">
        <v>19</v>
      </c>
      <c r="B147" s="274">
        <v>7.37</v>
      </c>
      <c r="C147" s="274">
        <v>6.61</v>
      </c>
      <c r="D147" s="274">
        <v>7.98</v>
      </c>
      <c r="E147" s="274">
        <v>5.85</v>
      </c>
      <c r="F147" s="274">
        <v>2.98</v>
      </c>
      <c r="G147" s="274">
        <v>4.26</v>
      </c>
      <c r="H147" s="274">
        <v>5.84</v>
      </c>
      <c r="I147" s="274">
        <v>7.49</v>
      </c>
      <c r="J147" s="274">
        <v>6.03</v>
      </c>
      <c r="K147" s="274">
        <v>7.9</v>
      </c>
      <c r="L147" s="274">
        <v>7.11</v>
      </c>
      <c r="M147" s="274">
        <v>7.06</v>
      </c>
      <c r="N147" s="274">
        <v>9.4499999999999993</v>
      </c>
      <c r="O147" s="274">
        <v>9.25</v>
      </c>
      <c r="P147" s="274">
        <v>10.82</v>
      </c>
      <c r="Q147" s="274">
        <v>13.09</v>
      </c>
      <c r="R147" s="274">
        <v>13.78</v>
      </c>
      <c r="S147" s="274">
        <v>12.92</v>
      </c>
      <c r="T147" s="274">
        <v>12.73</v>
      </c>
      <c r="U147" s="274">
        <v>13.35</v>
      </c>
      <c r="V147" s="274">
        <v>10.92</v>
      </c>
      <c r="W147" s="274">
        <v>10.07</v>
      </c>
      <c r="X147" s="274">
        <v>10.050000000000001</v>
      </c>
    </row>
    <row r="148" spans="1:24" s="93" customFormat="1" ht="14.25" thickBot="1" x14ac:dyDescent="0.3">
      <c r="A148" s="224" t="s">
        <v>41</v>
      </c>
      <c r="B148" s="68">
        <v>8.25</v>
      </c>
      <c r="C148" s="68">
        <v>10.5</v>
      </c>
      <c r="D148" s="68">
        <v>12.04</v>
      </c>
      <c r="E148" s="68">
        <v>8.67</v>
      </c>
      <c r="F148" s="68">
        <v>7.03</v>
      </c>
      <c r="G148" s="68">
        <v>6.72</v>
      </c>
      <c r="H148" s="68">
        <v>27.21</v>
      </c>
      <c r="I148" s="68">
        <v>8.9499999999999993</v>
      </c>
      <c r="J148" s="68">
        <v>4.6100000000000003</v>
      </c>
      <c r="K148" s="68">
        <v>10.5</v>
      </c>
      <c r="L148" s="68">
        <v>12.73</v>
      </c>
      <c r="M148" s="68">
        <v>9.32</v>
      </c>
      <c r="N148" s="68">
        <v>11.41</v>
      </c>
      <c r="O148" s="68">
        <v>11.51</v>
      </c>
      <c r="P148" s="68">
        <v>16.3</v>
      </c>
      <c r="Q148" s="68">
        <v>14.41</v>
      </c>
      <c r="R148" s="68">
        <v>12.33</v>
      </c>
      <c r="S148" s="68">
        <v>15.21</v>
      </c>
      <c r="T148" s="68">
        <v>13.18</v>
      </c>
      <c r="U148" s="68">
        <v>14.42</v>
      </c>
      <c r="V148" s="68">
        <v>7.34</v>
      </c>
      <c r="W148" s="68">
        <v>10.19</v>
      </c>
      <c r="X148" s="68">
        <v>10.46</v>
      </c>
    </row>
    <row r="149" spans="1:24" s="93" customFormat="1" ht="14.25" thickBot="1" x14ac:dyDescent="0.3">
      <c r="A149" s="225" t="s">
        <v>13</v>
      </c>
      <c r="B149" s="73">
        <v>6.56</v>
      </c>
      <c r="C149" s="73">
        <v>7.71</v>
      </c>
      <c r="D149" s="73">
        <v>10.16</v>
      </c>
      <c r="E149" s="73">
        <v>7.11</v>
      </c>
      <c r="F149" s="73">
        <v>5.18</v>
      </c>
      <c r="G149" s="73">
        <v>4.9800000000000004</v>
      </c>
      <c r="H149" s="73">
        <v>22.42</v>
      </c>
      <c r="I149" s="73">
        <v>6.05</v>
      </c>
      <c r="J149" s="73">
        <v>3.54</v>
      </c>
      <c r="K149" s="73">
        <v>8.06</v>
      </c>
      <c r="L149" s="73">
        <v>10.32</v>
      </c>
      <c r="M149" s="73">
        <v>7.21</v>
      </c>
      <c r="N149" s="73">
        <v>8.84</v>
      </c>
      <c r="O149" s="73">
        <v>9.16</v>
      </c>
      <c r="P149" s="73">
        <v>12.99</v>
      </c>
      <c r="Q149" s="73">
        <v>9.65</v>
      </c>
      <c r="R149" s="73">
        <v>9.34</v>
      </c>
      <c r="S149" s="73">
        <v>11.08</v>
      </c>
      <c r="T149" s="73">
        <v>10.050000000000001</v>
      </c>
      <c r="U149" s="73">
        <v>8.7100000000000009</v>
      </c>
      <c r="V149" s="73">
        <v>5.18</v>
      </c>
      <c r="W149" s="73">
        <v>7.79</v>
      </c>
      <c r="X149" s="73">
        <v>8.6199999999999992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17.09</v>
      </c>
      <c r="C152" s="68">
        <v>16.18</v>
      </c>
      <c r="D152" s="68">
        <v>19.170000000000002</v>
      </c>
      <c r="E152" s="68">
        <v>22.68</v>
      </c>
      <c r="F152" s="68">
        <v>25.19</v>
      </c>
    </row>
    <row r="153" spans="1:24" s="93" customFormat="1" ht="14.25" thickBot="1" x14ac:dyDescent="0.3">
      <c r="A153" s="225" t="s">
        <v>19</v>
      </c>
      <c r="B153" s="274">
        <v>6.93</v>
      </c>
      <c r="C153" s="274">
        <v>5.24</v>
      </c>
      <c r="D153" s="274">
        <v>7.06</v>
      </c>
      <c r="E153" s="274">
        <v>10.66</v>
      </c>
      <c r="F153" s="274">
        <v>13.18</v>
      </c>
    </row>
    <row r="154" spans="1:24" s="93" customFormat="1" ht="14.25" thickBot="1" x14ac:dyDescent="0.3">
      <c r="A154" s="224" t="s">
        <v>41</v>
      </c>
      <c r="B154" s="68">
        <v>9.92</v>
      </c>
      <c r="C154" s="68">
        <v>12.95</v>
      </c>
      <c r="D154" s="68">
        <v>9.49</v>
      </c>
      <c r="E154" s="68">
        <v>13.48</v>
      </c>
      <c r="F154" s="68">
        <v>13.82</v>
      </c>
    </row>
    <row r="155" spans="1:24" s="93" customFormat="1" ht="14.25" thickBot="1" x14ac:dyDescent="0.3">
      <c r="A155" s="225" t="s">
        <v>13</v>
      </c>
      <c r="B155" s="73">
        <v>7.93</v>
      </c>
      <c r="C155" s="73">
        <v>10.06</v>
      </c>
      <c r="D155" s="73">
        <v>7.45</v>
      </c>
      <c r="E155" s="73">
        <v>10.23</v>
      </c>
      <c r="F155" s="73">
        <v>9.83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1.43</v>
      </c>
      <c r="C158" s="68">
        <v>1.87</v>
      </c>
      <c r="D158" s="68">
        <v>2.48</v>
      </c>
      <c r="E158" s="68">
        <v>1.75</v>
      </c>
      <c r="F158" s="68">
        <v>1.18</v>
      </c>
      <c r="G158" s="68">
        <v>1.33</v>
      </c>
      <c r="H158" s="68">
        <v>6.1</v>
      </c>
      <c r="I158" s="68">
        <v>1.49</v>
      </c>
      <c r="J158" s="68">
        <v>0.89</v>
      </c>
      <c r="K158" s="68">
        <v>2.2400000000000002</v>
      </c>
      <c r="L158" s="68">
        <v>2.95</v>
      </c>
      <c r="M158" s="68">
        <v>1.98</v>
      </c>
      <c r="N158" s="68">
        <v>2.46</v>
      </c>
      <c r="O158" s="68">
        <v>2.59</v>
      </c>
      <c r="P158" s="68">
        <v>3.9</v>
      </c>
      <c r="Q158" s="68">
        <v>2.6</v>
      </c>
      <c r="R158" s="68">
        <v>2.5099999999999998</v>
      </c>
      <c r="S158" s="68">
        <v>3.26</v>
      </c>
      <c r="T158" s="68">
        <v>2.92</v>
      </c>
      <c r="U158" s="68">
        <v>2.42</v>
      </c>
      <c r="V158" s="68">
        <v>1.32</v>
      </c>
      <c r="W158" s="68">
        <v>2.15</v>
      </c>
      <c r="X158" s="68">
        <v>2.4700000000000002</v>
      </c>
    </row>
    <row r="159" spans="1:24" s="93" customFormat="1" ht="14.25" thickBot="1" x14ac:dyDescent="0.3">
      <c r="A159" s="225" t="s">
        <v>45</v>
      </c>
      <c r="B159" s="73">
        <v>1.78</v>
      </c>
      <c r="C159" s="73">
        <v>2.39</v>
      </c>
      <c r="D159" s="73">
        <v>3.25</v>
      </c>
      <c r="E159" s="73">
        <v>2.29</v>
      </c>
      <c r="F159" s="73">
        <v>1.55</v>
      </c>
      <c r="G159" s="73">
        <v>1.84</v>
      </c>
      <c r="H159" s="73">
        <v>8.66</v>
      </c>
      <c r="I159" s="73">
        <v>2.0699999999999998</v>
      </c>
      <c r="J159" s="73">
        <v>1.23</v>
      </c>
      <c r="K159" s="73">
        <v>3.23</v>
      </c>
      <c r="L159" s="73">
        <v>4.41</v>
      </c>
      <c r="M159" s="73">
        <v>2.93</v>
      </c>
      <c r="N159" s="73">
        <v>3.55</v>
      </c>
      <c r="O159" s="73">
        <v>3.8</v>
      </c>
      <c r="P159" s="73">
        <v>5.76</v>
      </c>
      <c r="Q159" s="73">
        <v>3.74</v>
      </c>
      <c r="R159" s="73">
        <v>3.52</v>
      </c>
      <c r="S159" s="73">
        <v>4.74</v>
      </c>
      <c r="T159" s="73">
        <v>4.3</v>
      </c>
      <c r="U159" s="73">
        <v>3.45</v>
      </c>
      <c r="V159" s="73">
        <v>1.86</v>
      </c>
      <c r="W159" s="73">
        <v>3.15</v>
      </c>
      <c r="X159" s="73">
        <v>3.7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7.93</v>
      </c>
      <c r="C162" s="68">
        <v>10.06</v>
      </c>
      <c r="D162" s="68">
        <v>7.45</v>
      </c>
      <c r="E162" s="68">
        <v>10.23</v>
      </c>
      <c r="F162" s="68">
        <v>9.83</v>
      </c>
    </row>
    <row r="163" spans="1:72" s="93" customFormat="1" ht="14.25" thickBot="1" x14ac:dyDescent="0.3">
      <c r="A163" s="225" t="s">
        <v>18</v>
      </c>
      <c r="B163" s="274">
        <v>0.9</v>
      </c>
      <c r="C163" s="274">
        <v>0.95</v>
      </c>
      <c r="D163" s="274">
        <v>1.03</v>
      </c>
      <c r="E163" s="274">
        <v>1.0900000000000001</v>
      </c>
      <c r="F163" s="274">
        <v>1.1100000000000001</v>
      </c>
    </row>
    <row r="164" spans="1:72" s="93" customFormat="1" ht="14.25" thickBot="1" x14ac:dyDescent="0.3">
      <c r="A164" s="224" t="s">
        <v>15</v>
      </c>
      <c r="B164" s="68">
        <v>1.33</v>
      </c>
      <c r="C164" s="68">
        <v>1.4</v>
      </c>
      <c r="D164" s="68">
        <v>1.47</v>
      </c>
      <c r="E164" s="68">
        <v>1.43</v>
      </c>
      <c r="F164" s="68">
        <v>1.45</v>
      </c>
    </row>
    <row r="165" spans="1:72" s="93" customFormat="1" ht="14.25" thickBot="1" x14ac:dyDescent="0.3">
      <c r="A165" s="225" t="s">
        <v>45</v>
      </c>
      <c r="B165" s="73">
        <v>9.74</v>
      </c>
      <c r="C165" s="73">
        <v>13.76</v>
      </c>
      <c r="D165" s="73">
        <v>11.55</v>
      </c>
      <c r="E165" s="73">
        <v>16.63</v>
      </c>
      <c r="F165" s="73">
        <v>15.92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70.87</v>
      </c>
      <c r="C168" s="68">
        <v>64.290000000000006</v>
      </c>
      <c r="D168" s="68">
        <v>69.77</v>
      </c>
      <c r="E168" s="68">
        <v>73.77</v>
      </c>
      <c r="F168" s="68">
        <v>76.27</v>
      </c>
      <c r="G168" s="68">
        <v>68.7</v>
      </c>
      <c r="H168" s="68">
        <v>72.58</v>
      </c>
      <c r="I168" s="68">
        <v>75</v>
      </c>
      <c r="J168" s="68">
        <v>71.430000000000007</v>
      </c>
      <c r="K168" s="68">
        <v>68.7</v>
      </c>
      <c r="L168" s="68">
        <v>72.58</v>
      </c>
      <c r="M168" s="68">
        <v>76.92</v>
      </c>
      <c r="N168" s="68">
        <v>74.38</v>
      </c>
      <c r="O168" s="68">
        <v>73.17</v>
      </c>
      <c r="P168" s="68">
        <v>73.17</v>
      </c>
      <c r="Q168" s="68">
        <v>79.650000000000006</v>
      </c>
      <c r="R168" s="68">
        <v>72.58</v>
      </c>
      <c r="S168" s="68">
        <v>68.7</v>
      </c>
      <c r="T168" s="68">
        <v>74.38</v>
      </c>
      <c r="U168" s="68">
        <v>76.27</v>
      </c>
      <c r="V168" s="68">
        <v>75</v>
      </c>
      <c r="W168" s="68">
        <v>64.75</v>
      </c>
      <c r="X168" s="68">
        <v>66.180000000000007</v>
      </c>
    </row>
    <row r="169" spans="1:72" s="93" customFormat="1" ht="14.25" thickBot="1" x14ac:dyDescent="0.3">
      <c r="A169" s="225" t="s">
        <v>17</v>
      </c>
      <c r="B169" s="274">
        <v>47.87</v>
      </c>
      <c r="C169" s="274">
        <v>40.72</v>
      </c>
      <c r="D169" s="274">
        <v>43.06</v>
      </c>
      <c r="E169" s="274">
        <v>46.63</v>
      </c>
      <c r="F169" s="274">
        <v>52.02</v>
      </c>
      <c r="G169" s="274">
        <v>46.39</v>
      </c>
      <c r="H169" s="274">
        <v>46.39</v>
      </c>
      <c r="I169" s="274">
        <v>55.9</v>
      </c>
      <c r="J169" s="274">
        <v>55.21</v>
      </c>
      <c r="K169" s="274">
        <v>46.39</v>
      </c>
      <c r="L169" s="274">
        <v>43.9</v>
      </c>
      <c r="M169" s="274">
        <v>47.37</v>
      </c>
      <c r="N169" s="274">
        <v>48.91</v>
      </c>
      <c r="O169" s="274">
        <v>47.37</v>
      </c>
      <c r="P169" s="274">
        <v>43.69</v>
      </c>
      <c r="Q169" s="274">
        <v>49.72</v>
      </c>
      <c r="R169" s="274">
        <v>47.62</v>
      </c>
      <c r="S169" s="274">
        <v>40.54</v>
      </c>
      <c r="T169" s="274">
        <v>40.72</v>
      </c>
      <c r="U169" s="274">
        <v>43.69</v>
      </c>
      <c r="V169" s="274">
        <v>47.62</v>
      </c>
      <c r="W169" s="274">
        <v>44.78</v>
      </c>
      <c r="X169" s="274">
        <v>43.48</v>
      </c>
    </row>
    <row r="170" spans="1:72" s="93" customFormat="1" ht="14.25" thickBot="1" x14ac:dyDescent="0.3">
      <c r="A170" s="224" t="s">
        <v>42</v>
      </c>
      <c r="B170" s="72">
        <v>118.74</v>
      </c>
      <c r="C170" s="72">
        <v>105.01</v>
      </c>
      <c r="D170" s="72">
        <v>112.83</v>
      </c>
      <c r="E170" s="72">
        <v>120.4</v>
      </c>
      <c r="F170" s="72">
        <v>128.29</v>
      </c>
      <c r="G170" s="72">
        <v>115.09</v>
      </c>
      <c r="H170" s="72">
        <v>118.97</v>
      </c>
      <c r="I170" s="72">
        <v>130.9</v>
      </c>
      <c r="J170" s="72">
        <v>126.64</v>
      </c>
      <c r="K170" s="72">
        <v>115.09</v>
      </c>
      <c r="L170" s="72">
        <v>116.48</v>
      </c>
      <c r="M170" s="72">
        <v>124.29</v>
      </c>
      <c r="N170" s="72">
        <v>123.29</v>
      </c>
      <c r="O170" s="72">
        <v>120.54</v>
      </c>
      <c r="P170" s="72">
        <v>116.86</v>
      </c>
      <c r="Q170" s="72">
        <v>129.37</v>
      </c>
      <c r="R170" s="72">
        <v>120.2</v>
      </c>
      <c r="S170" s="72">
        <v>109.24</v>
      </c>
      <c r="T170" s="72">
        <v>115.1</v>
      </c>
      <c r="U170" s="72">
        <v>119.96</v>
      </c>
      <c r="V170" s="72">
        <v>122.62</v>
      </c>
      <c r="W170" s="72">
        <v>109.52</v>
      </c>
      <c r="X170" s="72">
        <v>109.65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137.33000000000001</v>
      </c>
      <c r="C173" s="72">
        <v>112.15</v>
      </c>
      <c r="D173" s="72">
        <v>167.4</v>
      </c>
      <c r="E173" s="72">
        <v>129.61000000000001</v>
      </c>
      <c r="F173" s="72">
        <v>178.93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13</v>
      </c>
      <c r="C176" s="72">
        <v>13.86</v>
      </c>
      <c r="D176" s="72">
        <v>14.43</v>
      </c>
      <c r="E176" s="72">
        <v>11.32</v>
      </c>
      <c r="F176" s="72">
        <v>11.8</v>
      </c>
      <c r="G176" s="72">
        <v>11.94</v>
      </c>
      <c r="H176" s="72">
        <v>11.99</v>
      </c>
      <c r="I176" s="72">
        <v>11.77</v>
      </c>
      <c r="J176" s="72">
        <v>12.04</v>
      </c>
      <c r="K176" s="72">
        <v>12.06</v>
      </c>
      <c r="L176" s="72">
        <v>11.37</v>
      </c>
      <c r="M176" s="72">
        <v>11.91</v>
      </c>
      <c r="N176" s="72">
        <v>12.62</v>
      </c>
      <c r="O176" s="72">
        <v>13.22</v>
      </c>
      <c r="P176" s="72">
        <v>13.57</v>
      </c>
      <c r="Q176" s="72">
        <v>13.72</v>
      </c>
      <c r="R176" s="72">
        <v>14.09</v>
      </c>
      <c r="S176" s="72">
        <v>13.48</v>
      </c>
      <c r="T176" s="72">
        <v>16.21</v>
      </c>
      <c r="U176" s="72">
        <v>16.41</v>
      </c>
      <c r="V176" s="72">
        <v>16.670000000000002</v>
      </c>
      <c r="W176" s="72">
        <v>17.03</v>
      </c>
      <c r="X176" s="72">
        <v>10.16</v>
      </c>
      <c r="Y176" s="72">
        <v>10.28</v>
      </c>
      <c r="Z176" s="72">
        <v>10.34</v>
      </c>
      <c r="AA176" s="72">
        <v>10.44</v>
      </c>
      <c r="AB176" s="72">
        <v>10.31</v>
      </c>
      <c r="AC176" s="72">
        <v>10.29</v>
      </c>
      <c r="AD176" s="72">
        <v>10.34</v>
      </c>
      <c r="AE176" s="72">
        <v>10.37</v>
      </c>
      <c r="AF176" s="72">
        <v>9.7100000000000009</v>
      </c>
      <c r="AG176" s="72">
        <v>8.6</v>
      </c>
      <c r="AH176" s="72">
        <v>8.85</v>
      </c>
      <c r="AI176" s="72">
        <v>8.6199999999999992</v>
      </c>
      <c r="AJ176" s="72">
        <v>12.07</v>
      </c>
      <c r="AK176" s="72">
        <v>12.25</v>
      </c>
      <c r="AL176" s="72">
        <v>13.5</v>
      </c>
      <c r="AM176" s="72">
        <v>14.21</v>
      </c>
      <c r="AN176" s="72">
        <v>14.6</v>
      </c>
      <c r="AO176" s="72">
        <v>14.2</v>
      </c>
      <c r="AP176" s="72">
        <v>12.06</v>
      </c>
      <c r="AQ176" s="72">
        <v>12.3</v>
      </c>
      <c r="AR176" s="72">
        <v>11.31</v>
      </c>
      <c r="AS176" s="72">
        <v>12.15</v>
      </c>
      <c r="AT176" s="72">
        <v>15.37</v>
      </c>
      <c r="AU176" s="72">
        <v>14.82</v>
      </c>
      <c r="AV176" s="72">
        <v>12.65</v>
      </c>
      <c r="AW176" s="72">
        <v>11.46</v>
      </c>
      <c r="AX176" s="72">
        <v>10.54</v>
      </c>
      <c r="AY176" s="72">
        <v>11.37</v>
      </c>
      <c r="AZ176" s="72">
        <v>10.69</v>
      </c>
      <c r="BA176" s="72">
        <v>10.210000000000001</v>
      </c>
      <c r="BB176" s="72">
        <v>10.01</v>
      </c>
      <c r="BC176" s="72">
        <v>10.66</v>
      </c>
      <c r="BD176" s="72">
        <v>11.83</v>
      </c>
      <c r="BE176" s="72">
        <v>9.73</v>
      </c>
      <c r="BF176" s="72">
        <v>9.2100000000000009</v>
      </c>
      <c r="BG176" s="72">
        <v>8.77</v>
      </c>
      <c r="BH176" s="72">
        <v>9.41</v>
      </c>
      <c r="BI176" s="72">
        <v>9.66</v>
      </c>
      <c r="BJ176" s="72">
        <v>9.82</v>
      </c>
      <c r="BK176" s="72">
        <v>10.039999999999999</v>
      </c>
      <c r="BL176" s="72">
        <v>9.7799999999999994</v>
      </c>
      <c r="BM176" s="72">
        <v>9.65</v>
      </c>
      <c r="BN176" s="72">
        <v>10.62</v>
      </c>
      <c r="BO176" s="72">
        <v>10.68</v>
      </c>
      <c r="BP176" s="72">
        <v>10.15</v>
      </c>
      <c r="BQ176" s="72">
        <v>11.11</v>
      </c>
      <c r="BR176" s="72">
        <v>11.17</v>
      </c>
      <c r="BS176" s="72">
        <v>11.26</v>
      </c>
      <c r="BT176" s="72">
        <v>11.63</v>
      </c>
    </row>
  </sheetData>
  <phoneticPr fontId="3" type="noConversion"/>
  <conditionalFormatting sqref="E4">
    <cfRule type="cellIs" dxfId="524" priority="103" operator="greaterThan">
      <formula>0.2</formula>
    </cfRule>
    <cfRule type="cellIs" dxfId="52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52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521" priority="97" operator="greaterThan">
      <formula>$B$19</formula>
    </cfRule>
  </conditionalFormatting>
  <conditionalFormatting sqref="D33:D34">
    <cfRule type="cellIs" dxfId="52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519" priority="91" operator="lessThan">
      <formula>$H$62</formula>
    </cfRule>
    <cfRule type="cellIs" dxfId="518" priority="92" operator="greaterThan">
      <formula>$H$62</formula>
    </cfRule>
  </conditionalFormatting>
  <conditionalFormatting sqref="J62">
    <cfRule type="cellIs" dxfId="517" priority="89" operator="lessThan">
      <formula>$K$62</formula>
    </cfRule>
    <cfRule type="cellIs" dxfId="516" priority="90" operator="greaterThan">
      <formula>$K$62</formula>
    </cfRule>
  </conditionalFormatting>
  <conditionalFormatting sqref="M62">
    <cfRule type="cellIs" dxfId="515" priority="87" operator="lessThan">
      <formula>$N$62</formula>
    </cfRule>
    <cfRule type="cellIs" dxfId="514" priority="88" operator="greaterThan">
      <formula>$N$62</formula>
    </cfRule>
  </conditionalFormatting>
  <conditionalFormatting sqref="B44:E44">
    <cfRule type="cellIs" dxfId="513" priority="85" operator="greaterThan">
      <formula>0</formula>
    </cfRule>
    <cfRule type="cellIs" dxfId="512" priority="86" operator="lessThan">
      <formula>0</formula>
    </cfRule>
  </conditionalFormatting>
  <conditionalFormatting sqref="F72">
    <cfRule type="cellIs" dxfId="511" priority="84" operator="lessThan">
      <formula>$E$72*90%</formula>
    </cfRule>
  </conditionalFormatting>
  <conditionalFormatting sqref="F73">
    <cfRule type="cellIs" dxfId="510" priority="83" operator="lessThan">
      <formula>$E$73*90%</formula>
    </cfRule>
  </conditionalFormatting>
  <conditionalFormatting sqref="F74">
    <cfRule type="cellIs" dxfId="509" priority="82" operator="lessThan">
      <formula>$E$74*90%</formula>
    </cfRule>
  </conditionalFormatting>
  <conditionalFormatting sqref="F75">
    <cfRule type="cellIs" dxfId="508" priority="81" operator="lessThan">
      <formula>$E$75*90%</formula>
    </cfRule>
  </conditionalFormatting>
  <conditionalFormatting sqref="H44:K44">
    <cfRule type="cellIs" dxfId="507" priority="79" operator="greaterThan">
      <formula>0</formula>
    </cfRule>
    <cfRule type="cellIs" dxfId="506" priority="80" operator="lessThan">
      <formula>0</formula>
    </cfRule>
  </conditionalFormatting>
  <conditionalFormatting sqref="H51:K51">
    <cfRule type="cellIs" dxfId="505" priority="77" operator="greaterThan">
      <formula>0</formula>
    </cfRule>
    <cfRule type="cellIs" dxfId="504" priority="78" operator="lessThan">
      <formula>0</formula>
    </cfRule>
  </conditionalFormatting>
  <conditionalFormatting sqref="B51:E51">
    <cfRule type="cellIs" dxfId="503" priority="75" operator="greaterThan">
      <formula>0</formula>
    </cfRule>
    <cfRule type="cellIs" dxfId="50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0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0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99" priority="58" operator="lessThan">
      <formula>0</formula>
    </cfRule>
  </conditionalFormatting>
  <conditionalFormatting sqref="A25 E25 C25">
    <cfRule type="cellIs" dxfId="498" priority="59" operator="lessThan">
      <formula>0</formula>
    </cfRule>
  </conditionalFormatting>
  <conditionalFormatting sqref="F25">
    <cfRule type="cellIs" dxfId="497" priority="57" operator="lessThan">
      <formula>0</formula>
    </cfRule>
  </conditionalFormatting>
  <conditionalFormatting sqref="E1">
    <cfRule type="containsText" dxfId="496" priority="56" operator="containsText" text="本季業外損益/平均=-">
      <formula>NOT(ISERROR(SEARCH("本季業外損益/平均=-",E1)))</formula>
    </cfRule>
  </conditionalFormatting>
  <conditionalFormatting sqref="M65">
    <cfRule type="cellIs" dxfId="495" priority="55" operator="lessThan">
      <formula>$L$65*90%</formula>
    </cfRule>
  </conditionalFormatting>
  <conditionalFormatting sqref="M66">
    <cfRule type="cellIs" dxfId="494" priority="54" operator="lessThan">
      <formula>$L$66*90%</formula>
    </cfRule>
  </conditionalFormatting>
  <conditionalFormatting sqref="M67">
    <cfRule type="cellIs" dxfId="493" priority="53" operator="lessThan">
      <formula>$L$67*90%</formula>
    </cfRule>
  </conditionalFormatting>
  <conditionalFormatting sqref="M68">
    <cfRule type="cellIs" dxfId="492" priority="52" operator="lessThan">
      <formula>$L$68*90%</formula>
    </cfRule>
  </conditionalFormatting>
  <conditionalFormatting sqref="B60">
    <cfRule type="cellIs" dxfId="491" priority="51" operator="lessThan">
      <formula>0</formula>
    </cfRule>
  </conditionalFormatting>
  <conditionalFormatting sqref="B59:F59">
    <cfRule type="cellIs" dxfId="490" priority="50" operator="lessThanOrEqual">
      <formula>0</formula>
    </cfRule>
  </conditionalFormatting>
  <conditionalFormatting sqref="D62">
    <cfRule type="cellIs" dxfId="489" priority="48" operator="lessThan">
      <formula>$E$62</formula>
    </cfRule>
    <cfRule type="cellIs" dxfId="488" priority="49" operator="greaterThan">
      <formula>$E$62</formula>
    </cfRule>
  </conditionalFormatting>
  <conditionalFormatting sqref="F69">
    <cfRule type="cellIs" dxfId="487" priority="46" operator="lessThan">
      <formula>0</formula>
    </cfRule>
  </conditionalFormatting>
  <conditionalFormatting sqref="B65:E67 B69:E69 B68:D68">
    <cfRule type="cellIs" dxfId="486" priority="47" operator="lessThan">
      <formula>0</formula>
    </cfRule>
  </conditionalFormatting>
  <conditionalFormatting sqref="E68">
    <cfRule type="cellIs" dxfId="485" priority="45" operator="lessThan">
      <formula>0</formula>
    </cfRule>
  </conditionalFormatting>
  <conditionalFormatting sqref="F65:F68">
    <cfRule type="cellIs" dxfId="484" priority="44" operator="lessThan">
      <formula>0</formula>
    </cfRule>
  </conditionalFormatting>
  <conditionalFormatting sqref="F65:F68">
    <cfRule type="cellIs" dxfId="483" priority="43" operator="lessThan">
      <formula>$E$65*0.9</formula>
    </cfRule>
  </conditionalFormatting>
  <conditionalFormatting sqref="F66">
    <cfRule type="cellIs" dxfId="482" priority="42" operator="lessThan">
      <formula>$E$66*0.9</formula>
    </cfRule>
  </conditionalFormatting>
  <conditionalFormatting sqref="F67:F68">
    <cfRule type="cellIs" dxfId="481" priority="41" operator="lessThan">
      <formula>$E$67*0.9</formula>
    </cfRule>
  </conditionalFormatting>
  <conditionalFormatting sqref="F68">
    <cfRule type="cellIs" dxfId="480" priority="40" operator="lessThan">
      <formula>$E$68*0.9</formula>
    </cfRule>
  </conditionalFormatting>
  <conditionalFormatting sqref="B13:F13">
    <cfRule type="cellIs" dxfId="479" priority="29" operator="greaterThan">
      <formula>$I$16</formula>
    </cfRule>
    <cfRule type="cellIs" dxfId="478" priority="30" operator="lessThanOrEqual">
      <formula>$I$16</formula>
    </cfRule>
  </conditionalFormatting>
  <conditionalFormatting sqref="B10:F10">
    <cfRule type="cellIs" dxfId="477" priority="31" operator="greaterThan">
      <formula>15</formula>
    </cfRule>
    <cfRule type="cellIs" dxfId="476" priority="38" operator="lessThan">
      <formula>$I$9</formula>
    </cfRule>
    <cfRule type="cellIs" dxfId="475" priority="39" operator="greaterThan">
      <formula>$I$9</formula>
    </cfRule>
  </conditionalFormatting>
  <conditionalFormatting sqref="B16:F16">
    <cfRule type="cellIs" dxfId="474" priority="36" operator="greaterThan">
      <formula>$I$16</formula>
    </cfRule>
    <cfRule type="cellIs" dxfId="473" priority="37" operator="lessThanOrEqual">
      <formula>$I$16</formula>
    </cfRule>
  </conditionalFormatting>
  <conditionalFormatting sqref="B15:F15">
    <cfRule type="cellIs" dxfId="472" priority="34" operator="lessThanOrEqual">
      <formula>$I$16</formula>
    </cfRule>
    <cfRule type="cellIs" dxfId="471" priority="35" operator="greaterThan">
      <formula>$I$16</formula>
    </cfRule>
  </conditionalFormatting>
  <conditionalFormatting sqref="B14:F14">
    <cfRule type="cellIs" dxfId="470" priority="32" operator="greaterThan">
      <formula>$I$16</formula>
    </cfRule>
    <cfRule type="cellIs" dxfId="469" priority="33" operator="lessThanOrEqual">
      <formula>$I$16</formula>
    </cfRule>
  </conditionalFormatting>
  <conditionalFormatting sqref="K6">
    <cfRule type="containsText" dxfId="468" priority="27" operator="containsText" text="衰退">
      <formula>NOT(ISERROR(SEARCH("衰退",K6)))</formula>
    </cfRule>
    <cfRule type="containsText" dxfId="467" priority="28" operator="containsText" text="成長">
      <formula>NOT(ISERROR(SEARCH("成長",K6)))</formula>
    </cfRule>
  </conditionalFormatting>
  <conditionalFormatting sqref="I4:K4">
    <cfRule type="cellIs" dxfId="466" priority="25" operator="lessThan">
      <formula>0</formula>
    </cfRule>
    <cfRule type="cellIs" dxfId="46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464" priority="22" operator="lessThanOrEqual">
      <formula>$I$16</formula>
    </cfRule>
    <cfRule type="cellIs" dxfId="463" priority="23" operator="greaterThan">
      <formula>$I$16</formula>
    </cfRule>
  </conditionalFormatting>
  <conditionalFormatting sqref="I6">
    <cfRule type="containsText" dxfId="462" priority="20" operator="containsText" text="衰退">
      <formula>NOT(ISERROR(SEARCH("衰退",I6)))</formula>
    </cfRule>
    <cfRule type="containsText" dxfId="461" priority="21" operator="containsText" text="成長">
      <formula>NOT(ISERROR(SEARCH("成長",I6)))</formula>
    </cfRule>
  </conditionalFormatting>
  <conditionalFormatting sqref="M9">
    <cfRule type="cellIs" dxfId="460" priority="19" operator="lessThan">
      <formula>$I$9</formula>
    </cfRule>
  </conditionalFormatting>
  <conditionalFormatting sqref="M10">
    <cfRule type="cellIs" dxfId="459" priority="18" operator="greaterThan">
      <formula>$I$9</formula>
    </cfRule>
  </conditionalFormatting>
  <conditionalFormatting sqref="M11">
    <cfRule type="cellIs" dxfId="45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457" priority="14" operator="lessThan">
      <formula>0</formula>
    </cfRule>
    <cfRule type="cellIs" dxfId="456" priority="15" operator="greaterThan">
      <formula>0.5</formula>
    </cfRule>
  </conditionalFormatting>
  <conditionalFormatting sqref="N14">
    <cfRule type="cellIs" dxfId="45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54" priority="10" operator="lessThan">
      <formula>0.1</formula>
    </cfRule>
  </conditionalFormatting>
  <conditionalFormatting sqref="I14">
    <cfRule type="cellIs" dxfId="45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45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451" priority="1" operator="lessThan">
      <formula>$N$5*0.9</formula>
    </cfRule>
    <cfRule type="cellIs" dxfId="450" priority="2" operator="greaterThan">
      <formula>$N$5*1.1</formula>
    </cfRule>
  </conditionalFormatting>
  <hyperlinks>
    <hyperlink ref="L1" location="儀表板!A1" display="(回首頁)" xr:uid="{00000000-0004-0000-6100-000000000000}"/>
  </hyperlink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9.24 ~ 22.83</v>
      </c>
      <c r="L1" s="83" t="s">
        <v>176</v>
      </c>
      <c r="M1" s="84" t="str">
        <f ca="1">VLOOKUP(_xlfn.NUMBERVALUE(N1),儀表板!A:B,2,FALSE)</f>
        <v>新保</v>
      </c>
      <c r="N1" s="85" t="str">
        <f ca="1">MID(CELL("filename",L1),FIND("]",CELL("filename",L1))+1,255)</f>
        <v>9925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0.16438869943609286</v>
      </c>
    </row>
    <row r="3" spans="1:15" s="93" customFormat="1" x14ac:dyDescent="0.25">
      <c r="A3" s="81" t="s">
        <v>179</v>
      </c>
      <c r="B3" s="94">
        <f>SUM(F19:F22,F24:F27,J19)</f>
        <v>88.711476404446472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35.276599867408535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35.996015320876261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37.434846227811704</v>
      </c>
      <c r="L3" s="100"/>
      <c r="M3" s="79" t="s">
        <v>385</v>
      </c>
      <c r="N3" s="92">
        <f>(F69-E69)/E69</f>
        <v>3.0795881576121748E-2</v>
      </c>
    </row>
    <row r="4" spans="1:15" s="93" customFormat="1" x14ac:dyDescent="0.25">
      <c r="A4" s="81" t="s">
        <v>182</v>
      </c>
      <c r="B4" s="96">
        <f>SUM(G36:G40)*2</f>
        <v>84</v>
      </c>
      <c r="C4" s="101"/>
      <c r="D4" s="102">
        <f>F4*(1+F141/10)</f>
        <v>38.4</v>
      </c>
      <c r="E4" s="82">
        <f>(D4-F4)/F4</f>
        <v>0</v>
      </c>
      <c r="F4" s="103">
        <v>38.4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2.6285294980191107</v>
      </c>
    </row>
    <row r="5" spans="1:15" s="93" customFormat="1" x14ac:dyDescent="0.25">
      <c r="A5" s="81" t="s">
        <v>184</v>
      </c>
      <c r="B5" s="107">
        <f>SUM(F30:F34)*2</f>
        <v>93.958409020698184</v>
      </c>
      <c r="C5" s="87"/>
      <c r="D5" s="87"/>
      <c r="E5" s="87"/>
      <c r="F5" s="86"/>
      <c r="G5" s="88"/>
      <c r="M5" s="79" t="s">
        <v>386</v>
      </c>
      <c r="N5" s="152">
        <f>D62</f>
        <v>2.42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連2月衰退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單季衰退</v>
      </c>
      <c r="L6" s="112"/>
      <c r="M6" s="79" t="s">
        <v>190</v>
      </c>
      <c r="N6" s="152">
        <f>A53</f>
        <v>2.6455204425202314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16.579999999999998</v>
      </c>
      <c r="N9" s="129"/>
    </row>
    <row r="10" spans="1:15" s="93" customFormat="1" x14ac:dyDescent="0.25">
      <c r="A10" s="123" t="s">
        <v>194</v>
      </c>
      <c r="B10" s="126">
        <f>PERCENTILE(176:176,B9)</f>
        <v>13.37</v>
      </c>
      <c r="C10" s="126">
        <f>PERCENTILE(176:176,C9)</f>
        <v>13.975</v>
      </c>
      <c r="D10" s="126">
        <f>PERCENTILE(176:176,D9)</f>
        <v>14.26</v>
      </c>
      <c r="E10" s="126">
        <f>PERCENTILE(176:176,E9)</f>
        <v>14.83</v>
      </c>
      <c r="F10" s="126">
        <f>PERCENTILE(176:176,F9)</f>
        <v>15.42</v>
      </c>
      <c r="G10" s="95"/>
      <c r="H10" s="135"/>
      <c r="I10" s="135"/>
      <c r="J10" s="135"/>
      <c r="K10" s="135"/>
      <c r="L10" s="136" t="s">
        <v>374</v>
      </c>
      <c r="M10" s="130">
        <f>MIN(176:176)</f>
        <v>11.13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25.22</v>
      </c>
      <c r="L11" s="272" t="s">
        <v>193</v>
      </c>
      <c r="M11" s="128">
        <f>STDEV(176:176)</f>
        <v>1.304599308652592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26.960784313725494</v>
      </c>
      <c r="C13" s="141">
        <f>$B$34/5.88%</f>
        <v>32.738095238095241</v>
      </c>
      <c r="D13" s="141">
        <f>$B$34/5%</f>
        <v>38.5</v>
      </c>
      <c r="E13" s="141">
        <f>$B$34/4.35%</f>
        <v>44.252873563218394</v>
      </c>
      <c r="F13" s="141">
        <f>$B$34/3.85%</f>
        <v>50</v>
      </c>
      <c r="G13" s="138" t="str">
        <f>"$"&amp;ROUND(B34,2)&amp;"/"&amp;IF(STDEV(C140:F140)/AVERAGE(C140:F140)&lt;15%,"高",IF(STDEV(C140:F140)/AVERAGE(C140:F140)&lt;30%,"中","低"))</f>
        <v>$1.93/高</v>
      </c>
      <c r="H13" s="142" t="s">
        <v>199</v>
      </c>
      <c r="I13" s="143">
        <f>MAX(0,1-J15)</f>
        <v>0.21568627450980404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36.065575000000003</v>
      </c>
      <c r="C14" s="141">
        <f>$B$33*C10</f>
        <v>37.697562500000004</v>
      </c>
      <c r="D14" s="141">
        <f>$B$33*D10</f>
        <v>38.466350000000006</v>
      </c>
      <c r="E14" s="141">
        <f>$B$33*E10</f>
        <v>40.003925000000002</v>
      </c>
      <c r="F14" s="141">
        <f>$B$33*F10</f>
        <v>41.595450000000007</v>
      </c>
      <c r="G14" s="138" t="str">
        <f>"$"&amp;ROUND(B33,2)&amp;"/"&amp;IF(STDEV(B69:E69)/AVERAGE(B69:E69)&lt;15%,"高",IF(STDEV(B69:E69)/AVERAGE(B69:E69)&lt;30%,"中","低"))</f>
        <v>$2.7/高</v>
      </c>
      <c r="H14" s="142" t="s">
        <v>203</v>
      </c>
      <c r="I14" s="145">
        <f>G62/100*I13</f>
        <v>2.0598039215686287E-2</v>
      </c>
      <c r="J14" s="76" t="s">
        <v>204</v>
      </c>
      <c r="K14" s="146"/>
      <c r="L14" s="147">
        <f>(HLOOKUP($C$1,$105:$106,2,FALSE)-HLOOKUP($C$1,$117:$127,9,FALSE))/(HLOOKUP($C$1,$117:$128,12,FALSE)/K11)</f>
        <v>5.3672761630351449</v>
      </c>
      <c r="M14" s="148">
        <f>E135/E69</f>
        <v>0.89411764705882335</v>
      </c>
      <c r="N14" s="149">
        <f>F173/100</f>
        <v>0.96030000000000004</v>
      </c>
    </row>
    <row r="15" spans="1:15" s="93" customFormat="1" x14ac:dyDescent="0.25">
      <c r="A15" s="140" t="s">
        <v>375</v>
      </c>
      <c r="B15" s="141">
        <f>$D$62*B10</f>
        <v>32.355399999999996</v>
      </c>
      <c r="C15" s="141">
        <f>$D$62*C10</f>
        <v>33.819499999999998</v>
      </c>
      <c r="D15" s="141">
        <f>$D$62*D10</f>
        <v>34.5092</v>
      </c>
      <c r="E15" s="141">
        <f>$D$62*E10</f>
        <v>35.888599999999997</v>
      </c>
      <c r="F15" s="141">
        <f>$D$62*F10</f>
        <v>37.316400000000002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0.78431372549019596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35.14343938851551</v>
      </c>
      <c r="C16" s="141">
        <f>$F$69*C10</f>
        <v>36.733699734817073</v>
      </c>
      <c r="D16" s="141">
        <f>$F$69*D10</f>
        <v>37.482830641752521</v>
      </c>
      <c r="E16" s="141">
        <f>$F$69*E10</f>
        <v>38.981092455623411</v>
      </c>
      <c r="F16" s="141">
        <f>$F$69*F10</f>
        <v>40.531924859454691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357</v>
      </c>
      <c r="J17" s="92">
        <f ca="1">IF(I17&lt;=0,"",IF(I17&lt;=MIN($B$13:$F$16),(I17-MIN($B$13:$F$16))/MIN($B$13:$F$16),IF(I17&gt;=MAX($B$13:$F$16),I17/MAX($B$13:$F$16),PERCENTRANK($B$13:$F$16,I17))))</f>
        <v>7.14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1.8875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16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0.98051948051948046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0.29424821463038026</v>
      </c>
      <c r="J20" s="171">
        <f>HLOOKUP($C$1,$117:$127,11,FALSE)/HLOOKUP($C$1,$105:$115,11,FALSE)</f>
        <v>0.31294676340630256</v>
      </c>
      <c r="K20" s="163"/>
    </row>
    <row r="21" spans="1:14" s="93" customFormat="1" x14ac:dyDescent="0.25">
      <c r="A21" s="151" t="s">
        <v>201</v>
      </c>
      <c r="B21" s="161">
        <f>AVERAGE(C173:F173)/100</f>
        <v>1.1326499999999999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1.9211336853670771</v>
      </c>
      <c r="J21" s="78"/>
      <c r="K21" s="164" t="s">
        <v>356</v>
      </c>
      <c r="L21" s="165">
        <f>HLOOKUP($C$1,$105:$115,7,FALSE)/HLOOKUP($C$1,$105:$115,11,FALSE)</f>
        <v>0.49513037440622615</v>
      </c>
      <c r="M21" s="123" t="s">
        <v>268</v>
      </c>
      <c r="N21" s="165">
        <f>HLOOKUP($C$1,$117:$127,8,FALSE)/HLOOKUP($C$1,$117:$127,11,FALSE)</f>
        <v>0.82355293287833853</v>
      </c>
    </row>
    <row r="22" spans="1:14" s="93" customFormat="1" x14ac:dyDescent="0.25">
      <c r="A22" s="140" t="s">
        <v>222</v>
      </c>
      <c r="B22" s="161">
        <f>(-1)*SUM(C133:F133)/SUM(C132:F132)</f>
        <v>0.41015625</v>
      </c>
      <c r="C22" s="157"/>
      <c r="D22" s="166"/>
      <c r="E22" s="140"/>
      <c r="F22" s="159">
        <f>IF(B22&lt;=0,10,IF(B22&gt;=100%,0,(1-B22)*10))</f>
        <v>5.8984375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1.8366440790075502</v>
      </c>
      <c r="J22" s="78"/>
      <c r="K22" s="142" t="s">
        <v>357</v>
      </c>
      <c r="L22" s="165">
        <f>HLOOKUP($C$1,$105:$115,4,FALSE)/HLOOKUP($C$1,$105:$115,11,FALSE)</f>
        <v>3.5629798605902568E-2</v>
      </c>
      <c r="M22" s="123" t="s">
        <v>353</v>
      </c>
      <c r="N22" s="165">
        <f>HLOOKUP($C$1,$117:$127,4,FALSE)/HLOOKUP($C$1,$117:$127,11,FALSE)</f>
        <v>5.9749935012575271E-2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1.4554912876298258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2.1775356264305951E-2</v>
      </c>
      <c r="M23" s="123" t="s">
        <v>354</v>
      </c>
      <c r="N23" s="165">
        <f>IF(HLOOKUP($C$1,$117:$127,5,FALSE)="無",0,HLOOKUP($C$1,$117:$127,5,FALSE))/HLOOKUP($C$1,$117:$127,11,FALSE)</f>
        <v>0.19670969082543135</v>
      </c>
    </row>
    <row r="24" spans="1:14" s="93" customFormat="1" x14ac:dyDescent="0.25">
      <c r="A24" s="164" t="s">
        <v>228</v>
      </c>
      <c r="B24" s="127">
        <f>AVERAGE(C103:F103)</f>
        <v>0.95304361991415898</v>
      </c>
      <c r="C24" s="169">
        <f>STDEV(C103:F103)</f>
        <v>5.7912241956705537E-3</v>
      </c>
      <c r="D24" s="76" t="str">
        <f>IF(C24/B24&lt;15%,"高",IF(C24/B24&lt;30%,"中","低"))</f>
        <v>高</v>
      </c>
      <c r="E24" s="149"/>
      <c r="F24" s="160">
        <f>MIN(100%,B24)*5</f>
        <v>4.7652180995707951</v>
      </c>
      <c r="G24" s="88" t="s">
        <v>229</v>
      </c>
      <c r="H24" s="123" t="s">
        <v>16</v>
      </c>
      <c r="I24" s="170">
        <f>HLOOKUP(C1,167:170,2,FALSE)</f>
        <v>29.13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5.2172820411182312E-2</v>
      </c>
      <c r="M24" s="123" t="s">
        <v>355</v>
      </c>
      <c r="N24" s="165">
        <f>HLOOKUP($C$1,$117:$127,9,FALSE)/HLOOKUP($C$1,$117:$127,11,FALSE)</f>
        <v>0.17644706712166142</v>
      </c>
    </row>
    <row r="25" spans="1:14" s="93" customFormat="1" x14ac:dyDescent="0.25">
      <c r="A25" s="151" t="s">
        <v>366</v>
      </c>
      <c r="B25" s="255">
        <f>AVERAGE(94:94)</f>
        <v>72872.217391304352</v>
      </c>
      <c r="C25" s="254">
        <f>STDEV(94:94)/AVERAGE(94:94)</f>
        <v>0.95217919512432192</v>
      </c>
      <c r="D25" s="76" t="str">
        <f>IF(C25&lt;=1,"高",IF(C25&lt;=2,"中","低"))</f>
        <v>高</v>
      </c>
      <c r="E25" s="149"/>
      <c r="F25" s="160">
        <f>MAX(0,10-ABS(C25))</f>
        <v>9.0478208048756787</v>
      </c>
      <c r="G25" s="88" t="s">
        <v>213</v>
      </c>
      <c r="H25" s="123" t="s">
        <v>232</v>
      </c>
      <c r="I25" s="170">
        <f>IF(HLOOKUP(C1,167:170,3,FALSE)="無",0,HLOOKUP(C1,167:170,3,FALSE))</f>
        <v>26.71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30.077826086956524</v>
      </c>
      <c r="C26" s="172">
        <f>IF(COUNTIF(168:168,"&gt;0")=0,0,STDEV(168:168))</f>
        <v>2.2876445935855645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18.457391304347823</v>
      </c>
      <c r="C27" s="172">
        <f>IF(COUNTIF(169:169,"&gt;0")=0,0,STDEV(169:169))</f>
        <v>4.6320888841677208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0.360925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0.150475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11.7575</v>
      </c>
      <c r="C32" s="157" t="s">
        <v>217</v>
      </c>
      <c r="D32" s="174">
        <f>COUNTIF(159:159,"&gt;3")/COUNT(159:159)</f>
        <v>0.52173913043478259</v>
      </c>
      <c r="E32" s="140" t="s">
        <v>242</v>
      </c>
      <c r="F32" s="159">
        <f>MIN(B32/15*10,10)</f>
        <v>7.8383333333333338</v>
      </c>
      <c r="G32" s="135"/>
    </row>
    <row r="33" spans="1:14" x14ac:dyDescent="0.25">
      <c r="A33" s="155" t="s">
        <v>14</v>
      </c>
      <c r="B33" s="156">
        <f>AVERAGE(B69:E69)</f>
        <v>2.6975000000000002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1.925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9.1408711770157556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7162330.75</v>
      </c>
      <c r="C36" s="178">
        <f>STDEV(C97:F97)</f>
        <v>274847.80275075271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36.092500000000001</v>
      </c>
      <c r="C37" s="180">
        <f>STDEV(C152:F152)</f>
        <v>1.6047092156109353</v>
      </c>
      <c r="D37" s="76" t="str">
        <f>IF(C37/B37&lt;15%,"高",IF(C37/B37&lt;30%,"中","低"))</f>
        <v>高</v>
      </c>
      <c r="E37" s="107">
        <f>IF(F152&gt;E152,1,0)+IF(E152&gt;D152,1,0)+IF(D152&gt;C152,1,0)</f>
        <v>1</v>
      </c>
      <c r="F37" s="179"/>
      <c r="G37" s="160">
        <f>IF(D37="高",6,IF(D37="中",4,2))+E37+1</f>
        <v>8</v>
      </c>
    </row>
    <row r="38" spans="1:14" x14ac:dyDescent="0.25">
      <c r="A38" s="164" t="s">
        <v>249</v>
      </c>
      <c r="B38" s="180">
        <f>AVERAGE(C153:F153)</f>
        <v>14.182500000000001</v>
      </c>
      <c r="C38" s="180">
        <f>STDEV(C153:F153)</f>
        <v>0.853712480873977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11.7575</v>
      </c>
      <c r="C39" s="181">
        <f>STDEV(C165:F165)</f>
        <v>1.3043101624997022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2.6975000000000002</v>
      </c>
      <c r="C40" s="183">
        <f>STDEV(B69:E69)</f>
        <v>0.10812801055539041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</v>
      </c>
      <c r="C44" s="186">
        <f>(C46-C49)/C49</f>
        <v>3.7974683544303688E-2</v>
      </c>
      <c r="D44" s="186">
        <f>(D46-D49)/D49</f>
        <v>-0.26666666666666666</v>
      </c>
      <c r="E44" s="186">
        <f>(E46-E49)/E49</f>
        <v>-0.10204081632653059</v>
      </c>
      <c r="G44" s="86" t="s">
        <v>175</v>
      </c>
      <c r="H44" s="186">
        <f>(H47-H50)/H50</f>
        <v>6.7275747508305728E-2</v>
      </c>
      <c r="I44" s="186">
        <f>(I47-I50)/I50</f>
        <v>-6.9131832797427628E-2</v>
      </c>
      <c r="J44" s="186">
        <f>(J47-J50)/J50</f>
        <v>-0.16898317483540598</v>
      </c>
      <c r="K44" s="186">
        <f>(K47-K50)/K50</f>
        <v>9.0400000000000036E-2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0.72</v>
      </c>
      <c r="C46" s="152">
        <f>HLOOKUP(C45,$81:$82,2,FALSE)</f>
        <v>0.82</v>
      </c>
      <c r="D46" s="152">
        <f>HLOOKUP(D45,$81:$82,2,FALSE)</f>
        <v>0.44</v>
      </c>
      <c r="E46" s="152">
        <f>HLOOKUP(E45,$81:$82,2,FALSE)</f>
        <v>0.44</v>
      </c>
      <c r="G46" s="86" t="s">
        <v>164</v>
      </c>
      <c r="H46" s="145">
        <f>HLOOKUP(H45,$145:$147,2,FALSE)/100</f>
        <v>0.35369999999999996</v>
      </c>
      <c r="I46" s="145">
        <f>HLOOKUP(I45,$145:$147,2,FALSE)/100</f>
        <v>0.33179999999999998</v>
      </c>
      <c r="J46" s="145">
        <f>HLOOKUP(J45,$145:$147,2,FALSE)/100</f>
        <v>0.33500000000000002</v>
      </c>
      <c r="K46" s="145">
        <f>HLOOKUP(K45,$145:$147,2,FALSE)/100</f>
        <v>0.35310000000000002</v>
      </c>
    </row>
    <row r="47" spans="1:14" x14ac:dyDescent="0.25">
      <c r="A47" s="188" t="s">
        <v>165</v>
      </c>
      <c r="B47" s="189">
        <f>HLOOKUP(B45,$157:$159,3,FALSE)</f>
        <v>2.95</v>
      </c>
      <c r="C47" s="189">
        <f>HLOOKUP(C45,$157:$159,3,FALSE)</f>
        <v>3.16</v>
      </c>
      <c r="D47" s="189">
        <f>HLOOKUP(D45,$157:$159,3,FALSE)</f>
        <v>1.65</v>
      </c>
      <c r="E47" s="189">
        <f>HLOOKUP(E45,$157:$159,3,FALSE)</f>
        <v>1.79</v>
      </c>
      <c r="G47" s="190" t="s">
        <v>166</v>
      </c>
      <c r="H47" s="145">
        <f>HLOOKUP(H45,$145:$147,3,FALSE)/100</f>
        <v>0.1285</v>
      </c>
      <c r="I47" s="145">
        <f>HLOOKUP(I45,$145:$147,3,FALSE)/100</f>
        <v>0.1158</v>
      </c>
      <c r="J47" s="145">
        <f>HLOOKUP(J45,$145:$147,3,FALSE)/100</f>
        <v>0.11359999999999999</v>
      </c>
      <c r="K47" s="145">
        <f>HLOOKUP(K45,$145:$147,3,FALSE)/100</f>
        <v>0.1363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0.72</v>
      </c>
      <c r="C49" s="152">
        <f>HLOOKUP(C48,$81:$82,2,FALSE)</f>
        <v>0.79</v>
      </c>
      <c r="D49" s="152">
        <f>HLOOKUP(D48,$81:$82,2,FALSE)</f>
        <v>0.6</v>
      </c>
      <c r="E49" s="152">
        <f>HLOOKUP(E48,$81:$82,2,FALSE)</f>
        <v>0.49</v>
      </c>
      <c r="G49" s="86" t="s">
        <v>164</v>
      </c>
      <c r="H49" s="145">
        <f>HLOOKUP(H48,$145:$147,2,FALSE)/100</f>
        <v>0.34279999999999999</v>
      </c>
      <c r="I49" s="145">
        <f>HLOOKUP(I48,$145:$147,2,FALSE)/100</f>
        <v>0.35100000000000003</v>
      </c>
      <c r="J49" s="145">
        <f>HLOOKUP(J48,$145:$147,2,FALSE)/100</f>
        <v>0.35830000000000001</v>
      </c>
      <c r="K49" s="145">
        <f>HLOOKUP(K48,$145:$147,2,FALSE)/100</f>
        <v>0.35619999999999996</v>
      </c>
    </row>
    <row r="50" spans="1:15" x14ac:dyDescent="0.25">
      <c r="A50" s="188" t="s">
        <v>165</v>
      </c>
      <c r="B50" s="189">
        <f>HLOOKUP(B48,$157:$159,3,FALSE)</f>
        <v>3.11</v>
      </c>
      <c r="C50" s="189">
        <f>HLOOKUP(C48,$157:$159,3,FALSE)</f>
        <v>3.35</v>
      </c>
      <c r="D50" s="189">
        <f>HLOOKUP(D48,$157:$159,3,FALSE)</f>
        <v>2.4500000000000002</v>
      </c>
      <c r="E50" s="189">
        <f>HLOOKUP(E48,$157:$159,3,FALSE)</f>
        <v>2.11</v>
      </c>
      <c r="G50" s="190" t="s">
        <v>166</v>
      </c>
      <c r="H50" s="145">
        <f>HLOOKUP(H48,$145:$147,3,FALSE)/100</f>
        <v>0.12039999999999999</v>
      </c>
      <c r="I50" s="145">
        <f>HLOOKUP(I48,$145:$147,3,FALSE)/100</f>
        <v>0.1244</v>
      </c>
      <c r="J50" s="145">
        <f>HLOOKUP(J48,$145:$147,3,FALSE)/100</f>
        <v>0.13669999999999999</v>
      </c>
      <c r="K50" s="145">
        <f>HLOOKUP(K48,$145:$147,3,FALSE)/100</f>
        <v>0.125</v>
      </c>
    </row>
    <row r="51" spans="1:15" x14ac:dyDescent="0.25">
      <c r="A51" s="86" t="s">
        <v>351</v>
      </c>
      <c r="B51" s="186">
        <f>(B47-B50)/B50</f>
        <v>-5.1446945337620481E-2</v>
      </c>
      <c r="C51" s="186">
        <f>(C47-C50)/C50</f>
        <v>-5.6716417910447743E-2</v>
      </c>
      <c r="D51" s="186">
        <f>(D47-D50)/D50</f>
        <v>-0.32653061224489804</v>
      </c>
      <c r="E51" s="186">
        <f>(E47-E50)/E50</f>
        <v>-0.15165876777251178</v>
      </c>
      <c r="G51" s="235" t="s">
        <v>174</v>
      </c>
      <c r="H51" s="186">
        <f>(H46-H49)/H49</f>
        <v>3.1796966161026737E-2</v>
      </c>
      <c r="I51" s="186">
        <f>(I46-I49)/I49</f>
        <v>-5.470085470085484E-2</v>
      </c>
      <c r="J51" s="186">
        <f>(J46-J49)/J49</f>
        <v>-6.502930505163268E-2</v>
      </c>
      <c r="K51" s="186">
        <f>(K46-K49)/K49</f>
        <v>-8.702975856260349E-3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2.6455204425202314</v>
      </c>
      <c r="B53" s="193">
        <f>B46</f>
        <v>0.72</v>
      </c>
      <c r="C53" s="193">
        <f>E46/HLOOKUP(E45,$87:$94,5,FALSE)*HLOOKUP(E45,$87:$94,4,FALSE)*($B$25/HLOOKUP(E45,$87:$94,4,FALSE)+SUM($B$57:$D$57)/SUM($B58:$D$58)*$G$69/100/K46)</f>
        <v>0.64852949801911086</v>
      </c>
      <c r="D53" s="193">
        <f>D46/HLOOKUP(D45,$87:$94,5,FALSE)*HLOOKUP(D45,$87:$94,4,FALSE)*($B$25/HLOOKUP(D45,$87:$94,4,FALSE)+SUM($B$57:$D$57)/SUM($B58:$D$58)*$G$69/100/J46)</f>
        <v>0.57924031277308219</v>
      </c>
      <c r="E53" s="193">
        <f>C46/HLOOKUP(C45,$87:$94,5,FALSE)*HLOOKUP(C45,$87:$94,4,FALSE)*($B$25/HLOOKUP(C45,$87:$94,4,FALSE)+SUM($B$57:$D$57)/SUM($B58:$D$58)*$G$69/100/I46)</f>
        <v>0.69775063172803842</v>
      </c>
    </row>
    <row r="54" spans="1:15" x14ac:dyDescent="0.25">
      <c r="A54" s="278">
        <f>SUM(B54:E54)</f>
        <v>2.42</v>
      </c>
      <c r="B54" s="277">
        <f t="shared" ref="B54:D54" si="0">HLOOKUP(B52-10,81:82,2,FALSE)</f>
        <v>0.72</v>
      </c>
      <c r="C54" s="277">
        <f t="shared" si="0"/>
        <v>0.44</v>
      </c>
      <c r="D54" s="277">
        <f t="shared" si="0"/>
        <v>0.44</v>
      </c>
      <c r="E54" s="277">
        <f>HLOOKUP(E52-10,81:82,2,FALSE)</f>
        <v>0.82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592268</v>
      </c>
      <c r="C57" s="196">
        <f>HLOOKUP(C56,78:79,2,FALSE)</f>
        <v>584628</v>
      </c>
      <c r="D57" s="196">
        <f>HLOOKUP(D56,78:79,2,FALSE)</f>
        <v>590402</v>
      </c>
      <c r="E57" s="196">
        <f>HLOOKUP(E56,78:79,2,FALSE)</f>
        <v>590532</v>
      </c>
      <c r="F57" s="196">
        <f>HLOOKUP(F56,78:79,2,FALSE)</f>
        <v>610033</v>
      </c>
      <c r="G57" s="196">
        <f t="shared" ref="G57:M57" si="2">HLOOKUP(G56,78:79,2,FALSE)</f>
        <v>583527</v>
      </c>
      <c r="H57" s="196">
        <f t="shared" si="2"/>
        <v>588386</v>
      </c>
      <c r="I57" s="196">
        <f t="shared" si="2"/>
        <v>601480</v>
      </c>
      <c r="J57" s="196">
        <f t="shared" si="2"/>
        <v>578239</v>
      </c>
      <c r="K57" s="196">
        <f t="shared" si="2"/>
        <v>581640</v>
      </c>
      <c r="L57" s="196">
        <f t="shared" si="2"/>
        <v>623166</v>
      </c>
      <c r="M57" s="196">
        <f t="shared" si="2"/>
        <v>605038</v>
      </c>
      <c r="N57" s="197"/>
    </row>
    <row r="58" spans="1:15" x14ac:dyDescent="0.25">
      <c r="A58" s="198" t="s">
        <v>253</v>
      </c>
      <c r="B58" s="196">
        <f>HLOOKUP(B56-100,78:79,2,FALSE)</f>
        <v>610331</v>
      </c>
      <c r="C58" s="196">
        <f>HLOOKUP(C56-100,78:79,2,FALSE)</f>
        <v>596378</v>
      </c>
      <c r="D58" s="196">
        <f>HLOOKUP(D56-100,78:79,2,FALSE)</f>
        <v>582723</v>
      </c>
      <c r="E58" s="196">
        <f>HLOOKUP(E56-100,78:79,2,FALSE)</f>
        <v>601705</v>
      </c>
      <c r="F58" s="196">
        <f>HLOOKUP(F56-100,78:79,2,FALSE)</f>
        <v>596231</v>
      </c>
      <c r="G58" s="196">
        <f t="shared" ref="G58:M58" si="3">HLOOKUP(G56-100,78:79,2,FALSE)</f>
        <v>607994</v>
      </c>
      <c r="H58" s="196">
        <f t="shared" si="3"/>
        <v>596444</v>
      </c>
      <c r="I58" s="196">
        <f t="shared" si="3"/>
        <v>599977</v>
      </c>
      <c r="J58" s="196">
        <f t="shared" si="3"/>
        <v>581177</v>
      </c>
      <c r="K58" s="196">
        <f t="shared" si="3"/>
        <v>600204</v>
      </c>
      <c r="L58" s="196">
        <f t="shared" si="3"/>
        <v>606101</v>
      </c>
      <c r="M58" s="196">
        <f t="shared" si="3"/>
        <v>589930</v>
      </c>
      <c r="N58" s="197"/>
    </row>
    <row r="59" spans="1:15" x14ac:dyDescent="0.25">
      <c r="A59" s="199" t="s">
        <v>254</v>
      </c>
      <c r="B59" s="165">
        <f>IF(B57&lt;&gt;"",(B57-B58)/B58,"")</f>
        <v>-2.9595416257735558E-2</v>
      </c>
      <c r="C59" s="165">
        <f>IF(C57&lt;&gt;"",(C57-C58)/C58,"")</f>
        <v>-1.9702269366073194E-2</v>
      </c>
      <c r="D59" s="165">
        <f>IF(D57&lt;&gt;"",(D57-D58)/D58,"")</f>
        <v>1.3177787731048886E-2</v>
      </c>
      <c r="E59" s="165">
        <f>IF(E57&lt;&gt;"",(E57-E58)/E58,"")</f>
        <v>-1.8568900042379571E-2</v>
      </c>
      <c r="F59" s="165">
        <f>IF(F57&lt;&gt;"",(F57-F58)/F58,"")</f>
        <v>2.3148746039706087E-2</v>
      </c>
      <c r="G59" s="165">
        <f t="shared" ref="G59:M59" si="4">IF(G57&lt;&gt;"",(G57-G58)/G58,"")</f>
        <v>-4.0242173442501077E-2</v>
      </c>
      <c r="H59" s="165">
        <f t="shared" si="4"/>
        <v>-1.3510069679634635E-2</v>
      </c>
      <c r="I59" s="165">
        <f t="shared" si="4"/>
        <v>2.5050960286810997E-3</v>
      </c>
      <c r="J59" s="165">
        <f t="shared" si="4"/>
        <v>-5.0552585529021277E-3</v>
      </c>
      <c r="K59" s="165">
        <f t="shared" si="4"/>
        <v>-3.0929483975448348E-2</v>
      </c>
      <c r="L59" s="165">
        <f t="shared" si="4"/>
        <v>2.8155373444359932E-2</v>
      </c>
      <c r="M59" s="165">
        <f t="shared" si="4"/>
        <v>2.5609818114013527E-2</v>
      </c>
    </row>
    <row r="60" spans="1:15" x14ac:dyDescent="0.25">
      <c r="A60" s="195" t="s">
        <v>255</v>
      </c>
      <c r="B60" s="196">
        <f>SUM(B57:M57)</f>
        <v>7129339</v>
      </c>
    </row>
    <row r="61" spans="1:15" x14ac:dyDescent="0.25">
      <c r="A61" s="198" t="s">
        <v>256</v>
      </c>
      <c r="B61" s="196">
        <f>SUM(B58:M58)</f>
        <v>7169195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0.99444065895822331</v>
      </c>
      <c r="D62" s="152">
        <f>SUM(B46:E46)</f>
        <v>2.42</v>
      </c>
      <c r="E62" s="152">
        <f>SUM(B49:E49)</f>
        <v>2.5999999999999996</v>
      </c>
      <c r="G62" s="126">
        <f>SUM(B47:E47)</f>
        <v>9.5500000000000007</v>
      </c>
      <c r="H62" s="126">
        <f>SUM(B50:E50)</f>
        <v>11.02</v>
      </c>
      <c r="J62" s="200">
        <f>AVERAGE(H46:K46)</f>
        <v>0.34339999999999998</v>
      </c>
      <c r="K62" s="200">
        <f>AVERAGE(H49:K49)</f>
        <v>0.35207500000000003</v>
      </c>
      <c r="M62" s="200">
        <f>AVERAGE(H47:K47)</f>
        <v>0.12354999999999999</v>
      </c>
      <c r="N62" s="200">
        <f>AVERAGE(H50:K50)</f>
        <v>0.12662499999999999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0.54</v>
      </c>
      <c r="C65" s="205">
        <f t="shared" si="5"/>
        <v>0.71</v>
      </c>
      <c r="D65" s="205">
        <f t="shared" si="5"/>
        <v>0.6</v>
      </c>
      <c r="E65" s="205">
        <f t="shared" si="5"/>
        <v>0.6</v>
      </c>
      <c r="F65" s="206">
        <f>IF(ISNA(HLOOKUP(F$64*10+$A65,$81:$82,2,FALSE)),(HLOOKUP(E$64*10+$A65,$87:$94,4,FALSE)*$G65+$B$25)/HLOOKUP(E$64*10+$A65,$87:$94,5,FALSE)*$E65,HLOOKUP(F$64*10+$A65,$81:$82,2,FALSE))</f>
        <v>0.44</v>
      </c>
      <c r="G65" s="101">
        <f>MIN(130%,SUM($B$57:$D$57)/SUM($B$58:$D$58)*$G$69/HLOOKUP(E$64*10+$A65,$145:$146,2,FALSE))</f>
        <v>0.96230294758202906</v>
      </c>
      <c r="H65" s="204">
        <v>1</v>
      </c>
      <c r="I65" s="208">
        <f t="shared" ref="I65:M68" si="6">IF(ISNA(HLOOKUP(I$64*10+$H65,$145:$147,3,FALSE)),"",HLOOKUP(I$64*10+$H65,$145:$147,3,FALSE)/100)</f>
        <v>0.1507</v>
      </c>
      <c r="J65" s="208">
        <f t="shared" si="6"/>
        <v>0.16399999999999998</v>
      </c>
      <c r="K65" s="208">
        <f t="shared" si="6"/>
        <v>0.16210000000000002</v>
      </c>
      <c r="L65" s="208">
        <f t="shared" si="6"/>
        <v>0.13669999999999999</v>
      </c>
      <c r="M65" s="209">
        <f t="shared" si="6"/>
        <v>0.11359999999999999</v>
      </c>
      <c r="N65" s="256">
        <f t="shared" ref="N65:O68" si="7">HLOOKUP(E$64*10+$A65,$87:$94,8,FALSE)</f>
        <v>32838</v>
      </c>
      <c r="O65" s="256">
        <f t="shared" si="7"/>
        <v>11443</v>
      </c>
      <c r="P65" s="210"/>
    </row>
    <row r="66" spans="1:71" x14ac:dyDescent="0.25">
      <c r="A66" s="204">
        <v>2</v>
      </c>
      <c r="B66" s="205">
        <f t="shared" si="5"/>
        <v>0.89</v>
      </c>
      <c r="C66" s="205">
        <f t="shared" si="5"/>
        <v>0.62</v>
      </c>
      <c r="D66" s="205">
        <f t="shared" si="5"/>
        <v>0.85</v>
      </c>
      <c r="E66" s="205">
        <f t="shared" si="5"/>
        <v>0.79</v>
      </c>
      <c r="F66" s="206">
        <f>IF(ISNA(HLOOKUP(F$64*10+$A66,$81:$82,2,FALSE)),(HLOOKUP(E$64*10+$A66,$87:$94,4,FALSE)*$G66+$B$25)/HLOOKUP(E$64*10+$A66,$87:$94,5,FALSE)*$E66,HLOOKUP(F$64*10+$A66,$81:$82,2,FALSE))</f>
        <v>0.82</v>
      </c>
      <c r="G66" s="101">
        <f>MIN(130%,SUM($B$57:$D$57)/SUM($B$58:$D$58)*$G$69/HLOOKUP(E$64*10+$A66,$145:$146,2,FALSE))</f>
        <v>0.98231665560866366</v>
      </c>
      <c r="H66" s="204">
        <v>2</v>
      </c>
      <c r="I66" s="208">
        <f t="shared" si="6"/>
        <v>0.14810000000000001</v>
      </c>
      <c r="J66" s="208">
        <f t="shared" si="6"/>
        <v>0.1623</v>
      </c>
      <c r="K66" s="208">
        <f t="shared" si="6"/>
        <v>0.14130000000000001</v>
      </c>
      <c r="L66" s="208">
        <f t="shared" si="6"/>
        <v>0.1244</v>
      </c>
      <c r="M66" s="209">
        <f t="shared" si="6"/>
        <v>0.1158</v>
      </c>
      <c r="N66" s="256">
        <f t="shared" si="7"/>
        <v>168000</v>
      </c>
      <c r="O66" s="256">
        <f t="shared" si="7"/>
        <v>131660</v>
      </c>
      <c r="P66" s="210"/>
    </row>
    <row r="67" spans="1:71" x14ac:dyDescent="0.25">
      <c r="A67" s="204">
        <v>3</v>
      </c>
      <c r="B67" s="205">
        <f t="shared" si="5"/>
        <v>0.76</v>
      </c>
      <c r="C67" s="205">
        <f t="shared" si="5"/>
        <v>0.99</v>
      </c>
      <c r="D67" s="205">
        <f t="shared" si="5"/>
        <v>0.87</v>
      </c>
      <c r="E67" s="205">
        <f t="shared" si="5"/>
        <v>0.72</v>
      </c>
      <c r="F67" s="206">
        <f>IF(ISNA(HLOOKUP(F$64*10+$A67,$81:$82,2,FALSE)),(HLOOKUP(E$64*10+$A67,$87:$94,4,FALSE)*$G67+$B$25)/HLOOKUP(E$64*10+$A67,$87:$94,5,FALSE)*$E67,HLOOKUP(F$64*10+$A67,$81:$82,2,FALSE))</f>
        <v>0.72</v>
      </c>
      <c r="G67" s="101">
        <f>MIN(130%,SUM($B$57:$D$57)/SUM($B$58:$D$58)*$G$69/HLOOKUP(E$64*10+$A67,$145:$146,2,FALSE))</f>
        <v>1.0058143118980192</v>
      </c>
      <c r="H67" s="204">
        <v>3</v>
      </c>
      <c r="I67" s="208">
        <f t="shared" si="6"/>
        <v>0.1421</v>
      </c>
      <c r="J67" s="208">
        <f t="shared" si="6"/>
        <v>0.14800000000000002</v>
      </c>
      <c r="K67" s="208">
        <f t="shared" si="6"/>
        <v>0.1537</v>
      </c>
      <c r="L67" s="208">
        <f t="shared" si="6"/>
        <v>0.12039999999999999</v>
      </c>
      <c r="M67" s="209">
        <f t="shared" si="6"/>
        <v>0.1285</v>
      </c>
      <c r="N67" s="256">
        <f t="shared" si="7"/>
        <v>112677</v>
      </c>
      <c r="O67" s="256">
        <f t="shared" si="7"/>
        <v>117931</v>
      </c>
      <c r="P67" s="210"/>
    </row>
    <row r="68" spans="1:71" x14ac:dyDescent="0.25">
      <c r="A68" s="204">
        <v>4</v>
      </c>
      <c r="B68" s="205">
        <f>HLOOKUP(B$64*10+$A68,$81:$82,2,FALSE)</f>
        <v>0.52</v>
      </c>
      <c r="C68" s="205">
        <f>HLOOKUP(C$64*10+$A68,$81:$82,2,FALSE)</f>
        <v>0.4</v>
      </c>
      <c r="D68" s="205">
        <f>HLOOKUP(D$64*10+$A68,$81:$82,2,FALSE)</f>
        <v>0.49</v>
      </c>
      <c r="E68" s="206">
        <f>IF(ISNA(HLOOKUP(E$64*10+$A68,$81:$82,2,FALSE)),D68*(1-$N68)*#REF!*(1+$B$25)/(1+$E$4),HLOOKUP(E$64*10+$A68,$81:$82,2,FALSE))</f>
        <v>0.44</v>
      </c>
      <c r="F68" s="206">
        <f>IF(ISNA(HLOOKUP(F$64*10+$A68,$81:$82,2,FALSE)),(HLOOKUP(E$64*10+$A68,$87:$94,4,FALSE)*$G68+$B$25)/HLOOKUP(E$64*10+$A68,$87:$94,5,FALSE)*$E68,HLOOKUP(F$64*10+$A68,$81:$82,2,FALSE))</f>
        <v>0.64852949801911075</v>
      </c>
      <c r="G68" s="101">
        <f>MIN(130%,SUM($B$57:$D$57)/SUM($B$58:$D$58)*$G$69/HLOOKUP(E$64*10+$A68,$145:$146,2,FALSE))</f>
        <v>0.97647450047760109</v>
      </c>
      <c r="H68" s="204">
        <v>4</v>
      </c>
      <c r="I68" s="208">
        <f t="shared" si="6"/>
        <v>0.1333</v>
      </c>
      <c r="J68" s="208">
        <f t="shared" si="6"/>
        <v>0.12119999999999999</v>
      </c>
      <c r="K68" s="208">
        <f t="shared" si="6"/>
        <v>0.125</v>
      </c>
      <c r="L68" s="208">
        <f t="shared" si="6"/>
        <v>0.1363</v>
      </c>
      <c r="M68" s="209" t="str">
        <f t="shared" si="6"/>
        <v/>
      </c>
      <c r="N68" s="256">
        <f t="shared" si="7"/>
        <v>-34689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2.7100000000000004</v>
      </c>
      <c r="C69" s="213">
        <f>SUM(C65:C68)</f>
        <v>2.72</v>
      </c>
      <c r="D69" s="213">
        <f>SUM(D65:D68)</f>
        <v>2.8099999999999996</v>
      </c>
      <c r="E69" s="213">
        <f>SUM(E65:E68)</f>
        <v>2.5500000000000003</v>
      </c>
      <c r="F69" s="213">
        <f>SUM(F65:F68)</f>
        <v>2.6285294980191107</v>
      </c>
      <c r="G69" s="257">
        <f>_xlfn.FORECAST.ETS(23,B146:W146,{1,2,3,4,5,6,7,8,9,10,11,12,13,14,15,16,17,18,19,20,21,22})</f>
        <v>34.911140568561272</v>
      </c>
      <c r="H69" s="214" t="s">
        <v>19</v>
      </c>
      <c r="I69" s="215">
        <f>HLOOKUP(I64,151:155,3,FALSE)/100</f>
        <v>0.1434</v>
      </c>
      <c r="J69" s="215">
        <f>HLOOKUP(J64,151:155,3,FALSE)/100</f>
        <v>0.14899999999999999</v>
      </c>
      <c r="K69" s="215">
        <f>HLOOKUP(K64,151:155,3,FALSE)/100</f>
        <v>0.1454</v>
      </c>
      <c r="L69" s="215">
        <f>IF(ISNA(HLOOKUP(L64,151:155,3,FALSE)/100),AVERAGE(L65:L68),HLOOKUP(L64,151:155,3,FALSE)/100)</f>
        <v>0.1295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2.74</v>
      </c>
      <c r="C72" s="205">
        <f t="shared" si="8"/>
        <v>3.06</v>
      </c>
      <c r="D72" s="205">
        <f t="shared" si="8"/>
        <v>2.4900000000000002</v>
      </c>
      <c r="E72" s="205">
        <f t="shared" si="8"/>
        <v>2.4500000000000002</v>
      </c>
      <c r="F72" s="205">
        <f t="shared" si="8"/>
        <v>1.65</v>
      </c>
    </row>
    <row r="73" spans="1:71" s="135" customFormat="1" x14ac:dyDescent="0.25">
      <c r="A73" s="204">
        <v>2</v>
      </c>
      <c r="B73" s="205">
        <f t="shared" si="8"/>
        <v>4.1900000000000004</v>
      </c>
      <c r="C73" s="205">
        <f t="shared" si="8"/>
        <v>2.76</v>
      </c>
      <c r="D73" s="205">
        <f t="shared" si="8"/>
        <v>3.5</v>
      </c>
      <c r="E73" s="205">
        <f t="shared" si="8"/>
        <v>3.35</v>
      </c>
      <c r="F73" s="205">
        <f t="shared" si="8"/>
        <v>3.16</v>
      </c>
    </row>
    <row r="74" spans="1:71" s="135" customFormat="1" x14ac:dyDescent="0.25">
      <c r="A74" s="204">
        <v>3</v>
      </c>
      <c r="B74" s="205">
        <f t="shared" si="8"/>
        <v>3.4</v>
      </c>
      <c r="C74" s="205">
        <f t="shared" si="8"/>
        <v>4.37</v>
      </c>
      <c r="D74" s="205">
        <f t="shared" si="8"/>
        <v>3.74</v>
      </c>
      <c r="E74" s="205">
        <f t="shared" si="8"/>
        <v>3.11</v>
      </c>
      <c r="F74" s="205">
        <f t="shared" si="8"/>
        <v>2.95</v>
      </c>
    </row>
    <row r="75" spans="1:71" s="135" customFormat="1" x14ac:dyDescent="0.25">
      <c r="A75" s="204">
        <v>4</v>
      </c>
      <c r="B75" s="205">
        <f t="shared" si="8"/>
        <v>2.3199999999999998</v>
      </c>
      <c r="C75" s="205">
        <f t="shared" si="8"/>
        <v>1.67</v>
      </c>
      <c r="D75" s="205">
        <f t="shared" si="8"/>
        <v>2.11</v>
      </c>
      <c r="E75" s="205">
        <f t="shared" si="8"/>
        <v>1.79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12.65</v>
      </c>
      <c r="C76" s="213">
        <f>SUM(C72:C75)</f>
        <v>11.860000000000001</v>
      </c>
      <c r="D76" s="213">
        <f>SUM(D72:D75)</f>
        <v>11.84</v>
      </c>
      <c r="E76" s="213">
        <f>AVERAGE(E72:E75)*4</f>
        <v>10.7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326223</v>
      </c>
      <c r="C79" s="270">
        <v>320893</v>
      </c>
      <c r="D79" s="270">
        <v>326157</v>
      </c>
      <c r="E79" s="270">
        <v>318701</v>
      </c>
      <c r="F79" s="270">
        <v>317366</v>
      </c>
      <c r="G79" s="270">
        <v>328991</v>
      </c>
      <c r="H79" s="270">
        <v>324118</v>
      </c>
      <c r="I79" s="270">
        <v>321566</v>
      </c>
      <c r="J79" s="270">
        <v>334973</v>
      </c>
      <c r="K79" s="270">
        <v>320653</v>
      </c>
      <c r="L79" s="270">
        <v>318593</v>
      </c>
      <c r="M79" s="270">
        <v>315347</v>
      </c>
      <c r="N79" s="270">
        <v>588330</v>
      </c>
      <c r="O79" s="270">
        <v>586142</v>
      </c>
      <c r="P79" s="270">
        <v>599010</v>
      </c>
      <c r="Q79" s="270">
        <v>631044</v>
      </c>
      <c r="R79" s="270">
        <v>615045</v>
      </c>
      <c r="S79" s="270">
        <v>738425</v>
      </c>
      <c r="T79" s="270">
        <v>565776</v>
      </c>
      <c r="U79" s="270">
        <v>623251</v>
      </c>
      <c r="V79" s="270">
        <v>632100</v>
      </c>
      <c r="W79" s="270">
        <v>793422</v>
      </c>
      <c r="X79" s="270">
        <v>557507</v>
      </c>
      <c r="Y79" s="270">
        <v>590362</v>
      </c>
      <c r="Z79" s="270">
        <v>571878</v>
      </c>
      <c r="AA79" s="270">
        <v>569166</v>
      </c>
      <c r="AB79" s="270">
        <v>575121</v>
      </c>
      <c r="AC79" s="270">
        <v>576635</v>
      </c>
      <c r="AD79" s="270">
        <v>579750</v>
      </c>
      <c r="AE79" s="270">
        <v>567899</v>
      </c>
      <c r="AF79" s="270">
        <v>581930</v>
      </c>
      <c r="AG79" s="270">
        <v>565526</v>
      </c>
      <c r="AH79" s="270">
        <v>580621</v>
      </c>
      <c r="AI79" s="270">
        <v>572133</v>
      </c>
      <c r="AJ79" s="270">
        <v>558065</v>
      </c>
      <c r="AK79" s="270">
        <v>551034</v>
      </c>
      <c r="AL79" s="270">
        <v>563489</v>
      </c>
      <c r="AM79" s="270">
        <v>553163</v>
      </c>
      <c r="AN79" s="270">
        <v>595057</v>
      </c>
      <c r="AO79" s="270">
        <v>591359</v>
      </c>
      <c r="AP79" s="270">
        <v>583354</v>
      </c>
      <c r="AQ79" s="270">
        <v>583203</v>
      </c>
      <c r="AR79" s="270">
        <v>608946</v>
      </c>
      <c r="AS79" s="270">
        <v>593319</v>
      </c>
      <c r="AT79" s="270">
        <v>577442</v>
      </c>
      <c r="AU79" s="270">
        <v>590069</v>
      </c>
      <c r="AV79" s="270">
        <v>589930</v>
      </c>
      <c r="AW79" s="270">
        <v>606101</v>
      </c>
      <c r="AX79" s="270">
        <v>600204</v>
      </c>
      <c r="AY79" s="270">
        <v>581177</v>
      </c>
      <c r="AZ79" s="270">
        <v>599977</v>
      </c>
      <c r="BA79" s="270">
        <v>596444</v>
      </c>
      <c r="BB79" s="270">
        <v>607994</v>
      </c>
      <c r="BC79" s="270">
        <v>596231</v>
      </c>
      <c r="BD79" s="270">
        <v>601705</v>
      </c>
      <c r="BE79" s="270">
        <v>582723</v>
      </c>
      <c r="BF79" s="270">
        <v>596378</v>
      </c>
      <c r="BG79" s="270">
        <v>610331</v>
      </c>
      <c r="BH79" s="270">
        <v>605038</v>
      </c>
      <c r="BI79" s="270">
        <v>623166</v>
      </c>
      <c r="BJ79" s="270">
        <v>581640</v>
      </c>
      <c r="BK79" s="270">
        <v>578239</v>
      </c>
      <c r="BL79" s="270">
        <v>601480</v>
      </c>
      <c r="BM79" s="270">
        <v>588386</v>
      </c>
      <c r="BN79" s="270">
        <v>583527</v>
      </c>
      <c r="BO79" s="270">
        <v>610033</v>
      </c>
      <c r="BP79" s="270">
        <v>590532</v>
      </c>
      <c r="BQ79" s="270">
        <v>590402</v>
      </c>
      <c r="BR79" s="270">
        <v>584628</v>
      </c>
      <c r="BS79" s="270">
        <v>592268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0.62</v>
      </c>
      <c r="C82" s="72">
        <v>0.79</v>
      </c>
      <c r="D82" s="72">
        <v>0.69</v>
      </c>
      <c r="E82" s="72">
        <v>0.46</v>
      </c>
      <c r="F82" s="72">
        <v>0.54</v>
      </c>
      <c r="G82" s="72">
        <v>0.89</v>
      </c>
      <c r="H82" s="72">
        <v>0.76</v>
      </c>
      <c r="I82" s="72">
        <v>0.52</v>
      </c>
      <c r="J82" s="72">
        <v>0.71</v>
      </c>
      <c r="K82" s="72">
        <v>0.62</v>
      </c>
      <c r="L82" s="72">
        <v>0.99</v>
      </c>
      <c r="M82" s="72">
        <v>0.4</v>
      </c>
      <c r="N82" s="72">
        <v>0.6</v>
      </c>
      <c r="O82" s="72">
        <v>0.85</v>
      </c>
      <c r="P82" s="72">
        <v>0.87</v>
      </c>
      <c r="Q82" s="72">
        <v>0.49</v>
      </c>
      <c r="R82" s="72">
        <v>0.6</v>
      </c>
      <c r="S82" s="72">
        <v>0.79</v>
      </c>
      <c r="T82" s="72">
        <v>0.72</v>
      </c>
      <c r="U82" s="72">
        <v>0.44</v>
      </c>
      <c r="V82" s="72">
        <v>0.44</v>
      </c>
      <c r="W82" s="72">
        <v>0.82</v>
      </c>
      <c r="X82" s="72">
        <v>0.72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17.25</v>
      </c>
      <c r="C85" s="72">
        <v>16.079999999999998</v>
      </c>
      <c r="D85" s="72">
        <v>16.82</v>
      </c>
      <c r="E85" s="72">
        <v>17.25</v>
      </c>
      <c r="F85" s="72">
        <v>21.61</v>
      </c>
      <c r="G85" s="72">
        <v>20.87</v>
      </c>
      <c r="H85" s="72">
        <v>21.83</v>
      </c>
      <c r="I85" s="72">
        <v>22.6</v>
      </c>
      <c r="J85" s="72">
        <v>22.84</v>
      </c>
      <c r="K85" s="72">
        <v>21.71</v>
      </c>
      <c r="L85" s="72">
        <v>22.42</v>
      </c>
      <c r="M85" s="72">
        <v>23.16</v>
      </c>
      <c r="N85" s="72">
        <v>23.57</v>
      </c>
      <c r="O85" s="72">
        <v>22.76</v>
      </c>
      <c r="P85" s="72">
        <v>22.87</v>
      </c>
      <c r="Q85" s="72">
        <v>23.04</v>
      </c>
      <c r="R85" s="72">
        <v>23.1</v>
      </c>
      <c r="S85" s="72">
        <v>21.97</v>
      </c>
      <c r="T85" s="72">
        <v>22.76</v>
      </c>
      <c r="U85" s="72">
        <v>24.71</v>
      </c>
      <c r="V85" s="72">
        <v>25.63</v>
      </c>
      <c r="W85" s="72">
        <v>24.16</v>
      </c>
      <c r="X85" s="72">
        <v>25.22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1734452</v>
      </c>
      <c r="C88" s="273">
        <v>1668528</v>
      </c>
      <c r="D88" s="273">
        <v>1760913</v>
      </c>
      <c r="E88" s="273">
        <v>1686919</v>
      </c>
      <c r="F88" s="273">
        <v>1778407</v>
      </c>
      <c r="G88" s="273">
        <v>1979588</v>
      </c>
      <c r="H88" s="273">
        <v>1806625</v>
      </c>
      <c r="I88" s="273">
        <v>1951814</v>
      </c>
      <c r="J88" s="273">
        <v>1723532</v>
      </c>
      <c r="K88" s="273">
        <v>1725790</v>
      </c>
      <c r="L88" s="273">
        <v>1728016</v>
      </c>
      <c r="M88" s="273">
        <v>1693495</v>
      </c>
      <c r="N88" s="273">
        <v>1707893</v>
      </c>
      <c r="O88" s="273">
        <v>1754667</v>
      </c>
      <c r="P88" s="273">
        <v>1791308</v>
      </c>
      <c r="Q88" s="273">
        <v>1792590</v>
      </c>
      <c r="R88" s="273">
        <v>1791497</v>
      </c>
      <c r="S88" s="273">
        <v>1792120</v>
      </c>
      <c r="T88" s="273">
        <v>1802471</v>
      </c>
      <c r="U88" s="273">
        <v>1829510</v>
      </c>
      <c r="V88" s="273">
        <v>1772431</v>
      </c>
      <c r="W88" s="273">
        <v>1796152</v>
      </c>
      <c r="X88" s="273">
        <v>1743860</v>
      </c>
    </row>
    <row r="89" spans="1:25" ht="14.25" thickBot="1" x14ac:dyDescent="0.3">
      <c r="A89" s="250" t="s">
        <v>4</v>
      </c>
      <c r="B89" s="275">
        <v>636049</v>
      </c>
      <c r="C89" s="275">
        <v>623642</v>
      </c>
      <c r="D89" s="275">
        <v>631661</v>
      </c>
      <c r="E89" s="275">
        <v>594841</v>
      </c>
      <c r="F89" s="275">
        <v>640811</v>
      </c>
      <c r="G89" s="275">
        <v>665739</v>
      </c>
      <c r="H89" s="275">
        <v>659095</v>
      </c>
      <c r="I89" s="275">
        <v>623783</v>
      </c>
      <c r="J89" s="275">
        <v>662922</v>
      </c>
      <c r="K89" s="275">
        <v>658782</v>
      </c>
      <c r="L89" s="275">
        <v>652644</v>
      </c>
      <c r="M89" s="275">
        <v>635741</v>
      </c>
      <c r="N89" s="275">
        <v>653989</v>
      </c>
      <c r="O89" s="275">
        <v>653184</v>
      </c>
      <c r="P89" s="275">
        <v>647331</v>
      </c>
      <c r="Q89" s="275">
        <v>638580</v>
      </c>
      <c r="R89" s="275">
        <v>641953</v>
      </c>
      <c r="S89" s="275">
        <v>629042</v>
      </c>
      <c r="T89" s="275">
        <v>617926</v>
      </c>
      <c r="U89" s="275">
        <v>645937</v>
      </c>
      <c r="V89" s="275">
        <v>593701</v>
      </c>
      <c r="W89" s="275">
        <v>595997</v>
      </c>
      <c r="X89" s="275">
        <v>616824</v>
      </c>
    </row>
    <row r="90" spans="1:25" ht="14.25" thickBot="1" x14ac:dyDescent="0.3">
      <c r="A90" s="251" t="s">
        <v>5</v>
      </c>
      <c r="B90" s="273">
        <v>276249</v>
      </c>
      <c r="C90" s="273">
        <v>264334</v>
      </c>
      <c r="D90" s="273">
        <v>274604</v>
      </c>
      <c r="E90" s="273">
        <v>231514</v>
      </c>
      <c r="F90" s="273">
        <v>267956</v>
      </c>
      <c r="G90" s="273">
        <v>293201</v>
      </c>
      <c r="H90" s="273">
        <v>256720</v>
      </c>
      <c r="I90" s="273">
        <v>260104</v>
      </c>
      <c r="J90" s="273">
        <v>282608</v>
      </c>
      <c r="K90" s="273">
        <v>280047</v>
      </c>
      <c r="L90" s="273">
        <v>255783</v>
      </c>
      <c r="M90" s="273">
        <v>205328</v>
      </c>
      <c r="N90" s="273">
        <v>276899</v>
      </c>
      <c r="O90" s="273">
        <v>247954</v>
      </c>
      <c r="P90" s="273">
        <v>275293</v>
      </c>
      <c r="Q90" s="273">
        <v>224131</v>
      </c>
      <c r="R90" s="273">
        <v>244943</v>
      </c>
      <c r="S90" s="273">
        <v>223017</v>
      </c>
      <c r="T90" s="273">
        <v>217086</v>
      </c>
      <c r="U90" s="273">
        <v>249271</v>
      </c>
      <c r="V90" s="273">
        <v>201266</v>
      </c>
      <c r="W90" s="273">
        <v>208024</v>
      </c>
      <c r="X90" s="273">
        <v>224114</v>
      </c>
    </row>
    <row r="91" spans="1:25" ht="14.25" thickBot="1" x14ac:dyDescent="0.3">
      <c r="A91" s="250" t="s">
        <v>6</v>
      </c>
      <c r="B91" s="275">
        <v>294132</v>
      </c>
      <c r="C91" s="275">
        <v>373900</v>
      </c>
      <c r="D91" s="275">
        <v>328944</v>
      </c>
      <c r="E91" s="275">
        <v>241608</v>
      </c>
      <c r="F91" s="275">
        <v>265010</v>
      </c>
      <c r="G91" s="275">
        <v>442934</v>
      </c>
      <c r="H91" s="275">
        <v>336644</v>
      </c>
      <c r="I91" s="275">
        <v>260979</v>
      </c>
      <c r="J91" s="275">
        <v>330744</v>
      </c>
      <c r="K91" s="275">
        <v>437535</v>
      </c>
      <c r="L91" s="275">
        <v>443754</v>
      </c>
      <c r="M91" s="275">
        <v>198414</v>
      </c>
      <c r="N91" s="275">
        <v>292756</v>
      </c>
      <c r="O91" s="275">
        <v>419697</v>
      </c>
      <c r="P91" s="275">
        <v>405233</v>
      </c>
      <c r="Q91" s="275">
        <v>236642</v>
      </c>
      <c r="R91" s="275">
        <v>277781</v>
      </c>
      <c r="S91" s="275">
        <v>391017</v>
      </c>
      <c r="T91" s="275">
        <v>329763</v>
      </c>
      <c r="U91" s="275">
        <v>214582</v>
      </c>
      <c r="V91" s="275">
        <v>212709</v>
      </c>
      <c r="W91" s="275">
        <v>339684</v>
      </c>
      <c r="X91" s="275">
        <v>342045</v>
      </c>
    </row>
    <row r="92" spans="1:25" ht="14.25" thickBot="1" x14ac:dyDescent="0.3">
      <c r="A92" s="251" t="s">
        <v>7</v>
      </c>
      <c r="B92" s="273">
        <v>246248</v>
      </c>
      <c r="C92" s="273">
        <v>310417</v>
      </c>
      <c r="D92" s="273">
        <v>277059</v>
      </c>
      <c r="E92" s="273">
        <v>199729</v>
      </c>
      <c r="F92" s="273">
        <v>214286</v>
      </c>
      <c r="G92" s="273">
        <v>360379</v>
      </c>
      <c r="H92" s="273">
        <v>294600</v>
      </c>
      <c r="I92" s="273">
        <v>208903</v>
      </c>
      <c r="J92" s="273">
        <v>281564</v>
      </c>
      <c r="K92" s="273">
        <v>249948</v>
      </c>
      <c r="L92" s="273">
        <v>394509</v>
      </c>
      <c r="M92" s="273">
        <v>156451</v>
      </c>
      <c r="N92" s="273">
        <v>240348</v>
      </c>
      <c r="O92" s="273">
        <v>335729</v>
      </c>
      <c r="P92" s="273">
        <v>353956</v>
      </c>
      <c r="Q92" s="273">
        <v>201014</v>
      </c>
      <c r="R92" s="273">
        <v>233865</v>
      </c>
      <c r="S92" s="273">
        <v>313288</v>
      </c>
      <c r="T92" s="273">
        <v>289335</v>
      </c>
      <c r="U92" s="273">
        <v>177228</v>
      </c>
      <c r="V92" s="273">
        <v>172771</v>
      </c>
      <c r="W92" s="273">
        <v>327568</v>
      </c>
      <c r="X92" s="273">
        <v>304503</v>
      </c>
    </row>
    <row r="93" spans="1:25" ht="26.25" thickBot="1" x14ac:dyDescent="0.3">
      <c r="A93" s="252" t="s">
        <v>8</v>
      </c>
      <c r="B93" s="276">
        <v>233426</v>
      </c>
      <c r="C93" s="276">
        <v>297713</v>
      </c>
      <c r="D93" s="276">
        <v>261500</v>
      </c>
      <c r="E93" s="276">
        <v>175557</v>
      </c>
      <c r="F93" s="276">
        <v>203748</v>
      </c>
      <c r="G93" s="276">
        <v>334346</v>
      </c>
      <c r="H93" s="276">
        <v>288540</v>
      </c>
      <c r="I93" s="276">
        <v>196541</v>
      </c>
      <c r="J93" s="276">
        <v>267960</v>
      </c>
      <c r="K93" s="276">
        <v>234377</v>
      </c>
      <c r="L93" s="276">
        <v>378301</v>
      </c>
      <c r="M93" s="276">
        <v>153151</v>
      </c>
      <c r="N93" s="276">
        <v>229041</v>
      </c>
      <c r="O93" s="276">
        <v>324986</v>
      </c>
      <c r="P93" s="276">
        <v>330387</v>
      </c>
      <c r="Q93" s="276">
        <v>187622</v>
      </c>
      <c r="R93" s="276">
        <v>227970</v>
      </c>
      <c r="S93" s="276">
        <v>303008</v>
      </c>
      <c r="T93" s="276">
        <v>276211</v>
      </c>
      <c r="U93" s="276">
        <v>166311</v>
      </c>
      <c r="V93" s="276">
        <v>167869</v>
      </c>
      <c r="W93" s="276">
        <v>314409</v>
      </c>
      <c r="X93" s="276">
        <v>276497</v>
      </c>
    </row>
    <row r="94" spans="1:25" x14ac:dyDescent="0.25">
      <c r="A94" s="233" t="s">
        <v>365</v>
      </c>
      <c r="B94" s="253">
        <f>IF(B91="","",B91-B90)</f>
        <v>17883</v>
      </c>
      <c r="C94" s="253">
        <f>IF(C91="","",C91-C90)</f>
        <v>109566</v>
      </c>
      <c r="D94" s="253">
        <f t="shared" ref="D94:Y94" si="9">IF(D91="","",D91-D90)</f>
        <v>54340</v>
      </c>
      <c r="E94" s="253">
        <f t="shared" si="9"/>
        <v>10094</v>
      </c>
      <c r="F94" s="253">
        <f t="shared" si="9"/>
        <v>-2946</v>
      </c>
      <c r="G94" s="253">
        <f t="shared" si="9"/>
        <v>149733</v>
      </c>
      <c r="H94" s="253">
        <f t="shared" si="9"/>
        <v>79924</v>
      </c>
      <c r="I94" s="253">
        <f t="shared" si="9"/>
        <v>875</v>
      </c>
      <c r="J94" s="253">
        <f t="shared" si="9"/>
        <v>48136</v>
      </c>
      <c r="K94" s="253">
        <f t="shared" si="9"/>
        <v>157488</v>
      </c>
      <c r="L94" s="253">
        <f t="shared" si="9"/>
        <v>187971</v>
      </c>
      <c r="M94" s="253">
        <f t="shared" si="9"/>
        <v>-6914</v>
      </c>
      <c r="N94" s="253">
        <f t="shared" si="9"/>
        <v>15857</v>
      </c>
      <c r="O94" s="253">
        <f t="shared" si="9"/>
        <v>171743</v>
      </c>
      <c r="P94" s="253">
        <f t="shared" si="9"/>
        <v>129940</v>
      </c>
      <c r="Q94" s="253">
        <f t="shared" si="9"/>
        <v>12511</v>
      </c>
      <c r="R94" s="253">
        <f t="shared" si="9"/>
        <v>32838</v>
      </c>
      <c r="S94" s="253">
        <f t="shared" si="9"/>
        <v>168000</v>
      </c>
      <c r="T94" s="253">
        <f t="shared" si="9"/>
        <v>112677</v>
      </c>
      <c r="U94" s="253">
        <f t="shared" si="9"/>
        <v>-34689</v>
      </c>
      <c r="V94" s="253">
        <f t="shared" si="9"/>
        <v>11443</v>
      </c>
      <c r="W94" s="253">
        <f t="shared" si="9"/>
        <v>131660</v>
      </c>
      <c r="X94" s="253">
        <f t="shared" si="9"/>
        <v>117931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6850812</v>
      </c>
      <c r="C97" s="273">
        <v>7516434</v>
      </c>
      <c r="D97" s="273">
        <v>6870833</v>
      </c>
      <c r="E97" s="273">
        <v>7046458</v>
      </c>
      <c r="F97" s="273">
        <v>7215598</v>
      </c>
    </row>
    <row r="98" spans="1:24" ht="14.25" thickBot="1" x14ac:dyDescent="0.3">
      <c r="A98" s="225" t="s">
        <v>4</v>
      </c>
      <c r="B98" s="275">
        <v>2486193</v>
      </c>
      <c r="C98" s="275">
        <v>2589428</v>
      </c>
      <c r="D98" s="275">
        <v>2610089</v>
      </c>
      <c r="E98" s="275">
        <v>2593084</v>
      </c>
      <c r="F98" s="275">
        <v>2534858</v>
      </c>
    </row>
    <row r="99" spans="1:24" ht="14.25" thickBot="1" x14ac:dyDescent="0.3">
      <c r="A99" s="224" t="s">
        <v>5</v>
      </c>
      <c r="B99" s="273">
        <v>1046701</v>
      </c>
      <c r="C99" s="273">
        <v>1077981</v>
      </c>
      <c r="D99" s="273">
        <v>1023766</v>
      </c>
      <c r="E99" s="273">
        <v>1024277</v>
      </c>
      <c r="F99" s="273">
        <v>934317</v>
      </c>
    </row>
    <row r="100" spans="1:24" ht="14.25" thickBot="1" x14ac:dyDescent="0.3">
      <c r="A100" s="225" t="s">
        <v>6</v>
      </c>
      <c r="B100" s="275">
        <v>1238584</v>
      </c>
      <c r="C100" s="275">
        <v>1305567</v>
      </c>
      <c r="D100" s="275">
        <v>1410447</v>
      </c>
      <c r="E100" s="275">
        <v>1354328</v>
      </c>
      <c r="F100" s="275">
        <v>1213143</v>
      </c>
    </row>
    <row r="101" spans="1:24" ht="14.25" thickBot="1" x14ac:dyDescent="0.3">
      <c r="A101" s="224" t="s">
        <v>7</v>
      </c>
      <c r="B101" s="273">
        <v>1033453</v>
      </c>
      <c r="C101" s="273">
        <v>1078168</v>
      </c>
      <c r="D101" s="273">
        <v>1082472</v>
      </c>
      <c r="E101" s="273">
        <v>1131047</v>
      </c>
      <c r="F101" s="273">
        <v>1013716</v>
      </c>
    </row>
    <row r="102" spans="1:24" ht="14.25" thickBot="1" x14ac:dyDescent="0.3">
      <c r="A102" s="227" t="s">
        <v>8</v>
      </c>
      <c r="B102" s="276">
        <v>968196</v>
      </c>
      <c r="C102" s="276">
        <v>1023175</v>
      </c>
      <c r="D102" s="276">
        <v>1033789</v>
      </c>
      <c r="E102" s="276">
        <v>1072036</v>
      </c>
      <c r="F102" s="276">
        <v>973500</v>
      </c>
    </row>
    <row r="103" spans="1:24" x14ac:dyDescent="0.25">
      <c r="A103" s="233" t="s">
        <v>262</v>
      </c>
      <c r="B103" s="234">
        <f>IF(OR(B102="",B102="無"),"",B102/B101)</f>
        <v>0.93685537707084887</v>
      </c>
      <c r="C103" s="234">
        <f>IF(OR(C102="",C102="無"),"",C102/C101)</f>
        <v>0.94899403432489182</v>
      </c>
      <c r="D103" s="234">
        <f>IF(OR(D102="",D102="無"),"",D102/D101)</f>
        <v>0.95502608843462</v>
      </c>
      <c r="E103" s="234">
        <f>IF(OR(E102="",E102="無"),"",E102/E101)</f>
        <v>0.94782621765496922</v>
      </c>
      <c r="F103" s="234">
        <f>IF(OR(F102="",F102="無"),"",F102/F101)</f>
        <v>0.96032813924215465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4045418</v>
      </c>
      <c r="C106" s="273">
        <v>4044733</v>
      </c>
      <c r="D106" s="273">
        <v>4017294</v>
      </c>
      <c r="E106" s="273">
        <v>4072203</v>
      </c>
      <c r="F106" s="273">
        <v>4216178</v>
      </c>
      <c r="G106" s="273">
        <v>4261885</v>
      </c>
      <c r="H106" s="273">
        <v>3975056</v>
      </c>
      <c r="I106" s="273">
        <v>4387609</v>
      </c>
      <c r="J106" s="273">
        <v>3796128</v>
      </c>
      <c r="K106" s="273">
        <v>3796009</v>
      </c>
      <c r="L106" s="273">
        <v>3587805</v>
      </c>
      <c r="M106" s="273">
        <v>4217430</v>
      </c>
      <c r="N106" s="273">
        <v>3708467</v>
      </c>
      <c r="O106" s="273">
        <v>3833372</v>
      </c>
      <c r="P106" s="273">
        <v>3913183</v>
      </c>
      <c r="Q106" s="273">
        <v>3876416</v>
      </c>
      <c r="R106" s="273">
        <v>3794267</v>
      </c>
      <c r="S106" s="273">
        <v>3769426</v>
      </c>
      <c r="T106" s="273">
        <v>3397870</v>
      </c>
      <c r="U106" s="273">
        <v>3268107</v>
      </c>
      <c r="V106" s="273">
        <v>2361645</v>
      </c>
      <c r="W106" s="273">
        <v>2541186</v>
      </c>
      <c r="X106" s="273">
        <v>3110047</v>
      </c>
    </row>
    <row r="107" spans="1:24" ht="14.25" thickBot="1" x14ac:dyDescent="0.3">
      <c r="A107" s="225" t="s">
        <v>22</v>
      </c>
      <c r="B107" s="275">
        <v>2020930</v>
      </c>
      <c r="C107" s="275">
        <v>1878374</v>
      </c>
      <c r="D107" s="275">
        <v>1807770</v>
      </c>
      <c r="E107" s="275">
        <v>1968743</v>
      </c>
      <c r="F107" s="275">
        <v>1939778</v>
      </c>
      <c r="G107" s="275">
        <v>2267794</v>
      </c>
      <c r="H107" s="275">
        <v>3071002</v>
      </c>
      <c r="I107" s="275">
        <v>3294474</v>
      </c>
      <c r="J107" s="275">
        <v>3200290</v>
      </c>
      <c r="K107" s="275">
        <v>3396010</v>
      </c>
      <c r="L107" s="275">
        <v>3353707</v>
      </c>
      <c r="M107" s="275">
        <v>3554799</v>
      </c>
      <c r="N107" s="275">
        <v>3493150</v>
      </c>
      <c r="O107" s="275">
        <v>3553060</v>
      </c>
      <c r="P107" s="275">
        <v>3208247</v>
      </c>
      <c r="Q107" s="275">
        <v>3206369</v>
      </c>
      <c r="R107" s="275">
        <v>2971900</v>
      </c>
      <c r="S107" s="275">
        <v>2991490</v>
      </c>
      <c r="T107" s="275">
        <v>2868523</v>
      </c>
      <c r="U107" s="275">
        <v>3042529</v>
      </c>
      <c r="V107" s="275">
        <v>3268481</v>
      </c>
      <c r="W107" s="275">
        <v>3153954</v>
      </c>
      <c r="X107" s="275">
        <v>3118860</v>
      </c>
    </row>
    <row r="108" spans="1:24" ht="14.25" thickBot="1" x14ac:dyDescent="0.3">
      <c r="A108" s="224" t="s">
        <v>263</v>
      </c>
      <c r="B108" s="273">
        <v>586562</v>
      </c>
      <c r="C108" s="273">
        <v>663810</v>
      </c>
      <c r="D108" s="273">
        <v>660338</v>
      </c>
      <c r="E108" s="273">
        <v>564422</v>
      </c>
      <c r="F108" s="273">
        <v>568599</v>
      </c>
      <c r="G108" s="273">
        <v>731336</v>
      </c>
      <c r="H108" s="273">
        <v>748125</v>
      </c>
      <c r="I108" s="273">
        <v>608924</v>
      </c>
      <c r="J108" s="273">
        <v>582647</v>
      </c>
      <c r="K108" s="273">
        <v>557632</v>
      </c>
      <c r="L108" s="273">
        <v>554023</v>
      </c>
      <c r="M108" s="273">
        <v>538612</v>
      </c>
      <c r="N108" s="273">
        <v>598199</v>
      </c>
      <c r="O108" s="273">
        <v>555751</v>
      </c>
      <c r="P108" s="273">
        <v>560208</v>
      </c>
      <c r="Q108" s="273">
        <v>544879</v>
      </c>
      <c r="R108" s="273">
        <v>571698</v>
      </c>
      <c r="S108" s="273">
        <v>552500</v>
      </c>
      <c r="T108" s="273">
        <v>558196</v>
      </c>
      <c r="U108" s="273">
        <v>602895</v>
      </c>
      <c r="V108" s="273">
        <v>595244</v>
      </c>
      <c r="W108" s="273">
        <v>577591</v>
      </c>
      <c r="X108" s="273">
        <v>550102</v>
      </c>
    </row>
    <row r="109" spans="1:24" ht="14.25" thickBot="1" x14ac:dyDescent="0.3">
      <c r="A109" s="225" t="s">
        <v>264</v>
      </c>
      <c r="B109" s="275">
        <v>166589</v>
      </c>
      <c r="C109" s="275">
        <v>140002</v>
      </c>
      <c r="D109" s="275">
        <v>140364</v>
      </c>
      <c r="E109" s="275">
        <v>158030</v>
      </c>
      <c r="F109" s="275">
        <v>159672</v>
      </c>
      <c r="G109" s="275">
        <v>163325</v>
      </c>
      <c r="H109" s="275">
        <v>294394</v>
      </c>
      <c r="I109" s="275">
        <v>204085</v>
      </c>
      <c r="J109" s="275">
        <v>224781</v>
      </c>
      <c r="K109" s="275">
        <v>197564</v>
      </c>
      <c r="L109" s="275">
        <v>200867</v>
      </c>
      <c r="M109" s="275">
        <v>250418</v>
      </c>
      <c r="N109" s="275">
        <v>231587</v>
      </c>
      <c r="O109" s="275">
        <v>234040</v>
      </c>
      <c r="P109" s="275">
        <v>234718</v>
      </c>
      <c r="Q109" s="275">
        <v>252530</v>
      </c>
      <c r="R109" s="275">
        <v>294507</v>
      </c>
      <c r="S109" s="275">
        <v>263527</v>
      </c>
      <c r="T109" s="275">
        <v>282788</v>
      </c>
      <c r="U109" s="275">
        <v>318472</v>
      </c>
      <c r="V109" s="275">
        <v>371116</v>
      </c>
      <c r="W109" s="275">
        <v>332789</v>
      </c>
      <c r="X109" s="275">
        <v>336198</v>
      </c>
    </row>
    <row r="110" spans="1:24" ht="14.25" thickBot="1" x14ac:dyDescent="0.3">
      <c r="A110" s="224" t="s">
        <v>23</v>
      </c>
      <c r="B110" s="273">
        <v>193281</v>
      </c>
      <c r="C110" s="273">
        <v>253831</v>
      </c>
      <c r="D110" s="273">
        <v>176255</v>
      </c>
      <c r="E110" s="273">
        <v>164585</v>
      </c>
      <c r="F110" s="273">
        <v>215991</v>
      </c>
      <c r="G110" s="273">
        <v>374937</v>
      </c>
      <c r="H110" s="273">
        <v>145731</v>
      </c>
      <c r="I110" s="273">
        <v>125543</v>
      </c>
      <c r="J110" s="273">
        <v>654503</v>
      </c>
      <c r="K110" s="273">
        <v>431956</v>
      </c>
      <c r="L110" s="273">
        <v>385903</v>
      </c>
      <c r="M110" s="273">
        <v>258382</v>
      </c>
      <c r="N110" s="273">
        <v>288768</v>
      </c>
      <c r="O110" s="273">
        <v>358043</v>
      </c>
      <c r="P110" s="273">
        <v>294648</v>
      </c>
      <c r="Q110" s="273">
        <v>273348</v>
      </c>
      <c r="R110" s="273">
        <v>283110</v>
      </c>
      <c r="S110" s="273">
        <v>525500</v>
      </c>
      <c r="T110" s="273">
        <v>382562</v>
      </c>
      <c r="U110" s="273">
        <v>251712</v>
      </c>
      <c r="V110" s="273">
        <v>456268</v>
      </c>
      <c r="W110" s="273">
        <v>517089</v>
      </c>
      <c r="X110" s="273">
        <v>529299</v>
      </c>
    </row>
    <row r="111" spans="1:24" ht="14.25" thickBot="1" x14ac:dyDescent="0.3">
      <c r="A111" s="225" t="s">
        <v>24</v>
      </c>
      <c r="B111" s="275">
        <v>7012780</v>
      </c>
      <c r="C111" s="275">
        <v>6980750</v>
      </c>
      <c r="D111" s="275">
        <v>6802021</v>
      </c>
      <c r="E111" s="275">
        <v>6927983</v>
      </c>
      <c r="F111" s="275">
        <v>7100218</v>
      </c>
      <c r="G111" s="275">
        <v>7799277</v>
      </c>
      <c r="H111" s="275">
        <v>8234308</v>
      </c>
      <c r="I111" s="275">
        <v>8620635</v>
      </c>
      <c r="J111" s="275">
        <v>8458349</v>
      </c>
      <c r="K111" s="275">
        <v>8379171</v>
      </c>
      <c r="L111" s="275">
        <v>8082305</v>
      </c>
      <c r="M111" s="275">
        <v>8819641</v>
      </c>
      <c r="N111" s="275">
        <v>8320171</v>
      </c>
      <c r="O111" s="275">
        <v>8534266</v>
      </c>
      <c r="P111" s="275">
        <v>8211004</v>
      </c>
      <c r="Q111" s="275">
        <v>8153542</v>
      </c>
      <c r="R111" s="275">
        <v>7915482</v>
      </c>
      <c r="S111" s="275">
        <v>8102443</v>
      </c>
      <c r="T111" s="275">
        <v>7489939</v>
      </c>
      <c r="U111" s="275">
        <v>7483715</v>
      </c>
      <c r="V111" s="275">
        <v>7052754</v>
      </c>
      <c r="W111" s="275">
        <v>7122609</v>
      </c>
      <c r="X111" s="275">
        <v>7644506</v>
      </c>
    </row>
    <row r="112" spans="1:24" ht="14.25" thickBot="1" x14ac:dyDescent="0.3">
      <c r="A112" s="224" t="s">
        <v>25</v>
      </c>
      <c r="B112" s="273">
        <v>1202902</v>
      </c>
      <c r="C112" s="273">
        <v>1200815</v>
      </c>
      <c r="D112" s="273">
        <v>1191571</v>
      </c>
      <c r="E112" s="273">
        <v>1172207</v>
      </c>
      <c r="F112" s="273">
        <v>2706328</v>
      </c>
      <c r="G112" s="273">
        <v>2671039</v>
      </c>
      <c r="H112" s="273">
        <v>2322110</v>
      </c>
      <c r="I112" s="273">
        <v>2288957</v>
      </c>
      <c r="J112" s="273">
        <v>2287122</v>
      </c>
      <c r="K112" s="273">
        <v>2275416</v>
      </c>
      <c r="L112" s="273">
        <v>2269046</v>
      </c>
      <c r="M112" s="273">
        <v>2486463</v>
      </c>
      <c r="N112" s="273">
        <v>2476336</v>
      </c>
      <c r="O112" s="273">
        <v>2496662</v>
      </c>
      <c r="P112" s="273">
        <v>2468480</v>
      </c>
      <c r="Q112" s="273">
        <v>2442186</v>
      </c>
      <c r="R112" s="273">
        <v>2433869</v>
      </c>
      <c r="S112" s="273">
        <v>2466659</v>
      </c>
      <c r="T112" s="273">
        <v>2465747</v>
      </c>
      <c r="U112" s="273">
        <v>2943005</v>
      </c>
      <c r="V112" s="273">
        <v>2947980</v>
      </c>
      <c r="W112" s="273">
        <v>3084210</v>
      </c>
      <c r="X112" s="273">
        <v>3059340</v>
      </c>
    </row>
    <row r="113" spans="1:24" ht="14.25" thickBot="1" x14ac:dyDescent="0.3">
      <c r="A113" s="225" t="s">
        <v>26</v>
      </c>
      <c r="B113" s="275">
        <v>2301535</v>
      </c>
      <c r="C113" s="275">
        <v>2394734</v>
      </c>
      <c r="D113" s="275">
        <v>2415548</v>
      </c>
      <c r="E113" s="275">
        <v>2438837</v>
      </c>
      <c r="F113" s="275">
        <v>3188195</v>
      </c>
      <c r="G113" s="275">
        <v>3190730</v>
      </c>
      <c r="H113" s="275">
        <v>3228259</v>
      </c>
      <c r="I113" s="275">
        <v>3270205</v>
      </c>
      <c r="J113" s="275">
        <v>3273259</v>
      </c>
      <c r="K113" s="275">
        <v>3282328</v>
      </c>
      <c r="L113" s="275">
        <v>3311835</v>
      </c>
      <c r="M113" s="275">
        <v>3369389</v>
      </c>
      <c r="N113" s="275">
        <v>3408818</v>
      </c>
      <c r="O113" s="275">
        <v>3406655</v>
      </c>
      <c r="P113" s="275">
        <v>3417758</v>
      </c>
      <c r="Q113" s="275">
        <v>3499680</v>
      </c>
      <c r="R113" s="275">
        <v>3535721</v>
      </c>
      <c r="S113" s="275">
        <v>3548087</v>
      </c>
      <c r="T113" s="275">
        <v>3591437</v>
      </c>
      <c r="U113" s="275">
        <v>3632833</v>
      </c>
      <c r="V113" s="275">
        <v>3715965</v>
      </c>
      <c r="W113" s="275">
        <v>3869129</v>
      </c>
      <c r="X113" s="275">
        <v>3930018</v>
      </c>
    </row>
    <row r="114" spans="1:24" ht="14.25" thickBot="1" x14ac:dyDescent="0.3">
      <c r="A114" s="224" t="s">
        <v>27</v>
      </c>
      <c r="B114" s="273">
        <v>1419283</v>
      </c>
      <c r="C114" s="273">
        <v>1410516</v>
      </c>
      <c r="D114" s="273">
        <v>1409961</v>
      </c>
      <c r="E114" s="273">
        <v>1414650</v>
      </c>
      <c r="F114" s="273">
        <v>786004</v>
      </c>
      <c r="G114" s="273">
        <v>754276</v>
      </c>
      <c r="H114" s="273">
        <v>766506</v>
      </c>
      <c r="I114" s="273">
        <v>800127</v>
      </c>
      <c r="J114" s="273">
        <v>819202</v>
      </c>
      <c r="K114" s="273">
        <v>817456</v>
      </c>
      <c r="L114" s="273">
        <v>835056</v>
      </c>
      <c r="M114" s="273">
        <v>824125</v>
      </c>
      <c r="N114" s="273">
        <v>809625</v>
      </c>
      <c r="O114" s="273">
        <v>794564</v>
      </c>
      <c r="P114" s="273">
        <v>845505</v>
      </c>
      <c r="Q114" s="273">
        <v>837065</v>
      </c>
      <c r="R114" s="273">
        <v>777580</v>
      </c>
      <c r="S114" s="273">
        <v>817786</v>
      </c>
      <c r="T114" s="273">
        <v>816329</v>
      </c>
      <c r="U114" s="273">
        <v>816069</v>
      </c>
      <c r="V114" s="273">
        <v>790288</v>
      </c>
      <c r="W114" s="273">
        <v>798413</v>
      </c>
      <c r="X114" s="273">
        <v>805516</v>
      </c>
    </row>
    <row r="115" spans="1:24" ht="14.25" thickBot="1" x14ac:dyDescent="0.3">
      <c r="A115" s="225" t="s">
        <v>265</v>
      </c>
      <c r="B115" s="276">
        <v>11936500</v>
      </c>
      <c r="C115" s="276">
        <v>11986815</v>
      </c>
      <c r="D115" s="276">
        <v>11819101</v>
      </c>
      <c r="E115" s="276">
        <v>11953677</v>
      </c>
      <c r="F115" s="276">
        <v>13780745</v>
      </c>
      <c r="G115" s="276">
        <v>14415322</v>
      </c>
      <c r="H115" s="276">
        <v>14551183</v>
      </c>
      <c r="I115" s="276">
        <v>14979924</v>
      </c>
      <c r="J115" s="276">
        <v>14837932</v>
      </c>
      <c r="K115" s="276">
        <v>14754371</v>
      </c>
      <c r="L115" s="276">
        <v>14498242</v>
      </c>
      <c r="M115" s="276">
        <v>15499618</v>
      </c>
      <c r="N115" s="276">
        <v>15014950</v>
      </c>
      <c r="O115" s="276">
        <v>15232147</v>
      </c>
      <c r="P115" s="276">
        <v>14942747</v>
      </c>
      <c r="Q115" s="276">
        <v>14932473</v>
      </c>
      <c r="R115" s="276">
        <v>14662652</v>
      </c>
      <c r="S115" s="276">
        <v>14934975</v>
      </c>
      <c r="T115" s="276">
        <v>14363452</v>
      </c>
      <c r="U115" s="276">
        <v>14875622</v>
      </c>
      <c r="V115" s="276">
        <v>14506987</v>
      </c>
      <c r="W115" s="276">
        <v>14874361</v>
      </c>
      <c r="X115" s="276">
        <v>15439380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1860000</v>
      </c>
      <c r="C118" s="273">
        <v>1910000</v>
      </c>
      <c r="D118" s="273">
        <v>1826196</v>
      </c>
      <c r="E118" s="273">
        <v>1650000</v>
      </c>
      <c r="F118" s="273">
        <v>1600000</v>
      </c>
      <c r="G118" s="273">
        <v>1432000</v>
      </c>
      <c r="H118" s="273">
        <v>1699213</v>
      </c>
      <c r="I118" s="273">
        <v>1449000</v>
      </c>
      <c r="J118" s="273">
        <v>1440000</v>
      </c>
      <c r="K118" s="273">
        <v>1515000</v>
      </c>
      <c r="L118" s="273">
        <v>1330000</v>
      </c>
      <c r="M118" s="273">
        <v>1608500</v>
      </c>
      <c r="N118" s="273">
        <v>1040000</v>
      </c>
      <c r="O118" s="273">
        <v>1055000</v>
      </c>
      <c r="P118" s="273">
        <v>1376000</v>
      </c>
      <c r="Q118" s="273">
        <v>1351500</v>
      </c>
      <c r="R118" s="273">
        <v>1403000</v>
      </c>
      <c r="S118" s="273">
        <v>1318000</v>
      </c>
      <c r="T118" s="273">
        <v>1050000</v>
      </c>
      <c r="U118" s="273">
        <v>896000</v>
      </c>
      <c r="V118" s="273">
        <v>410000</v>
      </c>
      <c r="W118" s="273">
        <v>480000</v>
      </c>
      <c r="X118" s="273">
        <v>1245000</v>
      </c>
    </row>
    <row r="119" spans="1:24" ht="14.25" thickBot="1" x14ac:dyDescent="0.3">
      <c r="A119" s="225" t="s">
        <v>29</v>
      </c>
      <c r="B119" s="275">
        <v>549531</v>
      </c>
      <c r="C119" s="275">
        <v>399906</v>
      </c>
      <c r="D119" s="275">
        <v>659413</v>
      </c>
      <c r="E119" s="275">
        <v>609656</v>
      </c>
      <c r="F119" s="275">
        <v>599640</v>
      </c>
      <c r="G119" s="275">
        <v>849679</v>
      </c>
      <c r="H119" s="275">
        <v>1149377</v>
      </c>
      <c r="I119" s="275">
        <v>1298791</v>
      </c>
      <c r="J119" s="275">
        <v>1183411</v>
      </c>
      <c r="K119" s="275">
        <v>649375</v>
      </c>
      <c r="L119" s="275">
        <v>899353</v>
      </c>
      <c r="M119" s="275">
        <v>949510</v>
      </c>
      <c r="N119" s="275">
        <v>949222</v>
      </c>
      <c r="O119" s="275">
        <v>849370</v>
      </c>
      <c r="P119" s="275">
        <v>1039321</v>
      </c>
      <c r="Q119" s="275">
        <v>709337</v>
      </c>
      <c r="R119" s="275">
        <v>689603</v>
      </c>
      <c r="S119" s="275">
        <v>649860</v>
      </c>
      <c r="T119" s="275">
        <v>794431</v>
      </c>
      <c r="U119" s="275">
        <v>439677</v>
      </c>
      <c r="V119" s="275">
        <v>189676</v>
      </c>
      <c r="W119" s="275">
        <v>339661</v>
      </c>
      <c r="X119" s="275">
        <v>399725</v>
      </c>
    </row>
    <row r="120" spans="1:24" ht="14.25" thickBot="1" x14ac:dyDescent="0.3">
      <c r="A120" s="224" t="s">
        <v>266</v>
      </c>
      <c r="B120" s="273">
        <v>279352</v>
      </c>
      <c r="C120" s="273">
        <v>243463</v>
      </c>
      <c r="D120" s="273">
        <v>269555</v>
      </c>
      <c r="E120" s="273">
        <v>286599</v>
      </c>
      <c r="F120" s="273">
        <v>250066</v>
      </c>
      <c r="G120" s="273">
        <v>178768</v>
      </c>
      <c r="H120" s="273">
        <v>245484</v>
      </c>
      <c r="I120" s="273">
        <v>275741</v>
      </c>
      <c r="J120" s="273">
        <v>243900</v>
      </c>
      <c r="K120" s="273">
        <v>221629</v>
      </c>
      <c r="L120" s="273">
        <v>247605</v>
      </c>
      <c r="M120" s="273">
        <v>297320</v>
      </c>
      <c r="N120" s="273">
        <v>284743</v>
      </c>
      <c r="O120" s="273">
        <v>273076</v>
      </c>
      <c r="P120" s="273">
        <v>250385</v>
      </c>
      <c r="Q120" s="273">
        <v>278416</v>
      </c>
      <c r="R120" s="273">
        <v>267396</v>
      </c>
      <c r="S120" s="273">
        <v>281262</v>
      </c>
      <c r="T120" s="273">
        <v>264449</v>
      </c>
      <c r="U120" s="273">
        <v>341516</v>
      </c>
      <c r="V120" s="273">
        <v>334046</v>
      </c>
      <c r="W120" s="273">
        <v>272872</v>
      </c>
      <c r="X120" s="273">
        <v>288694</v>
      </c>
    </row>
    <row r="121" spans="1:24" ht="14.25" thickBot="1" x14ac:dyDescent="0.3">
      <c r="A121" s="225" t="s">
        <v>267</v>
      </c>
      <c r="B121" s="275">
        <v>788605</v>
      </c>
      <c r="C121" s="275">
        <v>768234</v>
      </c>
      <c r="D121" s="275">
        <v>759180</v>
      </c>
      <c r="E121" s="275">
        <v>777873</v>
      </c>
      <c r="F121" s="275">
        <v>820709</v>
      </c>
      <c r="G121" s="275">
        <v>805171</v>
      </c>
      <c r="H121" s="275">
        <v>801634</v>
      </c>
      <c r="I121" s="275">
        <v>844791</v>
      </c>
      <c r="J121" s="275">
        <v>877999</v>
      </c>
      <c r="K121" s="275">
        <v>857132</v>
      </c>
      <c r="L121" s="275">
        <v>827017</v>
      </c>
      <c r="M121" s="275">
        <v>849042</v>
      </c>
      <c r="N121" s="275">
        <v>882956</v>
      </c>
      <c r="O121" s="275">
        <v>852031</v>
      </c>
      <c r="P121" s="275">
        <v>825609</v>
      </c>
      <c r="Q121" s="275">
        <v>839126</v>
      </c>
      <c r="R121" s="275">
        <v>918171</v>
      </c>
      <c r="S121" s="275">
        <v>916361</v>
      </c>
      <c r="T121" s="275">
        <v>879373</v>
      </c>
      <c r="U121" s="275">
        <v>853221</v>
      </c>
      <c r="V121" s="275">
        <v>992113</v>
      </c>
      <c r="W121" s="275">
        <v>916089</v>
      </c>
      <c r="X121" s="275">
        <v>950443</v>
      </c>
    </row>
    <row r="122" spans="1:24" ht="14.25" thickBot="1" x14ac:dyDescent="0.3">
      <c r="A122" s="224" t="s">
        <v>30</v>
      </c>
      <c r="B122" s="273">
        <v>3572</v>
      </c>
      <c r="C122" s="273">
        <v>2540</v>
      </c>
      <c r="D122" s="273">
        <v>2213</v>
      </c>
      <c r="E122" s="273">
        <v>1340</v>
      </c>
      <c r="F122" s="273">
        <v>1308</v>
      </c>
      <c r="G122" s="273">
        <v>1351</v>
      </c>
      <c r="H122" s="273">
        <v>1157</v>
      </c>
      <c r="I122" s="273">
        <v>1322</v>
      </c>
      <c r="J122" s="273">
        <v>1157</v>
      </c>
      <c r="K122" s="273">
        <v>1157</v>
      </c>
      <c r="L122" s="68">
        <v>797</v>
      </c>
      <c r="M122" s="68">
        <v>797</v>
      </c>
      <c r="N122" s="68">
        <v>297</v>
      </c>
      <c r="O122" s="68">
        <v>297</v>
      </c>
      <c r="P122" s="68">
        <v>297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813157</v>
      </c>
      <c r="C123" s="275">
        <v>1480386</v>
      </c>
      <c r="D123" s="275">
        <v>828019</v>
      </c>
      <c r="E123" s="275">
        <v>971145</v>
      </c>
      <c r="F123" s="275">
        <v>1022367</v>
      </c>
      <c r="G123" s="275">
        <v>1930009</v>
      </c>
      <c r="H123" s="275">
        <v>1046676</v>
      </c>
      <c r="I123" s="275">
        <v>1169750</v>
      </c>
      <c r="J123" s="275">
        <v>1049512</v>
      </c>
      <c r="K123" s="275">
        <v>1890532</v>
      </c>
      <c r="L123" s="275">
        <v>1186634</v>
      </c>
      <c r="M123" s="275">
        <v>1374816</v>
      </c>
      <c r="N123" s="275">
        <v>1250580</v>
      </c>
      <c r="O123" s="275">
        <v>1903335</v>
      </c>
      <c r="P123" s="275">
        <v>1115343</v>
      </c>
      <c r="Q123" s="275">
        <v>1233972</v>
      </c>
      <c r="R123" s="275">
        <v>1056252</v>
      </c>
      <c r="S123" s="275">
        <v>1862152</v>
      </c>
      <c r="T123" s="275">
        <v>1107814</v>
      </c>
      <c r="U123" s="275">
        <v>1196478</v>
      </c>
      <c r="V123" s="275">
        <v>1092257</v>
      </c>
      <c r="W123" s="275">
        <v>1951481</v>
      </c>
      <c r="X123" s="275">
        <v>1095302</v>
      </c>
    </row>
    <row r="124" spans="1:24" ht="14.25" thickBot="1" x14ac:dyDescent="0.3">
      <c r="A124" s="224" t="s">
        <v>268</v>
      </c>
      <c r="B124" s="273">
        <v>4294217</v>
      </c>
      <c r="C124" s="273">
        <v>4804529</v>
      </c>
      <c r="D124" s="273">
        <v>4344576</v>
      </c>
      <c r="E124" s="273">
        <v>4296613</v>
      </c>
      <c r="F124" s="273">
        <v>4294090</v>
      </c>
      <c r="G124" s="273">
        <v>5196978</v>
      </c>
      <c r="H124" s="273">
        <v>4943541</v>
      </c>
      <c r="I124" s="273">
        <v>5039395</v>
      </c>
      <c r="J124" s="273">
        <v>4795979</v>
      </c>
      <c r="K124" s="273">
        <v>5134825</v>
      </c>
      <c r="L124" s="273">
        <v>4491406</v>
      </c>
      <c r="M124" s="273">
        <v>5079985</v>
      </c>
      <c r="N124" s="273">
        <v>4407798</v>
      </c>
      <c r="O124" s="273">
        <v>4933109</v>
      </c>
      <c r="P124" s="273">
        <v>4606955</v>
      </c>
      <c r="Q124" s="273">
        <v>4412351</v>
      </c>
      <c r="R124" s="273">
        <v>4334422</v>
      </c>
      <c r="S124" s="273">
        <v>5027635</v>
      </c>
      <c r="T124" s="273">
        <v>4096067</v>
      </c>
      <c r="U124" s="273">
        <v>3726892</v>
      </c>
      <c r="V124" s="273">
        <v>3018092</v>
      </c>
      <c r="W124" s="273">
        <v>3960103</v>
      </c>
      <c r="X124" s="273">
        <v>3979164</v>
      </c>
    </row>
    <row r="125" spans="1:24" ht="14.25" thickBot="1" x14ac:dyDescent="0.3">
      <c r="A125" s="225" t="s">
        <v>32</v>
      </c>
      <c r="B125" s="275">
        <v>18836</v>
      </c>
      <c r="C125" s="275">
        <v>18353</v>
      </c>
      <c r="D125" s="275">
        <v>12950</v>
      </c>
      <c r="E125" s="275">
        <v>10412</v>
      </c>
      <c r="F125" s="275">
        <v>759371</v>
      </c>
      <c r="G125" s="275">
        <v>746596</v>
      </c>
      <c r="H125" s="275">
        <v>760421</v>
      </c>
      <c r="I125" s="275">
        <v>785357</v>
      </c>
      <c r="J125" s="275">
        <v>789051</v>
      </c>
      <c r="K125" s="275">
        <v>789157</v>
      </c>
      <c r="L125" s="275">
        <v>788590</v>
      </c>
      <c r="M125" s="275">
        <v>866351</v>
      </c>
      <c r="N125" s="275">
        <v>868233</v>
      </c>
      <c r="O125" s="275">
        <v>862473</v>
      </c>
      <c r="P125" s="275">
        <v>860070</v>
      </c>
      <c r="Q125" s="275">
        <v>970786</v>
      </c>
      <c r="R125" s="275">
        <v>769248</v>
      </c>
      <c r="S125" s="275">
        <v>771077</v>
      </c>
      <c r="T125" s="275">
        <v>790500</v>
      </c>
      <c r="U125" s="275">
        <v>869658</v>
      </c>
      <c r="V125" s="275">
        <v>834711</v>
      </c>
      <c r="W125" s="275">
        <v>842785</v>
      </c>
      <c r="X125" s="275">
        <v>852540</v>
      </c>
    </row>
    <row r="126" spans="1:24" ht="14.25" thickBot="1" x14ac:dyDescent="0.3">
      <c r="A126" s="224" t="s">
        <v>33</v>
      </c>
      <c r="B126" s="273">
        <v>697462</v>
      </c>
      <c r="C126" s="273">
        <v>698115</v>
      </c>
      <c r="D126" s="273">
        <v>700148</v>
      </c>
      <c r="E126" s="273">
        <v>710647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5010515</v>
      </c>
      <c r="C127" s="275">
        <v>5520997</v>
      </c>
      <c r="D127" s="275">
        <v>5057674</v>
      </c>
      <c r="E127" s="275">
        <v>5017672</v>
      </c>
      <c r="F127" s="275">
        <v>5053461</v>
      </c>
      <c r="G127" s="275">
        <v>5943574</v>
      </c>
      <c r="H127" s="275">
        <v>5703962</v>
      </c>
      <c r="I127" s="275">
        <v>5824752</v>
      </c>
      <c r="J127" s="275">
        <v>5585030</v>
      </c>
      <c r="K127" s="275">
        <v>5923982</v>
      </c>
      <c r="L127" s="275">
        <v>5279996</v>
      </c>
      <c r="M127" s="275">
        <v>5946336</v>
      </c>
      <c r="N127" s="275">
        <v>5276031</v>
      </c>
      <c r="O127" s="275">
        <v>5795582</v>
      </c>
      <c r="P127" s="275">
        <v>5467025</v>
      </c>
      <c r="Q127" s="275">
        <v>5383137</v>
      </c>
      <c r="R127" s="275">
        <v>5103670</v>
      </c>
      <c r="S127" s="275">
        <v>5798712</v>
      </c>
      <c r="T127" s="275">
        <v>4886567</v>
      </c>
      <c r="U127" s="275">
        <v>4596550</v>
      </c>
      <c r="V127" s="275">
        <v>3852803</v>
      </c>
      <c r="W127" s="275">
        <v>4802888</v>
      </c>
      <c r="X127" s="275">
        <v>4831704</v>
      </c>
    </row>
    <row r="128" spans="1:24" ht="14.25" thickBot="1" x14ac:dyDescent="0.3">
      <c r="A128" s="224" t="s">
        <v>34</v>
      </c>
      <c r="B128" s="273">
        <v>6925985</v>
      </c>
      <c r="C128" s="273">
        <v>6465818</v>
      </c>
      <c r="D128" s="273">
        <v>6761427</v>
      </c>
      <c r="E128" s="273">
        <v>6936005</v>
      </c>
      <c r="F128" s="273">
        <v>8727284</v>
      </c>
      <c r="G128" s="273">
        <v>8471748</v>
      </c>
      <c r="H128" s="273">
        <v>8847221</v>
      </c>
      <c r="I128" s="273">
        <v>9155172</v>
      </c>
      <c r="J128" s="273">
        <v>9252902</v>
      </c>
      <c r="K128" s="273">
        <v>8830389</v>
      </c>
      <c r="L128" s="273">
        <v>9218246</v>
      </c>
      <c r="M128" s="273">
        <v>9553282</v>
      </c>
      <c r="N128" s="273">
        <v>9738919</v>
      </c>
      <c r="O128" s="273">
        <v>9436565</v>
      </c>
      <c r="P128" s="273">
        <v>9475722</v>
      </c>
      <c r="Q128" s="273">
        <v>9549336</v>
      </c>
      <c r="R128" s="273">
        <v>9558982</v>
      </c>
      <c r="S128" s="273">
        <v>9136263</v>
      </c>
      <c r="T128" s="273">
        <v>9476885</v>
      </c>
      <c r="U128" s="273">
        <v>10279072</v>
      </c>
      <c r="V128" s="273">
        <v>10654184</v>
      </c>
      <c r="W128" s="273">
        <v>10071473</v>
      </c>
      <c r="X128" s="273">
        <v>10607676</v>
      </c>
    </row>
    <row r="129" spans="1:24" ht="14.25" thickBot="1" x14ac:dyDescent="0.3">
      <c r="A129" s="225" t="s">
        <v>35</v>
      </c>
      <c r="B129" s="276">
        <v>11936500</v>
      </c>
      <c r="C129" s="276">
        <v>11986815</v>
      </c>
      <c r="D129" s="276">
        <v>11819101</v>
      </c>
      <c r="E129" s="276">
        <v>11953677</v>
      </c>
      <c r="F129" s="276">
        <v>13780745</v>
      </c>
      <c r="G129" s="276">
        <v>14415322</v>
      </c>
      <c r="H129" s="276">
        <v>14551183</v>
      </c>
      <c r="I129" s="276">
        <v>14979924</v>
      </c>
      <c r="J129" s="276">
        <v>14837932</v>
      </c>
      <c r="K129" s="276">
        <v>14754371</v>
      </c>
      <c r="L129" s="276">
        <v>14498242</v>
      </c>
      <c r="M129" s="276">
        <v>15499618</v>
      </c>
      <c r="N129" s="276">
        <v>15014950</v>
      </c>
      <c r="O129" s="276">
        <v>15232147</v>
      </c>
      <c r="P129" s="276">
        <v>14942747</v>
      </c>
      <c r="Q129" s="276">
        <v>14932473</v>
      </c>
      <c r="R129" s="276">
        <v>14662652</v>
      </c>
      <c r="S129" s="276">
        <v>14934975</v>
      </c>
      <c r="T129" s="276">
        <v>14363452</v>
      </c>
      <c r="U129" s="276">
        <v>14875622</v>
      </c>
      <c r="V129" s="276">
        <v>14506987</v>
      </c>
      <c r="W129" s="276">
        <v>14874361</v>
      </c>
      <c r="X129" s="276">
        <v>15439380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3.64</v>
      </c>
      <c r="C132" s="68">
        <v>4.3499999999999996</v>
      </c>
      <c r="D132" s="68">
        <v>3.12</v>
      </c>
      <c r="E132" s="68">
        <v>2.78</v>
      </c>
      <c r="F132" s="68">
        <v>2.5499999999999998</v>
      </c>
    </row>
    <row r="133" spans="1:24" ht="14.25" thickBot="1" x14ac:dyDescent="0.3">
      <c r="A133" s="225" t="s">
        <v>37</v>
      </c>
      <c r="B133" s="274">
        <v>-1.76</v>
      </c>
      <c r="C133" s="274">
        <v>-2.94</v>
      </c>
      <c r="D133" s="274">
        <v>-1.38</v>
      </c>
      <c r="E133" s="274">
        <v>-0.5</v>
      </c>
      <c r="F133" s="274">
        <v>-0.43</v>
      </c>
    </row>
    <row r="134" spans="1:24" ht="14.25" thickBot="1" x14ac:dyDescent="0.3">
      <c r="A134" s="224" t="s">
        <v>38</v>
      </c>
      <c r="B134" s="68">
        <v>-2.16</v>
      </c>
      <c r="C134" s="68">
        <v>-0.46</v>
      </c>
      <c r="D134" s="68">
        <v>-2.19</v>
      </c>
      <c r="E134" s="68">
        <v>-3.16</v>
      </c>
      <c r="F134" s="68">
        <v>-3.7</v>
      </c>
    </row>
    <row r="135" spans="1:24" ht="14.25" thickBot="1" x14ac:dyDescent="0.3">
      <c r="A135" s="225" t="s">
        <v>270</v>
      </c>
      <c r="B135" s="274">
        <v>1.87</v>
      </c>
      <c r="C135" s="274">
        <v>1.42</v>
      </c>
      <c r="D135" s="274">
        <v>1.73</v>
      </c>
      <c r="E135" s="274">
        <v>2.2799999999999998</v>
      </c>
      <c r="F135" s="274">
        <v>2.12</v>
      </c>
    </row>
    <row r="136" spans="1:24" ht="14.25" thickBot="1" x14ac:dyDescent="0.3">
      <c r="A136" s="229" t="s">
        <v>39</v>
      </c>
      <c r="B136" s="72">
        <v>-0.28999999999999998</v>
      </c>
      <c r="C136" s="72">
        <v>0.96</v>
      </c>
      <c r="D136" s="72">
        <v>-0.45</v>
      </c>
      <c r="E136" s="72">
        <v>-0.88</v>
      </c>
      <c r="F136" s="72">
        <v>-1.58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1.8</v>
      </c>
      <c r="C140" s="68">
        <v>1.8</v>
      </c>
      <c r="D140" s="68">
        <v>1.9</v>
      </c>
      <c r="E140" s="68">
        <v>2</v>
      </c>
      <c r="F140" s="68">
        <v>2</v>
      </c>
    </row>
    <row r="141" spans="1:24" ht="14.25" thickBot="1" x14ac:dyDescent="0.3">
      <c r="A141" s="227" t="s">
        <v>1</v>
      </c>
      <c r="B141" s="73">
        <v>0</v>
      </c>
      <c r="C141" s="73">
        <v>0.1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0.703125</v>
      </c>
      <c r="C142" s="234">
        <f>IF(C140&lt;&gt;"無",IF(ISNA(HLOOKUP(C139,$B$64:$F$69,6,FALSE)),"",C140/HLOOKUP(C139,$B$64:$F$69,6,FALSE)),"")</f>
        <v>0.66420664206642055</v>
      </c>
      <c r="D142" s="234">
        <f>IF(D140&lt;&gt;"無",IF(ISNA(HLOOKUP(D139,$B$64:$F$69,6,FALSE)),"",D140/HLOOKUP(D139,$B$64:$F$69,6,FALSE)),"")</f>
        <v>0.69852941176470584</v>
      </c>
      <c r="E142" s="234">
        <f>IF(E140&lt;&gt;"無",IF(ISNA(HLOOKUP(E139,$B$64:$F$69,6,FALSE)),"",E140/HLOOKUP(E139,$B$64:$F$69,6,FALSE)),"")</f>
        <v>0.71174377224199303</v>
      </c>
      <c r="F142" s="234">
        <f>IF(F140&lt;&gt;"無",IF(ISNA(HLOOKUP(F139,$B$64:$F$69,6,FALSE)),"",F140/HLOOKUP(F139,$B$64:$F$69,6,FALSE)),"")</f>
        <v>0.78431372549019596</v>
      </c>
    </row>
    <row r="143" spans="1:24" x14ac:dyDescent="0.25">
      <c r="A143" s="233" t="s">
        <v>216</v>
      </c>
      <c r="B143" s="234">
        <f>IF(OR(B140=0,B140="無"),"",B135/B140)</f>
        <v>1.038888888888889</v>
      </c>
      <c r="C143" s="234">
        <f>IF(OR(C140=0,C140="無"),"",C135/C140)</f>
        <v>0.78888888888888886</v>
      </c>
      <c r="D143" s="234">
        <f>IF(OR(D140=0,D140="無"),"",D135/D140)</f>
        <v>0.91052631578947374</v>
      </c>
      <c r="E143" s="234">
        <f>IF(OR(E140=0,E140="無"),"",E135/E140)</f>
        <v>1.1399999999999999</v>
      </c>
      <c r="F143" s="234">
        <f>IF(OR(F140=0,F140="無"),"",F135/F140)</f>
        <v>1.06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36.67</v>
      </c>
      <c r="C146" s="68">
        <v>37.380000000000003</v>
      </c>
      <c r="D146" s="68">
        <v>35.869999999999997</v>
      </c>
      <c r="E146" s="68">
        <v>35.26</v>
      </c>
      <c r="F146" s="68">
        <v>36.03</v>
      </c>
      <c r="G146" s="68">
        <v>33.630000000000003</v>
      </c>
      <c r="H146" s="68">
        <v>36.479999999999997</v>
      </c>
      <c r="I146" s="68">
        <v>31.96</v>
      </c>
      <c r="J146" s="68">
        <v>38.46</v>
      </c>
      <c r="K146" s="68">
        <v>38.17</v>
      </c>
      <c r="L146" s="68">
        <v>37.770000000000003</v>
      </c>
      <c r="M146" s="68">
        <v>37.54</v>
      </c>
      <c r="N146" s="68">
        <v>38.29</v>
      </c>
      <c r="O146" s="68">
        <v>37.229999999999997</v>
      </c>
      <c r="P146" s="68">
        <v>36.14</v>
      </c>
      <c r="Q146" s="68">
        <v>35.619999999999997</v>
      </c>
      <c r="R146" s="68">
        <v>35.83</v>
      </c>
      <c r="S146" s="68">
        <v>35.1</v>
      </c>
      <c r="T146" s="68">
        <v>34.28</v>
      </c>
      <c r="U146" s="68">
        <v>35.31</v>
      </c>
      <c r="V146" s="68">
        <v>33.5</v>
      </c>
      <c r="W146" s="68">
        <v>33.18</v>
      </c>
      <c r="X146" s="68">
        <v>35.369999999999997</v>
      </c>
    </row>
    <row r="147" spans="1:24" s="93" customFormat="1" ht="14.25" thickBot="1" x14ac:dyDescent="0.3">
      <c r="A147" s="225" t="s">
        <v>19</v>
      </c>
      <c r="B147" s="274">
        <v>15.93</v>
      </c>
      <c r="C147" s="274">
        <v>15.84</v>
      </c>
      <c r="D147" s="274">
        <v>15.59</v>
      </c>
      <c r="E147" s="274">
        <v>13.72</v>
      </c>
      <c r="F147" s="274">
        <v>15.07</v>
      </c>
      <c r="G147" s="274">
        <v>14.81</v>
      </c>
      <c r="H147" s="274">
        <v>14.21</v>
      </c>
      <c r="I147" s="274">
        <v>13.33</v>
      </c>
      <c r="J147" s="274">
        <v>16.399999999999999</v>
      </c>
      <c r="K147" s="274">
        <v>16.23</v>
      </c>
      <c r="L147" s="274">
        <v>14.8</v>
      </c>
      <c r="M147" s="274">
        <v>12.12</v>
      </c>
      <c r="N147" s="274">
        <v>16.21</v>
      </c>
      <c r="O147" s="274">
        <v>14.13</v>
      </c>
      <c r="P147" s="274">
        <v>15.37</v>
      </c>
      <c r="Q147" s="274">
        <v>12.5</v>
      </c>
      <c r="R147" s="274">
        <v>13.67</v>
      </c>
      <c r="S147" s="274">
        <v>12.44</v>
      </c>
      <c r="T147" s="274">
        <v>12.04</v>
      </c>
      <c r="U147" s="274">
        <v>13.63</v>
      </c>
      <c r="V147" s="274">
        <v>11.36</v>
      </c>
      <c r="W147" s="274">
        <v>11.58</v>
      </c>
      <c r="X147" s="274">
        <v>12.85</v>
      </c>
    </row>
    <row r="148" spans="1:24" s="93" customFormat="1" ht="14.25" thickBot="1" x14ac:dyDescent="0.3">
      <c r="A148" s="224" t="s">
        <v>41</v>
      </c>
      <c r="B148" s="68">
        <v>16.96</v>
      </c>
      <c r="C148" s="68">
        <v>22.41</v>
      </c>
      <c r="D148" s="68">
        <v>18.68</v>
      </c>
      <c r="E148" s="68">
        <v>14.32</v>
      </c>
      <c r="F148" s="68">
        <v>14.9</v>
      </c>
      <c r="G148" s="68">
        <v>22.38</v>
      </c>
      <c r="H148" s="68">
        <v>18.63</v>
      </c>
      <c r="I148" s="68">
        <v>13.37</v>
      </c>
      <c r="J148" s="68">
        <v>19.190000000000001</v>
      </c>
      <c r="K148" s="68">
        <v>25.35</v>
      </c>
      <c r="L148" s="68">
        <v>25.68</v>
      </c>
      <c r="M148" s="68">
        <v>11.72</v>
      </c>
      <c r="N148" s="68">
        <v>17.14</v>
      </c>
      <c r="O148" s="68">
        <v>23.92</v>
      </c>
      <c r="P148" s="68">
        <v>22.62</v>
      </c>
      <c r="Q148" s="68">
        <v>13.2</v>
      </c>
      <c r="R148" s="68">
        <v>15.51</v>
      </c>
      <c r="S148" s="68">
        <v>21.82</v>
      </c>
      <c r="T148" s="68">
        <v>18.3</v>
      </c>
      <c r="U148" s="68">
        <v>11.73</v>
      </c>
      <c r="V148" s="68">
        <v>12</v>
      </c>
      <c r="W148" s="68">
        <v>18.91</v>
      </c>
      <c r="X148" s="68">
        <v>19.61</v>
      </c>
    </row>
    <row r="149" spans="1:24" s="93" customFormat="1" ht="14.25" thickBot="1" x14ac:dyDescent="0.3">
      <c r="A149" s="225" t="s">
        <v>13</v>
      </c>
      <c r="B149" s="73">
        <v>14.2</v>
      </c>
      <c r="C149" s="73">
        <v>18.600000000000001</v>
      </c>
      <c r="D149" s="73">
        <v>15.73</v>
      </c>
      <c r="E149" s="73">
        <v>11.84</v>
      </c>
      <c r="F149" s="73">
        <v>12.05</v>
      </c>
      <c r="G149" s="73">
        <v>18.2</v>
      </c>
      <c r="H149" s="73">
        <v>16.309999999999999</v>
      </c>
      <c r="I149" s="73">
        <v>10.7</v>
      </c>
      <c r="J149" s="73">
        <v>16.34</v>
      </c>
      <c r="K149" s="73">
        <v>14.48</v>
      </c>
      <c r="L149" s="73">
        <v>22.83</v>
      </c>
      <c r="M149" s="73">
        <v>9.24</v>
      </c>
      <c r="N149" s="73">
        <v>14.07</v>
      </c>
      <c r="O149" s="73">
        <v>19.13</v>
      </c>
      <c r="P149" s="73">
        <v>19.760000000000002</v>
      </c>
      <c r="Q149" s="73">
        <v>11.21</v>
      </c>
      <c r="R149" s="73">
        <v>13.05</v>
      </c>
      <c r="S149" s="73">
        <v>17.48</v>
      </c>
      <c r="T149" s="73">
        <v>16.05</v>
      </c>
      <c r="U149" s="73">
        <v>9.69</v>
      </c>
      <c r="V149" s="73">
        <v>9.75</v>
      </c>
      <c r="W149" s="73">
        <v>18.239999999999998</v>
      </c>
      <c r="X149" s="73">
        <v>17.46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36.29</v>
      </c>
      <c r="C152" s="68">
        <v>34.450000000000003</v>
      </c>
      <c r="D152" s="68">
        <v>37.99</v>
      </c>
      <c r="E152" s="68">
        <v>36.799999999999997</v>
      </c>
      <c r="F152" s="68">
        <v>35.130000000000003</v>
      </c>
    </row>
    <row r="153" spans="1:24" s="93" customFormat="1" ht="14.25" thickBot="1" x14ac:dyDescent="0.3">
      <c r="A153" s="225" t="s">
        <v>19</v>
      </c>
      <c r="B153" s="274">
        <v>15.28</v>
      </c>
      <c r="C153" s="274">
        <v>14.34</v>
      </c>
      <c r="D153" s="274">
        <v>14.9</v>
      </c>
      <c r="E153" s="274">
        <v>14.54</v>
      </c>
      <c r="F153" s="274">
        <v>12.95</v>
      </c>
    </row>
    <row r="154" spans="1:24" s="93" customFormat="1" ht="14.25" thickBot="1" x14ac:dyDescent="0.3">
      <c r="A154" s="224" t="s">
        <v>41</v>
      </c>
      <c r="B154" s="68">
        <v>18.079999999999998</v>
      </c>
      <c r="C154" s="68">
        <v>17.37</v>
      </c>
      <c r="D154" s="68">
        <v>20.53</v>
      </c>
      <c r="E154" s="68">
        <v>19.22</v>
      </c>
      <c r="F154" s="68">
        <v>16.809999999999999</v>
      </c>
    </row>
    <row r="155" spans="1:24" s="93" customFormat="1" ht="14.25" thickBot="1" x14ac:dyDescent="0.3">
      <c r="A155" s="225" t="s">
        <v>13</v>
      </c>
      <c r="B155" s="73">
        <v>15.09</v>
      </c>
      <c r="C155" s="73">
        <v>14.34</v>
      </c>
      <c r="D155" s="73">
        <v>15.75</v>
      </c>
      <c r="E155" s="73">
        <v>16.05</v>
      </c>
      <c r="F155" s="73">
        <v>14.05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2.14</v>
      </c>
      <c r="C158" s="68">
        <v>2.65</v>
      </c>
      <c r="D158" s="68">
        <v>2.38</v>
      </c>
      <c r="E158" s="68">
        <v>1.74</v>
      </c>
      <c r="F158" s="68">
        <v>1.71</v>
      </c>
      <c r="G158" s="68">
        <v>2.6</v>
      </c>
      <c r="H158" s="68">
        <v>2.09</v>
      </c>
      <c r="I158" s="68">
        <v>1.46</v>
      </c>
      <c r="J158" s="68">
        <v>1.93</v>
      </c>
      <c r="K158" s="68">
        <v>1.72</v>
      </c>
      <c r="L158" s="68">
        <v>2.74</v>
      </c>
      <c r="M158" s="68">
        <v>1.08</v>
      </c>
      <c r="N158" s="68">
        <v>1.61</v>
      </c>
      <c r="O158" s="68">
        <v>2.25</v>
      </c>
      <c r="P158" s="68">
        <v>2.38</v>
      </c>
      <c r="Q158" s="68">
        <v>1.38</v>
      </c>
      <c r="R158" s="68">
        <v>1.61</v>
      </c>
      <c r="S158" s="68">
        <v>2.15</v>
      </c>
      <c r="T158" s="68">
        <v>2.0099999999999998</v>
      </c>
      <c r="U158" s="68">
        <v>1.24</v>
      </c>
      <c r="V158" s="68">
        <v>1.2</v>
      </c>
      <c r="W158" s="68">
        <v>2.2599999999999998</v>
      </c>
      <c r="X158" s="68">
        <v>2.04</v>
      </c>
    </row>
    <row r="159" spans="1:24" s="93" customFormat="1" ht="14.25" thickBot="1" x14ac:dyDescent="0.3">
      <c r="A159" s="225" t="s">
        <v>45</v>
      </c>
      <c r="B159" s="73">
        <v>3.66</v>
      </c>
      <c r="C159" s="73">
        <v>4.6399999999999997</v>
      </c>
      <c r="D159" s="73">
        <v>4.1900000000000004</v>
      </c>
      <c r="E159" s="73">
        <v>2.92</v>
      </c>
      <c r="F159" s="73">
        <v>2.74</v>
      </c>
      <c r="G159" s="73">
        <v>4.1900000000000004</v>
      </c>
      <c r="H159" s="73">
        <v>3.4</v>
      </c>
      <c r="I159" s="73">
        <v>2.3199999999999998</v>
      </c>
      <c r="J159" s="73">
        <v>3.06</v>
      </c>
      <c r="K159" s="73">
        <v>2.76</v>
      </c>
      <c r="L159" s="73">
        <v>4.37</v>
      </c>
      <c r="M159" s="73">
        <v>1.67</v>
      </c>
      <c r="N159" s="73">
        <v>2.4900000000000002</v>
      </c>
      <c r="O159" s="73">
        <v>3.5</v>
      </c>
      <c r="P159" s="73">
        <v>3.74</v>
      </c>
      <c r="Q159" s="73">
        <v>2.11</v>
      </c>
      <c r="R159" s="73">
        <v>2.4500000000000002</v>
      </c>
      <c r="S159" s="73">
        <v>3.35</v>
      </c>
      <c r="T159" s="73">
        <v>3.11</v>
      </c>
      <c r="U159" s="73">
        <v>1.79</v>
      </c>
      <c r="V159" s="73">
        <v>1.65</v>
      </c>
      <c r="W159" s="73">
        <v>3.16</v>
      </c>
      <c r="X159" s="73">
        <v>2.95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15.09</v>
      </c>
      <c r="C162" s="68">
        <v>14.34</v>
      </c>
      <c r="D162" s="68">
        <v>15.75</v>
      </c>
      <c r="E162" s="68">
        <v>16.05</v>
      </c>
      <c r="F162" s="68">
        <v>14.05</v>
      </c>
    </row>
    <row r="163" spans="1:72" s="93" customFormat="1" ht="14.25" thickBot="1" x14ac:dyDescent="0.3">
      <c r="A163" s="225" t="s">
        <v>18</v>
      </c>
      <c r="B163" s="274">
        <v>0.56999999999999995</v>
      </c>
      <c r="C163" s="274">
        <v>0.5</v>
      </c>
      <c r="D163" s="274">
        <v>0.44</v>
      </c>
      <c r="E163" s="274">
        <v>0.47</v>
      </c>
      <c r="F163" s="274">
        <v>0.49</v>
      </c>
    </row>
    <row r="164" spans="1:72" s="93" customFormat="1" ht="14.25" thickBot="1" x14ac:dyDescent="0.3">
      <c r="A164" s="224" t="s">
        <v>15</v>
      </c>
      <c r="B164" s="68">
        <v>1.72</v>
      </c>
      <c r="C164" s="68">
        <v>1.64</v>
      </c>
      <c r="D164" s="68">
        <v>1.62</v>
      </c>
      <c r="E164" s="68">
        <v>1.56</v>
      </c>
      <c r="F164" s="68">
        <v>1.45</v>
      </c>
    </row>
    <row r="165" spans="1:72" s="93" customFormat="1" ht="14.25" thickBot="1" x14ac:dyDescent="0.3">
      <c r="A165" s="225" t="s">
        <v>45</v>
      </c>
      <c r="B165" s="73">
        <v>15.34</v>
      </c>
      <c r="C165" s="73">
        <v>13.4</v>
      </c>
      <c r="D165" s="73">
        <v>11.57</v>
      </c>
      <c r="E165" s="73">
        <v>11.84</v>
      </c>
      <c r="F165" s="73">
        <v>10.220000000000001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29.51</v>
      </c>
      <c r="C168" s="68">
        <v>33.71</v>
      </c>
      <c r="D168" s="68">
        <v>33.83</v>
      </c>
      <c r="E168" s="68">
        <v>32.729999999999997</v>
      </c>
      <c r="F168" s="68">
        <v>28.66</v>
      </c>
      <c r="G168" s="68">
        <v>29.51</v>
      </c>
      <c r="H168" s="68">
        <v>36.89</v>
      </c>
      <c r="I168" s="68">
        <v>31.25</v>
      </c>
      <c r="J168" s="68">
        <v>31.14</v>
      </c>
      <c r="K168" s="68">
        <v>29.7</v>
      </c>
      <c r="L168" s="68">
        <v>28.94</v>
      </c>
      <c r="M168" s="68">
        <v>29.03</v>
      </c>
      <c r="N168" s="68">
        <v>30</v>
      </c>
      <c r="O168" s="68">
        <v>29.61</v>
      </c>
      <c r="P168" s="68">
        <v>28.04</v>
      </c>
      <c r="Q168" s="68">
        <v>27.78</v>
      </c>
      <c r="R168" s="68">
        <v>28.04</v>
      </c>
      <c r="S168" s="68">
        <v>28.21</v>
      </c>
      <c r="T168" s="68">
        <v>27.69</v>
      </c>
      <c r="U168" s="68">
        <v>28.57</v>
      </c>
      <c r="V168" s="68">
        <v>30.41</v>
      </c>
      <c r="W168" s="68">
        <v>29.41</v>
      </c>
      <c r="X168" s="68">
        <v>29.13</v>
      </c>
    </row>
    <row r="169" spans="1:72" s="93" customFormat="1" ht="14.25" thickBot="1" x14ac:dyDescent="0.3">
      <c r="A169" s="225" t="s">
        <v>17</v>
      </c>
      <c r="B169" s="274">
        <v>14.45</v>
      </c>
      <c r="C169" s="274">
        <v>13.2</v>
      </c>
      <c r="D169" s="274">
        <v>11.17</v>
      </c>
      <c r="E169" s="274">
        <v>12.3</v>
      </c>
      <c r="F169" s="274">
        <v>12.57</v>
      </c>
      <c r="G169" s="274">
        <v>11.06</v>
      </c>
      <c r="H169" s="274">
        <v>17.96</v>
      </c>
      <c r="I169" s="274">
        <v>16.89</v>
      </c>
      <c r="J169" s="274">
        <v>18.18</v>
      </c>
      <c r="K169" s="274">
        <v>17.82</v>
      </c>
      <c r="L169" s="274">
        <v>16.670000000000002</v>
      </c>
      <c r="M169" s="274">
        <v>19.190000000000001</v>
      </c>
      <c r="N169" s="274">
        <v>20.59</v>
      </c>
      <c r="O169" s="274">
        <v>19.03</v>
      </c>
      <c r="P169" s="274">
        <v>18.440000000000001</v>
      </c>
      <c r="Q169" s="274">
        <v>18.989999999999998</v>
      </c>
      <c r="R169" s="274">
        <v>21.43</v>
      </c>
      <c r="S169" s="274">
        <v>21.58</v>
      </c>
      <c r="T169" s="274">
        <v>20.74</v>
      </c>
      <c r="U169" s="274">
        <v>22.84</v>
      </c>
      <c r="V169" s="274">
        <v>26.32</v>
      </c>
      <c r="W169" s="274">
        <v>26.39</v>
      </c>
      <c r="X169" s="274">
        <v>26.71</v>
      </c>
    </row>
    <row r="170" spans="1:72" s="93" customFormat="1" ht="14.25" thickBot="1" x14ac:dyDescent="0.3">
      <c r="A170" s="224" t="s">
        <v>42</v>
      </c>
      <c r="B170" s="72">
        <v>43.95</v>
      </c>
      <c r="C170" s="72">
        <v>46.9</v>
      </c>
      <c r="D170" s="72">
        <v>45</v>
      </c>
      <c r="E170" s="72">
        <v>45.02</v>
      </c>
      <c r="F170" s="72">
        <v>41.23</v>
      </c>
      <c r="G170" s="72">
        <v>40.56</v>
      </c>
      <c r="H170" s="72">
        <v>54.85</v>
      </c>
      <c r="I170" s="72">
        <v>48.14</v>
      </c>
      <c r="J170" s="72">
        <v>49.32</v>
      </c>
      <c r="K170" s="72">
        <v>47.52</v>
      </c>
      <c r="L170" s="72">
        <v>45.61</v>
      </c>
      <c r="M170" s="72">
        <v>48.22</v>
      </c>
      <c r="N170" s="72">
        <v>50.59</v>
      </c>
      <c r="O170" s="72">
        <v>48.63</v>
      </c>
      <c r="P170" s="72">
        <v>46.48</v>
      </c>
      <c r="Q170" s="72">
        <v>46.77</v>
      </c>
      <c r="R170" s="72">
        <v>49.47</v>
      </c>
      <c r="S170" s="72">
        <v>49.8</v>
      </c>
      <c r="T170" s="72">
        <v>48.43</v>
      </c>
      <c r="U170" s="72">
        <v>51.41</v>
      </c>
      <c r="V170" s="72">
        <v>56.72</v>
      </c>
      <c r="W170" s="72">
        <v>55.8</v>
      </c>
      <c r="X170" s="72">
        <v>55.83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134.31</v>
      </c>
      <c r="C173" s="72">
        <v>152.59</v>
      </c>
      <c r="D173" s="72">
        <v>110.23</v>
      </c>
      <c r="E173" s="72">
        <v>94.21</v>
      </c>
      <c r="F173" s="72">
        <v>96.03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11.13</v>
      </c>
      <c r="C176" s="72">
        <v>11.36</v>
      </c>
      <c r="D176" s="72">
        <v>11.63</v>
      </c>
      <c r="E176" s="72">
        <v>11.83</v>
      </c>
      <c r="F176" s="72">
        <v>11.86</v>
      </c>
      <c r="G176" s="72">
        <v>11.78</v>
      </c>
      <c r="H176" s="72">
        <v>12.27</v>
      </c>
      <c r="I176" s="72">
        <v>11.95</v>
      </c>
      <c r="J176" s="72">
        <v>12.63</v>
      </c>
      <c r="K176" s="72">
        <v>13.25</v>
      </c>
      <c r="L176" s="72">
        <v>12.85</v>
      </c>
      <c r="M176" s="72">
        <v>13.17</v>
      </c>
      <c r="N176" s="72">
        <v>13.37</v>
      </c>
      <c r="O176" s="72">
        <v>13.7</v>
      </c>
      <c r="P176" s="72">
        <v>13.63</v>
      </c>
      <c r="Q176" s="72">
        <v>14.26</v>
      </c>
      <c r="R176" s="72">
        <v>15</v>
      </c>
      <c r="S176" s="72">
        <v>14.6</v>
      </c>
      <c r="T176" s="72">
        <v>14.72</v>
      </c>
      <c r="U176" s="72">
        <v>13.86</v>
      </c>
      <c r="V176" s="72">
        <v>13.93</v>
      </c>
      <c r="W176" s="72">
        <v>14.11</v>
      </c>
      <c r="X176" s="72">
        <v>13.94</v>
      </c>
      <c r="Y176" s="72">
        <v>14.22</v>
      </c>
      <c r="Z176" s="72">
        <v>14.79</v>
      </c>
      <c r="AA176" s="72">
        <v>15.56</v>
      </c>
      <c r="AB176" s="72">
        <v>15.46</v>
      </c>
      <c r="AC176" s="72">
        <v>15.39</v>
      </c>
      <c r="AD176" s="72">
        <v>14.21</v>
      </c>
      <c r="AE176" s="72">
        <v>14.18</v>
      </c>
      <c r="AF176" s="72">
        <v>14.29</v>
      </c>
      <c r="AG176" s="72">
        <v>15.7</v>
      </c>
      <c r="AH176" s="72">
        <v>15.55</v>
      </c>
      <c r="AI176" s="72">
        <v>14.86</v>
      </c>
      <c r="AJ176" s="72">
        <v>13.49</v>
      </c>
      <c r="AK176" s="72">
        <v>13.72</v>
      </c>
      <c r="AL176" s="72">
        <v>13.68</v>
      </c>
      <c r="AM176" s="72">
        <v>13.8</v>
      </c>
      <c r="AN176" s="72">
        <v>15.03</v>
      </c>
      <c r="AO176" s="72">
        <v>14.98</v>
      </c>
      <c r="AP176" s="72">
        <v>15.7</v>
      </c>
      <c r="AQ176" s="72">
        <v>15.42</v>
      </c>
      <c r="AR176" s="72">
        <v>15.04</v>
      </c>
      <c r="AS176" s="72">
        <v>12.81</v>
      </c>
      <c r="AT176" s="72">
        <v>13.06</v>
      </c>
      <c r="AU176" s="72">
        <v>13.5</v>
      </c>
      <c r="AV176" s="72">
        <v>14.31</v>
      </c>
      <c r="AW176" s="72">
        <v>14.17</v>
      </c>
      <c r="AX176" s="72">
        <v>14.01</v>
      </c>
      <c r="AY176" s="72">
        <v>14.11</v>
      </c>
      <c r="AZ176" s="72">
        <v>14.14</v>
      </c>
      <c r="BA176" s="72">
        <v>14.28</v>
      </c>
      <c r="BB176" s="72">
        <v>14.18</v>
      </c>
      <c r="BC176" s="72">
        <v>14.25</v>
      </c>
      <c r="BD176" s="72">
        <v>14.71</v>
      </c>
      <c r="BE176" s="72">
        <v>14.8</v>
      </c>
      <c r="BF176" s="72">
        <v>14.7</v>
      </c>
      <c r="BG176" s="72">
        <v>14.66</v>
      </c>
      <c r="BH176" s="72">
        <v>15.39</v>
      </c>
      <c r="BI176" s="72">
        <v>15.37</v>
      </c>
      <c r="BJ176" s="72">
        <v>15.29</v>
      </c>
      <c r="BK176" s="72">
        <v>15.37</v>
      </c>
      <c r="BL176" s="72">
        <v>15.74</v>
      </c>
      <c r="BM176" s="72">
        <v>15.68</v>
      </c>
      <c r="BN176" s="72">
        <v>16.579999999999998</v>
      </c>
      <c r="BO176" s="72">
        <v>16.5</v>
      </c>
      <c r="BP176" s="72">
        <v>16.45</v>
      </c>
      <c r="BQ176" s="72">
        <v>15.97</v>
      </c>
      <c r="BR176" s="72">
        <v>16.12</v>
      </c>
      <c r="BS176" s="72">
        <v>16.100000000000001</v>
      </c>
      <c r="BT176" s="72">
        <v>15.96</v>
      </c>
    </row>
  </sheetData>
  <phoneticPr fontId="3" type="noConversion"/>
  <conditionalFormatting sqref="E4">
    <cfRule type="cellIs" dxfId="449" priority="103" operator="greaterThan">
      <formula>0.2</formula>
    </cfRule>
    <cfRule type="cellIs" dxfId="44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44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446" priority="97" operator="greaterThan">
      <formula>$B$19</formula>
    </cfRule>
  </conditionalFormatting>
  <conditionalFormatting sqref="D33:D34">
    <cfRule type="cellIs" dxfId="44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444" priority="91" operator="lessThan">
      <formula>$H$62</formula>
    </cfRule>
    <cfRule type="cellIs" dxfId="443" priority="92" operator="greaterThan">
      <formula>$H$62</formula>
    </cfRule>
  </conditionalFormatting>
  <conditionalFormatting sqref="J62">
    <cfRule type="cellIs" dxfId="442" priority="89" operator="lessThan">
      <formula>$K$62</formula>
    </cfRule>
    <cfRule type="cellIs" dxfId="441" priority="90" operator="greaterThan">
      <formula>$K$62</formula>
    </cfRule>
  </conditionalFormatting>
  <conditionalFormatting sqref="M62">
    <cfRule type="cellIs" dxfId="440" priority="87" operator="lessThan">
      <formula>$N$62</formula>
    </cfRule>
    <cfRule type="cellIs" dxfId="439" priority="88" operator="greaterThan">
      <formula>$N$62</formula>
    </cfRule>
  </conditionalFormatting>
  <conditionalFormatting sqref="B44:E44">
    <cfRule type="cellIs" dxfId="438" priority="85" operator="greaterThan">
      <formula>0</formula>
    </cfRule>
    <cfRule type="cellIs" dxfId="437" priority="86" operator="lessThan">
      <formula>0</formula>
    </cfRule>
  </conditionalFormatting>
  <conditionalFormatting sqref="F72">
    <cfRule type="cellIs" dxfId="436" priority="84" operator="lessThan">
      <formula>$E$72*90%</formula>
    </cfRule>
  </conditionalFormatting>
  <conditionalFormatting sqref="F73">
    <cfRule type="cellIs" dxfId="435" priority="83" operator="lessThan">
      <formula>$E$73*90%</formula>
    </cfRule>
  </conditionalFormatting>
  <conditionalFormatting sqref="F74">
    <cfRule type="cellIs" dxfId="434" priority="82" operator="lessThan">
      <formula>$E$74*90%</formula>
    </cfRule>
  </conditionalFormatting>
  <conditionalFormatting sqref="F75">
    <cfRule type="cellIs" dxfId="433" priority="81" operator="lessThan">
      <formula>$E$75*90%</formula>
    </cfRule>
  </conditionalFormatting>
  <conditionalFormatting sqref="H44:K44">
    <cfRule type="cellIs" dxfId="432" priority="79" operator="greaterThan">
      <formula>0</formula>
    </cfRule>
    <cfRule type="cellIs" dxfId="431" priority="80" operator="lessThan">
      <formula>0</formula>
    </cfRule>
  </conditionalFormatting>
  <conditionalFormatting sqref="H51:K51">
    <cfRule type="cellIs" dxfId="430" priority="77" operator="greaterThan">
      <formula>0</formula>
    </cfRule>
    <cfRule type="cellIs" dxfId="429" priority="78" operator="lessThan">
      <formula>0</formula>
    </cfRule>
  </conditionalFormatting>
  <conditionalFormatting sqref="B51:E51">
    <cfRule type="cellIs" dxfId="428" priority="75" operator="greaterThan">
      <formula>0</formula>
    </cfRule>
    <cfRule type="cellIs" dxfId="42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42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42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24" priority="58" operator="lessThan">
      <formula>0</formula>
    </cfRule>
  </conditionalFormatting>
  <conditionalFormatting sqref="A25 E25 C25">
    <cfRule type="cellIs" dxfId="423" priority="59" operator="lessThan">
      <formula>0</formula>
    </cfRule>
  </conditionalFormatting>
  <conditionalFormatting sqref="F25">
    <cfRule type="cellIs" dxfId="422" priority="57" operator="lessThan">
      <formula>0</formula>
    </cfRule>
  </conditionalFormatting>
  <conditionalFormatting sqref="E1">
    <cfRule type="containsText" dxfId="421" priority="56" operator="containsText" text="本季業外損益/平均=-">
      <formula>NOT(ISERROR(SEARCH("本季業外損益/平均=-",E1)))</formula>
    </cfRule>
  </conditionalFormatting>
  <conditionalFormatting sqref="M65">
    <cfRule type="cellIs" dxfId="420" priority="55" operator="lessThan">
      <formula>$L$65*90%</formula>
    </cfRule>
  </conditionalFormatting>
  <conditionalFormatting sqref="M66">
    <cfRule type="cellIs" dxfId="419" priority="54" operator="lessThan">
      <formula>$L$66*90%</formula>
    </cfRule>
  </conditionalFormatting>
  <conditionalFormatting sqref="M67">
    <cfRule type="cellIs" dxfId="418" priority="53" operator="lessThan">
      <formula>$L$67*90%</formula>
    </cfRule>
  </conditionalFormatting>
  <conditionalFormatting sqref="M68">
    <cfRule type="cellIs" dxfId="417" priority="52" operator="lessThan">
      <formula>$L$68*90%</formula>
    </cfRule>
  </conditionalFormatting>
  <conditionalFormatting sqref="B60">
    <cfRule type="cellIs" dxfId="416" priority="51" operator="lessThan">
      <formula>0</formula>
    </cfRule>
  </conditionalFormatting>
  <conditionalFormatting sqref="B59:F59">
    <cfRule type="cellIs" dxfId="415" priority="50" operator="lessThanOrEqual">
      <formula>0</formula>
    </cfRule>
  </conditionalFormatting>
  <conditionalFormatting sqref="D62">
    <cfRule type="cellIs" dxfId="414" priority="48" operator="lessThan">
      <formula>$E$62</formula>
    </cfRule>
    <cfRule type="cellIs" dxfId="413" priority="49" operator="greaterThan">
      <formula>$E$62</formula>
    </cfRule>
  </conditionalFormatting>
  <conditionalFormatting sqref="F69">
    <cfRule type="cellIs" dxfId="412" priority="46" operator="lessThan">
      <formula>0</formula>
    </cfRule>
  </conditionalFormatting>
  <conditionalFormatting sqref="B65:E67 B69:E69 B68:D68">
    <cfRule type="cellIs" dxfId="411" priority="47" operator="lessThan">
      <formula>0</formula>
    </cfRule>
  </conditionalFormatting>
  <conditionalFormatting sqref="E68">
    <cfRule type="cellIs" dxfId="410" priority="45" operator="lessThan">
      <formula>0</formula>
    </cfRule>
  </conditionalFormatting>
  <conditionalFormatting sqref="F65:F68">
    <cfRule type="cellIs" dxfId="409" priority="44" operator="lessThan">
      <formula>0</formula>
    </cfRule>
  </conditionalFormatting>
  <conditionalFormatting sqref="F65:F68">
    <cfRule type="cellIs" dxfId="408" priority="43" operator="lessThan">
      <formula>$E$65*0.9</formula>
    </cfRule>
  </conditionalFormatting>
  <conditionalFormatting sqref="F66">
    <cfRule type="cellIs" dxfId="407" priority="42" operator="lessThan">
      <formula>$E$66*0.9</formula>
    </cfRule>
  </conditionalFormatting>
  <conditionalFormatting sqref="F67:F68">
    <cfRule type="cellIs" dxfId="406" priority="41" operator="lessThan">
      <formula>$E$67*0.9</formula>
    </cfRule>
  </conditionalFormatting>
  <conditionalFormatting sqref="F68">
    <cfRule type="cellIs" dxfId="405" priority="40" operator="lessThan">
      <formula>$E$68*0.9</formula>
    </cfRule>
  </conditionalFormatting>
  <conditionalFormatting sqref="B13:F13">
    <cfRule type="cellIs" dxfId="404" priority="29" operator="greaterThan">
      <formula>$I$16</formula>
    </cfRule>
    <cfRule type="cellIs" dxfId="403" priority="30" operator="lessThanOrEqual">
      <formula>$I$16</formula>
    </cfRule>
  </conditionalFormatting>
  <conditionalFormatting sqref="B10:F10">
    <cfRule type="cellIs" dxfId="402" priority="31" operator="greaterThan">
      <formula>15</formula>
    </cfRule>
    <cfRule type="cellIs" dxfId="401" priority="38" operator="lessThan">
      <formula>$I$9</formula>
    </cfRule>
    <cfRule type="cellIs" dxfId="400" priority="39" operator="greaterThan">
      <formula>$I$9</formula>
    </cfRule>
  </conditionalFormatting>
  <conditionalFormatting sqref="B16:F16">
    <cfRule type="cellIs" dxfId="399" priority="36" operator="greaterThan">
      <formula>$I$16</formula>
    </cfRule>
    <cfRule type="cellIs" dxfId="398" priority="37" operator="lessThanOrEqual">
      <formula>$I$16</formula>
    </cfRule>
  </conditionalFormatting>
  <conditionalFormatting sqref="B15:F15">
    <cfRule type="cellIs" dxfId="397" priority="34" operator="lessThanOrEqual">
      <formula>$I$16</formula>
    </cfRule>
    <cfRule type="cellIs" dxfId="396" priority="35" operator="greaterThan">
      <formula>$I$16</formula>
    </cfRule>
  </conditionalFormatting>
  <conditionalFormatting sqref="B14:F14">
    <cfRule type="cellIs" dxfId="395" priority="32" operator="greaterThan">
      <formula>$I$16</formula>
    </cfRule>
    <cfRule type="cellIs" dxfId="394" priority="33" operator="lessThanOrEqual">
      <formula>$I$16</formula>
    </cfRule>
  </conditionalFormatting>
  <conditionalFormatting sqref="K6">
    <cfRule type="containsText" dxfId="393" priority="27" operator="containsText" text="衰退">
      <formula>NOT(ISERROR(SEARCH("衰退",K6)))</formula>
    </cfRule>
    <cfRule type="containsText" dxfId="392" priority="28" operator="containsText" text="成長">
      <formula>NOT(ISERROR(SEARCH("成長",K6)))</formula>
    </cfRule>
  </conditionalFormatting>
  <conditionalFormatting sqref="I4:K4">
    <cfRule type="cellIs" dxfId="391" priority="25" operator="lessThan">
      <formula>0</formula>
    </cfRule>
    <cfRule type="cellIs" dxfId="39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89" priority="22" operator="lessThanOrEqual">
      <formula>$I$16</formula>
    </cfRule>
    <cfRule type="cellIs" dxfId="388" priority="23" operator="greaterThan">
      <formula>$I$16</formula>
    </cfRule>
  </conditionalFormatting>
  <conditionalFormatting sqref="I6">
    <cfRule type="containsText" dxfId="387" priority="20" operator="containsText" text="衰退">
      <formula>NOT(ISERROR(SEARCH("衰退",I6)))</formula>
    </cfRule>
    <cfRule type="containsText" dxfId="386" priority="21" operator="containsText" text="成長">
      <formula>NOT(ISERROR(SEARCH("成長",I6)))</formula>
    </cfRule>
  </conditionalFormatting>
  <conditionalFormatting sqref="M9">
    <cfRule type="cellIs" dxfId="385" priority="19" operator="lessThan">
      <formula>$I$9</formula>
    </cfRule>
  </conditionalFormatting>
  <conditionalFormatting sqref="M10">
    <cfRule type="cellIs" dxfId="384" priority="18" operator="greaterThan">
      <formula>$I$9</formula>
    </cfRule>
  </conditionalFormatting>
  <conditionalFormatting sqref="M11">
    <cfRule type="cellIs" dxfId="38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82" priority="14" operator="lessThan">
      <formula>0</formula>
    </cfRule>
    <cfRule type="cellIs" dxfId="381" priority="15" operator="greaterThan">
      <formula>0.5</formula>
    </cfRule>
  </conditionalFormatting>
  <conditionalFormatting sqref="N14">
    <cfRule type="cellIs" dxfId="38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79" priority="10" operator="lessThan">
      <formula>0.1</formula>
    </cfRule>
  </conditionalFormatting>
  <conditionalFormatting sqref="I14">
    <cfRule type="cellIs" dxfId="37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7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76" priority="1" operator="lessThan">
      <formula>$N$5*0.9</formula>
    </cfRule>
    <cfRule type="cellIs" dxfId="375" priority="2" operator="greaterThan">
      <formula>$N$5*1.1</formula>
    </cfRule>
  </conditionalFormatting>
  <hyperlinks>
    <hyperlink ref="L1" location="儀表板!A1" display="(回首頁)" xr:uid="{00000000-0004-0000-6200-000000000000}"/>
  </hyperlink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8.15 ~ 16.26</v>
      </c>
      <c r="L1" s="83" t="s">
        <v>176</v>
      </c>
      <c r="M1" s="84" t="str">
        <f ca="1">VLOOKUP(_xlfn.NUMBERVALUE(N1),儀表板!A:B,2,FALSE)</f>
        <v>中聯資</v>
      </c>
      <c r="N1" s="85" t="str">
        <f ca="1">MID(CELL("filename",L1),FIND("]",CELL("filename",L1))+1,255)</f>
        <v>9930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0.16524578366955678</v>
      </c>
    </row>
    <row r="3" spans="1:15" s="93" customFormat="1" x14ac:dyDescent="0.25">
      <c r="A3" s="81" t="s">
        <v>179</v>
      </c>
      <c r="B3" s="94">
        <f>SUM(F19:F22,F24:F27,J19)</f>
        <v>74.544885980239386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49.410462319679645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51.6599676083502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54.806128851246072</v>
      </c>
      <c r="L3" s="100"/>
      <c r="M3" s="79" t="s">
        <v>385</v>
      </c>
      <c r="N3" s="92">
        <f>(F69-E69)/E69</f>
        <v>0.16237460236127665</v>
      </c>
    </row>
    <row r="4" spans="1:15" s="93" customFormat="1" x14ac:dyDescent="0.25">
      <c r="A4" s="81" t="s">
        <v>182</v>
      </c>
      <c r="B4" s="96">
        <f>SUM(G36:G40)*2</f>
        <v>66</v>
      </c>
      <c r="C4" s="101"/>
      <c r="D4" s="102">
        <f>F4*(1+F141/10)</f>
        <v>22.6</v>
      </c>
      <c r="E4" s="82">
        <f>(D4-F4)/F4</f>
        <v>0</v>
      </c>
      <c r="F4" s="103">
        <v>22.6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3.1616589184226722</v>
      </c>
    </row>
    <row r="5" spans="1:15" s="93" customFormat="1" x14ac:dyDescent="0.25">
      <c r="A5" s="81" t="s">
        <v>184</v>
      </c>
      <c r="B5" s="107">
        <f>SUM(F30:F34)*2</f>
        <v>95.55578698224852</v>
      </c>
      <c r="C5" s="87"/>
      <c r="D5" s="87"/>
      <c r="E5" s="87"/>
      <c r="F5" s="86"/>
      <c r="G5" s="88"/>
      <c r="M5" s="79" t="s">
        <v>386</v>
      </c>
      <c r="N5" s="152">
        <f>D62</f>
        <v>3.1100000000000003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連4月成長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3.2770589880056313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20.51</v>
      </c>
      <c r="N9" s="129"/>
    </row>
    <row r="10" spans="1:15" s="93" customFormat="1" x14ac:dyDescent="0.25">
      <c r="A10" s="123" t="s">
        <v>194</v>
      </c>
      <c r="B10" s="126">
        <f>PERCENTILE(176:176,B9)</f>
        <v>15.05</v>
      </c>
      <c r="C10" s="126">
        <f>PERCENTILE(176:176,C9)</f>
        <v>15.705</v>
      </c>
      <c r="D10" s="126">
        <f>PERCENTILE(176:176,D9)</f>
        <v>16.420000000000002</v>
      </c>
      <c r="E10" s="126">
        <f>PERCENTILE(176:176,E9)</f>
        <v>17.420000000000002</v>
      </c>
      <c r="F10" s="126">
        <f>PERCENTILE(176:176,F9)</f>
        <v>18.149999999999999</v>
      </c>
      <c r="G10" s="95"/>
      <c r="H10" s="135"/>
      <c r="I10" s="135"/>
      <c r="J10" s="135"/>
      <c r="K10" s="135"/>
      <c r="L10" s="136" t="s">
        <v>374</v>
      </c>
      <c r="M10" s="130">
        <f>MIN(176:176)</f>
        <v>12.56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18.13</v>
      </c>
      <c r="L11" s="272" t="s">
        <v>193</v>
      </c>
      <c r="M11" s="128">
        <f>STDEV(176:176)</f>
        <v>1.8667197906113133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48.319327731092443</v>
      </c>
      <c r="C13" s="141">
        <f>$B$34/5.88%</f>
        <v>58.673469387755105</v>
      </c>
      <c r="D13" s="141">
        <f>$B$34/5%</f>
        <v>69</v>
      </c>
      <c r="E13" s="141">
        <f>$B$34/4.35%</f>
        <v>79.310344827586221</v>
      </c>
      <c r="F13" s="141">
        <f>$B$34/3.85%</f>
        <v>89.610389610389618</v>
      </c>
      <c r="G13" s="138" t="str">
        <f>"$"&amp;ROUND(B34,2)&amp;"/"&amp;IF(STDEV(C140:F140)/AVERAGE(C140:F140)&lt;15%,"高",IF(STDEV(C140:F140)/AVERAGE(C140:F140)&lt;30%,"中","低"))</f>
        <v>$3.45/中</v>
      </c>
      <c r="H13" s="142" t="s">
        <v>199</v>
      </c>
      <c r="I13" s="143">
        <f>MAX(0,1-J15)</f>
        <v>0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57.227625000000003</v>
      </c>
      <c r="C14" s="141">
        <f>$B$33*C10</f>
        <v>59.718262500000002</v>
      </c>
      <c r="D14" s="141">
        <f>$B$33*D10</f>
        <v>62.437050000000013</v>
      </c>
      <c r="E14" s="141">
        <f>$B$33*E10</f>
        <v>66.239550000000008</v>
      </c>
      <c r="F14" s="141">
        <f>$B$33*F10</f>
        <v>69.015374999999992</v>
      </c>
      <c r="G14" s="138" t="str">
        <f>"$"&amp;ROUND(B33,2)&amp;"/"&amp;IF(STDEV(B69:E69)/AVERAGE(B69:E69)&lt;15%,"高",IF(STDEV(B69:E69)/AVERAGE(B69:E69)&lt;30%,"中","低"))</f>
        <v>$3.8/中</v>
      </c>
      <c r="H14" s="142" t="s">
        <v>203</v>
      </c>
      <c r="I14" s="145">
        <f>G62/100*I13</f>
        <v>0</v>
      </c>
      <c r="J14" s="76" t="s">
        <v>204</v>
      </c>
      <c r="K14" s="146"/>
      <c r="L14" s="147">
        <f>(HLOOKUP($C$1,$105:$106,2,FALSE)-HLOOKUP($C$1,$117:$127,9,FALSE))/(HLOOKUP($C$1,$117:$128,12,FALSE)/K11)</f>
        <v>-1.4571369532356546</v>
      </c>
      <c r="M14" s="148">
        <f>E135/E69</f>
        <v>0.5220588235294118</v>
      </c>
      <c r="N14" s="149">
        <f>F173/100</f>
        <v>1.5781000000000001</v>
      </c>
    </row>
    <row r="15" spans="1:15" s="93" customFormat="1" x14ac:dyDescent="0.25">
      <c r="A15" s="140" t="s">
        <v>375</v>
      </c>
      <c r="B15" s="141">
        <f>$D$62*B10</f>
        <v>46.805500000000009</v>
      </c>
      <c r="C15" s="141">
        <f>$D$62*C10</f>
        <v>48.842550000000003</v>
      </c>
      <c r="D15" s="141">
        <f>$D$62*D10</f>
        <v>51.066200000000009</v>
      </c>
      <c r="E15" s="141">
        <f>$D$62*E10</f>
        <v>54.176200000000009</v>
      </c>
      <c r="F15" s="141">
        <f>$D$62*F10</f>
        <v>56.4465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47.582966722261219</v>
      </c>
      <c r="C16" s="141">
        <f>$F$69*C10</f>
        <v>49.653853313828066</v>
      </c>
      <c r="D16" s="141">
        <f>$F$69*D10</f>
        <v>51.914439440500281</v>
      </c>
      <c r="E16" s="141">
        <f>$F$69*E10</f>
        <v>55.076098358922955</v>
      </c>
      <c r="F16" s="141">
        <f>$F$69*F10</f>
        <v>57.384109369371494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112</v>
      </c>
      <c r="J17" s="92">
        <f ca="1">IF(I17&lt;=0,"",IF(I17&lt;=MIN($B$13:$F$16),(I17-MIN($B$13:$F$16))/MIN($B$13:$F$16),IF(I17&gt;=MAX($B$13:$F$16),I17/MAX($B$13:$F$16),PERCENTRANK($B$13:$F$16,I17))))</f>
        <v>1.249855072463768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2.6349999999999998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6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0.76376811594202887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4</v>
      </c>
      <c r="G20" s="88" t="s">
        <v>213</v>
      </c>
      <c r="H20" s="123" t="s">
        <v>219</v>
      </c>
      <c r="I20" s="237">
        <f>HLOOKUP($C$1,$117:$127,11,FALSE)*(1-N22)/HLOOKUP($C$1,$105:$115,11,FALSE)</f>
        <v>0.40112102440636904</v>
      </c>
      <c r="J20" s="171">
        <f>HLOOKUP($C$1,$117:$127,11,FALSE)/HLOOKUP($C$1,$105:$115,11,FALSE)</f>
        <v>0.41994243126949188</v>
      </c>
      <c r="K20" s="163"/>
    </row>
    <row r="21" spans="1:14" s="93" customFormat="1" x14ac:dyDescent="0.25">
      <c r="A21" s="151" t="s">
        <v>201</v>
      </c>
      <c r="B21" s="161">
        <f>AVERAGE(C173:F173)/100</f>
        <v>1.196725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0.74994366554437308</v>
      </c>
      <c r="J21" s="78"/>
      <c r="K21" s="164" t="s">
        <v>356</v>
      </c>
      <c r="L21" s="165">
        <f>HLOOKUP($C$1,$105:$115,7,FALSE)/HLOOKUP($C$1,$105:$115,11,FALSE)</f>
        <v>0.26699590700299886</v>
      </c>
      <c r="M21" s="123" t="s">
        <v>268</v>
      </c>
      <c r="N21" s="165">
        <f>HLOOKUP($C$1,$117:$127,8,FALSE)/HLOOKUP($C$1,$117:$127,11,FALSE)</f>
        <v>0.84778592932703245</v>
      </c>
    </row>
    <row r="22" spans="1:14" s="93" customFormat="1" x14ac:dyDescent="0.25">
      <c r="A22" s="140" t="s">
        <v>222</v>
      </c>
      <c r="B22" s="161">
        <f>(-1)*SUM(C133:F133)/SUM(C132:F132)</f>
        <v>0.41767955801104972</v>
      </c>
      <c r="C22" s="157"/>
      <c r="D22" s="166"/>
      <c r="E22" s="140"/>
      <c r="F22" s="159">
        <f>IF(B22&lt;=0,10,IF(B22&gt;=100%,0,(1-B22)*10))</f>
        <v>5.8232044198895032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0.65010078146846573</v>
      </c>
      <c r="J22" s="78"/>
      <c r="K22" s="142" t="s">
        <v>357</v>
      </c>
      <c r="L22" s="165">
        <f>HLOOKUP($C$1,$105:$115,4,FALSE)/HLOOKUP($C$1,$105:$115,11,FALSE)</f>
        <v>0.10429796443751461</v>
      </c>
      <c r="M22" s="123" t="s">
        <v>353</v>
      </c>
      <c r="N22" s="165">
        <f>HLOOKUP($C$1,$117:$127,4,FALSE)/HLOOKUP($C$1,$117:$127,11,FALSE)</f>
        <v>4.4819016754809496E-2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1.7239668162395705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3.5546191822677486E-2</v>
      </c>
      <c r="M23" s="123" t="s">
        <v>354</v>
      </c>
      <c r="N23" s="165">
        <f>IF(HLOOKUP($C$1,$117:$127,5,FALSE)="無",0,HLOOKUP($C$1,$117:$127,5,FALSE))/HLOOKUP($C$1,$117:$127,11,FALSE)</f>
        <v>1.2235982528386112E-2</v>
      </c>
    </row>
    <row r="24" spans="1:14" s="93" customFormat="1" x14ac:dyDescent="0.25">
      <c r="A24" s="164" t="s">
        <v>228</v>
      </c>
      <c r="B24" s="127">
        <f>AVERAGE(C103:F103)</f>
        <v>0.9788822824740091</v>
      </c>
      <c r="C24" s="169">
        <f>STDEV(C103:F103)</f>
        <v>6.3018912053742944E-3</v>
      </c>
      <c r="D24" s="76" t="str">
        <f>IF(C24/B24&lt;15%,"高",IF(C24/B24&lt;30%,"中","低"))</f>
        <v>高</v>
      </c>
      <c r="E24" s="149"/>
      <c r="F24" s="160">
        <f>MIN(100%,B24)*5</f>
        <v>4.8944114123700455</v>
      </c>
      <c r="G24" s="88" t="s">
        <v>229</v>
      </c>
      <c r="H24" s="123" t="s">
        <v>16</v>
      </c>
      <c r="I24" s="170">
        <f>HLOOKUP(C1,167:170,2,FALSE)</f>
        <v>35.29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4.9876514161725435E-2</v>
      </c>
      <c r="M24" s="123" t="s">
        <v>355</v>
      </c>
      <c r="N24" s="165">
        <f>HLOOKUP($C$1,$117:$127,9,FALSE)/HLOOKUP($C$1,$117:$127,11,FALSE)</f>
        <v>0.15221407067296752</v>
      </c>
    </row>
    <row r="25" spans="1:14" s="93" customFormat="1" x14ac:dyDescent="0.25">
      <c r="A25" s="151" t="s">
        <v>366</v>
      </c>
      <c r="B25" s="255">
        <f>AVERAGE(94:94)</f>
        <v>7143.782608695652</v>
      </c>
      <c r="C25" s="254">
        <f>STDEV(94:94)/AVERAGE(94:94)</f>
        <v>1.1727298520201663</v>
      </c>
      <c r="D25" s="76" t="str">
        <f>IF(C25&lt;=1,"高",IF(C25&lt;=2,"中","低"))</f>
        <v>中</v>
      </c>
      <c r="E25" s="149"/>
      <c r="F25" s="160">
        <f>MAX(0,10-ABS(C25))</f>
        <v>8.8272701479798332</v>
      </c>
      <c r="G25" s="88" t="s">
        <v>213</v>
      </c>
      <c r="H25" s="123" t="s">
        <v>232</v>
      </c>
      <c r="I25" s="170">
        <f>IF(HLOOKUP(C1,167:170,3,FALSE)="無",0,HLOOKUP(C1,167:170,3,FALSE))</f>
        <v>15.52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41.807826086956524</v>
      </c>
      <c r="C26" s="172">
        <f>IF(COUNTIF(168:168,"&gt;0")=0,0,STDEV(168:168))</f>
        <v>3.5807819822970344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14.152608695652177</v>
      </c>
      <c r="C27" s="172">
        <f>IF(COUNTIF(169:169,"&gt;0")=0,0,STDEV(169:169))</f>
        <v>2.5379541105373828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0.2014</v>
      </c>
      <c r="C30" s="157" t="s">
        <v>217</v>
      </c>
      <c r="D30" s="174">
        <f>COUNTIF(146:146,"&gt;20")/COUNT(146:146)</f>
        <v>0.47826086956521741</v>
      </c>
      <c r="E30" s="140" t="s">
        <v>239</v>
      </c>
      <c r="F30" s="159">
        <f>MIN(B30/25%*10,10)</f>
        <v>8.0559999999999992</v>
      </c>
      <c r="G30" s="175"/>
      <c r="H30" s="176"/>
    </row>
    <row r="31" spans="1:14" x14ac:dyDescent="0.25">
      <c r="A31" s="164" t="s">
        <v>240</v>
      </c>
      <c r="B31" s="173">
        <f>AVERAGE(C155:F155)/100</f>
        <v>0.126525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19.762499999999999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3.8025000000000002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3.45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9.7218934911242592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6960720.5</v>
      </c>
      <c r="C36" s="178">
        <f>STDEV(C97:F97)</f>
        <v>604431.07152566756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20.14</v>
      </c>
      <c r="C37" s="180">
        <f>STDEV(C152:F152)</f>
        <v>3.0429371775747591</v>
      </c>
      <c r="D37" s="76" t="str">
        <f>IF(C37/B37&lt;15%,"高",IF(C37/B37&lt;30%,"中","低"))</f>
        <v>中</v>
      </c>
      <c r="E37" s="107">
        <f>IF(F152&gt;E152,1,0)+IF(E152&gt;D152,1,0)+IF(D152&gt;C152,1,0)</f>
        <v>1</v>
      </c>
      <c r="F37" s="179"/>
      <c r="G37" s="160">
        <f>IF(D37="高",6,IF(D37="中",4,2))+E37+1</f>
        <v>6</v>
      </c>
    </row>
    <row r="38" spans="1:14" x14ac:dyDescent="0.25">
      <c r="A38" s="164" t="s">
        <v>249</v>
      </c>
      <c r="B38" s="180">
        <f>AVERAGE(C153:F153)</f>
        <v>14.695</v>
      </c>
      <c r="C38" s="180">
        <f>STDEV(C153:F153)</f>
        <v>3.1951264972350248</v>
      </c>
      <c r="D38" s="76" t="str">
        <f>IF(C38/B38&lt;15%,"高",IF(C38/B38&lt;30%,"中","低"))</f>
        <v>中</v>
      </c>
      <c r="E38" s="107">
        <f>IF(F153&gt;E153,1,0)+IF(E153&gt;D153,1,0)+IF(D153&gt;C153,1,0)</f>
        <v>1</v>
      </c>
      <c r="F38" s="179"/>
      <c r="G38" s="160">
        <f>IF(D38="高",6,IF(D38="中",4,2))+E38+1</f>
        <v>6</v>
      </c>
    </row>
    <row r="39" spans="1:14" x14ac:dyDescent="0.25">
      <c r="A39" s="142" t="s">
        <v>46</v>
      </c>
      <c r="B39" s="181">
        <f>AVERAGE(C165:F165)</f>
        <v>19.762499999999999</v>
      </c>
      <c r="C39" s="181">
        <f>STDEV(C165:F165)</f>
        <v>4.0220175285545512</v>
      </c>
      <c r="D39" s="76" t="str">
        <f>IF(C39/B39&lt;15%,"高",IF(C39/B39&lt;30%,"中","低"))</f>
        <v>中</v>
      </c>
      <c r="E39" s="107">
        <f>IF(F165&gt;E165,1,0)+IF(E165&gt;D165,1,0)+IF(D165&gt;C165,1,0)</f>
        <v>1</v>
      </c>
      <c r="F39" s="182"/>
      <c r="G39" s="160">
        <f>IF(D39="高",6,IF(D39="中",4,2))+E39+1</f>
        <v>6</v>
      </c>
    </row>
    <row r="40" spans="1:14" x14ac:dyDescent="0.25">
      <c r="A40" s="164" t="s">
        <v>14</v>
      </c>
      <c r="B40" s="183">
        <f>AVERAGE(B69:E69)</f>
        <v>3.8025000000000002</v>
      </c>
      <c r="C40" s="183">
        <f>STDEV(B69:E69)</f>
        <v>0.7775334933836161</v>
      </c>
      <c r="D40" s="76" t="str">
        <f>IF(C40/B40&lt;15%,"高",IF(C40/B40&lt;30%,"中","低"))</f>
        <v>中</v>
      </c>
      <c r="E40" s="107">
        <f>IF(E69&gt;D69,1,0)+IF(D69&gt;C69,1,0)+IF(C69&gt;B69,1,0)</f>
        <v>1</v>
      </c>
      <c r="G40" s="160">
        <f>IF(D40="高",6,IF(D40="中",4,2))+E40+1</f>
        <v>6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0.74999999999999978</v>
      </c>
      <c r="C44" s="186">
        <f>(C46-C49)/C49</f>
        <v>-0.1851851851851852</v>
      </c>
      <c r="D44" s="186">
        <f>(D46-D49)/D49</f>
        <v>0.1846153846153846</v>
      </c>
      <c r="E44" s="186">
        <f>(E46-E49)/E49</f>
        <v>-0.33962264150943405</v>
      </c>
      <c r="G44" s="86" t="s">
        <v>175</v>
      </c>
      <c r="H44" s="186">
        <f>(H47-H50)/H50</f>
        <v>0.42571127502634359</v>
      </c>
      <c r="I44" s="186">
        <f>(I47-I50)/I50</f>
        <v>-0.25225965488907154</v>
      </c>
      <c r="J44" s="186">
        <f>(J47-J50)/J50</f>
        <v>0.35767991407089161</v>
      </c>
      <c r="K44" s="186">
        <f>(K47-K50)/K50</f>
        <v>-0.24593639575971737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0.98</v>
      </c>
      <c r="C46" s="152">
        <f>HLOOKUP(C45,$81:$82,2,FALSE)</f>
        <v>0.66</v>
      </c>
      <c r="D46" s="152">
        <f>HLOOKUP(D45,$81:$82,2,FALSE)</f>
        <v>0.77</v>
      </c>
      <c r="E46" s="152">
        <f>HLOOKUP(E45,$81:$82,2,FALSE)</f>
        <v>0.7</v>
      </c>
      <c r="G46" s="86" t="s">
        <v>164</v>
      </c>
      <c r="H46" s="145">
        <f>HLOOKUP(H45,$145:$147,2,FALSE)/100</f>
        <v>0.19620000000000001</v>
      </c>
      <c r="I46" s="145">
        <f>HLOOKUP(I45,$145:$147,2,FALSE)/100</f>
        <v>0.1517</v>
      </c>
      <c r="J46" s="145">
        <f>HLOOKUP(J45,$145:$147,2,FALSE)/100</f>
        <v>0.18460000000000001</v>
      </c>
      <c r="K46" s="145">
        <f>HLOOKUP(K45,$145:$147,2,FALSE)/100</f>
        <v>0.1681</v>
      </c>
    </row>
    <row r="47" spans="1:14" x14ac:dyDescent="0.25">
      <c r="A47" s="188" t="s">
        <v>165</v>
      </c>
      <c r="B47" s="189">
        <f>HLOOKUP(B45,$157:$159,3,FALSE)</f>
        <v>5.64</v>
      </c>
      <c r="C47" s="189">
        <f>HLOOKUP(C45,$157:$159,3,FALSE)</f>
        <v>3.16</v>
      </c>
      <c r="D47" s="189">
        <f>HLOOKUP(D45,$157:$159,3,FALSE)</f>
        <v>3.93</v>
      </c>
      <c r="E47" s="189">
        <f>HLOOKUP(E45,$157:$159,3,FALSE)</f>
        <v>3.8</v>
      </c>
      <c r="G47" s="190" t="s">
        <v>166</v>
      </c>
      <c r="H47" s="145">
        <f>HLOOKUP(H45,$145:$147,3,FALSE)/100</f>
        <v>0.1353</v>
      </c>
      <c r="I47" s="145">
        <f>HLOOKUP(I45,$145:$147,3,FALSE)/100</f>
        <v>9.0999999999999998E-2</v>
      </c>
      <c r="J47" s="145">
        <f>HLOOKUP(J45,$145:$147,3,FALSE)/100</f>
        <v>0.12640000000000001</v>
      </c>
      <c r="K47" s="145">
        <f>HLOOKUP(K45,$145:$147,3,FALSE)/100</f>
        <v>0.1067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0.56000000000000005</v>
      </c>
      <c r="C49" s="152">
        <f>HLOOKUP(C48,$81:$82,2,FALSE)</f>
        <v>0.81</v>
      </c>
      <c r="D49" s="152">
        <f>HLOOKUP(D48,$81:$82,2,FALSE)</f>
        <v>0.65</v>
      </c>
      <c r="E49" s="152">
        <f>HLOOKUP(E48,$81:$82,2,FALSE)</f>
        <v>1.06</v>
      </c>
      <c r="G49" s="86" t="s">
        <v>164</v>
      </c>
      <c r="H49" s="145">
        <f>HLOOKUP(H48,$145:$147,2,FALSE)/100</f>
        <v>0.1585</v>
      </c>
      <c r="I49" s="145">
        <f>HLOOKUP(I48,$145:$147,2,FALSE)/100</f>
        <v>0.17319999999999999</v>
      </c>
      <c r="J49" s="145">
        <f>HLOOKUP(J48,$145:$147,2,FALSE)/100</f>
        <v>0.1487</v>
      </c>
      <c r="K49" s="145">
        <f>HLOOKUP(K48,$145:$147,2,FALSE)/100</f>
        <v>0.19170000000000001</v>
      </c>
    </row>
    <row r="50" spans="1:15" x14ac:dyDescent="0.25">
      <c r="A50" s="188" t="s">
        <v>165</v>
      </c>
      <c r="B50" s="189">
        <f>HLOOKUP(B48,$157:$159,3,FALSE)</f>
        <v>3.09</v>
      </c>
      <c r="C50" s="189">
        <f>HLOOKUP(C48,$157:$159,3,FALSE)</f>
        <v>4.2300000000000004</v>
      </c>
      <c r="D50" s="189">
        <f>HLOOKUP(D48,$157:$159,3,FALSE)</f>
        <v>3.27</v>
      </c>
      <c r="E50" s="189">
        <f>HLOOKUP(E48,$157:$159,3,FALSE)</f>
        <v>5.54</v>
      </c>
      <c r="G50" s="190" t="s">
        <v>166</v>
      </c>
      <c r="H50" s="145">
        <f>HLOOKUP(H48,$145:$147,3,FALSE)/100</f>
        <v>9.4899999999999998E-2</v>
      </c>
      <c r="I50" s="145">
        <f>HLOOKUP(I48,$145:$147,3,FALSE)/100</f>
        <v>0.1217</v>
      </c>
      <c r="J50" s="145">
        <f>HLOOKUP(J48,$145:$147,3,FALSE)/100</f>
        <v>9.3100000000000002E-2</v>
      </c>
      <c r="K50" s="145">
        <f>HLOOKUP(K48,$145:$147,3,FALSE)/100</f>
        <v>0.14150000000000001</v>
      </c>
    </row>
    <row r="51" spans="1:15" x14ac:dyDescent="0.25">
      <c r="A51" s="86" t="s">
        <v>351</v>
      </c>
      <c r="B51" s="186">
        <f>(B47-B50)/B50</f>
        <v>0.82524271844660191</v>
      </c>
      <c r="C51" s="186">
        <f>(C47-C50)/C50</f>
        <v>-0.25295508274231682</v>
      </c>
      <c r="D51" s="186">
        <f>(D47-D50)/D50</f>
        <v>0.20183486238532114</v>
      </c>
      <c r="E51" s="186">
        <f>(E47-E50)/E50</f>
        <v>-0.3140794223826715</v>
      </c>
      <c r="G51" s="235" t="s">
        <v>174</v>
      </c>
      <c r="H51" s="186">
        <f>(H46-H49)/H49</f>
        <v>0.23785488958990544</v>
      </c>
      <c r="I51" s="186">
        <f>(I46-I49)/I49</f>
        <v>-0.12413394919168587</v>
      </c>
      <c r="J51" s="186">
        <f>(J46-J49)/J49</f>
        <v>0.2414256893073303</v>
      </c>
      <c r="K51" s="186">
        <f>(K46-K49)/K49</f>
        <v>-0.12310902451747527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3.2770589880056313</v>
      </c>
      <c r="B53" s="193">
        <f>B46</f>
        <v>0.98</v>
      </c>
      <c r="C53" s="193">
        <f>E46/HLOOKUP(E45,$87:$94,5,FALSE)*HLOOKUP(E45,$87:$94,4,FALSE)*($B$25/HLOOKUP(E45,$87:$94,4,FALSE)+SUM($B$57:$D$57)/SUM($B58:$D$58)*$G$69/100/K46)</f>
        <v>0.75165891842267196</v>
      </c>
      <c r="D53" s="193">
        <f>D46/HLOOKUP(D45,$87:$94,5,FALSE)*HLOOKUP(D45,$87:$94,4,FALSE)*($B$25/HLOOKUP(D45,$87:$94,4,FALSE)+SUM($B$57:$D$57)/SUM($B58:$D$58)*$G$69/100/J46)</f>
        <v>0.78157141401806574</v>
      </c>
      <c r="E53" s="193">
        <f>C46/HLOOKUP(C45,$87:$94,5,FALSE)*HLOOKUP(C45,$87:$94,4,FALSE)*($B$25/HLOOKUP(C45,$87:$94,4,FALSE)+SUM($B$57:$D$57)/SUM($B58:$D$58)*$G$69/100/I46)</f>
        <v>0.76382865556489377</v>
      </c>
    </row>
    <row r="54" spans="1:15" x14ac:dyDescent="0.25">
      <c r="A54" s="278">
        <f>SUM(B54:E54)</f>
        <v>2.6900000000000004</v>
      </c>
      <c r="B54" s="277">
        <f t="shared" ref="B54:D54" si="0">HLOOKUP(B52-10,81:82,2,FALSE)</f>
        <v>0.56000000000000005</v>
      </c>
      <c r="C54" s="277">
        <f t="shared" si="0"/>
        <v>0.7</v>
      </c>
      <c r="D54" s="277">
        <f t="shared" si="0"/>
        <v>0.77</v>
      </c>
      <c r="E54" s="277">
        <f>HLOOKUP(E52-10,81:82,2,FALSE)</f>
        <v>0.66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650341</v>
      </c>
      <c r="C57" s="196">
        <f>HLOOKUP(C56,78:79,2,FALSE)</f>
        <v>628153</v>
      </c>
      <c r="D57" s="196">
        <f>HLOOKUP(D56,78:79,2,FALSE)</f>
        <v>623499</v>
      </c>
      <c r="E57" s="196">
        <f>HLOOKUP(E56,78:79,2,FALSE)</f>
        <v>583158</v>
      </c>
      <c r="F57" s="196">
        <f>HLOOKUP(F56,78:79,2,FALSE)</f>
        <v>569613</v>
      </c>
      <c r="G57" s="196">
        <f t="shared" ref="G57:M57" si="2">HLOOKUP(G56,78:79,2,FALSE)</f>
        <v>555825</v>
      </c>
      <c r="H57" s="196">
        <f t="shared" si="2"/>
        <v>524272</v>
      </c>
      <c r="I57" s="196">
        <f t="shared" si="2"/>
        <v>539737</v>
      </c>
      <c r="J57" s="196">
        <f t="shared" si="2"/>
        <v>485391</v>
      </c>
      <c r="K57" s="196">
        <f t="shared" si="2"/>
        <v>627338</v>
      </c>
      <c r="L57" s="196">
        <f t="shared" si="2"/>
        <v>612615</v>
      </c>
      <c r="M57" s="196">
        <f t="shared" si="2"/>
        <v>597816</v>
      </c>
      <c r="N57" s="197"/>
    </row>
    <row r="58" spans="1:15" x14ac:dyDescent="0.25">
      <c r="A58" s="198" t="s">
        <v>253</v>
      </c>
      <c r="B58" s="196">
        <f>HLOOKUP(B56-100,78:79,2,FALSE)</f>
        <v>553402</v>
      </c>
      <c r="C58" s="196">
        <f>HLOOKUP(C56-100,78:79,2,FALSE)</f>
        <v>435923</v>
      </c>
      <c r="D58" s="196">
        <f>HLOOKUP(D56-100,78:79,2,FALSE)</f>
        <v>610097</v>
      </c>
      <c r="E58" s="196">
        <f>HLOOKUP(E56-100,78:79,2,FALSE)</f>
        <v>488912</v>
      </c>
      <c r="F58" s="196">
        <f>HLOOKUP(F56-100,78:79,2,FALSE)</f>
        <v>590167</v>
      </c>
      <c r="G58" s="196">
        <f t="shared" ref="G58:M58" si="3">HLOOKUP(G56-100,78:79,2,FALSE)</f>
        <v>625065</v>
      </c>
      <c r="H58" s="196">
        <f t="shared" si="3"/>
        <v>617345</v>
      </c>
      <c r="I58" s="196">
        <f t="shared" si="3"/>
        <v>603397</v>
      </c>
      <c r="J58" s="196">
        <f t="shared" si="3"/>
        <v>517224</v>
      </c>
      <c r="K58" s="196">
        <f t="shared" si="3"/>
        <v>599261</v>
      </c>
      <c r="L58" s="196">
        <f t="shared" si="3"/>
        <v>733908</v>
      </c>
      <c r="M58" s="196">
        <f t="shared" si="3"/>
        <v>658378</v>
      </c>
      <c r="N58" s="197"/>
    </row>
    <row r="59" spans="1:15" x14ac:dyDescent="0.25">
      <c r="A59" s="199" t="s">
        <v>254</v>
      </c>
      <c r="B59" s="165">
        <f>IF(B57&lt;&gt;"",(B57-B58)/B58,"")</f>
        <v>0.17516922598761842</v>
      </c>
      <c r="C59" s="165">
        <f>IF(C57&lt;&gt;"",(C57-C58)/C58,"")</f>
        <v>0.44097237356138586</v>
      </c>
      <c r="D59" s="165">
        <f>IF(D57&lt;&gt;"",(D57-D58)/D58,"")</f>
        <v>2.1966998690372188E-2</v>
      </c>
      <c r="E59" s="165">
        <f>IF(E57&lt;&gt;"",(E57-E58)/E58,"")</f>
        <v>0.19276679647871192</v>
      </c>
      <c r="F59" s="165">
        <f>IF(F57&lt;&gt;"",(F57-F58)/F58,"")</f>
        <v>-3.4827430201959782E-2</v>
      </c>
      <c r="G59" s="165">
        <f t="shared" ref="G59:M59" si="4">IF(G57&lt;&gt;"",(G57-G58)/G58,"")</f>
        <v>-0.11077247966211513</v>
      </c>
      <c r="H59" s="165">
        <f t="shared" si="4"/>
        <v>-0.150763349504734</v>
      </c>
      <c r="I59" s="165">
        <f t="shared" si="4"/>
        <v>-0.10550267899906694</v>
      </c>
      <c r="J59" s="165">
        <f t="shared" si="4"/>
        <v>-6.1545867941162825E-2</v>
      </c>
      <c r="K59" s="165">
        <f t="shared" si="4"/>
        <v>4.6852706917353208E-2</v>
      </c>
      <c r="L59" s="165">
        <f t="shared" si="4"/>
        <v>-0.16527003384620415</v>
      </c>
      <c r="M59" s="165">
        <f t="shared" si="4"/>
        <v>-9.1986670271485382E-2</v>
      </c>
    </row>
    <row r="60" spans="1:15" x14ac:dyDescent="0.25">
      <c r="A60" s="195" t="s">
        <v>255</v>
      </c>
      <c r="B60" s="196">
        <f>SUM(B57:M57)</f>
        <v>6997758</v>
      </c>
    </row>
    <row r="61" spans="1:15" x14ac:dyDescent="0.25">
      <c r="A61" s="198" t="s">
        <v>256</v>
      </c>
      <c r="B61" s="196">
        <f>SUM(B58:M58)</f>
        <v>7033079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0.99497787526629522</v>
      </c>
      <c r="D62" s="152">
        <f>SUM(B46:E46)</f>
        <v>3.1100000000000003</v>
      </c>
      <c r="E62" s="152">
        <f>SUM(B49:E49)</f>
        <v>3.08</v>
      </c>
      <c r="G62" s="126">
        <f>SUM(B47:E47)</f>
        <v>16.53</v>
      </c>
      <c r="H62" s="126">
        <f>SUM(B50:E50)</f>
        <v>16.13</v>
      </c>
      <c r="J62" s="200">
        <f>AVERAGE(H46:K46)</f>
        <v>0.17515</v>
      </c>
      <c r="K62" s="200">
        <f>AVERAGE(H49:K49)</f>
        <v>0.16802500000000001</v>
      </c>
      <c r="M62" s="200">
        <f>AVERAGE(H47:K47)</f>
        <v>0.11485000000000001</v>
      </c>
      <c r="N62" s="200">
        <f>AVERAGE(H50:K50)</f>
        <v>0.11280000000000001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0.71</v>
      </c>
      <c r="C65" s="205">
        <f t="shared" si="5"/>
        <v>0.95</v>
      </c>
      <c r="D65" s="205">
        <f t="shared" si="5"/>
        <v>1.07</v>
      </c>
      <c r="E65" s="205">
        <f t="shared" si="5"/>
        <v>0.65</v>
      </c>
      <c r="F65" s="206">
        <f>IF(ISNA(HLOOKUP(F$64*10+$A65,$81:$82,2,FALSE)),(HLOOKUP(E$64*10+$A65,$87:$94,4,FALSE)*$G65+$B$25)/HLOOKUP(E$64*10+$A65,$87:$94,5,FALSE)*$E65,HLOOKUP(F$64*10+$A65,$81:$82,2,FALSE))</f>
        <v>0.77</v>
      </c>
      <c r="G65" s="101">
        <f>MIN(130%,SUM($B$57:$D$57)/SUM($B$58:$D$58)*$G$69/HLOOKUP(E$64*10+$A65,$145:$146,2,FALSE))</f>
        <v>1.2128721624672945</v>
      </c>
      <c r="H65" s="204">
        <v>1</v>
      </c>
      <c r="I65" s="208">
        <f t="shared" ref="I65:M68" si="6">IF(ISNA(HLOOKUP(I$64*10+$H65,$145:$147,3,FALSE)),"",HLOOKUP(I$64*10+$H65,$145:$147,3,FALSE)/100)</f>
        <v>0.1331</v>
      </c>
      <c r="J65" s="208">
        <f t="shared" si="6"/>
        <v>0.15289999999999998</v>
      </c>
      <c r="K65" s="208">
        <f t="shared" si="6"/>
        <v>0.15279999999999999</v>
      </c>
      <c r="L65" s="208">
        <f t="shared" si="6"/>
        <v>9.3100000000000002E-2</v>
      </c>
      <c r="M65" s="209">
        <f t="shared" si="6"/>
        <v>0.12640000000000001</v>
      </c>
      <c r="N65" s="256">
        <f t="shared" ref="N65:O68" si="7">HLOOKUP(E$64*10+$A65,$87:$94,8,FALSE)</f>
        <v>17230</v>
      </c>
      <c r="O65" s="256">
        <f t="shared" si="7"/>
        <v>-790</v>
      </c>
      <c r="P65" s="210"/>
    </row>
    <row r="66" spans="1:71" x14ac:dyDescent="0.25">
      <c r="A66" s="204">
        <v>2</v>
      </c>
      <c r="B66" s="205">
        <f t="shared" si="5"/>
        <v>1.02</v>
      </c>
      <c r="C66" s="205">
        <f t="shared" si="5"/>
        <v>1.1399999999999999</v>
      </c>
      <c r="D66" s="205">
        <f t="shared" si="5"/>
        <v>0.92</v>
      </c>
      <c r="E66" s="205">
        <f t="shared" si="5"/>
        <v>0.81</v>
      </c>
      <c r="F66" s="206">
        <f>IF(ISNA(HLOOKUP(F$64*10+$A66,$81:$82,2,FALSE)),(HLOOKUP(E$64*10+$A66,$87:$94,4,FALSE)*$G66+$B$25)/HLOOKUP(E$64*10+$A66,$87:$94,5,FALSE)*$E66,HLOOKUP(F$64*10+$A66,$81:$82,2,FALSE))</f>
        <v>0.66</v>
      </c>
      <c r="G66" s="101">
        <f>MIN(130%,SUM($B$57:$D$57)/SUM($B$58:$D$58)*$G$69/HLOOKUP(E$64*10+$A66,$145:$146,2,FALSE))</f>
        <v>1.04130537274184</v>
      </c>
      <c r="H66" s="204">
        <v>2</v>
      </c>
      <c r="I66" s="208">
        <f t="shared" si="6"/>
        <v>0.16239999999999999</v>
      </c>
      <c r="J66" s="208">
        <f t="shared" si="6"/>
        <v>0.18010000000000001</v>
      </c>
      <c r="K66" s="208">
        <f t="shared" si="6"/>
        <v>0.13400000000000001</v>
      </c>
      <c r="L66" s="208">
        <f t="shared" si="6"/>
        <v>0.1217</v>
      </c>
      <c r="M66" s="209">
        <f t="shared" si="6"/>
        <v>9.0999999999999998E-2</v>
      </c>
      <c r="N66" s="256">
        <f t="shared" si="7"/>
        <v>-785</v>
      </c>
      <c r="O66" s="256">
        <f t="shared" si="7"/>
        <v>10268</v>
      </c>
      <c r="P66" s="210"/>
    </row>
    <row r="67" spans="1:71" x14ac:dyDescent="0.25">
      <c r="A67" s="204">
        <v>3</v>
      </c>
      <c r="B67" s="205">
        <f t="shared" si="5"/>
        <v>1.03</v>
      </c>
      <c r="C67" s="205">
        <f t="shared" si="5"/>
        <v>1.17</v>
      </c>
      <c r="D67" s="205">
        <f t="shared" si="5"/>
        <v>0.95</v>
      </c>
      <c r="E67" s="205">
        <f t="shared" si="5"/>
        <v>0.56000000000000005</v>
      </c>
      <c r="F67" s="206">
        <f>IF(ISNA(HLOOKUP(F$64*10+$A67,$81:$82,2,FALSE)),(HLOOKUP(E$64*10+$A67,$87:$94,4,FALSE)*$G67+$B$25)/HLOOKUP(E$64*10+$A67,$87:$94,5,FALSE)*$E67,HLOOKUP(F$64*10+$A67,$81:$82,2,FALSE))</f>
        <v>0.98</v>
      </c>
      <c r="G67" s="101">
        <f>MIN(130%,SUM($B$57:$D$57)/SUM($B$58:$D$58)*$G$69/HLOOKUP(E$64*10+$A67,$145:$146,2,FALSE))</f>
        <v>1.1378806975324081</v>
      </c>
      <c r="H67" s="204">
        <v>3</v>
      </c>
      <c r="I67" s="208">
        <f t="shared" si="6"/>
        <v>0.17620000000000002</v>
      </c>
      <c r="J67" s="208">
        <f t="shared" si="6"/>
        <v>0.18840000000000001</v>
      </c>
      <c r="K67" s="208">
        <f t="shared" si="6"/>
        <v>0.13550000000000001</v>
      </c>
      <c r="L67" s="208">
        <f t="shared" si="6"/>
        <v>9.4899999999999998E-2</v>
      </c>
      <c r="M67" s="209">
        <f t="shared" si="6"/>
        <v>0.1353</v>
      </c>
      <c r="N67" s="256">
        <f t="shared" si="7"/>
        <v>4957</v>
      </c>
      <c r="O67" s="256">
        <f t="shared" si="7"/>
        <v>25335</v>
      </c>
      <c r="P67" s="210"/>
    </row>
    <row r="68" spans="1:71" x14ac:dyDescent="0.25">
      <c r="A68" s="204">
        <v>4</v>
      </c>
      <c r="B68" s="205">
        <f>HLOOKUP(B$64*10+$A68,$81:$82,2,FALSE)</f>
        <v>1.1599999999999999</v>
      </c>
      <c r="C68" s="205">
        <f>HLOOKUP(C$64*10+$A68,$81:$82,2,FALSE)</f>
        <v>1.31</v>
      </c>
      <c r="D68" s="205">
        <f>HLOOKUP(D$64*10+$A68,$81:$82,2,FALSE)</f>
        <v>1.06</v>
      </c>
      <c r="E68" s="206">
        <f>IF(ISNA(HLOOKUP(E$64*10+$A68,$81:$82,2,FALSE)),D68*(1-$N68)*#REF!*(1+$B$25)/(1+$E$4),HLOOKUP(E$64*10+$A68,$81:$82,2,FALSE))</f>
        <v>0.7</v>
      </c>
      <c r="F68" s="206">
        <f>IF(ISNA(HLOOKUP(F$64*10+$A68,$81:$82,2,FALSE)),(HLOOKUP(E$64*10+$A68,$87:$94,4,FALSE)*$G68+$B$25)/HLOOKUP(E$64*10+$A68,$87:$94,5,FALSE)*$E68,HLOOKUP(F$64*10+$A68,$81:$82,2,FALSE))</f>
        <v>0.75165891842267207</v>
      </c>
      <c r="G68" s="101">
        <f>MIN(130%,SUM($B$57:$D$57)/SUM($B$58:$D$58)*$G$69/HLOOKUP(E$64*10+$A68,$145:$146,2,FALSE))</f>
        <v>1.0728976237887371</v>
      </c>
      <c r="H68" s="204">
        <v>4</v>
      </c>
      <c r="I68" s="208">
        <f t="shared" si="6"/>
        <v>0.18530000000000002</v>
      </c>
      <c r="J68" s="208">
        <f t="shared" si="6"/>
        <v>0.18460000000000001</v>
      </c>
      <c r="K68" s="208">
        <f t="shared" si="6"/>
        <v>0.14150000000000001</v>
      </c>
      <c r="L68" s="208">
        <f t="shared" si="6"/>
        <v>0.1067</v>
      </c>
      <c r="M68" s="209" t="str">
        <f t="shared" si="6"/>
        <v/>
      </c>
      <c r="N68" s="256">
        <f t="shared" si="7"/>
        <v>6495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3.92</v>
      </c>
      <c r="C69" s="213">
        <f>SUM(C65:C68)</f>
        <v>4.57</v>
      </c>
      <c r="D69" s="213">
        <f>SUM(D65:D68)</f>
        <v>4</v>
      </c>
      <c r="E69" s="213">
        <f>SUM(E65:E68)</f>
        <v>2.7199999999999998</v>
      </c>
      <c r="F69" s="213">
        <f>SUM(F65:F68)</f>
        <v>3.1616589184226722</v>
      </c>
      <c r="G69" s="257">
        <f>_xlfn.FORECAST.ETS(23,B146:W146,{1,2,3,4,5,6,7,8,9,10,11,12,13,14,15,16,17,18,19,20,21,22})</f>
        <v>15.166317658891261</v>
      </c>
      <c r="H69" s="214" t="s">
        <v>19</v>
      </c>
      <c r="I69" s="215">
        <f>HLOOKUP(I64,151:155,3,FALSE)/100</f>
        <v>0.1653</v>
      </c>
      <c r="J69" s="215">
        <f>HLOOKUP(J64,151:155,3,FALSE)/100</f>
        <v>0.1769</v>
      </c>
      <c r="K69" s="215">
        <f>HLOOKUP(K64,151:155,3,FALSE)/100</f>
        <v>0.14099999999999999</v>
      </c>
      <c r="L69" s="215">
        <f>IF(ISNA(HLOOKUP(L64,151:155,3,FALSE)/100),AVERAGE(L65:L68),HLOOKUP(L64,151:155,3,FALSE)/100)</f>
        <v>0.10460000000000001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3.88</v>
      </c>
      <c r="C72" s="205">
        <f t="shared" si="8"/>
        <v>4.8600000000000003</v>
      </c>
      <c r="D72" s="205">
        <f t="shared" si="8"/>
        <v>5.0999999999999996</v>
      </c>
      <c r="E72" s="205">
        <f t="shared" si="8"/>
        <v>3.27</v>
      </c>
      <c r="F72" s="205">
        <f t="shared" si="8"/>
        <v>3.93</v>
      </c>
    </row>
    <row r="73" spans="1:71" s="135" customFormat="1" x14ac:dyDescent="0.25">
      <c r="A73" s="204">
        <v>2</v>
      </c>
      <c r="B73" s="205">
        <f t="shared" si="8"/>
        <v>5.79</v>
      </c>
      <c r="C73" s="205">
        <f t="shared" si="8"/>
        <v>6.08</v>
      </c>
      <c r="D73" s="205">
        <f t="shared" si="8"/>
        <v>4.8099999999999996</v>
      </c>
      <c r="E73" s="205">
        <f t="shared" si="8"/>
        <v>4.2300000000000004</v>
      </c>
      <c r="F73" s="205">
        <f t="shared" si="8"/>
        <v>3.16</v>
      </c>
    </row>
    <row r="74" spans="1:71" s="135" customFormat="1" x14ac:dyDescent="0.25">
      <c r="A74" s="204">
        <v>3</v>
      </c>
      <c r="B74" s="205">
        <f t="shared" si="8"/>
        <v>5.98</v>
      </c>
      <c r="C74" s="205">
        <f t="shared" si="8"/>
        <v>6.42</v>
      </c>
      <c r="D74" s="205">
        <f t="shared" si="8"/>
        <v>5.14</v>
      </c>
      <c r="E74" s="205">
        <f t="shared" si="8"/>
        <v>3.09</v>
      </c>
      <c r="F74" s="205">
        <f t="shared" si="8"/>
        <v>5.64</v>
      </c>
    </row>
    <row r="75" spans="1:71" s="135" customFormat="1" x14ac:dyDescent="0.25">
      <c r="A75" s="204">
        <v>4</v>
      </c>
      <c r="B75" s="205">
        <f t="shared" si="8"/>
        <v>6.42</v>
      </c>
      <c r="C75" s="205">
        <f t="shared" si="8"/>
        <v>6.89</v>
      </c>
      <c r="D75" s="205">
        <f t="shared" si="8"/>
        <v>5.54</v>
      </c>
      <c r="E75" s="205">
        <f t="shared" si="8"/>
        <v>3.8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22.07</v>
      </c>
      <c r="C76" s="213">
        <f>SUM(C72:C75)</f>
        <v>24.25</v>
      </c>
      <c r="D76" s="213">
        <f>SUM(D72:D75)</f>
        <v>20.59</v>
      </c>
      <c r="E76" s="213">
        <f>AVERAGE(E72:E75)*4</f>
        <v>14.39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360508</v>
      </c>
      <c r="C79" s="270">
        <v>390303</v>
      </c>
      <c r="D79" s="270">
        <v>472134</v>
      </c>
      <c r="E79" s="270">
        <v>429567</v>
      </c>
      <c r="F79" s="270">
        <v>463884</v>
      </c>
      <c r="G79" s="270">
        <v>446123</v>
      </c>
      <c r="H79" s="270">
        <v>473061</v>
      </c>
      <c r="I79" s="270">
        <v>388933</v>
      </c>
      <c r="J79" s="270">
        <v>433260</v>
      </c>
      <c r="K79" s="270">
        <v>440973</v>
      </c>
      <c r="L79" s="270">
        <v>409912</v>
      </c>
      <c r="M79" s="270">
        <v>434336</v>
      </c>
      <c r="N79" s="270">
        <v>538633</v>
      </c>
      <c r="O79" s="270">
        <v>364588</v>
      </c>
      <c r="P79" s="270">
        <v>511123</v>
      </c>
      <c r="Q79" s="270">
        <v>483451</v>
      </c>
      <c r="R79" s="270">
        <v>573442</v>
      </c>
      <c r="S79" s="270">
        <v>559150</v>
      </c>
      <c r="T79" s="270">
        <v>515843</v>
      </c>
      <c r="U79" s="270">
        <v>518562</v>
      </c>
      <c r="V79" s="270">
        <v>486755</v>
      </c>
      <c r="W79" s="270">
        <v>589692</v>
      </c>
      <c r="X79" s="270">
        <v>530763</v>
      </c>
      <c r="Y79" s="270">
        <v>575621</v>
      </c>
      <c r="Z79" s="270">
        <v>619598</v>
      </c>
      <c r="AA79" s="270">
        <v>443374</v>
      </c>
      <c r="AB79" s="270">
        <v>592720</v>
      </c>
      <c r="AC79" s="270">
        <v>583173</v>
      </c>
      <c r="AD79" s="270">
        <v>592942</v>
      </c>
      <c r="AE79" s="270">
        <v>554775</v>
      </c>
      <c r="AF79" s="270">
        <v>548256</v>
      </c>
      <c r="AG79" s="270">
        <v>562518</v>
      </c>
      <c r="AH79" s="270">
        <v>557948</v>
      </c>
      <c r="AI79" s="270">
        <v>650695</v>
      </c>
      <c r="AJ79" s="270">
        <v>613081</v>
      </c>
      <c r="AK79" s="270">
        <v>709320</v>
      </c>
      <c r="AL79" s="270">
        <v>700907</v>
      </c>
      <c r="AM79" s="270">
        <v>470756</v>
      </c>
      <c r="AN79" s="270">
        <v>756164</v>
      </c>
      <c r="AO79" s="270">
        <v>740255</v>
      </c>
      <c r="AP79" s="270">
        <v>580472</v>
      </c>
      <c r="AQ79" s="270">
        <v>642504</v>
      </c>
      <c r="AR79" s="270">
        <v>657570</v>
      </c>
      <c r="AS79" s="270">
        <v>525531</v>
      </c>
      <c r="AT79" s="270">
        <v>600996</v>
      </c>
      <c r="AU79" s="270">
        <v>648948</v>
      </c>
      <c r="AV79" s="270">
        <v>658378</v>
      </c>
      <c r="AW79" s="270">
        <v>733908</v>
      </c>
      <c r="AX79" s="270">
        <v>599261</v>
      </c>
      <c r="AY79" s="270">
        <v>517224</v>
      </c>
      <c r="AZ79" s="270">
        <v>603397</v>
      </c>
      <c r="BA79" s="270">
        <v>617345</v>
      </c>
      <c r="BB79" s="270">
        <v>625065</v>
      </c>
      <c r="BC79" s="270">
        <v>590167</v>
      </c>
      <c r="BD79" s="270">
        <v>488912</v>
      </c>
      <c r="BE79" s="270">
        <v>610097</v>
      </c>
      <c r="BF79" s="270">
        <v>435923</v>
      </c>
      <c r="BG79" s="270">
        <v>553402</v>
      </c>
      <c r="BH79" s="270">
        <v>597816</v>
      </c>
      <c r="BI79" s="270">
        <v>612615</v>
      </c>
      <c r="BJ79" s="270">
        <v>627338</v>
      </c>
      <c r="BK79" s="270">
        <v>485391</v>
      </c>
      <c r="BL79" s="270">
        <v>539737</v>
      </c>
      <c r="BM79" s="270">
        <v>524272</v>
      </c>
      <c r="BN79" s="270">
        <v>555825</v>
      </c>
      <c r="BO79" s="270">
        <v>569613</v>
      </c>
      <c r="BP79" s="270">
        <v>583158</v>
      </c>
      <c r="BQ79" s="270">
        <v>623499</v>
      </c>
      <c r="BR79" s="270">
        <v>628153</v>
      </c>
      <c r="BS79" s="270">
        <v>650341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0.79</v>
      </c>
      <c r="C82" s="72">
        <v>0.83</v>
      </c>
      <c r="D82" s="72">
        <v>0.72</v>
      </c>
      <c r="E82" s="72">
        <v>0.63</v>
      </c>
      <c r="F82" s="72">
        <v>0.71</v>
      </c>
      <c r="G82" s="72">
        <v>1.02</v>
      </c>
      <c r="H82" s="72">
        <v>1.03</v>
      </c>
      <c r="I82" s="72">
        <v>1.1599999999999999</v>
      </c>
      <c r="J82" s="72">
        <v>0.95</v>
      </c>
      <c r="K82" s="72">
        <v>1.1399999999999999</v>
      </c>
      <c r="L82" s="72">
        <v>1.17</v>
      </c>
      <c r="M82" s="72">
        <v>1.31</v>
      </c>
      <c r="N82" s="72">
        <v>1.07</v>
      </c>
      <c r="O82" s="72">
        <v>0.92</v>
      </c>
      <c r="P82" s="72">
        <v>0.95</v>
      </c>
      <c r="Q82" s="72">
        <v>1.06</v>
      </c>
      <c r="R82" s="72">
        <v>0.65</v>
      </c>
      <c r="S82" s="72">
        <v>0.81</v>
      </c>
      <c r="T82" s="72">
        <v>0.56000000000000005</v>
      </c>
      <c r="U82" s="72">
        <v>0.7</v>
      </c>
      <c r="V82" s="72">
        <v>0.77</v>
      </c>
      <c r="W82" s="72">
        <v>0.66</v>
      </c>
      <c r="X82" s="72">
        <v>0.98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18.64</v>
      </c>
      <c r="C85" s="72">
        <v>16.37</v>
      </c>
      <c r="D85" s="72">
        <v>17.04</v>
      </c>
      <c r="E85" s="72">
        <v>17.66</v>
      </c>
      <c r="F85" s="72">
        <v>18.34</v>
      </c>
      <c r="G85" s="72">
        <v>16.48</v>
      </c>
      <c r="H85" s="72">
        <v>17.71</v>
      </c>
      <c r="I85" s="72">
        <v>18.850000000000001</v>
      </c>
      <c r="J85" s="72">
        <v>19.72</v>
      </c>
      <c r="K85" s="72">
        <v>17.59</v>
      </c>
      <c r="L85" s="72">
        <v>18.829999999999998</v>
      </c>
      <c r="M85" s="72">
        <v>20.170000000000002</v>
      </c>
      <c r="N85" s="72">
        <v>21.17</v>
      </c>
      <c r="O85" s="72">
        <v>17.77</v>
      </c>
      <c r="P85" s="72">
        <v>18.37</v>
      </c>
      <c r="Q85" s="72">
        <v>19.309999999999999</v>
      </c>
      <c r="R85" s="72">
        <v>20.13</v>
      </c>
      <c r="S85" s="72">
        <v>17.32</v>
      </c>
      <c r="T85" s="72">
        <v>17.93</v>
      </c>
      <c r="U85" s="72">
        <v>18.670000000000002</v>
      </c>
      <c r="V85" s="72">
        <v>19.43</v>
      </c>
      <c r="W85" s="72">
        <v>17.22</v>
      </c>
      <c r="X85" s="72">
        <v>18.13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1313292</v>
      </c>
      <c r="C88" s="273">
        <v>1413537</v>
      </c>
      <c r="D88" s="273">
        <v>1370629</v>
      </c>
      <c r="E88" s="273">
        <v>1376668</v>
      </c>
      <c r="F88" s="273">
        <v>1414344</v>
      </c>
      <c r="G88" s="273">
        <v>1615801</v>
      </c>
      <c r="H88" s="273">
        <v>1521159</v>
      </c>
      <c r="I88" s="273">
        <v>1696076</v>
      </c>
      <c r="J88" s="273">
        <v>1655692</v>
      </c>
      <c r="K88" s="273">
        <v>1730890</v>
      </c>
      <c r="L88" s="273">
        <v>1668722</v>
      </c>
      <c r="M88" s="273">
        <v>1972345</v>
      </c>
      <c r="N88" s="273">
        <v>1927827</v>
      </c>
      <c r="O88" s="273">
        <v>1963230</v>
      </c>
      <c r="P88" s="273">
        <v>1784097</v>
      </c>
      <c r="Q88" s="273">
        <v>2041234</v>
      </c>
      <c r="R88" s="273">
        <v>1719882</v>
      </c>
      <c r="S88" s="273">
        <v>1832577</v>
      </c>
      <c r="T88" s="273">
        <v>1534931</v>
      </c>
      <c r="U88" s="273">
        <v>1763832</v>
      </c>
      <c r="V88" s="273">
        <v>1652466</v>
      </c>
      <c r="W88" s="273">
        <v>1649711</v>
      </c>
      <c r="X88" s="273">
        <v>1834810</v>
      </c>
    </row>
    <row r="89" spans="1:25" ht="14.25" thickBot="1" x14ac:dyDescent="0.3">
      <c r="A89" s="250" t="s">
        <v>4</v>
      </c>
      <c r="B89" s="275">
        <v>292747</v>
      </c>
      <c r="C89" s="275">
        <v>299468</v>
      </c>
      <c r="D89" s="275">
        <v>253608</v>
      </c>
      <c r="E89" s="275">
        <v>293187</v>
      </c>
      <c r="F89" s="275">
        <v>270680</v>
      </c>
      <c r="G89" s="275">
        <v>347496</v>
      </c>
      <c r="H89" s="275">
        <v>355256</v>
      </c>
      <c r="I89" s="275">
        <v>407404</v>
      </c>
      <c r="J89" s="275">
        <v>339834</v>
      </c>
      <c r="K89" s="275">
        <v>406035</v>
      </c>
      <c r="L89" s="275">
        <v>406667</v>
      </c>
      <c r="M89" s="275">
        <v>461169</v>
      </c>
      <c r="N89" s="275">
        <v>388973</v>
      </c>
      <c r="O89" s="275">
        <v>366254</v>
      </c>
      <c r="P89" s="275">
        <v>339430</v>
      </c>
      <c r="Q89" s="275">
        <v>391257</v>
      </c>
      <c r="R89" s="275">
        <v>255675</v>
      </c>
      <c r="S89" s="275">
        <v>317414</v>
      </c>
      <c r="T89" s="275">
        <v>243268</v>
      </c>
      <c r="U89" s="275">
        <v>296412</v>
      </c>
      <c r="V89" s="275">
        <v>305032</v>
      </c>
      <c r="W89" s="275">
        <v>250319</v>
      </c>
      <c r="X89" s="275">
        <v>359988</v>
      </c>
    </row>
    <row r="90" spans="1:25" ht="14.25" thickBot="1" x14ac:dyDescent="0.3">
      <c r="A90" s="251" t="s">
        <v>5</v>
      </c>
      <c r="B90" s="273">
        <v>206222</v>
      </c>
      <c r="C90" s="273">
        <v>220843</v>
      </c>
      <c r="D90" s="273">
        <v>174386</v>
      </c>
      <c r="E90" s="273">
        <v>191594</v>
      </c>
      <c r="F90" s="273">
        <v>188182</v>
      </c>
      <c r="G90" s="273">
        <v>262431</v>
      </c>
      <c r="H90" s="273">
        <v>268088</v>
      </c>
      <c r="I90" s="273">
        <v>314207</v>
      </c>
      <c r="J90" s="273">
        <v>253123</v>
      </c>
      <c r="K90" s="273">
        <v>311671</v>
      </c>
      <c r="L90" s="273">
        <v>314321</v>
      </c>
      <c r="M90" s="273">
        <v>364062</v>
      </c>
      <c r="N90" s="273">
        <v>294497</v>
      </c>
      <c r="O90" s="273">
        <v>263046</v>
      </c>
      <c r="P90" s="273">
        <v>241818</v>
      </c>
      <c r="Q90" s="273">
        <v>288913</v>
      </c>
      <c r="R90" s="273">
        <v>160126</v>
      </c>
      <c r="S90" s="273">
        <v>223102</v>
      </c>
      <c r="T90" s="273">
        <v>145600</v>
      </c>
      <c r="U90" s="273">
        <v>188117</v>
      </c>
      <c r="V90" s="273">
        <v>208940</v>
      </c>
      <c r="W90" s="273">
        <v>150126</v>
      </c>
      <c r="X90" s="273">
        <v>248283</v>
      </c>
    </row>
    <row r="91" spans="1:25" ht="14.25" thickBot="1" x14ac:dyDescent="0.3">
      <c r="A91" s="250" t="s">
        <v>6</v>
      </c>
      <c r="B91" s="275">
        <v>215044</v>
      </c>
      <c r="C91" s="275">
        <v>222956</v>
      </c>
      <c r="D91" s="275">
        <v>193194</v>
      </c>
      <c r="E91" s="275">
        <v>178725</v>
      </c>
      <c r="F91" s="275">
        <v>193132</v>
      </c>
      <c r="G91" s="275">
        <v>275771</v>
      </c>
      <c r="H91" s="275">
        <v>282161</v>
      </c>
      <c r="I91" s="275">
        <v>323319</v>
      </c>
      <c r="J91" s="275">
        <v>259120</v>
      </c>
      <c r="K91" s="275">
        <v>324531</v>
      </c>
      <c r="L91" s="275">
        <v>322551</v>
      </c>
      <c r="M91" s="275">
        <v>370778</v>
      </c>
      <c r="N91" s="275">
        <v>292520</v>
      </c>
      <c r="O91" s="275">
        <v>262023</v>
      </c>
      <c r="P91" s="275">
        <v>255913</v>
      </c>
      <c r="Q91" s="275">
        <v>287263</v>
      </c>
      <c r="R91" s="275">
        <v>177356</v>
      </c>
      <c r="S91" s="275">
        <v>222317</v>
      </c>
      <c r="T91" s="275">
        <v>150557</v>
      </c>
      <c r="U91" s="275">
        <v>194612</v>
      </c>
      <c r="V91" s="275">
        <v>208150</v>
      </c>
      <c r="W91" s="275">
        <v>160394</v>
      </c>
      <c r="X91" s="275">
        <v>273618</v>
      </c>
    </row>
    <row r="92" spans="1:25" ht="14.25" thickBot="1" x14ac:dyDescent="0.3">
      <c r="A92" s="251" t="s">
        <v>7</v>
      </c>
      <c r="B92" s="273">
        <v>180525</v>
      </c>
      <c r="C92" s="273">
        <v>191278</v>
      </c>
      <c r="D92" s="273">
        <v>164248</v>
      </c>
      <c r="E92" s="273">
        <v>147964</v>
      </c>
      <c r="F92" s="273">
        <v>161904</v>
      </c>
      <c r="G92" s="273">
        <v>233811</v>
      </c>
      <c r="H92" s="273">
        <v>236834</v>
      </c>
      <c r="I92" s="273">
        <v>272253</v>
      </c>
      <c r="J92" s="273">
        <v>217425</v>
      </c>
      <c r="K92" s="273">
        <v>263024</v>
      </c>
      <c r="L92" s="273">
        <v>271325</v>
      </c>
      <c r="M92" s="273">
        <v>311731</v>
      </c>
      <c r="N92" s="273">
        <v>244626</v>
      </c>
      <c r="O92" s="273">
        <v>217331</v>
      </c>
      <c r="P92" s="273">
        <v>215695</v>
      </c>
      <c r="Q92" s="273">
        <v>242079</v>
      </c>
      <c r="R92" s="273">
        <v>149336</v>
      </c>
      <c r="S92" s="273">
        <v>184138</v>
      </c>
      <c r="T92" s="273">
        <v>126619</v>
      </c>
      <c r="U92" s="273">
        <v>161667</v>
      </c>
      <c r="V92" s="273">
        <v>173819</v>
      </c>
      <c r="W92" s="273">
        <v>134387</v>
      </c>
      <c r="X92" s="273">
        <v>231022</v>
      </c>
    </row>
    <row r="93" spans="1:25" ht="26.25" thickBot="1" x14ac:dyDescent="0.3">
      <c r="A93" s="252" t="s">
        <v>8</v>
      </c>
      <c r="B93" s="276">
        <v>177964</v>
      </c>
      <c r="C93" s="276">
        <v>188190</v>
      </c>
      <c r="D93" s="276">
        <v>161905</v>
      </c>
      <c r="E93" s="276">
        <v>141420</v>
      </c>
      <c r="F93" s="276">
        <v>159658</v>
      </c>
      <c r="G93" s="276">
        <v>230900</v>
      </c>
      <c r="H93" s="276">
        <v>233354</v>
      </c>
      <c r="I93" s="276">
        <v>261195</v>
      </c>
      <c r="J93" s="276">
        <v>213991</v>
      </c>
      <c r="K93" s="276">
        <v>257612</v>
      </c>
      <c r="L93" s="276">
        <v>265426</v>
      </c>
      <c r="M93" s="276">
        <v>295457</v>
      </c>
      <c r="N93" s="276">
        <v>241983</v>
      </c>
      <c r="O93" s="276">
        <v>207018</v>
      </c>
      <c r="P93" s="276">
        <v>213701</v>
      </c>
      <c r="Q93" s="276">
        <v>238995</v>
      </c>
      <c r="R93" s="276">
        <v>147014</v>
      </c>
      <c r="S93" s="276">
        <v>182272</v>
      </c>
      <c r="T93" s="276">
        <v>125773</v>
      </c>
      <c r="U93" s="276">
        <v>158040</v>
      </c>
      <c r="V93" s="276">
        <v>174427</v>
      </c>
      <c r="W93" s="276">
        <v>148569</v>
      </c>
      <c r="X93" s="276">
        <v>221199</v>
      </c>
    </row>
    <row r="94" spans="1:25" x14ac:dyDescent="0.25">
      <c r="A94" s="233" t="s">
        <v>365</v>
      </c>
      <c r="B94" s="253">
        <f>IF(B91="","",B91-B90)</f>
        <v>8822</v>
      </c>
      <c r="C94" s="253">
        <f>IF(C91="","",C91-C90)</f>
        <v>2113</v>
      </c>
      <c r="D94" s="253">
        <f t="shared" ref="D94:Y94" si="9">IF(D91="","",D91-D90)</f>
        <v>18808</v>
      </c>
      <c r="E94" s="253">
        <f t="shared" si="9"/>
        <v>-12869</v>
      </c>
      <c r="F94" s="253">
        <f t="shared" si="9"/>
        <v>4950</v>
      </c>
      <c r="G94" s="253">
        <f t="shared" si="9"/>
        <v>13340</v>
      </c>
      <c r="H94" s="253">
        <f t="shared" si="9"/>
        <v>14073</v>
      </c>
      <c r="I94" s="253">
        <f t="shared" si="9"/>
        <v>9112</v>
      </c>
      <c r="J94" s="253">
        <f t="shared" si="9"/>
        <v>5997</v>
      </c>
      <c r="K94" s="253">
        <f t="shared" si="9"/>
        <v>12860</v>
      </c>
      <c r="L94" s="253">
        <f t="shared" si="9"/>
        <v>8230</v>
      </c>
      <c r="M94" s="253">
        <f t="shared" si="9"/>
        <v>6716</v>
      </c>
      <c r="N94" s="253">
        <f t="shared" si="9"/>
        <v>-1977</v>
      </c>
      <c r="O94" s="253">
        <f t="shared" si="9"/>
        <v>-1023</v>
      </c>
      <c r="P94" s="253">
        <f t="shared" si="9"/>
        <v>14095</v>
      </c>
      <c r="Q94" s="253">
        <f t="shared" si="9"/>
        <v>-1650</v>
      </c>
      <c r="R94" s="253">
        <f t="shared" si="9"/>
        <v>17230</v>
      </c>
      <c r="S94" s="253">
        <f t="shared" si="9"/>
        <v>-785</v>
      </c>
      <c r="T94" s="253">
        <f t="shared" si="9"/>
        <v>4957</v>
      </c>
      <c r="U94" s="253">
        <f t="shared" si="9"/>
        <v>6495</v>
      </c>
      <c r="V94" s="253">
        <f t="shared" si="9"/>
        <v>-790</v>
      </c>
      <c r="W94" s="253">
        <f t="shared" si="9"/>
        <v>10268</v>
      </c>
      <c r="X94" s="253">
        <f t="shared" si="9"/>
        <v>25335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5474126</v>
      </c>
      <c r="C97" s="273">
        <v>6247623</v>
      </c>
      <c r="D97" s="273">
        <v>7027649</v>
      </c>
      <c r="E97" s="273">
        <v>7716388</v>
      </c>
      <c r="F97" s="273">
        <v>6851222</v>
      </c>
    </row>
    <row r="98" spans="1:24" ht="14.25" thickBot="1" x14ac:dyDescent="0.3">
      <c r="A98" s="225" t="s">
        <v>4</v>
      </c>
      <c r="B98" s="275">
        <v>1139010</v>
      </c>
      <c r="C98" s="275">
        <v>1380836</v>
      </c>
      <c r="D98" s="275">
        <v>1613705</v>
      </c>
      <c r="E98" s="275">
        <v>1485914</v>
      </c>
      <c r="F98" s="275">
        <v>1112769</v>
      </c>
    </row>
    <row r="99" spans="1:24" ht="14.25" thickBot="1" x14ac:dyDescent="0.3">
      <c r="A99" s="224" t="s">
        <v>5</v>
      </c>
      <c r="B99" s="273">
        <v>793045</v>
      </c>
      <c r="C99" s="273">
        <v>1032908</v>
      </c>
      <c r="D99" s="273">
        <v>1243275</v>
      </c>
      <c r="E99" s="273">
        <v>1088274</v>
      </c>
      <c r="F99" s="273">
        <v>716945</v>
      </c>
    </row>
    <row r="100" spans="1:24" ht="14.25" thickBot="1" x14ac:dyDescent="0.3">
      <c r="A100" s="225" t="s">
        <v>6</v>
      </c>
      <c r="B100" s="275">
        <v>809919</v>
      </c>
      <c r="C100" s="275">
        <v>1074383</v>
      </c>
      <c r="D100" s="275">
        <v>1277078</v>
      </c>
      <c r="E100" s="275">
        <v>1097719</v>
      </c>
      <c r="F100" s="275">
        <v>744842</v>
      </c>
    </row>
    <row r="101" spans="1:24" ht="14.25" thickBot="1" x14ac:dyDescent="0.3">
      <c r="A101" s="224" t="s">
        <v>7</v>
      </c>
      <c r="B101" s="273">
        <v>684015</v>
      </c>
      <c r="C101" s="273">
        <v>904802</v>
      </c>
      <c r="D101" s="273">
        <v>1063603</v>
      </c>
      <c r="E101" s="273">
        <v>919731</v>
      </c>
      <c r="F101" s="273">
        <v>621760</v>
      </c>
    </row>
    <row r="102" spans="1:24" ht="14.25" thickBot="1" x14ac:dyDescent="0.3">
      <c r="A102" s="227" t="s">
        <v>8</v>
      </c>
      <c r="B102" s="276">
        <v>669479</v>
      </c>
      <c r="C102" s="276">
        <v>885107</v>
      </c>
      <c r="D102" s="276">
        <v>1032582</v>
      </c>
      <c r="E102" s="276">
        <v>901697</v>
      </c>
      <c r="F102" s="276">
        <v>613099</v>
      </c>
    </row>
    <row r="103" spans="1:24" x14ac:dyDescent="0.25">
      <c r="A103" s="233" t="s">
        <v>262</v>
      </c>
      <c r="B103" s="234">
        <f>IF(OR(B102="",B102="無"),"",B102/B101)</f>
        <v>0.97874900404230902</v>
      </c>
      <c r="C103" s="234">
        <f>IF(OR(C102="",C102="無"),"",C102/C101)</f>
        <v>0.9782328067356173</v>
      </c>
      <c r="D103" s="234">
        <f>IF(OR(D102="",D102="無"),"",D102/D101)</f>
        <v>0.97083404240115911</v>
      </c>
      <c r="E103" s="234">
        <f>IF(OR(E102="",E102="無"),"",E102/E101)</f>
        <v>0.98039209290542562</v>
      </c>
      <c r="F103" s="234">
        <f>IF(OR(F102="",F102="無"),"",F102/F101)</f>
        <v>0.98607018785383427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98021</v>
      </c>
      <c r="C106" s="273">
        <v>136583</v>
      </c>
      <c r="D106" s="273">
        <v>88878</v>
      </c>
      <c r="E106" s="273">
        <v>124627</v>
      </c>
      <c r="F106" s="273">
        <v>85461</v>
      </c>
      <c r="G106" s="273">
        <v>116258</v>
      </c>
      <c r="H106" s="273">
        <v>106259</v>
      </c>
      <c r="I106" s="273">
        <v>141479</v>
      </c>
      <c r="J106" s="273">
        <v>152628</v>
      </c>
      <c r="K106" s="273">
        <v>113832</v>
      </c>
      <c r="L106" s="273">
        <v>113916</v>
      </c>
      <c r="M106" s="273">
        <v>146754</v>
      </c>
      <c r="N106" s="273">
        <v>266920</v>
      </c>
      <c r="O106" s="273">
        <v>306016</v>
      </c>
      <c r="P106" s="273">
        <v>239257</v>
      </c>
      <c r="Q106" s="273">
        <v>220644</v>
      </c>
      <c r="R106" s="273">
        <v>138605</v>
      </c>
      <c r="S106" s="273">
        <v>217569</v>
      </c>
      <c r="T106" s="273">
        <v>196796</v>
      </c>
      <c r="U106" s="273">
        <v>159695</v>
      </c>
      <c r="V106" s="273">
        <v>162549</v>
      </c>
      <c r="W106" s="273">
        <v>176224</v>
      </c>
      <c r="X106" s="273">
        <v>125296</v>
      </c>
    </row>
    <row r="107" spans="1:24" ht="14.25" thickBot="1" x14ac:dyDescent="0.3">
      <c r="A107" s="225" t="s">
        <v>22</v>
      </c>
      <c r="B107" s="275">
        <v>600201</v>
      </c>
      <c r="C107" s="275">
        <v>562793</v>
      </c>
      <c r="D107" s="275">
        <v>488802</v>
      </c>
      <c r="E107" s="275">
        <v>553876</v>
      </c>
      <c r="F107" s="275">
        <v>498186</v>
      </c>
      <c r="G107" s="275">
        <v>475800</v>
      </c>
      <c r="H107" s="275">
        <v>438046</v>
      </c>
      <c r="I107" s="275">
        <v>452302</v>
      </c>
      <c r="J107" s="275">
        <v>392118</v>
      </c>
      <c r="K107" s="275">
        <v>497069</v>
      </c>
      <c r="L107" s="275">
        <v>402457</v>
      </c>
      <c r="M107" s="275">
        <v>425526</v>
      </c>
      <c r="N107" s="275">
        <v>423914</v>
      </c>
      <c r="O107" s="275">
        <v>403422</v>
      </c>
      <c r="P107" s="275">
        <v>386630</v>
      </c>
      <c r="Q107" s="275">
        <v>454706</v>
      </c>
      <c r="R107" s="275">
        <v>361494</v>
      </c>
      <c r="S107" s="275">
        <v>309126</v>
      </c>
      <c r="T107" s="275">
        <v>314991</v>
      </c>
      <c r="U107" s="275">
        <v>354488</v>
      </c>
      <c r="V107" s="275">
        <v>505631</v>
      </c>
      <c r="W107" s="275">
        <v>330402</v>
      </c>
      <c r="X107" s="275">
        <v>473668</v>
      </c>
    </row>
    <row r="108" spans="1:24" ht="14.25" thickBot="1" x14ac:dyDescent="0.3">
      <c r="A108" s="224" t="s">
        <v>263</v>
      </c>
      <c r="B108" s="273">
        <v>627037</v>
      </c>
      <c r="C108" s="273">
        <v>711089</v>
      </c>
      <c r="D108" s="273">
        <v>698853</v>
      </c>
      <c r="E108" s="273">
        <v>716158</v>
      </c>
      <c r="F108" s="273">
        <v>700843</v>
      </c>
      <c r="G108" s="273">
        <v>928894</v>
      </c>
      <c r="H108" s="273">
        <v>633805</v>
      </c>
      <c r="I108" s="273">
        <v>819268</v>
      </c>
      <c r="J108" s="273">
        <v>792723</v>
      </c>
      <c r="K108" s="273">
        <v>731944</v>
      </c>
      <c r="L108" s="273">
        <v>747459</v>
      </c>
      <c r="M108" s="273">
        <v>943080</v>
      </c>
      <c r="N108" s="273">
        <v>973856</v>
      </c>
      <c r="O108" s="273">
        <v>734506</v>
      </c>
      <c r="P108" s="273">
        <v>807266</v>
      </c>
      <c r="Q108" s="273">
        <v>883883</v>
      </c>
      <c r="R108" s="273">
        <v>838727</v>
      </c>
      <c r="S108" s="273">
        <v>847657</v>
      </c>
      <c r="T108" s="273">
        <v>641055</v>
      </c>
      <c r="U108" s="273">
        <v>922499</v>
      </c>
      <c r="V108" s="273">
        <v>616391</v>
      </c>
      <c r="W108" s="273">
        <v>684091</v>
      </c>
      <c r="X108" s="273">
        <v>755339</v>
      </c>
    </row>
    <row r="109" spans="1:24" ht="14.25" thickBot="1" x14ac:dyDescent="0.3">
      <c r="A109" s="225" t="s">
        <v>264</v>
      </c>
      <c r="B109" s="275">
        <v>199691</v>
      </c>
      <c r="C109" s="275">
        <v>205495</v>
      </c>
      <c r="D109" s="275">
        <v>164017</v>
      </c>
      <c r="E109" s="275">
        <v>187661</v>
      </c>
      <c r="F109" s="275">
        <v>148535</v>
      </c>
      <c r="G109" s="275">
        <v>160387</v>
      </c>
      <c r="H109" s="275">
        <v>176081</v>
      </c>
      <c r="I109" s="275">
        <v>151136</v>
      </c>
      <c r="J109" s="275">
        <v>134343</v>
      </c>
      <c r="K109" s="275">
        <v>186826</v>
      </c>
      <c r="L109" s="275">
        <v>236356</v>
      </c>
      <c r="M109" s="275">
        <v>191137</v>
      </c>
      <c r="N109" s="275">
        <v>200231</v>
      </c>
      <c r="O109" s="275">
        <v>207642</v>
      </c>
      <c r="P109" s="275">
        <v>212617</v>
      </c>
      <c r="Q109" s="275">
        <v>241507</v>
      </c>
      <c r="R109" s="275">
        <v>319467</v>
      </c>
      <c r="S109" s="275">
        <v>273220</v>
      </c>
      <c r="T109" s="275">
        <v>277518</v>
      </c>
      <c r="U109" s="275">
        <v>237322</v>
      </c>
      <c r="V109" s="275">
        <v>252717</v>
      </c>
      <c r="W109" s="275">
        <v>251060</v>
      </c>
      <c r="X109" s="275">
        <v>257430</v>
      </c>
    </row>
    <row r="110" spans="1:24" ht="14.25" thickBot="1" x14ac:dyDescent="0.3">
      <c r="A110" s="224" t="s">
        <v>23</v>
      </c>
      <c r="B110" s="273">
        <v>144514</v>
      </c>
      <c r="C110" s="273">
        <v>143252</v>
      </c>
      <c r="D110" s="273">
        <v>95633</v>
      </c>
      <c r="E110" s="273">
        <v>102576</v>
      </c>
      <c r="F110" s="273">
        <v>230589</v>
      </c>
      <c r="G110" s="273">
        <v>202553</v>
      </c>
      <c r="H110" s="273">
        <v>186843</v>
      </c>
      <c r="I110" s="273">
        <v>396819</v>
      </c>
      <c r="J110" s="273">
        <v>392548</v>
      </c>
      <c r="K110" s="273">
        <v>299435</v>
      </c>
      <c r="L110" s="273">
        <v>301060</v>
      </c>
      <c r="M110" s="273">
        <v>221794</v>
      </c>
      <c r="N110" s="273">
        <v>306379</v>
      </c>
      <c r="O110" s="273">
        <v>224738</v>
      </c>
      <c r="P110" s="273">
        <v>207884</v>
      </c>
      <c r="Q110" s="273">
        <v>510178</v>
      </c>
      <c r="R110" s="273">
        <v>412513</v>
      </c>
      <c r="S110" s="273">
        <v>399686</v>
      </c>
      <c r="T110" s="273">
        <v>421047</v>
      </c>
      <c r="U110" s="273">
        <v>336392</v>
      </c>
      <c r="V110" s="273">
        <v>359108</v>
      </c>
      <c r="W110" s="273">
        <v>329587</v>
      </c>
      <c r="X110" s="273">
        <v>321885</v>
      </c>
    </row>
    <row r="111" spans="1:24" ht="14.25" thickBot="1" x14ac:dyDescent="0.3">
      <c r="A111" s="225" t="s">
        <v>24</v>
      </c>
      <c r="B111" s="275">
        <v>1669464</v>
      </c>
      <c r="C111" s="275">
        <v>1759212</v>
      </c>
      <c r="D111" s="275">
        <v>1536183</v>
      </c>
      <c r="E111" s="275">
        <v>1684898</v>
      </c>
      <c r="F111" s="275">
        <v>1663614</v>
      </c>
      <c r="G111" s="275">
        <v>1883892</v>
      </c>
      <c r="H111" s="275">
        <v>1541034</v>
      </c>
      <c r="I111" s="275">
        <v>1961004</v>
      </c>
      <c r="J111" s="275">
        <v>1864360</v>
      </c>
      <c r="K111" s="275">
        <v>1829106</v>
      </c>
      <c r="L111" s="275">
        <v>1801248</v>
      </c>
      <c r="M111" s="275">
        <v>1928291</v>
      </c>
      <c r="N111" s="275">
        <v>2171300</v>
      </c>
      <c r="O111" s="275">
        <v>1876324</v>
      </c>
      <c r="P111" s="275">
        <v>1853654</v>
      </c>
      <c r="Q111" s="275">
        <v>2310918</v>
      </c>
      <c r="R111" s="275">
        <v>2070806</v>
      </c>
      <c r="S111" s="275">
        <v>2047258</v>
      </c>
      <c r="T111" s="275">
        <v>1851407</v>
      </c>
      <c r="U111" s="275">
        <v>2010396</v>
      </c>
      <c r="V111" s="275">
        <v>1896396</v>
      </c>
      <c r="W111" s="275">
        <v>1771364</v>
      </c>
      <c r="X111" s="275">
        <v>1933618</v>
      </c>
    </row>
    <row r="112" spans="1:24" ht="14.25" thickBot="1" x14ac:dyDescent="0.3">
      <c r="A112" s="224" t="s">
        <v>25</v>
      </c>
      <c r="B112" s="273">
        <v>257372</v>
      </c>
      <c r="C112" s="273">
        <v>240336</v>
      </c>
      <c r="D112" s="273">
        <v>233029</v>
      </c>
      <c r="E112" s="273">
        <v>237954</v>
      </c>
      <c r="F112" s="273">
        <v>293198</v>
      </c>
      <c r="G112" s="273">
        <v>307200</v>
      </c>
      <c r="H112" s="273">
        <v>340744</v>
      </c>
      <c r="I112" s="273">
        <v>341801</v>
      </c>
      <c r="J112" s="273">
        <v>321602</v>
      </c>
      <c r="K112" s="273">
        <v>332008</v>
      </c>
      <c r="L112" s="273">
        <v>280837</v>
      </c>
      <c r="M112" s="273">
        <v>284541</v>
      </c>
      <c r="N112" s="273">
        <v>286405</v>
      </c>
      <c r="O112" s="273">
        <v>271325</v>
      </c>
      <c r="P112" s="273">
        <v>258890</v>
      </c>
      <c r="Q112" s="273">
        <v>255515</v>
      </c>
      <c r="R112" s="273">
        <v>266530</v>
      </c>
      <c r="S112" s="273">
        <v>254759</v>
      </c>
      <c r="T112" s="273">
        <v>259715</v>
      </c>
      <c r="U112" s="273">
        <v>265801</v>
      </c>
      <c r="V112" s="273">
        <v>268697</v>
      </c>
      <c r="W112" s="273">
        <v>260974</v>
      </c>
      <c r="X112" s="273">
        <v>263169</v>
      </c>
    </row>
    <row r="113" spans="1:24" ht="14.25" thickBot="1" x14ac:dyDescent="0.3">
      <c r="A113" s="225" t="s">
        <v>26</v>
      </c>
      <c r="B113" s="275">
        <v>3337938</v>
      </c>
      <c r="C113" s="275">
        <v>3345023</v>
      </c>
      <c r="D113" s="275">
        <v>3304558</v>
      </c>
      <c r="E113" s="275">
        <v>3302991</v>
      </c>
      <c r="F113" s="275">
        <v>3188511</v>
      </c>
      <c r="G113" s="275">
        <v>3163886</v>
      </c>
      <c r="H113" s="275">
        <v>3133022</v>
      </c>
      <c r="I113" s="275">
        <v>3456849</v>
      </c>
      <c r="J113" s="275">
        <v>3493419</v>
      </c>
      <c r="K113" s="275">
        <v>3439328</v>
      </c>
      <c r="L113" s="275">
        <v>3440205</v>
      </c>
      <c r="M113" s="275">
        <v>3812605</v>
      </c>
      <c r="N113" s="275">
        <v>3859809</v>
      </c>
      <c r="O113" s="275">
        <v>3939114</v>
      </c>
      <c r="P113" s="275">
        <v>4028782</v>
      </c>
      <c r="Q113" s="275">
        <v>4020211</v>
      </c>
      <c r="R113" s="275">
        <v>4220157</v>
      </c>
      <c r="S113" s="275">
        <v>4241684</v>
      </c>
      <c r="T113" s="275">
        <v>4268633</v>
      </c>
      <c r="U113" s="275">
        <v>4350443</v>
      </c>
      <c r="V113" s="275">
        <v>4432131</v>
      </c>
      <c r="W113" s="275">
        <v>4517126</v>
      </c>
      <c r="X113" s="275">
        <v>4684127</v>
      </c>
    </row>
    <row r="114" spans="1:24" ht="14.25" thickBot="1" x14ac:dyDescent="0.3">
      <c r="A114" s="224" t="s">
        <v>27</v>
      </c>
      <c r="B114" s="273">
        <v>119099</v>
      </c>
      <c r="C114" s="273">
        <v>114050</v>
      </c>
      <c r="D114" s="273">
        <v>212725</v>
      </c>
      <c r="E114" s="273">
        <v>205549</v>
      </c>
      <c r="F114" s="273">
        <v>383258</v>
      </c>
      <c r="G114" s="273">
        <v>489726</v>
      </c>
      <c r="H114" s="273">
        <v>641787</v>
      </c>
      <c r="I114" s="273">
        <v>350033</v>
      </c>
      <c r="J114" s="273">
        <v>420713</v>
      </c>
      <c r="K114" s="273">
        <v>419889</v>
      </c>
      <c r="L114" s="273">
        <v>462144</v>
      </c>
      <c r="M114" s="273">
        <v>408284</v>
      </c>
      <c r="N114" s="273">
        <v>414681</v>
      </c>
      <c r="O114" s="273">
        <v>431297</v>
      </c>
      <c r="P114" s="273">
        <v>390405</v>
      </c>
      <c r="Q114" s="273">
        <v>393412</v>
      </c>
      <c r="R114" s="273">
        <v>398381</v>
      </c>
      <c r="S114" s="273">
        <v>379943</v>
      </c>
      <c r="T114" s="273">
        <v>394228</v>
      </c>
      <c r="U114" s="273">
        <v>397032</v>
      </c>
      <c r="V114" s="273">
        <v>390052</v>
      </c>
      <c r="W114" s="273">
        <v>385951</v>
      </c>
      <c r="X114" s="273">
        <v>361212</v>
      </c>
    </row>
    <row r="115" spans="1:24" ht="14.25" thickBot="1" x14ac:dyDescent="0.3">
      <c r="A115" s="225" t="s">
        <v>265</v>
      </c>
      <c r="B115" s="276">
        <v>5383873</v>
      </c>
      <c r="C115" s="276">
        <v>5458621</v>
      </c>
      <c r="D115" s="276">
        <v>5286495</v>
      </c>
      <c r="E115" s="276">
        <v>5431392</v>
      </c>
      <c r="F115" s="276">
        <v>5528581</v>
      </c>
      <c r="G115" s="276">
        <v>5844704</v>
      </c>
      <c r="H115" s="276">
        <v>5656587</v>
      </c>
      <c r="I115" s="276">
        <v>6109687</v>
      </c>
      <c r="J115" s="276">
        <v>6100094</v>
      </c>
      <c r="K115" s="276">
        <v>6020331</v>
      </c>
      <c r="L115" s="276">
        <v>5984434</v>
      </c>
      <c r="M115" s="276">
        <v>6433721</v>
      </c>
      <c r="N115" s="276">
        <v>6732195</v>
      </c>
      <c r="O115" s="276">
        <v>6518060</v>
      </c>
      <c r="P115" s="276">
        <v>6531731</v>
      </c>
      <c r="Q115" s="276">
        <v>6980056</v>
      </c>
      <c r="R115" s="276">
        <v>6955874</v>
      </c>
      <c r="S115" s="276">
        <v>6923644</v>
      </c>
      <c r="T115" s="276">
        <v>6773983</v>
      </c>
      <c r="U115" s="276">
        <v>7023672</v>
      </c>
      <c r="V115" s="276">
        <v>6987276</v>
      </c>
      <c r="W115" s="276">
        <v>6935415</v>
      </c>
      <c r="X115" s="276">
        <v>7242126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13740</v>
      </c>
      <c r="C118" s="273">
        <v>10664</v>
      </c>
      <c r="D118" s="273">
        <v>168569</v>
      </c>
      <c r="E118" s="273">
        <v>169948</v>
      </c>
      <c r="F118" s="273">
        <v>12777</v>
      </c>
      <c r="G118" s="273">
        <v>10352</v>
      </c>
      <c r="H118" s="273">
        <v>174783</v>
      </c>
      <c r="I118" s="273">
        <v>199105</v>
      </c>
      <c r="J118" s="273">
        <v>175442</v>
      </c>
      <c r="K118" s="273">
        <v>28993</v>
      </c>
      <c r="L118" s="273">
        <v>234929</v>
      </c>
      <c r="M118" s="273">
        <v>213816</v>
      </c>
      <c r="N118" s="273">
        <v>226502</v>
      </c>
      <c r="O118" s="273">
        <v>83893</v>
      </c>
      <c r="P118" s="273">
        <v>674400</v>
      </c>
      <c r="Q118" s="273">
        <v>598593</v>
      </c>
      <c r="R118" s="273">
        <v>683830</v>
      </c>
      <c r="S118" s="273">
        <v>705512</v>
      </c>
      <c r="T118" s="273">
        <v>1202203</v>
      </c>
      <c r="U118" s="273">
        <v>885759</v>
      </c>
      <c r="V118" s="273">
        <v>1243800</v>
      </c>
      <c r="W118" s="273">
        <v>1021181</v>
      </c>
      <c r="X118" s="273">
        <v>1202322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5">
        <v>299924</v>
      </c>
      <c r="E119" s="275">
        <v>199895</v>
      </c>
      <c r="F119" s="275">
        <v>149920</v>
      </c>
      <c r="G119" s="275">
        <v>149966</v>
      </c>
      <c r="H119" s="275">
        <v>349793</v>
      </c>
      <c r="I119" s="275">
        <v>299916</v>
      </c>
      <c r="J119" s="275">
        <v>49991</v>
      </c>
      <c r="K119" s="274">
        <v>0</v>
      </c>
      <c r="L119" s="275">
        <v>299867</v>
      </c>
      <c r="M119" s="275">
        <v>99986</v>
      </c>
      <c r="N119" s="275">
        <v>59973</v>
      </c>
      <c r="O119" s="274">
        <v>0</v>
      </c>
      <c r="P119" s="275">
        <v>149960</v>
      </c>
      <c r="Q119" s="275">
        <v>449919</v>
      </c>
      <c r="R119" s="275">
        <v>199942</v>
      </c>
      <c r="S119" s="274">
        <v>0</v>
      </c>
      <c r="T119" s="275">
        <v>99977</v>
      </c>
      <c r="U119" s="275">
        <v>349938</v>
      </c>
      <c r="V119" s="274">
        <v>0</v>
      </c>
      <c r="W119" s="274">
        <v>0</v>
      </c>
      <c r="X119" s="275">
        <v>449976</v>
      </c>
    </row>
    <row r="120" spans="1:24" ht="14.25" thickBot="1" x14ac:dyDescent="0.3">
      <c r="A120" s="224" t="s">
        <v>266</v>
      </c>
      <c r="B120" s="273">
        <v>276055</v>
      </c>
      <c r="C120" s="273">
        <v>290910</v>
      </c>
      <c r="D120" s="273">
        <v>238926</v>
      </c>
      <c r="E120" s="273">
        <v>228029</v>
      </c>
      <c r="F120" s="273">
        <v>255016</v>
      </c>
      <c r="G120" s="273">
        <v>317551</v>
      </c>
      <c r="H120" s="273">
        <v>191982</v>
      </c>
      <c r="I120" s="273">
        <v>153031</v>
      </c>
      <c r="J120" s="273">
        <v>165033</v>
      </c>
      <c r="K120" s="273">
        <v>154355</v>
      </c>
      <c r="L120" s="273">
        <v>147107</v>
      </c>
      <c r="M120" s="273">
        <v>128779</v>
      </c>
      <c r="N120" s="273">
        <v>186507</v>
      </c>
      <c r="O120" s="273">
        <v>158438</v>
      </c>
      <c r="P120" s="273">
        <v>166820</v>
      </c>
      <c r="Q120" s="273">
        <v>126253</v>
      </c>
      <c r="R120" s="273">
        <v>122611</v>
      </c>
      <c r="S120" s="273">
        <v>131199</v>
      </c>
      <c r="T120" s="273">
        <v>137968</v>
      </c>
      <c r="U120" s="273">
        <v>283181</v>
      </c>
      <c r="V120" s="273">
        <v>139029</v>
      </c>
      <c r="W120" s="273">
        <v>143969</v>
      </c>
      <c r="X120" s="273">
        <v>136307</v>
      </c>
    </row>
    <row r="121" spans="1:24" ht="14.25" thickBot="1" x14ac:dyDescent="0.3">
      <c r="A121" s="225" t="s">
        <v>267</v>
      </c>
      <c r="B121" s="275">
        <v>91144</v>
      </c>
      <c r="C121" s="275">
        <v>89137</v>
      </c>
      <c r="D121" s="275">
        <v>51770</v>
      </c>
      <c r="E121" s="275">
        <v>38382</v>
      </c>
      <c r="F121" s="275">
        <v>87908</v>
      </c>
      <c r="G121" s="275">
        <v>78116</v>
      </c>
      <c r="H121" s="275">
        <v>67383</v>
      </c>
      <c r="I121" s="275">
        <v>214075</v>
      </c>
      <c r="J121" s="275">
        <v>272299</v>
      </c>
      <c r="K121" s="275">
        <v>196659</v>
      </c>
      <c r="L121" s="275">
        <v>143901</v>
      </c>
      <c r="M121" s="275">
        <v>92528</v>
      </c>
      <c r="N121" s="275">
        <v>150300</v>
      </c>
      <c r="O121" s="275">
        <v>88883</v>
      </c>
      <c r="P121" s="275">
        <v>92358</v>
      </c>
      <c r="Q121" s="275">
        <v>124919</v>
      </c>
      <c r="R121" s="275">
        <v>111999</v>
      </c>
      <c r="S121" s="275">
        <v>103469</v>
      </c>
      <c r="T121" s="275">
        <v>92570</v>
      </c>
      <c r="U121" s="275">
        <v>80901</v>
      </c>
      <c r="V121" s="275">
        <v>46323</v>
      </c>
      <c r="W121" s="275">
        <v>45268</v>
      </c>
      <c r="X121" s="275">
        <v>37213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273">
        <v>10513</v>
      </c>
      <c r="N122" s="273">
        <v>6148</v>
      </c>
      <c r="O122" s="273">
        <v>8209</v>
      </c>
      <c r="P122" s="273">
        <v>9330</v>
      </c>
      <c r="Q122" s="273">
        <v>10283</v>
      </c>
      <c r="R122" s="273">
        <v>7301</v>
      </c>
      <c r="S122" s="273">
        <v>8203</v>
      </c>
      <c r="T122" s="273">
        <v>8888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606881</v>
      </c>
      <c r="C123" s="275">
        <v>1197496</v>
      </c>
      <c r="D123" s="275">
        <v>501726</v>
      </c>
      <c r="E123" s="275">
        <v>614695</v>
      </c>
      <c r="F123" s="275">
        <v>627939</v>
      </c>
      <c r="G123" s="275">
        <v>1323180</v>
      </c>
      <c r="H123" s="275">
        <v>628871</v>
      </c>
      <c r="I123" s="275">
        <v>710497</v>
      </c>
      <c r="J123" s="275">
        <v>707035</v>
      </c>
      <c r="K123" s="275">
        <v>1402674</v>
      </c>
      <c r="L123" s="275">
        <v>646158</v>
      </c>
      <c r="M123" s="275">
        <v>746272</v>
      </c>
      <c r="N123" s="275">
        <v>732053</v>
      </c>
      <c r="O123" s="275">
        <v>1597846</v>
      </c>
      <c r="P123" s="275">
        <v>724962</v>
      </c>
      <c r="Q123" s="275">
        <v>722026</v>
      </c>
      <c r="R123" s="275">
        <v>694297</v>
      </c>
      <c r="S123" s="275">
        <v>1484420</v>
      </c>
      <c r="T123" s="275">
        <v>608202</v>
      </c>
      <c r="U123" s="275">
        <v>610730</v>
      </c>
      <c r="V123" s="275">
        <v>578237</v>
      </c>
      <c r="W123" s="275">
        <v>1271619</v>
      </c>
      <c r="X123" s="275">
        <v>752533</v>
      </c>
    </row>
    <row r="124" spans="1:24" ht="14.25" thickBot="1" x14ac:dyDescent="0.3">
      <c r="A124" s="224" t="s">
        <v>268</v>
      </c>
      <c r="B124" s="273">
        <v>987820</v>
      </c>
      <c r="C124" s="273">
        <v>1588207</v>
      </c>
      <c r="D124" s="273">
        <v>1260915</v>
      </c>
      <c r="E124" s="273">
        <v>1250949</v>
      </c>
      <c r="F124" s="273">
        <v>1133560</v>
      </c>
      <c r="G124" s="273">
        <v>1879165</v>
      </c>
      <c r="H124" s="273">
        <v>1412812</v>
      </c>
      <c r="I124" s="273">
        <v>1576624</v>
      </c>
      <c r="J124" s="273">
        <v>1369800</v>
      </c>
      <c r="K124" s="273">
        <v>1782681</v>
      </c>
      <c r="L124" s="273">
        <v>1471962</v>
      </c>
      <c r="M124" s="273">
        <v>1291894</v>
      </c>
      <c r="N124" s="273">
        <v>1361483</v>
      </c>
      <c r="O124" s="273">
        <v>1937269</v>
      </c>
      <c r="P124" s="273">
        <v>1817830</v>
      </c>
      <c r="Q124" s="273">
        <v>2031993</v>
      </c>
      <c r="R124" s="273">
        <v>1819980</v>
      </c>
      <c r="S124" s="273">
        <v>2432803</v>
      </c>
      <c r="T124" s="273">
        <v>2149808</v>
      </c>
      <c r="U124" s="273">
        <v>2210509</v>
      </c>
      <c r="V124" s="273">
        <v>2007389</v>
      </c>
      <c r="W124" s="273">
        <v>2482037</v>
      </c>
      <c r="X124" s="273">
        <v>2578351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4">
        <v>0</v>
      </c>
      <c r="F125" s="275">
        <v>144291</v>
      </c>
      <c r="G125" s="275">
        <v>143159</v>
      </c>
      <c r="H125" s="275">
        <v>139896</v>
      </c>
      <c r="I125" s="275">
        <v>159418</v>
      </c>
      <c r="J125" s="275">
        <v>158515</v>
      </c>
      <c r="K125" s="275">
        <v>157455</v>
      </c>
      <c r="L125" s="275">
        <v>145848</v>
      </c>
      <c r="M125" s="275">
        <v>458109</v>
      </c>
      <c r="N125" s="275">
        <v>457981</v>
      </c>
      <c r="O125" s="275">
        <v>453299</v>
      </c>
      <c r="P125" s="275">
        <v>449766</v>
      </c>
      <c r="Q125" s="275">
        <v>469143</v>
      </c>
      <c r="R125" s="275">
        <v>467695</v>
      </c>
      <c r="S125" s="275">
        <v>462349</v>
      </c>
      <c r="T125" s="275">
        <v>458859</v>
      </c>
      <c r="U125" s="275">
        <v>477266</v>
      </c>
      <c r="V125" s="275">
        <v>471599</v>
      </c>
      <c r="W125" s="275">
        <v>467827</v>
      </c>
      <c r="X125" s="275">
        <v>462925</v>
      </c>
    </row>
    <row r="126" spans="1:24" ht="14.25" thickBot="1" x14ac:dyDescent="0.3">
      <c r="A126" s="224" t="s">
        <v>33</v>
      </c>
      <c r="B126" s="273">
        <v>75105</v>
      </c>
      <c r="C126" s="273">
        <v>75309</v>
      </c>
      <c r="D126" s="273">
        <v>75862</v>
      </c>
      <c r="E126" s="273">
        <v>85764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1062925</v>
      </c>
      <c r="C127" s="275">
        <v>1663516</v>
      </c>
      <c r="D127" s="275">
        <v>1336777</v>
      </c>
      <c r="E127" s="275">
        <v>1336713</v>
      </c>
      <c r="F127" s="275">
        <v>1277851</v>
      </c>
      <c r="G127" s="275">
        <v>2022324</v>
      </c>
      <c r="H127" s="275">
        <v>1552708</v>
      </c>
      <c r="I127" s="275">
        <v>1736042</v>
      </c>
      <c r="J127" s="275">
        <v>1528315</v>
      </c>
      <c r="K127" s="275">
        <v>1940136</v>
      </c>
      <c r="L127" s="275">
        <v>1617810</v>
      </c>
      <c r="M127" s="275">
        <v>1750003</v>
      </c>
      <c r="N127" s="275">
        <v>1819464</v>
      </c>
      <c r="O127" s="275">
        <v>2390568</v>
      </c>
      <c r="P127" s="275">
        <v>2267596</v>
      </c>
      <c r="Q127" s="275">
        <v>2501136</v>
      </c>
      <c r="R127" s="275">
        <v>2287675</v>
      </c>
      <c r="S127" s="275">
        <v>2895152</v>
      </c>
      <c r="T127" s="275">
        <v>2608667</v>
      </c>
      <c r="U127" s="275">
        <v>2687775</v>
      </c>
      <c r="V127" s="275">
        <v>2478988</v>
      </c>
      <c r="W127" s="275">
        <v>2949864</v>
      </c>
      <c r="X127" s="275">
        <v>3041276</v>
      </c>
    </row>
    <row r="128" spans="1:24" ht="14.25" thickBot="1" x14ac:dyDescent="0.3">
      <c r="A128" s="224" t="s">
        <v>34</v>
      </c>
      <c r="B128" s="273">
        <v>4320948</v>
      </c>
      <c r="C128" s="273">
        <v>3795105</v>
      </c>
      <c r="D128" s="273">
        <v>3949718</v>
      </c>
      <c r="E128" s="273">
        <v>4094679</v>
      </c>
      <c r="F128" s="273">
        <v>4250730</v>
      </c>
      <c r="G128" s="273">
        <v>3822380</v>
      </c>
      <c r="H128" s="273">
        <v>4103879</v>
      </c>
      <c r="I128" s="273">
        <v>4373645</v>
      </c>
      <c r="J128" s="273">
        <v>4571779</v>
      </c>
      <c r="K128" s="273">
        <v>4080195</v>
      </c>
      <c r="L128" s="273">
        <v>4366624</v>
      </c>
      <c r="M128" s="273">
        <v>4683718</v>
      </c>
      <c r="N128" s="273">
        <v>4912731</v>
      </c>
      <c r="O128" s="273">
        <v>4127492</v>
      </c>
      <c r="P128" s="273">
        <v>4264135</v>
      </c>
      <c r="Q128" s="273">
        <v>4478920</v>
      </c>
      <c r="R128" s="273">
        <v>4668199</v>
      </c>
      <c r="S128" s="273">
        <v>4028492</v>
      </c>
      <c r="T128" s="273">
        <v>4165316</v>
      </c>
      <c r="U128" s="273">
        <v>4335897</v>
      </c>
      <c r="V128" s="273">
        <v>4508288</v>
      </c>
      <c r="W128" s="273">
        <v>3985551</v>
      </c>
      <c r="X128" s="273">
        <v>4200850</v>
      </c>
    </row>
    <row r="129" spans="1:24" ht="14.25" thickBot="1" x14ac:dyDescent="0.3">
      <c r="A129" s="225" t="s">
        <v>35</v>
      </c>
      <c r="B129" s="276">
        <v>5383873</v>
      </c>
      <c r="C129" s="276">
        <v>5458621</v>
      </c>
      <c r="D129" s="276">
        <v>5286495</v>
      </c>
      <c r="E129" s="276">
        <v>5431392</v>
      </c>
      <c r="F129" s="276">
        <v>5528581</v>
      </c>
      <c r="G129" s="276">
        <v>5844704</v>
      </c>
      <c r="H129" s="276">
        <v>5656587</v>
      </c>
      <c r="I129" s="276">
        <v>6109687</v>
      </c>
      <c r="J129" s="276">
        <v>6100094</v>
      </c>
      <c r="K129" s="276">
        <v>6020331</v>
      </c>
      <c r="L129" s="276">
        <v>5984434</v>
      </c>
      <c r="M129" s="276">
        <v>6433721</v>
      </c>
      <c r="N129" s="276">
        <v>6732195</v>
      </c>
      <c r="O129" s="276">
        <v>6518060</v>
      </c>
      <c r="P129" s="276">
        <v>6531731</v>
      </c>
      <c r="Q129" s="276">
        <v>6980056</v>
      </c>
      <c r="R129" s="276">
        <v>6955874</v>
      </c>
      <c r="S129" s="276">
        <v>6923644</v>
      </c>
      <c r="T129" s="276">
        <v>6773983</v>
      </c>
      <c r="U129" s="276">
        <v>7023672</v>
      </c>
      <c r="V129" s="276">
        <v>6987276</v>
      </c>
      <c r="W129" s="276">
        <v>6935415</v>
      </c>
      <c r="X129" s="276">
        <v>7242126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4.0599999999999996</v>
      </c>
      <c r="C132" s="68">
        <v>4.16</v>
      </c>
      <c r="D132" s="68">
        <v>5.45</v>
      </c>
      <c r="E132" s="68">
        <v>4.1500000000000004</v>
      </c>
      <c r="F132" s="68">
        <v>4.34</v>
      </c>
    </row>
    <row r="133" spans="1:24" ht="14.25" thickBot="1" x14ac:dyDescent="0.3">
      <c r="A133" s="225" t="s">
        <v>37</v>
      </c>
      <c r="B133" s="274">
        <v>-1.87</v>
      </c>
      <c r="C133" s="274">
        <v>-1.88</v>
      </c>
      <c r="D133" s="274">
        <v>-1.1100000000000001</v>
      </c>
      <c r="E133" s="274">
        <v>-2.73</v>
      </c>
      <c r="F133" s="274">
        <v>-1.84</v>
      </c>
    </row>
    <row r="134" spans="1:24" ht="14.25" thickBot="1" x14ac:dyDescent="0.3">
      <c r="A134" s="224" t="s">
        <v>38</v>
      </c>
      <c r="B134" s="68">
        <v>-2.12</v>
      </c>
      <c r="C134" s="68">
        <v>-2.17</v>
      </c>
      <c r="D134" s="68">
        <v>-4.3099999999999996</v>
      </c>
      <c r="E134" s="68">
        <v>-1.0900000000000001</v>
      </c>
      <c r="F134" s="68">
        <v>-2.74</v>
      </c>
    </row>
    <row r="135" spans="1:24" ht="14.25" thickBot="1" x14ac:dyDescent="0.3">
      <c r="A135" s="225" t="s">
        <v>270</v>
      </c>
      <c r="B135" s="274">
        <v>2.19</v>
      </c>
      <c r="C135" s="274">
        <v>2.2799999999999998</v>
      </c>
      <c r="D135" s="274">
        <v>4.34</v>
      </c>
      <c r="E135" s="274">
        <v>1.42</v>
      </c>
      <c r="F135" s="274">
        <v>2.5</v>
      </c>
    </row>
    <row r="136" spans="1:24" ht="14.25" thickBot="1" x14ac:dyDescent="0.3">
      <c r="A136" s="229" t="s">
        <v>39</v>
      </c>
      <c r="B136" s="72">
        <v>7.0000000000000007E-2</v>
      </c>
      <c r="C136" s="72">
        <v>0.11</v>
      </c>
      <c r="D136" s="72">
        <v>0.02</v>
      </c>
      <c r="E136" s="72">
        <v>0.33</v>
      </c>
      <c r="F136" s="72">
        <v>-0.24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保留盈餘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保留盈餘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2.8</v>
      </c>
      <c r="C140" s="68">
        <v>3.3</v>
      </c>
      <c r="D140" s="68">
        <v>4.2</v>
      </c>
      <c r="E140" s="68">
        <v>3.5</v>
      </c>
      <c r="F140" s="68">
        <v>2.8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0.9427609427609428</v>
      </c>
      <c r="C142" s="234">
        <f>IF(C140&lt;&gt;"無",IF(ISNA(HLOOKUP(C139,$B$64:$F$69,6,FALSE)),"",C140/HLOOKUP(C139,$B$64:$F$69,6,FALSE)),"")</f>
        <v>0.84183673469387754</v>
      </c>
      <c r="D142" s="234">
        <f>IF(D140&lt;&gt;"無",IF(ISNA(HLOOKUP(D139,$B$64:$F$69,6,FALSE)),"",D140/HLOOKUP(D139,$B$64:$F$69,6,FALSE)),"")</f>
        <v>0.91903719912472648</v>
      </c>
      <c r="E142" s="234">
        <f>IF(E140&lt;&gt;"無",IF(ISNA(HLOOKUP(E139,$B$64:$F$69,6,FALSE)),"",E140/HLOOKUP(E139,$B$64:$F$69,6,FALSE)),"")</f>
        <v>0.875</v>
      </c>
      <c r="F142" s="234">
        <f>IF(F140&lt;&gt;"無",IF(ISNA(HLOOKUP(F139,$B$64:$F$69,6,FALSE)),"",F140/HLOOKUP(F139,$B$64:$F$69,6,FALSE)),"")</f>
        <v>1.0294117647058825</v>
      </c>
    </row>
    <row r="143" spans="1:24" x14ac:dyDescent="0.25">
      <c r="A143" s="233" t="s">
        <v>216</v>
      </c>
      <c r="B143" s="234">
        <f>IF(OR(B140=0,B140="無"),"",B135/B140)</f>
        <v>0.78214285714285714</v>
      </c>
      <c r="C143" s="234">
        <f>IF(OR(C140=0,C140="無"),"",C135/C140)</f>
        <v>0.69090909090909092</v>
      </c>
      <c r="D143" s="234">
        <f>IF(OR(D140=0,D140="無"),"",D135/D140)</f>
        <v>1.0333333333333332</v>
      </c>
      <c r="E143" s="234">
        <f>IF(OR(E140=0,E140="無"),"",E135/E140)</f>
        <v>0.40571428571428569</v>
      </c>
      <c r="F143" s="234">
        <f>IF(OR(F140=0,F140="無"),"",F135/F140)</f>
        <v>0.8928571428571429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22.29</v>
      </c>
      <c r="C146" s="68">
        <v>21.19</v>
      </c>
      <c r="D146" s="68">
        <v>18.5</v>
      </c>
      <c r="E146" s="68">
        <v>21.3</v>
      </c>
      <c r="F146" s="68">
        <v>19.14</v>
      </c>
      <c r="G146" s="68">
        <v>21.51</v>
      </c>
      <c r="H146" s="68">
        <v>23.35</v>
      </c>
      <c r="I146" s="68">
        <v>24.02</v>
      </c>
      <c r="J146" s="68">
        <v>20.53</v>
      </c>
      <c r="K146" s="68">
        <v>23.46</v>
      </c>
      <c r="L146" s="68">
        <v>24.37</v>
      </c>
      <c r="M146" s="68">
        <v>23.38</v>
      </c>
      <c r="N146" s="68">
        <v>20.18</v>
      </c>
      <c r="O146" s="68">
        <v>18.66</v>
      </c>
      <c r="P146" s="68">
        <v>19.03</v>
      </c>
      <c r="Q146" s="68">
        <v>19.170000000000002</v>
      </c>
      <c r="R146" s="68">
        <v>14.87</v>
      </c>
      <c r="S146" s="68">
        <v>17.32</v>
      </c>
      <c r="T146" s="68">
        <v>15.85</v>
      </c>
      <c r="U146" s="68">
        <v>16.809999999999999</v>
      </c>
      <c r="V146" s="68">
        <v>18.46</v>
      </c>
      <c r="W146" s="68">
        <v>15.17</v>
      </c>
      <c r="X146" s="68">
        <v>19.62</v>
      </c>
    </row>
    <row r="147" spans="1:24" s="93" customFormat="1" ht="14.25" thickBot="1" x14ac:dyDescent="0.3">
      <c r="A147" s="225" t="s">
        <v>19</v>
      </c>
      <c r="B147" s="274">
        <v>15.7</v>
      </c>
      <c r="C147" s="274">
        <v>15.62</v>
      </c>
      <c r="D147" s="274">
        <v>12.72</v>
      </c>
      <c r="E147" s="274">
        <v>13.92</v>
      </c>
      <c r="F147" s="274">
        <v>13.31</v>
      </c>
      <c r="G147" s="274">
        <v>16.239999999999998</v>
      </c>
      <c r="H147" s="274">
        <v>17.62</v>
      </c>
      <c r="I147" s="274">
        <v>18.53</v>
      </c>
      <c r="J147" s="274">
        <v>15.29</v>
      </c>
      <c r="K147" s="274">
        <v>18.010000000000002</v>
      </c>
      <c r="L147" s="274">
        <v>18.84</v>
      </c>
      <c r="M147" s="274">
        <v>18.46</v>
      </c>
      <c r="N147" s="274">
        <v>15.28</v>
      </c>
      <c r="O147" s="274">
        <v>13.4</v>
      </c>
      <c r="P147" s="274">
        <v>13.55</v>
      </c>
      <c r="Q147" s="274">
        <v>14.15</v>
      </c>
      <c r="R147" s="274">
        <v>9.31</v>
      </c>
      <c r="S147" s="274">
        <v>12.17</v>
      </c>
      <c r="T147" s="274">
        <v>9.49</v>
      </c>
      <c r="U147" s="274">
        <v>10.67</v>
      </c>
      <c r="V147" s="274">
        <v>12.64</v>
      </c>
      <c r="W147" s="274">
        <v>9.1</v>
      </c>
      <c r="X147" s="274">
        <v>13.53</v>
      </c>
    </row>
    <row r="148" spans="1:24" s="93" customFormat="1" ht="14.25" thickBot="1" x14ac:dyDescent="0.3">
      <c r="A148" s="224" t="s">
        <v>41</v>
      </c>
      <c r="B148" s="68">
        <v>16.37</v>
      </c>
      <c r="C148" s="68">
        <v>15.77</v>
      </c>
      <c r="D148" s="68">
        <v>14.1</v>
      </c>
      <c r="E148" s="68">
        <v>12.98</v>
      </c>
      <c r="F148" s="68">
        <v>13.66</v>
      </c>
      <c r="G148" s="68">
        <v>17.07</v>
      </c>
      <c r="H148" s="68">
        <v>18.55</v>
      </c>
      <c r="I148" s="68">
        <v>19.059999999999999</v>
      </c>
      <c r="J148" s="68">
        <v>15.65</v>
      </c>
      <c r="K148" s="68">
        <v>18.75</v>
      </c>
      <c r="L148" s="68">
        <v>19.329999999999998</v>
      </c>
      <c r="M148" s="68">
        <v>18.8</v>
      </c>
      <c r="N148" s="68">
        <v>15.17</v>
      </c>
      <c r="O148" s="68">
        <v>13.35</v>
      </c>
      <c r="P148" s="68">
        <v>14.34</v>
      </c>
      <c r="Q148" s="68">
        <v>14.07</v>
      </c>
      <c r="R148" s="68">
        <v>10.31</v>
      </c>
      <c r="S148" s="68">
        <v>12.13</v>
      </c>
      <c r="T148" s="68">
        <v>9.81</v>
      </c>
      <c r="U148" s="68">
        <v>11.03</v>
      </c>
      <c r="V148" s="68">
        <v>12.6</v>
      </c>
      <c r="W148" s="68">
        <v>9.7200000000000006</v>
      </c>
      <c r="X148" s="68">
        <v>14.91</v>
      </c>
    </row>
    <row r="149" spans="1:24" s="93" customFormat="1" ht="14.25" thickBot="1" x14ac:dyDescent="0.3">
      <c r="A149" s="225" t="s">
        <v>13</v>
      </c>
      <c r="B149" s="73">
        <v>13.75</v>
      </c>
      <c r="C149" s="73">
        <v>13.53</v>
      </c>
      <c r="D149" s="73">
        <v>11.98</v>
      </c>
      <c r="E149" s="73">
        <v>10.75</v>
      </c>
      <c r="F149" s="73">
        <v>11.45</v>
      </c>
      <c r="G149" s="73">
        <v>14.47</v>
      </c>
      <c r="H149" s="73">
        <v>15.57</v>
      </c>
      <c r="I149" s="73">
        <v>16.05</v>
      </c>
      <c r="J149" s="73">
        <v>13.13</v>
      </c>
      <c r="K149" s="73">
        <v>15.2</v>
      </c>
      <c r="L149" s="73">
        <v>16.260000000000002</v>
      </c>
      <c r="M149" s="73">
        <v>15.81</v>
      </c>
      <c r="N149" s="73">
        <v>12.69</v>
      </c>
      <c r="O149" s="73">
        <v>11.07</v>
      </c>
      <c r="P149" s="73">
        <v>12.09</v>
      </c>
      <c r="Q149" s="73">
        <v>11.86</v>
      </c>
      <c r="R149" s="73">
        <v>8.68</v>
      </c>
      <c r="S149" s="73">
        <v>10.050000000000001</v>
      </c>
      <c r="T149" s="73">
        <v>8.25</v>
      </c>
      <c r="U149" s="73">
        <v>9.17</v>
      </c>
      <c r="V149" s="73">
        <v>10.52</v>
      </c>
      <c r="W149" s="73">
        <v>8.15</v>
      </c>
      <c r="X149" s="73">
        <v>12.59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20.81</v>
      </c>
      <c r="C152" s="68">
        <v>22.1</v>
      </c>
      <c r="D152" s="68">
        <v>22.96</v>
      </c>
      <c r="E152" s="68">
        <v>19.260000000000002</v>
      </c>
      <c r="F152" s="68">
        <v>16.239999999999998</v>
      </c>
    </row>
    <row r="153" spans="1:24" s="93" customFormat="1" ht="14.25" thickBot="1" x14ac:dyDescent="0.3">
      <c r="A153" s="225" t="s">
        <v>19</v>
      </c>
      <c r="B153" s="274">
        <v>14.49</v>
      </c>
      <c r="C153" s="274">
        <v>16.53</v>
      </c>
      <c r="D153" s="274">
        <v>17.690000000000001</v>
      </c>
      <c r="E153" s="274">
        <v>14.1</v>
      </c>
      <c r="F153" s="274">
        <v>10.46</v>
      </c>
    </row>
    <row r="154" spans="1:24" s="93" customFormat="1" ht="14.25" thickBot="1" x14ac:dyDescent="0.3">
      <c r="A154" s="224" t="s">
        <v>41</v>
      </c>
      <c r="B154" s="68">
        <v>14.8</v>
      </c>
      <c r="C154" s="68">
        <v>17.2</v>
      </c>
      <c r="D154" s="68">
        <v>18.170000000000002</v>
      </c>
      <c r="E154" s="68">
        <v>14.23</v>
      </c>
      <c r="F154" s="68">
        <v>10.87</v>
      </c>
    </row>
    <row r="155" spans="1:24" s="93" customFormat="1" ht="14.25" thickBot="1" x14ac:dyDescent="0.3">
      <c r="A155" s="225" t="s">
        <v>13</v>
      </c>
      <c r="B155" s="73">
        <v>12.5</v>
      </c>
      <c r="C155" s="73">
        <v>14.48</v>
      </c>
      <c r="D155" s="73">
        <v>15.13</v>
      </c>
      <c r="E155" s="73">
        <v>11.92</v>
      </c>
      <c r="F155" s="73">
        <v>9.08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3.44</v>
      </c>
      <c r="C158" s="68">
        <v>3.53</v>
      </c>
      <c r="D158" s="68">
        <v>3.07</v>
      </c>
      <c r="E158" s="68">
        <v>2.78</v>
      </c>
      <c r="F158" s="68">
        <v>2.96</v>
      </c>
      <c r="G158" s="68">
        <v>4.12</v>
      </c>
      <c r="H158" s="68">
        <v>4.13</v>
      </c>
      <c r="I158" s="68">
        <v>4.6500000000000004</v>
      </c>
      <c r="J158" s="68">
        <v>3.57</v>
      </c>
      <c r="K158" s="68">
        <v>4.34</v>
      </c>
      <c r="L158" s="68">
        <v>4.53</v>
      </c>
      <c r="M158" s="68">
        <v>5.01</v>
      </c>
      <c r="N158" s="68">
        <v>3.76</v>
      </c>
      <c r="O158" s="68">
        <v>3.32</v>
      </c>
      <c r="P158" s="68">
        <v>3.36</v>
      </c>
      <c r="Q158" s="68">
        <v>3.59</v>
      </c>
      <c r="R158" s="68">
        <v>2.2000000000000002</v>
      </c>
      <c r="S158" s="68">
        <v>2.7</v>
      </c>
      <c r="T158" s="68">
        <v>1.91</v>
      </c>
      <c r="U158" s="68">
        <v>2.3199999999999998</v>
      </c>
      <c r="V158" s="68">
        <v>2.5499999999999998</v>
      </c>
      <c r="W158" s="68">
        <v>1.99</v>
      </c>
      <c r="X158" s="68">
        <v>3.24</v>
      </c>
    </row>
    <row r="159" spans="1:24" s="93" customFormat="1" ht="14.25" thickBot="1" x14ac:dyDescent="0.3">
      <c r="A159" s="225" t="s">
        <v>45</v>
      </c>
      <c r="B159" s="73">
        <v>4.28</v>
      </c>
      <c r="C159" s="73">
        <v>4.71</v>
      </c>
      <c r="D159" s="73">
        <v>4.24</v>
      </c>
      <c r="E159" s="73">
        <v>3.68</v>
      </c>
      <c r="F159" s="73">
        <v>3.88</v>
      </c>
      <c r="G159" s="73">
        <v>5.79</v>
      </c>
      <c r="H159" s="73">
        <v>5.98</v>
      </c>
      <c r="I159" s="73">
        <v>6.42</v>
      </c>
      <c r="J159" s="73">
        <v>4.8600000000000003</v>
      </c>
      <c r="K159" s="73">
        <v>6.08</v>
      </c>
      <c r="L159" s="73">
        <v>6.42</v>
      </c>
      <c r="M159" s="73">
        <v>6.89</v>
      </c>
      <c r="N159" s="73">
        <v>5.0999999999999996</v>
      </c>
      <c r="O159" s="73">
        <v>4.8099999999999996</v>
      </c>
      <c r="P159" s="73">
        <v>5.14</v>
      </c>
      <c r="Q159" s="73">
        <v>5.54</v>
      </c>
      <c r="R159" s="73">
        <v>3.27</v>
      </c>
      <c r="S159" s="73">
        <v>4.2300000000000004</v>
      </c>
      <c r="T159" s="73">
        <v>3.09</v>
      </c>
      <c r="U159" s="73">
        <v>3.8</v>
      </c>
      <c r="V159" s="73">
        <v>3.93</v>
      </c>
      <c r="W159" s="73">
        <v>3.16</v>
      </c>
      <c r="X159" s="73">
        <v>5.64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12.5</v>
      </c>
      <c r="C162" s="68">
        <v>14.48</v>
      </c>
      <c r="D162" s="68">
        <v>15.13</v>
      </c>
      <c r="E162" s="68">
        <v>11.92</v>
      </c>
      <c r="F162" s="68">
        <v>9.08</v>
      </c>
    </row>
    <row r="163" spans="1:72" s="93" customFormat="1" ht="14.25" thickBot="1" x14ac:dyDescent="0.3">
      <c r="A163" s="225" t="s">
        <v>18</v>
      </c>
      <c r="B163" s="274">
        <v>1.01</v>
      </c>
      <c r="C163" s="274">
        <v>1.02</v>
      </c>
      <c r="D163" s="274">
        <v>1.0900000000000001</v>
      </c>
      <c r="E163" s="274">
        <v>1.1100000000000001</v>
      </c>
      <c r="F163" s="274">
        <v>0.98</v>
      </c>
    </row>
    <row r="164" spans="1:72" s="93" customFormat="1" ht="14.25" thickBot="1" x14ac:dyDescent="0.3">
      <c r="A164" s="224" t="s">
        <v>15</v>
      </c>
      <c r="B164" s="68">
        <v>1.33</v>
      </c>
      <c r="C164" s="68">
        <v>1.4</v>
      </c>
      <c r="D164" s="68">
        <v>1.37</v>
      </c>
      <c r="E164" s="68">
        <v>1.56</v>
      </c>
      <c r="F164" s="68">
        <v>1.62</v>
      </c>
    </row>
    <row r="165" spans="1:72" s="93" customFormat="1" ht="14.25" thickBot="1" x14ac:dyDescent="0.3">
      <c r="A165" s="225" t="s">
        <v>45</v>
      </c>
      <c r="B165" s="73">
        <v>16.670000000000002</v>
      </c>
      <c r="C165" s="73">
        <v>21.37</v>
      </c>
      <c r="D165" s="73">
        <v>23.49</v>
      </c>
      <c r="E165" s="73">
        <v>20.079999999999998</v>
      </c>
      <c r="F165" s="73">
        <v>14.11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46.39</v>
      </c>
      <c r="C168" s="68">
        <v>42.65</v>
      </c>
      <c r="D168" s="68">
        <v>46.39</v>
      </c>
      <c r="E168" s="68">
        <v>46.15</v>
      </c>
      <c r="F168" s="68">
        <v>45</v>
      </c>
      <c r="G168" s="68">
        <v>45.45</v>
      </c>
      <c r="H168" s="68">
        <v>46.15</v>
      </c>
      <c r="I168" s="68">
        <v>38.630000000000003</v>
      </c>
      <c r="J168" s="68">
        <v>43.9</v>
      </c>
      <c r="K168" s="68">
        <v>39.65</v>
      </c>
      <c r="L168" s="68">
        <v>39.82</v>
      </c>
      <c r="M168" s="68">
        <v>38.630000000000003</v>
      </c>
      <c r="N168" s="68">
        <v>44.78</v>
      </c>
      <c r="O168" s="68">
        <v>39.130000000000003</v>
      </c>
      <c r="P168" s="68">
        <v>38.96</v>
      </c>
      <c r="Q168" s="68">
        <v>37.340000000000003</v>
      </c>
      <c r="R168" s="68">
        <v>45</v>
      </c>
      <c r="S168" s="68">
        <v>41.47</v>
      </c>
      <c r="T168" s="68">
        <v>43.69</v>
      </c>
      <c r="U168" s="68">
        <v>39.82</v>
      </c>
      <c r="V168" s="68">
        <v>41.86</v>
      </c>
      <c r="W168" s="68">
        <v>35.43</v>
      </c>
      <c r="X168" s="68">
        <v>35.29</v>
      </c>
    </row>
    <row r="169" spans="1:72" s="93" customFormat="1" ht="14.25" thickBot="1" x14ac:dyDescent="0.3">
      <c r="A169" s="225" t="s">
        <v>17</v>
      </c>
      <c r="B169" s="274">
        <v>16.25</v>
      </c>
      <c r="C169" s="274">
        <v>16.36</v>
      </c>
      <c r="D169" s="274">
        <v>14.88</v>
      </c>
      <c r="E169" s="274">
        <v>14.61</v>
      </c>
      <c r="F169" s="274">
        <v>13.24</v>
      </c>
      <c r="G169" s="274">
        <v>10.96</v>
      </c>
      <c r="H169" s="274">
        <v>12.99</v>
      </c>
      <c r="I169" s="274">
        <v>11.42</v>
      </c>
      <c r="J169" s="274">
        <v>9.76</v>
      </c>
      <c r="K169" s="274">
        <v>10.91</v>
      </c>
      <c r="L169" s="274">
        <v>15.1</v>
      </c>
      <c r="M169" s="274">
        <v>12.73</v>
      </c>
      <c r="N169" s="274">
        <v>11.45</v>
      </c>
      <c r="O169" s="274">
        <v>11.49</v>
      </c>
      <c r="P169" s="274">
        <v>13.08</v>
      </c>
      <c r="Q169" s="274">
        <v>12.38</v>
      </c>
      <c r="R169" s="274">
        <v>17.239999999999998</v>
      </c>
      <c r="S169" s="274">
        <v>17.61</v>
      </c>
      <c r="T169" s="274">
        <v>19.190000000000001</v>
      </c>
      <c r="U169" s="274">
        <v>15.79</v>
      </c>
      <c r="V169" s="274">
        <v>16.36</v>
      </c>
      <c r="W169" s="274">
        <v>16.190000000000001</v>
      </c>
      <c r="X169" s="274">
        <v>15.52</v>
      </c>
    </row>
    <row r="170" spans="1:72" s="93" customFormat="1" ht="14.25" thickBot="1" x14ac:dyDescent="0.3">
      <c r="A170" s="224" t="s">
        <v>42</v>
      </c>
      <c r="B170" s="72">
        <v>62.64</v>
      </c>
      <c r="C170" s="72">
        <v>59.02</v>
      </c>
      <c r="D170" s="72">
        <v>61.27</v>
      </c>
      <c r="E170" s="72">
        <v>60.76</v>
      </c>
      <c r="F170" s="72">
        <v>58.24</v>
      </c>
      <c r="G170" s="72">
        <v>56.42</v>
      </c>
      <c r="H170" s="72">
        <v>59.14</v>
      </c>
      <c r="I170" s="72">
        <v>50.05</v>
      </c>
      <c r="J170" s="72">
        <v>53.66</v>
      </c>
      <c r="K170" s="72">
        <v>50.56</v>
      </c>
      <c r="L170" s="72">
        <v>54.92</v>
      </c>
      <c r="M170" s="72">
        <v>51.36</v>
      </c>
      <c r="N170" s="72">
        <v>56.23</v>
      </c>
      <c r="O170" s="72">
        <v>50.62</v>
      </c>
      <c r="P170" s="72">
        <v>52.04</v>
      </c>
      <c r="Q170" s="72">
        <v>49.72</v>
      </c>
      <c r="R170" s="72">
        <v>62.24</v>
      </c>
      <c r="S170" s="72">
        <v>59.09</v>
      </c>
      <c r="T170" s="72">
        <v>62.88</v>
      </c>
      <c r="U170" s="72">
        <v>55.61</v>
      </c>
      <c r="V170" s="72">
        <v>58.22</v>
      </c>
      <c r="W170" s="72">
        <v>51.62</v>
      </c>
      <c r="X170" s="72">
        <v>50.81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133.29</v>
      </c>
      <c r="C173" s="72">
        <v>103.54</v>
      </c>
      <c r="D173" s="72">
        <v>115.52</v>
      </c>
      <c r="E173" s="72">
        <v>101.82</v>
      </c>
      <c r="F173" s="72">
        <v>157.81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12.56</v>
      </c>
      <c r="C176" s="72">
        <v>12.87</v>
      </c>
      <c r="D176" s="72">
        <v>13.56</v>
      </c>
      <c r="E176" s="72">
        <v>15.48</v>
      </c>
      <c r="F176" s="72">
        <v>15.46</v>
      </c>
      <c r="G176" s="72">
        <v>15.68</v>
      </c>
      <c r="H176" s="72">
        <v>15.57</v>
      </c>
      <c r="I176" s="72">
        <v>15.04</v>
      </c>
      <c r="J176" s="72">
        <v>15.05</v>
      </c>
      <c r="K176" s="72">
        <v>14.93</v>
      </c>
      <c r="L176" s="72">
        <v>15.04</v>
      </c>
      <c r="M176" s="72">
        <v>15.19</v>
      </c>
      <c r="N176" s="72">
        <v>15.83</v>
      </c>
      <c r="O176" s="72">
        <v>16.559999999999999</v>
      </c>
      <c r="P176" s="72">
        <v>17.28</v>
      </c>
      <c r="Q176" s="72">
        <v>18.510000000000002</v>
      </c>
      <c r="R176" s="72">
        <v>18.760000000000002</v>
      </c>
      <c r="S176" s="72">
        <v>18.149999999999999</v>
      </c>
      <c r="T176" s="72">
        <v>18.23</v>
      </c>
      <c r="U176" s="72">
        <v>17.43</v>
      </c>
      <c r="V176" s="72">
        <v>17.47</v>
      </c>
      <c r="W176" s="72">
        <v>18.84</v>
      </c>
      <c r="X176" s="72">
        <v>17.93</v>
      </c>
      <c r="Y176" s="72">
        <v>17.93</v>
      </c>
      <c r="Z176" s="72">
        <v>19.39</v>
      </c>
      <c r="AA176" s="72">
        <v>20.18</v>
      </c>
      <c r="AB176" s="72">
        <v>17.41</v>
      </c>
      <c r="AC176" s="72">
        <v>18.09</v>
      </c>
      <c r="AD176" s="72">
        <v>17.3</v>
      </c>
      <c r="AE176" s="72">
        <v>17.52</v>
      </c>
      <c r="AF176" s="72">
        <v>17.5</v>
      </c>
      <c r="AG176" s="72">
        <v>16.62</v>
      </c>
      <c r="AH176" s="72">
        <v>16.75</v>
      </c>
      <c r="AI176" s="72">
        <v>16.170000000000002</v>
      </c>
      <c r="AJ176" s="72">
        <v>15.37</v>
      </c>
      <c r="AK176" s="72">
        <v>15.84</v>
      </c>
      <c r="AL176" s="72">
        <v>16.18</v>
      </c>
      <c r="AM176" s="72">
        <v>16.32</v>
      </c>
      <c r="AN176" s="72">
        <v>16.25</v>
      </c>
      <c r="AO176" s="72">
        <v>17.63</v>
      </c>
      <c r="AP176" s="72">
        <v>17.25</v>
      </c>
      <c r="AQ176" s="72">
        <v>16.22</v>
      </c>
      <c r="AR176" s="72">
        <v>14.65</v>
      </c>
      <c r="AS176" s="72">
        <v>13.91</v>
      </c>
      <c r="AT176" s="72">
        <v>13.52</v>
      </c>
      <c r="AU176" s="72">
        <v>13.99</v>
      </c>
      <c r="AV176" s="72">
        <v>14.66</v>
      </c>
      <c r="AW176" s="72">
        <v>14.13</v>
      </c>
      <c r="AX176" s="72">
        <v>13.7</v>
      </c>
      <c r="AY176" s="72">
        <v>14.2</v>
      </c>
      <c r="AZ176" s="72">
        <v>15.57</v>
      </c>
      <c r="BA176" s="72">
        <v>15.41</v>
      </c>
      <c r="BB176" s="72">
        <v>16.3</v>
      </c>
      <c r="BC176" s="72">
        <v>16.260000000000002</v>
      </c>
      <c r="BD176" s="72">
        <v>16.420000000000002</v>
      </c>
      <c r="BE176" s="72">
        <v>15.73</v>
      </c>
      <c r="BF176" s="72">
        <v>15.58</v>
      </c>
      <c r="BG176" s="72">
        <v>15.57</v>
      </c>
      <c r="BH176" s="72">
        <v>16.95</v>
      </c>
      <c r="BI176" s="72">
        <v>16.95</v>
      </c>
      <c r="BJ176" s="72">
        <v>17.149999999999999</v>
      </c>
      <c r="BK176" s="72">
        <v>17.63</v>
      </c>
      <c r="BL176" s="72">
        <v>20.51</v>
      </c>
      <c r="BM176" s="72">
        <v>19.97</v>
      </c>
      <c r="BN176" s="72">
        <v>19.12</v>
      </c>
      <c r="BO176" s="72">
        <v>19.41</v>
      </c>
      <c r="BP176" s="72">
        <v>18.71</v>
      </c>
      <c r="BQ176" s="72">
        <v>19.27</v>
      </c>
      <c r="BR176" s="72">
        <v>19.649999999999999</v>
      </c>
      <c r="BS176" s="72">
        <v>20.09</v>
      </c>
      <c r="BT176" s="72">
        <v>17.649999999999999</v>
      </c>
    </row>
  </sheetData>
  <phoneticPr fontId="3" type="noConversion"/>
  <conditionalFormatting sqref="E4">
    <cfRule type="cellIs" dxfId="374" priority="103" operator="greaterThan">
      <formula>0.2</formula>
    </cfRule>
    <cfRule type="cellIs" dxfId="373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372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371" priority="97" operator="greaterThan">
      <formula>$B$19</formula>
    </cfRule>
  </conditionalFormatting>
  <conditionalFormatting sqref="D33:D34">
    <cfRule type="cellIs" dxfId="370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369" priority="91" operator="lessThan">
      <formula>$H$62</formula>
    </cfRule>
    <cfRule type="cellIs" dxfId="368" priority="92" operator="greaterThan">
      <formula>$H$62</formula>
    </cfRule>
  </conditionalFormatting>
  <conditionalFormatting sqref="J62">
    <cfRule type="cellIs" dxfId="367" priority="89" operator="lessThan">
      <formula>$K$62</formula>
    </cfRule>
    <cfRule type="cellIs" dxfId="366" priority="90" operator="greaterThan">
      <formula>$K$62</formula>
    </cfRule>
  </conditionalFormatting>
  <conditionalFormatting sqref="M62">
    <cfRule type="cellIs" dxfId="365" priority="87" operator="lessThan">
      <formula>$N$62</formula>
    </cfRule>
    <cfRule type="cellIs" dxfId="364" priority="88" operator="greaterThan">
      <formula>$N$62</formula>
    </cfRule>
  </conditionalFormatting>
  <conditionalFormatting sqref="B44:E44">
    <cfRule type="cellIs" dxfId="363" priority="85" operator="greaterThan">
      <formula>0</formula>
    </cfRule>
    <cfRule type="cellIs" dxfId="362" priority="86" operator="lessThan">
      <formula>0</formula>
    </cfRule>
  </conditionalFormatting>
  <conditionalFormatting sqref="F72">
    <cfRule type="cellIs" dxfId="361" priority="84" operator="lessThan">
      <formula>$E$72*90%</formula>
    </cfRule>
  </conditionalFormatting>
  <conditionalFormatting sqref="F73">
    <cfRule type="cellIs" dxfId="360" priority="83" operator="lessThan">
      <formula>$E$73*90%</formula>
    </cfRule>
  </conditionalFormatting>
  <conditionalFormatting sqref="F74">
    <cfRule type="cellIs" dxfId="359" priority="82" operator="lessThan">
      <formula>$E$74*90%</formula>
    </cfRule>
  </conditionalFormatting>
  <conditionalFormatting sqref="F75">
    <cfRule type="cellIs" dxfId="358" priority="81" operator="lessThan">
      <formula>$E$75*90%</formula>
    </cfRule>
  </conditionalFormatting>
  <conditionalFormatting sqref="H44:K44">
    <cfRule type="cellIs" dxfId="357" priority="79" operator="greaterThan">
      <formula>0</formula>
    </cfRule>
    <cfRule type="cellIs" dxfId="356" priority="80" operator="lessThan">
      <formula>0</formula>
    </cfRule>
  </conditionalFormatting>
  <conditionalFormatting sqref="H51:K51">
    <cfRule type="cellIs" dxfId="355" priority="77" operator="greaterThan">
      <formula>0</formula>
    </cfRule>
    <cfRule type="cellIs" dxfId="354" priority="78" operator="lessThan">
      <formula>0</formula>
    </cfRule>
  </conditionalFormatting>
  <conditionalFormatting sqref="B51:E51">
    <cfRule type="cellIs" dxfId="353" priority="75" operator="greaterThan">
      <formula>0</formula>
    </cfRule>
    <cfRule type="cellIs" dxfId="352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351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350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349" priority="58" operator="lessThan">
      <formula>0</formula>
    </cfRule>
  </conditionalFormatting>
  <conditionalFormatting sqref="A25 E25 C25">
    <cfRule type="cellIs" dxfId="348" priority="59" operator="lessThan">
      <formula>0</formula>
    </cfRule>
  </conditionalFormatting>
  <conditionalFormatting sqref="F25">
    <cfRule type="cellIs" dxfId="347" priority="57" operator="lessThan">
      <formula>0</formula>
    </cfRule>
  </conditionalFormatting>
  <conditionalFormatting sqref="E1">
    <cfRule type="containsText" dxfId="346" priority="56" operator="containsText" text="本季業外損益/平均=-">
      <formula>NOT(ISERROR(SEARCH("本季業外損益/平均=-",E1)))</formula>
    </cfRule>
  </conditionalFormatting>
  <conditionalFormatting sqref="M65">
    <cfRule type="cellIs" dxfId="345" priority="55" operator="lessThan">
      <formula>$L$65*90%</formula>
    </cfRule>
  </conditionalFormatting>
  <conditionalFormatting sqref="M66">
    <cfRule type="cellIs" dxfId="344" priority="54" operator="lessThan">
      <formula>$L$66*90%</formula>
    </cfRule>
  </conditionalFormatting>
  <conditionalFormatting sqref="M67">
    <cfRule type="cellIs" dxfId="343" priority="53" operator="lessThan">
      <formula>$L$67*90%</formula>
    </cfRule>
  </conditionalFormatting>
  <conditionalFormatting sqref="M68">
    <cfRule type="cellIs" dxfId="342" priority="52" operator="lessThan">
      <formula>$L$68*90%</formula>
    </cfRule>
  </conditionalFormatting>
  <conditionalFormatting sqref="B60">
    <cfRule type="cellIs" dxfId="341" priority="51" operator="lessThan">
      <formula>0</formula>
    </cfRule>
  </conditionalFormatting>
  <conditionalFormatting sqref="B59:F59">
    <cfRule type="cellIs" dxfId="340" priority="50" operator="lessThanOrEqual">
      <formula>0</formula>
    </cfRule>
  </conditionalFormatting>
  <conditionalFormatting sqref="D62">
    <cfRule type="cellIs" dxfId="339" priority="48" operator="lessThan">
      <formula>$E$62</formula>
    </cfRule>
    <cfRule type="cellIs" dxfId="338" priority="49" operator="greaterThan">
      <formula>$E$62</formula>
    </cfRule>
  </conditionalFormatting>
  <conditionalFormatting sqref="F69">
    <cfRule type="cellIs" dxfId="337" priority="46" operator="lessThan">
      <formula>0</formula>
    </cfRule>
  </conditionalFormatting>
  <conditionalFormatting sqref="B65:E67 B69:E69 B68:D68">
    <cfRule type="cellIs" dxfId="336" priority="47" operator="lessThan">
      <formula>0</formula>
    </cfRule>
  </conditionalFormatting>
  <conditionalFormatting sqref="E68">
    <cfRule type="cellIs" dxfId="335" priority="45" operator="lessThan">
      <formula>0</formula>
    </cfRule>
  </conditionalFormatting>
  <conditionalFormatting sqref="F65:F68">
    <cfRule type="cellIs" dxfId="334" priority="44" operator="lessThan">
      <formula>0</formula>
    </cfRule>
  </conditionalFormatting>
  <conditionalFormatting sqref="F65:F68">
    <cfRule type="cellIs" dxfId="333" priority="43" operator="lessThan">
      <formula>$E$65*0.9</formula>
    </cfRule>
  </conditionalFormatting>
  <conditionalFormatting sqref="F66">
    <cfRule type="cellIs" dxfId="332" priority="42" operator="lessThan">
      <formula>$E$66*0.9</formula>
    </cfRule>
  </conditionalFormatting>
  <conditionalFormatting sqref="F67:F68">
    <cfRule type="cellIs" dxfId="331" priority="41" operator="lessThan">
      <formula>$E$67*0.9</formula>
    </cfRule>
  </conditionalFormatting>
  <conditionalFormatting sqref="F68">
    <cfRule type="cellIs" dxfId="330" priority="40" operator="lessThan">
      <formula>$E$68*0.9</formula>
    </cfRule>
  </conditionalFormatting>
  <conditionalFormatting sqref="B13:F13">
    <cfRule type="cellIs" dxfId="329" priority="29" operator="greaterThan">
      <formula>$I$16</formula>
    </cfRule>
    <cfRule type="cellIs" dxfId="328" priority="30" operator="lessThanOrEqual">
      <formula>$I$16</formula>
    </cfRule>
  </conditionalFormatting>
  <conditionalFormatting sqref="B10:F10">
    <cfRule type="cellIs" dxfId="327" priority="31" operator="greaterThan">
      <formula>15</formula>
    </cfRule>
    <cfRule type="cellIs" dxfId="326" priority="38" operator="lessThan">
      <formula>$I$9</formula>
    </cfRule>
    <cfRule type="cellIs" dxfId="325" priority="39" operator="greaterThan">
      <formula>$I$9</formula>
    </cfRule>
  </conditionalFormatting>
  <conditionalFormatting sqref="B16:F16">
    <cfRule type="cellIs" dxfId="324" priority="36" operator="greaterThan">
      <formula>$I$16</formula>
    </cfRule>
    <cfRule type="cellIs" dxfId="323" priority="37" operator="lessThanOrEqual">
      <formula>$I$16</formula>
    </cfRule>
  </conditionalFormatting>
  <conditionalFormatting sqref="B15:F15">
    <cfRule type="cellIs" dxfId="322" priority="34" operator="lessThanOrEqual">
      <formula>$I$16</formula>
    </cfRule>
    <cfRule type="cellIs" dxfId="321" priority="35" operator="greaterThan">
      <formula>$I$16</formula>
    </cfRule>
  </conditionalFormatting>
  <conditionalFormatting sqref="B14:F14">
    <cfRule type="cellIs" dxfId="320" priority="32" operator="greaterThan">
      <formula>$I$16</formula>
    </cfRule>
    <cfRule type="cellIs" dxfId="319" priority="33" operator="lessThanOrEqual">
      <formula>$I$16</formula>
    </cfRule>
  </conditionalFormatting>
  <conditionalFormatting sqref="K6">
    <cfRule type="containsText" dxfId="318" priority="27" operator="containsText" text="衰退">
      <formula>NOT(ISERROR(SEARCH("衰退",K6)))</formula>
    </cfRule>
    <cfRule type="containsText" dxfId="317" priority="28" operator="containsText" text="成長">
      <formula>NOT(ISERROR(SEARCH("成長",K6)))</formula>
    </cfRule>
  </conditionalFormatting>
  <conditionalFormatting sqref="I4:K4">
    <cfRule type="cellIs" dxfId="316" priority="25" operator="lessThan">
      <formula>0</formula>
    </cfRule>
    <cfRule type="cellIs" dxfId="315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314" priority="22" operator="lessThanOrEqual">
      <formula>$I$16</formula>
    </cfRule>
    <cfRule type="cellIs" dxfId="313" priority="23" operator="greaterThan">
      <formula>$I$16</formula>
    </cfRule>
  </conditionalFormatting>
  <conditionalFormatting sqref="I6">
    <cfRule type="containsText" dxfId="312" priority="20" operator="containsText" text="衰退">
      <formula>NOT(ISERROR(SEARCH("衰退",I6)))</formula>
    </cfRule>
    <cfRule type="containsText" dxfId="311" priority="21" operator="containsText" text="成長">
      <formula>NOT(ISERROR(SEARCH("成長",I6)))</formula>
    </cfRule>
  </conditionalFormatting>
  <conditionalFormatting sqref="M9">
    <cfRule type="cellIs" dxfId="310" priority="19" operator="lessThan">
      <formula>$I$9</formula>
    </cfRule>
  </conditionalFormatting>
  <conditionalFormatting sqref="M10">
    <cfRule type="cellIs" dxfId="309" priority="18" operator="greaterThan">
      <formula>$I$9</formula>
    </cfRule>
  </conditionalFormatting>
  <conditionalFormatting sqref="M11">
    <cfRule type="cellIs" dxfId="308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307" priority="14" operator="lessThan">
      <formula>0</formula>
    </cfRule>
    <cfRule type="cellIs" dxfId="306" priority="15" operator="greaterThan">
      <formula>0.5</formula>
    </cfRule>
  </conditionalFormatting>
  <conditionalFormatting sqref="N14">
    <cfRule type="cellIs" dxfId="305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304" priority="10" operator="lessThan">
      <formula>0.1</formula>
    </cfRule>
  </conditionalFormatting>
  <conditionalFormatting sqref="I14">
    <cfRule type="cellIs" dxfId="303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302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301" priority="1" operator="lessThan">
      <formula>$N$5*0.9</formula>
    </cfRule>
    <cfRule type="cellIs" dxfId="300" priority="2" operator="greaterThan">
      <formula>$N$5*1.1</formula>
    </cfRule>
  </conditionalFormatting>
  <hyperlinks>
    <hyperlink ref="L1" location="儀表板!A1" display="(回首頁)" xr:uid="{00000000-0004-0000-6300-000000000000}"/>
  </hyperlink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201801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-3.89 ~ 28.94</v>
      </c>
      <c r="L1" s="83" t="s">
        <v>176</v>
      </c>
      <c r="M1" s="84" t="str">
        <f ca="1">VLOOKUP(_xlfn.NUMBERVALUE(N1),儀表板!A:B,2,FALSE)</f>
        <v>信義</v>
      </c>
      <c r="N1" s="85" t="str">
        <f ca="1">MID(CELL("filename",L1),FIND("]",CELL("filename",L1))+1,255)</f>
        <v>9940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0.15052745891773994</v>
      </c>
    </row>
    <row r="3" spans="1:15" s="93" customFormat="1" x14ac:dyDescent="0.25">
      <c r="A3" s="81" t="s">
        <v>179</v>
      </c>
      <c r="B3" s="94">
        <f>SUM(F19:F22,F24:F27,J19)</f>
        <v>53.00271601084323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61.050487073150784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70.758161696089957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85.751125835962682</v>
      </c>
      <c r="L3" s="100"/>
      <c r="M3" s="79" t="s">
        <v>385</v>
      </c>
      <c r="N3" s="92">
        <f>(F69-E69)/E69</f>
        <v>1.7024559681620142</v>
      </c>
    </row>
    <row r="4" spans="1:15" s="93" customFormat="1" x14ac:dyDescent="0.25">
      <c r="A4" s="81" t="s">
        <v>182</v>
      </c>
      <c r="B4" s="96">
        <f>SUM(G36:G40)*2</f>
        <v>46</v>
      </c>
      <c r="C4" s="101"/>
      <c r="D4" s="102">
        <f>F4*(1+F141/10)</f>
        <v>65.159199999999998</v>
      </c>
      <c r="E4" s="82">
        <f>(D4-F4)/F4</f>
        <v>3.099999999999993E-2</v>
      </c>
      <c r="F4" s="103">
        <v>63.2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3.9726102731981614</v>
      </c>
    </row>
    <row r="5" spans="1:15" s="93" customFormat="1" x14ac:dyDescent="0.25">
      <c r="A5" s="81" t="s">
        <v>184</v>
      </c>
      <c r="B5" s="107">
        <f>SUM(F30:F34)*2</f>
        <v>95.770869565217396</v>
      </c>
      <c r="C5" s="87"/>
      <c r="D5" s="87"/>
      <c r="E5" s="87"/>
      <c r="F5" s="86"/>
      <c r="G5" s="88"/>
      <c r="M5" s="79" t="s">
        <v>386</v>
      </c>
      <c r="N5" s="152">
        <f>D62</f>
        <v>4.3999999999999995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連2季成長</v>
      </c>
      <c r="L6" s="112"/>
      <c r="M6" s="79" t="s">
        <v>190</v>
      </c>
      <c r="N6" s="152">
        <f>A53</f>
        <v>4.9278557512401076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46.79</v>
      </c>
      <c r="N9" s="129"/>
    </row>
    <row r="10" spans="1:15" s="93" customFormat="1" x14ac:dyDescent="0.25">
      <c r="A10" s="123" t="s">
        <v>194</v>
      </c>
      <c r="B10" s="126">
        <f>PERCENTILE(176:176,B9)</f>
        <v>11.72</v>
      </c>
      <c r="C10" s="126">
        <f>PERCENTILE(176:176,C9)</f>
        <v>14.149999999999999</v>
      </c>
      <c r="D10" s="126">
        <f>PERCENTILE(176:176,D9)</f>
        <v>16.399999999999999</v>
      </c>
      <c r="E10" s="126">
        <f>PERCENTILE(176:176,E9)</f>
        <v>19.875</v>
      </c>
      <c r="F10" s="126">
        <f>PERCENTILE(176:176,F9)</f>
        <v>22.06</v>
      </c>
      <c r="G10" s="95"/>
      <c r="H10" s="135"/>
      <c r="I10" s="135"/>
      <c r="J10" s="135"/>
      <c r="K10" s="135"/>
      <c r="L10" s="136" t="s">
        <v>374</v>
      </c>
      <c r="M10" s="130">
        <f>MIN(176:176)</f>
        <v>8.52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16.53</v>
      </c>
      <c r="L11" s="272" t="s">
        <v>193</v>
      </c>
      <c r="M11" s="128">
        <f>STDEV(176:176)</f>
        <v>10.724966106609735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18.557422969187677</v>
      </c>
      <c r="C13" s="141">
        <f>$B$34/5.88%</f>
        <v>22.534013605442176</v>
      </c>
      <c r="D13" s="141">
        <f>$B$34/5%</f>
        <v>26.499999999999996</v>
      </c>
      <c r="E13" s="141">
        <f>$B$34/4.35%</f>
        <v>30.459770114942529</v>
      </c>
      <c r="F13" s="141">
        <f>$B$34/3.85%</f>
        <v>34.415584415584412</v>
      </c>
      <c r="G13" s="138" t="str">
        <f>"$"&amp;ROUND(B34,2)&amp;"/"&amp;IF(STDEV(C140:F140)/AVERAGE(C140:F140)&lt;15%,"高",IF(STDEV(C140:F140)/AVERAGE(C140:F140)&lt;30%,"中","低"))</f>
        <v>$1.33/低</v>
      </c>
      <c r="H13" s="142" t="s">
        <v>199</v>
      </c>
      <c r="I13" s="143">
        <f>MAX(0,1-J15)</f>
        <v>0.31972789115646272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26.956</v>
      </c>
      <c r="C14" s="141">
        <f>$B$33*C10</f>
        <v>32.544999999999995</v>
      </c>
      <c r="D14" s="141">
        <f>$B$33*D10</f>
        <v>37.719999999999992</v>
      </c>
      <c r="E14" s="141">
        <f>$B$33*E10</f>
        <v>45.712499999999999</v>
      </c>
      <c r="F14" s="141">
        <f>$B$33*F10</f>
        <v>50.737999999999992</v>
      </c>
      <c r="G14" s="138" t="str">
        <f>"$"&amp;ROUND(B33,2)&amp;"/"&amp;IF(STDEV(B69:E69)/AVERAGE(B69:E69)&lt;15%,"高",IF(STDEV(B69:E69)/AVERAGE(B69:E69)&lt;30%,"中","低"))</f>
        <v>$2.3/低</v>
      </c>
      <c r="H14" s="142" t="s">
        <v>203</v>
      </c>
      <c r="I14" s="145">
        <f>G62/100*I13</f>
        <v>9.4000000000000056E-2</v>
      </c>
      <c r="J14" s="76" t="s">
        <v>204</v>
      </c>
      <c r="K14" s="146"/>
      <c r="L14" s="147">
        <f>(HLOOKUP($C$1,$105:$106,2,FALSE)-HLOOKUP($C$1,$117:$127,9,FALSE))/(HLOOKUP($C$1,$117:$128,12,FALSE)/K11)</f>
        <v>-4.2274801459988067</v>
      </c>
      <c r="M14" s="148">
        <f>E135/E69</f>
        <v>0.53061224489795911</v>
      </c>
      <c r="N14" s="149">
        <f>F173/100</f>
        <v>3.2311999999999999</v>
      </c>
    </row>
    <row r="15" spans="1:15" s="93" customFormat="1" x14ac:dyDescent="0.25">
      <c r="A15" s="140" t="s">
        <v>375</v>
      </c>
      <c r="B15" s="141">
        <f>$D$62*B10</f>
        <v>51.567999999999998</v>
      </c>
      <c r="C15" s="141">
        <f>$D$62*C10</f>
        <v>62.259999999999984</v>
      </c>
      <c r="D15" s="141">
        <f>$D$62*D10</f>
        <v>72.159999999999982</v>
      </c>
      <c r="E15" s="141">
        <f>$D$62*E10</f>
        <v>87.449999999999989</v>
      </c>
      <c r="F15" s="141">
        <f>$D$62*F10</f>
        <v>97.063999999999979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0.68027210884353728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46.558992401882456</v>
      </c>
      <c r="C16" s="141">
        <f>$F$69*C10</f>
        <v>56.212435365753976</v>
      </c>
      <c r="D16" s="141">
        <f>$F$69*D10</f>
        <v>65.15080848044984</v>
      </c>
      <c r="E16" s="141">
        <f>$F$69*E10</f>
        <v>78.955629179813457</v>
      </c>
      <c r="F16" s="141">
        <f>$F$69*F10</f>
        <v>87.635782626751435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434</v>
      </c>
      <c r="J17" s="92">
        <f ca="1">IF(I17&lt;=0,"",IF(I17&lt;=MIN($B$13:$F$16),(I17-MIN($B$13:$F$16))/MIN($B$13:$F$16),IF(I17&gt;=MAX($B$13:$F$16),I17/MAX($B$13:$F$16),PERCENTRANK($B$13:$F$16,I17))))</f>
        <v>4.4712766834253701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0.34250000000000003</v>
      </c>
      <c r="C19" s="157" t="s">
        <v>211</v>
      </c>
      <c r="D19" s="158">
        <f>COUNTIF(C135:F135,"&gt;0")/COUNT(C135:F135)</f>
        <v>0.5</v>
      </c>
      <c r="E19" s="140" t="s">
        <v>212</v>
      </c>
      <c r="F19" s="159">
        <f>IF(B19&gt;0,2,0)+D19*8</f>
        <v>6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11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0.2584905660377359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4</v>
      </c>
      <c r="G20" s="88" t="s">
        <v>213</v>
      </c>
      <c r="H20" s="123" t="s">
        <v>219</v>
      </c>
      <c r="I20" s="237">
        <f>HLOOKUP($C$1,$117:$127,11,FALSE)*(1-N22)/HLOOKUP($C$1,$105:$115,11,FALSE)</f>
        <v>0.53147191551538775</v>
      </c>
      <c r="J20" s="171">
        <f>HLOOKUP($C$1,$117:$127,11,FALSE)/HLOOKUP($C$1,$105:$115,11,FALSE)</f>
        <v>0.5322935208276367</v>
      </c>
      <c r="K20" s="163"/>
    </row>
    <row r="21" spans="1:14" s="93" customFormat="1" x14ac:dyDescent="0.25">
      <c r="A21" s="151" t="s">
        <v>201</v>
      </c>
      <c r="B21" s="161">
        <f>AVERAGE(C173:F173)/100</f>
        <v>1.3548250000000002</v>
      </c>
      <c r="C21" s="157" t="s">
        <v>217</v>
      </c>
      <c r="D21" s="158">
        <f>COUNTIF(C173:F173,"&gt;=80")/COUNT(C173:F173)</f>
        <v>0.5</v>
      </c>
      <c r="E21" s="140" t="s">
        <v>218</v>
      </c>
      <c r="F21" s="159">
        <f>MIN(100%,B21)*9+D21*6-COUNTIF(B132:E132,"&lt;=0")*4</f>
        <v>4</v>
      </c>
      <c r="G21" s="88" t="s">
        <v>220</v>
      </c>
      <c r="H21" s="123" t="s">
        <v>221</v>
      </c>
      <c r="I21" s="162">
        <f>HLOOKUP($C$1,$105:$115,7,FALSE)/HLOOKUP($C$1,$117:$127,8,FALSE)</f>
        <v>3.0071388861366581</v>
      </c>
      <c r="J21" s="78"/>
      <c r="K21" s="164" t="s">
        <v>356</v>
      </c>
      <c r="L21" s="165">
        <f>HLOOKUP($C$1,$105:$115,7,FALSE)/HLOOKUP($C$1,$105:$115,11,FALSE)</f>
        <v>0.73383780039796598</v>
      </c>
      <c r="M21" s="123" t="s">
        <v>268</v>
      </c>
      <c r="N21" s="165">
        <f>HLOOKUP($C$1,$117:$127,8,FALSE)/HLOOKUP($C$1,$117:$127,11,FALSE)</f>
        <v>0.45845362620531221</v>
      </c>
    </row>
    <row r="22" spans="1:14" s="93" customFormat="1" x14ac:dyDescent="0.25">
      <c r="A22" s="140" t="s">
        <v>222</v>
      </c>
      <c r="B22" s="161">
        <f>(-1)*SUM(C133:F133)/SUM(C132:F132)</f>
        <v>0.77265238879736409</v>
      </c>
      <c r="C22" s="157"/>
      <c r="D22" s="166"/>
      <c r="E22" s="140"/>
      <c r="F22" s="159">
        <f>IF(B22&lt;=0,10,IF(B22&gt;=100%,0,(1-B22)*10))</f>
        <v>2.2734761120263594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1.6022140138279513</v>
      </c>
      <c r="J22" s="78"/>
      <c r="K22" s="142" t="s">
        <v>357</v>
      </c>
      <c r="L22" s="165">
        <f>HLOOKUP($C$1,$105:$115,4,FALSE)/HLOOKUP($C$1,$105:$115,11,FALSE)</f>
        <v>3.7919891699785047E-2</v>
      </c>
      <c r="M22" s="123" t="s">
        <v>353</v>
      </c>
      <c r="N22" s="165">
        <f>HLOOKUP($C$1,$117:$127,4,FALSE)/HLOOKUP($C$1,$117:$127,11,FALSE)</f>
        <v>1.5435192804365003E-3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2.1380931086726962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0.34284647868191676</v>
      </c>
      <c r="M23" s="123" t="s">
        <v>354</v>
      </c>
      <c r="N23" s="165">
        <f>IF(HLOOKUP($C$1,$117:$127,5,FALSE)="無",0,HLOOKUP($C$1,$117:$127,5,FALSE))/HLOOKUP($C$1,$117:$127,11,FALSE)</f>
        <v>5.0943881685951313E-2</v>
      </c>
    </row>
    <row r="24" spans="1:14" s="93" customFormat="1" x14ac:dyDescent="0.25">
      <c r="A24" s="164" t="s">
        <v>228</v>
      </c>
      <c r="B24" s="127">
        <f>AVERAGE(C103:F103)</f>
        <v>0.97663643747334239</v>
      </c>
      <c r="C24" s="169">
        <f>STDEV(C103:F103)</f>
        <v>1.539634142807236E-2</v>
      </c>
      <c r="D24" s="76" t="str">
        <f>IF(C24/B24&lt;15%,"高",IF(C24/B24&lt;30%,"中","低"))</f>
        <v>高</v>
      </c>
      <c r="E24" s="149"/>
      <c r="F24" s="160">
        <f>MIN(100%,B24)*5</f>
        <v>4.8831821873667121</v>
      </c>
      <c r="G24" s="88" t="s">
        <v>229</v>
      </c>
      <c r="H24" s="123" t="s">
        <v>16</v>
      </c>
      <c r="I24" s="170">
        <f>HLOOKUP(C1,167:170,2,FALSE)</f>
        <v>14.85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0.109732902902795</v>
      </c>
      <c r="M24" s="123" t="s">
        <v>355</v>
      </c>
      <c r="N24" s="165">
        <f>HLOOKUP($C$1,$117:$127,9,FALSE)/HLOOKUP($C$1,$117:$127,11,FALSE)</f>
        <v>0.54154637379468784</v>
      </c>
    </row>
    <row r="25" spans="1:14" s="93" customFormat="1" x14ac:dyDescent="0.25">
      <c r="A25" s="151" t="s">
        <v>366</v>
      </c>
      <c r="B25" s="255">
        <f>AVERAGE(94:94)</f>
        <v>72811.65217391304</v>
      </c>
      <c r="C25" s="254">
        <f>STDEV(94:94)/AVERAGE(94:94)</f>
        <v>1.1539422885498414</v>
      </c>
      <c r="D25" s="76" t="str">
        <f>IF(C25&lt;=1,"高",IF(C25&lt;=2,"中","低"))</f>
        <v>中</v>
      </c>
      <c r="E25" s="149"/>
      <c r="F25" s="160">
        <f>MAX(0,10-ABS(C25))</f>
        <v>8.8460577114501593</v>
      </c>
      <c r="G25" s="88" t="s">
        <v>213</v>
      </c>
      <c r="H25" s="123" t="s">
        <v>232</v>
      </c>
      <c r="I25" s="170">
        <f>IF(HLOOKUP(C1,167:170,3,FALSE)="無",0,HLOOKUP(C1,167:170,3,FALSE))</f>
        <v>191.49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34.760869565217398</v>
      </c>
      <c r="C26" s="172">
        <f>IF(COUNTIF(168:168,"&gt;0")=0,0,STDEV(168:168))</f>
        <v>8.6544060838414119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279.91999999999996</v>
      </c>
      <c r="C27" s="172">
        <f>IF(COUNTIF(169:169,"&gt;0")=0,0,STDEV(169:169))</f>
        <v>151.99577598008923</v>
      </c>
      <c r="D27" s="76" t="str">
        <f>IF(C27&lt;=15,"高",IF(C27&lt;=30,"中","低"))</f>
        <v>低</v>
      </c>
      <c r="E27" s="149"/>
      <c r="F27" s="160">
        <f>IF(I25&lt;=60,4,IF(I25&lt;=90,3,IF(I25&lt;=120,2,IF(I25&lt;=150,1,0))))+IF(D27="高",6,IF(D27="中",4,2))</f>
        <v>2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0.26775000000000004</v>
      </c>
      <c r="C30" s="157" t="s">
        <v>217</v>
      </c>
      <c r="D30" s="174">
        <f>COUNTIF(146:146,"&gt;20")/COUNT(146:146)</f>
        <v>0.91304347826086951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0.13312499999999999</v>
      </c>
      <c r="C31" s="157" t="s">
        <v>217</v>
      </c>
      <c r="D31" s="174">
        <f>COUNTIF(149:149,"&gt;8")/COUNT(149:149)</f>
        <v>0.73913043478260865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14.257500000000002</v>
      </c>
      <c r="C32" s="157" t="s">
        <v>217</v>
      </c>
      <c r="D32" s="174">
        <f>COUNTIF(159:159,"&gt;3")/COUNT(159:159)</f>
        <v>0.52173913043478259</v>
      </c>
      <c r="E32" s="140" t="s">
        <v>242</v>
      </c>
      <c r="F32" s="159">
        <f>MIN(B32/15*10,10)</f>
        <v>9.5050000000000008</v>
      </c>
      <c r="G32" s="135"/>
    </row>
    <row r="33" spans="1:14" x14ac:dyDescent="0.25">
      <c r="A33" s="155" t="s">
        <v>14</v>
      </c>
      <c r="B33" s="156">
        <f>AVERAGE(B69:E69)</f>
        <v>2.2999999999999998</v>
      </c>
      <c r="C33" s="157" t="s">
        <v>217</v>
      </c>
      <c r="D33" s="174">
        <f>COUNTIF(82:82,"&gt;0")/COUNT(82:82)</f>
        <v>0.95652173913043481</v>
      </c>
      <c r="E33" s="140" t="s">
        <v>243</v>
      </c>
      <c r="F33" s="159">
        <f>MIN(B33,2)+D33*8</f>
        <v>9.6521739130434785</v>
      </c>
      <c r="G33" s="135"/>
    </row>
    <row r="34" spans="1:14" x14ac:dyDescent="0.25">
      <c r="A34" s="155" t="s">
        <v>244</v>
      </c>
      <c r="B34" s="156">
        <f>AVERAGE(C140:F140)</f>
        <v>1.325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8.7282608695652169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9025683.25</v>
      </c>
      <c r="C36" s="178">
        <f>STDEV(C97:F97)</f>
        <v>2139919.5473799752</v>
      </c>
      <c r="D36" s="76" t="str">
        <f>IF(C36/B36&lt;15%,"高",IF(C36/B36&lt;30%,"中","低"))</f>
        <v>中</v>
      </c>
      <c r="E36" s="107">
        <f>IF(F97&gt;E97,1,0)+IF(E97&gt;D97,1,0)+IF(D97&gt;C97,1,0)</f>
        <v>1</v>
      </c>
      <c r="F36" s="179"/>
      <c r="G36" s="160">
        <f>IF(D36="高",6,IF(D36="中",4,2))+E36+1</f>
        <v>6</v>
      </c>
    </row>
    <row r="37" spans="1:14" x14ac:dyDescent="0.25">
      <c r="A37" s="164" t="s">
        <v>248</v>
      </c>
      <c r="B37" s="180">
        <f>AVERAGE(C152:F152)</f>
        <v>26.775000000000002</v>
      </c>
      <c r="C37" s="180">
        <f>STDEV(C152:F152)</f>
        <v>4.9279238359915079</v>
      </c>
      <c r="D37" s="76" t="str">
        <f>IF(C37/B37&lt;15%,"高",IF(C37/B37&lt;30%,"中","低"))</f>
        <v>中</v>
      </c>
      <c r="E37" s="107">
        <f>IF(F152&gt;E152,1,0)+IF(E152&gt;D152,1,0)+IF(D152&gt;C152,1,0)</f>
        <v>0</v>
      </c>
      <c r="F37" s="179"/>
      <c r="G37" s="160">
        <f>IF(D37="高",6,IF(D37="中",4,2))+E37+1</f>
        <v>5</v>
      </c>
    </row>
    <row r="38" spans="1:14" x14ac:dyDescent="0.25">
      <c r="A38" s="164" t="s">
        <v>249</v>
      </c>
      <c r="B38" s="180">
        <f>AVERAGE(C153:F153)</f>
        <v>12.512500000000003</v>
      </c>
      <c r="C38" s="180">
        <f>STDEV(C153:F153)</f>
        <v>7.6402023315267389</v>
      </c>
      <c r="D38" s="76" t="str">
        <f>IF(C38/B38&lt;15%,"高",IF(C38/B38&lt;30%,"中","低"))</f>
        <v>低</v>
      </c>
      <c r="E38" s="107">
        <f>IF(F153&gt;E153,1,0)+IF(E153&gt;D153,1,0)+IF(D153&gt;C153,1,0)</f>
        <v>1</v>
      </c>
      <c r="F38" s="179"/>
      <c r="G38" s="160">
        <f>IF(D38="高",6,IF(D38="中",4,2))+E38+1</f>
        <v>4</v>
      </c>
    </row>
    <row r="39" spans="1:14" x14ac:dyDescent="0.25">
      <c r="A39" s="142" t="s">
        <v>46</v>
      </c>
      <c r="B39" s="181">
        <f>AVERAGE(C165:F165)</f>
        <v>14.257500000000002</v>
      </c>
      <c r="C39" s="181">
        <f>STDEV(C165:F165)</f>
        <v>10.293996227575237</v>
      </c>
      <c r="D39" s="76" t="str">
        <f>IF(C39/B39&lt;15%,"高",IF(C39/B39&lt;30%,"中","低"))</f>
        <v>低</v>
      </c>
      <c r="E39" s="107">
        <f>IF(F165&gt;E165,1,0)+IF(E165&gt;D165,1,0)+IF(D165&gt;C165,1,0)</f>
        <v>1</v>
      </c>
      <c r="F39" s="182"/>
      <c r="G39" s="160">
        <f>IF(D39="高",6,IF(D39="中",4,2))+E39+1</f>
        <v>4</v>
      </c>
    </row>
    <row r="40" spans="1:14" x14ac:dyDescent="0.25">
      <c r="A40" s="164" t="s">
        <v>14</v>
      </c>
      <c r="B40" s="183">
        <f>AVERAGE(B69:E69)</f>
        <v>2.2999999999999998</v>
      </c>
      <c r="C40" s="183">
        <f>STDEV(B69:E69)</f>
        <v>1.8419735792531522</v>
      </c>
      <c r="D40" s="76" t="str">
        <f>IF(C40/B40&lt;15%,"高",IF(C40/B40&lt;30%,"中","低"))</f>
        <v>低</v>
      </c>
      <c r="E40" s="107">
        <f>IF(E69&gt;D69,1,0)+IF(D69&gt;C69,1,0)+IF(C69&gt;B69,1,0)</f>
        <v>1</v>
      </c>
      <c r="G40" s="160">
        <f>IF(D40="高",6,IF(D40="中",4,2))+E40+1</f>
        <v>4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3.9375</v>
      </c>
      <c r="C44" s="186">
        <f>(C46-C49)/C49</f>
        <v>4.2941176470588234</v>
      </c>
      <c r="D44" s="186">
        <f>(D46-D49)/D49</f>
        <v>-2.1</v>
      </c>
      <c r="E44" s="186">
        <f>(E46-E49)/E49</f>
        <v>3.3333333333333339</v>
      </c>
      <c r="G44" s="86" t="s">
        <v>175</v>
      </c>
      <c r="H44" s="186">
        <f>(H47-H50)/H50</f>
        <v>2.2835249042145596</v>
      </c>
      <c r="I44" s="186">
        <f>(I47-I50)/I50</f>
        <v>1.041083099906629</v>
      </c>
      <c r="J44" s="186">
        <f>(J47-J50)/J50</f>
        <v>-1.9041533546325877</v>
      </c>
      <c r="K44" s="186">
        <f>(K47-K50)/K50</f>
        <v>0.86250000000000027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1.58</v>
      </c>
      <c r="C46" s="152">
        <f>HLOOKUP(C45,$81:$82,2,FALSE)</f>
        <v>1.8</v>
      </c>
      <c r="D46" s="152">
        <f>HLOOKUP(D45,$81:$82,2,FALSE)</f>
        <v>0.11</v>
      </c>
      <c r="E46" s="152">
        <f>HLOOKUP(E45,$81:$82,2,FALSE)</f>
        <v>0.91</v>
      </c>
      <c r="G46" s="86" t="s">
        <v>164</v>
      </c>
      <c r="H46" s="145">
        <f>HLOOKUP(H45,$145:$147,2,FALSE)/100</f>
        <v>0.40240000000000004</v>
      </c>
      <c r="I46" s="145">
        <f>HLOOKUP(I45,$145:$147,2,FALSE)/100</f>
        <v>0.25989999999999996</v>
      </c>
      <c r="J46" s="145">
        <f>HLOOKUP(J45,$145:$147,2,FALSE)/100</f>
        <v>0.21690000000000001</v>
      </c>
      <c r="K46" s="145">
        <f>HLOOKUP(K45,$145:$147,2,FALSE)/100</f>
        <v>0.21909999999999999</v>
      </c>
    </row>
    <row r="47" spans="1:14" x14ac:dyDescent="0.25">
      <c r="A47" s="188" t="s">
        <v>165</v>
      </c>
      <c r="B47" s="189">
        <f>HLOOKUP(B45,$157:$159,3,FALSE)</f>
        <v>10.029999999999999</v>
      </c>
      <c r="C47" s="189">
        <f>HLOOKUP(C45,$157:$159,3,FALSE)</f>
        <v>12.46</v>
      </c>
      <c r="D47" s="189">
        <f>HLOOKUP(D45,$157:$159,3,FALSE)</f>
        <v>0.77</v>
      </c>
      <c r="E47" s="189">
        <f>HLOOKUP(E45,$157:$159,3,FALSE)</f>
        <v>6.14</v>
      </c>
      <c r="G47" s="190" t="s">
        <v>166</v>
      </c>
      <c r="H47" s="145">
        <f>HLOOKUP(H45,$145:$147,3,FALSE)/100</f>
        <v>0.34279999999999999</v>
      </c>
      <c r="I47" s="145">
        <f>HLOOKUP(I45,$145:$147,3,FALSE)/100</f>
        <v>0.21859999999999999</v>
      </c>
      <c r="J47" s="145">
        <f>HLOOKUP(J45,$145:$147,3,FALSE)/100</f>
        <v>5.6600000000000004E-2</v>
      </c>
      <c r="K47" s="145">
        <f>HLOOKUP(K45,$145:$147,3,FALSE)/100</f>
        <v>0.1043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0.32</v>
      </c>
      <c r="C49" s="152">
        <f>HLOOKUP(C48,$81:$82,2,FALSE)</f>
        <v>0.34</v>
      </c>
      <c r="D49" s="152">
        <f>HLOOKUP(D48,$81:$82,2,FALSE)</f>
        <v>-0.1</v>
      </c>
      <c r="E49" s="152">
        <f>HLOOKUP(E48,$81:$82,2,FALSE)</f>
        <v>0.21</v>
      </c>
      <c r="G49" s="86" t="s">
        <v>164</v>
      </c>
      <c r="H49" s="145">
        <f>HLOOKUP(H48,$145:$147,2,FALSE)/100</f>
        <v>0.2409</v>
      </c>
      <c r="I49" s="145">
        <f>HLOOKUP(I48,$145:$147,2,FALSE)/100</f>
        <v>0.25269999999999998</v>
      </c>
      <c r="J49" s="145">
        <f>HLOOKUP(J48,$145:$147,2,FALSE)/100</f>
        <v>0.161</v>
      </c>
      <c r="K49" s="145">
        <f>HLOOKUP(K48,$145:$147,2,FALSE)/100</f>
        <v>0.27179999999999999</v>
      </c>
    </row>
    <row r="50" spans="1:15" x14ac:dyDescent="0.25">
      <c r="A50" s="188" t="s">
        <v>165</v>
      </c>
      <c r="B50" s="189">
        <f>HLOOKUP(B48,$157:$159,3,FALSE)</f>
        <v>2.31</v>
      </c>
      <c r="C50" s="189">
        <f>HLOOKUP(C48,$157:$159,3,FALSE)</f>
        <v>2.4300000000000002</v>
      </c>
      <c r="D50" s="189">
        <f>HLOOKUP(D48,$157:$159,3,FALSE)</f>
        <v>-0.65</v>
      </c>
      <c r="E50" s="189">
        <f>HLOOKUP(E48,$157:$159,3,FALSE)</f>
        <v>1.44</v>
      </c>
      <c r="G50" s="190" t="s">
        <v>166</v>
      </c>
      <c r="H50" s="145">
        <f>HLOOKUP(H48,$145:$147,3,FALSE)/100</f>
        <v>0.10439999999999999</v>
      </c>
      <c r="I50" s="145">
        <f>HLOOKUP(I48,$145:$147,3,FALSE)/100</f>
        <v>0.10710000000000001</v>
      </c>
      <c r="J50" s="145">
        <f>HLOOKUP(J48,$145:$147,3,FALSE)/100</f>
        <v>-6.2600000000000003E-2</v>
      </c>
      <c r="K50" s="145">
        <f>HLOOKUP(K48,$145:$147,3,FALSE)/100</f>
        <v>5.5999999999999994E-2</v>
      </c>
    </row>
    <row r="51" spans="1:15" x14ac:dyDescent="0.25">
      <c r="A51" s="86" t="s">
        <v>351</v>
      </c>
      <c r="B51" s="186">
        <f>(B47-B50)/B50</f>
        <v>3.3419913419913416</v>
      </c>
      <c r="C51" s="186">
        <f>(C47-C50)/C50</f>
        <v>4.1275720164609053</v>
      </c>
      <c r="D51" s="186">
        <f>(D47-D50)/D50</f>
        <v>-2.1846153846153844</v>
      </c>
      <c r="E51" s="186">
        <f>(E47-E50)/E50</f>
        <v>3.2638888888888884</v>
      </c>
      <c r="G51" s="235" t="s">
        <v>174</v>
      </c>
      <c r="H51" s="186">
        <f>(H46-H49)/H49</f>
        <v>0.67040265670402666</v>
      </c>
      <c r="I51" s="186">
        <f>(I46-I49)/I49</f>
        <v>2.849228333992871E-2</v>
      </c>
      <c r="J51" s="186">
        <f>(J46-J49)/J49</f>
        <v>0.34720496894409941</v>
      </c>
      <c r="K51" s="186">
        <f>(K46-K49)/K49</f>
        <v>-0.1938925680647535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4.9278557512401076</v>
      </c>
      <c r="B53" s="193">
        <f>B46</f>
        <v>1.58</v>
      </c>
      <c r="C53" s="193">
        <f>E46/HLOOKUP(E45,$87:$94,5,FALSE)*HLOOKUP(E45,$87:$94,4,FALSE)*($B$25/HLOOKUP(E45,$87:$94,4,FALSE)+SUM($B$57:$D$57)/SUM($B58:$D$58)*$G$69/100/K46)</f>
        <v>0.5897545633497977</v>
      </c>
      <c r="D53" s="193">
        <f>D46/HLOOKUP(D45,$87:$94,5,FALSE)*HLOOKUP(D45,$87:$94,4,FALSE)*($B$25/HLOOKUP(D45,$87:$94,4,FALSE)+SUM($B$57:$D$57)/SUM($B58:$D$58)*$G$69/100/J46)</f>
        <v>0.24845788138749658</v>
      </c>
      <c r="E53" s="193">
        <f>C46/HLOOKUP(C45,$87:$94,5,FALSE)*HLOOKUP(C45,$87:$94,4,FALSE)*($B$25/HLOOKUP(C45,$87:$94,4,FALSE)+SUM($B$57:$D$57)/SUM($B58:$D$58)*$G$69/100/I46)</f>
        <v>2.5096433065028139</v>
      </c>
    </row>
    <row r="54" spans="1:15" x14ac:dyDescent="0.25">
      <c r="A54" s="278">
        <f>SUM(B54:E54)</f>
        <v>3.14</v>
      </c>
      <c r="B54" s="277">
        <f t="shared" ref="B54:D54" si="0">HLOOKUP(B52-10,81:82,2,FALSE)</f>
        <v>0.32</v>
      </c>
      <c r="C54" s="277">
        <f t="shared" si="0"/>
        <v>0.91</v>
      </c>
      <c r="D54" s="277">
        <f t="shared" si="0"/>
        <v>0.11</v>
      </c>
      <c r="E54" s="277">
        <f>HLOOKUP(E52-10,81:82,2,FALSE)</f>
        <v>1.8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201801</v>
      </c>
      <c r="C56" s="194">
        <f>IF(B56-ROUNDDOWN(B56/100,0)*100-1=0,(ROUNDDOWN(B56/100,0)-1)*100+12,B56-1)</f>
        <v>201712</v>
      </c>
      <c r="D56" s="194">
        <f>IF(C56-ROUNDDOWN(C56/100,0)*100-1=0,(ROUNDDOWN(C56/100,0)-1)*100+12,C56-1)</f>
        <v>201711</v>
      </c>
      <c r="E56" s="194">
        <f>IF(D56-ROUNDDOWN(D56/100,0)*100-1=0,(ROUNDDOWN(D56/100,0)-1)*100+12,D56-1)</f>
        <v>201710</v>
      </c>
      <c r="F56" s="194">
        <f>IF(E56-ROUNDDOWN(E56/100,0)*100-1=0,(ROUNDDOWN(E56/100,0)-1)*100+12,E56-1)</f>
        <v>201709</v>
      </c>
      <c r="G56" s="194">
        <f t="shared" ref="G56:M56" si="1">IF(F56-ROUNDDOWN(F56/100,0)*100-1=0,(ROUNDDOWN(F56/100,0)-1)*100+12,F56-1)</f>
        <v>201708</v>
      </c>
      <c r="H56" s="194">
        <f t="shared" si="1"/>
        <v>201707</v>
      </c>
      <c r="I56" s="194">
        <f t="shared" si="1"/>
        <v>201706</v>
      </c>
      <c r="J56" s="194">
        <f t="shared" si="1"/>
        <v>201705</v>
      </c>
      <c r="K56" s="194">
        <f t="shared" si="1"/>
        <v>201704</v>
      </c>
      <c r="L56" s="194">
        <f t="shared" si="1"/>
        <v>201703</v>
      </c>
      <c r="M56" s="194">
        <f t="shared" si="1"/>
        <v>201702</v>
      </c>
      <c r="N56" s="138"/>
    </row>
    <row r="57" spans="1:15" x14ac:dyDescent="0.25">
      <c r="A57" s="195" t="s">
        <v>252</v>
      </c>
      <c r="B57" s="196">
        <f>HLOOKUP(B56,78:79,2,FALSE)</f>
        <v>799851</v>
      </c>
      <c r="C57" s="196">
        <f>HLOOKUP(C56,78:79,2,FALSE)</f>
        <v>1328392</v>
      </c>
      <c r="D57" s="196">
        <f>HLOOKUP(D56,78:79,2,FALSE)</f>
        <v>1083362</v>
      </c>
      <c r="E57" s="196">
        <f>HLOOKUP(E56,78:79,2,FALSE)</f>
        <v>885129</v>
      </c>
      <c r="F57" s="196">
        <f>HLOOKUP(F56,78:79,2,FALSE)</f>
        <v>3851321</v>
      </c>
      <c r="G57" s="196">
        <f t="shared" ref="G57:M57" si="2">HLOOKUP(G56,78:79,2,FALSE)</f>
        <v>710351</v>
      </c>
      <c r="H57" s="196">
        <f t="shared" si="2"/>
        <v>674981</v>
      </c>
      <c r="I57" s="196">
        <f t="shared" si="2"/>
        <v>743766</v>
      </c>
      <c r="J57" s="196">
        <f t="shared" si="2"/>
        <v>726469</v>
      </c>
      <c r="K57" s="196">
        <f t="shared" si="2"/>
        <v>6058829</v>
      </c>
      <c r="L57" s="196">
        <f t="shared" si="2"/>
        <v>741647</v>
      </c>
      <c r="M57" s="196">
        <f t="shared" si="2"/>
        <v>520385</v>
      </c>
      <c r="N57" s="197"/>
    </row>
    <row r="58" spans="1:15" x14ac:dyDescent="0.25">
      <c r="A58" s="198" t="s">
        <v>253</v>
      </c>
      <c r="B58" s="196">
        <f>HLOOKUP(B56-100,78:79,2,FALSE)</f>
        <v>483512</v>
      </c>
      <c r="C58" s="196">
        <f>HLOOKUP(C56-100,78:79,2,FALSE)</f>
        <v>714799</v>
      </c>
      <c r="D58" s="196">
        <f>HLOOKUP(D56-100,78:79,2,FALSE)</f>
        <v>630567</v>
      </c>
      <c r="E58" s="196">
        <f>HLOOKUP(E56-100,78:79,2,FALSE)</f>
        <v>636352</v>
      </c>
      <c r="F58" s="196">
        <f>HLOOKUP(F56-100,78:79,2,FALSE)</f>
        <v>630119</v>
      </c>
      <c r="G58" s="196">
        <f t="shared" ref="G58:M58" si="3">HLOOKUP(G56-100,78:79,2,FALSE)</f>
        <v>665181</v>
      </c>
      <c r="H58" s="196">
        <f t="shared" si="3"/>
        <v>685094</v>
      </c>
      <c r="I58" s="196">
        <f t="shared" si="3"/>
        <v>683983</v>
      </c>
      <c r="J58" s="196">
        <f t="shared" si="3"/>
        <v>746851</v>
      </c>
      <c r="K58" s="196">
        <f t="shared" si="3"/>
        <v>661272</v>
      </c>
      <c r="L58" s="196">
        <f t="shared" si="3"/>
        <v>694691</v>
      </c>
      <c r="M58" s="196">
        <f t="shared" si="3"/>
        <v>340552</v>
      </c>
      <c r="N58" s="197"/>
    </row>
    <row r="59" spans="1:15" x14ac:dyDescent="0.25">
      <c r="A59" s="199" t="s">
        <v>254</v>
      </c>
      <c r="B59" s="165">
        <f>IF(B57&lt;&gt;"",(B57-B58)/B58,"")</f>
        <v>0.65425263488806895</v>
      </c>
      <c r="C59" s="165">
        <f>IF(C57&lt;&gt;"",(C57-C58)/C58,"")</f>
        <v>0.85841334417087878</v>
      </c>
      <c r="D59" s="165">
        <f>IF(D57&lt;&gt;"",(D57-D58)/D58,"")</f>
        <v>0.7180759538637449</v>
      </c>
      <c r="E59" s="165">
        <f>IF(E57&lt;&gt;"",(E57-E58)/E58,"")</f>
        <v>0.39094243437594289</v>
      </c>
      <c r="F59" s="165">
        <f>IF(F57&lt;&gt;"",(F57-F58)/F58,"")</f>
        <v>5.1120534375252928</v>
      </c>
      <c r="G59" s="165">
        <f t="shared" ref="G59:M59" si="4">IF(G57&lt;&gt;"",(G57-G58)/G58,"")</f>
        <v>6.7906329254744199E-2</v>
      </c>
      <c r="H59" s="165">
        <f t="shared" si="4"/>
        <v>-1.4761477986962373E-2</v>
      </c>
      <c r="I59" s="165">
        <f t="shared" si="4"/>
        <v>8.7404219110708892E-2</v>
      </c>
      <c r="J59" s="165">
        <f t="shared" si="4"/>
        <v>-2.7290584065630227E-2</v>
      </c>
      <c r="K59" s="165">
        <f t="shared" si="4"/>
        <v>8.1623855236574361</v>
      </c>
      <c r="L59" s="165">
        <f t="shared" si="4"/>
        <v>6.7592641908416837E-2</v>
      </c>
      <c r="M59" s="165">
        <f t="shared" si="4"/>
        <v>0.52806326199816767</v>
      </c>
    </row>
    <row r="60" spans="1:15" x14ac:dyDescent="0.25">
      <c r="A60" s="195" t="s">
        <v>255</v>
      </c>
      <c r="B60" s="196">
        <f>SUM(B57:M57)</f>
        <v>18124483</v>
      </c>
    </row>
    <row r="61" spans="1:15" x14ac:dyDescent="0.25">
      <c r="A61" s="198" t="s">
        <v>256</v>
      </c>
      <c r="B61" s="196">
        <f>SUM(B58:M58)</f>
        <v>7572973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2.3933114511302231</v>
      </c>
      <c r="D62" s="152">
        <f>SUM(B46:E46)</f>
        <v>4.3999999999999995</v>
      </c>
      <c r="E62" s="152">
        <f>SUM(B49:E49)</f>
        <v>0.77</v>
      </c>
      <c r="G62" s="126">
        <f>SUM(B47:E47)</f>
        <v>29.400000000000002</v>
      </c>
      <c r="H62" s="126">
        <f>SUM(B50:E50)</f>
        <v>5.5299999999999994</v>
      </c>
      <c r="J62" s="200">
        <f>AVERAGE(H46:K46)</f>
        <v>0.27457500000000001</v>
      </c>
      <c r="K62" s="200">
        <f>AVERAGE(H49:K49)</f>
        <v>0.23159999999999997</v>
      </c>
      <c r="M62" s="200">
        <f>AVERAGE(H47:K47)</f>
        <v>0.18057499999999999</v>
      </c>
      <c r="N62" s="200">
        <f>AVERAGE(H50:K50)</f>
        <v>5.1225000000000007E-2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2" x14ac:dyDescent="0.25">
      <c r="A65" s="204">
        <v>1</v>
      </c>
      <c r="B65" s="205">
        <f t="shared" ref="B65:E67" si="5">HLOOKUP(B$64*10+$A65,$81:$82,2,FALSE)</f>
        <v>1.01</v>
      </c>
      <c r="C65" s="205">
        <f t="shared" si="5"/>
        <v>0.48</v>
      </c>
      <c r="D65" s="205">
        <f t="shared" si="5"/>
        <v>0.13</v>
      </c>
      <c r="E65" s="205">
        <f t="shared" si="5"/>
        <v>-0.1</v>
      </c>
      <c r="F65" s="206">
        <f>IF(ISNA(HLOOKUP(F$64*10+$A65,$81:$82,2,FALSE)),(HLOOKUP(E$64*10+$A65,$87:$94,4,FALSE)*$G65+$B$25)/HLOOKUP(E$64*10+$A65,$87:$94,5,FALSE)*$E65,HLOOKUP(F$64*10+$A65,$81:$82,2,FALSE))</f>
        <v>0.11</v>
      </c>
      <c r="G65" s="101">
        <f>MIN(130%,SUM($B$57:$D$57)/SUM($B$58:$D$58)*$G$69/HLOOKUP(E$64*10+$A65,$145:$146,2,FALSE))</f>
        <v>1.3</v>
      </c>
      <c r="H65" s="204">
        <v>1</v>
      </c>
      <c r="I65" s="208">
        <f t="shared" ref="I65:M68" si="6">IF(ISNA(HLOOKUP(I$64*10+$H65,$145:$147,3,FALSE)),"",HLOOKUP(I$64*10+$H65,$145:$147,3,FALSE)/100)</f>
        <v>0.2177</v>
      </c>
      <c r="J65" s="208">
        <f t="shared" si="6"/>
        <v>0.12689999999999999</v>
      </c>
      <c r="K65" s="208">
        <f t="shared" si="6"/>
        <v>4.8000000000000001E-2</v>
      </c>
      <c r="L65" s="208">
        <f t="shared" si="6"/>
        <v>-6.2600000000000003E-2</v>
      </c>
      <c r="M65" s="209">
        <f t="shared" si="6"/>
        <v>5.6600000000000004E-2</v>
      </c>
      <c r="N65" s="256">
        <f t="shared" ref="N65:O68" si="7">HLOOKUP(E$64*10+$A65,$87:$94,8,FALSE)</f>
        <v>42791</v>
      </c>
      <c r="O65" s="256">
        <f t="shared" si="7"/>
        <v>7180</v>
      </c>
      <c r="P65" s="210"/>
    </row>
    <row r="66" spans="1:72" x14ac:dyDescent="0.25">
      <c r="A66" s="204">
        <v>2</v>
      </c>
      <c r="B66" s="205">
        <f t="shared" si="5"/>
        <v>1.7</v>
      </c>
      <c r="C66" s="205">
        <f t="shared" si="5"/>
        <v>0.5</v>
      </c>
      <c r="D66" s="205">
        <f t="shared" si="5"/>
        <v>0.38</v>
      </c>
      <c r="E66" s="205">
        <f t="shared" si="5"/>
        <v>0.34</v>
      </c>
      <c r="F66" s="206">
        <f>IF(ISNA(HLOOKUP(F$64*10+$A66,$81:$82,2,FALSE)),(HLOOKUP(E$64*10+$A66,$87:$94,4,FALSE)*$G66+$B$25)/HLOOKUP(E$64*10+$A66,$87:$94,5,FALSE)*$E66,HLOOKUP(F$64*10+$A66,$81:$82,2,FALSE))</f>
        <v>1.8</v>
      </c>
      <c r="G66" s="101">
        <f>MIN(130%,SUM($B$57:$D$57)/SUM($B$58:$D$58)*$G$69/HLOOKUP(E$64*10+$A66,$145:$146,2,FALSE))</f>
        <v>1.3</v>
      </c>
      <c r="H66" s="204">
        <v>2</v>
      </c>
      <c r="I66" s="208">
        <f t="shared" si="6"/>
        <v>0.26229999999999998</v>
      </c>
      <c r="J66" s="208">
        <f t="shared" si="6"/>
        <v>0.1333</v>
      </c>
      <c r="K66" s="208">
        <f t="shared" si="6"/>
        <v>0.1336</v>
      </c>
      <c r="L66" s="208">
        <f t="shared" si="6"/>
        <v>0.10710000000000001</v>
      </c>
      <c r="M66" s="209">
        <f t="shared" si="6"/>
        <v>0.21859999999999999</v>
      </c>
      <c r="N66" s="256">
        <f t="shared" si="7"/>
        <v>48692</v>
      </c>
      <c r="O66" s="256">
        <f t="shared" si="7"/>
        <v>66820</v>
      </c>
      <c r="P66" s="210"/>
    </row>
    <row r="67" spans="1:72" x14ac:dyDescent="0.25">
      <c r="A67" s="204">
        <v>3</v>
      </c>
      <c r="B67" s="205">
        <f t="shared" si="5"/>
        <v>1.17</v>
      </c>
      <c r="C67" s="205">
        <f t="shared" si="5"/>
        <v>0.21</v>
      </c>
      <c r="D67" s="205">
        <f t="shared" si="5"/>
        <v>0.17</v>
      </c>
      <c r="E67" s="205">
        <f t="shared" si="5"/>
        <v>0.32</v>
      </c>
      <c r="F67" s="206">
        <f>IF(ISNA(HLOOKUP(F$64*10+$A67,$81:$82,2,FALSE)),(HLOOKUP(E$64*10+$A67,$87:$94,4,FALSE)*$G67+$B$25)/HLOOKUP(E$64*10+$A67,$87:$94,5,FALSE)*$E67,HLOOKUP(F$64*10+$A67,$81:$82,2,FALSE))</f>
        <v>1.58</v>
      </c>
      <c r="G67" s="101">
        <f>MIN(130%,SUM($B$57:$D$57)/SUM($B$58:$D$58)*$G$69/HLOOKUP(E$64*10+$A67,$145:$146,2,FALSE))</f>
        <v>1.3</v>
      </c>
      <c r="H67" s="204">
        <v>3</v>
      </c>
      <c r="I67" s="208">
        <f t="shared" si="6"/>
        <v>0.23569999999999999</v>
      </c>
      <c r="J67" s="208">
        <f t="shared" si="6"/>
        <v>8.1500000000000003E-2</v>
      </c>
      <c r="K67" s="208">
        <f t="shared" si="6"/>
        <v>1.61E-2</v>
      </c>
      <c r="L67" s="208">
        <f t="shared" si="6"/>
        <v>0.10439999999999999</v>
      </c>
      <c r="M67" s="209">
        <f t="shared" si="6"/>
        <v>0.34279999999999999</v>
      </c>
      <c r="N67" s="256">
        <f t="shared" si="7"/>
        <v>27819</v>
      </c>
      <c r="O67" s="256">
        <f t="shared" si="7"/>
        <v>52422</v>
      </c>
      <c r="P67" s="210"/>
    </row>
    <row r="68" spans="1:72" x14ac:dyDescent="0.25">
      <c r="A68" s="204">
        <v>4</v>
      </c>
      <c r="B68" s="205">
        <f>HLOOKUP(B$64*10+$A68,$81:$82,2,FALSE)</f>
        <v>1.1200000000000001</v>
      </c>
      <c r="C68" s="205">
        <f>HLOOKUP(C$64*10+$A68,$81:$82,2,FALSE)</f>
        <v>0.65</v>
      </c>
      <c r="D68" s="205">
        <f>HLOOKUP(D$64*10+$A68,$81:$82,2,FALSE)</f>
        <v>0.21</v>
      </c>
      <c r="E68" s="206">
        <f>IF(ISNA(HLOOKUP(E$64*10+$A68,$81:$82,2,FALSE)),D68*(1-$N68)*#REF!*(1+$B$25)/(1+$E$4),HLOOKUP(E$64*10+$A68,$81:$82,2,FALSE))</f>
        <v>0.91</v>
      </c>
      <c r="F68" s="206">
        <f>IF(ISNA(HLOOKUP(F$64*10+$A68,$81:$82,2,FALSE)),(HLOOKUP(E$64*10+$A68,$87:$94,4,FALSE)*$G68+$B$25)/HLOOKUP(E$64*10+$A68,$87:$94,5,FALSE)*$E68,HLOOKUP(F$64*10+$A68,$81:$82,2,FALSE))</f>
        <v>0.4826102731981613</v>
      </c>
      <c r="G68" s="101">
        <f>MIN(130%,SUM($B$57:$D$57)/SUM($B$58:$D$58)*$G$69/HLOOKUP(E$64*10+$A68,$145:$146,2,FALSE))</f>
        <v>1.3</v>
      </c>
      <c r="H68" s="204">
        <v>4</v>
      </c>
      <c r="I68" s="208">
        <f t="shared" si="6"/>
        <v>0.20250000000000001</v>
      </c>
      <c r="J68" s="208">
        <f t="shared" si="6"/>
        <v>0.17929999999999999</v>
      </c>
      <c r="K68" s="208">
        <f t="shared" si="6"/>
        <v>5.5999999999999994E-2</v>
      </c>
      <c r="L68" s="208">
        <f t="shared" si="6"/>
        <v>0.1043</v>
      </c>
      <c r="M68" s="209" t="str">
        <f t="shared" si="6"/>
        <v/>
      </c>
      <c r="N68" s="256">
        <f t="shared" si="7"/>
        <v>430782</v>
      </c>
      <c r="O68" s="256" t="e">
        <f t="shared" si="7"/>
        <v>#N/A</v>
      </c>
    </row>
    <row r="69" spans="1:72" x14ac:dyDescent="0.25">
      <c r="A69" s="212" t="s">
        <v>162</v>
      </c>
      <c r="B69" s="213">
        <f>SUM(B65:B68)</f>
        <v>5</v>
      </c>
      <c r="C69" s="213">
        <f>SUM(C65:C68)</f>
        <v>1.8399999999999999</v>
      </c>
      <c r="D69" s="213">
        <f>SUM(D65:D68)</f>
        <v>0.89</v>
      </c>
      <c r="E69" s="213">
        <f>SUM(E65:E68)</f>
        <v>1.4700000000000002</v>
      </c>
      <c r="F69" s="213">
        <f>SUM(F65:F68)</f>
        <v>3.9726102731981614</v>
      </c>
      <c r="G69" s="257">
        <f>_xlfn.FORECAST.ETS(23,B146:W146,{1,2,3,4,5,6,7,8,9,10,11,12,13,14,15,16,17,18,19,20,21,22})</f>
        <v>20.818193181320623</v>
      </c>
      <c r="H69" s="214" t="s">
        <v>19</v>
      </c>
      <c r="I69" s="215">
        <f>HLOOKUP(I64,151:155,3,FALSE)/100</f>
        <v>0.23089999999999999</v>
      </c>
      <c r="J69" s="215">
        <f>HLOOKUP(J64,151:155,3,FALSE)/100</f>
        <v>0.13140000000000002</v>
      </c>
      <c r="K69" s="215">
        <f>HLOOKUP(K64,151:155,3,FALSE)/100</f>
        <v>6.7299999999999999E-2</v>
      </c>
      <c r="L69" s="215">
        <f>IF(ISNA(HLOOKUP(L64,151:155,3,FALSE)/100),AVERAGE(L65:L68),HLOOKUP(L64,151:155,3,FALSE)/100)</f>
        <v>7.0900000000000005E-2</v>
      </c>
      <c r="M69" s="215"/>
      <c r="N69" s="216"/>
    </row>
    <row r="70" spans="1:72" s="135" customFormat="1" x14ac:dyDescent="0.25">
      <c r="A70" s="217"/>
      <c r="B70" s="218"/>
      <c r="C70" s="218"/>
      <c r="D70" s="218"/>
      <c r="E70" s="218"/>
      <c r="F70" s="218"/>
    </row>
    <row r="71" spans="1:72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2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6.13</v>
      </c>
      <c r="C72" s="205">
        <f t="shared" si="8"/>
        <v>2.5299999999999998</v>
      </c>
      <c r="D72" s="205">
        <f t="shared" si="8"/>
        <v>0.9</v>
      </c>
      <c r="E72" s="205">
        <f t="shared" si="8"/>
        <v>-0.65</v>
      </c>
      <c r="F72" s="205">
        <f t="shared" si="8"/>
        <v>0.77</v>
      </c>
    </row>
    <row r="73" spans="1:72" s="135" customFormat="1" x14ac:dyDescent="0.25">
      <c r="A73" s="204">
        <v>2</v>
      </c>
      <c r="B73" s="205">
        <f t="shared" si="8"/>
        <v>10.58</v>
      </c>
      <c r="C73" s="205">
        <f t="shared" si="8"/>
        <v>3.38</v>
      </c>
      <c r="D73" s="205">
        <f t="shared" si="8"/>
        <v>2.72</v>
      </c>
      <c r="E73" s="205">
        <f t="shared" si="8"/>
        <v>2.4300000000000002</v>
      </c>
      <c r="F73" s="205">
        <f t="shared" si="8"/>
        <v>12.46</v>
      </c>
    </row>
    <row r="74" spans="1:72" s="135" customFormat="1" x14ac:dyDescent="0.25">
      <c r="A74" s="204">
        <v>3</v>
      </c>
      <c r="B74" s="205">
        <f t="shared" si="8"/>
        <v>6.98</v>
      </c>
      <c r="C74" s="205">
        <f t="shared" si="8"/>
        <v>1.57</v>
      </c>
      <c r="D74" s="205">
        <f t="shared" si="8"/>
        <v>1.25</v>
      </c>
      <c r="E74" s="205">
        <f t="shared" si="8"/>
        <v>2.31</v>
      </c>
      <c r="F74" s="205">
        <f t="shared" si="8"/>
        <v>10.029999999999999</v>
      </c>
    </row>
    <row r="75" spans="1:72" s="135" customFormat="1" x14ac:dyDescent="0.25">
      <c r="A75" s="204">
        <v>4</v>
      </c>
      <c r="B75" s="205">
        <f t="shared" si="8"/>
        <v>6.16</v>
      </c>
      <c r="C75" s="205">
        <f t="shared" si="8"/>
        <v>4.46</v>
      </c>
      <c r="D75" s="205">
        <f t="shared" si="8"/>
        <v>1.44</v>
      </c>
      <c r="E75" s="205">
        <f t="shared" si="8"/>
        <v>6.14</v>
      </c>
      <c r="F75" s="205" t="str">
        <f t="shared" si="8"/>
        <v/>
      </c>
    </row>
    <row r="76" spans="1:72" s="135" customFormat="1" x14ac:dyDescent="0.25">
      <c r="A76" s="212" t="s">
        <v>165</v>
      </c>
      <c r="B76" s="213">
        <f>SUM(B72:B75)</f>
        <v>29.85</v>
      </c>
      <c r="C76" s="213">
        <f>SUM(C72:C75)</f>
        <v>11.940000000000001</v>
      </c>
      <c r="D76" s="213">
        <f>SUM(D72:D75)</f>
        <v>6.3100000000000005</v>
      </c>
      <c r="E76" s="213">
        <f>AVERAGE(E72:E75)*4</f>
        <v>10.23</v>
      </c>
      <c r="F76" s="213"/>
    </row>
    <row r="77" spans="1:72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2" s="135" customFormat="1" ht="14.25" thickBot="1" x14ac:dyDescent="0.3">
      <c r="A78" s="217"/>
      <c r="B78" s="69">
        <v>201301</v>
      </c>
      <c r="C78" s="70">
        <v>201302</v>
      </c>
      <c r="D78" s="70">
        <v>201303</v>
      </c>
      <c r="E78" s="70">
        <v>201304</v>
      </c>
      <c r="F78" s="70">
        <v>201305</v>
      </c>
      <c r="G78" s="70">
        <v>201306</v>
      </c>
      <c r="H78" s="70">
        <v>201307</v>
      </c>
      <c r="I78" s="70">
        <v>201308</v>
      </c>
      <c r="J78" s="70">
        <v>201309</v>
      </c>
      <c r="K78" s="70">
        <v>201310</v>
      </c>
      <c r="L78" s="70">
        <v>201311</v>
      </c>
      <c r="M78" s="70">
        <v>201312</v>
      </c>
      <c r="N78" s="70">
        <v>201401</v>
      </c>
      <c r="O78" s="70">
        <v>201402</v>
      </c>
      <c r="P78" s="70">
        <v>201403</v>
      </c>
      <c r="Q78" s="70">
        <v>201404</v>
      </c>
      <c r="R78" s="70">
        <v>201405</v>
      </c>
      <c r="S78" s="70">
        <v>201406</v>
      </c>
      <c r="T78" s="70">
        <v>201407</v>
      </c>
      <c r="U78" s="70">
        <v>201408</v>
      </c>
      <c r="V78" s="70">
        <v>201409</v>
      </c>
      <c r="W78" s="70">
        <v>201410</v>
      </c>
      <c r="X78" s="70">
        <v>201411</v>
      </c>
      <c r="Y78" s="70">
        <v>201412</v>
      </c>
      <c r="Z78" s="70">
        <v>201501</v>
      </c>
      <c r="AA78" s="70">
        <v>201502</v>
      </c>
      <c r="AB78" s="70">
        <v>201503</v>
      </c>
      <c r="AC78" s="70">
        <v>201504</v>
      </c>
      <c r="AD78" s="70">
        <v>201505</v>
      </c>
      <c r="AE78" s="70">
        <v>201506</v>
      </c>
      <c r="AF78" s="70">
        <v>201507</v>
      </c>
      <c r="AG78" s="70">
        <v>201508</v>
      </c>
      <c r="AH78" s="70">
        <v>201509</v>
      </c>
      <c r="AI78" s="70">
        <v>201510</v>
      </c>
      <c r="AJ78" s="70">
        <v>201511</v>
      </c>
      <c r="AK78" s="70">
        <v>201512</v>
      </c>
      <c r="AL78" s="70">
        <v>201601</v>
      </c>
      <c r="AM78" s="70">
        <v>201602</v>
      </c>
      <c r="AN78" s="70">
        <v>201603</v>
      </c>
      <c r="AO78" s="70">
        <v>201604</v>
      </c>
      <c r="AP78" s="70">
        <v>201605</v>
      </c>
      <c r="AQ78" s="70">
        <v>201606</v>
      </c>
      <c r="AR78" s="70">
        <v>201607</v>
      </c>
      <c r="AS78" s="70">
        <v>201608</v>
      </c>
      <c r="AT78" s="70">
        <v>201609</v>
      </c>
      <c r="AU78" s="70">
        <v>201610</v>
      </c>
      <c r="AV78" s="70">
        <v>201611</v>
      </c>
      <c r="AW78" s="70">
        <v>201612</v>
      </c>
      <c r="AX78" s="70">
        <v>201701</v>
      </c>
      <c r="AY78" s="70">
        <v>201702</v>
      </c>
      <c r="AZ78" s="70">
        <v>201703</v>
      </c>
      <c r="BA78" s="70">
        <v>201704</v>
      </c>
      <c r="BB78" s="70">
        <v>201705</v>
      </c>
      <c r="BC78" s="70">
        <v>201706</v>
      </c>
      <c r="BD78" s="70">
        <v>201707</v>
      </c>
      <c r="BE78" s="70">
        <v>201708</v>
      </c>
      <c r="BF78" s="70">
        <v>201709</v>
      </c>
      <c r="BG78" s="70">
        <v>201710</v>
      </c>
      <c r="BH78" s="70">
        <v>201711</v>
      </c>
      <c r="BI78" s="70">
        <v>201712</v>
      </c>
      <c r="BJ78" s="71">
        <v>201801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0">
        <v>201710</v>
      </c>
      <c r="BT78" s="71">
        <v>201711</v>
      </c>
    </row>
    <row r="79" spans="1:72" ht="14.25" thickBot="1" x14ac:dyDescent="0.3">
      <c r="A79" s="222" t="s">
        <v>9</v>
      </c>
      <c r="B79" s="270">
        <v>794914</v>
      </c>
      <c r="C79" s="270">
        <v>549536</v>
      </c>
      <c r="D79" s="270">
        <v>1210549</v>
      </c>
      <c r="E79" s="270">
        <v>1175622</v>
      </c>
      <c r="F79" s="270">
        <v>1150230</v>
      </c>
      <c r="G79" s="270">
        <v>1081203</v>
      </c>
      <c r="H79" s="270">
        <v>1031422</v>
      </c>
      <c r="I79" s="270">
        <v>961154</v>
      </c>
      <c r="J79" s="270">
        <v>1047132</v>
      </c>
      <c r="K79" s="270">
        <v>1052550</v>
      </c>
      <c r="L79" s="270">
        <v>943031</v>
      </c>
      <c r="M79" s="270">
        <v>1104403</v>
      </c>
      <c r="N79" s="270">
        <v>654701</v>
      </c>
      <c r="O79" s="270">
        <v>600078</v>
      </c>
      <c r="P79" s="270">
        <v>949177</v>
      </c>
      <c r="Q79" s="270">
        <v>886929</v>
      </c>
      <c r="R79" s="270">
        <v>810461</v>
      </c>
      <c r="S79" s="270">
        <v>760476</v>
      </c>
      <c r="T79" s="270">
        <v>700383</v>
      </c>
      <c r="U79" s="270">
        <v>675297</v>
      </c>
      <c r="V79" s="270">
        <v>653158</v>
      </c>
      <c r="W79" s="270">
        <v>730256</v>
      </c>
      <c r="X79" s="270">
        <v>731520</v>
      </c>
      <c r="Y79" s="270">
        <v>773267</v>
      </c>
      <c r="Z79" s="270">
        <v>577780</v>
      </c>
      <c r="AA79" s="270">
        <v>406373</v>
      </c>
      <c r="AB79" s="270">
        <v>822860</v>
      </c>
      <c r="AC79" s="270">
        <v>816903</v>
      </c>
      <c r="AD79" s="270">
        <v>712014</v>
      </c>
      <c r="AE79" s="270">
        <v>630273</v>
      </c>
      <c r="AF79" s="270">
        <v>623643</v>
      </c>
      <c r="AG79" s="270">
        <v>546087</v>
      </c>
      <c r="AH79" s="270">
        <v>518139</v>
      </c>
      <c r="AI79" s="270">
        <v>602150</v>
      </c>
      <c r="AJ79" s="270">
        <v>590032</v>
      </c>
      <c r="AK79" s="270">
        <v>688544</v>
      </c>
      <c r="AL79" s="270">
        <v>512448</v>
      </c>
      <c r="AM79" s="270">
        <v>340552</v>
      </c>
      <c r="AN79" s="270">
        <v>694691</v>
      </c>
      <c r="AO79" s="270">
        <v>661272</v>
      </c>
      <c r="AP79" s="270">
        <v>746851</v>
      </c>
      <c r="AQ79" s="270">
        <v>683983</v>
      </c>
      <c r="AR79" s="270">
        <v>685094</v>
      </c>
      <c r="AS79" s="270">
        <v>665181</v>
      </c>
      <c r="AT79" s="270">
        <v>630119</v>
      </c>
      <c r="AU79" s="270">
        <v>636352</v>
      </c>
      <c r="AV79" s="270">
        <v>630567</v>
      </c>
      <c r="AW79" s="270">
        <v>714799</v>
      </c>
      <c r="AX79" s="270">
        <v>483512</v>
      </c>
      <c r="AY79" s="270">
        <v>520385</v>
      </c>
      <c r="AZ79" s="270">
        <v>741647</v>
      </c>
      <c r="BA79" s="270">
        <v>6058829</v>
      </c>
      <c r="BB79" s="270">
        <v>726469</v>
      </c>
      <c r="BC79" s="270">
        <v>743766</v>
      </c>
      <c r="BD79" s="270">
        <v>674981</v>
      </c>
      <c r="BE79" s="270">
        <v>710351</v>
      </c>
      <c r="BF79" s="270">
        <v>3851321</v>
      </c>
      <c r="BG79" s="270">
        <v>885129</v>
      </c>
      <c r="BH79" s="270">
        <v>1083362</v>
      </c>
      <c r="BI79" s="270">
        <v>1328392</v>
      </c>
      <c r="BJ79" s="270">
        <v>799851</v>
      </c>
      <c r="BK79" s="270">
        <v>520385</v>
      </c>
      <c r="BL79" s="270">
        <v>741647</v>
      </c>
      <c r="BM79" s="270">
        <v>6058829</v>
      </c>
      <c r="BN79" s="270">
        <v>726469</v>
      </c>
      <c r="BO79" s="270">
        <v>743766</v>
      </c>
      <c r="BP79" s="270">
        <v>674981</v>
      </c>
      <c r="BQ79" s="270">
        <v>710351</v>
      </c>
      <c r="BR79" s="270">
        <v>3851321</v>
      </c>
      <c r="BS79" s="270">
        <v>885129</v>
      </c>
      <c r="BT79" s="270">
        <v>1083362</v>
      </c>
    </row>
    <row r="80" spans="1:72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0.4</v>
      </c>
      <c r="C82" s="72">
        <v>1.01</v>
      </c>
      <c r="D82" s="72">
        <v>0.63</v>
      </c>
      <c r="E82" s="72">
        <v>0.89</v>
      </c>
      <c r="F82" s="72">
        <v>1.01</v>
      </c>
      <c r="G82" s="72">
        <v>1.7</v>
      </c>
      <c r="H82" s="72">
        <v>1.17</v>
      </c>
      <c r="I82" s="72">
        <v>1.1200000000000001</v>
      </c>
      <c r="J82" s="72">
        <v>0.48</v>
      </c>
      <c r="K82" s="72">
        <v>0.5</v>
      </c>
      <c r="L82" s="72">
        <v>0.21</v>
      </c>
      <c r="M82" s="72">
        <v>0.65</v>
      </c>
      <c r="N82" s="72">
        <v>0.13</v>
      </c>
      <c r="O82" s="72">
        <v>0.38</v>
      </c>
      <c r="P82" s="72">
        <v>0.17</v>
      </c>
      <c r="Q82" s="72">
        <v>0.21</v>
      </c>
      <c r="R82" s="72">
        <v>-0.1</v>
      </c>
      <c r="S82" s="72">
        <v>0.34</v>
      </c>
      <c r="T82" s="72">
        <v>0.32</v>
      </c>
      <c r="U82" s="72">
        <v>0.91</v>
      </c>
      <c r="V82" s="72">
        <v>0.11</v>
      </c>
      <c r="W82" s="72">
        <v>1.8</v>
      </c>
      <c r="X82" s="72">
        <v>1.58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16.16</v>
      </c>
      <c r="C85" s="72">
        <v>15.18</v>
      </c>
      <c r="D85" s="72">
        <v>15.01</v>
      </c>
      <c r="E85" s="72">
        <v>15.93</v>
      </c>
      <c r="F85" s="72">
        <v>17.09</v>
      </c>
      <c r="G85" s="72">
        <v>17.55</v>
      </c>
      <c r="H85" s="72">
        <v>17.52</v>
      </c>
      <c r="I85" s="72">
        <v>18.88</v>
      </c>
      <c r="J85" s="72">
        <v>19.23</v>
      </c>
      <c r="K85" s="72">
        <v>17.18</v>
      </c>
      <c r="L85" s="72">
        <v>14.34</v>
      </c>
      <c r="M85" s="72">
        <v>15.29</v>
      </c>
      <c r="N85" s="72">
        <v>15.26</v>
      </c>
      <c r="O85" s="72">
        <v>14.18</v>
      </c>
      <c r="P85" s="72">
        <v>14.59</v>
      </c>
      <c r="Q85" s="72">
        <v>14.56</v>
      </c>
      <c r="R85" s="72">
        <v>14.36</v>
      </c>
      <c r="S85" s="72">
        <v>13.76</v>
      </c>
      <c r="T85" s="72">
        <v>13.9</v>
      </c>
      <c r="U85" s="72">
        <v>14.69</v>
      </c>
      <c r="V85" s="72">
        <v>14.25</v>
      </c>
      <c r="W85" s="72">
        <v>15.27</v>
      </c>
      <c r="X85" s="72">
        <v>16.53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1816507</v>
      </c>
      <c r="C88" s="273">
        <v>2462774</v>
      </c>
      <c r="D88" s="273">
        <v>1984189</v>
      </c>
      <c r="E88" s="273">
        <v>2486776</v>
      </c>
      <c r="F88" s="273">
        <v>2553355</v>
      </c>
      <c r="G88" s="273">
        <v>3408953</v>
      </c>
      <c r="H88" s="273">
        <v>3040973</v>
      </c>
      <c r="I88" s="273">
        <v>3088274</v>
      </c>
      <c r="J88" s="273">
        <v>2205176</v>
      </c>
      <c r="K88" s="273">
        <v>2452832</v>
      </c>
      <c r="L88" s="273">
        <v>2022525</v>
      </c>
      <c r="M88" s="273">
        <v>2218682</v>
      </c>
      <c r="N88" s="273">
        <v>1809631</v>
      </c>
      <c r="O88" s="273">
        <v>2151887</v>
      </c>
      <c r="P88" s="273">
        <v>1685123</v>
      </c>
      <c r="Q88" s="273">
        <v>1876502</v>
      </c>
      <c r="R88" s="273">
        <v>1558681</v>
      </c>
      <c r="S88" s="273">
        <v>2091912</v>
      </c>
      <c r="T88" s="273">
        <v>2008689</v>
      </c>
      <c r="U88" s="273">
        <v>1939154</v>
      </c>
      <c r="V88" s="273">
        <v>1745241</v>
      </c>
      <c r="W88" s="273">
        <v>7528485</v>
      </c>
      <c r="X88" s="273">
        <v>5237452</v>
      </c>
    </row>
    <row r="89" spans="1:25" ht="14.25" thickBot="1" x14ac:dyDescent="0.3">
      <c r="A89" s="250" t="s">
        <v>4</v>
      </c>
      <c r="B89" s="275">
        <v>427910</v>
      </c>
      <c r="C89" s="275">
        <v>798977</v>
      </c>
      <c r="D89" s="275">
        <v>567673</v>
      </c>
      <c r="E89" s="275">
        <v>791133</v>
      </c>
      <c r="F89" s="275">
        <v>833202</v>
      </c>
      <c r="G89" s="275">
        <v>1216769</v>
      </c>
      <c r="H89" s="275">
        <v>1029854</v>
      </c>
      <c r="I89" s="275">
        <v>955886</v>
      </c>
      <c r="J89" s="275">
        <v>584345</v>
      </c>
      <c r="K89" s="275">
        <v>652807</v>
      </c>
      <c r="L89" s="275">
        <v>514478</v>
      </c>
      <c r="M89" s="275">
        <v>699799</v>
      </c>
      <c r="N89" s="275">
        <v>385015</v>
      </c>
      <c r="O89" s="275">
        <v>587303</v>
      </c>
      <c r="P89" s="275">
        <v>317206</v>
      </c>
      <c r="Q89" s="275">
        <v>509991</v>
      </c>
      <c r="R89" s="275">
        <v>250961</v>
      </c>
      <c r="S89" s="275">
        <v>528618</v>
      </c>
      <c r="T89" s="275">
        <v>483853</v>
      </c>
      <c r="U89" s="275">
        <v>424894</v>
      </c>
      <c r="V89" s="275">
        <v>378547</v>
      </c>
      <c r="W89" s="275">
        <v>1956855</v>
      </c>
      <c r="X89" s="275">
        <v>2107793</v>
      </c>
    </row>
    <row r="90" spans="1:25" ht="14.25" thickBot="1" x14ac:dyDescent="0.3">
      <c r="A90" s="251" t="s">
        <v>5</v>
      </c>
      <c r="B90" s="273">
        <v>189189</v>
      </c>
      <c r="C90" s="273">
        <v>534266</v>
      </c>
      <c r="D90" s="273">
        <v>318498</v>
      </c>
      <c r="E90" s="273">
        <v>499411</v>
      </c>
      <c r="F90" s="273">
        <v>555739</v>
      </c>
      <c r="G90" s="273">
        <v>894004</v>
      </c>
      <c r="H90" s="273">
        <v>716780</v>
      </c>
      <c r="I90" s="273">
        <v>625283</v>
      </c>
      <c r="J90" s="273">
        <v>279836</v>
      </c>
      <c r="K90" s="273">
        <v>326907</v>
      </c>
      <c r="L90" s="273">
        <v>164841</v>
      </c>
      <c r="M90" s="273">
        <v>397899</v>
      </c>
      <c r="N90" s="273">
        <v>86837</v>
      </c>
      <c r="O90" s="273">
        <v>287464</v>
      </c>
      <c r="P90" s="273">
        <v>27075</v>
      </c>
      <c r="Q90" s="273">
        <v>105156</v>
      </c>
      <c r="R90" s="273">
        <v>-97626</v>
      </c>
      <c r="S90" s="273">
        <v>223982</v>
      </c>
      <c r="T90" s="273">
        <v>209754</v>
      </c>
      <c r="U90" s="273">
        <v>202232</v>
      </c>
      <c r="V90" s="273">
        <v>98727</v>
      </c>
      <c r="W90" s="273">
        <v>1645906</v>
      </c>
      <c r="X90" s="273">
        <v>1795269</v>
      </c>
    </row>
    <row r="91" spans="1:25" ht="14.25" thickBot="1" x14ac:dyDescent="0.3">
      <c r="A91" s="250" t="s">
        <v>6</v>
      </c>
      <c r="B91" s="275">
        <v>228071</v>
      </c>
      <c r="C91" s="275">
        <v>604203</v>
      </c>
      <c r="D91" s="275">
        <v>370975</v>
      </c>
      <c r="E91" s="275">
        <v>524436</v>
      </c>
      <c r="F91" s="275">
        <v>600644</v>
      </c>
      <c r="G91" s="275">
        <v>1046000</v>
      </c>
      <c r="H91" s="275">
        <v>756123</v>
      </c>
      <c r="I91" s="275">
        <v>710193</v>
      </c>
      <c r="J91" s="275">
        <v>325726</v>
      </c>
      <c r="K91" s="275">
        <v>392023</v>
      </c>
      <c r="L91" s="275">
        <v>187286</v>
      </c>
      <c r="M91" s="275">
        <v>477641</v>
      </c>
      <c r="N91" s="275">
        <v>131923</v>
      </c>
      <c r="O91" s="275">
        <v>339902</v>
      </c>
      <c r="P91" s="275">
        <v>145201</v>
      </c>
      <c r="Q91" s="275">
        <v>167000</v>
      </c>
      <c r="R91" s="275">
        <v>-54835</v>
      </c>
      <c r="S91" s="275">
        <v>272674</v>
      </c>
      <c r="T91" s="275">
        <v>237573</v>
      </c>
      <c r="U91" s="275">
        <v>633014</v>
      </c>
      <c r="V91" s="275">
        <v>105907</v>
      </c>
      <c r="W91" s="275">
        <v>1712726</v>
      </c>
      <c r="X91" s="275">
        <v>1847691</v>
      </c>
    </row>
    <row r="92" spans="1:25" ht="14.25" thickBot="1" x14ac:dyDescent="0.3">
      <c r="A92" s="251" t="s">
        <v>7</v>
      </c>
      <c r="B92" s="273">
        <v>178043</v>
      </c>
      <c r="C92" s="273">
        <v>479269</v>
      </c>
      <c r="D92" s="273">
        <v>301329</v>
      </c>
      <c r="E92" s="273">
        <v>422768</v>
      </c>
      <c r="F92" s="273">
        <v>478610</v>
      </c>
      <c r="G92" s="273">
        <v>865578</v>
      </c>
      <c r="H92" s="273">
        <v>601141</v>
      </c>
      <c r="I92" s="273">
        <v>570969</v>
      </c>
      <c r="J92" s="273">
        <v>245510</v>
      </c>
      <c r="K92" s="273">
        <v>313661</v>
      </c>
      <c r="L92" s="273">
        <v>139190</v>
      </c>
      <c r="M92" s="273">
        <v>411049</v>
      </c>
      <c r="N92" s="273">
        <v>85268</v>
      </c>
      <c r="O92" s="273">
        <v>252232</v>
      </c>
      <c r="P92" s="273">
        <v>114825</v>
      </c>
      <c r="Q92" s="273">
        <v>134036</v>
      </c>
      <c r="R92" s="273">
        <v>-60568</v>
      </c>
      <c r="S92" s="273">
        <v>219205</v>
      </c>
      <c r="T92" s="273">
        <v>204729</v>
      </c>
      <c r="U92" s="273">
        <v>561222</v>
      </c>
      <c r="V92" s="273">
        <v>71364</v>
      </c>
      <c r="W92" s="273">
        <v>1176572</v>
      </c>
      <c r="X92" s="273">
        <v>1035441</v>
      </c>
    </row>
    <row r="93" spans="1:25" ht="26.25" thickBot="1" x14ac:dyDescent="0.3">
      <c r="A93" s="252" t="s">
        <v>8</v>
      </c>
      <c r="B93" s="276">
        <v>174217</v>
      </c>
      <c r="C93" s="276">
        <v>472043</v>
      </c>
      <c r="D93" s="276">
        <v>292081</v>
      </c>
      <c r="E93" s="276">
        <v>412774</v>
      </c>
      <c r="F93" s="276">
        <v>469010</v>
      </c>
      <c r="G93" s="276">
        <v>854993</v>
      </c>
      <c r="H93" s="276">
        <v>589683</v>
      </c>
      <c r="I93" s="276">
        <v>561341</v>
      </c>
      <c r="J93" s="276">
        <v>239452</v>
      </c>
      <c r="K93" s="276">
        <v>305554</v>
      </c>
      <c r="L93" s="276">
        <v>126176</v>
      </c>
      <c r="M93" s="276">
        <v>400975</v>
      </c>
      <c r="N93" s="276">
        <v>81023</v>
      </c>
      <c r="O93" s="276">
        <v>242311</v>
      </c>
      <c r="P93" s="276">
        <v>109951</v>
      </c>
      <c r="Q93" s="276">
        <v>130580</v>
      </c>
      <c r="R93" s="276">
        <v>-65408</v>
      </c>
      <c r="S93" s="276">
        <v>212002</v>
      </c>
      <c r="T93" s="276">
        <v>200468</v>
      </c>
      <c r="U93" s="276">
        <v>572803</v>
      </c>
      <c r="V93" s="276">
        <v>68530</v>
      </c>
      <c r="W93" s="276">
        <v>1170602</v>
      </c>
      <c r="X93" s="276">
        <v>1030302</v>
      </c>
    </row>
    <row r="94" spans="1:25" x14ac:dyDescent="0.25">
      <c r="A94" s="233" t="s">
        <v>365</v>
      </c>
      <c r="B94" s="253">
        <f>IF(B91="","",B91-B90)</f>
        <v>38882</v>
      </c>
      <c r="C94" s="253">
        <f>IF(C91="","",C91-C90)</f>
        <v>69937</v>
      </c>
      <c r="D94" s="253">
        <f t="shared" ref="D94:Y94" si="9">IF(D91="","",D91-D90)</f>
        <v>52477</v>
      </c>
      <c r="E94" s="253">
        <f t="shared" si="9"/>
        <v>25025</v>
      </c>
      <c r="F94" s="253">
        <f t="shared" si="9"/>
        <v>44905</v>
      </c>
      <c r="G94" s="253">
        <f t="shared" si="9"/>
        <v>151996</v>
      </c>
      <c r="H94" s="253">
        <f t="shared" si="9"/>
        <v>39343</v>
      </c>
      <c r="I94" s="253">
        <f t="shared" si="9"/>
        <v>84910</v>
      </c>
      <c r="J94" s="253">
        <f t="shared" si="9"/>
        <v>45890</v>
      </c>
      <c r="K94" s="253">
        <f t="shared" si="9"/>
        <v>65116</v>
      </c>
      <c r="L94" s="253">
        <f t="shared" si="9"/>
        <v>22445</v>
      </c>
      <c r="M94" s="253">
        <f t="shared" si="9"/>
        <v>79742</v>
      </c>
      <c r="N94" s="253">
        <f t="shared" si="9"/>
        <v>45086</v>
      </c>
      <c r="O94" s="253">
        <f t="shared" si="9"/>
        <v>52438</v>
      </c>
      <c r="P94" s="253">
        <f t="shared" si="9"/>
        <v>118126</v>
      </c>
      <c r="Q94" s="253">
        <f t="shared" si="9"/>
        <v>61844</v>
      </c>
      <c r="R94" s="253">
        <f t="shared" si="9"/>
        <v>42791</v>
      </c>
      <c r="S94" s="253">
        <f t="shared" si="9"/>
        <v>48692</v>
      </c>
      <c r="T94" s="253">
        <f t="shared" si="9"/>
        <v>27819</v>
      </c>
      <c r="U94" s="253">
        <f t="shared" si="9"/>
        <v>430782</v>
      </c>
      <c r="V94" s="253">
        <f t="shared" si="9"/>
        <v>7180</v>
      </c>
      <c r="W94" s="253">
        <f t="shared" si="9"/>
        <v>66820</v>
      </c>
      <c r="X94" s="253">
        <f t="shared" si="9"/>
        <v>52422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8750246</v>
      </c>
      <c r="C97" s="273">
        <v>12091555</v>
      </c>
      <c r="D97" s="273">
        <v>8899215</v>
      </c>
      <c r="E97" s="273">
        <v>7523143</v>
      </c>
      <c r="F97" s="273">
        <v>7588820</v>
      </c>
    </row>
    <row r="98" spans="1:24" ht="14.25" thickBot="1" x14ac:dyDescent="0.3">
      <c r="A98" s="225" t="s">
        <v>4</v>
      </c>
      <c r="B98" s="275">
        <v>2585693</v>
      </c>
      <c r="C98" s="275">
        <v>4035711</v>
      </c>
      <c r="D98" s="275">
        <v>2451429</v>
      </c>
      <c r="E98" s="275">
        <v>1799515</v>
      </c>
      <c r="F98" s="275">
        <v>1688326</v>
      </c>
    </row>
    <row r="99" spans="1:24" ht="14.25" thickBot="1" x14ac:dyDescent="0.3">
      <c r="A99" s="224" t="s">
        <v>5</v>
      </c>
      <c r="B99" s="273">
        <v>1541364</v>
      </c>
      <c r="C99" s="273">
        <v>2791806</v>
      </c>
      <c r="D99" s="273">
        <v>1169483</v>
      </c>
      <c r="E99" s="273">
        <v>506532</v>
      </c>
      <c r="F99" s="273">
        <v>538342</v>
      </c>
    </row>
    <row r="100" spans="1:24" ht="14.25" thickBot="1" x14ac:dyDescent="0.3">
      <c r="A100" s="225" t="s">
        <v>6</v>
      </c>
      <c r="B100" s="275">
        <v>1727685</v>
      </c>
      <c r="C100" s="275">
        <v>3112960</v>
      </c>
      <c r="D100" s="275">
        <v>1382676</v>
      </c>
      <c r="E100" s="275">
        <v>784026</v>
      </c>
      <c r="F100" s="275">
        <v>1088426</v>
      </c>
    </row>
    <row r="101" spans="1:24" ht="14.25" thickBot="1" x14ac:dyDescent="0.3">
      <c r="A101" s="224" t="s">
        <v>7</v>
      </c>
      <c r="B101" s="273">
        <v>1381409</v>
      </c>
      <c r="C101" s="273">
        <v>2516298</v>
      </c>
      <c r="D101" s="273">
        <v>1109410</v>
      </c>
      <c r="E101" s="273">
        <v>586361</v>
      </c>
      <c r="F101" s="273">
        <v>924588</v>
      </c>
    </row>
    <row r="102" spans="1:24" ht="14.25" thickBot="1" x14ac:dyDescent="0.3">
      <c r="A102" s="227" t="s">
        <v>8</v>
      </c>
      <c r="B102" s="276">
        <v>1351115</v>
      </c>
      <c r="C102" s="276">
        <v>2475027</v>
      </c>
      <c r="D102" s="276">
        <v>1072157</v>
      </c>
      <c r="E102" s="276">
        <v>563865</v>
      </c>
      <c r="F102" s="276">
        <v>919865</v>
      </c>
    </row>
    <row r="103" spans="1:24" x14ac:dyDescent="0.25">
      <c r="A103" s="233" t="s">
        <v>262</v>
      </c>
      <c r="B103" s="234">
        <f>IF(OR(B102="",B102="無"),"",B102/B101)</f>
        <v>0.97807021671351502</v>
      </c>
      <c r="C103" s="234">
        <f>IF(OR(C102="",C102="無"),"",C102/C101)</f>
        <v>0.98359852449908558</v>
      </c>
      <c r="D103" s="234">
        <f>IF(OR(D102="",D102="無"),"",D102/D101)</f>
        <v>0.96642089038317669</v>
      </c>
      <c r="E103" s="234">
        <f>IF(OR(E102="",E102="無"),"",E102/E101)</f>
        <v>0.96163455618637661</v>
      </c>
      <c r="F103" s="234">
        <f>IF(OR(F102="",F102="無"),"",F102/F101)</f>
        <v>0.99489177882473057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1057951</v>
      </c>
      <c r="C106" s="273">
        <v>1099781</v>
      </c>
      <c r="D106" s="273">
        <v>1632481</v>
      </c>
      <c r="E106" s="273">
        <v>2443134</v>
      </c>
      <c r="F106" s="273">
        <v>3748515</v>
      </c>
      <c r="G106" s="273">
        <v>2088686</v>
      </c>
      <c r="H106" s="273">
        <v>1985673</v>
      </c>
      <c r="I106" s="273">
        <v>1605974</v>
      </c>
      <c r="J106" s="273">
        <v>1639443</v>
      </c>
      <c r="K106" s="273">
        <v>2368908</v>
      </c>
      <c r="L106" s="273">
        <v>1445897</v>
      </c>
      <c r="M106" s="273">
        <v>2865766</v>
      </c>
      <c r="N106" s="273">
        <v>2621555</v>
      </c>
      <c r="O106" s="273">
        <v>2851770</v>
      </c>
      <c r="P106" s="273">
        <v>2518167</v>
      </c>
      <c r="Q106" s="273">
        <v>3437772</v>
      </c>
      <c r="R106" s="273">
        <v>4666303</v>
      </c>
      <c r="S106" s="273">
        <v>4069696</v>
      </c>
      <c r="T106" s="273">
        <v>2755308</v>
      </c>
      <c r="U106" s="273">
        <v>3512457</v>
      </c>
      <c r="V106" s="273">
        <v>3695790</v>
      </c>
      <c r="W106" s="273">
        <v>4152600</v>
      </c>
      <c r="X106" s="273">
        <v>3926943</v>
      </c>
    </row>
    <row r="107" spans="1:24" ht="14.25" thickBot="1" x14ac:dyDescent="0.3">
      <c r="A107" s="225" t="s">
        <v>22</v>
      </c>
      <c r="B107" s="275">
        <v>1179332</v>
      </c>
      <c r="C107" s="275">
        <v>1743802</v>
      </c>
      <c r="D107" s="275">
        <v>914440</v>
      </c>
      <c r="E107" s="275">
        <v>684941</v>
      </c>
      <c r="F107" s="275">
        <v>988408</v>
      </c>
      <c r="G107" s="275">
        <v>1139265</v>
      </c>
      <c r="H107" s="275">
        <v>1028845</v>
      </c>
      <c r="I107" s="275">
        <v>1116719</v>
      </c>
      <c r="J107" s="275">
        <v>797121</v>
      </c>
      <c r="K107" s="275">
        <v>905651</v>
      </c>
      <c r="L107" s="275">
        <v>851119</v>
      </c>
      <c r="M107" s="275">
        <v>859742</v>
      </c>
      <c r="N107" s="275">
        <v>785344</v>
      </c>
      <c r="O107" s="275">
        <v>837558</v>
      </c>
      <c r="P107" s="275">
        <v>953490</v>
      </c>
      <c r="Q107" s="275">
        <v>1067568</v>
      </c>
      <c r="R107" s="275">
        <v>1178639</v>
      </c>
      <c r="S107" s="275">
        <v>1154777</v>
      </c>
      <c r="T107" s="275">
        <v>1261358</v>
      </c>
      <c r="U107" s="275">
        <v>1281035</v>
      </c>
      <c r="V107" s="275">
        <v>980934</v>
      </c>
      <c r="W107" s="275">
        <v>1155738</v>
      </c>
      <c r="X107" s="275">
        <v>984071</v>
      </c>
    </row>
    <row r="108" spans="1:24" ht="14.25" thickBot="1" x14ac:dyDescent="0.3">
      <c r="A108" s="224" t="s">
        <v>263</v>
      </c>
      <c r="B108" s="273">
        <v>776613</v>
      </c>
      <c r="C108" s="273">
        <v>766011</v>
      </c>
      <c r="D108" s="273">
        <v>661618</v>
      </c>
      <c r="E108" s="273">
        <v>827916</v>
      </c>
      <c r="F108" s="273">
        <v>1076570</v>
      </c>
      <c r="G108" s="273">
        <v>1262903</v>
      </c>
      <c r="H108" s="273">
        <v>1386123</v>
      </c>
      <c r="I108" s="273">
        <v>1210425</v>
      </c>
      <c r="J108" s="273">
        <v>1064154</v>
      </c>
      <c r="K108" s="273">
        <v>905679</v>
      </c>
      <c r="L108" s="273">
        <v>805466</v>
      </c>
      <c r="M108" s="273">
        <v>790032</v>
      </c>
      <c r="N108" s="273">
        <v>788477</v>
      </c>
      <c r="O108" s="273">
        <v>822319</v>
      </c>
      <c r="P108" s="273">
        <v>748705</v>
      </c>
      <c r="Q108" s="273">
        <v>761340</v>
      </c>
      <c r="R108" s="273">
        <v>808090</v>
      </c>
      <c r="S108" s="273">
        <v>924788</v>
      </c>
      <c r="T108" s="273">
        <v>926303</v>
      </c>
      <c r="U108" s="273">
        <v>823094</v>
      </c>
      <c r="V108" s="273">
        <v>820278</v>
      </c>
      <c r="W108" s="273">
        <v>846040</v>
      </c>
      <c r="X108" s="273">
        <v>882961</v>
      </c>
    </row>
    <row r="109" spans="1:24" ht="14.25" thickBot="1" x14ac:dyDescent="0.3">
      <c r="A109" s="225" t="s">
        <v>264</v>
      </c>
      <c r="B109" s="274">
        <v>0</v>
      </c>
      <c r="C109" s="274">
        <v>0</v>
      </c>
      <c r="D109" s="274">
        <v>0</v>
      </c>
      <c r="E109" s="275">
        <v>467980</v>
      </c>
      <c r="F109" s="275">
        <v>480631</v>
      </c>
      <c r="G109" s="275">
        <v>3787772</v>
      </c>
      <c r="H109" s="275">
        <v>4064249</v>
      </c>
      <c r="I109" s="275">
        <v>4174264</v>
      </c>
      <c r="J109" s="275">
        <v>4411177</v>
      </c>
      <c r="K109" s="275">
        <v>4694788</v>
      </c>
      <c r="L109" s="275">
        <v>4828598</v>
      </c>
      <c r="M109" s="275">
        <v>5387474</v>
      </c>
      <c r="N109" s="275">
        <v>5819886</v>
      </c>
      <c r="O109" s="275">
        <v>5953197</v>
      </c>
      <c r="P109" s="275">
        <v>6350932</v>
      </c>
      <c r="Q109" s="275">
        <v>6317412</v>
      </c>
      <c r="R109" s="275">
        <v>6797544</v>
      </c>
      <c r="S109" s="275">
        <v>7109793</v>
      </c>
      <c r="T109" s="275">
        <v>7253135</v>
      </c>
      <c r="U109" s="275">
        <v>7753415</v>
      </c>
      <c r="V109" s="275">
        <v>8472160</v>
      </c>
      <c r="W109" s="275">
        <v>5295102</v>
      </c>
      <c r="X109" s="275">
        <v>7983147</v>
      </c>
    </row>
    <row r="110" spans="1:24" ht="14.25" thickBot="1" x14ac:dyDescent="0.3">
      <c r="A110" s="224" t="s">
        <v>23</v>
      </c>
      <c r="B110" s="273">
        <v>259163</v>
      </c>
      <c r="C110" s="273">
        <v>262912</v>
      </c>
      <c r="D110" s="273">
        <v>255551</v>
      </c>
      <c r="E110" s="273">
        <v>531011</v>
      </c>
      <c r="F110" s="273">
        <v>356105</v>
      </c>
      <c r="G110" s="273">
        <v>358096</v>
      </c>
      <c r="H110" s="273">
        <v>1176584</v>
      </c>
      <c r="I110" s="273">
        <v>1312179</v>
      </c>
      <c r="J110" s="273">
        <v>1144474</v>
      </c>
      <c r="K110" s="273">
        <v>1451928</v>
      </c>
      <c r="L110" s="273">
        <v>1162036</v>
      </c>
      <c r="M110" s="273">
        <v>801778</v>
      </c>
      <c r="N110" s="273">
        <v>896011</v>
      </c>
      <c r="O110" s="273">
        <v>829465</v>
      </c>
      <c r="P110" s="273">
        <v>1497051</v>
      </c>
      <c r="Q110" s="273">
        <v>2225509</v>
      </c>
      <c r="R110" s="273">
        <v>1791193</v>
      </c>
      <c r="S110" s="273">
        <v>2319426</v>
      </c>
      <c r="T110" s="273">
        <v>2861443</v>
      </c>
      <c r="U110" s="273">
        <v>4173825</v>
      </c>
      <c r="V110" s="273">
        <v>3952680</v>
      </c>
      <c r="W110" s="273">
        <v>3424132</v>
      </c>
      <c r="X110" s="273">
        <v>3310220</v>
      </c>
    </row>
    <row r="111" spans="1:24" ht="14.25" thickBot="1" x14ac:dyDescent="0.3">
      <c r="A111" s="225" t="s">
        <v>24</v>
      </c>
      <c r="B111" s="275">
        <v>3273059</v>
      </c>
      <c r="C111" s="275">
        <v>3872506</v>
      </c>
      <c r="D111" s="275">
        <v>3464090</v>
      </c>
      <c r="E111" s="275">
        <v>4954982</v>
      </c>
      <c r="F111" s="275">
        <v>6650229</v>
      </c>
      <c r="G111" s="275">
        <v>8636722</v>
      </c>
      <c r="H111" s="275">
        <v>9641474</v>
      </c>
      <c r="I111" s="275">
        <v>9419561</v>
      </c>
      <c r="J111" s="275">
        <v>9056369</v>
      </c>
      <c r="K111" s="275">
        <v>10326954</v>
      </c>
      <c r="L111" s="275">
        <v>9093116</v>
      </c>
      <c r="M111" s="275">
        <v>10704792</v>
      </c>
      <c r="N111" s="275">
        <v>10911273</v>
      </c>
      <c r="O111" s="275">
        <v>11294309</v>
      </c>
      <c r="P111" s="275">
        <v>12068345</v>
      </c>
      <c r="Q111" s="275">
        <v>13809601</v>
      </c>
      <c r="R111" s="275">
        <v>15241769</v>
      </c>
      <c r="S111" s="275">
        <v>15578480</v>
      </c>
      <c r="T111" s="275">
        <v>15057547</v>
      </c>
      <c r="U111" s="275">
        <v>17543826</v>
      </c>
      <c r="V111" s="275">
        <v>17921842</v>
      </c>
      <c r="W111" s="275">
        <v>14873612</v>
      </c>
      <c r="X111" s="275">
        <v>17087342</v>
      </c>
    </row>
    <row r="112" spans="1:24" ht="14.25" thickBot="1" x14ac:dyDescent="0.3">
      <c r="A112" s="224" t="s">
        <v>25</v>
      </c>
      <c r="B112" s="273">
        <v>156387</v>
      </c>
      <c r="C112" s="273">
        <v>156584</v>
      </c>
      <c r="D112" s="273">
        <v>154387</v>
      </c>
      <c r="E112" s="273">
        <v>132168</v>
      </c>
      <c r="F112" s="273">
        <v>189092</v>
      </c>
      <c r="G112" s="273">
        <v>304054</v>
      </c>
      <c r="H112" s="273">
        <v>303329</v>
      </c>
      <c r="I112" s="273">
        <v>297112</v>
      </c>
      <c r="J112" s="273">
        <v>299296</v>
      </c>
      <c r="K112" s="273">
        <v>293652</v>
      </c>
      <c r="L112" s="273">
        <v>295620</v>
      </c>
      <c r="M112" s="273">
        <v>304567</v>
      </c>
      <c r="N112" s="273">
        <v>302504</v>
      </c>
      <c r="O112" s="273">
        <v>298893</v>
      </c>
      <c r="P112" s="273">
        <v>301706</v>
      </c>
      <c r="Q112" s="273">
        <v>261971</v>
      </c>
      <c r="R112" s="273">
        <v>260952</v>
      </c>
      <c r="S112" s="273">
        <v>257084</v>
      </c>
      <c r="T112" s="273">
        <v>220865</v>
      </c>
      <c r="U112" s="273">
        <v>218058</v>
      </c>
      <c r="V112" s="273">
        <v>229687</v>
      </c>
      <c r="W112" s="273">
        <v>230905</v>
      </c>
      <c r="X112" s="273">
        <v>238074</v>
      </c>
    </row>
    <row r="113" spans="1:24" ht="14.25" thickBot="1" x14ac:dyDescent="0.3">
      <c r="A113" s="225" t="s">
        <v>26</v>
      </c>
      <c r="B113" s="275">
        <v>3302402</v>
      </c>
      <c r="C113" s="275">
        <v>3278647</v>
      </c>
      <c r="D113" s="275">
        <v>3272184</v>
      </c>
      <c r="E113" s="275">
        <v>3257354</v>
      </c>
      <c r="F113" s="275">
        <v>3522816</v>
      </c>
      <c r="G113" s="275">
        <v>3530604</v>
      </c>
      <c r="H113" s="275">
        <v>3528764</v>
      </c>
      <c r="I113" s="275">
        <v>3564458</v>
      </c>
      <c r="J113" s="275">
        <v>3549643</v>
      </c>
      <c r="K113" s="275">
        <v>3531484</v>
      </c>
      <c r="L113" s="275">
        <v>3616586</v>
      </c>
      <c r="M113" s="275">
        <v>3604588</v>
      </c>
      <c r="N113" s="275">
        <v>3585908</v>
      </c>
      <c r="O113" s="275">
        <v>3570897</v>
      </c>
      <c r="P113" s="275">
        <v>3575062</v>
      </c>
      <c r="Q113" s="275">
        <v>3561920</v>
      </c>
      <c r="R113" s="275">
        <v>3531152</v>
      </c>
      <c r="S113" s="275">
        <v>3510651</v>
      </c>
      <c r="T113" s="275">
        <v>3492891</v>
      </c>
      <c r="U113" s="275">
        <v>3474237</v>
      </c>
      <c r="V113" s="275">
        <v>3432691</v>
      </c>
      <c r="W113" s="275">
        <v>3427114</v>
      </c>
      <c r="X113" s="275">
        <v>3404367</v>
      </c>
    </row>
    <row r="114" spans="1:24" ht="14.25" thickBot="1" x14ac:dyDescent="0.3">
      <c r="A114" s="224" t="s">
        <v>27</v>
      </c>
      <c r="B114" s="273">
        <v>3221960</v>
      </c>
      <c r="C114" s="273">
        <v>3430556</v>
      </c>
      <c r="D114" s="273">
        <v>3381459</v>
      </c>
      <c r="E114" s="273">
        <v>3376745</v>
      </c>
      <c r="F114" s="273">
        <v>3347428</v>
      </c>
      <c r="G114" s="273">
        <v>3338299</v>
      </c>
      <c r="H114" s="273">
        <v>3328451</v>
      </c>
      <c r="I114" s="273">
        <v>3308787</v>
      </c>
      <c r="J114" s="273">
        <v>3368333</v>
      </c>
      <c r="K114" s="273">
        <v>3108248</v>
      </c>
      <c r="L114" s="273">
        <v>3133002</v>
      </c>
      <c r="M114" s="273">
        <v>3191957</v>
      </c>
      <c r="N114" s="273">
        <v>3188443</v>
      </c>
      <c r="O114" s="273">
        <v>3186743</v>
      </c>
      <c r="P114" s="273">
        <v>3203184</v>
      </c>
      <c r="Q114" s="273">
        <v>3138512</v>
      </c>
      <c r="R114" s="273">
        <v>3118818</v>
      </c>
      <c r="S114" s="273">
        <v>3128618</v>
      </c>
      <c r="T114" s="273">
        <v>3108027</v>
      </c>
      <c r="U114" s="273">
        <v>2633143</v>
      </c>
      <c r="V114" s="273">
        <v>2616219</v>
      </c>
      <c r="W114" s="273">
        <v>2561841</v>
      </c>
      <c r="X114" s="273">
        <v>2555120</v>
      </c>
    </row>
    <row r="115" spans="1:24" ht="14.25" thickBot="1" x14ac:dyDescent="0.3">
      <c r="A115" s="225" t="s">
        <v>265</v>
      </c>
      <c r="B115" s="276">
        <v>9953808</v>
      </c>
      <c r="C115" s="276">
        <v>10738293</v>
      </c>
      <c r="D115" s="276">
        <v>10272120</v>
      </c>
      <c r="E115" s="276">
        <v>11721249</v>
      </c>
      <c r="F115" s="276">
        <v>13709565</v>
      </c>
      <c r="G115" s="276">
        <v>15809679</v>
      </c>
      <c r="H115" s="276">
        <v>16802018</v>
      </c>
      <c r="I115" s="276">
        <v>16589918</v>
      </c>
      <c r="J115" s="276">
        <v>16273641</v>
      </c>
      <c r="K115" s="276">
        <v>17260338</v>
      </c>
      <c r="L115" s="276">
        <v>16138324</v>
      </c>
      <c r="M115" s="276">
        <v>17805904</v>
      </c>
      <c r="N115" s="276">
        <v>17988128</v>
      </c>
      <c r="O115" s="276">
        <v>18350842</v>
      </c>
      <c r="P115" s="276">
        <v>19148297</v>
      </c>
      <c r="Q115" s="276">
        <v>20772004</v>
      </c>
      <c r="R115" s="276">
        <v>22152691</v>
      </c>
      <c r="S115" s="276">
        <v>22474833</v>
      </c>
      <c r="T115" s="276">
        <v>21879330</v>
      </c>
      <c r="U115" s="276">
        <v>23869264</v>
      </c>
      <c r="V115" s="276">
        <v>24200439</v>
      </c>
      <c r="W115" s="276">
        <v>21093472</v>
      </c>
      <c r="X115" s="276">
        <v>23284903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250326</v>
      </c>
      <c r="C118" s="273">
        <v>70863</v>
      </c>
      <c r="D118" s="273">
        <v>69299</v>
      </c>
      <c r="E118" s="273">
        <v>69302</v>
      </c>
      <c r="F118" s="273">
        <v>71364</v>
      </c>
      <c r="G118" s="273">
        <v>72831</v>
      </c>
      <c r="H118" s="273">
        <v>553116</v>
      </c>
      <c r="I118" s="273">
        <v>586627</v>
      </c>
      <c r="J118" s="273">
        <v>618012</v>
      </c>
      <c r="K118" s="273">
        <v>485390</v>
      </c>
      <c r="L118" s="273">
        <v>51993</v>
      </c>
      <c r="M118" s="273">
        <v>45828</v>
      </c>
      <c r="N118" s="273">
        <v>40352</v>
      </c>
      <c r="O118" s="273">
        <v>24865</v>
      </c>
      <c r="P118" s="273">
        <v>41408</v>
      </c>
      <c r="Q118" s="273">
        <v>237463</v>
      </c>
      <c r="R118" s="273">
        <v>42468</v>
      </c>
      <c r="S118" s="273">
        <v>18649</v>
      </c>
      <c r="T118" s="273">
        <v>22722</v>
      </c>
      <c r="U118" s="273">
        <v>158058</v>
      </c>
      <c r="V118" s="273">
        <v>950000</v>
      </c>
      <c r="W118" s="273">
        <v>400000</v>
      </c>
      <c r="X118" s="273">
        <v>848000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3861</v>
      </c>
      <c r="C120" s="273">
        <v>3450</v>
      </c>
      <c r="D120" s="273">
        <v>1636</v>
      </c>
      <c r="E120" s="273">
        <v>3405</v>
      </c>
      <c r="F120" s="273">
        <v>2487</v>
      </c>
      <c r="G120" s="273">
        <v>3587</v>
      </c>
      <c r="H120" s="273">
        <v>9941</v>
      </c>
      <c r="I120" s="273">
        <v>9631</v>
      </c>
      <c r="J120" s="273">
        <v>19321</v>
      </c>
      <c r="K120" s="273">
        <v>13461</v>
      </c>
      <c r="L120" s="273">
        <v>9441</v>
      </c>
      <c r="M120" s="273">
        <v>172953</v>
      </c>
      <c r="N120" s="273">
        <v>24144</v>
      </c>
      <c r="O120" s="273">
        <v>77160</v>
      </c>
      <c r="P120" s="273">
        <v>62835</v>
      </c>
      <c r="Q120" s="273">
        <v>91076</v>
      </c>
      <c r="R120" s="273">
        <v>74001</v>
      </c>
      <c r="S120" s="273">
        <v>59462</v>
      </c>
      <c r="T120" s="273">
        <v>46753</v>
      </c>
      <c r="U120" s="273">
        <v>175490</v>
      </c>
      <c r="V120" s="273">
        <v>62920</v>
      </c>
      <c r="W120" s="273">
        <v>41370</v>
      </c>
      <c r="X120" s="273">
        <v>19131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5">
        <v>1288504</v>
      </c>
      <c r="Q121" s="275">
        <v>2666503</v>
      </c>
      <c r="R121" s="275">
        <v>4459490</v>
      </c>
      <c r="S121" s="275">
        <v>5601336</v>
      </c>
      <c r="T121" s="275">
        <v>5860144</v>
      </c>
      <c r="U121" s="275">
        <v>7283452</v>
      </c>
      <c r="V121" s="275">
        <v>8031795</v>
      </c>
      <c r="W121" s="275">
        <v>3189008</v>
      </c>
      <c r="X121" s="275">
        <v>631419</v>
      </c>
    </row>
    <row r="122" spans="1:24" ht="14.25" thickBot="1" x14ac:dyDescent="0.3">
      <c r="A122" s="224" t="s">
        <v>30</v>
      </c>
      <c r="B122" s="68">
        <v>0</v>
      </c>
      <c r="C122" s="68">
        <v>0</v>
      </c>
      <c r="D122" s="68">
        <v>0</v>
      </c>
      <c r="E122" s="68">
        <v>0</v>
      </c>
      <c r="F122" s="273">
        <v>141316</v>
      </c>
      <c r="G122" s="273">
        <v>195663</v>
      </c>
      <c r="H122" s="68">
        <v>0</v>
      </c>
      <c r="I122" s="68">
        <v>0</v>
      </c>
      <c r="J122" s="68">
        <v>0</v>
      </c>
      <c r="K122" s="68">
        <v>0</v>
      </c>
      <c r="L122" s="273">
        <v>279864</v>
      </c>
      <c r="M122" s="273">
        <v>291180</v>
      </c>
      <c r="N122" s="273">
        <v>287960</v>
      </c>
      <c r="O122" s="273">
        <v>283912</v>
      </c>
      <c r="P122" s="273">
        <v>190000</v>
      </c>
      <c r="Q122" s="273">
        <v>190000</v>
      </c>
      <c r="R122" s="273">
        <v>190000</v>
      </c>
      <c r="S122" s="273">
        <v>636920</v>
      </c>
      <c r="T122" s="273">
        <v>623222</v>
      </c>
      <c r="U122" s="273">
        <v>296120</v>
      </c>
      <c r="V122" s="273">
        <v>203565</v>
      </c>
      <c r="W122" s="273">
        <v>1513580</v>
      </c>
      <c r="X122" s="273">
        <v>1713455</v>
      </c>
    </row>
    <row r="123" spans="1:24" ht="14.25" thickBot="1" x14ac:dyDescent="0.3">
      <c r="A123" s="225" t="s">
        <v>31</v>
      </c>
      <c r="B123" s="275">
        <v>1567882</v>
      </c>
      <c r="C123" s="275">
        <v>2843310</v>
      </c>
      <c r="D123" s="275">
        <v>2043736</v>
      </c>
      <c r="E123" s="275">
        <v>2443284</v>
      </c>
      <c r="F123" s="275">
        <v>2499793</v>
      </c>
      <c r="G123" s="275">
        <v>3771570</v>
      </c>
      <c r="H123" s="275">
        <v>3126604</v>
      </c>
      <c r="I123" s="275">
        <v>3701634</v>
      </c>
      <c r="J123" s="275">
        <v>2258389</v>
      </c>
      <c r="K123" s="275">
        <v>3510587</v>
      </c>
      <c r="L123" s="275">
        <v>1985704</v>
      </c>
      <c r="M123" s="275">
        <v>2367941</v>
      </c>
      <c r="N123" s="275">
        <v>1598683</v>
      </c>
      <c r="O123" s="275">
        <v>2676516</v>
      </c>
      <c r="P123" s="275">
        <v>1599695</v>
      </c>
      <c r="Q123" s="275">
        <v>2333127</v>
      </c>
      <c r="R123" s="275">
        <v>1968650</v>
      </c>
      <c r="S123" s="275">
        <v>2608315</v>
      </c>
      <c r="T123" s="275">
        <v>2165907</v>
      </c>
      <c r="U123" s="275">
        <v>2504331</v>
      </c>
      <c r="V123" s="275">
        <v>1777108</v>
      </c>
      <c r="W123" s="275">
        <v>2879356</v>
      </c>
      <c r="X123" s="275">
        <v>2470254</v>
      </c>
    </row>
    <row r="124" spans="1:24" ht="14.25" thickBot="1" x14ac:dyDescent="0.3">
      <c r="A124" s="224" t="s">
        <v>268</v>
      </c>
      <c r="B124" s="273">
        <v>1822069</v>
      </c>
      <c r="C124" s="273">
        <v>2917623</v>
      </c>
      <c r="D124" s="273">
        <v>2114671</v>
      </c>
      <c r="E124" s="273">
        <v>2515991</v>
      </c>
      <c r="F124" s="273">
        <v>2714960</v>
      </c>
      <c r="G124" s="273">
        <v>4043651</v>
      </c>
      <c r="H124" s="273">
        <v>3689661</v>
      </c>
      <c r="I124" s="273">
        <v>4297892</v>
      </c>
      <c r="J124" s="273">
        <v>2895722</v>
      </c>
      <c r="K124" s="273">
        <v>4009438</v>
      </c>
      <c r="L124" s="273">
        <v>2327002</v>
      </c>
      <c r="M124" s="273">
        <v>2877902</v>
      </c>
      <c r="N124" s="273">
        <v>1951139</v>
      </c>
      <c r="O124" s="273">
        <v>3062453</v>
      </c>
      <c r="P124" s="273">
        <v>3182442</v>
      </c>
      <c r="Q124" s="273">
        <v>5518169</v>
      </c>
      <c r="R124" s="273">
        <v>6734609</v>
      </c>
      <c r="S124" s="273">
        <v>8924682</v>
      </c>
      <c r="T124" s="273">
        <v>8718748</v>
      </c>
      <c r="U124" s="273">
        <v>10417451</v>
      </c>
      <c r="V124" s="273">
        <v>11025388</v>
      </c>
      <c r="W124" s="273">
        <v>8023314</v>
      </c>
      <c r="X124" s="273">
        <v>5682259</v>
      </c>
    </row>
    <row r="125" spans="1:24" ht="14.25" thickBot="1" x14ac:dyDescent="0.3">
      <c r="A125" s="225" t="s">
        <v>32</v>
      </c>
      <c r="B125" s="274">
        <v>0</v>
      </c>
      <c r="C125" s="274">
        <v>0</v>
      </c>
      <c r="D125" s="274">
        <v>0</v>
      </c>
      <c r="E125" s="275">
        <v>700000</v>
      </c>
      <c r="F125" s="275">
        <v>2907462</v>
      </c>
      <c r="G125" s="275">
        <v>3483188</v>
      </c>
      <c r="H125" s="275">
        <v>4182731</v>
      </c>
      <c r="I125" s="275">
        <v>2670278</v>
      </c>
      <c r="J125" s="275">
        <v>3569047</v>
      </c>
      <c r="K125" s="275">
        <v>4495320</v>
      </c>
      <c r="L125" s="275">
        <v>4883046</v>
      </c>
      <c r="M125" s="275">
        <v>5411894</v>
      </c>
      <c r="N125" s="275">
        <v>6533055</v>
      </c>
      <c r="O125" s="275">
        <v>6212155</v>
      </c>
      <c r="P125" s="275">
        <v>6624833</v>
      </c>
      <c r="Q125" s="275">
        <v>5931457</v>
      </c>
      <c r="R125" s="275">
        <v>6211696</v>
      </c>
      <c r="S125" s="275">
        <v>4737124</v>
      </c>
      <c r="T125" s="275">
        <v>4258742</v>
      </c>
      <c r="U125" s="275">
        <v>4063424</v>
      </c>
      <c r="V125" s="275">
        <v>4059059</v>
      </c>
      <c r="W125" s="275">
        <v>3303974</v>
      </c>
      <c r="X125" s="275">
        <v>6712144</v>
      </c>
    </row>
    <row r="126" spans="1:24" ht="14.25" thickBot="1" x14ac:dyDescent="0.3">
      <c r="A126" s="224" t="s">
        <v>33</v>
      </c>
      <c r="B126" s="273">
        <v>925152</v>
      </c>
      <c r="C126" s="273">
        <v>1052616</v>
      </c>
      <c r="D126" s="273">
        <v>1060824</v>
      </c>
      <c r="E126" s="273">
        <v>969446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2747221</v>
      </c>
      <c r="C127" s="275">
        <v>3970239</v>
      </c>
      <c r="D127" s="275">
        <v>3175495</v>
      </c>
      <c r="E127" s="275">
        <v>4185437</v>
      </c>
      <c r="F127" s="275">
        <v>5622422</v>
      </c>
      <c r="G127" s="275">
        <v>7526839</v>
      </c>
      <c r="H127" s="275">
        <v>7872392</v>
      </c>
      <c r="I127" s="275">
        <v>6968170</v>
      </c>
      <c r="J127" s="275">
        <v>6464769</v>
      </c>
      <c r="K127" s="275">
        <v>8504758</v>
      </c>
      <c r="L127" s="275">
        <v>7210048</v>
      </c>
      <c r="M127" s="275">
        <v>8289796</v>
      </c>
      <c r="N127" s="275">
        <v>8484194</v>
      </c>
      <c r="O127" s="275">
        <v>9274608</v>
      </c>
      <c r="P127" s="275">
        <v>9807275</v>
      </c>
      <c r="Q127" s="275">
        <v>11449626</v>
      </c>
      <c r="R127" s="275">
        <v>12946305</v>
      </c>
      <c r="S127" s="275">
        <v>13661806</v>
      </c>
      <c r="T127" s="275">
        <v>12977490</v>
      </c>
      <c r="U127" s="275">
        <v>14480875</v>
      </c>
      <c r="V127" s="275">
        <v>15084447</v>
      </c>
      <c r="W127" s="275">
        <v>11327288</v>
      </c>
      <c r="X127" s="275">
        <v>12394403</v>
      </c>
    </row>
    <row r="128" spans="1:24" ht="14.25" thickBot="1" x14ac:dyDescent="0.3">
      <c r="A128" s="224" t="s">
        <v>34</v>
      </c>
      <c r="B128" s="273">
        <v>7206587</v>
      </c>
      <c r="C128" s="273">
        <v>6768054</v>
      </c>
      <c r="D128" s="273">
        <v>7096625</v>
      </c>
      <c r="E128" s="273">
        <v>7535812</v>
      </c>
      <c r="F128" s="273">
        <v>8087143</v>
      </c>
      <c r="G128" s="273">
        <v>8282840</v>
      </c>
      <c r="H128" s="273">
        <v>8929626</v>
      </c>
      <c r="I128" s="273">
        <v>9621748</v>
      </c>
      <c r="J128" s="273">
        <v>9808872</v>
      </c>
      <c r="K128" s="273">
        <v>8755580</v>
      </c>
      <c r="L128" s="273">
        <v>8928276</v>
      </c>
      <c r="M128" s="273">
        <v>9516108</v>
      </c>
      <c r="N128" s="273">
        <v>9503934</v>
      </c>
      <c r="O128" s="273">
        <v>9076234</v>
      </c>
      <c r="P128" s="273">
        <v>9341022</v>
      </c>
      <c r="Q128" s="273">
        <v>9322378</v>
      </c>
      <c r="R128" s="273">
        <v>9206386</v>
      </c>
      <c r="S128" s="273">
        <v>8813027</v>
      </c>
      <c r="T128" s="273">
        <v>8901840</v>
      </c>
      <c r="U128" s="273">
        <v>9388389</v>
      </c>
      <c r="V128" s="273">
        <v>9115992</v>
      </c>
      <c r="W128" s="273">
        <v>9766184</v>
      </c>
      <c r="X128" s="273">
        <v>10890500</v>
      </c>
    </row>
    <row r="129" spans="1:24" ht="14.25" thickBot="1" x14ac:dyDescent="0.3">
      <c r="A129" s="225" t="s">
        <v>35</v>
      </c>
      <c r="B129" s="276">
        <v>9953808</v>
      </c>
      <c r="C129" s="276">
        <v>10738293</v>
      </c>
      <c r="D129" s="276">
        <v>10272120</v>
      </c>
      <c r="E129" s="276">
        <v>11721249</v>
      </c>
      <c r="F129" s="276">
        <v>13709565</v>
      </c>
      <c r="G129" s="276">
        <v>15809679</v>
      </c>
      <c r="H129" s="276">
        <v>16802018</v>
      </c>
      <c r="I129" s="276">
        <v>16589918</v>
      </c>
      <c r="J129" s="276">
        <v>16273641</v>
      </c>
      <c r="K129" s="276">
        <v>17260338</v>
      </c>
      <c r="L129" s="276">
        <v>16138324</v>
      </c>
      <c r="M129" s="276">
        <v>17805904</v>
      </c>
      <c r="N129" s="276">
        <v>17988128</v>
      </c>
      <c r="O129" s="276">
        <v>18350842</v>
      </c>
      <c r="P129" s="276">
        <v>19148297</v>
      </c>
      <c r="Q129" s="276">
        <v>20772004</v>
      </c>
      <c r="R129" s="276">
        <v>22152691</v>
      </c>
      <c r="S129" s="276">
        <v>22474833</v>
      </c>
      <c r="T129" s="276">
        <v>21879330</v>
      </c>
      <c r="U129" s="276">
        <v>23869264</v>
      </c>
      <c r="V129" s="276">
        <v>24200439</v>
      </c>
      <c r="W129" s="276">
        <v>21093472</v>
      </c>
      <c r="X129" s="276">
        <v>23284903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3.3</v>
      </c>
      <c r="C132" s="68">
        <v>-0.32</v>
      </c>
      <c r="D132" s="68">
        <v>-1</v>
      </c>
      <c r="E132" s="68">
        <v>2.65</v>
      </c>
      <c r="F132" s="68">
        <v>4.74</v>
      </c>
    </row>
    <row r="133" spans="1:24" ht="14.25" thickBot="1" x14ac:dyDescent="0.3">
      <c r="A133" s="225" t="s">
        <v>37</v>
      </c>
      <c r="B133" s="274">
        <v>-0.49</v>
      </c>
      <c r="C133" s="274">
        <v>-2.36</v>
      </c>
      <c r="D133" s="274">
        <v>0.82</v>
      </c>
      <c r="E133" s="274">
        <v>-1.87</v>
      </c>
      <c r="F133" s="274">
        <v>-1.28</v>
      </c>
    </row>
    <row r="134" spans="1:24" ht="14.25" thickBot="1" x14ac:dyDescent="0.3">
      <c r="A134" s="224" t="s">
        <v>38</v>
      </c>
      <c r="B134" s="68">
        <v>-0.72</v>
      </c>
      <c r="C134" s="68">
        <v>1.39</v>
      </c>
      <c r="D134" s="68">
        <v>1.94</v>
      </c>
      <c r="E134" s="68">
        <v>0.28999999999999998</v>
      </c>
      <c r="F134" s="68">
        <v>-3.14</v>
      </c>
    </row>
    <row r="135" spans="1:24" ht="14.25" thickBot="1" x14ac:dyDescent="0.3">
      <c r="A135" s="225" t="s">
        <v>270</v>
      </c>
      <c r="B135" s="274">
        <v>2.81</v>
      </c>
      <c r="C135" s="274">
        <v>-2.69</v>
      </c>
      <c r="D135" s="274">
        <v>-0.18</v>
      </c>
      <c r="E135" s="274">
        <v>0.78</v>
      </c>
      <c r="F135" s="274">
        <v>3.46</v>
      </c>
    </row>
    <row r="136" spans="1:24" ht="14.25" thickBot="1" x14ac:dyDescent="0.3">
      <c r="A136" s="229" t="s">
        <v>39</v>
      </c>
      <c r="B136" s="72">
        <v>2.09</v>
      </c>
      <c r="C136" s="72">
        <v>-1.3</v>
      </c>
      <c r="D136" s="72">
        <v>1.76</v>
      </c>
      <c r="E136" s="72">
        <v>1.07</v>
      </c>
      <c r="F136" s="72">
        <v>0.32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借錢配息?</v>
      </c>
      <c r="D137" s="234" t="str">
        <f>IF(OR(D140&lt;=0,D140="無"),"",IF(D135&gt;=D140,"一般盈餘",IF(AND(D134&gt;0,D132&lt;D140),"借錢配息?",IF(D133&gt;(D140-D135),"可能賣資產","保留盈餘"))))</f>
        <v>借錢配息?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1.5</v>
      </c>
      <c r="C140" s="68">
        <v>2.6</v>
      </c>
      <c r="D140" s="68">
        <v>1</v>
      </c>
      <c r="E140" s="68">
        <v>0.7</v>
      </c>
      <c r="F140" s="68">
        <v>1</v>
      </c>
    </row>
    <row r="141" spans="1:24" ht="14.25" thickBot="1" x14ac:dyDescent="0.3">
      <c r="A141" s="227" t="s">
        <v>1</v>
      </c>
      <c r="B141" s="73">
        <v>0.8</v>
      </c>
      <c r="C141" s="73">
        <v>2.2000000000000002</v>
      </c>
      <c r="D141" s="73">
        <v>0.3</v>
      </c>
      <c r="E141" s="73">
        <v>0</v>
      </c>
      <c r="F141" s="73">
        <v>0.31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0.51194539249146753</v>
      </c>
      <c r="C142" s="234">
        <f>IF(C140&lt;&gt;"無",IF(ISNA(HLOOKUP(C139,$B$64:$F$69,6,FALSE)),"",C140/HLOOKUP(C139,$B$64:$F$69,6,FALSE)),"")</f>
        <v>0.52</v>
      </c>
      <c r="D142" s="234">
        <f>IF(D140&lt;&gt;"無",IF(ISNA(HLOOKUP(D139,$B$64:$F$69,6,FALSE)),"",D140/HLOOKUP(D139,$B$64:$F$69,6,FALSE)),"")</f>
        <v>0.5434782608695653</v>
      </c>
      <c r="E142" s="234">
        <f>IF(E140&lt;&gt;"無",IF(ISNA(HLOOKUP(E139,$B$64:$F$69,6,FALSE)),"",E140/HLOOKUP(E139,$B$64:$F$69,6,FALSE)),"")</f>
        <v>0.78651685393258419</v>
      </c>
      <c r="F142" s="234">
        <f>IF(F140&lt;&gt;"無",IF(ISNA(HLOOKUP(F139,$B$64:$F$69,6,FALSE)),"",F140/HLOOKUP(F139,$B$64:$F$69,6,FALSE)),"")</f>
        <v>0.68027210884353728</v>
      </c>
    </row>
    <row r="143" spans="1:24" x14ac:dyDescent="0.25">
      <c r="A143" s="233" t="s">
        <v>216</v>
      </c>
      <c r="B143" s="234">
        <f>IF(OR(B140=0,B140="無"),"",B135/B140)</f>
        <v>1.8733333333333333</v>
      </c>
      <c r="C143" s="234">
        <f>IF(OR(C140=0,C140="無"),"",C135/C140)</f>
        <v>-1.0346153846153845</v>
      </c>
      <c r="D143" s="234">
        <f>IF(OR(D140=0,D140="無"),"",D135/D140)</f>
        <v>-0.18</v>
      </c>
      <c r="E143" s="234">
        <f>IF(OR(E140=0,E140="無"),"",E135/E140)</f>
        <v>1.1142857142857143</v>
      </c>
      <c r="F143" s="234">
        <f>IF(OR(F140=0,F140="無"),"",F135/F140)</f>
        <v>3.46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23.56</v>
      </c>
      <c r="C146" s="68">
        <v>32.44</v>
      </c>
      <c r="D146" s="68">
        <v>28.61</v>
      </c>
      <c r="E146" s="68">
        <v>31.81</v>
      </c>
      <c r="F146" s="68">
        <v>32.630000000000003</v>
      </c>
      <c r="G146" s="68">
        <v>35.69</v>
      </c>
      <c r="H146" s="68">
        <v>33.869999999999997</v>
      </c>
      <c r="I146" s="68">
        <v>30.95</v>
      </c>
      <c r="J146" s="68">
        <v>26.5</v>
      </c>
      <c r="K146" s="68">
        <v>26.61</v>
      </c>
      <c r="L146" s="68">
        <v>25.44</v>
      </c>
      <c r="M146" s="68">
        <v>31.54</v>
      </c>
      <c r="N146" s="68">
        <v>21.28</v>
      </c>
      <c r="O146" s="68">
        <v>27.29</v>
      </c>
      <c r="P146" s="68">
        <v>18.82</v>
      </c>
      <c r="Q146" s="68">
        <v>27.18</v>
      </c>
      <c r="R146" s="68">
        <v>16.100000000000001</v>
      </c>
      <c r="S146" s="68">
        <v>25.27</v>
      </c>
      <c r="T146" s="68">
        <v>24.09</v>
      </c>
      <c r="U146" s="68">
        <v>21.91</v>
      </c>
      <c r="V146" s="68">
        <v>21.69</v>
      </c>
      <c r="W146" s="68">
        <v>25.99</v>
      </c>
      <c r="X146" s="68">
        <v>40.24</v>
      </c>
    </row>
    <row r="147" spans="1:24" s="93" customFormat="1" ht="14.25" thickBot="1" x14ac:dyDescent="0.3">
      <c r="A147" s="225" t="s">
        <v>19</v>
      </c>
      <c r="B147" s="274">
        <v>10.42</v>
      </c>
      <c r="C147" s="274">
        <v>21.69</v>
      </c>
      <c r="D147" s="274">
        <v>16.05</v>
      </c>
      <c r="E147" s="274">
        <v>20.079999999999998</v>
      </c>
      <c r="F147" s="274">
        <v>21.77</v>
      </c>
      <c r="G147" s="274">
        <v>26.23</v>
      </c>
      <c r="H147" s="274">
        <v>23.57</v>
      </c>
      <c r="I147" s="274">
        <v>20.25</v>
      </c>
      <c r="J147" s="274">
        <v>12.69</v>
      </c>
      <c r="K147" s="274">
        <v>13.33</v>
      </c>
      <c r="L147" s="274">
        <v>8.15</v>
      </c>
      <c r="M147" s="274">
        <v>17.93</v>
      </c>
      <c r="N147" s="274">
        <v>4.8</v>
      </c>
      <c r="O147" s="274">
        <v>13.36</v>
      </c>
      <c r="P147" s="274">
        <v>1.61</v>
      </c>
      <c r="Q147" s="274">
        <v>5.6</v>
      </c>
      <c r="R147" s="274">
        <v>-6.26</v>
      </c>
      <c r="S147" s="274">
        <v>10.71</v>
      </c>
      <c r="T147" s="274">
        <v>10.44</v>
      </c>
      <c r="U147" s="274">
        <v>10.43</v>
      </c>
      <c r="V147" s="274">
        <v>5.66</v>
      </c>
      <c r="W147" s="274">
        <v>21.86</v>
      </c>
      <c r="X147" s="274">
        <v>34.28</v>
      </c>
    </row>
    <row r="148" spans="1:24" s="93" customFormat="1" ht="14.25" thickBot="1" x14ac:dyDescent="0.3">
      <c r="A148" s="224" t="s">
        <v>41</v>
      </c>
      <c r="B148" s="68">
        <v>12.56</v>
      </c>
      <c r="C148" s="68">
        <v>24.53</v>
      </c>
      <c r="D148" s="68">
        <v>18.7</v>
      </c>
      <c r="E148" s="68">
        <v>21.09</v>
      </c>
      <c r="F148" s="68">
        <v>23.52</v>
      </c>
      <c r="G148" s="68">
        <v>30.68</v>
      </c>
      <c r="H148" s="68">
        <v>24.86</v>
      </c>
      <c r="I148" s="68">
        <v>23</v>
      </c>
      <c r="J148" s="68">
        <v>14.77</v>
      </c>
      <c r="K148" s="68">
        <v>15.98</v>
      </c>
      <c r="L148" s="68">
        <v>9.26</v>
      </c>
      <c r="M148" s="68">
        <v>21.53</v>
      </c>
      <c r="N148" s="68">
        <v>7.29</v>
      </c>
      <c r="O148" s="68">
        <v>15.8</v>
      </c>
      <c r="P148" s="68">
        <v>8.6199999999999992</v>
      </c>
      <c r="Q148" s="68">
        <v>8.9</v>
      </c>
      <c r="R148" s="68">
        <v>-3.52</v>
      </c>
      <c r="S148" s="68">
        <v>13.03</v>
      </c>
      <c r="T148" s="68">
        <v>11.83</v>
      </c>
      <c r="U148" s="68">
        <v>32.64</v>
      </c>
      <c r="V148" s="68">
        <v>6.07</v>
      </c>
      <c r="W148" s="68">
        <v>22.75</v>
      </c>
      <c r="X148" s="68">
        <v>35.28</v>
      </c>
    </row>
    <row r="149" spans="1:24" s="93" customFormat="1" ht="14.25" thickBot="1" x14ac:dyDescent="0.3">
      <c r="A149" s="225" t="s">
        <v>13</v>
      </c>
      <c r="B149" s="73">
        <v>9.8000000000000007</v>
      </c>
      <c r="C149" s="73">
        <v>19.46</v>
      </c>
      <c r="D149" s="73">
        <v>15.19</v>
      </c>
      <c r="E149" s="73">
        <v>17</v>
      </c>
      <c r="F149" s="73">
        <v>18.739999999999998</v>
      </c>
      <c r="G149" s="73">
        <v>25.39</v>
      </c>
      <c r="H149" s="73">
        <v>19.77</v>
      </c>
      <c r="I149" s="73">
        <v>18.489999999999998</v>
      </c>
      <c r="J149" s="73">
        <v>11.13</v>
      </c>
      <c r="K149" s="73">
        <v>12.79</v>
      </c>
      <c r="L149" s="73">
        <v>6.88</v>
      </c>
      <c r="M149" s="73">
        <v>18.53</v>
      </c>
      <c r="N149" s="73">
        <v>4.71</v>
      </c>
      <c r="O149" s="73">
        <v>11.72</v>
      </c>
      <c r="P149" s="73">
        <v>6.81</v>
      </c>
      <c r="Q149" s="73">
        <v>7.14</v>
      </c>
      <c r="R149" s="73">
        <v>-3.89</v>
      </c>
      <c r="S149" s="73">
        <v>10.48</v>
      </c>
      <c r="T149" s="73">
        <v>10.19</v>
      </c>
      <c r="U149" s="73">
        <v>28.94</v>
      </c>
      <c r="V149" s="73">
        <v>4.09</v>
      </c>
      <c r="W149" s="73">
        <v>15.63</v>
      </c>
      <c r="X149" s="73">
        <v>19.77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29.55</v>
      </c>
      <c r="C152" s="68">
        <v>33.380000000000003</v>
      </c>
      <c r="D152" s="68">
        <v>27.55</v>
      </c>
      <c r="E152" s="68">
        <v>23.92</v>
      </c>
      <c r="F152" s="68">
        <v>22.25</v>
      </c>
    </row>
    <row r="153" spans="1:24" s="93" customFormat="1" ht="14.25" thickBot="1" x14ac:dyDescent="0.3">
      <c r="A153" s="225" t="s">
        <v>19</v>
      </c>
      <c r="B153" s="274">
        <v>17.62</v>
      </c>
      <c r="C153" s="274">
        <v>23.09</v>
      </c>
      <c r="D153" s="274">
        <v>13.14</v>
      </c>
      <c r="E153" s="274">
        <v>6.73</v>
      </c>
      <c r="F153" s="274">
        <v>7.09</v>
      </c>
    </row>
    <row r="154" spans="1:24" s="93" customFormat="1" ht="14.25" thickBot="1" x14ac:dyDescent="0.3">
      <c r="A154" s="224" t="s">
        <v>41</v>
      </c>
      <c r="B154" s="68">
        <v>19.739999999999998</v>
      </c>
      <c r="C154" s="68">
        <v>25.74</v>
      </c>
      <c r="D154" s="68">
        <v>15.54</v>
      </c>
      <c r="E154" s="68">
        <v>10.42</v>
      </c>
      <c r="F154" s="68">
        <v>14.34</v>
      </c>
    </row>
    <row r="155" spans="1:24" s="93" customFormat="1" ht="14.25" thickBot="1" x14ac:dyDescent="0.3">
      <c r="A155" s="225" t="s">
        <v>13</v>
      </c>
      <c r="B155" s="73">
        <v>15.79</v>
      </c>
      <c r="C155" s="73">
        <v>20.81</v>
      </c>
      <c r="D155" s="73">
        <v>12.47</v>
      </c>
      <c r="E155" s="73">
        <v>7.79</v>
      </c>
      <c r="F155" s="73">
        <v>12.18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1.79</v>
      </c>
      <c r="C158" s="68">
        <v>4.6500000000000004</v>
      </c>
      <c r="D158" s="68">
        <v>2.89</v>
      </c>
      <c r="E158" s="68">
        <v>3.86</v>
      </c>
      <c r="F158" s="68">
        <v>3.81</v>
      </c>
      <c r="G158" s="68">
        <v>5.93</v>
      </c>
      <c r="H158" s="68">
        <v>3.78</v>
      </c>
      <c r="I158" s="68">
        <v>3.43</v>
      </c>
      <c r="J158" s="68">
        <v>1.56</v>
      </c>
      <c r="K158" s="68">
        <v>1.97</v>
      </c>
      <c r="L158" s="68">
        <v>0.92</v>
      </c>
      <c r="M158" s="68">
        <v>2.5</v>
      </c>
      <c r="N158" s="68">
        <v>0.54</v>
      </c>
      <c r="O158" s="68">
        <v>1.46</v>
      </c>
      <c r="P158" s="68">
        <v>0.68</v>
      </c>
      <c r="Q158" s="68">
        <v>1.19</v>
      </c>
      <c r="R158" s="68">
        <v>-0.08</v>
      </c>
      <c r="S158" s="68">
        <v>1.1000000000000001</v>
      </c>
      <c r="T158" s="68">
        <v>1</v>
      </c>
      <c r="U158" s="68">
        <v>2.5299999999999998</v>
      </c>
      <c r="V158" s="68">
        <v>0.34</v>
      </c>
      <c r="W158" s="68">
        <v>5.24</v>
      </c>
      <c r="X158" s="68">
        <v>4.72</v>
      </c>
    </row>
    <row r="159" spans="1:24" s="93" customFormat="1" ht="14.25" thickBot="1" x14ac:dyDescent="0.3">
      <c r="A159" s="225" t="s">
        <v>45</v>
      </c>
      <c r="B159" s="73">
        <v>2.5099999999999998</v>
      </c>
      <c r="C159" s="73">
        <v>6.86</v>
      </c>
      <c r="D159" s="73">
        <v>4.3499999999999996</v>
      </c>
      <c r="E159" s="73">
        <v>5.78</v>
      </c>
      <c r="F159" s="73">
        <v>6.13</v>
      </c>
      <c r="G159" s="73">
        <v>10.58</v>
      </c>
      <c r="H159" s="73">
        <v>6.98</v>
      </c>
      <c r="I159" s="73">
        <v>6.16</v>
      </c>
      <c r="J159" s="73">
        <v>2.5299999999999998</v>
      </c>
      <c r="K159" s="73">
        <v>3.38</v>
      </c>
      <c r="L159" s="73">
        <v>1.57</v>
      </c>
      <c r="M159" s="73">
        <v>4.46</v>
      </c>
      <c r="N159" s="73">
        <v>0.9</v>
      </c>
      <c r="O159" s="73">
        <v>2.72</v>
      </c>
      <c r="P159" s="73">
        <v>1.25</v>
      </c>
      <c r="Q159" s="73">
        <v>1.44</v>
      </c>
      <c r="R159" s="73">
        <v>-0.65</v>
      </c>
      <c r="S159" s="73">
        <v>2.4300000000000002</v>
      </c>
      <c r="T159" s="73">
        <v>2.31</v>
      </c>
      <c r="U159" s="73">
        <v>6.14</v>
      </c>
      <c r="V159" s="73">
        <v>0.77</v>
      </c>
      <c r="W159" s="73">
        <v>12.46</v>
      </c>
      <c r="X159" s="73">
        <v>10.029999999999999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15.79</v>
      </c>
      <c r="C162" s="68">
        <v>20.81</v>
      </c>
      <c r="D162" s="68">
        <v>12.47</v>
      </c>
      <c r="E162" s="68">
        <v>7.79</v>
      </c>
      <c r="F162" s="68">
        <v>12.18</v>
      </c>
    </row>
    <row r="163" spans="1:72" s="93" customFormat="1" ht="14.25" thickBot="1" x14ac:dyDescent="0.3">
      <c r="A163" s="225" t="s">
        <v>18</v>
      </c>
      <c r="B163" s="274">
        <v>0.75</v>
      </c>
      <c r="C163" s="274">
        <v>0.73</v>
      </c>
      <c r="D163" s="274">
        <v>0.5</v>
      </c>
      <c r="E163" s="274">
        <v>0.36</v>
      </c>
      <c r="F163" s="274">
        <v>0.32</v>
      </c>
    </row>
    <row r="164" spans="1:72" s="93" customFormat="1" ht="14.25" thickBot="1" x14ac:dyDescent="0.3">
      <c r="A164" s="224" t="s">
        <v>15</v>
      </c>
      <c r="B164" s="68">
        <v>1.56</v>
      </c>
      <c r="C164" s="68">
        <v>1.72</v>
      </c>
      <c r="D164" s="68">
        <v>1.87</v>
      </c>
      <c r="E164" s="68">
        <v>2.23</v>
      </c>
      <c r="F164" s="68">
        <v>2.54</v>
      </c>
    </row>
    <row r="165" spans="1:72" s="93" customFormat="1" ht="14.25" thickBot="1" x14ac:dyDescent="0.3">
      <c r="A165" s="225" t="s">
        <v>45</v>
      </c>
      <c r="B165" s="73">
        <v>19.059999999999999</v>
      </c>
      <c r="C165" s="73">
        <v>29.33</v>
      </c>
      <c r="D165" s="73">
        <v>11.59</v>
      </c>
      <c r="E165" s="73">
        <v>6.23</v>
      </c>
      <c r="F165" s="73">
        <v>9.8800000000000008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34.619999999999997</v>
      </c>
      <c r="C168" s="68">
        <v>28.21</v>
      </c>
      <c r="D168" s="68">
        <v>32.369999999999997</v>
      </c>
      <c r="E168" s="68">
        <v>26.95</v>
      </c>
      <c r="F168" s="68">
        <v>33.58</v>
      </c>
      <c r="G168" s="68">
        <v>30.93</v>
      </c>
      <c r="H168" s="68">
        <v>39.130000000000003</v>
      </c>
      <c r="I168" s="68">
        <v>37.82</v>
      </c>
      <c r="J168" s="68">
        <v>46.39</v>
      </c>
      <c r="K168" s="68">
        <v>36.14</v>
      </c>
      <c r="L168" s="68">
        <v>38.14</v>
      </c>
      <c r="M168" s="68">
        <v>32.369999999999997</v>
      </c>
      <c r="N168" s="68">
        <v>39.299999999999997</v>
      </c>
      <c r="O168" s="68">
        <v>33.71</v>
      </c>
      <c r="P168" s="68">
        <v>41.86</v>
      </c>
      <c r="Q168" s="68">
        <v>36.14</v>
      </c>
      <c r="R168" s="68">
        <v>45.23</v>
      </c>
      <c r="S168" s="68">
        <v>37.340000000000003</v>
      </c>
      <c r="T168" s="68">
        <v>41.47</v>
      </c>
      <c r="U168" s="68">
        <v>40.54</v>
      </c>
      <c r="V168" s="68">
        <v>42.45</v>
      </c>
      <c r="W168" s="68">
        <v>9.9600000000000009</v>
      </c>
      <c r="X168" s="68">
        <v>14.85</v>
      </c>
    </row>
    <row r="169" spans="1:72" s="93" customFormat="1" ht="14.25" thickBot="1" x14ac:dyDescent="0.3">
      <c r="A169" s="225" t="s">
        <v>17</v>
      </c>
      <c r="B169" s="274" t="s">
        <v>43</v>
      </c>
      <c r="C169" s="274" t="s">
        <v>43</v>
      </c>
      <c r="D169" s="274" t="s">
        <v>43</v>
      </c>
      <c r="E169" s="274">
        <v>12.41</v>
      </c>
      <c r="F169" s="274">
        <v>24.79</v>
      </c>
      <c r="G169" s="274">
        <v>87.38</v>
      </c>
      <c r="H169" s="274">
        <v>176.47</v>
      </c>
      <c r="I169" s="274">
        <v>173.08</v>
      </c>
      <c r="J169" s="274">
        <v>236.84</v>
      </c>
      <c r="K169" s="274">
        <v>225</v>
      </c>
      <c r="L169" s="274">
        <v>281.25</v>
      </c>
      <c r="M169" s="274">
        <v>300</v>
      </c>
      <c r="N169" s="274">
        <v>360</v>
      </c>
      <c r="O169" s="274">
        <v>333.33</v>
      </c>
      <c r="P169" s="274">
        <v>409.09</v>
      </c>
      <c r="Q169" s="274">
        <v>409.09</v>
      </c>
      <c r="R169" s="274">
        <v>450</v>
      </c>
      <c r="S169" s="274">
        <v>409.09</v>
      </c>
      <c r="T169" s="274">
        <v>428.57</v>
      </c>
      <c r="U169" s="274">
        <v>450</v>
      </c>
      <c r="V169" s="274">
        <v>529.41</v>
      </c>
      <c r="W169" s="274">
        <v>111.11</v>
      </c>
      <c r="X169" s="274">
        <v>191.49</v>
      </c>
    </row>
    <row r="170" spans="1:72" s="93" customFormat="1" ht="14.25" thickBot="1" x14ac:dyDescent="0.3">
      <c r="A170" s="224" t="s">
        <v>42</v>
      </c>
      <c r="B170" s="72">
        <v>34.619999999999997</v>
      </c>
      <c r="C170" s="72">
        <v>28.21</v>
      </c>
      <c r="D170" s="72">
        <v>32.369999999999997</v>
      </c>
      <c r="E170" s="72">
        <v>39.36</v>
      </c>
      <c r="F170" s="72">
        <v>58.38</v>
      </c>
      <c r="G170" s="72">
        <v>118.31</v>
      </c>
      <c r="H170" s="72">
        <v>215.6</v>
      </c>
      <c r="I170" s="72">
        <v>210.89</v>
      </c>
      <c r="J170" s="72">
        <v>283.23</v>
      </c>
      <c r="K170" s="72">
        <v>261.14</v>
      </c>
      <c r="L170" s="72">
        <v>319.39</v>
      </c>
      <c r="M170" s="72">
        <v>332.37</v>
      </c>
      <c r="N170" s="72">
        <v>399.3</v>
      </c>
      <c r="O170" s="72">
        <v>367.04</v>
      </c>
      <c r="P170" s="72">
        <v>450.95</v>
      </c>
      <c r="Q170" s="72">
        <v>445.24</v>
      </c>
      <c r="R170" s="72">
        <v>495.23</v>
      </c>
      <c r="S170" s="72">
        <v>446.44</v>
      </c>
      <c r="T170" s="72">
        <v>470.05</v>
      </c>
      <c r="U170" s="72">
        <v>490.54</v>
      </c>
      <c r="V170" s="72">
        <v>571.86</v>
      </c>
      <c r="W170" s="72">
        <v>121.07</v>
      </c>
      <c r="X170" s="72">
        <v>206.34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110.78</v>
      </c>
      <c r="C173" s="72">
        <v>-6.44</v>
      </c>
      <c r="D173" s="72">
        <v>-55.8</v>
      </c>
      <c r="E173" s="72">
        <v>281.05</v>
      </c>
      <c r="F173" s="72">
        <v>323.12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9.93</v>
      </c>
      <c r="C176" s="72">
        <v>11.16</v>
      </c>
      <c r="D176" s="72">
        <v>12.11</v>
      </c>
      <c r="E176" s="72">
        <v>15.06</v>
      </c>
      <c r="F176" s="72">
        <v>16.239999999999998</v>
      </c>
      <c r="G176" s="72">
        <v>15.46</v>
      </c>
      <c r="H176" s="72">
        <v>15.21</v>
      </c>
      <c r="I176" s="72">
        <v>13.87</v>
      </c>
      <c r="J176" s="72">
        <v>14.35</v>
      </c>
      <c r="K176" s="72">
        <v>13.95</v>
      </c>
      <c r="L176" s="72">
        <v>13.76</v>
      </c>
      <c r="M176" s="72">
        <v>14.42</v>
      </c>
      <c r="N176" s="72">
        <v>15.59</v>
      </c>
      <c r="O176" s="72">
        <v>16.649999999999999</v>
      </c>
      <c r="P176" s="72">
        <v>16.399999999999999</v>
      </c>
      <c r="Q176" s="72">
        <v>16.75</v>
      </c>
      <c r="R176" s="72">
        <v>15.51</v>
      </c>
      <c r="S176" s="72">
        <v>15.46</v>
      </c>
      <c r="T176" s="72">
        <v>14.49</v>
      </c>
      <c r="U176" s="72">
        <v>12.37</v>
      </c>
      <c r="V176" s="72">
        <v>12.49</v>
      </c>
      <c r="W176" s="72">
        <v>13.25</v>
      </c>
      <c r="X176" s="72">
        <v>11.59</v>
      </c>
      <c r="Y176" s="72">
        <v>11.59</v>
      </c>
      <c r="Z176" s="72">
        <v>11.23</v>
      </c>
      <c r="AA176" s="72">
        <v>10.83</v>
      </c>
      <c r="AB176" s="72">
        <v>10.3</v>
      </c>
      <c r="AC176" s="72">
        <v>11.11</v>
      </c>
      <c r="AD176" s="72">
        <v>11.52</v>
      </c>
      <c r="AE176" s="72">
        <v>11.72</v>
      </c>
      <c r="AF176" s="72">
        <v>8.7799999999999994</v>
      </c>
      <c r="AG176" s="72">
        <v>13.91</v>
      </c>
      <c r="AH176" s="72">
        <v>13.94</v>
      </c>
      <c r="AI176" s="72">
        <v>13.03</v>
      </c>
      <c r="AJ176" s="72">
        <v>17.600000000000001</v>
      </c>
      <c r="AK176" s="72">
        <v>17.940000000000001</v>
      </c>
      <c r="AL176" s="72">
        <v>17.14</v>
      </c>
      <c r="AM176" s="72">
        <v>17.399999999999999</v>
      </c>
      <c r="AN176" s="72">
        <v>19.84</v>
      </c>
      <c r="AO176" s="72">
        <v>19.760000000000002</v>
      </c>
      <c r="AP176" s="72">
        <v>22.06</v>
      </c>
      <c r="AQ176" s="72">
        <v>20.51</v>
      </c>
      <c r="AR176" s="72">
        <v>18.88</v>
      </c>
      <c r="AS176" s="72">
        <v>22.06</v>
      </c>
      <c r="AT176" s="72">
        <v>21.23</v>
      </c>
      <c r="AU176" s="72">
        <v>21.26</v>
      </c>
      <c r="AV176" s="72">
        <v>21.97</v>
      </c>
      <c r="AW176" s="72">
        <v>21.21</v>
      </c>
      <c r="AX176" s="72">
        <v>20.5</v>
      </c>
      <c r="AY176" s="72">
        <v>20.52</v>
      </c>
      <c r="AZ176" s="72">
        <v>30.35</v>
      </c>
      <c r="BA176" s="72">
        <v>30.53</v>
      </c>
      <c r="BB176" s="72">
        <v>41.84</v>
      </c>
      <c r="BC176" s="72">
        <v>44.21</v>
      </c>
      <c r="BD176" s="72">
        <v>45.81</v>
      </c>
      <c r="BE176" s="72">
        <v>45.83</v>
      </c>
      <c r="BF176" s="72">
        <v>45.63</v>
      </c>
      <c r="BG176" s="72">
        <v>46.79</v>
      </c>
      <c r="BH176" s="72">
        <v>39.28</v>
      </c>
      <c r="BI176" s="72">
        <v>42.47</v>
      </c>
      <c r="BJ176" s="72">
        <v>42.37</v>
      </c>
      <c r="BK176" s="72">
        <v>43.72</v>
      </c>
      <c r="BL176" s="72">
        <v>24.01</v>
      </c>
      <c r="BM176" s="72">
        <v>23.6</v>
      </c>
      <c r="BN176" s="72">
        <v>20.41</v>
      </c>
      <c r="BO176" s="72">
        <v>19.91</v>
      </c>
      <c r="BP176" s="72">
        <v>19</v>
      </c>
      <c r="BQ176" s="72">
        <v>10.220000000000001</v>
      </c>
      <c r="BR176" s="72">
        <v>10.48</v>
      </c>
      <c r="BS176" s="72">
        <v>11.01</v>
      </c>
      <c r="BT176" s="72">
        <v>8.52</v>
      </c>
    </row>
  </sheetData>
  <phoneticPr fontId="3" type="noConversion"/>
  <conditionalFormatting sqref="E4">
    <cfRule type="cellIs" dxfId="299" priority="103" operator="greaterThan">
      <formula>0.2</formula>
    </cfRule>
    <cfRule type="cellIs" dxfId="298" priority="104" operator="greaterThan">
      <formula>0.1</formula>
    </cfRule>
  </conditionalFormatting>
  <conditionalFormatting sqref="B6">
    <cfRule type="iconSet" priority="102">
      <iconSet>
        <cfvo type="percent" val="0"/>
        <cfvo type="num" val="40"/>
        <cfvo type="num" val="70"/>
      </iconSet>
    </cfRule>
  </conditionalFormatting>
  <conditionalFormatting sqref="G59:M59">
    <cfRule type="cellIs" dxfId="297" priority="101" operator="lessThanOrEqual">
      <formula>0</formula>
    </cfRule>
  </conditionalFormatting>
  <conditionalFormatting sqref="B30">
    <cfRule type="colorScale" priority="100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9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8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96" priority="97" operator="greaterThan">
      <formula>$B$19</formula>
    </cfRule>
  </conditionalFormatting>
  <conditionalFormatting sqref="D33:D34">
    <cfRule type="cellIs" dxfId="295" priority="96" operator="lessThan">
      <formula>1</formula>
    </cfRule>
  </conditionalFormatting>
  <conditionalFormatting sqref="B3">
    <cfRule type="iconSet" priority="93">
      <iconSet>
        <cfvo type="percent" val="0"/>
        <cfvo type="num" val="70"/>
        <cfvo type="num" val="85"/>
      </iconSet>
    </cfRule>
  </conditionalFormatting>
  <conditionalFormatting sqref="B5">
    <cfRule type="iconSet" priority="94">
      <iconSet>
        <cfvo type="percent" val="0"/>
        <cfvo type="num" val="80"/>
        <cfvo type="num" val="90"/>
      </iconSet>
    </cfRule>
  </conditionalFormatting>
  <conditionalFormatting sqref="B4">
    <cfRule type="iconSet" priority="95">
      <iconSet>
        <cfvo type="percent" val="0"/>
        <cfvo type="num" val="70"/>
        <cfvo type="num" val="85"/>
      </iconSet>
    </cfRule>
  </conditionalFormatting>
  <conditionalFormatting sqref="G62">
    <cfRule type="cellIs" dxfId="294" priority="91" operator="lessThan">
      <formula>$H$62</formula>
    </cfRule>
    <cfRule type="cellIs" dxfId="293" priority="92" operator="greaterThan">
      <formula>$H$62</formula>
    </cfRule>
  </conditionalFormatting>
  <conditionalFormatting sqref="J62">
    <cfRule type="cellIs" dxfId="292" priority="89" operator="lessThan">
      <formula>$K$62</formula>
    </cfRule>
    <cfRule type="cellIs" dxfId="291" priority="90" operator="greaterThan">
      <formula>$K$62</formula>
    </cfRule>
  </conditionalFormatting>
  <conditionalFormatting sqref="M62">
    <cfRule type="cellIs" dxfId="290" priority="87" operator="lessThan">
      <formula>$N$62</formula>
    </cfRule>
    <cfRule type="cellIs" dxfId="289" priority="88" operator="greaterThan">
      <formula>$N$62</formula>
    </cfRule>
  </conditionalFormatting>
  <conditionalFormatting sqref="B44:E44">
    <cfRule type="cellIs" dxfId="288" priority="85" operator="greaterThan">
      <formula>0</formula>
    </cfRule>
    <cfRule type="cellIs" dxfId="287" priority="86" operator="lessThan">
      <formula>0</formula>
    </cfRule>
  </conditionalFormatting>
  <conditionalFormatting sqref="F72">
    <cfRule type="cellIs" dxfId="286" priority="84" operator="lessThan">
      <formula>$E$72*90%</formula>
    </cfRule>
  </conditionalFormatting>
  <conditionalFormatting sqref="F73">
    <cfRule type="cellIs" dxfId="285" priority="83" operator="lessThan">
      <formula>$E$73*90%</formula>
    </cfRule>
  </conditionalFormatting>
  <conditionalFormatting sqref="F74">
    <cfRule type="cellIs" dxfId="284" priority="82" operator="lessThan">
      <formula>$E$74*90%</formula>
    </cfRule>
  </conditionalFormatting>
  <conditionalFormatting sqref="F75">
    <cfRule type="cellIs" dxfId="283" priority="81" operator="lessThan">
      <formula>$E$75*90%</formula>
    </cfRule>
  </conditionalFormatting>
  <conditionalFormatting sqref="H44:K44">
    <cfRule type="cellIs" dxfId="282" priority="79" operator="greaterThan">
      <formula>0</formula>
    </cfRule>
    <cfRule type="cellIs" dxfId="281" priority="80" operator="lessThan">
      <formula>0</formula>
    </cfRule>
  </conditionalFormatting>
  <conditionalFormatting sqref="H51:K51">
    <cfRule type="cellIs" dxfId="280" priority="77" operator="greaterThan">
      <formula>0</formula>
    </cfRule>
    <cfRule type="cellIs" dxfId="279" priority="78" operator="lessThan">
      <formula>0</formula>
    </cfRule>
  </conditionalFormatting>
  <conditionalFormatting sqref="B51:E51">
    <cfRule type="cellIs" dxfId="278" priority="75" operator="greaterThan">
      <formula>0</formula>
    </cfRule>
    <cfRule type="cellIs" dxfId="277" priority="76" operator="lessThan">
      <formula>0</formula>
    </cfRule>
  </conditionalFormatting>
  <conditionalFormatting sqref="I20">
    <cfRule type="colorScale" priority="74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3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1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0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9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8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76" priority="60" operator="lessThan">
      <formula>0</formula>
    </cfRule>
  </conditionalFormatting>
  <conditionalFormatting sqref="D19:D20 D22">
    <cfRule type="colorScale" priority="67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6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5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4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75" priority="63" operator="lessThan">
      <formula>0</formula>
    </cfRule>
  </conditionalFormatting>
  <conditionalFormatting sqref="D21">
    <cfRule type="colorScale" priority="62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1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274" priority="58" operator="lessThan">
      <formula>0</formula>
    </cfRule>
  </conditionalFormatting>
  <conditionalFormatting sqref="A25 E25 C25">
    <cfRule type="cellIs" dxfId="273" priority="59" operator="lessThan">
      <formula>0</formula>
    </cfRule>
  </conditionalFormatting>
  <conditionalFormatting sqref="F25">
    <cfRule type="cellIs" dxfId="272" priority="57" operator="lessThan">
      <formula>0</formula>
    </cfRule>
  </conditionalFormatting>
  <conditionalFormatting sqref="E1">
    <cfRule type="containsText" dxfId="271" priority="56" operator="containsText" text="本季業外損益/平均=-">
      <formula>NOT(ISERROR(SEARCH("本季業外損益/平均=-",E1)))</formula>
    </cfRule>
  </conditionalFormatting>
  <conditionalFormatting sqref="M65">
    <cfRule type="cellIs" dxfId="270" priority="55" operator="lessThan">
      <formula>$L$65*90%</formula>
    </cfRule>
  </conditionalFormatting>
  <conditionalFormatting sqref="M66">
    <cfRule type="cellIs" dxfId="269" priority="54" operator="lessThan">
      <formula>$L$66*90%</formula>
    </cfRule>
  </conditionalFormatting>
  <conditionalFormatting sqref="M67">
    <cfRule type="cellIs" dxfId="268" priority="53" operator="lessThan">
      <formula>$L$67*90%</formula>
    </cfRule>
  </conditionalFormatting>
  <conditionalFormatting sqref="M68">
    <cfRule type="cellIs" dxfId="267" priority="52" operator="lessThan">
      <formula>$L$68*90%</formula>
    </cfRule>
  </conditionalFormatting>
  <conditionalFormatting sqref="B60">
    <cfRule type="cellIs" dxfId="266" priority="51" operator="lessThan">
      <formula>0</formula>
    </cfRule>
  </conditionalFormatting>
  <conditionalFormatting sqref="B59:F59">
    <cfRule type="cellIs" dxfId="265" priority="50" operator="lessThanOrEqual">
      <formula>0</formula>
    </cfRule>
  </conditionalFormatting>
  <conditionalFormatting sqref="D62">
    <cfRule type="cellIs" dxfId="264" priority="48" operator="lessThan">
      <formula>$E$62</formula>
    </cfRule>
    <cfRule type="cellIs" dxfId="263" priority="49" operator="greaterThan">
      <formula>$E$62</formula>
    </cfRule>
  </conditionalFormatting>
  <conditionalFormatting sqref="F69">
    <cfRule type="cellIs" dxfId="262" priority="46" operator="lessThan">
      <formula>0</formula>
    </cfRule>
  </conditionalFormatting>
  <conditionalFormatting sqref="B65:E67 B69:E69 B68:D68">
    <cfRule type="cellIs" dxfId="261" priority="47" operator="lessThan">
      <formula>0</formula>
    </cfRule>
  </conditionalFormatting>
  <conditionalFormatting sqref="E68">
    <cfRule type="cellIs" dxfId="260" priority="45" operator="lessThan">
      <formula>0</formula>
    </cfRule>
  </conditionalFormatting>
  <conditionalFormatting sqref="F65:F68">
    <cfRule type="cellIs" dxfId="259" priority="44" operator="lessThan">
      <formula>0</formula>
    </cfRule>
  </conditionalFormatting>
  <conditionalFormatting sqref="F65:F68">
    <cfRule type="cellIs" dxfId="258" priority="43" operator="lessThan">
      <formula>$E$65*0.9</formula>
    </cfRule>
  </conditionalFormatting>
  <conditionalFormatting sqref="F66">
    <cfRule type="cellIs" dxfId="257" priority="42" operator="lessThan">
      <formula>$E$66*0.9</formula>
    </cfRule>
  </conditionalFormatting>
  <conditionalFormatting sqref="F67:F68">
    <cfRule type="cellIs" dxfId="256" priority="41" operator="lessThan">
      <formula>$E$67*0.9</formula>
    </cfRule>
  </conditionalFormatting>
  <conditionalFormatting sqref="F68">
    <cfRule type="cellIs" dxfId="255" priority="40" operator="lessThan">
      <formula>$E$68*0.9</formula>
    </cfRule>
  </conditionalFormatting>
  <conditionalFormatting sqref="B13:F13">
    <cfRule type="cellIs" dxfId="254" priority="29" operator="greaterThan">
      <formula>$I$16</formula>
    </cfRule>
    <cfRule type="cellIs" dxfId="253" priority="30" operator="lessThanOrEqual">
      <formula>$I$16</formula>
    </cfRule>
  </conditionalFormatting>
  <conditionalFormatting sqref="B10:F10">
    <cfRule type="cellIs" dxfId="252" priority="31" operator="greaterThan">
      <formula>15</formula>
    </cfRule>
    <cfRule type="cellIs" dxfId="251" priority="38" operator="lessThan">
      <formula>$I$9</formula>
    </cfRule>
    <cfRule type="cellIs" dxfId="250" priority="39" operator="greaterThan">
      <formula>$I$9</formula>
    </cfRule>
  </conditionalFormatting>
  <conditionalFormatting sqref="B16:F16">
    <cfRule type="cellIs" dxfId="249" priority="36" operator="greaterThan">
      <formula>$I$16</formula>
    </cfRule>
    <cfRule type="cellIs" dxfId="248" priority="37" operator="lessThanOrEqual">
      <formula>$I$16</formula>
    </cfRule>
  </conditionalFormatting>
  <conditionalFormatting sqref="B15:F15">
    <cfRule type="cellIs" dxfId="247" priority="34" operator="lessThanOrEqual">
      <formula>$I$16</formula>
    </cfRule>
    <cfRule type="cellIs" dxfId="246" priority="35" operator="greaterThan">
      <formula>$I$16</formula>
    </cfRule>
  </conditionalFormatting>
  <conditionalFormatting sqref="B14:F14">
    <cfRule type="cellIs" dxfId="245" priority="32" operator="greaterThan">
      <formula>$I$16</formula>
    </cfRule>
    <cfRule type="cellIs" dxfId="244" priority="33" operator="lessThanOrEqual">
      <formula>$I$16</formula>
    </cfRule>
  </conditionalFormatting>
  <conditionalFormatting sqref="K6">
    <cfRule type="containsText" dxfId="243" priority="27" operator="containsText" text="衰退">
      <formula>NOT(ISERROR(SEARCH("衰退",K6)))</formula>
    </cfRule>
    <cfRule type="containsText" dxfId="242" priority="28" operator="containsText" text="成長">
      <formula>NOT(ISERROR(SEARCH("成長",K6)))</formula>
    </cfRule>
  </conditionalFormatting>
  <conditionalFormatting sqref="I4:K4">
    <cfRule type="cellIs" dxfId="241" priority="25" operator="lessThan">
      <formula>0</formula>
    </cfRule>
    <cfRule type="cellIs" dxfId="240" priority="26" operator="greaterThan">
      <formula>0</formula>
    </cfRule>
  </conditionalFormatting>
  <conditionalFormatting sqref="I1">
    <cfRule type="colorScale" priority="24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239" priority="22" operator="lessThanOrEqual">
      <formula>$I$16</formula>
    </cfRule>
    <cfRule type="cellIs" dxfId="238" priority="23" operator="greaterThan">
      <formula>$I$16</formula>
    </cfRule>
  </conditionalFormatting>
  <conditionalFormatting sqref="I6">
    <cfRule type="containsText" dxfId="237" priority="20" operator="containsText" text="衰退">
      <formula>NOT(ISERROR(SEARCH("衰退",I6)))</formula>
    </cfRule>
    <cfRule type="containsText" dxfId="236" priority="21" operator="containsText" text="成長">
      <formula>NOT(ISERROR(SEARCH("成長",I6)))</formula>
    </cfRule>
  </conditionalFormatting>
  <conditionalFormatting sqref="M9">
    <cfRule type="cellIs" dxfId="235" priority="19" operator="lessThan">
      <formula>$I$9</formula>
    </cfRule>
  </conditionalFormatting>
  <conditionalFormatting sqref="M10">
    <cfRule type="cellIs" dxfId="234" priority="18" operator="greaterThan">
      <formula>$I$9</formula>
    </cfRule>
  </conditionalFormatting>
  <conditionalFormatting sqref="M11">
    <cfRule type="cellIs" dxfId="233" priority="17" operator="greaterThan">
      <formula>3</formula>
    </cfRule>
  </conditionalFormatting>
  <conditionalFormatting sqref="I11">
    <cfRule type="colorScale" priority="16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232" priority="14" operator="lessThan">
      <formula>0</formula>
    </cfRule>
    <cfRule type="cellIs" dxfId="231" priority="15" operator="greaterThan">
      <formula>0.5</formula>
    </cfRule>
  </conditionalFormatting>
  <conditionalFormatting sqref="N14">
    <cfRule type="cellIs" dxfId="230" priority="13" operator="lessThan">
      <formula>0.8</formula>
    </cfRule>
  </conditionalFormatting>
  <conditionalFormatting sqref="I9">
    <cfRule type="colorScale" priority="12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8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229" priority="10" operator="lessThan">
      <formula>0.1</formula>
    </cfRule>
  </conditionalFormatting>
  <conditionalFormatting sqref="I14">
    <cfRule type="cellIs" dxfId="228" priority="11" operator="greaterThan">
      <formula>0.12</formula>
    </cfRule>
  </conditionalFormatting>
  <conditionalFormatting sqref="J16">
    <cfRule type="colorScale" priority="9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27" priority="7" operator="greaterThan">
      <formula>1</formula>
    </cfRule>
  </conditionalFormatting>
  <conditionalFormatting sqref="I15">
    <cfRule type="colorScale" priority="6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226" priority="1" operator="lessThan">
      <formula>$N$5*0.9</formula>
    </cfRule>
    <cfRule type="cellIs" dxfId="225" priority="2" operator="greaterThan">
      <formula>$N$5*1.1</formula>
    </cfRule>
  </conditionalFormatting>
  <hyperlinks>
    <hyperlink ref="L1" location="儀表板!A1" display="(回首頁)" xr:uid="{00000000-0004-0000-6400-000000000000}"/>
  </hyperlink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11.76 ~ 21.13</v>
      </c>
      <c r="L1" s="83" t="s">
        <v>176</v>
      </c>
      <c r="M1" s="84" t="str">
        <f ca="1">VLOOKUP(_xlfn.NUMBERVALUE(N1),儀表板!A:B,2,FALSE)</f>
        <v>茂順</v>
      </c>
      <c r="N1" s="85" t="str">
        <f ca="1">MID(CELL("filename",L1),FIND("]",CELL("filename",L1))+1,255)</f>
        <v>9942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0.24310177013817416</v>
      </c>
    </row>
    <row r="3" spans="1:15" s="93" customFormat="1" x14ac:dyDescent="0.25">
      <c r="A3" s="81" t="s">
        <v>179</v>
      </c>
      <c r="B3" s="94">
        <f>SUM(F19:F22,F24:F27,J19)</f>
        <v>81.867196941669903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88.081577012101562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93.102099799948633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96.883379621175223</v>
      </c>
      <c r="L3" s="100"/>
      <c r="M3" s="79" t="s">
        <v>385</v>
      </c>
      <c r="N3" s="92">
        <f>(F69-E69)/E69</f>
        <v>7.6274334120640913E-2</v>
      </c>
    </row>
    <row r="4" spans="1:15" s="93" customFormat="1" x14ac:dyDescent="0.25">
      <c r="A4" s="81" t="s">
        <v>182</v>
      </c>
      <c r="B4" s="96">
        <f>SUM(G36:G40)*2</f>
        <v>86</v>
      </c>
      <c r="C4" s="101"/>
      <c r="D4" s="102">
        <f>F4*(1+F141/10)</f>
        <v>8.32</v>
      </c>
      <c r="E4" s="82">
        <f>(D4-F4)/F4</f>
        <v>0</v>
      </c>
      <c r="F4" s="103">
        <v>8.32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6.3177303412881622</v>
      </c>
    </row>
    <row r="5" spans="1:15" s="93" customFormat="1" x14ac:dyDescent="0.25">
      <c r="A5" s="81" t="s">
        <v>184</v>
      </c>
      <c r="B5" s="107">
        <f>SUM(F30:F34)*2</f>
        <v>98.372053150450057</v>
      </c>
      <c r="C5" s="87"/>
      <c r="D5" s="87"/>
      <c r="E5" s="87"/>
      <c r="F5" s="86"/>
      <c r="G5" s="88"/>
      <c r="M5" s="79" t="s">
        <v>386</v>
      </c>
      <c r="N5" s="152">
        <f>D62</f>
        <v>6.38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有1.6年成長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連2季成長</v>
      </c>
      <c r="L6" s="112"/>
      <c r="M6" s="79" t="s">
        <v>190</v>
      </c>
      <c r="N6" s="152">
        <f>A53</f>
        <v>6.8190948628558994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22.89</v>
      </c>
      <c r="N9" s="129"/>
    </row>
    <row r="10" spans="1:15" s="93" customFormat="1" x14ac:dyDescent="0.25">
      <c r="A10" s="123" t="s">
        <v>194</v>
      </c>
      <c r="B10" s="126">
        <f>PERCENTILE(176:176,B9)</f>
        <v>11.71</v>
      </c>
      <c r="C10" s="126">
        <f>PERCENTILE(176:176,C9)</f>
        <v>13.86</v>
      </c>
      <c r="D10" s="126">
        <f>PERCENTILE(176:176,D9)</f>
        <v>14.65</v>
      </c>
      <c r="E10" s="126">
        <f>PERCENTILE(176:176,E9)</f>
        <v>15.245000000000001</v>
      </c>
      <c r="F10" s="126">
        <f>PERCENTILE(176:176,F9)</f>
        <v>16.579999999999998</v>
      </c>
      <c r="G10" s="95"/>
      <c r="H10" s="135"/>
      <c r="I10" s="135"/>
      <c r="J10" s="135"/>
      <c r="K10" s="135"/>
      <c r="L10" s="136" t="s">
        <v>374</v>
      </c>
      <c r="M10" s="130">
        <f>MIN(176:176)</f>
        <v>8.7200000000000006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33.799999999999997</v>
      </c>
      <c r="L11" s="272" t="s">
        <v>193</v>
      </c>
      <c r="M11" s="128">
        <f>STDEV(176:176)</f>
        <v>2.9733826166692059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59.523809523809533</v>
      </c>
      <c r="C13" s="141">
        <f>$B$34/5.88%</f>
        <v>72.278911564625858</v>
      </c>
      <c r="D13" s="141">
        <f>$B$34/5%</f>
        <v>85</v>
      </c>
      <c r="E13" s="141">
        <f>$B$34/4.35%</f>
        <v>97.701149425287369</v>
      </c>
      <c r="F13" s="141">
        <f>$B$34/3.85%</f>
        <v>110.3896103896104</v>
      </c>
      <c r="G13" s="138" t="str">
        <f>"$"&amp;ROUND(B34,2)&amp;"/"&amp;IF(STDEV(C140:F140)/AVERAGE(C140:F140)&lt;15%,"高",IF(STDEV(C140:F140)/AVERAGE(C140:F140)&lt;30%,"中","低"))</f>
        <v>$4.25/高</v>
      </c>
      <c r="H13" s="142" t="s">
        <v>199</v>
      </c>
      <c r="I13" s="143">
        <f>MAX(0,1-J15)</f>
        <v>0.31856899488926749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68.298575000000014</v>
      </c>
      <c r="C14" s="141">
        <f>$B$33*C10</f>
        <v>80.838450000000009</v>
      </c>
      <c r="D14" s="141">
        <f>$B$33*D10</f>
        <v>85.446125000000009</v>
      </c>
      <c r="E14" s="141">
        <f>$B$33*E10</f>
        <v>88.916462500000009</v>
      </c>
      <c r="F14" s="141">
        <f>$B$33*F10</f>
        <v>96.702849999999998</v>
      </c>
      <c r="G14" s="138" t="str">
        <f>"$"&amp;ROUND(B33,2)&amp;"/"&amp;IF(STDEV(B69:E69)/AVERAGE(B69:E69)&lt;15%,"高",IF(STDEV(B69:E69)/AVERAGE(B69:E69)&lt;30%,"中","低"))</f>
        <v>$5.83/高</v>
      </c>
      <c r="H14" s="142" t="s">
        <v>203</v>
      </c>
      <c r="I14" s="145">
        <f>G62/100*I13</f>
        <v>6.1961669505962526E-2</v>
      </c>
      <c r="J14" s="76" t="s">
        <v>204</v>
      </c>
      <c r="K14" s="146"/>
      <c r="L14" s="147">
        <f>(HLOOKUP($C$1,$105:$106,2,FALSE)-HLOOKUP($C$1,$117:$127,9,FALSE))/(HLOOKUP($C$1,$117:$128,12,FALSE)/K11)</f>
        <v>-0.50584906512140926</v>
      </c>
      <c r="M14" s="148">
        <f>E135/E69</f>
        <v>0.63032367972742764</v>
      </c>
      <c r="N14" s="149">
        <f>F173/100</f>
        <v>1.2941</v>
      </c>
    </row>
    <row r="15" spans="1:15" s="93" customFormat="1" x14ac:dyDescent="0.25">
      <c r="A15" s="140" t="s">
        <v>375</v>
      </c>
      <c r="B15" s="141">
        <f>$D$62*B10</f>
        <v>74.709800000000001</v>
      </c>
      <c r="C15" s="141">
        <f>$D$62*C10</f>
        <v>88.4268</v>
      </c>
      <c r="D15" s="141">
        <f>$D$62*D10</f>
        <v>93.466999999999999</v>
      </c>
      <c r="E15" s="141">
        <f>$D$62*E10</f>
        <v>97.263100000000009</v>
      </c>
      <c r="F15" s="141">
        <f>$D$62*F10</f>
        <v>105.78039999999999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0.68143100511073251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73.980622296484384</v>
      </c>
      <c r="C16" s="141">
        <f>$F$69*C10</f>
        <v>87.563742530253919</v>
      </c>
      <c r="D16" s="141">
        <f>$F$69*D10</f>
        <v>92.554749499871576</v>
      </c>
      <c r="E16" s="141">
        <f>$F$69*E10</f>
        <v>96.313799052938037</v>
      </c>
      <c r="F16" s="141">
        <f>$F$69*F10</f>
        <v>104.74796905855771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124</v>
      </c>
      <c r="J17" s="92">
        <f ca="1">IF(I17&lt;=0,"",IF(I17&lt;=MIN($B$13:$F$16),(I17-MIN($B$13:$F$16))/MIN($B$13:$F$16),IF(I17&gt;=MAX($B$13:$F$16),I17/MAX($B$13:$F$16),PERCENTRANK($B$13:$F$16,I17))))</f>
        <v>1.1232941176470588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4.1425000000000001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18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0.9747058823529412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6</v>
      </c>
      <c r="G20" s="88" t="s">
        <v>213</v>
      </c>
      <c r="H20" s="123" t="s">
        <v>219</v>
      </c>
      <c r="I20" s="237">
        <f>HLOOKUP($C$1,$117:$127,11,FALSE)*(1-N22)/HLOOKUP($C$1,$105:$115,11,FALSE)</f>
        <v>0.23153347598609755</v>
      </c>
      <c r="J20" s="171">
        <f>HLOOKUP($C$1,$117:$127,11,FALSE)/HLOOKUP($C$1,$105:$115,11,FALSE)</f>
        <v>0.27507529468515379</v>
      </c>
      <c r="K20" s="163"/>
    </row>
    <row r="21" spans="1:14" s="93" customFormat="1" x14ac:dyDescent="0.25">
      <c r="A21" s="151" t="s">
        <v>201</v>
      </c>
      <c r="B21" s="161">
        <f>AVERAGE(C173:F173)/100</f>
        <v>1.07535</v>
      </c>
      <c r="C21" s="157" t="s">
        <v>217</v>
      </c>
      <c r="D21" s="158">
        <f>COUNTIF(C173:F173,"&gt;=80")/COUNT(C173:F173)</f>
        <v>1</v>
      </c>
      <c r="E21" s="140" t="s">
        <v>218</v>
      </c>
      <c r="F21" s="159">
        <f>MIN(100%,B21)*9+D21*6-COUNTIF(B132:E132,"&lt;=0")*4</f>
        <v>15</v>
      </c>
      <c r="G21" s="88" t="s">
        <v>220</v>
      </c>
      <c r="H21" s="123" t="s">
        <v>221</v>
      </c>
      <c r="I21" s="162">
        <f>HLOOKUP($C$1,$105:$115,7,FALSE)/HLOOKUP($C$1,$117:$127,8,FALSE)</f>
        <v>3.615639825594243</v>
      </c>
      <c r="J21" s="78"/>
      <c r="K21" s="164" t="s">
        <v>356</v>
      </c>
      <c r="L21" s="165">
        <f>HLOOKUP($C$1,$105:$115,7,FALSE)/HLOOKUP($C$1,$105:$115,11,FALSE)</f>
        <v>0.61134491459387252</v>
      </c>
      <c r="M21" s="123" t="s">
        <v>268</v>
      </c>
      <c r="N21" s="165">
        <f>HLOOKUP($C$1,$117:$127,8,FALSE)/HLOOKUP($C$1,$117:$127,11,FALSE)</f>
        <v>0.61468066949008848</v>
      </c>
    </row>
    <row r="22" spans="1:14" s="93" customFormat="1" x14ac:dyDescent="0.25">
      <c r="A22" s="140" t="s">
        <v>222</v>
      </c>
      <c r="B22" s="161">
        <f>(-1)*SUM(C133:F133)/SUM(C132:F132)</f>
        <v>0.34181240063593005</v>
      </c>
      <c r="C22" s="157"/>
      <c r="D22" s="166"/>
      <c r="E22" s="140"/>
      <c r="F22" s="159">
        <f>IF(B22&lt;=0,10,IF(B22&gt;=100%,0,(1-B22)*10))</f>
        <v>6.5818759936407005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2.351405350129768</v>
      </c>
      <c r="J22" s="78"/>
      <c r="K22" s="142" t="s">
        <v>357</v>
      </c>
      <c r="L22" s="165">
        <f>HLOOKUP($C$1,$105:$115,4,FALSE)/HLOOKUP($C$1,$105:$115,11,FALSE)</f>
        <v>0.27501989305165597</v>
      </c>
      <c r="M22" s="123" t="s">
        <v>353</v>
      </c>
      <c r="N22" s="165">
        <f>HLOOKUP($C$1,$117:$127,4,FALSE)/HLOOKUP($C$1,$117:$127,11,FALSE)</f>
        <v>0.15829054640800599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1.3794536076207864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0.21376114732402379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1.0010326948771278</v>
      </c>
      <c r="C24" s="169">
        <f>STDEV(C103:F103)</f>
        <v>1.2856675495340544E-3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120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4.3971374620176709E-2</v>
      </c>
      <c r="M24" s="123" t="s">
        <v>355</v>
      </c>
      <c r="N24" s="165">
        <f>HLOOKUP($C$1,$117:$127,9,FALSE)/HLOOKUP($C$1,$117:$127,11,FALSE)</f>
        <v>0.38531933050991146</v>
      </c>
    </row>
    <row r="25" spans="1:14" s="93" customFormat="1" x14ac:dyDescent="0.25">
      <c r="A25" s="151" t="s">
        <v>366</v>
      </c>
      <c r="B25" s="255">
        <f>AVERAGE(94:94)</f>
        <v>10516.739130434782</v>
      </c>
      <c r="C25" s="254">
        <f>STDEV(94:94)/AVERAGE(94:94)</f>
        <v>1.7146790519707951</v>
      </c>
      <c r="D25" s="76" t="str">
        <f>IF(C25&lt;=1,"高",IF(C25&lt;=2,"中","低"))</f>
        <v>中</v>
      </c>
      <c r="E25" s="149"/>
      <c r="F25" s="160">
        <f>MAX(0,10-ABS(C25))</f>
        <v>8.2853209480292058</v>
      </c>
      <c r="G25" s="88" t="s">
        <v>213</v>
      </c>
      <c r="H25" s="123" t="s">
        <v>232</v>
      </c>
      <c r="I25" s="170">
        <f>IF(HLOOKUP(C1,167:170,3,FALSE)="無",0,HLOOKUP(C1,167:170,3,FALSE))</f>
        <v>140.63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127.62913043478262</v>
      </c>
      <c r="C26" s="172">
        <f>IF(COUNTIF(168:168,"&gt;0")=0,0,STDEV(168:168))</f>
        <v>7.3073903518931278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8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143.35391304347823</v>
      </c>
      <c r="C27" s="172">
        <f>IF(COUNTIF(169:169,"&gt;0")=0,0,STDEV(169:169))</f>
        <v>15.205152158854727</v>
      </c>
      <c r="D27" s="76" t="str">
        <f>IF(C27&lt;=15,"高",IF(C27&lt;=30,"中","低"))</f>
        <v>中</v>
      </c>
      <c r="E27" s="149"/>
      <c r="F27" s="160">
        <f>IF(I25&lt;=60,4,IF(I25&lt;=90,3,IF(I25&lt;=120,2,IF(I25&lt;=150,1,0))))+IF(D27="高",6,IF(D27="中",4,2))</f>
        <v>5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0.36064999999999997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0.17377500000000001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18.824999999999999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5.8325000000000005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4.25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9.1860265752250321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2799304</v>
      </c>
      <c r="C36" s="178">
        <f>STDEV(C97:F97)</f>
        <v>189694.91430364354</v>
      </c>
      <c r="D36" s="76" t="str">
        <f>IF(C36/B36&lt;15%,"高",IF(C36/B36&lt;30%,"中","低"))</f>
        <v>高</v>
      </c>
      <c r="E36" s="107">
        <f>IF(F97&gt;E97,1,0)+IF(E97&gt;D97,1,0)+IF(D97&gt;C97,1,0)</f>
        <v>2</v>
      </c>
      <c r="F36" s="179"/>
      <c r="G36" s="160">
        <f>IF(D36="高",6,IF(D36="中",4,2))+E36+1</f>
        <v>9</v>
      </c>
    </row>
    <row r="37" spans="1:14" x14ac:dyDescent="0.25">
      <c r="A37" s="164" t="s">
        <v>248</v>
      </c>
      <c r="B37" s="180">
        <f>AVERAGE(C152:F152)</f>
        <v>36.064999999999998</v>
      </c>
      <c r="C37" s="180">
        <f>STDEV(C152:F152)</f>
        <v>1.2672410978184059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21.372499999999999</v>
      </c>
      <c r="C38" s="180">
        <f>STDEV(C153:F153)</f>
        <v>1.6163204096548018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18.824999999999999</v>
      </c>
      <c r="C39" s="181">
        <f>STDEV(C165:F165)</f>
        <v>2.5306191600739525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5.8325000000000005</v>
      </c>
      <c r="C40" s="183">
        <f>STDEV(B69:E69)</f>
        <v>0.52677477793328953</v>
      </c>
      <c r="D40" s="76" t="str">
        <f>IF(C40/B40&lt;15%,"高",IF(C40/B40&lt;30%,"中","低"))</f>
        <v>高</v>
      </c>
      <c r="E40" s="107">
        <f>IF(E69&gt;D69,1,0)+IF(D69&gt;C69,1,0)+IF(C69&gt;B69,1,0)</f>
        <v>2</v>
      </c>
      <c r="G40" s="160">
        <f>IF(D40="高",6,IF(D40="中",4,2))+E40+1</f>
        <v>9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0.40145985401459838</v>
      </c>
      <c r="C44" s="186">
        <f>(C46-C49)/C49</f>
        <v>7.9754601226993946E-2</v>
      </c>
      <c r="D44" s="186">
        <f>(D46-D49)/D49</f>
        <v>-0.13178294573643404</v>
      </c>
      <c r="E44" s="186">
        <f>(E46-E49)/E49</f>
        <v>0.46296296296296291</v>
      </c>
      <c r="G44" s="86" t="s">
        <v>175</v>
      </c>
      <c r="H44" s="186">
        <f>(H47-H50)/H50</f>
        <v>-1.679929266136174E-2</v>
      </c>
      <c r="I44" s="186">
        <f>(I47-I50)/I50</f>
        <v>-4.0933098591549311E-2</v>
      </c>
      <c r="J44" s="186">
        <f>(J47-J50)/J50</f>
        <v>6.6843501326259949E-2</v>
      </c>
      <c r="K44" s="186">
        <f>(K47-K50)/K50</f>
        <v>8.541545613015683E-2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1.92</v>
      </c>
      <c r="C46" s="152">
        <f>HLOOKUP(C45,$81:$82,2,FALSE)</f>
        <v>1.76</v>
      </c>
      <c r="D46" s="152">
        <f>HLOOKUP(D45,$81:$82,2,FALSE)</f>
        <v>1.1200000000000001</v>
      </c>
      <c r="E46" s="152">
        <f>HLOOKUP(E45,$81:$82,2,FALSE)</f>
        <v>1.58</v>
      </c>
      <c r="G46" s="86" t="s">
        <v>164</v>
      </c>
      <c r="H46" s="145">
        <f>HLOOKUP(H45,$145:$147,2,FALSE)/100</f>
        <v>0.35340000000000005</v>
      </c>
      <c r="I46" s="145">
        <f>HLOOKUP(I45,$145:$147,2,FALSE)/100</f>
        <v>0.35159999999999997</v>
      </c>
      <c r="J46" s="145">
        <f>HLOOKUP(J45,$145:$147,2,FALSE)/100</f>
        <v>0.35719999999999996</v>
      </c>
      <c r="K46" s="145">
        <f>HLOOKUP(K45,$145:$147,2,FALSE)/100</f>
        <v>0.36219999999999997</v>
      </c>
    </row>
    <row r="47" spans="1:14" x14ac:dyDescent="0.25">
      <c r="A47" s="188" t="s">
        <v>165</v>
      </c>
      <c r="B47" s="189">
        <f>HLOOKUP(B45,$157:$159,3,FALSE)</f>
        <v>5.87</v>
      </c>
      <c r="C47" s="189">
        <f>HLOOKUP(C45,$157:$159,3,FALSE)</f>
        <v>5.39</v>
      </c>
      <c r="D47" s="189">
        <f>HLOOKUP(D45,$157:$159,3,FALSE)</f>
        <v>3.36</v>
      </c>
      <c r="E47" s="189">
        <f>HLOOKUP(E45,$157:$159,3,FALSE)</f>
        <v>4.83</v>
      </c>
      <c r="G47" s="190" t="s">
        <v>166</v>
      </c>
      <c r="H47" s="145">
        <f>HLOOKUP(H45,$145:$147,3,FALSE)/100</f>
        <v>0.22239999999999999</v>
      </c>
      <c r="I47" s="145">
        <f>HLOOKUP(I45,$145:$147,3,FALSE)/100</f>
        <v>0.21789999999999998</v>
      </c>
      <c r="J47" s="145">
        <f>HLOOKUP(J45,$145:$147,3,FALSE)/100</f>
        <v>0.2011</v>
      </c>
      <c r="K47" s="145">
        <f>HLOOKUP(K45,$145:$147,3,FALSE)/100</f>
        <v>0.18679999999999999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1.37</v>
      </c>
      <c r="C49" s="152">
        <f>HLOOKUP(C48,$81:$82,2,FALSE)</f>
        <v>1.63</v>
      </c>
      <c r="D49" s="152">
        <f>HLOOKUP(D48,$81:$82,2,FALSE)</f>
        <v>1.29</v>
      </c>
      <c r="E49" s="152">
        <f>HLOOKUP(E48,$81:$82,2,FALSE)</f>
        <v>1.08</v>
      </c>
      <c r="G49" s="86" t="s">
        <v>164</v>
      </c>
      <c r="H49" s="145">
        <f>HLOOKUP(H48,$145:$147,2,FALSE)/100</f>
        <v>0.36930000000000002</v>
      </c>
      <c r="I49" s="145">
        <f>HLOOKUP(I48,$145:$147,2,FALSE)/100</f>
        <v>0.37439999999999996</v>
      </c>
      <c r="J49" s="145">
        <f>HLOOKUP(J48,$145:$147,2,FALSE)/100</f>
        <v>0.33770000000000006</v>
      </c>
      <c r="K49" s="145">
        <f>HLOOKUP(K48,$145:$147,2,FALSE)/100</f>
        <v>0.33159999999999995</v>
      </c>
    </row>
    <row r="50" spans="1:15" x14ac:dyDescent="0.25">
      <c r="A50" s="188" t="s">
        <v>165</v>
      </c>
      <c r="B50" s="189">
        <f>HLOOKUP(B48,$157:$159,3,FALSE)</f>
        <v>4.34</v>
      </c>
      <c r="C50" s="189">
        <f>HLOOKUP(C48,$157:$159,3,FALSE)</f>
        <v>5.0199999999999996</v>
      </c>
      <c r="D50" s="189">
        <f>HLOOKUP(D48,$157:$159,3,FALSE)</f>
        <v>3.88</v>
      </c>
      <c r="E50" s="189">
        <f>HLOOKUP(E48,$157:$159,3,FALSE)</f>
        <v>3.37</v>
      </c>
      <c r="G50" s="190" t="s">
        <v>166</v>
      </c>
      <c r="H50" s="145">
        <f>HLOOKUP(H48,$145:$147,3,FALSE)/100</f>
        <v>0.22620000000000001</v>
      </c>
      <c r="I50" s="145">
        <f>HLOOKUP(I48,$145:$147,3,FALSE)/100</f>
        <v>0.22719999999999999</v>
      </c>
      <c r="J50" s="145">
        <f>HLOOKUP(J48,$145:$147,3,FALSE)/100</f>
        <v>0.1885</v>
      </c>
      <c r="K50" s="145">
        <f>HLOOKUP(K48,$145:$147,3,FALSE)/100</f>
        <v>0.1721</v>
      </c>
    </row>
    <row r="51" spans="1:15" x14ac:dyDescent="0.25">
      <c r="A51" s="86" t="s">
        <v>351</v>
      </c>
      <c r="B51" s="186">
        <f>(B47-B50)/B50</f>
        <v>0.35253456221198165</v>
      </c>
      <c r="C51" s="186">
        <f>(C47-C50)/C50</f>
        <v>7.3705179282868558E-2</v>
      </c>
      <c r="D51" s="186">
        <f>(D47-D50)/D50</f>
        <v>-0.13402061855670103</v>
      </c>
      <c r="E51" s="186">
        <f>(E47-E50)/E50</f>
        <v>0.43323442136498513</v>
      </c>
      <c r="G51" s="235" t="s">
        <v>174</v>
      </c>
      <c r="H51" s="186">
        <f>(H46-H49)/H49</f>
        <v>-4.3054427294882125E-2</v>
      </c>
      <c r="I51" s="186">
        <f>(I46-I49)/I49</f>
        <v>-6.0897435897435868E-2</v>
      </c>
      <c r="J51" s="186">
        <f>(J46-J49)/J49</f>
        <v>5.7743559372223578E-2</v>
      </c>
      <c r="K51" s="186">
        <f>(K46-K49)/K49</f>
        <v>9.227985524728595E-2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6.8190948628558994</v>
      </c>
      <c r="B53" s="193">
        <f>B46</f>
        <v>1.92</v>
      </c>
      <c r="C53" s="193">
        <f>E46/HLOOKUP(E45,$87:$94,5,FALSE)*HLOOKUP(E45,$87:$94,4,FALSE)*($B$25/HLOOKUP(E45,$87:$94,4,FALSE)+SUM($B$57:$D$57)/SUM($B58:$D$58)*$G$69/100/K46)</f>
        <v>1.5177303412881618</v>
      </c>
      <c r="D53" s="193">
        <f>D46/HLOOKUP(D45,$87:$94,5,FALSE)*HLOOKUP(D45,$87:$94,4,FALSE)*($B$25/HLOOKUP(D45,$87:$94,4,FALSE)+SUM($B$57:$D$57)/SUM($B58:$D$58)*$G$69/100/J46)</f>
        <v>1.5601139025502484</v>
      </c>
      <c r="E53" s="193">
        <f>C46/HLOOKUP(C45,$87:$94,5,FALSE)*HLOOKUP(C45,$87:$94,4,FALSE)*($B$25/HLOOKUP(C45,$87:$94,4,FALSE)+SUM($B$57:$D$57)/SUM($B58:$D$58)*$G$69/100/I46)</f>
        <v>1.82125061901749</v>
      </c>
    </row>
    <row r="54" spans="1:15" x14ac:dyDescent="0.25">
      <c r="A54" s="278">
        <f>SUM(B54:E54)</f>
        <v>5.83</v>
      </c>
      <c r="B54" s="277">
        <f>HLOOKUP(B52-10,81:82,2,FALSE)</f>
        <v>1.37</v>
      </c>
      <c r="C54" s="277">
        <f>HLOOKUP(C52-10,81:82,2,FALSE)</f>
        <v>1.58</v>
      </c>
      <c r="D54" s="277">
        <f>HLOOKUP(D52-10,81:82,2,FALSE)</f>
        <v>1.1200000000000001</v>
      </c>
      <c r="E54" s="277">
        <f>HLOOKUP(E52-10,81:82,2,FALSE)</f>
        <v>1.76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0">IF(F56-ROUNDDOWN(F56/100,0)*100-1=0,(ROUNDDOWN(F56/100,0)-1)*100+12,F56-1)</f>
        <v>201705</v>
      </c>
      <c r="H56" s="194">
        <f t="shared" si="0"/>
        <v>201704</v>
      </c>
      <c r="I56" s="194">
        <f t="shared" si="0"/>
        <v>201703</v>
      </c>
      <c r="J56" s="194">
        <f t="shared" si="0"/>
        <v>201702</v>
      </c>
      <c r="K56" s="194">
        <f t="shared" si="0"/>
        <v>201701</v>
      </c>
      <c r="L56" s="194">
        <f t="shared" si="0"/>
        <v>201612</v>
      </c>
      <c r="M56" s="194">
        <f t="shared" si="0"/>
        <v>201611</v>
      </c>
      <c r="N56" s="138"/>
    </row>
    <row r="57" spans="1:15" x14ac:dyDescent="0.25">
      <c r="A57" s="195" t="s">
        <v>252</v>
      </c>
      <c r="B57" s="196">
        <f t="shared" ref="B57:M57" si="1">HLOOKUP(B56,78:79,2,FALSE)</f>
        <v>277848</v>
      </c>
      <c r="C57" s="196">
        <f t="shared" si="1"/>
        <v>272291</v>
      </c>
      <c r="D57" s="196">
        <f t="shared" si="1"/>
        <v>274935</v>
      </c>
      <c r="E57" s="196">
        <f t="shared" si="1"/>
        <v>256026</v>
      </c>
      <c r="F57" s="196">
        <f t="shared" si="1"/>
        <v>281120</v>
      </c>
      <c r="G57" s="196">
        <f t="shared" si="1"/>
        <v>263416</v>
      </c>
      <c r="H57" s="196">
        <f t="shared" si="1"/>
        <v>265669</v>
      </c>
      <c r="I57" s="196">
        <f t="shared" si="1"/>
        <v>305895</v>
      </c>
      <c r="J57" s="196">
        <f t="shared" si="1"/>
        <v>209201</v>
      </c>
      <c r="K57" s="196">
        <f t="shared" si="1"/>
        <v>204199</v>
      </c>
      <c r="L57" s="196">
        <f t="shared" si="1"/>
        <v>275391</v>
      </c>
      <c r="M57" s="196">
        <f t="shared" si="1"/>
        <v>263212</v>
      </c>
      <c r="N57" s="197"/>
    </row>
    <row r="58" spans="1:15" x14ac:dyDescent="0.25">
      <c r="A58" s="198" t="s">
        <v>253</v>
      </c>
      <c r="B58" s="196">
        <f t="shared" ref="B58:M58" si="2">HLOOKUP(B56-100,78:79,2,FALSE)</f>
        <v>237264</v>
      </c>
      <c r="C58" s="196">
        <f t="shared" si="2"/>
        <v>247519</v>
      </c>
      <c r="D58" s="196">
        <f t="shared" si="2"/>
        <v>254906</v>
      </c>
      <c r="E58" s="196">
        <f t="shared" si="2"/>
        <v>238939</v>
      </c>
      <c r="F58" s="196">
        <f t="shared" si="2"/>
        <v>249337</v>
      </c>
      <c r="G58" s="196">
        <f t="shared" si="2"/>
        <v>273692</v>
      </c>
      <c r="H58" s="196">
        <f t="shared" si="2"/>
        <v>250359</v>
      </c>
      <c r="I58" s="196">
        <f t="shared" si="2"/>
        <v>265890</v>
      </c>
      <c r="J58" s="196">
        <f t="shared" si="2"/>
        <v>180908</v>
      </c>
      <c r="K58" s="196">
        <f t="shared" si="2"/>
        <v>252786</v>
      </c>
      <c r="L58" s="196">
        <f t="shared" si="2"/>
        <v>250630</v>
      </c>
      <c r="M58" s="196">
        <f t="shared" si="2"/>
        <v>231533</v>
      </c>
      <c r="N58" s="197"/>
    </row>
    <row r="59" spans="1:15" x14ac:dyDescent="0.25">
      <c r="A59" s="199" t="s">
        <v>254</v>
      </c>
      <c r="B59" s="165">
        <f>IF(B57&lt;&gt;"",(B57-B58)/B58,"")</f>
        <v>0.17104996965405625</v>
      </c>
      <c r="C59" s="165">
        <f>IF(C57&lt;&gt;"",(C57-C58)/C58,"")</f>
        <v>0.10008120588722481</v>
      </c>
      <c r="D59" s="165">
        <f>IF(D57&lt;&gt;"",(D57-D58)/D58,"")</f>
        <v>7.8574062595623481E-2</v>
      </c>
      <c r="E59" s="165">
        <f>IF(E57&lt;&gt;"",(E57-E58)/E58,"")</f>
        <v>7.1511975859947521E-2</v>
      </c>
      <c r="F59" s="165">
        <f>IF(F57&lt;&gt;"",(F57-F58)/F58,"")</f>
        <v>0.12747005057412258</v>
      </c>
      <c r="G59" s="165">
        <f t="shared" ref="G59:M59" si="3">IF(G57&lt;&gt;"",(G57-G58)/G58,"")</f>
        <v>-3.7545854464142173E-2</v>
      </c>
      <c r="H59" s="165">
        <f t="shared" si="3"/>
        <v>6.1152185461677035E-2</v>
      </c>
      <c r="I59" s="165">
        <f t="shared" si="3"/>
        <v>0.15045695588401217</v>
      </c>
      <c r="J59" s="165">
        <f t="shared" si="3"/>
        <v>0.15639441041855529</v>
      </c>
      <c r="K59" s="165">
        <f t="shared" si="3"/>
        <v>-0.19220605571511082</v>
      </c>
      <c r="L59" s="165">
        <f t="shared" si="3"/>
        <v>9.8795036507999839E-2</v>
      </c>
      <c r="M59" s="165">
        <f t="shared" si="3"/>
        <v>0.13682282871124202</v>
      </c>
    </row>
    <row r="60" spans="1:15" x14ac:dyDescent="0.25">
      <c r="A60" s="195" t="s">
        <v>255</v>
      </c>
      <c r="B60" s="196">
        <f>SUM(B57:M57)</f>
        <v>3149203</v>
      </c>
    </row>
    <row r="61" spans="1:15" x14ac:dyDescent="0.25">
      <c r="A61" s="198" t="s">
        <v>256</v>
      </c>
      <c r="B61" s="196">
        <f>SUM(B58:M58)</f>
        <v>2933763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1.0734346980311633</v>
      </c>
      <c r="D62" s="152">
        <f>SUM(B46:E46)</f>
        <v>6.38</v>
      </c>
      <c r="E62" s="152">
        <f>SUM(B49:E49)</f>
        <v>5.37</v>
      </c>
      <c r="G62" s="126">
        <f>SUM(B47:E47)</f>
        <v>19.45</v>
      </c>
      <c r="H62" s="126">
        <f>SUM(B50:E50)</f>
        <v>16.61</v>
      </c>
      <c r="J62" s="200">
        <f>AVERAGE(H46:K46)</f>
        <v>0.35609999999999997</v>
      </c>
      <c r="K62" s="200">
        <f>AVERAGE(H49:K49)</f>
        <v>0.35325000000000001</v>
      </c>
      <c r="M62" s="200">
        <f>AVERAGE(H47:K47)</f>
        <v>0.20704999999999998</v>
      </c>
      <c r="N62" s="200">
        <f>AVERAGE(H50:K50)</f>
        <v>0.20350000000000001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4">HLOOKUP(B$64*10+$A65,$81:$82,2,FALSE)</f>
        <v>1.3</v>
      </c>
      <c r="C65" s="205">
        <f t="shared" si="4"/>
        <v>1.73</v>
      </c>
      <c r="D65" s="205">
        <f t="shared" si="4"/>
        <v>1.22</v>
      </c>
      <c r="E65" s="205">
        <f t="shared" si="4"/>
        <v>1.29</v>
      </c>
      <c r="F65" s="206">
        <f>IF(ISNA(HLOOKUP(F$64*10+$A65,$81:$82,2,FALSE)),(HLOOKUP(E$64*10+$A65,$87:$94,4,FALSE)*$G65+$B$25)/HLOOKUP(E$64*10+$A65,$87:$94,5,FALSE)*$E65,HLOOKUP(F$64*10+$A65,$81:$82,2,FALSE))</f>
        <v>1.1200000000000001</v>
      </c>
      <c r="G65" s="101">
        <f>MIN(130%,SUM($B$57:$D$57)/SUM($B$58:$D$58)*$G$69/HLOOKUP(E$64*10+$A65,$145:$146,2,FALSE))</f>
        <v>1.1612070217658945</v>
      </c>
      <c r="H65" s="204">
        <v>1</v>
      </c>
      <c r="I65" s="208">
        <f t="shared" ref="I65:M68" si="5">IF(ISNA(HLOOKUP(I$64*10+$H65,$145:$147,3,FALSE)),"",HLOOKUP(I$64*10+$H65,$145:$147,3,FALSE)/100)</f>
        <v>0.2223</v>
      </c>
      <c r="J65" s="208">
        <f t="shared" si="5"/>
        <v>0.23629999999999998</v>
      </c>
      <c r="K65" s="208">
        <f t="shared" si="5"/>
        <v>0.21249999999999999</v>
      </c>
      <c r="L65" s="208">
        <f t="shared" si="5"/>
        <v>0.1885</v>
      </c>
      <c r="M65" s="209">
        <f t="shared" si="5"/>
        <v>0.2011</v>
      </c>
      <c r="N65" s="256">
        <f t="shared" ref="N65:O68" si="6">HLOOKUP(E$64*10+$A65,$87:$94,8,FALSE)</f>
        <v>6912</v>
      </c>
      <c r="O65" s="256">
        <f t="shared" si="6"/>
        <v>-23094</v>
      </c>
      <c r="P65" s="210"/>
    </row>
    <row r="66" spans="1:71" x14ac:dyDescent="0.25">
      <c r="A66" s="204">
        <v>2</v>
      </c>
      <c r="B66" s="205">
        <f t="shared" si="4"/>
        <v>1.55</v>
      </c>
      <c r="C66" s="205">
        <f t="shared" si="4"/>
        <v>1.65</v>
      </c>
      <c r="D66" s="205">
        <f t="shared" si="4"/>
        <v>1.23</v>
      </c>
      <c r="E66" s="205">
        <f t="shared" si="4"/>
        <v>1.63</v>
      </c>
      <c r="F66" s="206">
        <f>IF(ISNA(HLOOKUP(F$64*10+$A66,$81:$82,2,FALSE)),(HLOOKUP(E$64*10+$A66,$87:$94,4,FALSE)*$G66+$B$25)/HLOOKUP(E$64*10+$A66,$87:$94,5,FALSE)*$E66,HLOOKUP(F$64*10+$A66,$81:$82,2,FALSE))</f>
        <v>1.76</v>
      </c>
      <c r="G66" s="101">
        <f>MIN(130%,SUM($B$57:$D$57)/SUM($B$58:$D$58)*$G$69/HLOOKUP(E$64*10+$A66,$145:$146,2,FALSE))</f>
        <v>1.0473814403054023</v>
      </c>
      <c r="H66" s="204">
        <v>2</v>
      </c>
      <c r="I66" s="208">
        <f t="shared" si="5"/>
        <v>0.24440000000000001</v>
      </c>
      <c r="J66" s="208">
        <f t="shared" si="5"/>
        <v>0.25700000000000001</v>
      </c>
      <c r="K66" s="208">
        <f t="shared" si="5"/>
        <v>0.20149999999999998</v>
      </c>
      <c r="L66" s="208">
        <f t="shared" si="5"/>
        <v>0.22719999999999999</v>
      </c>
      <c r="M66" s="209">
        <f t="shared" si="5"/>
        <v>0.21789999999999998</v>
      </c>
      <c r="N66" s="256">
        <f t="shared" si="6"/>
        <v>8611</v>
      </c>
      <c r="O66" s="256">
        <f t="shared" si="6"/>
        <v>23869</v>
      </c>
      <c r="P66" s="210"/>
    </row>
    <row r="67" spans="1:71" x14ac:dyDescent="0.25">
      <c r="A67" s="204">
        <v>3</v>
      </c>
      <c r="B67" s="205">
        <f t="shared" si="4"/>
        <v>1.53</v>
      </c>
      <c r="C67" s="205">
        <f t="shared" si="4"/>
        <v>1.63</v>
      </c>
      <c r="D67" s="205">
        <f t="shared" si="4"/>
        <v>1.56</v>
      </c>
      <c r="E67" s="205">
        <f t="shared" si="4"/>
        <v>1.37</v>
      </c>
      <c r="F67" s="206">
        <f>IF(ISNA(HLOOKUP(F$64*10+$A67,$81:$82,2,FALSE)),(HLOOKUP(E$64*10+$A67,$87:$94,4,FALSE)*$G67+$B$25)/HLOOKUP(E$64*10+$A67,$87:$94,5,FALSE)*$E67,HLOOKUP(F$64*10+$A67,$81:$82,2,FALSE))</f>
        <v>1.92</v>
      </c>
      <c r="G67" s="101">
        <f>MIN(130%,SUM($B$57:$D$57)/SUM($B$58:$D$58)*$G$69/HLOOKUP(E$64*10+$A67,$145:$146,2,FALSE))</f>
        <v>1.0618456844038522</v>
      </c>
      <c r="H67" s="204">
        <v>3</v>
      </c>
      <c r="I67" s="208">
        <f t="shared" si="5"/>
        <v>0.23329999999999998</v>
      </c>
      <c r="J67" s="208">
        <f t="shared" si="5"/>
        <v>0.23319999999999999</v>
      </c>
      <c r="K67" s="208">
        <f t="shared" si="5"/>
        <v>0.18840000000000001</v>
      </c>
      <c r="L67" s="208">
        <f t="shared" si="5"/>
        <v>0.22620000000000001</v>
      </c>
      <c r="M67" s="209">
        <f t="shared" si="5"/>
        <v>0.22239999999999999</v>
      </c>
      <c r="N67" s="256">
        <f t="shared" si="6"/>
        <v>-15524</v>
      </c>
      <c r="O67" s="256">
        <f t="shared" si="6"/>
        <v>27871</v>
      </c>
      <c r="P67" s="210"/>
    </row>
    <row r="68" spans="1:71" x14ac:dyDescent="0.25">
      <c r="A68" s="204">
        <v>4</v>
      </c>
      <c r="B68" s="205">
        <f>HLOOKUP(B$64*10+$A68,$81:$82,2,FALSE)</f>
        <v>1.68</v>
      </c>
      <c r="C68" s="205">
        <f>HLOOKUP(C$64*10+$A68,$81:$82,2,FALSE)</f>
        <v>1.3</v>
      </c>
      <c r="D68" s="205">
        <f>HLOOKUP(D$64*10+$A68,$81:$82,2,FALSE)</f>
        <v>1.08</v>
      </c>
      <c r="E68" s="206">
        <f>IF(ISNA(HLOOKUP(E$64*10+$A68,$81:$82,2,FALSE)),D68*(1-$N68)*#REF!*(1+$B$25)/(1+$E$4),HLOOKUP(E$64*10+$A68,$81:$82,2,FALSE))</f>
        <v>1.58</v>
      </c>
      <c r="F68" s="206">
        <f>IF(ISNA(HLOOKUP(F$64*10+$A68,$81:$82,2,FALSE)),(HLOOKUP(E$64*10+$A68,$87:$94,4,FALSE)*$G68+$B$25)/HLOOKUP(E$64*10+$A68,$87:$94,5,FALSE)*$E68,HLOOKUP(F$64*10+$A68,$81:$82,2,FALSE))</f>
        <v>1.5177303412881622</v>
      </c>
      <c r="G68" s="101">
        <f>MIN(130%,SUM($B$57:$D$57)/SUM($B$58:$D$58)*$G$69/HLOOKUP(E$64*10+$A68,$145:$146,2,FALSE))</f>
        <v>1.0826604396751591</v>
      </c>
      <c r="H68" s="204">
        <v>4</v>
      </c>
      <c r="I68" s="208">
        <f t="shared" si="5"/>
        <v>0.21059999999999998</v>
      </c>
      <c r="J68" s="208">
        <f t="shared" si="5"/>
        <v>0.17449999999999999</v>
      </c>
      <c r="K68" s="208">
        <f t="shared" si="5"/>
        <v>0.1721</v>
      </c>
      <c r="L68" s="208">
        <f t="shared" si="5"/>
        <v>0.18679999999999999</v>
      </c>
      <c r="M68" s="209" t="str">
        <f t="shared" si="5"/>
        <v/>
      </c>
      <c r="N68" s="256">
        <f t="shared" si="6"/>
        <v>29172</v>
      </c>
      <c r="O68" s="256" t="e">
        <f t="shared" si="6"/>
        <v>#N/A</v>
      </c>
    </row>
    <row r="69" spans="1:71" x14ac:dyDescent="0.25">
      <c r="A69" s="212" t="s">
        <v>162</v>
      </c>
      <c r="B69" s="213">
        <f>SUM(B65:B68)</f>
        <v>6.06</v>
      </c>
      <c r="C69" s="213">
        <f>SUM(C65:C68)</f>
        <v>6.31</v>
      </c>
      <c r="D69" s="213">
        <f>SUM(D65:D68)</f>
        <v>5.09</v>
      </c>
      <c r="E69" s="213">
        <f>SUM(E65:E68)</f>
        <v>5.87</v>
      </c>
      <c r="F69" s="213">
        <f>SUM(F65:F68)</f>
        <v>6.3177303412881622</v>
      </c>
      <c r="G69" s="257">
        <f>_xlfn.FORECAST.ETS(23,B146:W146,{1,2,3,4,5,6,7,8,9,10,11,12,13,14,15,16,17,18,19,20,21,22})</f>
        <v>35.155798983625068</v>
      </c>
      <c r="H69" s="214" t="s">
        <v>19</v>
      </c>
      <c r="I69" s="215">
        <f>HLOOKUP(I64,151:155,3,FALSE)/100</f>
        <v>0.22789999999999999</v>
      </c>
      <c r="J69" s="215">
        <f>HLOOKUP(J64,151:155,3,FALSE)/100</f>
        <v>0.22579999999999997</v>
      </c>
      <c r="K69" s="215">
        <f>HLOOKUP(K64,151:155,3,FALSE)/100</f>
        <v>0.1938</v>
      </c>
      <c r="L69" s="215">
        <f>IF(ISNA(HLOOKUP(L64,151:155,3,FALSE)/100),AVERAGE(L65:L68),HLOOKUP(L64,151:155,3,FALSE)/100)</f>
        <v>0.20739999999999997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7">IF(ISNA(HLOOKUP(B$71*10+$A72,$157:$159,3,FALSE)),"",HLOOKUP(B$71*10+$A72,$157:$159,3,FALSE))</f>
        <v>4.72</v>
      </c>
      <c r="C72" s="205">
        <f t="shared" si="7"/>
        <v>5.62</v>
      </c>
      <c r="D72" s="205">
        <f t="shared" si="7"/>
        <v>3.73</v>
      </c>
      <c r="E72" s="205">
        <f t="shared" si="7"/>
        <v>3.88</v>
      </c>
      <c r="F72" s="205">
        <f t="shared" si="7"/>
        <v>3.36</v>
      </c>
    </row>
    <row r="73" spans="1:71" s="135" customFormat="1" x14ac:dyDescent="0.25">
      <c r="A73" s="204">
        <v>2</v>
      </c>
      <c r="B73" s="205">
        <f t="shared" si="7"/>
        <v>5.65</v>
      </c>
      <c r="C73" s="205">
        <f t="shared" si="7"/>
        <v>5.53</v>
      </c>
      <c r="D73" s="205">
        <f t="shared" si="7"/>
        <v>3.93</v>
      </c>
      <c r="E73" s="205">
        <f t="shared" si="7"/>
        <v>5.0199999999999996</v>
      </c>
      <c r="F73" s="205">
        <f t="shared" si="7"/>
        <v>5.39</v>
      </c>
    </row>
    <row r="74" spans="1:71" s="135" customFormat="1" x14ac:dyDescent="0.25">
      <c r="A74" s="204">
        <v>3</v>
      </c>
      <c r="B74" s="205">
        <f t="shared" si="7"/>
        <v>5.58</v>
      </c>
      <c r="C74" s="205">
        <f t="shared" si="7"/>
        <v>5.6</v>
      </c>
      <c r="D74" s="205">
        <f t="shared" si="7"/>
        <v>5.03</v>
      </c>
      <c r="E74" s="205">
        <f t="shared" si="7"/>
        <v>4.34</v>
      </c>
      <c r="F74" s="205">
        <f t="shared" si="7"/>
        <v>5.87</v>
      </c>
    </row>
    <row r="75" spans="1:71" s="135" customFormat="1" x14ac:dyDescent="0.25">
      <c r="A75" s="204">
        <v>4</v>
      </c>
      <c r="B75" s="205">
        <f t="shared" si="7"/>
        <v>5.76</v>
      </c>
      <c r="C75" s="205">
        <f t="shared" si="7"/>
        <v>4.1900000000000004</v>
      </c>
      <c r="D75" s="205">
        <f t="shared" si="7"/>
        <v>3.37</v>
      </c>
      <c r="E75" s="205">
        <f t="shared" si="7"/>
        <v>4.83</v>
      </c>
      <c r="F75" s="205" t="str">
        <f t="shared" si="7"/>
        <v/>
      </c>
    </row>
    <row r="76" spans="1:71" s="135" customFormat="1" x14ac:dyDescent="0.25">
      <c r="A76" s="212" t="s">
        <v>165</v>
      </c>
      <c r="B76" s="213">
        <f>SUM(B72:B75)</f>
        <v>21.71</v>
      </c>
      <c r="C76" s="213">
        <f>SUM(C72:C75)</f>
        <v>20.94</v>
      </c>
      <c r="D76" s="213">
        <f>SUM(D72:D75)</f>
        <v>16.060000000000002</v>
      </c>
      <c r="E76" s="213">
        <f>AVERAGE(E72:E75)*4</f>
        <v>18.07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147757</v>
      </c>
      <c r="C79" s="270">
        <v>138319</v>
      </c>
      <c r="D79" s="270">
        <v>143389</v>
      </c>
      <c r="E79" s="270">
        <v>161674</v>
      </c>
      <c r="F79" s="270">
        <v>163556</v>
      </c>
      <c r="G79" s="270">
        <v>153475</v>
      </c>
      <c r="H79" s="270">
        <v>141910</v>
      </c>
      <c r="I79" s="270">
        <v>129245</v>
      </c>
      <c r="J79" s="270">
        <v>126800</v>
      </c>
      <c r="K79" s="270">
        <v>131491</v>
      </c>
      <c r="L79" s="270">
        <v>138546</v>
      </c>
      <c r="M79" s="270">
        <v>141937</v>
      </c>
      <c r="N79" s="270">
        <v>208732</v>
      </c>
      <c r="O79" s="270">
        <v>140150</v>
      </c>
      <c r="P79" s="270">
        <v>211044</v>
      </c>
      <c r="Q79" s="270">
        <v>235035</v>
      </c>
      <c r="R79" s="270">
        <v>228224</v>
      </c>
      <c r="S79" s="270">
        <v>207360</v>
      </c>
      <c r="T79" s="270">
        <v>218710</v>
      </c>
      <c r="U79" s="270">
        <v>222942</v>
      </c>
      <c r="V79" s="270">
        <v>201859</v>
      </c>
      <c r="W79" s="270">
        <v>207777</v>
      </c>
      <c r="X79" s="270">
        <v>208334</v>
      </c>
      <c r="Y79" s="270">
        <v>242032</v>
      </c>
      <c r="Z79" s="270">
        <v>248641</v>
      </c>
      <c r="AA79" s="270">
        <v>197456</v>
      </c>
      <c r="AB79" s="270">
        <v>264376</v>
      </c>
      <c r="AC79" s="270">
        <v>278935</v>
      </c>
      <c r="AD79" s="270">
        <v>241869</v>
      </c>
      <c r="AE79" s="270">
        <v>247665</v>
      </c>
      <c r="AF79" s="270">
        <v>240267</v>
      </c>
      <c r="AG79" s="270">
        <v>221486</v>
      </c>
      <c r="AH79" s="270">
        <v>256848</v>
      </c>
      <c r="AI79" s="270">
        <v>233148</v>
      </c>
      <c r="AJ79" s="270">
        <v>220941</v>
      </c>
      <c r="AK79" s="270">
        <v>256974</v>
      </c>
      <c r="AL79" s="270">
        <v>264175</v>
      </c>
      <c r="AM79" s="270">
        <v>150080</v>
      </c>
      <c r="AN79" s="270">
        <v>284197</v>
      </c>
      <c r="AO79" s="270">
        <v>251161</v>
      </c>
      <c r="AP79" s="270">
        <v>246115</v>
      </c>
      <c r="AQ79" s="270">
        <v>222226</v>
      </c>
      <c r="AR79" s="270">
        <v>233850</v>
      </c>
      <c r="AS79" s="270">
        <v>216720</v>
      </c>
      <c r="AT79" s="270">
        <v>222923</v>
      </c>
      <c r="AU79" s="270">
        <v>213964</v>
      </c>
      <c r="AV79" s="270">
        <v>231533</v>
      </c>
      <c r="AW79" s="270">
        <v>250630</v>
      </c>
      <c r="AX79" s="270">
        <v>252786</v>
      </c>
      <c r="AY79" s="270">
        <v>180908</v>
      </c>
      <c r="AZ79" s="270">
        <v>265890</v>
      </c>
      <c r="BA79" s="270">
        <v>250359</v>
      </c>
      <c r="BB79" s="270">
        <v>273692</v>
      </c>
      <c r="BC79" s="270">
        <v>249337</v>
      </c>
      <c r="BD79" s="270">
        <v>238939</v>
      </c>
      <c r="BE79" s="270">
        <v>254906</v>
      </c>
      <c r="BF79" s="270">
        <v>247519</v>
      </c>
      <c r="BG79" s="270">
        <v>237264</v>
      </c>
      <c r="BH79" s="270">
        <v>263212</v>
      </c>
      <c r="BI79" s="270">
        <v>275391</v>
      </c>
      <c r="BJ79" s="270">
        <v>204199</v>
      </c>
      <c r="BK79" s="270">
        <v>209201</v>
      </c>
      <c r="BL79" s="270">
        <v>305895</v>
      </c>
      <c r="BM79" s="270">
        <v>265669</v>
      </c>
      <c r="BN79" s="270">
        <v>263416</v>
      </c>
      <c r="BO79" s="270">
        <v>281120</v>
      </c>
      <c r="BP79" s="270">
        <v>256026</v>
      </c>
      <c r="BQ79" s="270">
        <v>274935</v>
      </c>
      <c r="BR79" s="270">
        <v>272291</v>
      </c>
      <c r="BS79" s="270">
        <v>277848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0.82</v>
      </c>
      <c r="C82" s="72">
        <v>1.28</v>
      </c>
      <c r="D82" s="72">
        <v>1.08</v>
      </c>
      <c r="E82" s="72">
        <v>1.1399999999999999</v>
      </c>
      <c r="F82" s="72">
        <v>1.3</v>
      </c>
      <c r="G82" s="72">
        <v>1.55</v>
      </c>
      <c r="H82" s="72">
        <v>1.53</v>
      </c>
      <c r="I82" s="72">
        <v>1.68</v>
      </c>
      <c r="J82" s="72">
        <v>1.73</v>
      </c>
      <c r="K82" s="72">
        <v>1.65</v>
      </c>
      <c r="L82" s="72">
        <v>1.63</v>
      </c>
      <c r="M82" s="72">
        <v>1.3</v>
      </c>
      <c r="N82" s="72">
        <v>1.22</v>
      </c>
      <c r="O82" s="72">
        <v>1.23</v>
      </c>
      <c r="P82" s="72">
        <v>1.56</v>
      </c>
      <c r="Q82" s="72">
        <v>1.08</v>
      </c>
      <c r="R82" s="72">
        <v>1.29</v>
      </c>
      <c r="S82" s="72">
        <v>1.63</v>
      </c>
      <c r="T82" s="72">
        <v>1.37</v>
      </c>
      <c r="U82" s="72">
        <v>1.58</v>
      </c>
      <c r="V82" s="72">
        <v>1.1200000000000001</v>
      </c>
      <c r="W82" s="72">
        <v>1.76</v>
      </c>
      <c r="X82" s="72">
        <v>1.92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26.87</v>
      </c>
      <c r="C85" s="72">
        <v>24.98</v>
      </c>
      <c r="D85" s="72">
        <v>25.94</v>
      </c>
      <c r="E85" s="72">
        <v>26.93</v>
      </c>
      <c r="F85" s="72">
        <v>28.19</v>
      </c>
      <c r="G85" s="72">
        <v>26.72</v>
      </c>
      <c r="H85" s="72">
        <v>28.14</v>
      </c>
      <c r="I85" s="72">
        <v>30.03</v>
      </c>
      <c r="J85" s="72">
        <v>31.74</v>
      </c>
      <c r="K85" s="72">
        <v>28.14</v>
      </c>
      <c r="L85" s="72">
        <v>30.14</v>
      </c>
      <c r="M85" s="72">
        <v>31.68</v>
      </c>
      <c r="N85" s="72">
        <v>32.840000000000003</v>
      </c>
      <c r="O85" s="72">
        <v>29.79</v>
      </c>
      <c r="P85" s="72">
        <v>31.97</v>
      </c>
      <c r="Q85" s="72">
        <v>32.729999999999997</v>
      </c>
      <c r="R85" s="72">
        <v>33.770000000000003</v>
      </c>
      <c r="S85" s="72">
        <v>31.03</v>
      </c>
      <c r="T85" s="72">
        <v>31.99</v>
      </c>
      <c r="U85" s="72">
        <v>33.24</v>
      </c>
      <c r="V85" s="72">
        <v>33.619999999999997</v>
      </c>
      <c r="W85" s="72">
        <v>31.67</v>
      </c>
      <c r="X85" s="72">
        <v>33.799999999999997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583551</v>
      </c>
      <c r="C88" s="273">
        <v>624534</v>
      </c>
      <c r="D88" s="273">
        <v>552275</v>
      </c>
      <c r="E88" s="273">
        <v>598592</v>
      </c>
      <c r="F88" s="273">
        <v>561304</v>
      </c>
      <c r="G88" s="273">
        <v>669987</v>
      </c>
      <c r="H88" s="273">
        <v>645770</v>
      </c>
      <c r="I88" s="273">
        <v>659058</v>
      </c>
      <c r="J88" s="273">
        <v>710276</v>
      </c>
      <c r="K88" s="273">
        <v>764382</v>
      </c>
      <c r="L88" s="273">
        <v>715471</v>
      </c>
      <c r="M88" s="273">
        <v>713737</v>
      </c>
      <c r="N88" s="273">
        <v>697281</v>
      </c>
      <c r="O88" s="273">
        <v>724162</v>
      </c>
      <c r="P88" s="273">
        <v>675101</v>
      </c>
      <c r="Q88" s="273">
        <v>694973</v>
      </c>
      <c r="R88" s="273">
        <v>696561</v>
      </c>
      <c r="S88" s="273">
        <v>773003</v>
      </c>
      <c r="T88" s="273">
        <v>728327</v>
      </c>
      <c r="U88" s="273">
        <v>767823</v>
      </c>
      <c r="V88" s="273">
        <v>719346</v>
      </c>
      <c r="W88" s="273">
        <v>808623</v>
      </c>
      <c r="X88" s="273">
        <v>808141</v>
      </c>
    </row>
    <row r="89" spans="1:25" ht="14.25" thickBot="1" x14ac:dyDescent="0.3">
      <c r="A89" s="250" t="s">
        <v>4</v>
      </c>
      <c r="B89" s="275">
        <v>198126</v>
      </c>
      <c r="C89" s="275">
        <v>228555</v>
      </c>
      <c r="D89" s="275">
        <v>189472</v>
      </c>
      <c r="E89" s="275">
        <v>199234</v>
      </c>
      <c r="F89" s="275">
        <v>205544</v>
      </c>
      <c r="G89" s="275">
        <v>252081</v>
      </c>
      <c r="H89" s="275">
        <v>237573</v>
      </c>
      <c r="I89" s="275">
        <v>238968</v>
      </c>
      <c r="J89" s="275">
        <v>260065</v>
      </c>
      <c r="K89" s="275">
        <v>292111</v>
      </c>
      <c r="L89" s="275">
        <v>263632</v>
      </c>
      <c r="M89" s="275">
        <v>258450</v>
      </c>
      <c r="N89" s="275">
        <v>250440</v>
      </c>
      <c r="O89" s="275">
        <v>251511</v>
      </c>
      <c r="P89" s="275">
        <v>223512</v>
      </c>
      <c r="Q89" s="275">
        <v>230447</v>
      </c>
      <c r="R89" s="275">
        <v>235230</v>
      </c>
      <c r="S89" s="275">
        <v>289433</v>
      </c>
      <c r="T89" s="275">
        <v>268972</v>
      </c>
      <c r="U89" s="275">
        <v>278110</v>
      </c>
      <c r="V89" s="275">
        <v>256960</v>
      </c>
      <c r="W89" s="275">
        <v>284300</v>
      </c>
      <c r="X89" s="275">
        <v>285609</v>
      </c>
    </row>
    <row r="90" spans="1:25" ht="14.25" thickBot="1" x14ac:dyDescent="0.3">
      <c r="A90" s="251" t="s">
        <v>5</v>
      </c>
      <c r="B90" s="273">
        <v>119550</v>
      </c>
      <c r="C90" s="273">
        <v>145604</v>
      </c>
      <c r="D90" s="273">
        <v>112157</v>
      </c>
      <c r="E90" s="273">
        <v>126226</v>
      </c>
      <c r="F90" s="273">
        <v>124785</v>
      </c>
      <c r="G90" s="273">
        <v>163725</v>
      </c>
      <c r="H90" s="273">
        <v>150646</v>
      </c>
      <c r="I90" s="273">
        <v>138829</v>
      </c>
      <c r="J90" s="273">
        <v>167863</v>
      </c>
      <c r="K90" s="273">
        <v>196441</v>
      </c>
      <c r="L90" s="273">
        <v>166831</v>
      </c>
      <c r="M90" s="273">
        <v>124538</v>
      </c>
      <c r="N90" s="273">
        <v>148162</v>
      </c>
      <c r="O90" s="273">
        <v>145904</v>
      </c>
      <c r="P90" s="273">
        <v>127191</v>
      </c>
      <c r="Q90" s="273">
        <v>119624</v>
      </c>
      <c r="R90" s="273">
        <v>131309</v>
      </c>
      <c r="S90" s="273">
        <v>175591</v>
      </c>
      <c r="T90" s="273">
        <v>164712</v>
      </c>
      <c r="U90" s="273">
        <v>143404</v>
      </c>
      <c r="V90" s="273">
        <v>144627</v>
      </c>
      <c r="W90" s="273">
        <v>176188</v>
      </c>
      <c r="X90" s="273">
        <v>179768</v>
      </c>
    </row>
    <row r="91" spans="1:25" ht="14.25" thickBot="1" x14ac:dyDescent="0.3">
      <c r="A91" s="250" t="s">
        <v>6</v>
      </c>
      <c r="B91" s="275">
        <v>119082</v>
      </c>
      <c r="C91" s="275">
        <v>145304</v>
      </c>
      <c r="D91" s="275">
        <v>116236</v>
      </c>
      <c r="E91" s="275">
        <v>130028</v>
      </c>
      <c r="F91" s="275">
        <v>143414</v>
      </c>
      <c r="G91" s="275">
        <v>173919</v>
      </c>
      <c r="H91" s="275">
        <v>162778</v>
      </c>
      <c r="I91" s="275">
        <v>193491</v>
      </c>
      <c r="J91" s="275">
        <v>188880</v>
      </c>
      <c r="K91" s="275">
        <v>190325</v>
      </c>
      <c r="L91" s="275">
        <v>177700</v>
      </c>
      <c r="M91" s="275">
        <v>152247</v>
      </c>
      <c r="N91" s="275">
        <v>130160</v>
      </c>
      <c r="O91" s="275">
        <v>151295</v>
      </c>
      <c r="P91" s="275">
        <v>162418</v>
      </c>
      <c r="Q91" s="275">
        <v>124867</v>
      </c>
      <c r="R91" s="275">
        <v>138221</v>
      </c>
      <c r="S91" s="275">
        <v>184202</v>
      </c>
      <c r="T91" s="275">
        <v>149188</v>
      </c>
      <c r="U91" s="275">
        <v>172576</v>
      </c>
      <c r="V91" s="275">
        <v>121533</v>
      </c>
      <c r="W91" s="275">
        <v>200057</v>
      </c>
      <c r="X91" s="275">
        <v>207639</v>
      </c>
    </row>
    <row r="92" spans="1:25" ht="14.25" thickBot="1" x14ac:dyDescent="0.3">
      <c r="A92" s="251" t="s">
        <v>7</v>
      </c>
      <c r="B92" s="273">
        <v>68599</v>
      </c>
      <c r="C92" s="273">
        <v>103920</v>
      </c>
      <c r="D92" s="273">
        <v>89439</v>
      </c>
      <c r="E92" s="273">
        <v>95429</v>
      </c>
      <c r="F92" s="273">
        <v>108156</v>
      </c>
      <c r="G92" s="273">
        <v>128876</v>
      </c>
      <c r="H92" s="273">
        <v>127288</v>
      </c>
      <c r="I92" s="273">
        <v>139235</v>
      </c>
      <c r="J92" s="273">
        <v>144323</v>
      </c>
      <c r="K92" s="273">
        <v>137632</v>
      </c>
      <c r="L92" s="273">
        <v>135515</v>
      </c>
      <c r="M92" s="273">
        <v>107492</v>
      </c>
      <c r="N92" s="273">
        <v>99930</v>
      </c>
      <c r="O92" s="273">
        <v>102423</v>
      </c>
      <c r="P92" s="273">
        <v>129234</v>
      </c>
      <c r="Q92" s="273">
        <v>90703</v>
      </c>
      <c r="R92" s="273">
        <v>107247</v>
      </c>
      <c r="S92" s="273">
        <v>135364</v>
      </c>
      <c r="T92" s="273">
        <v>113850</v>
      </c>
      <c r="U92" s="273">
        <v>131123</v>
      </c>
      <c r="V92" s="273">
        <v>93596</v>
      </c>
      <c r="W92" s="273">
        <v>146564</v>
      </c>
      <c r="X92" s="273">
        <v>160015</v>
      </c>
    </row>
    <row r="93" spans="1:25" ht="26.25" thickBot="1" x14ac:dyDescent="0.3">
      <c r="A93" s="252" t="s">
        <v>8</v>
      </c>
      <c r="B93" s="276">
        <v>68580</v>
      </c>
      <c r="C93" s="276">
        <v>106265</v>
      </c>
      <c r="D93" s="276">
        <v>89715</v>
      </c>
      <c r="E93" s="276">
        <v>95074</v>
      </c>
      <c r="F93" s="276">
        <v>108523</v>
      </c>
      <c r="G93" s="276">
        <v>129111</v>
      </c>
      <c r="H93" s="276">
        <v>127322</v>
      </c>
      <c r="I93" s="276">
        <v>139320</v>
      </c>
      <c r="J93" s="276">
        <v>144275</v>
      </c>
      <c r="K93" s="276">
        <v>137539</v>
      </c>
      <c r="L93" s="276">
        <v>135625</v>
      </c>
      <c r="M93" s="276">
        <v>107814</v>
      </c>
      <c r="N93" s="276">
        <v>101050</v>
      </c>
      <c r="O93" s="276">
        <v>102542</v>
      </c>
      <c r="P93" s="276">
        <v>130056</v>
      </c>
      <c r="Q93" s="276">
        <v>89733</v>
      </c>
      <c r="R93" s="276">
        <v>107145</v>
      </c>
      <c r="S93" s="276">
        <v>135488</v>
      </c>
      <c r="T93" s="276">
        <v>113628</v>
      </c>
      <c r="U93" s="276">
        <v>131109</v>
      </c>
      <c r="V93" s="276">
        <v>93502</v>
      </c>
      <c r="W93" s="276">
        <v>146203</v>
      </c>
      <c r="X93" s="276">
        <v>159358</v>
      </c>
    </row>
    <row r="94" spans="1:25" x14ac:dyDescent="0.25">
      <c r="A94" s="233" t="s">
        <v>365</v>
      </c>
      <c r="B94" s="253">
        <f>IF(B91="","",B91-B90)</f>
        <v>-468</v>
      </c>
      <c r="C94" s="253">
        <f>IF(C91="","",C91-C90)</f>
        <v>-300</v>
      </c>
      <c r="D94" s="253">
        <f t="shared" ref="D94:Y94" si="8">IF(D91="","",D91-D90)</f>
        <v>4079</v>
      </c>
      <c r="E94" s="253">
        <f t="shared" si="8"/>
        <v>3802</v>
      </c>
      <c r="F94" s="253">
        <f t="shared" si="8"/>
        <v>18629</v>
      </c>
      <c r="G94" s="253">
        <f t="shared" si="8"/>
        <v>10194</v>
      </c>
      <c r="H94" s="253">
        <f t="shared" si="8"/>
        <v>12132</v>
      </c>
      <c r="I94" s="253">
        <f t="shared" si="8"/>
        <v>54662</v>
      </c>
      <c r="J94" s="253">
        <f t="shared" si="8"/>
        <v>21017</v>
      </c>
      <c r="K94" s="253">
        <f t="shared" si="8"/>
        <v>-6116</v>
      </c>
      <c r="L94" s="253">
        <f t="shared" si="8"/>
        <v>10869</v>
      </c>
      <c r="M94" s="253">
        <f t="shared" si="8"/>
        <v>27709</v>
      </c>
      <c r="N94" s="253">
        <f t="shared" si="8"/>
        <v>-18002</v>
      </c>
      <c r="O94" s="253">
        <f t="shared" si="8"/>
        <v>5391</v>
      </c>
      <c r="P94" s="253">
        <f t="shared" si="8"/>
        <v>35227</v>
      </c>
      <c r="Q94" s="253">
        <f t="shared" si="8"/>
        <v>5243</v>
      </c>
      <c r="R94" s="253">
        <f t="shared" si="8"/>
        <v>6912</v>
      </c>
      <c r="S94" s="253">
        <f t="shared" si="8"/>
        <v>8611</v>
      </c>
      <c r="T94" s="253">
        <f t="shared" si="8"/>
        <v>-15524</v>
      </c>
      <c r="U94" s="253">
        <f t="shared" si="8"/>
        <v>29172</v>
      </c>
      <c r="V94" s="253">
        <f t="shared" si="8"/>
        <v>-23094</v>
      </c>
      <c r="W94" s="253">
        <f t="shared" si="8"/>
        <v>23869</v>
      </c>
      <c r="X94" s="253">
        <f t="shared" si="8"/>
        <v>27871</v>
      </c>
      <c r="Y94" s="253" t="str">
        <f t="shared" si="8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2358952</v>
      </c>
      <c r="C97" s="273">
        <v>2536119</v>
      </c>
      <c r="D97" s="273">
        <v>2903866</v>
      </c>
      <c r="E97" s="273">
        <v>2791517</v>
      </c>
      <c r="F97" s="273">
        <v>2965714</v>
      </c>
    </row>
    <row r="98" spans="1:24" ht="14.25" thickBot="1" x14ac:dyDescent="0.3">
      <c r="A98" s="225" t="s">
        <v>4</v>
      </c>
      <c r="B98" s="275">
        <v>815387</v>
      </c>
      <c r="C98" s="275">
        <v>935565</v>
      </c>
      <c r="D98" s="275">
        <v>1073716</v>
      </c>
      <c r="E98" s="275">
        <v>955959</v>
      </c>
      <c r="F98" s="275">
        <v>1071745</v>
      </c>
    </row>
    <row r="99" spans="1:24" ht="14.25" thickBot="1" x14ac:dyDescent="0.3">
      <c r="A99" s="224" t="s">
        <v>5</v>
      </c>
      <c r="B99" s="273">
        <v>503537</v>
      </c>
      <c r="C99" s="273">
        <v>577985</v>
      </c>
      <c r="D99" s="273">
        <v>655673</v>
      </c>
      <c r="E99" s="273">
        <v>540881</v>
      </c>
      <c r="F99" s="273">
        <v>615016</v>
      </c>
    </row>
    <row r="100" spans="1:24" ht="14.25" thickBot="1" x14ac:dyDescent="0.3">
      <c r="A100" s="225" t="s">
        <v>6</v>
      </c>
      <c r="B100" s="275">
        <v>510650</v>
      </c>
      <c r="C100" s="275">
        <v>673602</v>
      </c>
      <c r="D100" s="275">
        <v>709152</v>
      </c>
      <c r="E100" s="275">
        <v>568740</v>
      </c>
      <c r="F100" s="275">
        <v>644187</v>
      </c>
    </row>
    <row r="101" spans="1:24" ht="14.25" thickBot="1" x14ac:dyDescent="0.3">
      <c r="A101" s="224" t="s">
        <v>7</v>
      </c>
      <c r="B101" s="273">
        <v>357387</v>
      </c>
      <c r="C101" s="273">
        <v>503555</v>
      </c>
      <c r="D101" s="273">
        <v>524962</v>
      </c>
      <c r="E101" s="273">
        <v>422290</v>
      </c>
      <c r="F101" s="273">
        <v>487584</v>
      </c>
    </row>
    <row r="102" spans="1:24" ht="14.25" thickBot="1" x14ac:dyDescent="0.3">
      <c r="A102" s="227" t="s">
        <v>8</v>
      </c>
      <c r="B102" s="276">
        <v>359634</v>
      </c>
      <c r="C102" s="276">
        <v>504276</v>
      </c>
      <c r="D102" s="276">
        <v>525253</v>
      </c>
      <c r="E102" s="276">
        <v>423381</v>
      </c>
      <c r="F102" s="276">
        <v>487370</v>
      </c>
    </row>
    <row r="103" spans="1:24" x14ac:dyDescent="0.25">
      <c r="A103" s="233" t="s">
        <v>262</v>
      </c>
      <c r="B103" s="234">
        <f>IF(OR(B102="",B102="無"),"",B102/B101)</f>
        <v>1.0062873020003527</v>
      </c>
      <c r="C103" s="234">
        <f>IF(OR(C102="",C102="無"),"",C102/C101)</f>
        <v>1.0014318197614958</v>
      </c>
      <c r="D103" s="234">
        <f>IF(OR(D102="",D102="無"),"",D102/D101)</f>
        <v>1.0005543258369176</v>
      </c>
      <c r="E103" s="234">
        <f>IF(OR(E102="",E102="無"),"",E102/E101)</f>
        <v>1.002583532643444</v>
      </c>
      <c r="F103" s="234">
        <f>IF(OR(F102="",F102="無"),"",F102/F101)</f>
        <v>0.99956110126665354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561046</v>
      </c>
      <c r="C106" s="273">
        <v>623147</v>
      </c>
      <c r="D106" s="273">
        <v>373714</v>
      </c>
      <c r="E106" s="273">
        <v>537090</v>
      </c>
      <c r="F106" s="273">
        <v>637336</v>
      </c>
      <c r="G106" s="273">
        <v>717863</v>
      </c>
      <c r="H106" s="273">
        <v>431974</v>
      </c>
      <c r="I106" s="273">
        <v>494178</v>
      </c>
      <c r="J106" s="273">
        <v>582676</v>
      </c>
      <c r="K106" s="273">
        <v>681739</v>
      </c>
      <c r="L106" s="273">
        <v>347872</v>
      </c>
      <c r="M106" s="273">
        <v>351516</v>
      </c>
      <c r="N106" s="273">
        <v>414566</v>
      </c>
      <c r="O106" s="273">
        <v>414430</v>
      </c>
      <c r="P106" s="273">
        <v>259708</v>
      </c>
      <c r="Q106" s="273">
        <v>358495</v>
      </c>
      <c r="R106" s="273">
        <v>436184</v>
      </c>
      <c r="S106" s="273">
        <v>532321</v>
      </c>
      <c r="T106" s="273">
        <v>319605</v>
      </c>
      <c r="U106" s="273">
        <v>348024</v>
      </c>
      <c r="V106" s="273">
        <v>454548</v>
      </c>
      <c r="W106" s="273">
        <v>477095</v>
      </c>
      <c r="X106" s="273">
        <v>369225</v>
      </c>
    </row>
    <row r="107" spans="1:24" ht="14.25" thickBot="1" x14ac:dyDescent="0.3">
      <c r="A107" s="225" t="s">
        <v>22</v>
      </c>
      <c r="B107" s="275">
        <v>16350</v>
      </c>
      <c r="C107" s="275">
        <v>15469</v>
      </c>
      <c r="D107" s="275">
        <v>15936</v>
      </c>
      <c r="E107" s="275">
        <v>15902</v>
      </c>
      <c r="F107" s="275">
        <v>17000</v>
      </c>
      <c r="G107" s="275">
        <v>17869</v>
      </c>
      <c r="H107" s="275">
        <v>18654</v>
      </c>
      <c r="I107" s="275">
        <v>14304</v>
      </c>
      <c r="J107" s="275">
        <v>14697</v>
      </c>
      <c r="K107" s="275">
        <v>16492</v>
      </c>
      <c r="L107" s="275">
        <v>15401</v>
      </c>
      <c r="M107" s="274">
        <v>0</v>
      </c>
      <c r="N107" s="274">
        <v>0</v>
      </c>
      <c r="O107" s="274">
        <v>0</v>
      </c>
      <c r="P107" s="274">
        <v>0</v>
      </c>
      <c r="Q107" s="274">
        <v>0</v>
      </c>
      <c r="R107" s="274">
        <v>0</v>
      </c>
      <c r="S107" s="274">
        <v>0</v>
      </c>
      <c r="T107" s="274">
        <v>0</v>
      </c>
      <c r="U107" s="274">
        <v>0</v>
      </c>
      <c r="V107" s="274">
        <v>0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848504</v>
      </c>
      <c r="C108" s="273">
        <v>875066</v>
      </c>
      <c r="D108" s="273">
        <v>821071</v>
      </c>
      <c r="E108" s="273">
        <v>844111</v>
      </c>
      <c r="F108" s="273">
        <v>810770</v>
      </c>
      <c r="G108" s="273">
        <v>902764</v>
      </c>
      <c r="H108" s="273">
        <v>891587</v>
      </c>
      <c r="I108" s="273">
        <v>934502</v>
      </c>
      <c r="J108" s="273">
        <v>985373</v>
      </c>
      <c r="K108" s="273">
        <v>1026352</v>
      </c>
      <c r="L108" s="273">
        <v>1033681</v>
      </c>
      <c r="M108" s="273">
        <v>1089837</v>
      </c>
      <c r="N108" s="273">
        <v>1020640</v>
      </c>
      <c r="O108" s="273">
        <v>1035871</v>
      </c>
      <c r="P108" s="273">
        <v>1067676</v>
      </c>
      <c r="Q108" s="273">
        <v>1052717</v>
      </c>
      <c r="R108" s="273">
        <v>970269</v>
      </c>
      <c r="S108" s="273">
        <v>1051483</v>
      </c>
      <c r="T108" s="273">
        <v>1043437</v>
      </c>
      <c r="U108" s="273">
        <v>1095398</v>
      </c>
      <c r="V108" s="273">
        <v>994086</v>
      </c>
      <c r="W108" s="273">
        <v>1076005</v>
      </c>
      <c r="X108" s="273">
        <v>1067284</v>
      </c>
    </row>
    <row r="109" spans="1:24" ht="14.25" thickBot="1" x14ac:dyDescent="0.3">
      <c r="A109" s="225" t="s">
        <v>264</v>
      </c>
      <c r="B109" s="275">
        <v>568758</v>
      </c>
      <c r="C109" s="275">
        <v>552309</v>
      </c>
      <c r="D109" s="275">
        <v>573933</v>
      </c>
      <c r="E109" s="275">
        <v>543767</v>
      </c>
      <c r="F109" s="275">
        <v>558378</v>
      </c>
      <c r="G109" s="275">
        <v>545746</v>
      </c>
      <c r="H109" s="275">
        <v>614550</v>
      </c>
      <c r="I109" s="275">
        <v>651954</v>
      </c>
      <c r="J109" s="275">
        <v>665404</v>
      </c>
      <c r="K109" s="275">
        <v>657789</v>
      </c>
      <c r="L109" s="275">
        <v>720289</v>
      </c>
      <c r="M109" s="275">
        <v>787723</v>
      </c>
      <c r="N109" s="275">
        <v>847974</v>
      </c>
      <c r="O109" s="275">
        <v>885753</v>
      </c>
      <c r="P109" s="275">
        <v>891222</v>
      </c>
      <c r="Q109" s="275">
        <v>849202</v>
      </c>
      <c r="R109" s="275">
        <v>799326</v>
      </c>
      <c r="S109" s="275">
        <v>758565</v>
      </c>
      <c r="T109" s="275">
        <v>769040</v>
      </c>
      <c r="U109" s="275">
        <v>780801</v>
      </c>
      <c r="V109" s="275">
        <v>761795</v>
      </c>
      <c r="W109" s="275">
        <v>793822</v>
      </c>
      <c r="X109" s="275">
        <v>829554</v>
      </c>
    </row>
    <row r="110" spans="1:24" ht="14.25" thickBot="1" x14ac:dyDescent="0.3">
      <c r="A110" s="224" t="s">
        <v>23</v>
      </c>
      <c r="B110" s="273">
        <v>231053</v>
      </c>
      <c r="C110" s="273">
        <v>211849</v>
      </c>
      <c r="D110" s="273">
        <v>180008</v>
      </c>
      <c r="E110" s="273">
        <v>135351</v>
      </c>
      <c r="F110" s="273">
        <v>143335</v>
      </c>
      <c r="G110" s="273">
        <v>130992</v>
      </c>
      <c r="H110" s="273">
        <v>129531</v>
      </c>
      <c r="I110" s="273">
        <v>119366</v>
      </c>
      <c r="J110" s="273">
        <v>66390</v>
      </c>
      <c r="K110" s="273">
        <v>86376</v>
      </c>
      <c r="L110" s="273">
        <v>83299</v>
      </c>
      <c r="M110" s="273">
        <v>133334</v>
      </c>
      <c r="N110" s="273">
        <v>126385</v>
      </c>
      <c r="O110" s="273">
        <v>99365</v>
      </c>
      <c r="P110" s="273">
        <v>97518</v>
      </c>
      <c r="Q110" s="273">
        <v>88406</v>
      </c>
      <c r="R110" s="273">
        <v>91750</v>
      </c>
      <c r="S110" s="273">
        <v>109854</v>
      </c>
      <c r="T110" s="273">
        <v>118100</v>
      </c>
      <c r="U110" s="273">
        <v>101096</v>
      </c>
      <c r="V110" s="273">
        <v>102392</v>
      </c>
      <c r="W110" s="273">
        <v>120716</v>
      </c>
      <c r="X110" s="273">
        <v>106415</v>
      </c>
    </row>
    <row r="111" spans="1:24" ht="14.25" thickBot="1" x14ac:dyDescent="0.3">
      <c r="A111" s="225" t="s">
        <v>24</v>
      </c>
      <c r="B111" s="275">
        <v>2225711</v>
      </c>
      <c r="C111" s="275">
        <v>2277840</v>
      </c>
      <c r="D111" s="275">
        <v>1964662</v>
      </c>
      <c r="E111" s="275">
        <v>2076221</v>
      </c>
      <c r="F111" s="275">
        <v>2166819</v>
      </c>
      <c r="G111" s="275">
        <v>2315234</v>
      </c>
      <c r="H111" s="275">
        <v>2086296</v>
      </c>
      <c r="I111" s="275">
        <v>2214304</v>
      </c>
      <c r="J111" s="275">
        <v>2314540</v>
      </c>
      <c r="K111" s="275">
        <v>2468748</v>
      </c>
      <c r="L111" s="275">
        <v>2200542</v>
      </c>
      <c r="M111" s="275">
        <v>2362410</v>
      </c>
      <c r="N111" s="275">
        <v>2409565</v>
      </c>
      <c r="O111" s="275">
        <v>2435419</v>
      </c>
      <c r="P111" s="275">
        <v>2316124</v>
      </c>
      <c r="Q111" s="275">
        <v>2348820</v>
      </c>
      <c r="R111" s="275">
        <v>2297529</v>
      </c>
      <c r="S111" s="275">
        <v>2452223</v>
      </c>
      <c r="T111" s="275">
        <v>2250182</v>
      </c>
      <c r="U111" s="275">
        <v>2325319</v>
      </c>
      <c r="V111" s="275">
        <v>2312821</v>
      </c>
      <c r="W111" s="275">
        <v>2467638</v>
      </c>
      <c r="X111" s="275">
        <v>2372478</v>
      </c>
    </row>
    <row r="112" spans="1:24" ht="14.25" thickBot="1" x14ac:dyDescent="0.3">
      <c r="A112" s="224" t="s">
        <v>25</v>
      </c>
      <c r="B112" s="273">
        <v>38875</v>
      </c>
      <c r="C112" s="273">
        <v>42611</v>
      </c>
      <c r="D112" s="273">
        <v>43304</v>
      </c>
      <c r="E112" s="273">
        <v>21199</v>
      </c>
      <c r="F112" s="273">
        <v>25750</v>
      </c>
      <c r="G112" s="273">
        <v>26480</v>
      </c>
      <c r="H112" s="273">
        <v>36007</v>
      </c>
      <c r="I112" s="273">
        <v>36133</v>
      </c>
      <c r="J112" s="273">
        <v>39866</v>
      </c>
      <c r="K112" s="273">
        <v>39932</v>
      </c>
      <c r="L112" s="273">
        <v>38928</v>
      </c>
      <c r="M112" s="273">
        <v>52631</v>
      </c>
      <c r="N112" s="273">
        <v>64563</v>
      </c>
      <c r="O112" s="273">
        <v>77926</v>
      </c>
      <c r="P112" s="273">
        <v>78326</v>
      </c>
      <c r="Q112" s="273">
        <v>84740</v>
      </c>
      <c r="R112" s="273">
        <v>87994</v>
      </c>
      <c r="S112" s="273">
        <v>74603</v>
      </c>
      <c r="T112" s="273">
        <v>79503</v>
      </c>
      <c r="U112" s="273">
        <v>77190</v>
      </c>
      <c r="V112" s="273">
        <v>84252</v>
      </c>
      <c r="W112" s="273">
        <v>86529</v>
      </c>
      <c r="X112" s="273">
        <v>83034</v>
      </c>
    </row>
    <row r="113" spans="1:24" ht="14.25" thickBot="1" x14ac:dyDescent="0.3">
      <c r="A113" s="225" t="s">
        <v>26</v>
      </c>
      <c r="B113" s="275">
        <v>693961</v>
      </c>
      <c r="C113" s="275">
        <v>721133</v>
      </c>
      <c r="D113" s="275">
        <v>789639</v>
      </c>
      <c r="E113" s="275">
        <v>800186</v>
      </c>
      <c r="F113" s="275">
        <v>812286</v>
      </c>
      <c r="G113" s="275">
        <v>859003</v>
      </c>
      <c r="H113" s="275">
        <v>894116</v>
      </c>
      <c r="I113" s="275">
        <v>1056161</v>
      </c>
      <c r="J113" s="275">
        <v>1039726</v>
      </c>
      <c r="K113" s="275">
        <v>1016479</v>
      </c>
      <c r="L113" s="275">
        <v>1037028</v>
      </c>
      <c r="M113" s="275">
        <v>1249419</v>
      </c>
      <c r="N113" s="275">
        <v>1242773</v>
      </c>
      <c r="O113" s="275">
        <v>1240869</v>
      </c>
      <c r="P113" s="275">
        <v>1250247</v>
      </c>
      <c r="Q113" s="275">
        <v>1229533</v>
      </c>
      <c r="R113" s="275">
        <v>1217394</v>
      </c>
      <c r="S113" s="275">
        <v>1186398</v>
      </c>
      <c r="T113" s="275">
        <v>1166872</v>
      </c>
      <c r="U113" s="275">
        <v>1165016</v>
      </c>
      <c r="V113" s="275">
        <v>1193238</v>
      </c>
      <c r="W113" s="275">
        <v>1214009</v>
      </c>
      <c r="X113" s="275">
        <v>1254598</v>
      </c>
    </row>
    <row r="114" spans="1:24" ht="14.25" thickBot="1" x14ac:dyDescent="0.3">
      <c r="A114" s="224" t="s">
        <v>27</v>
      </c>
      <c r="B114" s="273">
        <v>106258</v>
      </c>
      <c r="C114" s="273">
        <v>106932</v>
      </c>
      <c r="D114" s="273">
        <v>102900</v>
      </c>
      <c r="E114" s="273">
        <v>109743</v>
      </c>
      <c r="F114" s="273">
        <v>185834</v>
      </c>
      <c r="G114" s="273">
        <v>189840</v>
      </c>
      <c r="H114" s="273">
        <v>206839</v>
      </c>
      <c r="I114" s="273">
        <v>168323</v>
      </c>
      <c r="J114" s="273">
        <v>171758</v>
      </c>
      <c r="K114" s="273">
        <v>177387</v>
      </c>
      <c r="L114" s="273">
        <v>168811</v>
      </c>
      <c r="M114" s="273">
        <v>164777</v>
      </c>
      <c r="N114" s="273">
        <v>170613</v>
      </c>
      <c r="O114" s="273">
        <v>173807</v>
      </c>
      <c r="P114" s="273">
        <v>172580</v>
      </c>
      <c r="Q114" s="273">
        <v>163951</v>
      </c>
      <c r="R114" s="273">
        <v>164609</v>
      </c>
      <c r="S114" s="273">
        <v>164778</v>
      </c>
      <c r="T114" s="273">
        <v>159983</v>
      </c>
      <c r="U114" s="273">
        <v>165723</v>
      </c>
      <c r="V114" s="273">
        <v>176365</v>
      </c>
      <c r="W114" s="273">
        <v>179904</v>
      </c>
      <c r="X114" s="273">
        <v>170642</v>
      </c>
    </row>
    <row r="115" spans="1:24" ht="14.25" thickBot="1" x14ac:dyDescent="0.3">
      <c r="A115" s="225" t="s">
        <v>265</v>
      </c>
      <c r="B115" s="276">
        <v>3064805</v>
      </c>
      <c r="C115" s="276">
        <v>3148516</v>
      </c>
      <c r="D115" s="276">
        <v>2900505</v>
      </c>
      <c r="E115" s="276">
        <v>3007349</v>
      </c>
      <c r="F115" s="276">
        <v>3190689</v>
      </c>
      <c r="G115" s="276">
        <v>3390557</v>
      </c>
      <c r="H115" s="276">
        <v>3223258</v>
      </c>
      <c r="I115" s="276">
        <v>3474921</v>
      </c>
      <c r="J115" s="276">
        <v>3565890</v>
      </c>
      <c r="K115" s="276">
        <v>3702546</v>
      </c>
      <c r="L115" s="276">
        <v>3445309</v>
      </c>
      <c r="M115" s="276">
        <v>3829237</v>
      </c>
      <c r="N115" s="276">
        <v>3887514</v>
      </c>
      <c r="O115" s="276">
        <v>3928021</v>
      </c>
      <c r="P115" s="276">
        <v>3817277</v>
      </c>
      <c r="Q115" s="276">
        <v>3827044</v>
      </c>
      <c r="R115" s="276">
        <v>3767526</v>
      </c>
      <c r="S115" s="276">
        <v>3878002</v>
      </c>
      <c r="T115" s="276">
        <v>3656540</v>
      </c>
      <c r="U115" s="276">
        <v>3733248</v>
      </c>
      <c r="V115" s="276">
        <v>3766676</v>
      </c>
      <c r="W115" s="276">
        <v>3948080</v>
      </c>
      <c r="X115" s="276">
        <v>3880752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4060</v>
      </c>
      <c r="C118" s="273">
        <v>6057</v>
      </c>
      <c r="D118" s="68">
        <v>0</v>
      </c>
      <c r="E118" s="68">
        <v>0</v>
      </c>
      <c r="F118" s="68">
        <v>0</v>
      </c>
      <c r="G118" s="273">
        <v>5418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273">
        <v>160000</v>
      </c>
      <c r="Q118" s="273">
        <v>70000</v>
      </c>
      <c r="R118" s="68">
        <v>0</v>
      </c>
      <c r="S118" s="68">
        <v>0</v>
      </c>
      <c r="T118" s="273">
        <v>80000</v>
      </c>
      <c r="U118" s="273">
        <v>120000</v>
      </c>
      <c r="V118" s="273">
        <v>60000</v>
      </c>
      <c r="W118" s="273">
        <v>60000</v>
      </c>
      <c r="X118" s="273">
        <v>151714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132887</v>
      </c>
      <c r="C120" s="273">
        <v>119906</v>
      </c>
      <c r="D120" s="273">
        <v>79688</v>
      </c>
      <c r="E120" s="273">
        <v>107484</v>
      </c>
      <c r="F120" s="273">
        <v>103558</v>
      </c>
      <c r="G120" s="273">
        <v>113046</v>
      </c>
      <c r="H120" s="273">
        <v>112188</v>
      </c>
      <c r="I120" s="273">
        <v>127170</v>
      </c>
      <c r="J120" s="273">
        <v>130551</v>
      </c>
      <c r="K120" s="273">
        <v>125166</v>
      </c>
      <c r="L120" s="273">
        <v>127000</v>
      </c>
      <c r="M120" s="273">
        <v>117180</v>
      </c>
      <c r="N120" s="273">
        <v>156874</v>
      </c>
      <c r="O120" s="273">
        <v>145783</v>
      </c>
      <c r="P120" s="273">
        <v>92917</v>
      </c>
      <c r="Q120" s="273">
        <v>114694</v>
      </c>
      <c r="R120" s="273">
        <v>121629</v>
      </c>
      <c r="S120" s="273">
        <v>127435</v>
      </c>
      <c r="T120" s="273">
        <v>115480</v>
      </c>
      <c r="U120" s="273">
        <v>121692</v>
      </c>
      <c r="V120" s="273">
        <v>145329</v>
      </c>
      <c r="W120" s="273">
        <v>160931</v>
      </c>
      <c r="X120" s="273">
        <v>168975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20232</v>
      </c>
      <c r="C122" s="273">
        <v>25976</v>
      </c>
      <c r="D122" s="273">
        <v>25628</v>
      </c>
      <c r="E122" s="273">
        <v>20793</v>
      </c>
      <c r="F122" s="273">
        <v>19723</v>
      </c>
      <c r="G122" s="273">
        <v>18137</v>
      </c>
      <c r="H122" s="273">
        <v>16213</v>
      </c>
      <c r="I122" s="273">
        <v>14748</v>
      </c>
      <c r="J122" s="273">
        <v>12900</v>
      </c>
      <c r="K122" s="273">
        <v>11317</v>
      </c>
      <c r="L122" s="273">
        <v>9981</v>
      </c>
      <c r="M122" s="273">
        <v>27271</v>
      </c>
      <c r="N122" s="273">
        <v>26953</v>
      </c>
      <c r="O122" s="273">
        <v>20056</v>
      </c>
      <c r="P122" s="273">
        <v>14381</v>
      </c>
      <c r="Q122" s="273">
        <v>65374</v>
      </c>
      <c r="R122" s="273">
        <v>60923</v>
      </c>
      <c r="S122" s="273">
        <v>63269</v>
      </c>
      <c r="T122" s="273">
        <v>65050</v>
      </c>
      <c r="U122" s="68">
        <v>0</v>
      </c>
      <c r="V122" s="68">
        <v>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302737</v>
      </c>
      <c r="C123" s="275">
        <v>565176</v>
      </c>
      <c r="D123" s="275">
        <v>285920</v>
      </c>
      <c r="E123" s="275">
        <v>289797</v>
      </c>
      <c r="F123" s="275">
        <v>271131</v>
      </c>
      <c r="G123" s="275">
        <v>574616</v>
      </c>
      <c r="H123" s="275">
        <v>297565</v>
      </c>
      <c r="I123" s="275">
        <v>368394</v>
      </c>
      <c r="J123" s="275">
        <v>315138</v>
      </c>
      <c r="K123" s="275">
        <v>761461</v>
      </c>
      <c r="L123" s="275">
        <v>326915</v>
      </c>
      <c r="M123" s="275">
        <v>429064</v>
      </c>
      <c r="N123" s="275">
        <v>354955</v>
      </c>
      <c r="O123" s="275">
        <v>667100</v>
      </c>
      <c r="P123" s="275">
        <v>256730</v>
      </c>
      <c r="Q123" s="275">
        <v>303214</v>
      </c>
      <c r="R123" s="275">
        <v>294776</v>
      </c>
      <c r="S123" s="275">
        <v>653708</v>
      </c>
      <c r="T123" s="275">
        <v>288167</v>
      </c>
      <c r="U123" s="275">
        <v>367271</v>
      </c>
      <c r="V123" s="275">
        <v>403590</v>
      </c>
      <c r="W123" s="275">
        <v>714518</v>
      </c>
      <c r="X123" s="275">
        <v>335482</v>
      </c>
    </row>
    <row r="124" spans="1:24" ht="14.25" thickBot="1" x14ac:dyDescent="0.3">
      <c r="A124" s="224" t="s">
        <v>268</v>
      </c>
      <c r="B124" s="273">
        <v>459916</v>
      </c>
      <c r="C124" s="273">
        <v>717115</v>
      </c>
      <c r="D124" s="273">
        <v>391236</v>
      </c>
      <c r="E124" s="273">
        <v>418074</v>
      </c>
      <c r="F124" s="273">
        <v>394412</v>
      </c>
      <c r="G124" s="273">
        <v>711217</v>
      </c>
      <c r="H124" s="273">
        <v>425966</v>
      </c>
      <c r="I124" s="273">
        <v>510312</v>
      </c>
      <c r="J124" s="273">
        <v>458589</v>
      </c>
      <c r="K124" s="273">
        <v>897944</v>
      </c>
      <c r="L124" s="273">
        <v>463896</v>
      </c>
      <c r="M124" s="273">
        <v>573515</v>
      </c>
      <c r="N124" s="273">
        <v>538782</v>
      </c>
      <c r="O124" s="273">
        <v>832939</v>
      </c>
      <c r="P124" s="273">
        <v>524028</v>
      </c>
      <c r="Q124" s="273">
        <v>553282</v>
      </c>
      <c r="R124" s="273">
        <v>477328</v>
      </c>
      <c r="S124" s="273">
        <v>844412</v>
      </c>
      <c r="T124" s="273">
        <v>548697</v>
      </c>
      <c r="U124" s="273">
        <v>608963</v>
      </c>
      <c r="V124" s="273">
        <v>608919</v>
      </c>
      <c r="W124" s="273">
        <v>935449</v>
      </c>
      <c r="X124" s="273">
        <v>656171</v>
      </c>
    </row>
    <row r="125" spans="1:24" ht="14.25" thickBot="1" x14ac:dyDescent="0.3">
      <c r="A125" s="225" t="s">
        <v>32</v>
      </c>
      <c r="B125" s="275">
        <v>90178</v>
      </c>
      <c r="C125" s="275">
        <v>71904</v>
      </c>
      <c r="D125" s="275">
        <v>64734</v>
      </c>
      <c r="E125" s="275">
        <v>62378</v>
      </c>
      <c r="F125" s="275">
        <v>453928</v>
      </c>
      <c r="G125" s="275">
        <v>459204</v>
      </c>
      <c r="H125" s="275">
        <v>458991</v>
      </c>
      <c r="I125" s="275">
        <v>469482</v>
      </c>
      <c r="J125" s="275">
        <v>469903</v>
      </c>
      <c r="K125" s="275">
        <v>466828</v>
      </c>
      <c r="L125" s="275">
        <v>477080</v>
      </c>
      <c r="M125" s="275">
        <v>623535</v>
      </c>
      <c r="N125" s="275">
        <v>618453</v>
      </c>
      <c r="O125" s="275">
        <v>618652</v>
      </c>
      <c r="P125" s="275">
        <v>635696</v>
      </c>
      <c r="Q125" s="275">
        <v>550746</v>
      </c>
      <c r="R125" s="275">
        <v>479975</v>
      </c>
      <c r="S125" s="275">
        <v>451987</v>
      </c>
      <c r="T125" s="275">
        <v>446122</v>
      </c>
      <c r="U125" s="275">
        <v>358518</v>
      </c>
      <c r="V125" s="275">
        <v>360136</v>
      </c>
      <c r="W125" s="275">
        <v>376825</v>
      </c>
      <c r="X125" s="275">
        <v>411328</v>
      </c>
    </row>
    <row r="126" spans="1:24" ht="14.25" thickBot="1" x14ac:dyDescent="0.3">
      <c r="A126" s="224" t="s">
        <v>33</v>
      </c>
      <c r="B126" s="273">
        <v>280487</v>
      </c>
      <c r="C126" s="273">
        <v>283978</v>
      </c>
      <c r="D126" s="273">
        <v>289204</v>
      </c>
      <c r="E126" s="273">
        <v>289212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830581</v>
      </c>
      <c r="C127" s="275">
        <v>1072997</v>
      </c>
      <c r="D127" s="275">
        <v>745174</v>
      </c>
      <c r="E127" s="275">
        <v>769664</v>
      </c>
      <c r="F127" s="275">
        <v>848340</v>
      </c>
      <c r="G127" s="275">
        <v>1170421</v>
      </c>
      <c r="H127" s="275">
        <v>884957</v>
      </c>
      <c r="I127" s="275">
        <v>979794</v>
      </c>
      <c r="J127" s="275">
        <v>928492</v>
      </c>
      <c r="K127" s="275">
        <v>1364772</v>
      </c>
      <c r="L127" s="275">
        <v>940976</v>
      </c>
      <c r="M127" s="275">
        <v>1197050</v>
      </c>
      <c r="N127" s="275">
        <v>1157235</v>
      </c>
      <c r="O127" s="275">
        <v>1451591</v>
      </c>
      <c r="P127" s="275">
        <v>1159724</v>
      </c>
      <c r="Q127" s="275">
        <v>1104028</v>
      </c>
      <c r="R127" s="275">
        <v>957303</v>
      </c>
      <c r="S127" s="275">
        <v>1296399</v>
      </c>
      <c r="T127" s="275">
        <v>994819</v>
      </c>
      <c r="U127" s="275">
        <v>967481</v>
      </c>
      <c r="V127" s="275">
        <v>969055</v>
      </c>
      <c r="W127" s="275">
        <v>1312274</v>
      </c>
      <c r="X127" s="275">
        <v>1067499</v>
      </c>
    </row>
    <row r="128" spans="1:24" ht="14.25" thickBot="1" x14ac:dyDescent="0.3">
      <c r="A128" s="224" t="s">
        <v>34</v>
      </c>
      <c r="B128" s="273">
        <v>2234224</v>
      </c>
      <c r="C128" s="273">
        <v>2075519</v>
      </c>
      <c r="D128" s="273">
        <v>2155331</v>
      </c>
      <c r="E128" s="273">
        <v>2237685</v>
      </c>
      <c r="F128" s="273">
        <v>2342349</v>
      </c>
      <c r="G128" s="273">
        <v>2220136</v>
      </c>
      <c r="H128" s="273">
        <v>2338301</v>
      </c>
      <c r="I128" s="273">
        <v>2495127</v>
      </c>
      <c r="J128" s="273">
        <v>2637398</v>
      </c>
      <c r="K128" s="273">
        <v>2337774</v>
      </c>
      <c r="L128" s="273">
        <v>2504333</v>
      </c>
      <c r="M128" s="273">
        <v>2632187</v>
      </c>
      <c r="N128" s="273">
        <v>2730279</v>
      </c>
      <c r="O128" s="273">
        <v>2476430</v>
      </c>
      <c r="P128" s="273">
        <v>2657553</v>
      </c>
      <c r="Q128" s="273">
        <v>2723016</v>
      </c>
      <c r="R128" s="273">
        <v>2810223</v>
      </c>
      <c r="S128" s="273">
        <v>2581603</v>
      </c>
      <c r="T128" s="273">
        <v>2661721</v>
      </c>
      <c r="U128" s="273">
        <v>2765767</v>
      </c>
      <c r="V128" s="273">
        <v>2797621</v>
      </c>
      <c r="W128" s="273">
        <v>2635806</v>
      </c>
      <c r="X128" s="273">
        <v>2813253</v>
      </c>
    </row>
    <row r="129" spans="1:24" ht="14.25" thickBot="1" x14ac:dyDescent="0.3">
      <c r="A129" s="225" t="s">
        <v>35</v>
      </c>
      <c r="B129" s="276">
        <v>3064805</v>
      </c>
      <c r="C129" s="276">
        <v>3148516</v>
      </c>
      <c r="D129" s="276">
        <v>2900505</v>
      </c>
      <c r="E129" s="276">
        <v>3007349</v>
      </c>
      <c r="F129" s="276">
        <v>3190689</v>
      </c>
      <c r="G129" s="276">
        <v>3390557</v>
      </c>
      <c r="H129" s="276">
        <v>3223258</v>
      </c>
      <c r="I129" s="276">
        <v>3474921</v>
      </c>
      <c r="J129" s="276">
        <v>3565890</v>
      </c>
      <c r="K129" s="276">
        <v>3702546</v>
      </c>
      <c r="L129" s="276">
        <v>3445309</v>
      </c>
      <c r="M129" s="276">
        <v>3829237</v>
      </c>
      <c r="N129" s="276">
        <v>3887514</v>
      </c>
      <c r="O129" s="276">
        <v>3928021</v>
      </c>
      <c r="P129" s="276">
        <v>3817277</v>
      </c>
      <c r="Q129" s="276">
        <v>3827044</v>
      </c>
      <c r="R129" s="276">
        <v>3767526</v>
      </c>
      <c r="S129" s="276">
        <v>3878002</v>
      </c>
      <c r="T129" s="276">
        <v>3656540</v>
      </c>
      <c r="U129" s="276">
        <v>3733248</v>
      </c>
      <c r="V129" s="276">
        <v>3766676</v>
      </c>
      <c r="W129" s="276">
        <v>3948080</v>
      </c>
      <c r="X129" s="276">
        <v>3880752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7.54</v>
      </c>
      <c r="C132" s="68">
        <v>7.32</v>
      </c>
      <c r="D132" s="68">
        <v>5.55</v>
      </c>
      <c r="E132" s="68">
        <v>4.7</v>
      </c>
      <c r="F132" s="68">
        <v>7.59</v>
      </c>
    </row>
    <row r="133" spans="1:24" ht="14.25" thickBot="1" x14ac:dyDescent="0.3">
      <c r="A133" s="225" t="s">
        <v>37</v>
      </c>
      <c r="B133" s="274">
        <v>-2.64</v>
      </c>
      <c r="C133" s="274">
        <v>-3.63</v>
      </c>
      <c r="D133" s="274">
        <v>-2.46</v>
      </c>
      <c r="E133" s="274">
        <v>-1</v>
      </c>
      <c r="F133" s="274">
        <v>-1.51</v>
      </c>
    </row>
    <row r="134" spans="1:24" ht="14.25" thickBot="1" x14ac:dyDescent="0.3">
      <c r="A134" s="224" t="s">
        <v>38</v>
      </c>
      <c r="B134" s="68">
        <v>-2.38</v>
      </c>
      <c r="C134" s="68">
        <v>-3.56</v>
      </c>
      <c r="D134" s="68">
        <v>-5.33</v>
      </c>
      <c r="E134" s="68">
        <v>-3.45</v>
      </c>
      <c r="F134" s="68">
        <v>-5.15</v>
      </c>
    </row>
    <row r="135" spans="1:24" ht="14.25" thickBot="1" x14ac:dyDescent="0.3">
      <c r="A135" s="225" t="s">
        <v>270</v>
      </c>
      <c r="B135" s="274">
        <v>4.9000000000000004</v>
      </c>
      <c r="C135" s="274">
        <v>3.69</v>
      </c>
      <c r="D135" s="274">
        <v>3.1</v>
      </c>
      <c r="E135" s="274">
        <v>3.7</v>
      </c>
      <c r="F135" s="274">
        <v>6.08</v>
      </c>
    </row>
    <row r="136" spans="1:24" ht="14.25" thickBot="1" x14ac:dyDescent="0.3">
      <c r="A136" s="229" t="s">
        <v>39</v>
      </c>
      <c r="B136" s="72">
        <v>2.52</v>
      </c>
      <c r="C136" s="72">
        <v>0.14000000000000001</v>
      </c>
      <c r="D136" s="72">
        <v>-2.23</v>
      </c>
      <c r="E136" s="72">
        <v>0.24</v>
      </c>
      <c r="F136" s="72">
        <v>0.93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保留盈餘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3.2</v>
      </c>
      <c r="C140" s="68">
        <v>5</v>
      </c>
      <c r="D140" s="68">
        <v>4</v>
      </c>
      <c r="E140" s="68">
        <v>4</v>
      </c>
      <c r="F140" s="68">
        <v>4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0.7407407407407407</v>
      </c>
      <c r="C142" s="234">
        <f>IF(C140&lt;&gt;"無",IF(ISNA(HLOOKUP(C139,$B$64:$F$69,6,FALSE)),"",C140/HLOOKUP(C139,$B$64:$F$69,6,FALSE)),"")</f>
        <v>0.82508250825082519</v>
      </c>
      <c r="D142" s="234">
        <f>IF(D140&lt;&gt;"無",IF(ISNA(HLOOKUP(D139,$B$64:$F$69,6,FALSE)),"",D140/HLOOKUP(D139,$B$64:$F$69,6,FALSE)),"")</f>
        <v>0.63391442155309041</v>
      </c>
      <c r="E142" s="234">
        <f>IF(E140&lt;&gt;"無",IF(ISNA(HLOOKUP(E139,$B$64:$F$69,6,FALSE)),"",E140/HLOOKUP(E139,$B$64:$F$69,6,FALSE)),"")</f>
        <v>0.78585461689587432</v>
      </c>
      <c r="F142" s="234">
        <f>IF(F140&lt;&gt;"無",IF(ISNA(HLOOKUP(F139,$B$64:$F$69,6,FALSE)),"",F140/HLOOKUP(F139,$B$64:$F$69,6,FALSE)),"")</f>
        <v>0.68143100511073251</v>
      </c>
    </row>
    <row r="143" spans="1:24" x14ac:dyDescent="0.25">
      <c r="A143" s="233" t="s">
        <v>216</v>
      </c>
      <c r="B143" s="234">
        <f>IF(OR(B140=0,B140="無"),"",B135/B140)</f>
        <v>1.53125</v>
      </c>
      <c r="C143" s="234">
        <f>IF(OR(C140=0,C140="無"),"",C135/C140)</f>
        <v>0.73799999999999999</v>
      </c>
      <c r="D143" s="234">
        <f>IF(OR(D140=0,D140="無"),"",D135/D140)</f>
        <v>0.77500000000000002</v>
      </c>
      <c r="E143" s="234">
        <f>IF(OR(E140=0,E140="無"),"",E135/E140)</f>
        <v>0.92500000000000004</v>
      </c>
      <c r="F143" s="234">
        <f>IF(OR(F140=0,F140="無"),"",F135/F140)</f>
        <v>1.52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33.950000000000003</v>
      </c>
      <c r="C146" s="68">
        <v>36.6</v>
      </c>
      <c r="D146" s="68">
        <v>34.31</v>
      </c>
      <c r="E146" s="68">
        <v>33.28</v>
      </c>
      <c r="F146" s="68">
        <v>36.619999999999997</v>
      </c>
      <c r="G146" s="68">
        <v>37.619999999999997</v>
      </c>
      <c r="H146" s="68">
        <v>36.79</v>
      </c>
      <c r="I146" s="68">
        <v>36.26</v>
      </c>
      <c r="J146" s="68">
        <v>36.61</v>
      </c>
      <c r="K146" s="68">
        <v>38.22</v>
      </c>
      <c r="L146" s="68">
        <v>36.85</v>
      </c>
      <c r="M146" s="68">
        <v>36.21</v>
      </c>
      <c r="N146" s="68">
        <v>35.92</v>
      </c>
      <c r="O146" s="68">
        <v>34.729999999999997</v>
      </c>
      <c r="P146" s="68">
        <v>33.11</v>
      </c>
      <c r="Q146" s="68">
        <v>33.159999999999997</v>
      </c>
      <c r="R146" s="68">
        <v>33.770000000000003</v>
      </c>
      <c r="S146" s="68">
        <v>37.44</v>
      </c>
      <c r="T146" s="68">
        <v>36.93</v>
      </c>
      <c r="U146" s="68">
        <v>36.22</v>
      </c>
      <c r="V146" s="68">
        <v>35.72</v>
      </c>
      <c r="W146" s="68">
        <v>35.159999999999997</v>
      </c>
      <c r="X146" s="68">
        <v>35.340000000000003</v>
      </c>
    </row>
    <row r="147" spans="1:24" s="93" customFormat="1" ht="14.25" thickBot="1" x14ac:dyDescent="0.3">
      <c r="A147" s="225" t="s">
        <v>19</v>
      </c>
      <c r="B147" s="274">
        <v>20.49</v>
      </c>
      <c r="C147" s="274">
        <v>23.31</v>
      </c>
      <c r="D147" s="274">
        <v>20.309999999999999</v>
      </c>
      <c r="E147" s="274">
        <v>21.09</v>
      </c>
      <c r="F147" s="274">
        <v>22.23</v>
      </c>
      <c r="G147" s="274">
        <v>24.44</v>
      </c>
      <c r="H147" s="274">
        <v>23.33</v>
      </c>
      <c r="I147" s="274">
        <v>21.06</v>
      </c>
      <c r="J147" s="274">
        <v>23.63</v>
      </c>
      <c r="K147" s="274">
        <v>25.7</v>
      </c>
      <c r="L147" s="274">
        <v>23.32</v>
      </c>
      <c r="M147" s="274">
        <v>17.45</v>
      </c>
      <c r="N147" s="274">
        <v>21.25</v>
      </c>
      <c r="O147" s="274">
        <v>20.149999999999999</v>
      </c>
      <c r="P147" s="274">
        <v>18.84</v>
      </c>
      <c r="Q147" s="274">
        <v>17.21</v>
      </c>
      <c r="R147" s="274">
        <v>18.850000000000001</v>
      </c>
      <c r="S147" s="274">
        <v>22.72</v>
      </c>
      <c r="T147" s="274">
        <v>22.62</v>
      </c>
      <c r="U147" s="274">
        <v>18.68</v>
      </c>
      <c r="V147" s="274">
        <v>20.11</v>
      </c>
      <c r="W147" s="274">
        <v>21.79</v>
      </c>
      <c r="X147" s="274">
        <v>22.24</v>
      </c>
    </row>
    <row r="148" spans="1:24" s="93" customFormat="1" ht="14.25" thickBot="1" x14ac:dyDescent="0.3">
      <c r="A148" s="224" t="s">
        <v>41</v>
      </c>
      <c r="B148" s="68">
        <v>20.41</v>
      </c>
      <c r="C148" s="68">
        <v>23.27</v>
      </c>
      <c r="D148" s="68">
        <v>21.05</v>
      </c>
      <c r="E148" s="68">
        <v>21.72</v>
      </c>
      <c r="F148" s="68">
        <v>25.55</v>
      </c>
      <c r="G148" s="68">
        <v>25.96</v>
      </c>
      <c r="H148" s="68">
        <v>25.21</v>
      </c>
      <c r="I148" s="68">
        <v>29.36</v>
      </c>
      <c r="J148" s="68">
        <v>26.59</v>
      </c>
      <c r="K148" s="68">
        <v>24.9</v>
      </c>
      <c r="L148" s="68">
        <v>24.84</v>
      </c>
      <c r="M148" s="68">
        <v>21.33</v>
      </c>
      <c r="N148" s="68">
        <v>18.670000000000002</v>
      </c>
      <c r="O148" s="68">
        <v>20.89</v>
      </c>
      <c r="P148" s="68">
        <v>24.06</v>
      </c>
      <c r="Q148" s="68">
        <v>17.97</v>
      </c>
      <c r="R148" s="68">
        <v>19.84</v>
      </c>
      <c r="S148" s="68">
        <v>23.83</v>
      </c>
      <c r="T148" s="68">
        <v>20.48</v>
      </c>
      <c r="U148" s="68">
        <v>22.48</v>
      </c>
      <c r="V148" s="68">
        <v>16.89</v>
      </c>
      <c r="W148" s="68">
        <v>24.74</v>
      </c>
      <c r="X148" s="68">
        <v>25.69</v>
      </c>
    </row>
    <row r="149" spans="1:24" s="93" customFormat="1" ht="14.25" thickBot="1" x14ac:dyDescent="0.3">
      <c r="A149" s="225" t="s">
        <v>13</v>
      </c>
      <c r="B149" s="73">
        <v>11.76</v>
      </c>
      <c r="C149" s="73">
        <v>16.64</v>
      </c>
      <c r="D149" s="73">
        <v>16.190000000000001</v>
      </c>
      <c r="E149" s="73">
        <v>15.94</v>
      </c>
      <c r="F149" s="73">
        <v>19.27</v>
      </c>
      <c r="G149" s="73">
        <v>19.239999999999998</v>
      </c>
      <c r="H149" s="73">
        <v>19.71</v>
      </c>
      <c r="I149" s="73">
        <v>21.13</v>
      </c>
      <c r="J149" s="73">
        <v>20.32</v>
      </c>
      <c r="K149" s="73">
        <v>18.010000000000002</v>
      </c>
      <c r="L149" s="73">
        <v>18.940000000000001</v>
      </c>
      <c r="M149" s="73">
        <v>15.06</v>
      </c>
      <c r="N149" s="73">
        <v>14.33</v>
      </c>
      <c r="O149" s="73">
        <v>14.14</v>
      </c>
      <c r="P149" s="73">
        <v>19.14</v>
      </c>
      <c r="Q149" s="73">
        <v>13.05</v>
      </c>
      <c r="R149" s="73">
        <v>15.4</v>
      </c>
      <c r="S149" s="73">
        <v>17.510000000000002</v>
      </c>
      <c r="T149" s="73">
        <v>15.63</v>
      </c>
      <c r="U149" s="73">
        <v>17.079999999999998</v>
      </c>
      <c r="V149" s="73">
        <v>13.01</v>
      </c>
      <c r="W149" s="73">
        <v>18.13</v>
      </c>
      <c r="X149" s="73">
        <v>19.8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34.57</v>
      </c>
      <c r="C152" s="68">
        <v>36.89</v>
      </c>
      <c r="D152" s="68">
        <v>36.979999999999997</v>
      </c>
      <c r="E152" s="68">
        <v>34.25</v>
      </c>
      <c r="F152" s="68">
        <v>36.14</v>
      </c>
    </row>
    <row r="153" spans="1:24" s="93" customFormat="1" ht="14.25" thickBot="1" x14ac:dyDescent="0.3">
      <c r="A153" s="225" t="s">
        <v>19</v>
      </c>
      <c r="B153" s="274">
        <v>21.35</v>
      </c>
      <c r="C153" s="274">
        <v>22.79</v>
      </c>
      <c r="D153" s="274">
        <v>22.58</v>
      </c>
      <c r="E153" s="274">
        <v>19.38</v>
      </c>
      <c r="F153" s="274">
        <v>20.74</v>
      </c>
    </row>
    <row r="154" spans="1:24" s="93" customFormat="1" ht="14.25" thickBot="1" x14ac:dyDescent="0.3">
      <c r="A154" s="224" t="s">
        <v>41</v>
      </c>
      <c r="B154" s="68">
        <v>21.65</v>
      </c>
      <c r="C154" s="68">
        <v>26.56</v>
      </c>
      <c r="D154" s="68">
        <v>24.42</v>
      </c>
      <c r="E154" s="68">
        <v>20.37</v>
      </c>
      <c r="F154" s="68">
        <v>21.72</v>
      </c>
    </row>
    <row r="155" spans="1:24" s="93" customFormat="1" ht="14.25" thickBot="1" x14ac:dyDescent="0.3">
      <c r="A155" s="225" t="s">
        <v>13</v>
      </c>
      <c r="B155" s="73">
        <v>15.15</v>
      </c>
      <c r="C155" s="73">
        <v>19.86</v>
      </c>
      <c r="D155" s="73">
        <v>18.079999999999998</v>
      </c>
      <c r="E155" s="73">
        <v>15.13</v>
      </c>
      <c r="F155" s="73">
        <v>16.440000000000001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2.29</v>
      </c>
      <c r="C158" s="68">
        <v>3.35</v>
      </c>
      <c r="D158" s="68">
        <v>2.97</v>
      </c>
      <c r="E158" s="68">
        <v>3.23</v>
      </c>
      <c r="F158" s="68">
        <v>3.5</v>
      </c>
      <c r="G158" s="68">
        <v>3.92</v>
      </c>
      <c r="H158" s="68">
        <v>3.86</v>
      </c>
      <c r="I158" s="68">
        <v>4.16</v>
      </c>
      <c r="J158" s="68">
        <v>4.1100000000000003</v>
      </c>
      <c r="K158" s="68">
        <v>3.79</v>
      </c>
      <c r="L158" s="68">
        <v>3.8</v>
      </c>
      <c r="M158" s="68">
        <v>2.96</v>
      </c>
      <c r="N158" s="68">
        <v>2.6</v>
      </c>
      <c r="O158" s="68">
        <v>2.63</v>
      </c>
      <c r="P158" s="68">
        <v>3.36</v>
      </c>
      <c r="Q158" s="68">
        <v>2.39</v>
      </c>
      <c r="R158" s="68">
        <v>2.84</v>
      </c>
      <c r="S158" s="68">
        <v>3.55</v>
      </c>
      <c r="T158" s="68">
        <v>3.04</v>
      </c>
      <c r="U158" s="68">
        <v>3.56</v>
      </c>
      <c r="V158" s="68">
        <v>2.5</v>
      </c>
      <c r="W158" s="68">
        <v>3.8</v>
      </c>
      <c r="X158" s="68">
        <v>4.0999999999999996</v>
      </c>
    </row>
    <row r="159" spans="1:24" s="93" customFormat="1" ht="14.25" thickBot="1" x14ac:dyDescent="0.3">
      <c r="A159" s="225" t="s">
        <v>45</v>
      </c>
      <c r="B159" s="73">
        <v>3.11</v>
      </c>
      <c r="C159" s="73">
        <v>4.82</v>
      </c>
      <c r="D159" s="73">
        <v>4.2300000000000004</v>
      </c>
      <c r="E159" s="73">
        <v>4.34</v>
      </c>
      <c r="F159" s="73">
        <v>4.72</v>
      </c>
      <c r="G159" s="73">
        <v>5.65</v>
      </c>
      <c r="H159" s="73">
        <v>5.58</v>
      </c>
      <c r="I159" s="73">
        <v>5.76</v>
      </c>
      <c r="J159" s="73">
        <v>5.62</v>
      </c>
      <c r="K159" s="73">
        <v>5.53</v>
      </c>
      <c r="L159" s="73">
        <v>5.6</v>
      </c>
      <c r="M159" s="73">
        <v>4.1900000000000004</v>
      </c>
      <c r="N159" s="73">
        <v>3.73</v>
      </c>
      <c r="O159" s="73">
        <v>3.93</v>
      </c>
      <c r="P159" s="73">
        <v>5.03</v>
      </c>
      <c r="Q159" s="73">
        <v>3.37</v>
      </c>
      <c r="R159" s="73">
        <v>3.88</v>
      </c>
      <c r="S159" s="73">
        <v>5.0199999999999996</v>
      </c>
      <c r="T159" s="73">
        <v>4.34</v>
      </c>
      <c r="U159" s="73">
        <v>4.83</v>
      </c>
      <c r="V159" s="73">
        <v>3.36</v>
      </c>
      <c r="W159" s="73">
        <v>5.39</v>
      </c>
      <c r="X159" s="73">
        <v>5.87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15.15</v>
      </c>
      <c r="C162" s="68">
        <v>19.86</v>
      </c>
      <c r="D162" s="68">
        <v>18.079999999999998</v>
      </c>
      <c r="E162" s="68">
        <v>15.13</v>
      </c>
      <c r="F162" s="68">
        <v>16.440000000000001</v>
      </c>
    </row>
    <row r="163" spans="1:72" s="93" customFormat="1" ht="14.25" thickBot="1" x14ac:dyDescent="0.3">
      <c r="A163" s="225" t="s">
        <v>18</v>
      </c>
      <c r="B163" s="274">
        <v>0.78</v>
      </c>
      <c r="C163" s="274">
        <v>0.73</v>
      </c>
      <c r="D163" s="274">
        <v>0.76</v>
      </c>
      <c r="E163" s="274">
        <v>0.73</v>
      </c>
      <c r="F163" s="274">
        <v>0.79</v>
      </c>
    </row>
    <row r="164" spans="1:72" s="93" customFormat="1" ht="14.25" thickBot="1" x14ac:dyDescent="0.3">
      <c r="A164" s="224" t="s">
        <v>15</v>
      </c>
      <c r="B164" s="68">
        <v>1.34</v>
      </c>
      <c r="C164" s="68">
        <v>1.39</v>
      </c>
      <c r="D164" s="68">
        <v>1.45</v>
      </c>
      <c r="E164" s="68">
        <v>1.41</v>
      </c>
      <c r="F164" s="68">
        <v>1.35</v>
      </c>
    </row>
    <row r="165" spans="1:72" s="93" customFormat="1" ht="14.25" thickBot="1" x14ac:dyDescent="0.3">
      <c r="A165" s="225" t="s">
        <v>45</v>
      </c>
      <c r="B165" s="73">
        <v>16.170000000000002</v>
      </c>
      <c r="C165" s="73">
        <v>21.28</v>
      </c>
      <c r="D165" s="73">
        <v>20.48</v>
      </c>
      <c r="E165" s="73">
        <v>15.77</v>
      </c>
      <c r="F165" s="73">
        <v>17.77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134.33000000000001</v>
      </c>
      <c r="C168" s="68">
        <v>125</v>
      </c>
      <c r="D168" s="68">
        <v>138.46</v>
      </c>
      <c r="E168" s="68">
        <v>125</v>
      </c>
      <c r="F168" s="68">
        <v>132.35</v>
      </c>
      <c r="G168" s="68">
        <v>115.38</v>
      </c>
      <c r="H168" s="68">
        <v>125</v>
      </c>
      <c r="I168" s="68">
        <v>125</v>
      </c>
      <c r="J168" s="68">
        <v>121.62</v>
      </c>
      <c r="K168" s="68">
        <v>118.42</v>
      </c>
      <c r="L168" s="68">
        <v>130.43</v>
      </c>
      <c r="M168" s="68">
        <v>134.33000000000001</v>
      </c>
      <c r="N168" s="68">
        <v>136.36000000000001</v>
      </c>
      <c r="O168" s="68">
        <v>128.57</v>
      </c>
      <c r="P168" s="68">
        <v>140.63</v>
      </c>
      <c r="Q168" s="68">
        <v>136.36000000000001</v>
      </c>
      <c r="R168" s="68">
        <v>130.43</v>
      </c>
      <c r="S168" s="68">
        <v>118.42</v>
      </c>
      <c r="T168" s="68">
        <v>128.57</v>
      </c>
      <c r="U168" s="68">
        <v>125</v>
      </c>
      <c r="V168" s="68">
        <v>130.43</v>
      </c>
      <c r="W168" s="68">
        <v>115.38</v>
      </c>
      <c r="X168" s="68">
        <v>120</v>
      </c>
    </row>
    <row r="169" spans="1:72" s="93" customFormat="1" ht="14.25" thickBot="1" x14ac:dyDescent="0.3">
      <c r="A169" s="225" t="s">
        <v>17</v>
      </c>
      <c r="B169" s="274">
        <v>138.46</v>
      </c>
      <c r="C169" s="274">
        <v>126.76</v>
      </c>
      <c r="D169" s="274">
        <v>140.63</v>
      </c>
      <c r="E169" s="274">
        <v>126.76</v>
      </c>
      <c r="F169" s="274">
        <v>138.46</v>
      </c>
      <c r="G169" s="274">
        <v>118.42</v>
      </c>
      <c r="H169" s="274">
        <v>128.57</v>
      </c>
      <c r="I169" s="274">
        <v>136.36000000000001</v>
      </c>
      <c r="J169" s="274">
        <v>132.35</v>
      </c>
      <c r="K169" s="274">
        <v>126.76</v>
      </c>
      <c r="L169" s="274">
        <v>136.36000000000001</v>
      </c>
      <c r="M169" s="274">
        <v>150</v>
      </c>
      <c r="N169" s="274">
        <v>163.63999999999999</v>
      </c>
      <c r="O169" s="274">
        <v>163.63999999999999</v>
      </c>
      <c r="P169" s="274">
        <v>176.47</v>
      </c>
      <c r="Q169" s="274">
        <v>169.81</v>
      </c>
      <c r="R169" s="274">
        <v>160.71</v>
      </c>
      <c r="S169" s="274">
        <v>145.16</v>
      </c>
      <c r="T169" s="274">
        <v>150</v>
      </c>
      <c r="U169" s="274">
        <v>142.86000000000001</v>
      </c>
      <c r="V169" s="274">
        <v>150</v>
      </c>
      <c r="W169" s="274">
        <v>134.33000000000001</v>
      </c>
      <c r="X169" s="274">
        <v>140.63</v>
      </c>
    </row>
    <row r="170" spans="1:72" s="93" customFormat="1" ht="14.25" thickBot="1" x14ac:dyDescent="0.3">
      <c r="A170" s="224" t="s">
        <v>42</v>
      </c>
      <c r="B170" s="72">
        <v>272.79000000000002</v>
      </c>
      <c r="C170" s="72">
        <v>251.76</v>
      </c>
      <c r="D170" s="72">
        <v>279.08999999999997</v>
      </c>
      <c r="E170" s="72">
        <v>251.76</v>
      </c>
      <c r="F170" s="72">
        <v>270.81</v>
      </c>
      <c r="G170" s="72">
        <v>233.81</v>
      </c>
      <c r="H170" s="72">
        <v>253.57</v>
      </c>
      <c r="I170" s="72">
        <v>261.36</v>
      </c>
      <c r="J170" s="72">
        <v>253.97</v>
      </c>
      <c r="K170" s="72">
        <v>245.18</v>
      </c>
      <c r="L170" s="72">
        <v>266.8</v>
      </c>
      <c r="M170" s="72">
        <v>284.33</v>
      </c>
      <c r="N170" s="72">
        <v>300</v>
      </c>
      <c r="O170" s="72">
        <v>292.20999999999998</v>
      </c>
      <c r="P170" s="72">
        <v>317.10000000000002</v>
      </c>
      <c r="Q170" s="72">
        <v>306.17</v>
      </c>
      <c r="R170" s="72">
        <v>291.14999999999998</v>
      </c>
      <c r="S170" s="72">
        <v>263.58</v>
      </c>
      <c r="T170" s="72">
        <v>278.57</v>
      </c>
      <c r="U170" s="72">
        <v>267.86</v>
      </c>
      <c r="V170" s="72">
        <v>280.43</v>
      </c>
      <c r="W170" s="72">
        <v>249.71</v>
      </c>
      <c r="X170" s="72">
        <v>260.63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175.93</v>
      </c>
      <c r="C173" s="72">
        <v>120.59</v>
      </c>
      <c r="D173" s="72">
        <v>87.7</v>
      </c>
      <c r="E173" s="72">
        <v>92.44</v>
      </c>
      <c r="F173" s="72">
        <v>129.41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8.7200000000000006</v>
      </c>
      <c r="C176" s="72">
        <v>9.5399999999999991</v>
      </c>
      <c r="D176" s="72">
        <v>9.85</v>
      </c>
      <c r="E176" s="72">
        <v>10.73</v>
      </c>
      <c r="F176" s="72">
        <v>11.06</v>
      </c>
      <c r="G176" s="72">
        <v>10.97</v>
      </c>
      <c r="H176" s="72">
        <v>10.61</v>
      </c>
      <c r="I176" s="72">
        <v>9.9700000000000006</v>
      </c>
      <c r="J176" s="72">
        <v>9.93</v>
      </c>
      <c r="K176" s="72">
        <v>9.93</v>
      </c>
      <c r="L176" s="72">
        <v>10.68</v>
      </c>
      <c r="M176" s="72">
        <v>10.83</v>
      </c>
      <c r="N176" s="72">
        <v>11.21</v>
      </c>
      <c r="O176" s="72">
        <v>11.51</v>
      </c>
      <c r="P176" s="72">
        <v>11.71</v>
      </c>
      <c r="Q176" s="72">
        <v>12.66</v>
      </c>
      <c r="R176" s="72">
        <v>12.59</v>
      </c>
      <c r="S176" s="72">
        <v>12.76</v>
      </c>
      <c r="T176" s="72">
        <v>13.84</v>
      </c>
      <c r="U176" s="72">
        <v>14.68</v>
      </c>
      <c r="V176" s="72">
        <v>15.3</v>
      </c>
      <c r="W176" s="72">
        <v>14.67</v>
      </c>
      <c r="X176" s="72">
        <v>13.84</v>
      </c>
      <c r="Y176" s="72">
        <v>15.81</v>
      </c>
      <c r="Z176" s="72">
        <v>16.239999999999998</v>
      </c>
      <c r="AA176" s="72">
        <v>18.670000000000002</v>
      </c>
      <c r="AB176" s="72">
        <v>21.69</v>
      </c>
      <c r="AC176" s="72">
        <v>22.89</v>
      </c>
      <c r="AD176" s="72">
        <v>21.19</v>
      </c>
      <c r="AE176" s="72">
        <v>20.9</v>
      </c>
      <c r="AF176" s="72">
        <v>19.309999999999999</v>
      </c>
      <c r="AG176" s="72">
        <v>18.52</v>
      </c>
      <c r="AH176" s="72">
        <v>18.010000000000002</v>
      </c>
      <c r="AI176" s="72">
        <v>17.239999999999998</v>
      </c>
      <c r="AJ176" s="72">
        <v>16.09</v>
      </c>
      <c r="AK176" s="72">
        <v>15.08</v>
      </c>
      <c r="AL176" s="72">
        <v>14.91</v>
      </c>
      <c r="AM176" s="72">
        <v>15.01</v>
      </c>
      <c r="AN176" s="72">
        <v>17.21</v>
      </c>
      <c r="AO176" s="72">
        <v>17.91</v>
      </c>
      <c r="AP176" s="72">
        <v>18.13</v>
      </c>
      <c r="AQ176" s="72">
        <v>16.440000000000001</v>
      </c>
      <c r="AR176" s="72">
        <v>14.85</v>
      </c>
      <c r="AS176" s="72">
        <v>13.35</v>
      </c>
      <c r="AT176" s="72">
        <v>13.75</v>
      </c>
      <c r="AU176" s="72">
        <v>14.14</v>
      </c>
      <c r="AV176" s="72">
        <v>13.88</v>
      </c>
      <c r="AW176" s="72">
        <v>13.37</v>
      </c>
      <c r="AX176" s="72">
        <v>14.08</v>
      </c>
      <c r="AY176" s="72">
        <v>16.62</v>
      </c>
      <c r="AZ176" s="72">
        <v>17.190000000000001</v>
      </c>
      <c r="BA176" s="72">
        <v>15.59</v>
      </c>
      <c r="BB176" s="72">
        <v>14.65</v>
      </c>
      <c r="BC176" s="72">
        <v>15.43</v>
      </c>
      <c r="BD176" s="72">
        <v>16.579999999999998</v>
      </c>
      <c r="BE176" s="72">
        <v>15.19</v>
      </c>
      <c r="BF176" s="72">
        <v>15.53</v>
      </c>
      <c r="BG176" s="72">
        <v>15.15</v>
      </c>
      <c r="BH176" s="72">
        <v>15.17</v>
      </c>
      <c r="BI176" s="72">
        <v>15.52</v>
      </c>
      <c r="BJ176" s="72">
        <v>15.37</v>
      </c>
      <c r="BK176" s="72">
        <v>15.05</v>
      </c>
      <c r="BL176" s="72">
        <v>13.68</v>
      </c>
      <c r="BM176" s="72">
        <v>13.96</v>
      </c>
      <c r="BN176" s="72">
        <v>14.32</v>
      </c>
      <c r="BO176" s="72">
        <v>14.33</v>
      </c>
      <c r="BP176" s="72">
        <v>14.43</v>
      </c>
      <c r="BQ176" s="72">
        <v>14.1</v>
      </c>
      <c r="BR176" s="72">
        <v>14.02</v>
      </c>
      <c r="BS176" s="72">
        <v>14.45</v>
      </c>
      <c r="BT176" s="72">
        <v>13.84</v>
      </c>
    </row>
  </sheetData>
  <phoneticPr fontId="3" type="noConversion"/>
  <conditionalFormatting sqref="E4">
    <cfRule type="cellIs" dxfId="224" priority="107" operator="greaterThan">
      <formula>0.2</formula>
    </cfRule>
    <cfRule type="cellIs" dxfId="223" priority="108" operator="greaterThan">
      <formula>0.1</formula>
    </cfRule>
  </conditionalFormatting>
  <conditionalFormatting sqref="B6">
    <cfRule type="iconSet" priority="106">
      <iconSet>
        <cfvo type="percent" val="0"/>
        <cfvo type="num" val="40"/>
        <cfvo type="num" val="70"/>
      </iconSet>
    </cfRule>
  </conditionalFormatting>
  <conditionalFormatting sqref="G59:M59">
    <cfRule type="cellIs" dxfId="222" priority="105" operator="lessThanOrEqual">
      <formula>0</formula>
    </cfRule>
  </conditionalFormatting>
  <conditionalFormatting sqref="B30">
    <cfRule type="colorScale" priority="104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103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102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221" priority="101" operator="greaterThan">
      <formula>$B$19</formula>
    </cfRule>
  </conditionalFormatting>
  <conditionalFormatting sqref="D33:D34">
    <cfRule type="cellIs" dxfId="220" priority="100" operator="lessThan">
      <formula>1</formula>
    </cfRule>
  </conditionalFormatting>
  <conditionalFormatting sqref="B3">
    <cfRule type="iconSet" priority="97">
      <iconSet>
        <cfvo type="percent" val="0"/>
        <cfvo type="num" val="70"/>
        <cfvo type="num" val="85"/>
      </iconSet>
    </cfRule>
  </conditionalFormatting>
  <conditionalFormatting sqref="B5">
    <cfRule type="iconSet" priority="98">
      <iconSet>
        <cfvo type="percent" val="0"/>
        <cfvo type="num" val="80"/>
        <cfvo type="num" val="90"/>
      </iconSet>
    </cfRule>
  </conditionalFormatting>
  <conditionalFormatting sqref="B4">
    <cfRule type="iconSet" priority="99">
      <iconSet>
        <cfvo type="percent" val="0"/>
        <cfvo type="num" val="70"/>
        <cfvo type="num" val="85"/>
      </iconSet>
    </cfRule>
  </conditionalFormatting>
  <conditionalFormatting sqref="G62">
    <cfRule type="cellIs" dxfId="219" priority="95" operator="lessThan">
      <formula>$H$62</formula>
    </cfRule>
    <cfRule type="cellIs" dxfId="218" priority="96" operator="greaterThan">
      <formula>$H$62</formula>
    </cfRule>
  </conditionalFormatting>
  <conditionalFormatting sqref="J62">
    <cfRule type="cellIs" dxfId="217" priority="93" operator="lessThan">
      <formula>$K$62</formula>
    </cfRule>
    <cfRule type="cellIs" dxfId="216" priority="94" operator="greaterThan">
      <formula>$K$62</formula>
    </cfRule>
  </conditionalFormatting>
  <conditionalFormatting sqref="M62">
    <cfRule type="cellIs" dxfId="215" priority="91" operator="lessThan">
      <formula>$N$62</formula>
    </cfRule>
    <cfRule type="cellIs" dxfId="214" priority="92" operator="greaterThan">
      <formula>$N$62</formula>
    </cfRule>
  </conditionalFormatting>
  <conditionalFormatting sqref="B44:E44">
    <cfRule type="cellIs" dxfId="213" priority="89" operator="greaterThan">
      <formula>0</formula>
    </cfRule>
    <cfRule type="cellIs" dxfId="212" priority="90" operator="lessThan">
      <formula>0</formula>
    </cfRule>
  </conditionalFormatting>
  <conditionalFormatting sqref="F72">
    <cfRule type="cellIs" dxfId="211" priority="88" operator="lessThan">
      <formula>$E$72*90%</formula>
    </cfRule>
  </conditionalFormatting>
  <conditionalFormatting sqref="F73">
    <cfRule type="cellIs" dxfId="210" priority="87" operator="lessThan">
      <formula>$E$73*90%</formula>
    </cfRule>
  </conditionalFormatting>
  <conditionalFormatting sqref="F74">
    <cfRule type="cellIs" dxfId="209" priority="86" operator="lessThan">
      <formula>$E$74*90%</formula>
    </cfRule>
  </conditionalFormatting>
  <conditionalFormatting sqref="F75">
    <cfRule type="cellIs" dxfId="208" priority="85" operator="lessThan">
      <formula>$E$75*90%</formula>
    </cfRule>
  </conditionalFormatting>
  <conditionalFormatting sqref="H44:K44">
    <cfRule type="cellIs" dxfId="207" priority="83" operator="greaterThan">
      <formula>0</formula>
    </cfRule>
    <cfRule type="cellIs" dxfId="206" priority="84" operator="lessThan">
      <formula>0</formula>
    </cfRule>
  </conditionalFormatting>
  <conditionalFormatting sqref="H51:K51">
    <cfRule type="cellIs" dxfId="205" priority="81" operator="greaterThan">
      <formula>0</formula>
    </cfRule>
    <cfRule type="cellIs" dxfId="204" priority="82" operator="lessThan">
      <formula>0</formula>
    </cfRule>
  </conditionalFormatting>
  <conditionalFormatting sqref="B51:E51">
    <cfRule type="cellIs" dxfId="203" priority="79" operator="greaterThan">
      <formula>0</formula>
    </cfRule>
    <cfRule type="cellIs" dxfId="202" priority="80" operator="lessThan">
      <formula>0</formula>
    </cfRule>
  </conditionalFormatting>
  <conditionalFormatting sqref="I20">
    <cfRule type="colorScale" priority="78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7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75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74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73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72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201" priority="64" operator="lessThan">
      <formula>0</formula>
    </cfRule>
  </conditionalFormatting>
  <conditionalFormatting sqref="D19:D20 D22">
    <cfRule type="colorScale" priority="71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70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9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8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200" priority="67" operator="lessThan">
      <formula>0</formula>
    </cfRule>
  </conditionalFormatting>
  <conditionalFormatting sqref="D21">
    <cfRule type="colorScale" priority="66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65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99" priority="62" operator="lessThan">
      <formula>0</formula>
    </cfRule>
  </conditionalFormatting>
  <conditionalFormatting sqref="A25 E25 C25">
    <cfRule type="cellIs" dxfId="198" priority="63" operator="lessThan">
      <formula>0</formula>
    </cfRule>
  </conditionalFormatting>
  <conditionalFormatting sqref="F25">
    <cfRule type="cellIs" dxfId="197" priority="61" operator="lessThan">
      <formula>0</formula>
    </cfRule>
  </conditionalFormatting>
  <conditionalFormatting sqref="E1">
    <cfRule type="containsText" dxfId="196" priority="60" operator="containsText" text="本季業外損益/平均=-">
      <formula>NOT(ISERROR(SEARCH("本季業外損益/平均=-",E1)))</formula>
    </cfRule>
  </conditionalFormatting>
  <conditionalFormatting sqref="M65">
    <cfRule type="cellIs" dxfId="195" priority="59" operator="lessThan">
      <formula>$L$65*90%</formula>
    </cfRule>
  </conditionalFormatting>
  <conditionalFormatting sqref="M66">
    <cfRule type="cellIs" dxfId="194" priority="58" operator="lessThan">
      <formula>$L$66*90%</formula>
    </cfRule>
  </conditionalFormatting>
  <conditionalFormatting sqref="M67">
    <cfRule type="cellIs" dxfId="193" priority="57" operator="lessThan">
      <formula>$L$67*90%</formula>
    </cfRule>
  </conditionalFormatting>
  <conditionalFormatting sqref="M68">
    <cfRule type="cellIs" dxfId="192" priority="56" operator="lessThan">
      <formula>$L$68*90%</formula>
    </cfRule>
  </conditionalFormatting>
  <conditionalFormatting sqref="B60">
    <cfRule type="cellIs" dxfId="191" priority="55" operator="lessThan">
      <formula>0</formula>
    </cfRule>
  </conditionalFormatting>
  <conditionalFormatting sqref="B59:F59">
    <cfRule type="cellIs" dxfId="190" priority="54" operator="lessThanOrEqual">
      <formula>0</formula>
    </cfRule>
  </conditionalFormatting>
  <conditionalFormatting sqref="D62">
    <cfRule type="cellIs" dxfId="189" priority="52" operator="lessThan">
      <formula>$E$62</formula>
    </cfRule>
    <cfRule type="cellIs" dxfId="188" priority="53" operator="greaterThan">
      <formula>$E$62</formula>
    </cfRule>
  </conditionalFormatting>
  <conditionalFormatting sqref="F69">
    <cfRule type="cellIs" dxfId="187" priority="50" operator="lessThan">
      <formula>0</formula>
    </cfRule>
  </conditionalFormatting>
  <conditionalFormatting sqref="B65:E67 B69:E69 B68:D68">
    <cfRule type="cellIs" dxfId="186" priority="51" operator="lessThan">
      <formula>0</formula>
    </cfRule>
  </conditionalFormatting>
  <conditionalFormatting sqref="E68">
    <cfRule type="cellIs" dxfId="185" priority="49" operator="lessThan">
      <formula>0</formula>
    </cfRule>
  </conditionalFormatting>
  <conditionalFormatting sqref="F65:F68">
    <cfRule type="cellIs" dxfId="184" priority="48" operator="lessThan">
      <formula>0</formula>
    </cfRule>
  </conditionalFormatting>
  <conditionalFormatting sqref="F65:F68">
    <cfRule type="cellIs" dxfId="183" priority="47" operator="lessThan">
      <formula>$E$65*0.9</formula>
    </cfRule>
  </conditionalFormatting>
  <conditionalFormatting sqref="F66">
    <cfRule type="cellIs" dxfId="182" priority="46" operator="lessThan">
      <formula>$E$66*0.9</formula>
    </cfRule>
  </conditionalFormatting>
  <conditionalFormatting sqref="F67:F68">
    <cfRule type="cellIs" dxfId="181" priority="45" operator="lessThan">
      <formula>$E$67*0.9</formula>
    </cfRule>
  </conditionalFormatting>
  <conditionalFormatting sqref="F68">
    <cfRule type="cellIs" dxfId="180" priority="44" operator="lessThan">
      <formula>$E$68*0.9</formula>
    </cfRule>
  </conditionalFormatting>
  <conditionalFormatting sqref="B13:F13">
    <cfRule type="cellIs" dxfId="179" priority="33" operator="greaterThan">
      <formula>$I$16</formula>
    </cfRule>
    <cfRule type="cellIs" dxfId="178" priority="34" operator="lessThanOrEqual">
      <formula>$I$16</formula>
    </cfRule>
  </conditionalFormatting>
  <conditionalFormatting sqref="B10:F10">
    <cfRule type="cellIs" dxfId="177" priority="35" operator="greaterThan">
      <formula>15</formula>
    </cfRule>
    <cfRule type="cellIs" dxfId="176" priority="42" operator="lessThan">
      <formula>$I$9</formula>
    </cfRule>
    <cfRule type="cellIs" dxfId="175" priority="43" operator="greaterThan">
      <formula>$I$9</formula>
    </cfRule>
  </conditionalFormatting>
  <conditionalFormatting sqref="B16:F16">
    <cfRule type="cellIs" dxfId="174" priority="40" operator="greaterThan">
      <formula>$I$16</formula>
    </cfRule>
    <cfRule type="cellIs" dxfId="173" priority="41" operator="lessThanOrEqual">
      <formula>$I$16</formula>
    </cfRule>
  </conditionalFormatting>
  <conditionalFormatting sqref="B15:F15">
    <cfRule type="cellIs" dxfId="172" priority="38" operator="lessThanOrEqual">
      <formula>$I$16</formula>
    </cfRule>
    <cfRule type="cellIs" dxfId="171" priority="39" operator="greaterThan">
      <formula>$I$16</formula>
    </cfRule>
  </conditionalFormatting>
  <conditionalFormatting sqref="B14:F14">
    <cfRule type="cellIs" dxfId="170" priority="36" operator="greaterThan">
      <formula>$I$16</formula>
    </cfRule>
    <cfRule type="cellIs" dxfId="169" priority="37" operator="lessThanOrEqual">
      <formula>$I$16</formula>
    </cfRule>
  </conditionalFormatting>
  <conditionalFormatting sqref="K6">
    <cfRule type="containsText" dxfId="168" priority="31" operator="containsText" text="衰退">
      <formula>NOT(ISERROR(SEARCH("衰退",K6)))</formula>
    </cfRule>
    <cfRule type="containsText" dxfId="167" priority="32" operator="containsText" text="成長">
      <formula>NOT(ISERROR(SEARCH("成長",K6)))</formula>
    </cfRule>
  </conditionalFormatting>
  <conditionalFormatting sqref="I4:K4">
    <cfRule type="cellIs" dxfId="166" priority="29" operator="lessThan">
      <formula>0</formula>
    </cfRule>
    <cfRule type="cellIs" dxfId="165" priority="30" operator="greaterThan">
      <formula>0</formula>
    </cfRule>
  </conditionalFormatting>
  <conditionalFormatting sqref="I1">
    <cfRule type="colorScale" priority="28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64" priority="26" operator="lessThanOrEqual">
      <formula>$I$16</formula>
    </cfRule>
    <cfRule type="cellIs" dxfId="163" priority="27" operator="greaterThan">
      <formula>$I$16</formula>
    </cfRule>
  </conditionalFormatting>
  <conditionalFormatting sqref="I6">
    <cfRule type="containsText" dxfId="162" priority="24" operator="containsText" text="衰退">
      <formula>NOT(ISERROR(SEARCH("衰退",I6)))</formula>
    </cfRule>
    <cfRule type="containsText" dxfId="161" priority="25" operator="containsText" text="成長">
      <formula>NOT(ISERROR(SEARCH("成長",I6)))</formula>
    </cfRule>
  </conditionalFormatting>
  <conditionalFormatting sqref="M9">
    <cfRule type="cellIs" dxfId="160" priority="23" operator="lessThan">
      <formula>$I$9</formula>
    </cfRule>
  </conditionalFormatting>
  <conditionalFormatting sqref="M10">
    <cfRule type="cellIs" dxfId="159" priority="22" operator="greaterThan">
      <formula>$I$9</formula>
    </cfRule>
  </conditionalFormatting>
  <conditionalFormatting sqref="M11">
    <cfRule type="cellIs" dxfId="158" priority="21" operator="greaterThan">
      <formula>3</formula>
    </cfRule>
  </conditionalFormatting>
  <conditionalFormatting sqref="I11">
    <cfRule type="colorScale" priority="20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157" priority="18" operator="lessThan">
      <formula>0</formula>
    </cfRule>
    <cfRule type="cellIs" dxfId="156" priority="19" operator="greaterThan">
      <formula>0.5</formula>
    </cfRule>
  </conditionalFormatting>
  <conditionalFormatting sqref="N14">
    <cfRule type="cellIs" dxfId="155" priority="17" operator="lessThan">
      <formula>0.8</formula>
    </cfRule>
  </conditionalFormatting>
  <conditionalFormatting sqref="I9">
    <cfRule type="colorScale" priority="16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12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154" priority="14" operator="lessThan">
      <formula>0.1</formula>
    </cfRule>
  </conditionalFormatting>
  <conditionalFormatting sqref="I14">
    <cfRule type="cellIs" dxfId="153" priority="15" operator="greaterThan">
      <formula>0.12</formula>
    </cfRule>
  </conditionalFormatting>
  <conditionalFormatting sqref="J16">
    <cfRule type="colorScale" priority="13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152" priority="11" operator="greaterThan">
      <formula>1</formula>
    </cfRule>
  </conditionalFormatting>
  <conditionalFormatting sqref="I15">
    <cfRule type="colorScale" priority="10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51" priority="1" operator="lessThan">
      <formula>$N$5*0.9</formula>
    </cfRule>
    <cfRule type="cellIs" dxfId="150" priority="2" operator="greaterThan">
      <formula>$N$5*1.1</formula>
    </cfRule>
  </conditionalFormatting>
  <hyperlinks>
    <hyperlink ref="L1" location="儀表板!A1" display="(回首頁)" xr:uid="{00000000-0004-0000-6500-000000000000}"/>
  </hyperlink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BT176"/>
  <sheetViews>
    <sheetView workbookViewId="0">
      <selection sqref="A1:B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>
        <f ca="1">I16*(HLOOKUP($C$1,$117:$128,12,FALSE)*1000/K11)/(E97*1000)</f>
        <v>0</v>
      </c>
      <c r="J1" s="81" t="s">
        <v>378</v>
      </c>
      <c r="K1" s="82" t="str">
        <f>MIN(149:149)&amp;" ~ "&amp;MAX(149:149)</f>
        <v>7.1 ~ 40.95</v>
      </c>
      <c r="L1" s="83" t="s">
        <v>176</v>
      </c>
      <c r="M1" s="84" t="str">
        <f ca="1">VLOOKUP(_xlfn.NUMBERVALUE(N1),儀表板!A:B,2,FALSE)</f>
        <v>好樂迪</v>
      </c>
      <c r="N1" s="85" t="str">
        <f ca="1">MID(CELL("filename",L1),FIND("]",CELL("filename",L1))+1,255)</f>
        <v>9943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0.14576244517436029</v>
      </c>
    </row>
    <row r="3" spans="1:15" s="93" customFormat="1" x14ac:dyDescent="0.25">
      <c r="A3" s="81" t="s">
        <v>179</v>
      </c>
      <c r="B3" s="94">
        <f>SUM(F19:F22,F24:F27,J19)</f>
        <v>90.329573676466438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43.223371037463423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46.394361822585061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47.501016324775158</v>
      </c>
      <c r="L3" s="100"/>
      <c r="M3" s="79" t="s">
        <v>385</v>
      </c>
      <c r="N3" s="92">
        <f>(F69-E69)/E69</f>
        <v>-0.10318764037025106</v>
      </c>
    </row>
    <row r="4" spans="1:15" s="93" customFormat="1" x14ac:dyDescent="0.25">
      <c r="A4" s="81" t="s">
        <v>182</v>
      </c>
      <c r="B4" s="96">
        <f>SUM(G36:G40)*2</f>
        <v>70</v>
      </c>
      <c r="C4" s="101"/>
      <c r="D4" s="102">
        <f>F4*(1+F141/10)</f>
        <v>14.7</v>
      </c>
      <c r="E4" s="82">
        <f>(D4-F4)/F4</f>
        <v>0</v>
      </c>
      <c r="F4" s="103">
        <v>14.7</v>
      </c>
      <c r="G4" s="97"/>
      <c r="H4" s="104" t="s">
        <v>183</v>
      </c>
      <c r="I4" s="105" t="e">
        <f ca="1">(I3-I16)/I16</f>
        <v>#DIV/0!</v>
      </c>
      <c r="J4" s="105" t="e">
        <f ca="1">(J3-I16)/I16</f>
        <v>#DIV/0!</v>
      </c>
      <c r="K4" s="105" t="e">
        <f ca="1">(K3-I16)/I16</f>
        <v>#DIV/0!</v>
      </c>
      <c r="L4" s="106"/>
      <c r="M4" s="79" t="str">
        <f>B1&amp;" EPS"</f>
        <v>2017 EPS</v>
      </c>
      <c r="N4" s="152">
        <f>F69</f>
        <v>4.2329543374524148</v>
      </c>
    </row>
    <row r="5" spans="1:15" s="93" customFormat="1" x14ac:dyDescent="0.25">
      <c r="A5" s="81" t="s">
        <v>184</v>
      </c>
      <c r="B5" s="107">
        <f>SUM(F30:F34)*2</f>
        <v>99.161290322580641</v>
      </c>
      <c r="C5" s="87"/>
      <c r="D5" s="87"/>
      <c r="E5" s="87"/>
      <c r="F5" s="86"/>
      <c r="G5" s="88"/>
      <c r="M5" s="79" t="s">
        <v>386</v>
      </c>
      <c r="N5" s="152">
        <f>D62</f>
        <v>4.3499999999999996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有1.3年成長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上月成長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單季成長</v>
      </c>
      <c r="L6" s="112"/>
      <c r="M6" s="79" t="s">
        <v>190</v>
      </c>
      <c r="N6" s="152">
        <f>A53</f>
        <v>4.1629954189775695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>
        <f ca="1">I16/D62</f>
        <v>0</v>
      </c>
      <c r="J9" s="81" t="s">
        <v>377</v>
      </c>
      <c r="K9" s="126">
        <f ca="1">I16/A53</f>
        <v>0</v>
      </c>
      <c r="L9" s="133" t="s">
        <v>373</v>
      </c>
      <c r="M9" s="126">
        <f>MAX(176:176)</f>
        <v>15.25</v>
      </c>
      <c r="N9" s="129"/>
    </row>
    <row r="10" spans="1:15" s="93" customFormat="1" x14ac:dyDescent="0.25">
      <c r="A10" s="123" t="s">
        <v>194</v>
      </c>
      <c r="B10" s="126">
        <f>PERCENTILE(176:176,B9)</f>
        <v>9.27</v>
      </c>
      <c r="C10" s="126">
        <f>PERCENTILE(176:176,C9)</f>
        <v>10.155000000000001</v>
      </c>
      <c r="D10" s="126">
        <f>PERCENTILE(176:176,D9)</f>
        <v>10.9</v>
      </c>
      <c r="E10" s="126">
        <f>PERCENTILE(176:176,E9)</f>
        <v>11.16</v>
      </c>
      <c r="F10" s="126">
        <f>PERCENTILE(176:176,F9)</f>
        <v>12</v>
      </c>
      <c r="G10" s="95"/>
      <c r="H10" s="135"/>
      <c r="I10" s="135"/>
      <c r="J10" s="135"/>
      <c r="K10" s="135"/>
      <c r="L10" s="136" t="s">
        <v>374</v>
      </c>
      <c r="M10" s="130">
        <f>MIN(176:176)</f>
        <v>7.27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>
        <f ca="1">I16/K11</f>
        <v>0</v>
      </c>
      <c r="J11" s="131" t="s">
        <v>196</v>
      </c>
      <c r="K11" s="132">
        <f>HLOOKUP(C1,84:85,2,FALSE)</f>
        <v>24.98</v>
      </c>
      <c r="L11" s="272" t="s">
        <v>193</v>
      </c>
      <c r="M11" s="128">
        <f>STDEV(176:176)</f>
        <v>1.6584810509554269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56.022408963585441</v>
      </c>
      <c r="C13" s="141">
        <f>$B$34/5.88%</f>
        <v>68.02721088435375</v>
      </c>
      <c r="D13" s="141">
        <f>$B$34/5%</f>
        <v>80</v>
      </c>
      <c r="E13" s="141">
        <f>$B$34/4.35%</f>
        <v>91.954022988505756</v>
      </c>
      <c r="F13" s="141">
        <f>$B$34/3.85%</f>
        <v>103.8961038961039</v>
      </c>
      <c r="G13" s="138" t="str">
        <f>"$"&amp;ROUND(B34,2)&amp;"/"&amp;IF(STDEV(C140:F140)/AVERAGE(C140:F140)&lt;15%,"高",IF(STDEV(C140:F140)/AVERAGE(C140:F140)&lt;30%,"中","低"))</f>
        <v>$4/高</v>
      </c>
      <c r="H13" s="142" t="s">
        <v>199</v>
      </c>
      <c r="I13" s="143">
        <f>MAX(0,1-J15)</f>
        <v>0.15254237288135586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43.105499999999999</v>
      </c>
      <c r="C14" s="141">
        <f>$B$33*C10</f>
        <v>47.22075000000001</v>
      </c>
      <c r="D14" s="141">
        <f>$B$33*D10</f>
        <v>50.685000000000002</v>
      </c>
      <c r="E14" s="141">
        <f>$B$33*E10</f>
        <v>51.894000000000005</v>
      </c>
      <c r="F14" s="141">
        <f>$B$33*F10</f>
        <v>55.800000000000004</v>
      </c>
      <c r="G14" s="138" t="str">
        <f>"$"&amp;ROUND(B33,2)&amp;"/"&amp;IF(STDEV(B69:E69)/AVERAGE(B69:E69)&lt;15%,"高",IF(STDEV(B69:E69)/AVERAGE(B69:E69)&lt;30%,"中","低"))</f>
        <v>$4.65/低</v>
      </c>
      <c r="H14" s="142" t="s">
        <v>203</v>
      </c>
      <c r="I14" s="145">
        <f>G62/100*I13</f>
        <v>2.6161016949152526E-2</v>
      </c>
      <c r="J14" s="76" t="s">
        <v>204</v>
      </c>
      <c r="K14" s="146"/>
      <c r="L14" s="147">
        <f>(HLOOKUP($C$1,$105:$106,2,FALSE)-HLOOKUP($C$1,$117:$127,9,FALSE))/(HLOOKUP($C$1,$117:$128,12,FALSE)/K11)</f>
        <v>5.3916278797782429</v>
      </c>
      <c r="M14" s="148">
        <f>E135/E69</f>
        <v>1.0254237288135593</v>
      </c>
      <c r="N14" s="149">
        <f>F173/100</f>
        <v>0.84829999999999994</v>
      </c>
    </row>
    <row r="15" spans="1:15" s="93" customFormat="1" x14ac:dyDescent="0.25">
      <c r="A15" s="140" t="s">
        <v>375</v>
      </c>
      <c r="B15" s="141">
        <f>$D$62*B10</f>
        <v>40.324499999999993</v>
      </c>
      <c r="C15" s="141">
        <f>$D$62*C10</f>
        <v>44.174250000000001</v>
      </c>
      <c r="D15" s="141">
        <f>$D$62*D10</f>
        <v>47.414999999999999</v>
      </c>
      <c r="E15" s="141">
        <f>$D$62*E10</f>
        <v>48.545999999999999</v>
      </c>
      <c r="F15" s="141">
        <f>$D$62*F10</f>
        <v>52.199999999999996</v>
      </c>
      <c r="G15" s="150"/>
      <c r="H15" s="142" t="s">
        <v>118</v>
      </c>
      <c r="I15" s="145" t="e">
        <f ca="1">D62*J15/I16</f>
        <v>#DIV/0!</v>
      </c>
      <c r="J15" s="92">
        <f>MIN(100%,HLOOKUP(MAX(139:139),139:142,4,FALSE))</f>
        <v>0.84745762711864414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39.239486708183883</v>
      </c>
      <c r="C16" s="141">
        <f>$F$69*C10</f>
        <v>42.985651296829275</v>
      </c>
      <c r="D16" s="141">
        <f>$F$69*D10</f>
        <v>46.139202278231323</v>
      </c>
      <c r="E16" s="141">
        <f>$F$69*E10</f>
        <v>47.239770405968947</v>
      </c>
      <c r="F16" s="141">
        <f>$F$69*F10</f>
        <v>50.795452049428974</v>
      </c>
      <c r="G16" s="150"/>
      <c r="H16" s="142" t="s">
        <v>205</v>
      </c>
      <c r="I16" s="152">
        <f ca="1">VLOOKUP(_xlfn.NUMBERVALUE(N1),儀表板!A:T,3,FALSE)</f>
        <v>0</v>
      </c>
      <c r="J16" s="92">
        <f ca="1">IF(I16&lt;=MIN($B$13:$F$16),(I16-MIN($B$13:$F$16))/MIN($B$13:$F$16),IF(I16&gt;=MAX($B$13:$F$16),I16/MAX($B$13:$F$16),PERCENTRANK($B$13:$F$16,I16)))</f>
        <v>-1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346</v>
      </c>
      <c r="J17" s="92">
        <f ca="1">IF(I17&lt;=0,"",IF(I17&lt;=MIN($B$13:$F$16),(I17-MIN($B$13:$F$16))/MIN($B$13:$F$16),IF(I17&gt;=MAX($B$13:$F$16),I17/MAX($B$13:$F$16),PERCENTRANK($B$13:$F$16,I17))))</f>
        <v>3.3302499999999999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4.3125</v>
      </c>
      <c r="C19" s="157" t="s">
        <v>211</v>
      </c>
      <c r="D19" s="158">
        <f>COUNTIF(C135:F135,"&gt;0")/COUNT(C135:F135)</f>
        <v>0.75</v>
      </c>
      <c r="E19" s="140" t="s">
        <v>212</v>
      </c>
      <c r="F19" s="159">
        <f>IF(B19&gt;0,2,0)+D19*8</f>
        <v>8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17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1.078125</v>
      </c>
      <c r="C20" s="157" t="s">
        <v>217</v>
      </c>
      <c r="D20" s="236">
        <f>COUNTIF(C143:F143,"&gt;=80%")/COUNT(C143:F143)</f>
        <v>0.75</v>
      </c>
      <c r="E20" s="140" t="s">
        <v>218</v>
      </c>
      <c r="F20" s="159">
        <f>IF(B20&gt;=80%,2,0)+D20*8</f>
        <v>8</v>
      </c>
      <c r="G20" s="88" t="s">
        <v>213</v>
      </c>
      <c r="H20" s="123" t="s">
        <v>219</v>
      </c>
      <c r="I20" s="237">
        <f>HLOOKUP($C$1,$117:$127,11,FALSE)*(1-N22)/HLOOKUP($C$1,$105:$115,11,FALSE)</f>
        <v>0.1254489141825193</v>
      </c>
      <c r="J20" s="171">
        <f>HLOOKUP($C$1,$117:$127,11,FALSE)/HLOOKUP($C$1,$105:$115,11,FALSE)</f>
        <v>0.14871974042429723</v>
      </c>
      <c r="K20" s="163"/>
    </row>
    <row r="21" spans="1:14" s="93" customFormat="1" x14ac:dyDescent="0.25">
      <c r="A21" s="151" t="s">
        <v>201</v>
      </c>
      <c r="B21" s="161">
        <f>AVERAGE(C173:F173)/100</f>
        <v>1.02545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13.5</v>
      </c>
      <c r="G21" s="88" t="s">
        <v>220</v>
      </c>
      <c r="H21" s="123" t="s">
        <v>221</v>
      </c>
      <c r="I21" s="162">
        <f>HLOOKUP($C$1,$105:$115,7,FALSE)/HLOOKUP($C$1,$117:$127,8,FALSE)</f>
        <v>2.6792229435297017</v>
      </c>
      <c r="J21" s="78"/>
      <c r="K21" s="164" t="s">
        <v>356</v>
      </c>
      <c r="L21" s="165">
        <f>HLOOKUP($C$1,$105:$115,7,FALSE)/HLOOKUP($C$1,$105:$115,11,FALSE)</f>
        <v>0.29048063403287472</v>
      </c>
      <c r="M21" s="123" t="s">
        <v>268</v>
      </c>
      <c r="N21" s="165">
        <f>HLOOKUP($C$1,$117:$127,8,FALSE)/HLOOKUP($C$1,$117:$127,11,FALSE)</f>
        <v>0.72902045073120236</v>
      </c>
    </row>
    <row r="22" spans="1:14" s="93" customFormat="1" x14ac:dyDescent="0.25">
      <c r="A22" s="140" t="s">
        <v>222</v>
      </c>
      <c r="B22" s="161">
        <f>(-1)*SUM(C133:F133)/SUM(C132:F132)</f>
        <v>1.1587485515642858E-3</v>
      </c>
      <c r="C22" s="157"/>
      <c r="D22" s="166"/>
      <c r="E22" s="140"/>
      <c r="F22" s="159">
        <f>IF(B22&lt;=0,10,IF(B22&gt;=100%,0,(1-B22)*10))</f>
        <v>9.9884125144843576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2.6389119168781701</v>
      </c>
      <c r="J22" s="78"/>
      <c r="K22" s="142" t="s">
        <v>357</v>
      </c>
      <c r="L22" s="165">
        <f>HLOOKUP($C$1,$105:$115,4,FALSE)/HLOOKUP($C$1,$105:$115,11,FALSE)</f>
        <v>3.2082830442667467E-3</v>
      </c>
      <c r="M22" s="123" t="s">
        <v>353</v>
      </c>
      <c r="N22" s="165">
        <f>HLOOKUP($C$1,$117:$127,4,FALSE)/HLOOKUP($C$1,$117:$127,11,FALSE)</f>
        <v>0.156474360265734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1.1747012675924406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4.3705107141350898E-3</v>
      </c>
      <c r="M23" s="123" t="s">
        <v>354</v>
      </c>
      <c r="N23" s="165">
        <f>IF(HLOOKUP($C$1,$117:$127,5,FALSE)="無",0,HLOOKUP($C$1,$117:$127,5,FALSE))/HLOOKUP($C$1,$117:$127,11,FALSE)</f>
        <v>0</v>
      </c>
    </row>
    <row r="24" spans="1:14" s="93" customFormat="1" x14ac:dyDescent="0.25">
      <c r="A24" s="164" t="s">
        <v>228</v>
      </c>
      <c r="B24" s="127">
        <f>AVERAGE(C103:F103)</f>
        <v>1.0000715917986738</v>
      </c>
      <c r="C24" s="169">
        <f>STDEV(C103:F103)</f>
        <v>1.4318359734755148E-4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1.78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7.6612536156849806E-2</v>
      </c>
      <c r="M24" s="123" t="s">
        <v>355</v>
      </c>
      <c r="N24" s="165">
        <f>HLOOKUP($C$1,$117:$127,9,FALSE)/HLOOKUP($C$1,$117:$127,11,FALSE)</f>
        <v>0.27097954926879764</v>
      </c>
    </row>
    <row r="25" spans="1:14" s="93" customFormat="1" x14ac:dyDescent="0.25">
      <c r="A25" s="151" t="s">
        <v>366</v>
      </c>
      <c r="B25" s="255">
        <f>AVERAGE(94:94)</f>
        <v>49326.086956521736</v>
      </c>
      <c r="C25" s="254">
        <f>STDEV(94:94)/AVERAGE(94:94)</f>
        <v>1.1588388380179233</v>
      </c>
      <c r="D25" s="76" t="str">
        <f>IF(C25&lt;=1,"高",IF(C25&lt;=2,"中","低"))</f>
        <v>中</v>
      </c>
      <c r="E25" s="149"/>
      <c r="F25" s="160">
        <f>MAX(0,10-ABS(C25))</f>
        <v>8.8411611619820771</v>
      </c>
      <c r="G25" s="88" t="s">
        <v>213</v>
      </c>
      <c r="H25" s="123" t="s">
        <v>232</v>
      </c>
      <c r="I25" s="170">
        <f>IF(HLOOKUP(C1,167:170,3,FALSE)="無",0,HLOOKUP(C1,167:170,3,FALSE))</f>
        <v>5.15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1.956521739130435</v>
      </c>
      <c r="C26" s="172">
        <f>IF(COUNTIF(168:168,"&gt;0")=0,0,STDEV(168:168))</f>
        <v>0.69135971886534187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10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4.9943478260869565</v>
      </c>
      <c r="C27" s="172">
        <f>IF(COUNTIF(169:169,"&gt;0")=0,0,STDEV(169:169))</f>
        <v>0.52327488071807648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10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0.57220000000000004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0.22070000000000001</v>
      </c>
      <c r="C31" s="157" t="s">
        <v>217</v>
      </c>
      <c r="D31" s="174">
        <f>COUNTIF(149:149,"&gt;8")/COUNT(149:149)</f>
        <v>0.91304347826086951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19.865000000000002</v>
      </c>
      <c r="C32" s="157" t="s">
        <v>217</v>
      </c>
      <c r="D32" s="174">
        <f>COUNTIF(159:159,"&gt;3")/COUNT(159:159)</f>
        <v>0.78260869565217395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4.6500000000000004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4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9.5806451612903221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3131874</v>
      </c>
      <c r="C36" s="178">
        <f>STDEV(C97:F97)</f>
        <v>156401.49178316683</v>
      </c>
      <c r="D36" s="76" t="str">
        <f>IF(C36/B36&lt;15%,"高",IF(C36/B36&lt;30%,"中","低"))</f>
        <v>高</v>
      </c>
      <c r="E36" s="107">
        <f>IF(F97&gt;E97,1,0)+IF(E97&gt;D97,1,0)+IF(D97&gt;C97,1,0)</f>
        <v>0</v>
      </c>
      <c r="F36" s="179"/>
      <c r="G36" s="160">
        <f>IF(D36="高",6,IF(D36="中",4,2))+E36+1</f>
        <v>7</v>
      </c>
    </row>
    <row r="37" spans="1:14" x14ac:dyDescent="0.25">
      <c r="A37" s="164" t="s">
        <v>248</v>
      </c>
      <c r="B37" s="180">
        <f>AVERAGE(C152:F152)</f>
        <v>57.220000000000006</v>
      </c>
      <c r="C37" s="180">
        <f>STDEV(C152:F152)</f>
        <v>0.65853372477547922</v>
      </c>
      <c r="D37" s="76" t="str">
        <f>IF(C37/B37&lt;15%,"高",IF(C37/B37&lt;30%,"中","低"))</f>
        <v>高</v>
      </c>
      <c r="E37" s="107">
        <f>IF(F152&gt;E152,1,0)+IF(E152&gt;D152,1,0)+IF(D152&gt;C152,1,0)</f>
        <v>2</v>
      </c>
      <c r="F37" s="179"/>
      <c r="G37" s="160">
        <f>IF(D37="高",6,IF(D37="中",4,2))+E37+1</f>
        <v>9</v>
      </c>
    </row>
    <row r="38" spans="1:14" x14ac:dyDescent="0.25">
      <c r="A38" s="164" t="s">
        <v>249</v>
      </c>
      <c r="B38" s="180">
        <f>AVERAGE(C153:F153)</f>
        <v>18.777500000000003</v>
      </c>
      <c r="C38" s="180">
        <f>STDEV(C153:F153)</f>
        <v>1.1849437398740359</v>
      </c>
      <c r="D38" s="76" t="str">
        <f>IF(C38/B38&lt;15%,"高",IF(C38/B38&lt;30%,"中","低"))</f>
        <v>高</v>
      </c>
      <c r="E38" s="107">
        <f>IF(F153&gt;E153,1,0)+IF(E153&gt;D153,1,0)+IF(D153&gt;C153,1,0)</f>
        <v>2</v>
      </c>
      <c r="F38" s="179"/>
      <c r="G38" s="160">
        <f>IF(D38="高",6,IF(D38="中",4,2))+E38+1</f>
        <v>9</v>
      </c>
    </row>
    <row r="39" spans="1:14" x14ac:dyDescent="0.25">
      <c r="A39" s="142" t="s">
        <v>46</v>
      </c>
      <c r="B39" s="181">
        <f>AVERAGE(C165:F165)</f>
        <v>19.865000000000002</v>
      </c>
      <c r="C39" s="181">
        <f>STDEV(C165:F165)</f>
        <v>6.9243266820680827</v>
      </c>
      <c r="D39" s="76" t="str">
        <f>IF(C39/B39&lt;15%,"高",IF(C39/B39&lt;30%,"中","低"))</f>
        <v>低</v>
      </c>
      <c r="E39" s="107">
        <f>IF(F165&gt;E165,1,0)+IF(E165&gt;D165,1,0)+IF(D165&gt;C165,1,0)</f>
        <v>2</v>
      </c>
      <c r="F39" s="182"/>
      <c r="G39" s="160">
        <f>IF(D39="高",6,IF(D39="中",4,2))+E39+1</f>
        <v>5</v>
      </c>
    </row>
    <row r="40" spans="1:14" x14ac:dyDescent="0.25">
      <c r="A40" s="164" t="s">
        <v>14</v>
      </c>
      <c r="B40" s="183">
        <f>AVERAGE(B69:E69)</f>
        <v>4.6500000000000004</v>
      </c>
      <c r="C40" s="183">
        <f>STDEV(B69:E69)</f>
        <v>1.6868708703790374</v>
      </c>
      <c r="D40" s="76" t="str">
        <f>IF(C40/B40&lt;15%,"高",IF(C40/B40&lt;30%,"中","低"))</f>
        <v>低</v>
      </c>
      <c r="E40" s="107">
        <f>IF(E69&gt;D69,1,0)+IF(D69&gt;C69,1,0)+IF(C69&gt;B69,1,0)</f>
        <v>2</v>
      </c>
      <c r="G40" s="160">
        <f>IF(D40="高",6,IF(D40="中",4,2))+E40+1</f>
        <v>5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0.17431192660550451</v>
      </c>
      <c r="C44" s="186">
        <f>(C46-C49)/C49</f>
        <v>-0.21969696969696972</v>
      </c>
      <c r="D44" s="186">
        <f>(D46-D49)/D49</f>
        <v>-0.18243243243243246</v>
      </c>
      <c r="E44" s="186">
        <f>(E46-E49)/E49</f>
        <v>-0.17000000000000004</v>
      </c>
      <c r="G44" s="86" t="s">
        <v>175</v>
      </c>
      <c r="H44" s="186">
        <f>(H47-H50)/H50</f>
        <v>-9.3904448105436591E-2</v>
      </c>
      <c r="I44" s="186">
        <f>(I47-I50)/I50</f>
        <v>-0.18356734269370775</v>
      </c>
      <c r="J44" s="186">
        <f>(J47-J50)/J50</f>
        <v>-0.13154587348135738</v>
      </c>
      <c r="K44" s="186">
        <f>(K47-K50)/K50</f>
        <v>-0.37592468056489581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1.28</v>
      </c>
      <c r="C46" s="152">
        <f>HLOOKUP(C45,$81:$82,2,FALSE)</f>
        <v>1.03</v>
      </c>
      <c r="D46" s="152">
        <f>HLOOKUP(D45,$81:$82,2,FALSE)</f>
        <v>1.21</v>
      </c>
      <c r="E46" s="152">
        <f>HLOOKUP(E45,$81:$82,2,FALSE)</f>
        <v>0.83</v>
      </c>
      <c r="G46" s="86" t="s">
        <v>164</v>
      </c>
      <c r="H46" s="145">
        <f>HLOOKUP(H45,$145:$147,2,FALSE)/100</f>
        <v>0.56090000000000007</v>
      </c>
      <c r="I46" s="145">
        <f>HLOOKUP(I45,$145:$147,2,FALSE)/100</f>
        <v>0.55920000000000003</v>
      </c>
      <c r="J46" s="145">
        <f>HLOOKUP(J45,$145:$147,2,FALSE)/100</f>
        <v>0.59709999999999996</v>
      </c>
      <c r="K46" s="145">
        <f>HLOOKUP(K45,$145:$147,2,FALSE)/100</f>
        <v>0.5484</v>
      </c>
    </row>
    <row r="47" spans="1:14" x14ac:dyDescent="0.25">
      <c r="A47" s="188" t="s">
        <v>165</v>
      </c>
      <c r="B47" s="189">
        <f>HLOOKUP(B45,$157:$159,3,FALSE)</f>
        <v>5.22</v>
      </c>
      <c r="C47" s="189">
        <f>HLOOKUP(C45,$157:$159,3,FALSE)</f>
        <v>4.08</v>
      </c>
      <c r="D47" s="189">
        <f>HLOOKUP(D45,$157:$159,3,FALSE)</f>
        <v>4.5599999999999996</v>
      </c>
      <c r="E47" s="189">
        <f>HLOOKUP(E45,$157:$159,3,FALSE)</f>
        <v>3.29</v>
      </c>
      <c r="G47" s="190" t="s">
        <v>166</v>
      </c>
      <c r="H47" s="145">
        <f>HLOOKUP(H45,$145:$147,3,FALSE)/100</f>
        <v>0.16500000000000001</v>
      </c>
      <c r="I47" s="145">
        <f>HLOOKUP(I45,$145:$147,3,FALSE)/100</f>
        <v>0.157</v>
      </c>
      <c r="J47" s="145">
        <f>HLOOKUP(J45,$145:$147,3,FALSE)/100</f>
        <v>0.20730000000000001</v>
      </c>
      <c r="K47" s="145">
        <f>HLOOKUP(K45,$145:$147,3,FALSE)/100</f>
        <v>9.2799999999999994E-2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1.0900000000000001</v>
      </c>
      <c r="C49" s="152">
        <f>HLOOKUP(C48,$81:$82,2,FALSE)</f>
        <v>1.32</v>
      </c>
      <c r="D49" s="152">
        <f>HLOOKUP(D48,$81:$82,2,FALSE)</f>
        <v>1.48</v>
      </c>
      <c r="E49" s="152">
        <f>HLOOKUP(E48,$81:$82,2,FALSE)</f>
        <v>1</v>
      </c>
      <c r="G49" s="86" t="s">
        <v>164</v>
      </c>
      <c r="H49" s="145">
        <f>HLOOKUP(H48,$145:$147,2,FALSE)/100</f>
        <v>0.56479999999999997</v>
      </c>
      <c r="I49" s="145">
        <f>HLOOKUP(I48,$145:$147,2,FALSE)/100</f>
        <v>0.57079999999999997</v>
      </c>
      <c r="J49" s="145">
        <f>HLOOKUP(J48,$145:$147,2,FALSE)/100</f>
        <v>0.61159999999999992</v>
      </c>
      <c r="K49" s="145">
        <f>HLOOKUP(K48,$145:$147,2,FALSE)/100</f>
        <v>0.55880000000000007</v>
      </c>
    </row>
    <row r="50" spans="1:15" x14ac:dyDescent="0.25">
      <c r="A50" s="188" t="s">
        <v>165</v>
      </c>
      <c r="B50" s="189">
        <f>HLOOKUP(B48,$157:$159,3,FALSE)</f>
        <v>4.5</v>
      </c>
      <c r="C50" s="189">
        <f>HLOOKUP(C48,$157:$159,3,FALSE)</f>
        <v>5.26</v>
      </c>
      <c r="D50" s="189">
        <f>HLOOKUP(D48,$157:$159,3,FALSE)</f>
        <v>5.75</v>
      </c>
      <c r="E50" s="189">
        <f>HLOOKUP(E48,$157:$159,3,FALSE)</f>
        <v>4.08</v>
      </c>
      <c r="G50" s="190" t="s">
        <v>166</v>
      </c>
      <c r="H50" s="145">
        <f>HLOOKUP(H48,$145:$147,3,FALSE)/100</f>
        <v>0.18210000000000001</v>
      </c>
      <c r="I50" s="145">
        <f>HLOOKUP(I48,$145:$147,3,FALSE)/100</f>
        <v>0.1923</v>
      </c>
      <c r="J50" s="145">
        <f>HLOOKUP(J48,$145:$147,3,FALSE)/100</f>
        <v>0.23870000000000002</v>
      </c>
      <c r="K50" s="145">
        <f>HLOOKUP(K48,$145:$147,3,FALSE)/100</f>
        <v>0.1487</v>
      </c>
    </row>
    <row r="51" spans="1:15" x14ac:dyDescent="0.25">
      <c r="A51" s="86" t="s">
        <v>351</v>
      </c>
      <c r="B51" s="186">
        <f>(B47-B50)/B50</f>
        <v>0.15999999999999995</v>
      </c>
      <c r="C51" s="186">
        <f>(C47-C50)/C50</f>
        <v>-0.22433460076045622</v>
      </c>
      <c r="D51" s="186">
        <f>(D47-D50)/D50</f>
        <v>-0.20695652173913051</v>
      </c>
      <c r="E51" s="186">
        <f>(E47-E50)/E50</f>
        <v>-0.19362745098039216</v>
      </c>
      <c r="G51" s="235" t="s">
        <v>174</v>
      </c>
      <c r="H51" s="186">
        <f>(H46-H49)/H49</f>
        <v>-6.9050991501414727E-3</v>
      </c>
      <c r="I51" s="186">
        <f>(I46-I49)/I49</f>
        <v>-2.0322354590048955E-2</v>
      </c>
      <c r="J51" s="186">
        <f>(J46-J49)/J49</f>
        <v>-2.3708306082406736E-2</v>
      </c>
      <c r="K51" s="186">
        <f>(K46-K49)/K49</f>
        <v>-1.8611309949892761E-2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4.1629954189775695</v>
      </c>
      <c r="B53" s="193">
        <f>B46</f>
        <v>1.28</v>
      </c>
      <c r="C53" s="193">
        <f>E46/HLOOKUP(E45,$87:$94,5,FALSE)*HLOOKUP(E45,$87:$94,4,FALSE)*($B$25/HLOOKUP(E45,$87:$94,4,FALSE)+SUM($B$57:$D$57)/SUM($B58:$D$58)*$G$69/100/K46)</f>
        <v>0.71295433745241399</v>
      </c>
      <c r="D53" s="193">
        <f>D46/HLOOKUP(D45,$87:$94,5,FALSE)*HLOOKUP(D45,$87:$94,4,FALSE)*($B$25/HLOOKUP(D45,$87:$94,4,FALSE)+SUM($B$57:$D$57)/SUM($B58:$D$58)*$G$69/100/J46)</f>
        <v>1.2214483470328281</v>
      </c>
      <c r="E53" s="193">
        <f>C46/HLOOKUP(C45,$87:$94,5,FALSE)*HLOOKUP(C45,$87:$94,4,FALSE)*($B$25/HLOOKUP(C45,$87:$94,4,FALSE)+SUM($B$57:$D$57)/SUM($B58:$D$58)*$G$69/100/I46)</f>
        <v>0.94859273449232662</v>
      </c>
    </row>
    <row r="54" spans="1:15" x14ac:dyDescent="0.25">
      <c r="A54" s="278">
        <f>SUM(B54:E54)</f>
        <v>4.16</v>
      </c>
      <c r="B54" s="277">
        <f t="shared" ref="B54:D54" si="0">HLOOKUP(B52-10,81:82,2,FALSE)</f>
        <v>1.0900000000000001</v>
      </c>
      <c r="C54" s="277">
        <f t="shared" si="0"/>
        <v>0.83</v>
      </c>
      <c r="D54" s="277">
        <f t="shared" si="0"/>
        <v>1.21</v>
      </c>
      <c r="E54" s="277">
        <f>HLOOKUP(E52-10,81:82,2,FALSE)</f>
        <v>1.03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251580</v>
      </c>
      <c r="C57" s="196">
        <f>HLOOKUP(C56,78:79,2,FALSE)</f>
        <v>227517</v>
      </c>
      <c r="D57" s="196">
        <f>HLOOKUP(D56,78:79,2,FALSE)</f>
        <v>243109</v>
      </c>
      <c r="E57" s="196">
        <f>HLOOKUP(E56,78:79,2,FALSE)</f>
        <v>253048</v>
      </c>
      <c r="F57" s="196">
        <f>HLOOKUP(F56,78:79,2,FALSE)</f>
        <v>246261</v>
      </c>
      <c r="G57" s="196">
        <f t="shared" ref="G57:M57" si="2">HLOOKUP(G56,78:79,2,FALSE)</f>
        <v>232262</v>
      </c>
      <c r="H57" s="196">
        <f t="shared" si="2"/>
        <v>216890</v>
      </c>
      <c r="I57" s="196">
        <f t="shared" si="2"/>
        <v>195781</v>
      </c>
      <c r="J57" s="196">
        <f t="shared" si="2"/>
        <v>241877</v>
      </c>
      <c r="K57" s="196">
        <f t="shared" si="2"/>
        <v>333936</v>
      </c>
      <c r="L57" s="196">
        <f t="shared" si="2"/>
        <v>244917</v>
      </c>
      <c r="M57" s="196">
        <f t="shared" si="2"/>
        <v>212209</v>
      </c>
      <c r="N57" s="197"/>
    </row>
    <row r="58" spans="1:15" x14ac:dyDescent="0.25">
      <c r="A58" s="198" t="s">
        <v>253</v>
      </c>
      <c r="B58" s="196">
        <f>HLOOKUP(B56-100,78:79,2,FALSE)</f>
        <v>250021</v>
      </c>
      <c r="C58" s="196">
        <f>HLOOKUP(C56-100,78:79,2,FALSE)</f>
        <v>238586</v>
      </c>
      <c r="D58" s="196">
        <f>HLOOKUP(D56-100,78:79,2,FALSE)</f>
        <v>237804</v>
      </c>
      <c r="E58" s="196">
        <f>HLOOKUP(E56-100,78:79,2,FALSE)</f>
        <v>266125</v>
      </c>
      <c r="F58" s="196">
        <f>HLOOKUP(F56-100,78:79,2,FALSE)</f>
        <v>267034</v>
      </c>
      <c r="G58" s="196">
        <f t="shared" ref="G58:M58" si="3">HLOOKUP(G56-100,78:79,2,FALSE)</f>
        <v>230631</v>
      </c>
      <c r="H58" s="196">
        <f t="shared" si="3"/>
        <v>220390</v>
      </c>
      <c r="I58" s="196">
        <f t="shared" si="3"/>
        <v>204647</v>
      </c>
      <c r="J58" s="196">
        <f t="shared" si="3"/>
        <v>288774</v>
      </c>
      <c r="K58" s="196">
        <f t="shared" si="3"/>
        <v>273344</v>
      </c>
      <c r="L58" s="196">
        <f t="shared" si="3"/>
        <v>241277</v>
      </c>
      <c r="M58" s="196">
        <f t="shared" si="3"/>
        <v>220059</v>
      </c>
      <c r="N58" s="197"/>
    </row>
    <row r="59" spans="1:15" x14ac:dyDescent="0.25">
      <c r="A59" s="199" t="s">
        <v>254</v>
      </c>
      <c r="B59" s="165">
        <f>IF(B57&lt;&gt;"",(B57-B58)/B58,"")</f>
        <v>6.2354762199975204E-3</v>
      </c>
      <c r="C59" s="165">
        <f>IF(C57&lt;&gt;"",(C57-C58)/C58,"")</f>
        <v>-4.6394172331989302E-2</v>
      </c>
      <c r="D59" s="165">
        <f>IF(D57&lt;&gt;"",(D57-D58)/D58,"")</f>
        <v>2.2308287497266658E-2</v>
      </c>
      <c r="E59" s="165">
        <f>IF(E57&lt;&gt;"",(E57-E58)/E58,"")</f>
        <v>-4.9138562705495541E-2</v>
      </c>
      <c r="F59" s="165">
        <f>IF(F57&lt;&gt;"",(F57-F58)/F58,"")</f>
        <v>-7.7791592081907168E-2</v>
      </c>
      <c r="G59" s="165">
        <f t="shared" ref="G59:M59" si="4">IF(G57&lt;&gt;"",(G57-G58)/G58,"")</f>
        <v>7.0719027364057737E-3</v>
      </c>
      <c r="H59" s="165">
        <f t="shared" si="4"/>
        <v>-1.5880938336585146E-2</v>
      </c>
      <c r="I59" s="165">
        <f t="shared" si="4"/>
        <v>-4.3323381236959252E-2</v>
      </c>
      <c r="J59" s="165">
        <f t="shared" si="4"/>
        <v>-0.16240035460256116</v>
      </c>
      <c r="K59" s="165">
        <f t="shared" si="4"/>
        <v>0.22166939826738469</v>
      </c>
      <c r="L59" s="165">
        <f t="shared" si="4"/>
        <v>1.5086394476058638E-2</v>
      </c>
      <c r="M59" s="165">
        <f t="shared" si="4"/>
        <v>-3.5672251532543546E-2</v>
      </c>
    </row>
    <row r="60" spans="1:15" x14ac:dyDescent="0.25">
      <c r="A60" s="195" t="s">
        <v>255</v>
      </c>
      <c r="B60" s="196">
        <f>SUM(B57:M57)</f>
        <v>2899387</v>
      </c>
    </row>
    <row r="61" spans="1:15" x14ac:dyDescent="0.25">
      <c r="A61" s="198" t="s">
        <v>256</v>
      </c>
      <c r="B61" s="196">
        <f>SUM(B58:M58)</f>
        <v>2938692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0.98662500187158098</v>
      </c>
      <c r="D62" s="152">
        <f>SUM(B46:E46)</f>
        <v>4.3499999999999996</v>
      </c>
      <c r="E62" s="152">
        <f>SUM(B49:E49)</f>
        <v>4.8900000000000006</v>
      </c>
      <c r="G62" s="126">
        <f>SUM(B47:E47)</f>
        <v>17.149999999999999</v>
      </c>
      <c r="H62" s="126">
        <f>SUM(B50:E50)</f>
        <v>19.59</v>
      </c>
      <c r="J62" s="200">
        <f>AVERAGE(H46:K46)</f>
        <v>0.56640000000000001</v>
      </c>
      <c r="K62" s="200">
        <f>AVERAGE(H49:K49)</f>
        <v>0.57650000000000001</v>
      </c>
      <c r="M62" s="200">
        <f>AVERAGE(H47:K47)</f>
        <v>0.155525</v>
      </c>
      <c r="N62" s="200">
        <f>AVERAGE(H50:K50)</f>
        <v>0.19045000000000001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1.27</v>
      </c>
      <c r="C65" s="205">
        <f t="shared" si="5"/>
        <v>1.47</v>
      </c>
      <c r="D65" s="205">
        <f t="shared" si="5"/>
        <v>2.4500000000000002</v>
      </c>
      <c r="E65" s="205">
        <f t="shared" si="5"/>
        <v>1.48</v>
      </c>
      <c r="F65" s="206">
        <f>IF(ISNA(HLOOKUP(F$64*10+$A65,$81:$82,2,FALSE)),(HLOOKUP(E$64*10+$A65,$87:$94,4,FALSE)*$G65+$B$25)/HLOOKUP(E$64*10+$A65,$87:$94,5,FALSE)*$E65,HLOOKUP(F$64*10+$A65,$81:$82,2,FALSE))</f>
        <v>1.21</v>
      </c>
      <c r="G65" s="101">
        <f>MIN(130%,SUM($B$57:$D$57)/SUM($B$58:$D$58)*$G$69/HLOOKUP(E$64*10+$A65,$145:$146,2,FALSE))</f>
        <v>0.93044869926828988</v>
      </c>
      <c r="H65" s="204">
        <v>1</v>
      </c>
      <c r="I65" s="208">
        <f t="shared" ref="I65:M68" si="6">IF(ISNA(HLOOKUP(I$64*10+$H65,$145:$147,3,FALSE)),"",HLOOKUP(I$64*10+$H65,$145:$147,3,FALSE)/100)</f>
        <v>0.2084</v>
      </c>
      <c r="J65" s="208">
        <f t="shared" si="6"/>
        <v>0.22219999999999998</v>
      </c>
      <c r="K65" s="208">
        <f t="shared" si="6"/>
        <v>0.27610000000000001</v>
      </c>
      <c r="L65" s="208">
        <f t="shared" si="6"/>
        <v>0.23870000000000002</v>
      </c>
      <c r="M65" s="209">
        <f t="shared" si="6"/>
        <v>0.20730000000000001</v>
      </c>
      <c r="N65" s="256">
        <f t="shared" ref="N65:O68" si="7">HLOOKUP(E$64*10+$A65,$87:$94,8,FALSE)</f>
        <v>64377</v>
      </c>
      <c r="O65" s="256">
        <f t="shared" si="7"/>
        <v>39924</v>
      </c>
      <c r="P65" s="210"/>
    </row>
    <row r="66" spans="1:71" x14ac:dyDescent="0.25">
      <c r="A66" s="204">
        <v>2</v>
      </c>
      <c r="B66" s="205">
        <f t="shared" si="5"/>
        <v>0.41</v>
      </c>
      <c r="C66" s="205">
        <f t="shared" si="5"/>
        <v>0.53</v>
      </c>
      <c r="D66" s="205">
        <f t="shared" si="5"/>
        <v>1.86</v>
      </c>
      <c r="E66" s="205">
        <f t="shared" si="5"/>
        <v>1.32</v>
      </c>
      <c r="F66" s="206">
        <f>IF(ISNA(HLOOKUP(F$64*10+$A66,$81:$82,2,FALSE)),(HLOOKUP(E$64*10+$A66,$87:$94,4,FALSE)*$G66+$B$25)/HLOOKUP(E$64*10+$A66,$87:$94,5,FALSE)*$E66,HLOOKUP(F$64*10+$A66,$81:$82,2,FALSE))</f>
        <v>1.03</v>
      </c>
      <c r="G66" s="101">
        <f>MIN(130%,SUM($B$57:$D$57)/SUM($B$58:$D$58)*$G$69/HLOOKUP(E$64*10+$A66,$145:$146,2,FALSE))</f>
        <v>0.99695589431059228</v>
      </c>
      <c r="H66" s="204">
        <v>2</v>
      </c>
      <c r="I66" s="208">
        <f t="shared" si="6"/>
        <v>0.1474</v>
      </c>
      <c r="J66" s="208">
        <f t="shared" si="6"/>
        <v>0.1535</v>
      </c>
      <c r="K66" s="208">
        <f t="shared" si="6"/>
        <v>0.18469999999999998</v>
      </c>
      <c r="L66" s="208">
        <f t="shared" si="6"/>
        <v>0.1923</v>
      </c>
      <c r="M66" s="209">
        <f t="shared" si="6"/>
        <v>0.157</v>
      </c>
      <c r="N66" s="256">
        <f t="shared" si="7"/>
        <v>108557</v>
      </c>
      <c r="O66" s="256">
        <f t="shared" si="7"/>
        <v>65021</v>
      </c>
      <c r="P66" s="210"/>
    </row>
    <row r="67" spans="1:71" x14ac:dyDescent="0.25">
      <c r="A67" s="204">
        <v>3</v>
      </c>
      <c r="B67" s="205">
        <f t="shared" si="5"/>
        <v>0.65</v>
      </c>
      <c r="C67" s="205">
        <f t="shared" si="5"/>
        <v>1.21</v>
      </c>
      <c r="D67" s="205">
        <f t="shared" si="5"/>
        <v>1.49</v>
      </c>
      <c r="E67" s="205">
        <f t="shared" si="5"/>
        <v>1.0900000000000001</v>
      </c>
      <c r="F67" s="206">
        <f>IF(ISNA(HLOOKUP(F$64*10+$A67,$81:$82,2,FALSE)),(HLOOKUP(E$64*10+$A67,$87:$94,4,FALSE)*$G67+$B$25)/HLOOKUP(E$64*10+$A67,$87:$94,5,FALSE)*$E67,HLOOKUP(F$64*10+$A67,$81:$82,2,FALSE))</f>
        <v>1.28</v>
      </c>
      <c r="G67" s="101">
        <f>MIN(130%,SUM($B$57:$D$57)/SUM($B$58:$D$58)*$G$69/HLOOKUP(E$64*10+$A67,$145:$146,2,FALSE))</f>
        <v>1.0075467855391043</v>
      </c>
      <c r="H67" s="204">
        <v>3</v>
      </c>
      <c r="I67" s="208">
        <f t="shared" si="6"/>
        <v>0.17249999999999999</v>
      </c>
      <c r="J67" s="208">
        <f t="shared" si="6"/>
        <v>0.182</v>
      </c>
      <c r="K67" s="208">
        <f t="shared" si="6"/>
        <v>0.1764</v>
      </c>
      <c r="L67" s="208">
        <f t="shared" si="6"/>
        <v>0.18210000000000001</v>
      </c>
      <c r="M67" s="209">
        <f t="shared" si="6"/>
        <v>0.16500000000000001</v>
      </c>
      <c r="N67" s="256">
        <f t="shared" si="7"/>
        <v>47571</v>
      </c>
      <c r="O67" s="256">
        <f t="shared" si="7"/>
        <v>89782</v>
      </c>
      <c r="P67" s="210"/>
    </row>
    <row r="68" spans="1:71" x14ac:dyDescent="0.25">
      <c r="A68" s="204">
        <v>4</v>
      </c>
      <c r="B68" s="205">
        <f>HLOOKUP(B$64*10+$A68,$81:$82,2,FALSE)</f>
        <v>0.36</v>
      </c>
      <c r="C68" s="205">
        <f>HLOOKUP(C$64*10+$A68,$81:$82,2,FALSE)</f>
        <v>1.18</v>
      </c>
      <c r="D68" s="205">
        <f>HLOOKUP(D$64*10+$A68,$81:$82,2,FALSE)</f>
        <v>1</v>
      </c>
      <c r="E68" s="206">
        <f>IF(ISNA(HLOOKUP(E$64*10+$A68,$81:$82,2,FALSE)),D68*(1-$N68)*#REF!*(1+$B$25)/(1+$E$4),HLOOKUP(E$64*10+$A68,$81:$82,2,FALSE))</f>
        <v>0.83</v>
      </c>
      <c r="F68" s="206">
        <f>IF(ISNA(HLOOKUP(F$64*10+$A68,$81:$82,2,FALSE)),(HLOOKUP(E$64*10+$A68,$87:$94,4,FALSE)*$G68+$B$25)/HLOOKUP(E$64*10+$A68,$87:$94,5,FALSE)*$E68,HLOOKUP(F$64*10+$A68,$81:$82,2,FALSE))</f>
        <v>0.71295433745241399</v>
      </c>
      <c r="G68" s="101">
        <f>MIN(130%,SUM($B$57:$D$57)/SUM($B$58:$D$58)*$G$69/HLOOKUP(E$64*10+$A68,$145:$146,2,FALSE))</f>
        <v>1.0376776522109519</v>
      </c>
      <c r="H68" s="204">
        <v>4</v>
      </c>
      <c r="I68" s="208">
        <f t="shared" si="6"/>
        <v>0.17920000000000003</v>
      </c>
      <c r="J68" s="208">
        <f t="shared" si="6"/>
        <v>0.22010000000000002</v>
      </c>
      <c r="K68" s="208">
        <f t="shared" si="6"/>
        <v>0.1487</v>
      </c>
      <c r="L68" s="208">
        <f t="shared" si="6"/>
        <v>9.2799999999999994E-2</v>
      </c>
      <c r="M68" s="209" t="str">
        <f t="shared" si="6"/>
        <v/>
      </c>
      <c r="N68" s="256">
        <f t="shared" si="7"/>
        <v>71073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2.69</v>
      </c>
      <c r="C69" s="213">
        <f>SUM(C65:C68)</f>
        <v>4.3899999999999997</v>
      </c>
      <c r="D69" s="213">
        <f>SUM(D65:D68)</f>
        <v>6.8000000000000007</v>
      </c>
      <c r="E69" s="213">
        <f>SUM(E65:E68)</f>
        <v>4.72</v>
      </c>
      <c r="F69" s="213">
        <f>SUM(F65:F68)</f>
        <v>4.2329543374524148</v>
      </c>
      <c r="G69" s="257">
        <f>_xlfn.FORECAST.ETS(23,B146:W146,{1,2,3,4,5,6,7,8,9,10,11,12,13,14,15,16,17,18,19,20,21,22})</f>
        <v>57.237575542640613</v>
      </c>
      <c r="H69" s="214" t="s">
        <v>19</v>
      </c>
      <c r="I69" s="215">
        <f>HLOOKUP(I64,151:155,3,FALSE)/100</f>
        <v>0.17749999999999999</v>
      </c>
      <c r="J69" s="215">
        <f>HLOOKUP(J64,151:155,3,FALSE)/100</f>
        <v>0.19510000000000002</v>
      </c>
      <c r="K69" s="215">
        <f>HLOOKUP(K64,151:155,3,FALSE)/100</f>
        <v>0.2006</v>
      </c>
      <c r="L69" s="215">
        <f>IF(ISNA(HLOOKUP(L64,151:155,3,FALSE)/100),AVERAGE(L65:L68),HLOOKUP(L64,151:155,3,FALSE)/100)</f>
        <v>0.1779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5.39</v>
      </c>
      <c r="C72" s="205">
        <f t="shared" si="8"/>
        <v>6.63</v>
      </c>
      <c r="D72" s="205">
        <f t="shared" si="8"/>
        <v>10.25</v>
      </c>
      <c r="E72" s="205">
        <f t="shared" si="8"/>
        <v>5.75</v>
      </c>
      <c r="F72" s="205">
        <f t="shared" si="8"/>
        <v>4.5599999999999996</v>
      </c>
    </row>
    <row r="73" spans="1:71" s="135" customFormat="1" x14ac:dyDescent="0.25">
      <c r="A73" s="204">
        <v>2</v>
      </c>
      <c r="B73" s="205">
        <f t="shared" si="8"/>
        <v>1.88</v>
      </c>
      <c r="C73" s="205">
        <f t="shared" si="8"/>
        <v>2.5099999999999998</v>
      </c>
      <c r="D73" s="205">
        <f t="shared" si="8"/>
        <v>7.78</v>
      </c>
      <c r="E73" s="205">
        <f t="shared" si="8"/>
        <v>5.26</v>
      </c>
      <c r="F73" s="205">
        <f t="shared" si="8"/>
        <v>4.08</v>
      </c>
    </row>
    <row r="74" spans="1:71" s="135" customFormat="1" x14ac:dyDescent="0.25">
      <c r="A74" s="204">
        <v>3</v>
      </c>
      <c r="B74" s="205">
        <f t="shared" si="8"/>
        <v>3.16</v>
      </c>
      <c r="C74" s="205">
        <f t="shared" si="8"/>
        <v>6.03</v>
      </c>
      <c r="D74" s="205">
        <f t="shared" si="8"/>
        <v>6.42</v>
      </c>
      <c r="E74" s="205">
        <f t="shared" si="8"/>
        <v>4.5</v>
      </c>
      <c r="F74" s="205">
        <f t="shared" si="8"/>
        <v>5.22</v>
      </c>
    </row>
    <row r="75" spans="1:71" s="135" customFormat="1" x14ac:dyDescent="0.25">
      <c r="A75" s="204">
        <v>4</v>
      </c>
      <c r="B75" s="205">
        <f t="shared" si="8"/>
        <v>1.7</v>
      </c>
      <c r="C75" s="205">
        <f t="shared" si="8"/>
        <v>5.47</v>
      </c>
      <c r="D75" s="205">
        <f t="shared" si="8"/>
        <v>4.08</v>
      </c>
      <c r="E75" s="205">
        <f t="shared" si="8"/>
        <v>3.29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12.129999999999999</v>
      </c>
      <c r="C76" s="213">
        <f>SUM(C72:C75)</f>
        <v>20.64</v>
      </c>
      <c r="D76" s="213">
        <f>SUM(D72:D75)</f>
        <v>28.53</v>
      </c>
      <c r="E76" s="213">
        <f>AVERAGE(E72:E75)*4</f>
        <v>18.8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365370</v>
      </c>
      <c r="C79" s="270">
        <v>259771</v>
      </c>
      <c r="D79" s="270">
        <v>218937</v>
      </c>
      <c r="E79" s="270">
        <v>232459</v>
      </c>
      <c r="F79" s="270">
        <v>239840</v>
      </c>
      <c r="G79" s="270">
        <v>285766</v>
      </c>
      <c r="H79" s="270">
        <v>264173</v>
      </c>
      <c r="I79" s="270">
        <v>267628</v>
      </c>
      <c r="J79" s="270">
        <v>241920</v>
      </c>
      <c r="K79" s="270">
        <v>235307</v>
      </c>
      <c r="L79" s="270">
        <v>216083</v>
      </c>
      <c r="M79" s="270">
        <v>263918</v>
      </c>
      <c r="N79" s="270">
        <v>286671</v>
      </c>
      <c r="O79" s="270">
        <v>344812</v>
      </c>
      <c r="P79" s="270">
        <v>246314</v>
      </c>
      <c r="Q79" s="270">
        <v>250607</v>
      </c>
      <c r="R79" s="270">
        <v>253824</v>
      </c>
      <c r="S79" s="270">
        <v>298909</v>
      </c>
      <c r="T79" s="270">
        <v>278627</v>
      </c>
      <c r="U79" s="270">
        <v>300078</v>
      </c>
      <c r="V79" s="270">
        <v>271033</v>
      </c>
      <c r="W79" s="270">
        <v>252443</v>
      </c>
      <c r="X79" s="270">
        <v>237044</v>
      </c>
      <c r="Y79" s="270">
        <v>257908</v>
      </c>
      <c r="Z79" s="270">
        <v>319154</v>
      </c>
      <c r="AA79" s="270">
        <v>302632</v>
      </c>
      <c r="AB79" s="270">
        <v>238119</v>
      </c>
      <c r="AC79" s="270">
        <v>235279</v>
      </c>
      <c r="AD79" s="270">
        <v>261969</v>
      </c>
      <c r="AE79" s="270">
        <v>282017</v>
      </c>
      <c r="AF79" s="270">
        <v>271786</v>
      </c>
      <c r="AG79" s="270">
        <v>285246</v>
      </c>
      <c r="AH79" s="270">
        <v>253983</v>
      </c>
      <c r="AI79" s="270">
        <v>254924</v>
      </c>
      <c r="AJ79" s="270">
        <v>274120</v>
      </c>
      <c r="AK79" s="270">
        <v>254507</v>
      </c>
      <c r="AL79" s="270">
        <v>286848</v>
      </c>
      <c r="AM79" s="270">
        <v>346797</v>
      </c>
      <c r="AN79" s="270">
        <v>246436</v>
      </c>
      <c r="AO79" s="270">
        <v>227434</v>
      </c>
      <c r="AP79" s="270">
        <v>254292</v>
      </c>
      <c r="AQ79" s="270">
        <v>252426</v>
      </c>
      <c r="AR79" s="270">
        <v>257666</v>
      </c>
      <c r="AS79" s="270">
        <v>272875</v>
      </c>
      <c r="AT79" s="270">
        <v>235958</v>
      </c>
      <c r="AU79" s="270">
        <v>238860</v>
      </c>
      <c r="AV79" s="270">
        <v>220059</v>
      </c>
      <c r="AW79" s="270">
        <v>241277</v>
      </c>
      <c r="AX79" s="270">
        <v>273344</v>
      </c>
      <c r="AY79" s="270">
        <v>288774</v>
      </c>
      <c r="AZ79" s="270">
        <v>204647</v>
      </c>
      <c r="BA79" s="270">
        <v>220390</v>
      </c>
      <c r="BB79" s="270">
        <v>230631</v>
      </c>
      <c r="BC79" s="270">
        <v>267034</v>
      </c>
      <c r="BD79" s="270">
        <v>266125</v>
      </c>
      <c r="BE79" s="270">
        <v>237804</v>
      </c>
      <c r="BF79" s="270">
        <v>238586</v>
      </c>
      <c r="BG79" s="270">
        <v>250021</v>
      </c>
      <c r="BH79" s="270">
        <v>212209</v>
      </c>
      <c r="BI79" s="270">
        <v>244917</v>
      </c>
      <c r="BJ79" s="270">
        <v>333936</v>
      </c>
      <c r="BK79" s="270">
        <v>241877</v>
      </c>
      <c r="BL79" s="270">
        <v>195781</v>
      </c>
      <c r="BM79" s="270">
        <v>216890</v>
      </c>
      <c r="BN79" s="270">
        <v>232262</v>
      </c>
      <c r="BO79" s="270">
        <v>246261</v>
      </c>
      <c r="BP79" s="270">
        <v>253048</v>
      </c>
      <c r="BQ79" s="270">
        <v>243109</v>
      </c>
      <c r="BR79" s="270">
        <v>227517</v>
      </c>
      <c r="BS79" s="270">
        <v>251580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1.75</v>
      </c>
      <c r="C82" s="72">
        <v>0.64</v>
      </c>
      <c r="D82" s="72">
        <v>0.63</v>
      </c>
      <c r="E82" s="72">
        <v>0.98</v>
      </c>
      <c r="F82" s="72">
        <v>1.27</v>
      </c>
      <c r="G82" s="72">
        <v>0.41</v>
      </c>
      <c r="H82" s="72">
        <v>0.65</v>
      </c>
      <c r="I82" s="72">
        <v>0.36</v>
      </c>
      <c r="J82" s="72">
        <v>1.47</v>
      </c>
      <c r="K82" s="72">
        <v>0.53</v>
      </c>
      <c r="L82" s="72">
        <v>1.21</v>
      </c>
      <c r="M82" s="72">
        <v>1.18</v>
      </c>
      <c r="N82" s="72">
        <v>2.4500000000000002</v>
      </c>
      <c r="O82" s="72">
        <v>1.86</v>
      </c>
      <c r="P82" s="72">
        <v>1.49</v>
      </c>
      <c r="Q82" s="72">
        <v>1</v>
      </c>
      <c r="R82" s="72">
        <v>1.48</v>
      </c>
      <c r="S82" s="72">
        <v>1.32</v>
      </c>
      <c r="T82" s="72">
        <v>1.0900000000000001</v>
      </c>
      <c r="U82" s="72">
        <v>0.83</v>
      </c>
      <c r="V82" s="72">
        <v>1.21</v>
      </c>
      <c r="W82" s="72">
        <v>1.03</v>
      </c>
      <c r="X82" s="72">
        <v>1.28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24.78</v>
      </c>
      <c r="C85" s="72">
        <v>22.31</v>
      </c>
      <c r="D85" s="72">
        <v>22.94</v>
      </c>
      <c r="E85" s="72">
        <v>23.71</v>
      </c>
      <c r="F85" s="72">
        <v>23.34</v>
      </c>
      <c r="G85" s="72">
        <v>20.25</v>
      </c>
      <c r="H85" s="72">
        <v>20.88</v>
      </c>
      <c r="I85" s="72">
        <v>21.43</v>
      </c>
      <c r="J85" s="72">
        <v>23.03</v>
      </c>
      <c r="K85" s="72">
        <v>19.55</v>
      </c>
      <c r="L85" s="72">
        <v>20.7</v>
      </c>
      <c r="M85" s="72">
        <v>22.35</v>
      </c>
      <c r="N85" s="72">
        <v>25.37</v>
      </c>
      <c r="O85" s="72">
        <v>22.46</v>
      </c>
      <c r="P85" s="72">
        <v>23.92</v>
      </c>
      <c r="Q85" s="72">
        <v>24.88</v>
      </c>
      <c r="R85" s="72">
        <v>26.39</v>
      </c>
      <c r="S85" s="72">
        <v>23.65</v>
      </c>
      <c r="T85" s="72">
        <v>24.72</v>
      </c>
      <c r="U85" s="72">
        <v>25.48</v>
      </c>
      <c r="V85" s="72">
        <v>26.71</v>
      </c>
      <c r="W85" s="72">
        <v>23.73</v>
      </c>
      <c r="X85" s="72">
        <v>24.98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939459</v>
      </c>
      <c r="C88" s="273">
        <v>838204</v>
      </c>
      <c r="D88" s="273">
        <v>857390</v>
      </c>
      <c r="E88" s="273">
        <v>794569</v>
      </c>
      <c r="F88" s="273">
        <v>877797</v>
      </c>
      <c r="G88" s="273">
        <v>803340</v>
      </c>
      <c r="H88" s="273">
        <v>849737</v>
      </c>
      <c r="I88" s="273">
        <v>747396</v>
      </c>
      <c r="J88" s="273">
        <v>859905</v>
      </c>
      <c r="K88" s="273">
        <v>779265</v>
      </c>
      <c r="L88" s="273">
        <v>811014</v>
      </c>
      <c r="M88" s="273">
        <v>783636</v>
      </c>
      <c r="N88" s="273">
        <v>880080</v>
      </c>
      <c r="O88" s="273">
        <v>734152</v>
      </c>
      <c r="P88" s="273">
        <v>766498</v>
      </c>
      <c r="Q88" s="273">
        <v>700194</v>
      </c>
      <c r="R88" s="273">
        <v>766764</v>
      </c>
      <c r="S88" s="273">
        <v>718055</v>
      </c>
      <c r="T88" s="273">
        <v>742516</v>
      </c>
      <c r="U88" s="273">
        <v>707147</v>
      </c>
      <c r="V88" s="273">
        <v>771594</v>
      </c>
      <c r="W88" s="273">
        <v>695413</v>
      </c>
      <c r="X88" s="273">
        <v>723675</v>
      </c>
    </row>
    <row r="89" spans="1:25" ht="14.25" thickBot="1" x14ac:dyDescent="0.3">
      <c r="A89" s="250" t="s">
        <v>4</v>
      </c>
      <c r="B89" s="275">
        <v>555357</v>
      </c>
      <c r="C89" s="275">
        <v>472995</v>
      </c>
      <c r="D89" s="275">
        <v>474170</v>
      </c>
      <c r="E89" s="275">
        <v>446095</v>
      </c>
      <c r="F89" s="275">
        <v>515865</v>
      </c>
      <c r="G89" s="275">
        <v>442605</v>
      </c>
      <c r="H89" s="275">
        <v>473603</v>
      </c>
      <c r="I89" s="275">
        <v>413206</v>
      </c>
      <c r="J89" s="275">
        <v>503406</v>
      </c>
      <c r="K89" s="275">
        <v>435098</v>
      </c>
      <c r="L89" s="275">
        <v>459827</v>
      </c>
      <c r="M89" s="275">
        <v>454718</v>
      </c>
      <c r="N89" s="275">
        <v>540279</v>
      </c>
      <c r="O89" s="275">
        <v>416396</v>
      </c>
      <c r="P89" s="275">
        <v>433777</v>
      </c>
      <c r="Q89" s="275">
        <v>391302</v>
      </c>
      <c r="R89" s="275">
        <v>468937</v>
      </c>
      <c r="S89" s="275">
        <v>409892</v>
      </c>
      <c r="T89" s="275">
        <v>419405</v>
      </c>
      <c r="U89" s="275">
        <v>387807</v>
      </c>
      <c r="V89" s="275">
        <v>460749</v>
      </c>
      <c r="W89" s="275">
        <v>388862</v>
      </c>
      <c r="X89" s="275">
        <v>405934</v>
      </c>
    </row>
    <row r="90" spans="1:25" ht="14.25" thickBot="1" x14ac:dyDescent="0.3">
      <c r="A90" s="251" t="s">
        <v>5</v>
      </c>
      <c r="B90" s="273">
        <v>219925</v>
      </c>
      <c r="C90" s="273">
        <v>144943</v>
      </c>
      <c r="D90" s="273">
        <v>130110</v>
      </c>
      <c r="E90" s="273">
        <v>133605</v>
      </c>
      <c r="F90" s="273">
        <v>182922</v>
      </c>
      <c r="G90" s="273">
        <v>118441</v>
      </c>
      <c r="H90" s="273">
        <v>146607</v>
      </c>
      <c r="I90" s="273">
        <v>133955</v>
      </c>
      <c r="J90" s="273">
        <v>191106</v>
      </c>
      <c r="K90" s="273">
        <v>119578</v>
      </c>
      <c r="L90" s="273">
        <v>147634</v>
      </c>
      <c r="M90" s="273">
        <v>172507</v>
      </c>
      <c r="N90" s="273">
        <v>243030</v>
      </c>
      <c r="O90" s="273">
        <v>135632</v>
      </c>
      <c r="P90" s="273">
        <v>135177</v>
      </c>
      <c r="Q90" s="273">
        <v>104107</v>
      </c>
      <c r="R90" s="273">
        <v>183016</v>
      </c>
      <c r="S90" s="273">
        <v>138103</v>
      </c>
      <c r="T90" s="273">
        <v>135181</v>
      </c>
      <c r="U90" s="273">
        <v>65610</v>
      </c>
      <c r="V90" s="273">
        <v>159956</v>
      </c>
      <c r="W90" s="273">
        <v>109192</v>
      </c>
      <c r="X90" s="273">
        <v>119395</v>
      </c>
    </row>
    <row r="91" spans="1:25" ht="14.25" thickBot="1" x14ac:dyDescent="0.3">
      <c r="A91" s="250" t="s">
        <v>6</v>
      </c>
      <c r="B91" s="275">
        <v>294085</v>
      </c>
      <c r="C91" s="275">
        <v>146643</v>
      </c>
      <c r="D91" s="275">
        <v>114604</v>
      </c>
      <c r="E91" s="275">
        <v>167196</v>
      </c>
      <c r="F91" s="275">
        <v>218629</v>
      </c>
      <c r="G91" s="275">
        <v>90257</v>
      </c>
      <c r="H91" s="275">
        <v>122149</v>
      </c>
      <c r="I91" s="275">
        <v>78114</v>
      </c>
      <c r="J91" s="275">
        <v>251824</v>
      </c>
      <c r="K91" s="275">
        <v>96889</v>
      </c>
      <c r="L91" s="275">
        <v>206332</v>
      </c>
      <c r="M91" s="275">
        <v>203577</v>
      </c>
      <c r="N91" s="275">
        <v>400894</v>
      </c>
      <c r="O91" s="275">
        <v>302829</v>
      </c>
      <c r="P91" s="275">
        <v>248760</v>
      </c>
      <c r="Q91" s="275">
        <v>164692</v>
      </c>
      <c r="R91" s="275">
        <v>247393</v>
      </c>
      <c r="S91" s="275">
        <v>246660</v>
      </c>
      <c r="T91" s="275">
        <v>182752</v>
      </c>
      <c r="U91" s="275">
        <v>136683</v>
      </c>
      <c r="V91" s="275">
        <v>199880</v>
      </c>
      <c r="W91" s="275">
        <v>174213</v>
      </c>
      <c r="X91" s="275">
        <v>209177</v>
      </c>
    </row>
    <row r="92" spans="1:25" ht="14.25" thickBot="1" x14ac:dyDescent="0.3">
      <c r="A92" s="251" t="s">
        <v>7</v>
      </c>
      <c r="B92" s="273">
        <v>258192</v>
      </c>
      <c r="C92" s="273">
        <v>93850</v>
      </c>
      <c r="D92" s="273">
        <v>92408</v>
      </c>
      <c r="E92" s="273">
        <v>144262</v>
      </c>
      <c r="F92" s="273">
        <v>186971</v>
      </c>
      <c r="G92" s="273">
        <v>60299</v>
      </c>
      <c r="H92" s="273">
        <v>95752</v>
      </c>
      <c r="I92" s="273">
        <v>53093</v>
      </c>
      <c r="J92" s="273">
        <v>217252</v>
      </c>
      <c r="K92" s="273">
        <v>78695</v>
      </c>
      <c r="L92" s="273">
        <v>178925</v>
      </c>
      <c r="M92" s="273">
        <v>173363</v>
      </c>
      <c r="N92" s="273">
        <v>360403</v>
      </c>
      <c r="O92" s="273">
        <v>273942</v>
      </c>
      <c r="P92" s="273">
        <v>219180</v>
      </c>
      <c r="Q92" s="273">
        <v>146760</v>
      </c>
      <c r="R92" s="273">
        <v>217303</v>
      </c>
      <c r="S92" s="273">
        <v>194239</v>
      </c>
      <c r="T92" s="273">
        <v>161182</v>
      </c>
      <c r="U92" s="273">
        <v>122188</v>
      </c>
      <c r="V92" s="273">
        <v>176027</v>
      </c>
      <c r="W92" s="273">
        <v>152085</v>
      </c>
      <c r="X92" s="273">
        <v>188172</v>
      </c>
    </row>
    <row r="93" spans="1:25" ht="26.25" thickBot="1" x14ac:dyDescent="0.3">
      <c r="A93" s="252" t="s">
        <v>8</v>
      </c>
      <c r="B93" s="276">
        <v>258192</v>
      </c>
      <c r="C93" s="276">
        <v>93850</v>
      </c>
      <c r="D93" s="276">
        <v>92408</v>
      </c>
      <c r="E93" s="276">
        <v>144262</v>
      </c>
      <c r="F93" s="276">
        <v>186971</v>
      </c>
      <c r="G93" s="276">
        <v>60299</v>
      </c>
      <c r="H93" s="276">
        <v>95752</v>
      </c>
      <c r="I93" s="276">
        <v>53093</v>
      </c>
      <c r="J93" s="276">
        <v>217252</v>
      </c>
      <c r="K93" s="276">
        <v>78695</v>
      </c>
      <c r="L93" s="276">
        <v>178925</v>
      </c>
      <c r="M93" s="276">
        <v>173363</v>
      </c>
      <c r="N93" s="276">
        <v>360403</v>
      </c>
      <c r="O93" s="276">
        <v>273942</v>
      </c>
      <c r="P93" s="276">
        <v>219180</v>
      </c>
      <c r="Q93" s="276">
        <v>146760</v>
      </c>
      <c r="R93" s="276">
        <v>217303</v>
      </c>
      <c r="S93" s="276">
        <v>193782</v>
      </c>
      <c r="T93" s="276">
        <v>161172</v>
      </c>
      <c r="U93" s="276">
        <v>122854</v>
      </c>
      <c r="V93" s="276">
        <v>178336</v>
      </c>
      <c r="W93" s="276">
        <v>152470</v>
      </c>
      <c r="X93" s="276">
        <v>188353</v>
      </c>
    </row>
    <row r="94" spans="1:25" x14ac:dyDescent="0.25">
      <c r="A94" s="233" t="s">
        <v>365</v>
      </c>
      <c r="B94" s="253">
        <f>IF(B91="","",B91-B90)</f>
        <v>74160</v>
      </c>
      <c r="C94" s="253">
        <f>IF(C91="","",C91-C90)</f>
        <v>1700</v>
      </c>
      <c r="D94" s="253">
        <f t="shared" ref="D94:Y94" si="9">IF(D91="","",D91-D90)</f>
        <v>-15506</v>
      </c>
      <c r="E94" s="253">
        <f t="shared" si="9"/>
        <v>33591</v>
      </c>
      <c r="F94" s="253">
        <f t="shared" si="9"/>
        <v>35707</v>
      </c>
      <c r="G94" s="253">
        <f t="shared" si="9"/>
        <v>-28184</v>
      </c>
      <c r="H94" s="253">
        <f t="shared" si="9"/>
        <v>-24458</v>
      </c>
      <c r="I94" s="253">
        <f t="shared" si="9"/>
        <v>-55841</v>
      </c>
      <c r="J94" s="253">
        <f t="shared" si="9"/>
        <v>60718</v>
      </c>
      <c r="K94" s="253">
        <f t="shared" si="9"/>
        <v>-22689</v>
      </c>
      <c r="L94" s="253">
        <f t="shared" si="9"/>
        <v>58698</v>
      </c>
      <c r="M94" s="253">
        <f t="shared" si="9"/>
        <v>31070</v>
      </c>
      <c r="N94" s="253">
        <f t="shared" si="9"/>
        <v>157864</v>
      </c>
      <c r="O94" s="253">
        <f t="shared" si="9"/>
        <v>167197</v>
      </c>
      <c r="P94" s="253">
        <f t="shared" si="9"/>
        <v>113583</v>
      </c>
      <c r="Q94" s="253">
        <f t="shared" si="9"/>
        <v>60585</v>
      </c>
      <c r="R94" s="253">
        <f t="shared" si="9"/>
        <v>64377</v>
      </c>
      <c r="S94" s="253">
        <f t="shared" si="9"/>
        <v>108557</v>
      </c>
      <c r="T94" s="253">
        <f t="shared" si="9"/>
        <v>47571</v>
      </c>
      <c r="U94" s="253">
        <f t="shared" si="9"/>
        <v>71073</v>
      </c>
      <c r="V94" s="253">
        <f t="shared" si="9"/>
        <v>39924</v>
      </c>
      <c r="W94" s="253">
        <f t="shared" si="9"/>
        <v>65021</v>
      </c>
      <c r="X94" s="253">
        <f t="shared" si="9"/>
        <v>89782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3429622</v>
      </c>
      <c r="C97" s="273">
        <v>3278270</v>
      </c>
      <c r="D97" s="273">
        <v>3233820</v>
      </c>
      <c r="E97" s="273">
        <v>3080924</v>
      </c>
      <c r="F97" s="273">
        <v>2934482</v>
      </c>
    </row>
    <row r="98" spans="1:24" ht="14.25" thickBot="1" x14ac:dyDescent="0.3">
      <c r="A98" s="225" t="s">
        <v>4</v>
      </c>
      <c r="B98" s="275">
        <v>1948617</v>
      </c>
      <c r="C98" s="275">
        <v>1845279</v>
      </c>
      <c r="D98" s="275">
        <v>1853049</v>
      </c>
      <c r="E98" s="275">
        <v>1781754</v>
      </c>
      <c r="F98" s="275">
        <v>1686041</v>
      </c>
    </row>
    <row r="99" spans="1:24" ht="14.25" thickBot="1" x14ac:dyDescent="0.3">
      <c r="A99" s="224" t="s">
        <v>5</v>
      </c>
      <c r="B99" s="273">
        <v>628583</v>
      </c>
      <c r="C99" s="273">
        <v>581925</v>
      </c>
      <c r="D99" s="273">
        <v>630825</v>
      </c>
      <c r="E99" s="273">
        <v>617946</v>
      </c>
      <c r="F99" s="273">
        <v>521910</v>
      </c>
    </row>
    <row r="100" spans="1:24" ht="14.25" thickBot="1" x14ac:dyDescent="0.3">
      <c r="A100" s="225" t="s">
        <v>6</v>
      </c>
      <c r="B100" s="275">
        <v>722528</v>
      </c>
      <c r="C100" s="275">
        <v>509149</v>
      </c>
      <c r="D100" s="275">
        <v>758622</v>
      </c>
      <c r="E100" s="275">
        <v>1117175</v>
      </c>
      <c r="F100" s="275">
        <v>813488</v>
      </c>
    </row>
    <row r="101" spans="1:24" ht="14.25" thickBot="1" x14ac:dyDescent="0.3">
      <c r="A101" s="224" t="s">
        <v>7</v>
      </c>
      <c r="B101" s="273">
        <v>588712</v>
      </c>
      <c r="C101" s="273">
        <v>396115</v>
      </c>
      <c r="D101" s="273">
        <v>648235</v>
      </c>
      <c r="E101" s="273">
        <v>1000285</v>
      </c>
      <c r="F101" s="273">
        <v>694912</v>
      </c>
    </row>
    <row r="102" spans="1:24" ht="14.25" thickBot="1" x14ac:dyDescent="0.3">
      <c r="A102" s="227" t="s">
        <v>8</v>
      </c>
      <c r="B102" s="276">
        <v>588712</v>
      </c>
      <c r="C102" s="276">
        <v>396115</v>
      </c>
      <c r="D102" s="276">
        <v>648235</v>
      </c>
      <c r="E102" s="276">
        <v>1000285</v>
      </c>
      <c r="F102" s="276">
        <v>695111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1.0002863671946951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1255704</v>
      </c>
      <c r="C106" s="273">
        <v>1158434</v>
      </c>
      <c r="D106" s="273">
        <v>1052535</v>
      </c>
      <c r="E106" s="273">
        <v>1099194</v>
      </c>
      <c r="F106" s="273">
        <v>1257507</v>
      </c>
      <c r="G106" s="273">
        <v>1225076</v>
      </c>
      <c r="H106" s="273">
        <v>611454</v>
      </c>
      <c r="I106" s="273">
        <v>428827</v>
      </c>
      <c r="J106" s="273">
        <v>755467</v>
      </c>
      <c r="K106" s="273">
        <v>809360</v>
      </c>
      <c r="L106" s="273">
        <v>554187</v>
      </c>
      <c r="M106" s="273">
        <v>718488</v>
      </c>
      <c r="N106" s="273">
        <v>1038317</v>
      </c>
      <c r="O106" s="273">
        <v>1454016</v>
      </c>
      <c r="P106" s="273">
        <v>722266</v>
      </c>
      <c r="Q106" s="273">
        <v>868419</v>
      </c>
      <c r="R106" s="273">
        <v>881468</v>
      </c>
      <c r="S106" s="273">
        <v>1569981</v>
      </c>
      <c r="T106" s="273">
        <v>1057710</v>
      </c>
      <c r="U106" s="273">
        <v>1149581</v>
      </c>
      <c r="V106" s="273">
        <v>1241368</v>
      </c>
      <c r="W106" s="273">
        <v>1317532</v>
      </c>
      <c r="X106" s="273">
        <v>972121</v>
      </c>
    </row>
    <row r="107" spans="1:24" ht="14.25" thickBot="1" x14ac:dyDescent="0.3">
      <c r="A107" s="225" t="s">
        <v>22</v>
      </c>
      <c r="B107" s="275">
        <v>174921</v>
      </c>
      <c r="C107" s="275">
        <v>375890</v>
      </c>
      <c r="D107" s="275">
        <v>232308</v>
      </c>
      <c r="E107" s="275">
        <v>248391</v>
      </c>
      <c r="F107" s="275">
        <v>288367</v>
      </c>
      <c r="G107" s="275">
        <v>246617</v>
      </c>
      <c r="H107" s="275">
        <v>299556</v>
      </c>
      <c r="I107" s="275">
        <v>488475</v>
      </c>
      <c r="J107" s="275">
        <v>320763</v>
      </c>
      <c r="K107" s="275">
        <v>269975</v>
      </c>
      <c r="L107" s="275">
        <v>438384</v>
      </c>
      <c r="M107" s="275">
        <v>497675</v>
      </c>
      <c r="N107" s="275">
        <v>455115</v>
      </c>
      <c r="O107" s="275">
        <v>134314</v>
      </c>
      <c r="P107" s="275">
        <v>515072</v>
      </c>
      <c r="Q107" s="275">
        <v>580745</v>
      </c>
      <c r="R107" s="275">
        <v>594709</v>
      </c>
      <c r="S107" s="275">
        <v>156218</v>
      </c>
      <c r="T107" s="275">
        <v>257683</v>
      </c>
      <c r="U107" s="275">
        <v>192513</v>
      </c>
      <c r="V107" s="275">
        <v>137557</v>
      </c>
      <c r="W107" s="275">
        <v>152098</v>
      </c>
      <c r="X107" s="275">
        <v>213658</v>
      </c>
    </row>
    <row r="108" spans="1:24" ht="14.25" thickBot="1" x14ac:dyDescent="0.3">
      <c r="A108" s="224" t="s">
        <v>263</v>
      </c>
      <c r="B108" s="273">
        <v>17316</v>
      </c>
      <c r="C108" s="273">
        <v>21808</v>
      </c>
      <c r="D108" s="273">
        <v>19433</v>
      </c>
      <c r="E108" s="273">
        <v>40680</v>
      </c>
      <c r="F108" s="273">
        <v>25351</v>
      </c>
      <c r="G108" s="273">
        <v>26543</v>
      </c>
      <c r="H108" s="273">
        <v>14229</v>
      </c>
      <c r="I108" s="273">
        <v>14467</v>
      </c>
      <c r="J108" s="273">
        <v>17777</v>
      </c>
      <c r="K108" s="273">
        <v>9212</v>
      </c>
      <c r="L108" s="273">
        <v>2124</v>
      </c>
      <c r="M108" s="273">
        <v>9748</v>
      </c>
      <c r="N108" s="273">
        <v>12663</v>
      </c>
      <c r="O108" s="273">
        <v>12260</v>
      </c>
      <c r="P108" s="273">
        <v>21799</v>
      </c>
      <c r="Q108" s="273">
        <v>17041</v>
      </c>
      <c r="R108" s="273">
        <v>13725</v>
      </c>
      <c r="S108" s="273">
        <v>14711</v>
      </c>
      <c r="T108" s="273">
        <v>13448</v>
      </c>
      <c r="U108" s="273">
        <v>15069</v>
      </c>
      <c r="V108" s="273">
        <v>17105</v>
      </c>
      <c r="W108" s="273">
        <v>14645</v>
      </c>
      <c r="X108" s="273">
        <v>13921</v>
      </c>
    </row>
    <row r="109" spans="1:24" ht="14.25" thickBot="1" x14ac:dyDescent="0.3">
      <c r="A109" s="225" t="s">
        <v>264</v>
      </c>
      <c r="B109" s="275">
        <v>19514</v>
      </c>
      <c r="C109" s="275">
        <v>19951</v>
      </c>
      <c r="D109" s="275">
        <v>17932</v>
      </c>
      <c r="E109" s="275">
        <v>21646</v>
      </c>
      <c r="F109" s="275">
        <v>18502</v>
      </c>
      <c r="G109" s="275">
        <v>19630</v>
      </c>
      <c r="H109" s="275">
        <v>20540</v>
      </c>
      <c r="I109" s="275">
        <v>21279</v>
      </c>
      <c r="J109" s="275">
        <v>17500</v>
      </c>
      <c r="K109" s="275">
        <v>16347</v>
      </c>
      <c r="L109" s="275">
        <v>15401</v>
      </c>
      <c r="M109" s="275">
        <v>21092</v>
      </c>
      <c r="N109" s="275">
        <v>17115</v>
      </c>
      <c r="O109" s="275">
        <v>15936</v>
      </c>
      <c r="P109" s="275">
        <v>15386</v>
      </c>
      <c r="Q109" s="275">
        <v>18579</v>
      </c>
      <c r="R109" s="275">
        <v>17192</v>
      </c>
      <c r="S109" s="275">
        <v>15881</v>
      </c>
      <c r="T109" s="275">
        <v>17822</v>
      </c>
      <c r="U109" s="275">
        <v>23238</v>
      </c>
      <c r="V109" s="275">
        <v>20966</v>
      </c>
      <c r="W109" s="275">
        <v>17402</v>
      </c>
      <c r="X109" s="275">
        <v>18964</v>
      </c>
    </row>
    <row r="110" spans="1:24" ht="14.25" thickBot="1" x14ac:dyDescent="0.3">
      <c r="A110" s="224" t="s">
        <v>23</v>
      </c>
      <c r="B110" s="273">
        <v>56836</v>
      </c>
      <c r="C110" s="273">
        <v>158869</v>
      </c>
      <c r="D110" s="273">
        <v>55855</v>
      </c>
      <c r="E110" s="273">
        <v>45793</v>
      </c>
      <c r="F110" s="273">
        <v>44541</v>
      </c>
      <c r="G110" s="273">
        <v>165863</v>
      </c>
      <c r="H110" s="273">
        <v>445919</v>
      </c>
      <c r="I110" s="273">
        <v>442901</v>
      </c>
      <c r="J110" s="273">
        <v>442504</v>
      </c>
      <c r="K110" s="273">
        <v>589340</v>
      </c>
      <c r="L110" s="273">
        <v>147190</v>
      </c>
      <c r="M110" s="273">
        <v>135951</v>
      </c>
      <c r="N110" s="273">
        <v>155800</v>
      </c>
      <c r="O110" s="273">
        <v>284712</v>
      </c>
      <c r="P110" s="273">
        <v>145624</v>
      </c>
      <c r="Q110" s="273">
        <v>136519</v>
      </c>
      <c r="R110" s="273">
        <v>141062</v>
      </c>
      <c r="S110" s="273">
        <v>181072</v>
      </c>
      <c r="T110" s="273">
        <v>42991</v>
      </c>
      <c r="U110" s="273">
        <v>79853</v>
      </c>
      <c r="V110" s="273">
        <v>76164</v>
      </c>
      <c r="W110" s="273">
        <v>273774</v>
      </c>
      <c r="X110" s="273">
        <v>41755</v>
      </c>
    </row>
    <row r="111" spans="1:24" ht="14.25" thickBot="1" x14ac:dyDescent="0.3">
      <c r="A111" s="225" t="s">
        <v>24</v>
      </c>
      <c r="B111" s="275">
        <v>1524291</v>
      </c>
      <c r="C111" s="275">
        <v>1734952</v>
      </c>
      <c r="D111" s="275">
        <v>1378063</v>
      </c>
      <c r="E111" s="275">
        <v>1455704</v>
      </c>
      <c r="F111" s="275">
        <v>1634268</v>
      </c>
      <c r="G111" s="275">
        <v>1683729</v>
      </c>
      <c r="H111" s="275">
        <v>1391698</v>
      </c>
      <c r="I111" s="275">
        <v>1395949</v>
      </c>
      <c r="J111" s="275">
        <v>1554011</v>
      </c>
      <c r="K111" s="275">
        <v>1694234</v>
      </c>
      <c r="L111" s="275">
        <v>1157286</v>
      </c>
      <c r="M111" s="275">
        <v>1382954</v>
      </c>
      <c r="N111" s="275">
        <v>1679010</v>
      </c>
      <c r="O111" s="275">
        <v>1901238</v>
      </c>
      <c r="P111" s="275">
        <v>1420147</v>
      </c>
      <c r="Q111" s="275">
        <v>1621303</v>
      </c>
      <c r="R111" s="275">
        <v>1648156</v>
      </c>
      <c r="S111" s="275">
        <v>1937863</v>
      </c>
      <c r="T111" s="275">
        <v>1389654</v>
      </c>
      <c r="U111" s="275">
        <v>1460254</v>
      </c>
      <c r="V111" s="275">
        <v>1493160</v>
      </c>
      <c r="W111" s="275">
        <v>1775451</v>
      </c>
      <c r="X111" s="275">
        <v>1260419</v>
      </c>
    </row>
    <row r="112" spans="1:24" ht="14.25" thickBot="1" x14ac:dyDescent="0.3">
      <c r="A112" s="224" t="s">
        <v>25</v>
      </c>
      <c r="B112" s="273">
        <v>2020223</v>
      </c>
      <c r="C112" s="273">
        <v>1903062</v>
      </c>
      <c r="D112" s="273">
        <v>1885772</v>
      </c>
      <c r="E112" s="273">
        <v>1897095</v>
      </c>
      <c r="F112" s="273">
        <v>1691463</v>
      </c>
      <c r="G112" s="273">
        <v>1630429</v>
      </c>
      <c r="H112" s="273">
        <v>1600049</v>
      </c>
      <c r="I112" s="273">
        <v>1576065</v>
      </c>
      <c r="J112" s="273">
        <v>1625217</v>
      </c>
      <c r="K112" s="273">
        <v>1467515</v>
      </c>
      <c r="L112" s="273">
        <v>1510660</v>
      </c>
      <c r="M112" s="273">
        <v>1555984</v>
      </c>
      <c r="N112" s="273">
        <v>1698639</v>
      </c>
      <c r="O112" s="273">
        <v>1626270</v>
      </c>
      <c r="P112" s="273">
        <v>1700433</v>
      </c>
      <c r="Q112" s="273">
        <v>1761078</v>
      </c>
      <c r="R112" s="273">
        <v>1828727</v>
      </c>
      <c r="S112" s="273">
        <v>1783495</v>
      </c>
      <c r="T112" s="273">
        <v>1834950</v>
      </c>
      <c r="U112" s="273">
        <v>1887123</v>
      </c>
      <c r="V112" s="273">
        <v>1947911</v>
      </c>
      <c r="W112" s="273">
        <v>1788492</v>
      </c>
      <c r="X112" s="273">
        <v>1872270</v>
      </c>
    </row>
    <row r="113" spans="1:24" ht="14.25" thickBot="1" x14ac:dyDescent="0.3">
      <c r="A113" s="225" t="s">
        <v>26</v>
      </c>
      <c r="B113" s="275">
        <v>713725</v>
      </c>
      <c r="C113" s="275">
        <v>734545</v>
      </c>
      <c r="D113" s="275">
        <v>728749</v>
      </c>
      <c r="E113" s="275">
        <v>714374</v>
      </c>
      <c r="F113" s="275">
        <v>688630</v>
      </c>
      <c r="G113" s="275">
        <v>673519</v>
      </c>
      <c r="H113" s="275">
        <v>654457</v>
      </c>
      <c r="I113" s="275">
        <v>664551</v>
      </c>
      <c r="J113" s="275">
        <v>682368</v>
      </c>
      <c r="K113" s="275">
        <v>787669</v>
      </c>
      <c r="L113" s="275">
        <v>799529</v>
      </c>
      <c r="M113" s="275">
        <v>790672</v>
      </c>
      <c r="N113" s="275">
        <v>778900</v>
      </c>
      <c r="O113" s="275">
        <v>764998</v>
      </c>
      <c r="P113" s="275">
        <v>763226</v>
      </c>
      <c r="Q113" s="275">
        <v>759412</v>
      </c>
      <c r="R113" s="275">
        <v>761150</v>
      </c>
      <c r="S113" s="275">
        <v>760505</v>
      </c>
      <c r="T113" s="275">
        <v>796979</v>
      </c>
      <c r="U113" s="275">
        <v>875529</v>
      </c>
      <c r="V113" s="275">
        <v>878042</v>
      </c>
      <c r="W113" s="275">
        <v>880901</v>
      </c>
      <c r="X113" s="275">
        <v>873964</v>
      </c>
    </row>
    <row r="114" spans="1:24" ht="14.25" thickBot="1" x14ac:dyDescent="0.3">
      <c r="A114" s="224" t="s">
        <v>27</v>
      </c>
      <c r="B114" s="273">
        <v>321621</v>
      </c>
      <c r="C114" s="273">
        <v>320837</v>
      </c>
      <c r="D114" s="273">
        <v>319995</v>
      </c>
      <c r="E114" s="273">
        <v>319423</v>
      </c>
      <c r="F114" s="273">
        <v>328299</v>
      </c>
      <c r="G114" s="273">
        <v>329224</v>
      </c>
      <c r="H114" s="273">
        <v>332477</v>
      </c>
      <c r="I114" s="273">
        <v>354954</v>
      </c>
      <c r="J114" s="273">
        <v>345901</v>
      </c>
      <c r="K114" s="273">
        <v>344094</v>
      </c>
      <c r="L114" s="273">
        <v>344427</v>
      </c>
      <c r="M114" s="273">
        <v>342086</v>
      </c>
      <c r="N114" s="273">
        <v>340570</v>
      </c>
      <c r="O114" s="273">
        <v>340344</v>
      </c>
      <c r="P114" s="273">
        <v>339175</v>
      </c>
      <c r="Q114" s="273">
        <v>339711</v>
      </c>
      <c r="R114" s="273">
        <v>326986</v>
      </c>
      <c r="S114" s="273">
        <v>329076</v>
      </c>
      <c r="T114" s="273">
        <v>329718</v>
      </c>
      <c r="U114" s="273">
        <v>330383</v>
      </c>
      <c r="V114" s="273">
        <v>333706</v>
      </c>
      <c r="W114" s="273">
        <v>332585</v>
      </c>
      <c r="X114" s="273">
        <v>332428</v>
      </c>
    </row>
    <row r="115" spans="1:24" ht="14.25" thickBot="1" x14ac:dyDescent="0.3">
      <c r="A115" s="225" t="s">
        <v>265</v>
      </c>
      <c r="B115" s="276">
        <v>4579860</v>
      </c>
      <c r="C115" s="276">
        <v>4693396</v>
      </c>
      <c r="D115" s="276">
        <v>4312579</v>
      </c>
      <c r="E115" s="276">
        <v>4386596</v>
      </c>
      <c r="F115" s="276">
        <v>4342660</v>
      </c>
      <c r="G115" s="276">
        <v>4316901</v>
      </c>
      <c r="H115" s="276">
        <v>3978681</v>
      </c>
      <c r="I115" s="276">
        <v>3991519</v>
      </c>
      <c r="J115" s="276">
        <v>4207497</v>
      </c>
      <c r="K115" s="276">
        <v>4293512</v>
      </c>
      <c r="L115" s="276">
        <v>3811902</v>
      </c>
      <c r="M115" s="276">
        <v>4071696</v>
      </c>
      <c r="N115" s="276">
        <v>4497119</v>
      </c>
      <c r="O115" s="276">
        <v>4632850</v>
      </c>
      <c r="P115" s="276">
        <v>4222981</v>
      </c>
      <c r="Q115" s="276">
        <v>4481504</v>
      </c>
      <c r="R115" s="276">
        <v>4565019</v>
      </c>
      <c r="S115" s="276">
        <v>4810939</v>
      </c>
      <c r="T115" s="276">
        <v>4351301</v>
      </c>
      <c r="U115" s="276">
        <v>4553289</v>
      </c>
      <c r="V115" s="276">
        <v>4652819</v>
      </c>
      <c r="W115" s="276">
        <v>4777429</v>
      </c>
      <c r="X115" s="276">
        <v>4339081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273">
        <v>100000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</row>
    <row r="119" spans="1:24" ht="14.25" thickBot="1" x14ac:dyDescent="0.3">
      <c r="A119" s="225" t="s">
        <v>29</v>
      </c>
      <c r="B119" s="274">
        <v>0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4">
        <v>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109138</v>
      </c>
      <c r="C120" s="273">
        <v>121406</v>
      </c>
      <c r="D120" s="273">
        <v>119967</v>
      </c>
      <c r="E120" s="273">
        <v>124427</v>
      </c>
      <c r="F120" s="273">
        <v>110232</v>
      </c>
      <c r="G120" s="273">
        <v>118022</v>
      </c>
      <c r="H120" s="273">
        <v>118589</v>
      </c>
      <c r="I120" s="273">
        <v>109348</v>
      </c>
      <c r="J120" s="273">
        <v>120933</v>
      </c>
      <c r="K120" s="273">
        <v>133332</v>
      </c>
      <c r="L120" s="273">
        <v>125742</v>
      </c>
      <c r="M120" s="273">
        <v>131841</v>
      </c>
      <c r="N120" s="273">
        <v>132619</v>
      </c>
      <c r="O120" s="273">
        <v>120027</v>
      </c>
      <c r="P120" s="273">
        <v>116931</v>
      </c>
      <c r="Q120" s="273">
        <v>112028</v>
      </c>
      <c r="R120" s="273">
        <v>97834</v>
      </c>
      <c r="S120" s="273">
        <v>112341</v>
      </c>
      <c r="T120" s="273">
        <v>128362</v>
      </c>
      <c r="U120" s="273">
        <v>140738</v>
      </c>
      <c r="V120" s="273">
        <v>105171</v>
      </c>
      <c r="W120" s="273">
        <v>111615</v>
      </c>
      <c r="X120" s="273">
        <v>100974</v>
      </c>
    </row>
    <row r="121" spans="1:24" ht="14.25" thickBot="1" x14ac:dyDescent="0.3">
      <c r="A121" s="225" t="s">
        <v>267</v>
      </c>
      <c r="B121" s="274">
        <v>0</v>
      </c>
      <c r="C121" s="274">
        <v>0</v>
      </c>
      <c r="D121" s="274">
        <v>0</v>
      </c>
      <c r="E121" s="274">
        <v>0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4">
        <v>0</v>
      </c>
      <c r="P121" s="274">
        <v>0</v>
      </c>
      <c r="Q121" s="274">
        <v>0</v>
      </c>
      <c r="R121" s="274">
        <v>0</v>
      </c>
      <c r="S121" s="274">
        <v>0</v>
      </c>
      <c r="T121" s="274">
        <v>0</v>
      </c>
      <c r="U121" s="274">
        <v>0</v>
      </c>
      <c r="V121" s="274">
        <v>0</v>
      </c>
      <c r="W121" s="274">
        <v>0</v>
      </c>
      <c r="X121" s="274">
        <v>0</v>
      </c>
    </row>
    <row r="122" spans="1:24" ht="14.25" thickBot="1" x14ac:dyDescent="0.3">
      <c r="A122" s="224" t="s">
        <v>30</v>
      </c>
      <c r="B122" s="273">
        <v>26100</v>
      </c>
      <c r="C122" s="273">
        <v>32029</v>
      </c>
      <c r="D122" s="273">
        <v>34800</v>
      </c>
      <c r="E122" s="273">
        <v>71800</v>
      </c>
      <c r="F122" s="273">
        <v>70320</v>
      </c>
      <c r="G122" s="273">
        <v>70320</v>
      </c>
      <c r="H122" s="273">
        <v>70320</v>
      </c>
      <c r="I122" s="273">
        <v>70320</v>
      </c>
      <c r="J122" s="273">
        <v>70320</v>
      </c>
      <c r="K122" s="273">
        <v>70320</v>
      </c>
      <c r="L122" s="273">
        <v>70320</v>
      </c>
      <c r="M122" s="273">
        <v>70320</v>
      </c>
      <c r="N122" s="273">
        <v>70320</v>
      </c>
      <c r="O122" s="273">
        <v>70320</v>
      </c>
      <c r="P122" s="273">
        <v>70320</v>
      </c>
      <c r="Q122" s="273">
        <v>70320</v>
      </c>
      <c r="R122" s="273">
        <v>70320</v>
      </c>
      <c r="S122" s="273">
        <v>65240</v>
      </c>
      <c r="T122" s="273">
        <v>47660</v>
      </c>
      <c r="U122" s="273">
        <v>33040</v>
      </c>
      <c r="V122" s="273">
        <v>8700</v>
      </c>
      <c r="W122" s="68">
        <v>0</v>
      </c>
      <c r="X122" s="68">
        <v>0</v>
      </c>
    </row>
    <row r="123" spans="1:24" ht="14.25" thickBot="1" x14ac:dyDescent="0.3">
      <c r="A123" s="225" t="s">
        <v>31</v>
      </c>
      <c r="B123" s="275">
        <v>334020</v>
      </c>
      <c r="C123" s="275">
        <v>801376</v>
      </c>
      <c r="D123" s="275">
        <v>335564</v>
      </c>
      <c r="E123" s="275">
        <v>297760</v>
      </c>
      <c r="F123" s="275">
        <v>335439</v>
      </c>
      <c r="G123" s="275">
        <v>774646</v>
      </c>
      <c r="H123" s="275">
        <v>318005</v>
      </c>
      <c r="I123" s="275">
        <v>327757</v>
      </c>
      <c r="J123" s="275">
        <v>312692</v>
      </c>
      <c r="K123" s="275">
        <v>916232</v>
      </c>
      <c r="L123" s="275">
        <v>293055</v>
      </c>
      <c r="M123" s="275">
        <v>321320</v>
      </c>
      <c r="N123" s="275">
        <v>317391</v>
      </c>
      <c r="O123" s="275">
        <v>915318</v>
      </c>
      <c r="P123" s="275">
        <v>301883</v>
      </c>
      <c r="Q123" s="275">
        <v>342521</v>
      </c>
      <c r="R123" s="275">
        <v>335588</v>
      </c>
      <c r="S123" s="275">
        <v>971083</v>
      </c>
      <c r="T123" s="275">
        <v>355479</v>
      </c>
      <c r="U123" s="275">
        <v>428360</v>
      </c>
      <c r="V123" s="275">
        <v>412034</v>
      </c>
      <c r="W123" s="275">
        <v>977505</v>
      </c>
      <c r="X123" s="275">
        <v>369468</v>
      </c>
    </row>
    <row r="124" spans="1:24" ht="14.25" thickBot="1" x14ac:dyDescent="0.3">
      <c r="A124" s="224" t="s">
        <v>268</v>
      </c>
      <c r="B124" s="273">
        <v>469258</v>
      </c>
      <c r="C124" s="273">
        <v>954811</v>
      </c>
      <c r="D124" s="273">
        <v>490331</v>
      </c>
      <c r="E124" s="273">
        <v>493987</v>
      </c>
      <c r="F124" s="273">
        <v>515991</v>
      </c>
      <c r="G124" s="273">
        <v>962988</v>
      </c>
      <c r="H124" s="273">
        <v>506914</v>
      </c>
      <c r="I124" s="273">
        <v>507425</v>
      </c>
      <c r="J124" s="273">
        <v>503945</v>
      </c>
      <c r="K124" s="273">
        <v>1119884</v>
      </c>
      <c r="L124" s="273">
        <v>489117</v>
      </c>
      <c r="M124" s="273">
        <v>523481</v>
      </c>
      <c r="N124" s="273">
        <v>520330</v>
      </c>
      <c r="O124" s="273">
        <v>1105665</v>
      </c>
      <c r="P124" s="273">
        <v>489134</v>
      </c>
      <c r="Q124" s="273">
        <v>624869</v>
      </c>
      <c r="R124" s="273">
        <v>503742</v>
      </c>
      <c r="S124" s="273">
        <v>1148664</v>
      </c>
      <c r="T124" s="273">
        <v>531501</v>
      </c>
      <c r="U124" s="273">
        <v>602138</v>
      </c>
      <c r="V124" s="273">
        <v>525905</v>
      </c>
      <c r="W124" s="273">
        <v>1089120</v>
      </c>
      <c r="X124" s="273">
        <v>470442</v>
      </c>
    </row>
    <row r="125" spans="1:24" ht="14.25" thickBot="1" x14ac:dyDescent="0.3">
      <c r="A125" s="225" t="s">
        <v>32</v>
      </c>
      <c r="B125" s="275">
        <v>458315</v>
      </c>
      <c r="C125" s="275">
        <v>449615</v>
      </c>
      <c r="D125" s="275">
        <v>440915</v>
      </c>
      <c r="E125" s="275">
        <v>396798</v>
      </c>
      <c r="F125" s="275">
        <v>387579</v>
      </c>
      <c r="G125" s="275">
        <v>370179</v>
      </c>
      <c r="H125" s="275">
        <v>396226</v>
      </c>
      <c r="I125" s="275">
        <v>326614</v>
      </c>
      <c r="J125" s="275">
        <v>311017</v>
      </c>
      <c r="K125" s="275">
        <v>292840</v>
      </c>
      <c r="L125" s="275">
        <v>273217</v>
      </c>
      <c r="M125" s="275">
        <v>256173</v>
      </c>
      <c r="N125" s="275">
        <v>238664</v>
      </c>
      <c r="O125" s="275">
        <v>218910</v>
      </c>
      <c r="P125" s="275">
        <v>210222</v>
      </c>
      <c r="Q125" s="275">
        <v>191683</v>
      </c>
      <c r="R125" s="275">
        <v>173862</v>
      </c>
      <c r="S125" s="275">
        <v>161255</v>
      </c>
      <c r="T125" s="275">
        <v>161232</v>
      </c>
      <c r="U125" s="275">
        <v>180288</v>
      </c>
      <c r="V125" s="275">
        <v>177990</v>
      </c>
      <c r="W125" s="275">
        <v>178287</v>
      </c>
      <c r="X125" s="275">
        <v>174865</v>
      </c>
    </row>
    <row r="126" spans="1:24" ht="14.25" thickBot="1" x14ac:dyDescent="0.3">
      <c r="A126" s="224" t="s">
        <v>33</v>
      </c>
      <c r="B126" s="273">
        <v>2231</v>
      </c>
      <c r="C126" s="273">
        <v>2223</v>
      </c>
      <c r="D126" s="273">
        <v>2188</v>
      </c>
      <c r="E126" s="273">
        <v>2337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929804</v>
      </c>
      <c r="C127" s="275">
        <v>1406649</v>
      </c>
      <c r="D127" s="275">
        <v>933434</v>
      </c>
      <c r="E127" s="275">
        <v>893122</v>
      </c>
      <c r="F127" s="275">
        <v>903570</v>
      </c>
      <c r="G127" s="275">
        <v>1333167</v>
      </c>
      <c r="H127" s="275">
        <v>903140</v>
      </c>
      <c r="I127" s="275">
        <v>834039</v>
      </c>
      <c r="J127" s="275">
        <v>814962</v>
      </c>
      <c r="K127" s="275">
        <v>1412724</v>
      </c>
      <c r="L127" s="275">
        <v>762334</v>
      </c>
      <c r="M127" s="275">
        <v>779654</v>
      </c>
      <c r="N127" s="275">
        <v>758994</v>
      </c>
      <c r="O127" s="275">
        <v>1324575</v>
      </c>
      <c r="P127" s="275">
        <v>699356</v>
      </c>
      <c r="Q127" s="275">
        <v>816552</v>
      </c>
      <c r="R127" s="275">
        <v>677604</v>
      </c>
      <c r="S127" s="275">
        <v>1309919</v>
      </c>
      <c r="T127" s="275">
        <v>692733</v>
      </c>
      <c r="U127" s="275">
        <v>782426</v>
      </c>
      <c r="V127" s="275">
        <v>703895</v>
      </c>
      <c r="W127" s="275">
        <v>1267407</v>
      </c>
      <c r="X127" s="275">
        <v>645307</v>
      </c>
    </row>
    <row r="128" spans="1:24" ht="14.25" thickBot="1" x14ac:dyDescent="0.3">
      <c r="A128" s="224" t="s">
        <v>34</v>
      </c>
      <c r="B128" s="273">
        <v>3650056</v>
      </c>
      <c r="C128" s="273">
        <v>3286747</v>
      </c>
      <c r="D128" s="273">
        <v>3379145</v>
      </c>
      <c r="E128" s="273">
        <v>3493474</v>
      </c>
      <c r="F128" s="273">
        <v>3439090</v>
      </c>
      <c r="G128" s="273">
        <v>2983734</v>
      </c>
      <c r="H128" s="273">
        <v>3075541</v>
      </c>
      <c r="I128" s="273">
        <v>3157480</v>
      </c>
      <c r="J128" s="273">
        <v>3392535</v>
      </c>
      <c r="K128" s="273">
        <v>2880788</v>
      </c>
      <c r="L128" s="273">
        <v>3049568</v>
      </c>
      <c r="M128" s="273">
        <v>3292042</v>
      </c>
      <c r="N128" s="273">
        <v>3738125</v>
      </c>
      <c r="O128" s="273">
        <v>3308275</v>
      </c>
      <c r="P128" s="273">
        <v>3523625</v>
      </c>
      <c r="Q128" s="273">
        <v>3664952</v>
      </c>
      <c r="R128" s="273">
        <v>3887415</v>
      </c>
      <c r="S128" s="273">
        <v>3501020</v>
      </c>
      <c r="T128" s="273">
        <v>3658568</v>
      </c>
      <c r="U128" s="273">
        <v>3770863</v>
      </c>
      <c r="V128" s="273">
        <v>3948924</v>
      </c>
      <c r="W128" s="273">
        <v>3510022</v>
      </c>
      <c r="X128" s="273">
        <v>3693774</v>
      </c>
    </row>
    <row r="129" spans="1:24" ht="14.25" thickBot="1" x14ac:dyDescent="0.3">
      <c r="A129" s="225" t="s">
        <v>35</v>
      </c>
      <c r="B129" s="276">
        <v>4579860</v>
      </c>
      <c r="C129" s="276">
        <v>4693396</v>
      </c>
      <c r="D129" s="276">
        <v>4312579</v>
      </c>
      <c r="E129" s="276">
        <v>4386596</v>
      </c>
      <c r="F129" s="276">
        <v>4342660</v>
      </c>
      <c r="G129" s="276">
        <v>4316901</v>
      </c>
      <c r="H129" s="276">
        <v>3978681</v>
      </c>
      <c r="I129" s="276">
        <v>3991519</v>
      </c>
      <c r="J129" s="276">
        <v>4207497</v>
      </c>
      <c r="K129" s="276">
        <v>4293512</v>
      </c>
      <c r="L129" s="276">
        <v>3811902</v>
      </c>
      <c r="M129" s="276">
        <v>4071696</v>
      </c>
      <c r="N129" s="276">
        <v>4497119</v>
      </c>
      <c r="O129" s="276">
        <v>4632850</v>
      </c>
      <c r="P129" s="276">
        <v>4222981</v>
      </c>
      <c r="Q129" s="276">
        <v>4481504</v>
      </c>
      <c r="R129" s="276">
        <v>4565019</v>
      </c>
      <c r="S129" s="276">
        <v>4810939</v>
      </c>
      <c r="T129" s="276">
        <v>4351301</v>
      </c>
      <c r="U129" s="276">
        <v>4553289</v>
      </c>
      <c r="V129" s="276">
        <v>4652819</v>
      </c>
      <c r="W129" s="276">
        <v>4777429</v>
      </c>
      <c r="X129" s="276">
        <v>4339081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5.09</v>
      </c>
      <c r="C132" s="68">
        <v>4.16</v>
      </c>
      <c r="D132" s="68">
        <v>4.6399999999999997</v>
      </c>
      <c r="E132" s="68">
        <v>4.46</v>
      </c>
      <c r="F132" s="68">
        <v>4</v>
      </c>
    </row>
    <row r="133" spans="1:24" ht="14.25" thickBot="1" x14ac:dyDescent="0.3">
      <c r="A133" s="225" t="s">
        <v>37</v>
      </c>
      <c r="B133" s="274">
        <v>-1.95</v>
      </c>
      <c r="C133" s="274">
        <v>-5.13</v>
      </c>
      <c r="D133" s="274">
        <v>1.81</v>
      </c>
      <c r="E133" s="274">
        <v>0.37</v>
      </c>
      <c r="F133" s="274">
        <v>2.93</v>
      </c>
    </row>
    <row r="134" spans="1:24" ht="14.25" thickBot="1" x14ac:dyDescent="0.3">
      <c r="A134" s="224" t="s">
        <v>38</v>
      </c>
      <c r="B134" s="68">
        <v>-3.12</v>
      </c>
      <c r="C134" s="68">
        <v>-3.5</v>
      </c>
      <c r="D134" s="68">
        <v>-4.49</v>
      </c>
      <c r="E134" s="68">
        <v>-3.82</v>
      </c>
      <c r="F134" s="68">
        <v>-5.0199999999999996</v>
      </c>
    </row>
    <row r="135" spans="1:24" ht="14.25" thickBot="1" x14ac:dyDescent="0.3">
      <c r="A135" s="225" t="s">
        <v>270</v>
      </c>
      <c r="B135" s="274">
        <v>3.14</v>
      </c>
      <c r="C135" s="274">
        <v>-0.97</v>
      </c>
      <c r="D135" s="274">
        <v>6.45</v>
      </c>
      <c r="E135" s="274">
        <v>4.84</v>
      </c>
      <c r="F135" s="274">
        <v>6.93</v>
      </c>
    </row>
    <row r="136" spans="1:24" ht="14.25" thickBot="1" x14ac:dyDescent="0.3">
      <c r="A136" s="229" t="s">
        <v>39</v>
      </c>
      <c r="B136" s="72">
        <v>0.02</v>
      </c>
      <c r="C136" s="72">
        <v>-4.4800000000000004</v>
      </c>
      <c r="D136" s="72">
        <v>1.96</v>
      </c>
      <c r="E136" s="72">
        <v>1.02</v>
      </c>
      <c r="F136" s="72">
        <v>1.91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一般盈餘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3</v>
      </c>
      <c r="C140" s="68">
        <v>4</v>
      </c>
      <c r="D140" s="68">
        <v>4</v>
      </c>
      <c r="E140" s="68">
        <v>4</v>
      </c>
      <c r="F140" s="68">
        <v>4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0.75</v>
      </c>
      <c r="C142" s="234">
        <f>IF(C140&lt;&gt;"無",IF(ISNA(HLOOKUP(C139,$B$64:$F$69,6,FALSE)),"",C140/HLOOKUP(C139,$B$64:$F$69,6,FALSE)),"")</f>
        <v>1.4869888475836432</v>
      </c>
      <c r="D142" s="234">
        <f>IF(D140&lt;&gt;"無",IF(ISNA(HLOOKUP(D139,$B$64:$F$69,6,FALSE)),"",D140/HLOOKUP(D139,$B$64:$F$69,6,FALSE)),"")</f>
        <v>0.91116173120728938</v>
      </c>
      <c r="E142" s="234">
        <f>IF(E140&lt;&gt;"無",IF(ISNA(HLOOKUP(E139,$B$64:$F$69,6,FALSE)),"",E140/HLOOKUP(E139,$B$64:$F$69,6,FALSE)),"")</f>
        <v>0.58823529411764697</v>
      </c>
      <c r="F142" s="234">
        <f>IF(F140&lt;&gt;"無",IF(ISNA(HLOOKUP(F139,$B$64:$F$69,6,FALSE)),"",F140/HLOOKUP(F139,$B$64:$F$69,6,FALSE)),"")</f>
        <v>0.84745762711864414</v>
      </c>
    </row>
    <row r="143" spans="1:24" x14ac:dyDescent="0.25">
      <c r="A143" s="233" t="s">
        <v>216</v>
      </c>
      <c r="B143" s="234">
        <f>IF(OR(B140=0,B140="無"),"",B135/B140)</f>
        <v>1.0466666666666666</v>
      </c>
      <c r="C143" s="234">
        <f>IF(OR(C140=0,C140="無"),"",C135/C140)</f>
        <v>-0.24249999999999999</v>
      </c>
      <c r="D143" s="234">
        <f>IF(OR(D140=0,D140="無"),"",D135/D140)</f>
        <v>1.6125</v>
      </c>
      <c r="E143" s="234">
        <f>IF(OR(E140=0,E140="無"),"",E135/E140)</f>
        <v>1.21</v>
      </c>
      <c r="F143" s="234">
        <f>IF(OR(F140=0,F140="無"),"",F135/F140)</f>
        <v>1.7324999999999999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59.11</v>
      </c>
      <c r="C146" s="68">
        <v>56.43</v>
      </c>
      <c r="D146" s="68">
        <v>55.3</v>
      </c>
      <c r="E146" s="68">
        <v>56.14</v>
      </c>
      <c r="F146" s="68">
        <v>58.77</v>
      </c>
      <c r="G146" s="68">
        <v>55.1</v>
      </c>
      <c r="H146" s="68">
        <v>55.74</v>
      </c>
      <c r="I146" s="68">
        <v>55.29</v>
      </c>
      <c r="J146" s="68">
        <v>58.54</v>
      </c>
      <c r="K146" s="68">
        <v>55.83</v>
      </c>
      <c r="L146" s="68">
        <v>56.7</v>
      </c>
      <c r="M146" s="68">
        <v>58.03</v>
      </c>
      <c r="N146" s="68">
        <v>61.39</v>
      </c>
      <c r="O146" s="68">
        <v>56.72</v>
      </c>
      <c r="P146" s="68">
        <v>56.59</v>
      </c>
      <c r="Q146" s="68">
        <v>55.88</v>
      </c>
      <c r="R146" s="68">
        <v>61.16</v>
      </c>
      <c r="S146" s="68">
        <v>57.08</v>
      </c>
      <c r="T146" s="68">
        <v>56.48</v>
      </c>
      <c r="U146" s="68">
        <v>54.84</v>
      </c>
      <c r="V146" s="68">
        <v>59.71</v>
      </c>
      <c r="W146" s="68">
        <v>55.92</v>
      </c>
      <c r="X146" s="68">
        <v>56.09</v>
      </c>
    </row>
    <row r="147" spans="1:24" s="93" customFormat="1" ht="14.25" thickBot="1" x14ac:dyDescent="0.3">
      <c r="A147" s="225" t="s">
        <v>19</v>
      </c>
      <c r="B147" s="274">
        <v>23.41</v>
      </c>
      <c r="C147" s="274">
        <v>17.29</v>
      </c>
      <c r="D147" s="274">
        <v>15.18</v>
      </c>
      <c r="E147" s="274">
        <v>16.809999999999999</v>
      </c>
      <c r="F147" s="274">
        <v>20.84</v>
      </c>
      <c r="G147" s="274">
        <v>14.74</v>
      </c>
      <c r="H147" s="274">
        <v>17.25</v>
      </c>
      <c r="I147" s="274">
        <v>17.920000000000002</v>
      </c>
      <c r="J147" s="274">
        <v>22.22</v>
      </c>
      <c r="K147" s="274">
        <v>15.35</v>
      </c>
      <c r="L147" s="274">
        <v>18.2</v>
      </c>
      <c r="M147" s="274">
        <v>22.01</v>
      </c>
      <c r="N147" s="274">
        <v>27.61</v>
      </c>
      <c r="O147" s="274">
        <v>18.47</v>
      </c>
      <c r="P147" s="274">
        <v>17.64</v>
      </c>
      <c r="Q147" s="274">
        <v>14.87</v>
      </c>
      <c r="R147" s="274">
        <v>23.87</v>
      </c>
      <c r="S147" s="274">
        <v>19.23</v>
      </c>
      <c r="T147" s="274">
        <v>18.21</v>
      </c>
      <c r="U147" s="274">
        <v>9.2799999999999994</v>
      </c>
      <c r="V147" s="274">
        <v>20.73</v>
      </c>
      <c r="W147" s="274">
        <v>15.7</v>
      </c>
      <c r="X147" s="274">
        <v>16.5</v>
      </c>
    </row>
    <row r="148" spans="1:24" s="93" customFormat="1" ht="14.25" thickBot="1" x14ac:dyDescent="0.3">
      <c r="A148" s="224" t="s">
        <v>41</v>
      </c>
      <c r="B148" s="68">
        <v>31.3</v>
      </c>
      <c r="C148" s="68">
        <v>17.489999999999998</v>
      </c>
      <c r="D148" s="68">
        <v>13.37</v>
      </c>
      <c r="E148" s="68">
        <v>21.04</v>
      </c>
      <c r="F148" s="68">
        <v>24.91</v>
      </c>
      <c r="G148" s="68">
        <v>11.24</v>
      </c>
      <c r="H148" s="68">
        <v>14.37</v>
      </c>
      <c r="I148" s="68">
        <v>10.45</v>
      </c>
      <c r="J148" s="68">
        <v>29.29</v>
      </c>
      <c r="K148" s="68">
        <v>12.43</v>
      </c>
      <c r="L148" s="68">
        <v>25.44</v>
      </c>
      <c r="M148" s="68">
        <v>25.98</v>
      </c>
      <c r="N148" s="68">
        <v>45.55</v>
      </c>
      <c r="O148" s="68">
        <v>41.25</v>
      </c>
      <c r="P148" s="68">
        <v>32.450000000000003</v>
      </c>
      <c r="Q148" s="68">
        <v>23.52</v>
      </c>
      <c r="R148" s="68">
        <v>32.26</v>
      </c>
      <c r="S148" s="68">
        <v>34.35</v>
      </c>
      <c r="T148" s="68">
        <v>24.61</v>
      </c>
      <c r="U148" s="68">
        <v>19.329999999999998</v>
      </c>
      <c r="V148" s="68">
        <v>25.9</v>
      </c>
      <c r="W148" s="68">
        <v>25.05</v>
      </c>
      <c r="X148" s="68">
        <v>28.9</v>
      </c>
    </row>
    <row r="149" spans="1:24" s="93" customFormat="1" ht="14.25" thickBot="1" x14ac:dyDescent="0.3">
      <c r="A149" s="225" t="s">
        <v>13</v>
      </c>
      <c r="B149" s="73">
        <v>27.48</v>
      </c>
      <c r="C149" s="73">
        <v>11.2</v>
      </c>
      <c r="D149" s="73">
        <v>10.78</v>
      </c>
      <c r="E149" s="73">
        <v>18.16</v>
      </c>
      <c r="F149" s="73">
        <v>21.3</v>
      </c>
      <c r="G149" s="73">
        <v>7.51</v>
      </c>
      <c r="H149" s="73">
        <v>11.27</v>
      </c>
      <c r="I149" s="73">
        <v>7.1</v>
      </c>
      <c r="J149" s="73">
        <v>25.26</v>
      </c>
      <c r="K149" s="73">
        <v>10.1</v>
      </c>
      <c r="L149" s="73">
        <v>22.06</v>
      </c>
      <c r="M149" s="73">
        <v>22.12</v>
      </c>
      <c r="N149" s="73">
        <v>40.950000000000003</v>
      </c>
      <c r="O149" s="73">
        <v>37.31</v>
      </c>
      <c r="P149" s="73">
        <v>28.6</v>
      </c>
      <c r="Q149" s="73">
        <v>20.96</v>
      </c>
      <c r="R149" s="73">
        <v>28.34</v>
      </c>
      <c r="S149" s="73">
        <v>27.05</v>
      </c>
      <c r="T149" s="73">
        <v>21.71</v>
      </c>
      <c r="U149" s="73">
        <v>17.28</v>
      </c>
      <c r="V149" s="73">
        <v>22.81</v>
      </c>
      <c r="W149" s="73">
        <v>21.87</v>
      </c>
      <c r="X149" s="73">
        <v>26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56.82</v>
      </c>
      <c r="C152" s="68">
        <v>56.29</v>
      </c>
      <c r="D152" s="68">
        <v>57.3</v>
      </c>
      <c r="E152" s="68">
        <v>57.83</v>
      </c>
      <c r="F152" s="68">
        <v>57.46</v>
      </c>
    </row>
    <row r="153" spans="1:24" s="93" customFormat="1" ht="14.25" thickBot="1" x14ac:dyDescent="0.3">
      <c r="A153" s="225" t="s">
        <v>19</v>
      </c>
      <c r="B153" s="274">
        <v>18.329999999999998</v>
      </c>
      <c r="C153" s="274">
        <v>17.75</v>
      </c>
      <c r="D153" s="274">
        <v>19.510000000000002</v>
      </c>
      <c r="E153" s="274">
        <v>20.059999999999999</v>
      </c>
      <c r="F153" s="274">
        <v>17.79</v>
      </c>
    </row>
    <row r="154" spans="1:24" s="93" customFormat="1" ht="14.25" thickBot="1" x14ac:dyDescent="0.3">
      <c r="A154" s="224" t="s">
        <v>41</v>
      </c>
      <c r="B154" s="68">
        <v>21.07</v>
      </c>
      <c r="C154" s="68">
        <v>15.53</v>
      </c>
      <c r="D154" s="68">
        <v>23.46</v>
      </c>
      <c r="E154" s="68">
        <v>36.26</v>
      </c>
      <c r="F154" s="68">
        <v>27.72</v>
      </c>
    </row>
    <row r="155" spans="1:24" s="93" customFormat="1" ht="14.25" thickBot="1" x14ac:dyDescent="0.3">
      <c r="A155" s="225" t="s">
        <v>13</v>
      </c>
      <c r="B155" s="73">
        <v>17.170000000000002</v>
      </c>
      <c r="C155" s="73">
        <v>12.08</v>
      </c>
      <c r="D155" s="73">
        <v>20.05</v>
      </c>
      <c r="E155" s="73">
        <v>32.47</v>
      </c>
      <c r="F155" s="73">
        <v>23.68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5.8</v>
      </c>
      <c r="C158" s="68">
        <v>2.0499999999999998</v>
      </c>
      <c r="D158" s="68">
        <v>2.08</v>
      </c>
      <c r="E158" s="68">
        <v>3.35</v>
      </c>
      <c r="F158" s="68">
        <v>4.3099999999999996</v>
      </c>
      <c r="G158" s="68">
        <v>1.41</v>
      </c>
      <c r="H158" s="68">
        <v>2.33</v>
      </c>
      <c r="I158" s="68">
        <v>1.35</v>
      </c>
      <c r="J158" s="68">
        <v>5.32</v>
      </c>
      <c r="K158" s="68">
        <v>1.87</v>
      </c>
      <c r="L158" s="68">
        <v>4.4400000000000004</v>
      </c>
      <c r="M158" s="68">
        <v>4.42</v>
      </c>
      <c r="N158" s="68">
        <v>8.43</v>
      </c>
      <c r="O158" s="68">
        <v>6.01</v>
      </c>
      <c r="P158" s="68">
        <v>4.96</v>
      </c>
      <c r="Q158" s="68">
        <v>3.38</v>
      </c>
      <c r="R158" s="68">
        <v>4.8099999999999996</v>
      </c>
      <c r="S158" s="68">
        <v>4.1500000000000004</v>
      </c>
      <c r="T158" s="68">
        <v>3.52</v>
      </c>
      <c r="U158" s="68">
        <v>2.75</v>
      </c>
      <c r="V158" s="68">
        <v>3.83</v>
      </c>
      <c r="W158" s="68">
        <v>3.23</v>
      </c>
      <c r="X158" s="68">
        <v>4.13</v>
      </c>
    </row>
    <row r="159" spans="1:24" s="93" customFormat="1" ht="14.25" thickBot="1" x14ac:dyDescent="0.3">
      <c r="A159" s="225" t="s">
        <v>45</v>
      </c>
      <c r="B159" s="73">
        <v>7.33</v>
      </c>
      <c r="C159" s="73">
        <v>2.71</v>
      </c>
      <c r="D159" s="73">
        <v>2.77</v>
      </c>
      <c r="E159" s="73">
        <v>4.2</v>
      </c>
      <c r="F159" s="73">
        <v>5.39</v>
      </c>
      <c r="G159" s="73">
        <v>1.88</v>
      </c>
      <c r="H159" s="73">
        <v>3.16</v>
      </c>
      <c r="I159" s="73">
        <v>1.7</v>
      </c>
      <c r="J159" s="73">
        <v>6.63</v>
      </c>
      <c r="K159" s="73">
        <v>2.5099999999999998</v>
      </c>
      <c r="L159" s="73">
        <v>6.03</v>
      </c>
      <c r="M159" s="73">
        <v>5.47</v>
      </c>
      <c r="N159" s="73">
        <v>10.25</v>
      </c>
      <c r="O159" s="73">
        <v>7.78</v>
      </c>
      <c r="P159" s="73">
        <v>6.42</v>
      </c>
      <c r="Q159" s="73">
        <v>4.08</v>
      </c>
      <c r="R159" s="73">
        <v>5.75</v>
      </c>
      <c r="S159" s="73">
        <v>5.26</v>
      </c>
      <c r="T159" s="73">
        <v>4.5</v>
      </c>
      <c r="U159" s="73">
        <v>3.29</v>
      </c>
      <c r="V159" s="73">
        <v>4.5599999999999996</v>
      </c>
      <c r="W159" s="73">
        <v>4.08</v>
      </c>
      <c r="X159" s="73">
        <v>5.22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17.170000000000002</v>
      </c>
      <c r="C162" s="68">
        <v>12.08</v>
      </c>
      <c r="D162" s="68">
        <v>20.05</v>
      </c>
      <c r="E162" s="68">
        <v>32.47</v>
      </c>
      <c r="F162" s="68">
        <v>23.68</v>
      </c>
    </row>
    <row r="163" spans="1:72" s="93" customFormat="1" ht="14.25" thickBot="1" x14ac:dyDescent="0.3">
      <c r="A163" s="225" t="s">
        <v>18</v>
      </c>
      <c r="B163" s="274">
        <v>0.78</v>
      </c>
      <c r="C163" s="274">
        <v>0.82</v>
      </c>
      <c r="D163" s="274">
        <v>0.79</v>
      </c>
      <c r="E163" s="274">
        <v>0.69</v>
      </c>
      <c r="F163" s="274">
        <v>0.64</v>
      </c>
    </row>
    <row r="164" spans="1:72" s="93" customFormat="1" ht="14.25" thickBot="1" x14ac:dyDescent="0.3">
      <c r="A164" s="224" t="s">
        <v>15</v>
      </c>
      <c r="B164" s="68">
        <v>1.26</v>
      </c>
      <c r="C164" s="68">
        <v>1.26</v>
      </c>
      <c r="D164" s="68">
        <v>1.24</v>
      </c>
      <c r="E164" s="68">
        <v>1.22</v>
      </c>
      <c r="F164" s="68">
        <v>1.21</v>
      </c>
    </row>
    <row r="165" spans="1:72" s="93" customFormat="1" ht="14.25" thickBot="1" x14ac:dyDescent="0.3">
      <c r="A165" s="225" t="s">
        <v>45</v>
      </c>
      <c r="B165" s="73">
        <v>17.09</v>
      </c>
      <c r="C165" s="73">
        <v>11.91</v>
      </c>
      <c r="D165" s="73">
        <v>20.100000000000001</v>
      </c>
      <c r="E165" s="73">
        <v>28.76</v>
      </c>
      <c r="F165" s="73">
        <v>18.690000000000001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2.6</v>
      </c>
      <c r="C168" s="68">
        <v>2.1</v>
      </c>
      <c r="D168" s="68">
        <v>2.16</v>
      </c>
      <c r="E168" s="68">
        <v>3.4</v>
      </c>
      <c r="F168" s="68">
        <v>3.38</v>
      </c>
      <c r="G168" s="68">
        <v>2.91</v>
      </c>
      <c r="H168" s="68">
        <v>2.16</v>
      </c>
      <c r="I168" s="68">
        <v>1.73</v>
      </c>
      <c r="J168" s="68">
        <v>1.69</v>
      </c>
      <c r="K168" s="68">
        <v>1.56</v>
      </c>
      <c r="L168" s="68">
        <v>0.63</v>
      </c>
      <c r="M168" s="68">
        <v>0.68</v>
      </c>
      <c r="N168" s="68">
        <v>1.1499999999999999</v>
      </c>
      <c r="O168" s="68">
        <v>1.53</v>
      </c>
      <c r="P168" s="68">
        <v>2</v>
      </c>
      <c r="Q168" s="68">
        <v>2.5</v>
      </c>
      <c r="R168" s="68">
        <v>1.81</v>
      </c>
      <c r="S168" s="68">
        <v>1.78</v>
      </c>
      <c r="T168" s="68">
        <v>1.71</v>
      </c>
      <c r="U168" s="68">
        <v>1.81</v>
      </c>
      <c r="V168" s="68">
        <v>1.88</v>
      </c>
      <c r="W168" s="68">
        <v>2.0499999999999998</v>
      </c>
      <c r="X168" s="68">
        <v>1.78</v>
      </c>
    </row>
    <row r="169" spans="1:72" s="93" customFormat="1" ht="14.25" thickBot="1" x14ac:dyDescent="0.3">
      <c r="A169" s="225" t="s">
        <v>17</v>
      </c>
      <c r="B169" s="274">
        <v>5.0599999999999996</v>
      </c>
      <c r="C169" s="274">
        <v>4.8600000000000003</v>
      </c>
      <c r="D169" s="274">
        <v>4.45</v>
      </c>
      <c r="E169" s="274">
        <v>5.1100000000000003</v>
      </c>
      <c r="F169" s="274">
        <v>4.99</v>
      </c>
      <c r="G169" s="274">
        <v>4.76</v>
      </c>
      <c r="H169" s="274">
        <v>4.8099999999999996</v>
      </c>
      <c r="I169" s="274">
        <v>5.63</v>
      </c>
      <c r="J169" s="274">
        <v>4.8899999999999997</v>
      </c>
      <c r="K169" s="274">
        <v>4.42</v>
      </c>
      <c r="L169" s="274">
        <v>4.07</v>
      </c>
      <c r="M169" s="274">
        <v>4.99</v>
      </c>
      <c r="N169" s="274">
        <v>5.0599999999999996</v>
      </c>
      <c r="O169" s="274">
        <v>4.68</v>
      </c>
      <c r="P169" s="274">
        <v>4.24</v>
      </c>
      <c r="Q169" s="274">
        <v>4.95</v>
      </c>
      <c r="R169" s="274">
        <v>5.41</v>
      </c>
      <c r="S169" s="274">
        <v>4.83</v>
      </c>
      <c r="T169" s="274">
        <v>4.6900000000000004</v>
      </c>
      <c r="U169" s="274">
        <v>5.79</v>
      </c>
      <c r="V169" s="274">
        <v>6.4</v>
      </c>
      <c r="W169" s="274">
        <v>5.63</v>
      </c>
      <c r="X169" s="274">
        <v>5.15</v>
      </c>
    </row>
    <row r="170" spans="1:72" s="93" customFormat="1" ht="14.25" thickBot="1" x14ac:dyDescent="0.3">
      <c r="A170" s="224" t="s">
        <v>42</v>
      </c>
      <c r="B170" s="72">
        <v>7.66</v>
      </c>
      <c r="C170" s="72">
        <v>6.96</v>
      </c>
      <c r="D170" s="72">
        <v>6.61</v>
      </c>
      <c r="E170" s="72">
        <v>8.51</v>
      </c>
      <c r="F170" s="72">
        <v>8.3800000000000008</v>
      </c>
      <c r="G170" s="72">
        <v>7.66</v>
      </c>
      <c r="H170" s="72">
        <v>6.96</v>
      </c>
      <c r="I170" s="72">
        <v>7.36</v>
      </c>
      <c r="J170" s="72">
        <v>6.58</v>
      </c>
      <c r="K170" s="72">
        <v>5.98</v>
      </c>
      <c r="L170" s="72">
        <v>4.7</v>
      </c>
      <c r="M170" s="72">
        <v>5.67</v>
      </c>
      <c r="N170" s="72">
        <v>6.2</v>
      </c>
      <c r="O170" s="72">
        <v>6.21</v>
      </c>
      <c r="P170" s="72">
        <v>6.23</v>
      </c>
      <c r="Q170" s="72">
        <v>7.44</v>
      </c>
      <c r="R170" s="72">
        <v>7.21</v>
      </c>
      <c r="S170" s="72">
        <v>6.61</v>
      </c>
      <c r="T170" s="72">
        <v>6.4</v>
      </c>
      <c r="U170" s="72">
        <v>7.6</v>
      </c>
      <c r="V170" s="72">
        <v>8.2799999999999994</v>
      </c>
      <c r="W170" s="72">
        <v>7.69</v>
      </c>
      <c r="X170" s="72">
        <v>6.93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127.34</v>
      </c>
      <c r="C173" s="72">
        <v>154.79</v>
      </c>
      <c r="D173" s="72">
        <v>105.09</v>
      </c>
      <c r="E173" s="72">
        <v>65.47</v>
      </c>
      <c r="F173" s="72">
        <v>84.83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8.84</v>
      </c>
      <c r="C176" s="72">
        <v>9.84</v>
      </c>
      <c r="D176" s="72">
        <v>9.9499999999999993</v>
      </c>
      <c r="E176" s="72">
        <v>9.5</v>
      </c>
      <c r="F176" s="72">
        <v>9.64</v>
      </c>
      <c r="G176" s="72">
        <v>9.27</v>
      </c>
      <c r="H176" s="72">
        <v>9.67</v>
      </c>
      <c r="I176" s="72">
        <v>11.63</v>
      </c>
      <c r="J176" s="72">
        <v>10.51</v>
      </c>
      <c r="K176" s="72">
        <v>9.48</v>
      </c>
      <c r="L176" s="72">
        <v>10.9</v>
      </c>
      <c r="M176" s="72">
        <v>11.09</v>
      </c>
      <c r="N176" s="72">
        <v>11.23</v>
      </c>
      <c r="O176" s="72">
        <v>10.95</v>
      </c>
      <c r="P176" s="72">
        <v>10.86</v>
      </c>
      <c r="Q176" s="72">
        <v>10.52</v>
      </c>
      <c r="R176" s="72">
        <v>12.38</v>
      </c>
      <c r="S176" s="72">
        <v>12.78</v>
      </c>
      <c r="T176" s="72">
        <v>11.74</v>
      </c>
      <c r="U176" s="72">
        <v>11.52</v>
      </c>
      <c r="V176" s="72">
        <v>11.03</v>
      </c>
      <c r="W176" s="72">
        <v>10.97</v>
      </c>
      <c r="X176" s="72">
        <v>10.69</v>
      </c>
      <c r="Y176" s="72">
        <v>10.99</v>
      </c>
      <c r="Z176" s="72">
        <v>11.29</v>
      </c>
      <c r="AA176" s="72">
        <v>10.92</v>
      </c>
      <c r="AB176" s="72">
        <v>13.76</v>
      </c>
      <c r="AC176" s="72">
        <v>14.32</v>
      </c>
      <c r="AD176" s="72">
        <v>14.12</v>
      </c>
      <c r="AE176" s="72">
        <v>15.25</v>
      </c>
      <c r="AF176" s="72">
        <v>13.69</v>
      </c>
      <c r="AG176" s="72">
        <v>13.01</v>
      </c>
      <c r="AH176" s="72">
        <v>12.51</v>
      </c>
      <c r="AI176" s="72">
        <v>11.65</v>
      </c>
      <c r="AJ176" s="72">
        <v>10.15</v>
      </c>
      <c r="AK176" s="72">
        <v>10.69</v>
      </c>
      <c r="AL176" s="72">
        <v>10.89</v>
      </c>
      <c r="AM176" s="72">
        <v>10.95</v>
      </c>
      <c r="AN176" s="72">
        <v>9.5500000000000007</v>
      </c>
      <c r="AO176" s="72">
        <v>11.07</v>
      </c>
      <c r="AP176" s="72">
        <v>11.09</v>
      </c>
      <c r="AQ176" s="72">
        <v>11.07</v>
      </c>
      <c r="AR176" s="72">
        <v>11.3</v>
      </c>
      <c r="AS176" s="72">
        <v>9.1</v>
      </c>
      <c r="AT176" s="72">
        <v>8.5299999999999994</v>
      </c>
      <c r="AU176" s="72">
        <v>8.31</v>
      </c>
      <c r="AV176" s="72">
        <v>7.95</v>
      </c>
      <c r="AW176" s="72">
        <v>7.64</v>
      </c>
      <c r="AX176" s="72">
        <v>7.27</v>
      </c>
      <c r="AY176" s="72">
        <v>7.7</v>
      </c>
      <c r="AZ176" s="72">
        <v>8.3800000000000008</v>
      </c>
      <c r="BA176" s="72">
        <v>7.84</v>
      </c>
      <c r="BB176" s="72">
        <v>8.86</v>
      </c>
      <c r="BC176" s="72">
        <v>9.0399999999999991</v>
      </c>
      <c r="BD176" s="72">
        <v>8.59</v>
      </c>
      <c r="BE176" s="72">
        <v>9.42</v>
      </c>
      <c r="BF176" s="72">
        <v>9.32</v>
      </c>
      <c r="BG176" s="72">
        <v>9.25</v>
      </c>
      <c r="BH176" s="72">
        <v>10.16</v>
      </c>
      <c r="BI176" s="72">
        <v>10.48</v>
      </c>
      <c r="BJ176" s="72">
        <v>10.45</v>
      </c>
      <c r="BK176" s="72">
        <v>10.65</v>
      </c>
      <c r="BL176" s="72">
        <v>11.28</v>
      </c>
      <c r="BM176" s="72">
        <v>11.23</v>
      </c>
      <c r="BN176" s="72">
        <v>12.02</v>
      </c>
      <c r="BO176" s="72">
        <v>12.29</v>
      </c>
      <c r="BP176" s="72">
        <v>11.36</v>
      </c>
      <c r="BQ176" s="72">
        <v>12</v>
      </c>
      <c r="BR176" s="72">
        <v>12.1</v>
      </c>
      <c r="BS176" s="72">
        <v>12.11</v>
      </c>
      <c r="BT176" s="72">
        <v>12.08</v>
      </c>
    </row>
  </sheetData>
  <phoneticPr fontId="3" type="noConversion"/>
  <conditionalFormatting sqref="E4">
    <cfRule type="cellIs" dxfId="149" priority="101" operator="greaterThan">
      <formula>0.2</formula>
    </cfRule>
    <cfRule type="cellIs" dxfId="148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147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146" priority="95" operator="greaterThan">
      <formula>$B$19</formula>
    </cfRule>
  </conditionalFormatting>
  <conditionalFormatting sqref="D33:D34">
    <cfRule type="cellIs" dxfId="145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144" priority="89" operator="lessThan">
      <formula>$H$62</formula>
    </cfRule>
    <cfRule type="cellIs" dxfId="143" priority="90" operator="greaterThan">
      <formula>$H$62</formula>
    </cfRule>
  </conditionalFormatting>
  <conditionalFormatting sqref="J62">
    <cfRule type="cellIs" dxfId="142" priority="87" operator="lessThan">
      <formula>$K$62</formula>
    </cfRule>
    <cfRule type="cellIs" dxfId="141" priority="88" operator="greaterThan">
      <formula>$K$62</formula>
    </cfRule>
  </conditionalFormatting>
  <conditionalFormatting sqref="M62">
    <cfRule type="cellIs" dxfId="140" priority="85" operator="lessThan">
      <formula>$N$62</formula>
    </cfRule>
    <cfRule type="cellIs" dxfId="139" priority="86" operator="greaterThan">
      <formula>$N$62</formula>
    </cfRule>
  </conditionalFormatting>
  <conditionalFormatting sqref="B44:E44">
    <cfRule type="cellIs" dxfId="138" priority="83" operator="greaterThan">
      <formula>0</formula>
    </cfRule>
    <cfRule type="cellIs" dxfId="137" priority="84" operator="lessThan">
      <formula>0</formula>
    </cfRule>
  </conditionalFormatting>
  <conditionalFormatting sqref="F72">
    <cfRule type="cellIs" dxfId="136" priority="82" operator="lessThan">
      <formula>$E$72*90%</formula>
    </cfRule>
  </conditionalFormatting>
  <conditionalFormatting sqref="F73">
    <cfRule type="cellIs" dxfId="135" priority="81" operator="lessThan">
      <formula>$E$73*90%</formula>
    </cfRule>
  </conditionalFormatting>
  <conditionalFormatting sqref="F74">
    <cfRule type="cellIs" dxfId="134" priority="80" operator="lessThan">
      <formula>$E$74*90%</formula>
    </cfRule>
  </conditionalFormatting>
  <conditionalFormatting sqref="F75">
    <cfRule type="cellIs" dxfId="133" priority="79" operator="lessThan">
      <formula>$E$75*90%</formula>
    </cfRule>
  </conditionalFormatting>
  <conditionalFormatting sqref="H44:K44">
    <cfRule type="cellIs" dxfId="132" priority="77" operator="greaterThan">
      <formula>0</formula>
    </cfRule>
    <cfRule type="cellIs" dxfId="131" priority="78" operator="lessThan">
      <formula>0</formula>
    </cfRule>
  </conditionalFormatting>
  <conditionalFormatting sqref="H51:K51">
    <cfRule type="cellIs" dxfId="130" priority="75" operator="greaterThan">
      <formula>0</formula>
    </cfRule>
    <cfRule type="cellIs" dxfId="129" priority="76" operator="lessThan">
      <formula>0</formula>
    </cfRule>
  </conditionalFormatting>
  <conditionalFormatting sqref="B51:E51">
    <cfRule type="cellIs" dxfId="128" priority="73" operator="greaterThan">
      <formula>0</formula>
    </cfRule>
    <cfRule type="cellIs" dxfId="127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126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125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124" priority="56" operator="lessThan">
      <formula>0</formula>
    </cfRule>
  </conditionalFormatting>
  <conditionalFormatting sqref="A25 E25 C25">
    <cfRule type="cellIs" dxfId="123" priority="57" operator="lessThan">
      <formula>0</formula>
    </cfRule>
  </conditionalFormatting>
  <conditionalFormatting sqref="F25">
    <cfRule type="cellIs" dxfId="122" priority="55" operator="lessThan">
      <formula>0</formula>
    </cfRule>
  </conditionalFormatting>
  <conditionalFormatting sqref="E1">
    <cfRule type="containsText" dxfId="121" priority="54" operator="containsText" text="本季業外損益/平均=-">
      <formula>NOT(ISERROR(SEARCH("本季業外損益/平均=-",E1)))</formula>
    </cfRule>
  </conditionalFormatting>
  <conditionalFormatting sqref="M65">
    <cfRule type="cellIs" dxfId="120" priority="53" operator="lessThan">
      <formula>$L$65*90%</formula>
    </cfRule>
  </conditionalFormatting>
  <conditionalFormatting sqref="M66">
    <cfRule type="cellIs" dxfId="119" priority="52" operator="lessThan">
      <formula>$L$66*90%</formula>
    </cfRule>
  </conditionalFormatting>
  <conditionalFormatting sqref="M67">
    <cfRule type="cellIs" dxfId="118" priority="51" operator="lessThan">
      <formula>$L$67*90%</formula>
    </cfRule>
  </conditionalFormatting>
  <conditionalFormatting sqref="M68">
    <cfRule type="cellIs" dxfId="117" priority="50" operator="lessThan">
      <formula>$L$68*90%</formula>
    </cfRule>
  </conditionalFormatting>
  <conditionalFormatting sqref="B60">
    <cfRule type="cellIs" dxfId="116" priority="49" operator="lessThan">
      <formula>0</formula>
    </cfRule>
  </conditionalFormatting>
  <conditionalFormatting sqref="B59:F59">
    <cfRule type="cellIs" dxfId="115" priority="48" operator="lessThanOrEqual">
      <formula>0</formula>
    </cfRule>
  </conditionalFormatting>
  <conditionalFormatting sqref="D62">
    <cfRule type="cellIs" dxfId="114" priority="46" operator="lessThan">
      <formula>$E$62</formula>
    </cfRule>
    <cfRule type="cellIs" dxfId="113" priority="47" operator="greaterThan">
      <formula>$E$62</formula>
    </cfRule>
  </conditionalFormatting>
  <conditionalFormatting sqref="F69">
    <cfRule type="cellIs" dxfId="112" priority="44" operator="lessThan">
      <formula>0</formula>
    </cfRule>
  </conditionalFormatting>
  <conditionalFormatting sqref="B65:E67 B69:E69 B68:D68">
    <cfRule type="cellIs" dxfId="111" priority="45" operator="lessThan">
      <formula>0</formula>
    </cfRule>
  </conditionalFormatting>
  <conditionalFormatting sqref="E68">
    <cfRule type="cellIs" dxfId="110" priority="43" operator="lessThan">
      <formula>0</formula>
    </cfRule>
  </conditionalFormatting>
  <conditionalFormatting sqref="F65:F68">
    <cfRule type="cellIs" dxfId="109" priority="42" operator="lessThan">
      <formula>0</formula>
    </cfRule>
  </conditionalFormatting>
  <conditionalFormatting sqref="F65:F68">
    <cfRule type="cellIs" dxfId="108" priority="41" operator="lessThan">
      <formula>$E$65*0.9</formula>
    </cfRule>
  </conditionalFormatting>
  <conditionalFormatting sqref="F66">
    <cfRule type="cellIs" dxfId="107" priority="40" operator="lessThan">
      <formula>$E$66*0.9</formula>
    </cfRule>
  </conditionalFormatting>
  <conditionalFormatting sqref="F67:F68">
    <cfRule type="cellIs" dxfId="106" priority="39" operator="lessThan">
      <formula>$E$67*0.9</formula>
    </cfRule>
  </conditionalFormatting>
  <conditionalFormatting sqref="F68">
    <cfRule type="cellIs" dxfId="105" priority="38" operator="lessThan">
      <formula>$E$68*0.9</formula>
    </cfRule>
  </conditionalFormatting>
  <conditionalFormatting sqref="B13:F13">
    <cfRule type="cellIs" dxfId="104" priority="27" operator="greaterThan">
      <formula>$I$16</formula>
    </cfRule>
    <cfRule type="cellIs" dxfId="103" priority="28" operator="lessThanOrEqual">
      <formula>$I$16</formula>
    </cfRule>
  </conditionalFormatting>
  <conditionalFormatting sqref="B10:F10">
    <cfRule type="cellIs" dxfId="102" priority="29" operator="greaterThan">
      <formula>15</formula>
    </cfRule>
    <cfRule type="cellIs" dxfId="101" priority="36" operator="lessThan">
      <formula>$I$9</formula>
    </cfRule>
    <cfRule type="cellIs" dxfId="100" priority="37" operator="greaterThan">
      <formula>$I$9</formula>
    </cfRule>
  </conditionalFormatting>
  <conditionalFormatting sqref="B16:F16">
    <cfRule type="cellIs" dxfId="99" priority="34" operator="greaterThan">
      <formula>$I$16</formula>
    </cfRule>
    <cfRule type="cellIs" dxfId="98" priority="35" operator="lessThanOrEqual">
      <formula>$I$16</formula>
    </cfRule>
  </conditionalFormatting>
  <conditionalFormatting sqref="B15:F15">
    <cfRule type="cellIs" dxfId="97" priority="32" operator="lessThanOrEqual">
      <formula>$I$16</formula>
    </cfRule>
    <cfRule type="cellIs" dxfId="96" priority="33" operator="greaterThan">
      <formula>$I$16</formula>
    </cfRule>
  </conditionalFormatting>
  <conditionalFormatting sqref="B14:F14">
    <cfRule type="cellIs" dxfId="95" priority="30" operator="greaterThan">
      <formula>$I$16</formula>
    </cfRule>
    <cfRule type="cellIs" dxfId="94" priority="31" operator="lessThanOrEqual">
      <formula>$I$16</formula>
    </cfRule>
  </conditionalFormatting>
  <conditionalFormatting sqref="K6">
    <cfRule type="containsText" dxfId="93" priority="25" operator="containsText" text="衰退">
      <formula>NOT(ISERROR(SEARCH("衰退",K6)))</formula>
    </cfRule>
    <cfRule type="containsText" dxfId="92" priority="26" operator="containsText" text="成長">
      <formula>NOT(ISERROR(SEARCH("成長",K6)))</formula>
    </cfRule>
  </conditionalFormatting>
  <conditionalFormatting sqref="I4:K4">
    <cfRule type="cellIs" dxfId="91" priority="23" operator="lessThan">
      <formula>0</formula>
    </cfRule>
    <cfRule type="cellIs" dxfId="90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89" priority="20" operator="lessThanOrEqual">
      <formula>$I$16</formula>
    </cfRule>
    <cfRule type="cellIs" dxfId="88" priority="21" operator="greaterThan">
      <formula>$I$16</formula>
    </cfRule>
  </conditionalFormatting>
  <conditionalFormatting sqref="I6">
    <cfRule type="containsText" dxfId="87" priority="18" operator="containsText" text="衰退">
      <formula>NOT(ISERROR(SEARCH("衰退",I6)))</formula>
    </cfRule>
    <cfRule type="containsText" dxfId="86" priority="19" operator="containsText" text="成長">
      <formula>NOT(ISERROR(SEARCH("成長",I6)))</formula>
    </cfRule>
  </conditionalFormatting>
  <conditionalFormatting sqref="M9">
    <cfRule type="cellIs" dxfId="85" priority="17" operator="lessThan">
      <formula>$I$9</formula>
    </cfRule>
  </conditionalFormatting>
  <conditionalFormatting sqref="M10">
    <cfRule type="cellIs" dxfId="84" priority="16" operator="greaterThan">
      <formula>$I$9</formula>
    </cfRule>
  </conditionalFormatting>
  <conditionalFormatting sqref="M11">
    <cfRule type="cellIs" dxfId="83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82" priority="12" operator="lessThan">
      <formula>0</formula>
    </cfRule>
    <cfRule type="cellIs" dxfId="81" priority="13" operator="greaterThan">
      <formula>0.5</formula>
    </cfRule>
  </conditionalFormatting>
  <conditionalFormatting sqref="N14">
    <cfRule type="cellIs" dxfId="80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79" priority="8" operator="lessThan">
      <formula>0.1</formula>
    </cfRule>
  </conditionalFormatting>
  <conditionalFormatting sqref="I14">
    <cfRule type="cellIs" dxfId="78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77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76" priority="1" operator="lessThan">
      <formula>$N$5*0.9</formula>
    </cfRule>
    <cfRule type="cellIs" dxfId="75" priority="2" operator="greaterThan">
      <formula>$N$5*1.1</formula>
    </cfRule>
  </conditionalFormatting>
  <hyperlinks>
    <hyperlink ref="L1" location="儀表板!A1" display="(回首頁)" xr:uid="{00000000-0004-0000-6600-000000000000}"/>
  </hyperlink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BT176"/>
  <sheetViews>
    <sheetView workbookViewId="0">
      <selection activeCell="L1" sqref="L1"/>
    </sheetView>
  </sheetViews>
  <sheetFormatPr defaultColWidth="10.625" defaultRowHeight="13.5" x14ac:dyDescent="0.25"/>
  <cols>
    <col min="1" max="1" width="10.75" style="78" customWidth="1"/>
    <col min="2" max="21" width="11.25" style="78" customWidth="1"/>
    <col min="22" max="64" width="10.75" style="78" customWidth="1"/>
    <col min="65" max="16384" width="10.625" style="78"/>
  </cols>
  <sheetData>
    <row r="1" spans="1:15" ht="15.75" x14ac:dyDescent="0.25">
      <c r="A1" s="373" t="s">
        <v>391</v>
      </c>
      <c r="B1" s="76">
        <f>ROUNDDOWN(($C$1+6)/10,0)</f>
        <v>2017</v>
      </c>
      <c r="C1" s="76">
        <f>MAX(84:84)</f>
        <v>20173</v>
      </c>
      <c r="D1" s="76">
        <f>MAX(78:78)</f>
        <v>201710</v>
      </c>
      <c r="E1" s="77"/>
      <c r="H1" s="79" t="s">
        <v>177</v>
      </c>
      <c r="I1" s="80" t="e">
        <f ca="1">I16*(HLOOKUP($C$1,$117:$128,12,FALSE)*1000/K11)/(E97*1000)</f>
        <v>#VALUE!</v>
      </c>
      <c r="J1" s="81" t="s">
        <v>378</v>
      </c>
      <c r="K1" s="82" t="str">
        <f>MIN(149:149)&amp;" ~ "&amp;MAX(149:149)</f>
        <v>11.82 ~ 22.21</v>
      </c>
      <c r="L1" s="83" t="s">
        <v>176</v>
      </c>
      <c r="M1" s="84" t="str">
        <f ca="1">VLOOKUP(_xlfn.NUMBERVALUE(N1),儀表板!A:B,2,FALSE)</f>
        <v>皇田</v>
      </c>
      <c r="N1" s="85" t="str">
        <f ca="1">MID(CELL("filename",L1),FIND("]",CELL("filename",L1))+1,255)</f>
        <v>9951</v>
      </c>
    </row>
    <row r="2" spans="1:15" s="93" customFormat="1" ht="15.75" x14ac:dyDescent="0.25">
      <c r="A2" s="86"/>
      <c r="B2" s="87"/>
      <c r="C2" s="87"/>
      <c r="D2" s="87"/>
      <c r="E2" s="87"/>
      <c r="F2" s="86"/>
      <c r="G2" s="88"/>
      <c r="H2" s="89"/>
      <c r="I2" s="90"/>
      <c r="J2" s="90"/>
      <c r="K2" s="90"/>
      <c r="L2" s="91"/>
      <c r="M2" s="79" t="s">
        <v>178</v>
      </c>
      <c r="N2" s="92">
        <f>(F100-F101)/F100</f>
        <v>0.19464234392030758</v>
      </c>
    </row>
    <row r="3" spans="1:15" s="93" customFormat="1" x14ac:dyDescent="0.25">
      <c r="A3" s="81" t="s">
        <v>179</v>
      </c>
      <c r="B3" s="94">
        <f>SUM(F19:F22,F24:F27,J19)</f>
        <v>74.177868435413899</v>
      </c>
      <c r="C3" s="95"/>
      <c r="D3" s="96" t="str">
        <f>B1&amp;"資本額"</f>
        <v>2017資本額</v>
      </c>
      <c r="E3" s="96" t="s">
        <v>180</v>
      </c>
      <c r="F3" s="96" t="str">
        <f>B1-1&amp;"資本額"</f>
        <v>2016資本額</v>
      </c>
      <c r="G3" s="97"/>
      <c r="H3" s="98" t="s">
        <v>181</v>
      </c>
      <c r="I3" s="99">
        <f>IF($N$3&gt;=20%,PERCENTILE(C15:C16,80%),IF($N$3&gt;=10%,PERCENTILE(C15:C16,70%),IF($N$3&gt;=5%,PERCENTILE(C15:C16,60%),IF($N$3&gt;=0,PERCENTILE(C15:C16,50%),IF($N$3&gt;=-5%,PERCENTILE(C15:C16,40%),IF($N$3&gt;=-10%,PERCENTILE(C15:C16,30%),IF($N$3&gt;=-20%,PERCENTILE(C15:C16,20%),PERCENTILE(C15:C16,10%))))))))</f>
        <v>145.712239285527</v>
      </c>
      <c r="J3" s="99">
        <f>IF($N$3&gt;=20%,PERCENTILE(D15:D16,80%),IF($N$3&gt;=10%,PERCENTILE(D15:D16,70%),IF($N$3&gt;=5%,PERCENTILE(D15:D16,60%),IF($N$3&gt;=0,PERCENTILE(D15:D16,50%),IF($N$3&gt;=-5%,PERCENTILE(D15:D16,40%),IF($N$3&gt;=-10%,PERCENTILE(D15:D16,30%),IF($N$3&gt;=-20%,PERCENTILE(D15:D16,20%),PERCENTILE(D15:D16,10%))))))))</f>
        <v>164.15742675121848</v>
      </c>
      <c r="K3" s="99">
        <f>IF($N$3&gt;=20%,PERCENTILE(E15:E16,80%),IF($N$3&gt;=10%,PERCENTILE(E15:E16,70%),IF($N$3&gt;=5%,PERCENTILE(E15:E16,60%),IF($N$3&gt;=0,PERCENTILE(E15:E16,50%),IF($N$3&gt;=-5%,PERCENTILE(E15:E16,40%),IF($N$3&gt;=-10%,PERCENTILE(E15:E16,30%),IF($N$3&gt;=-20%,PERCENTILE(E15:E16,20%),PERCENTILE(E15:E16,10%))))))))</f>
        <v>173.83048136047572</v>
      </c>
      <c r="L3" s="100"/>
      <c r="M3" s="79" t="s">
        <v>385</v>
      </c>
      <c r="N3" s="92">
        <f>(F69-E69)/E69</f>
        <v>-3.0427126180417284E-2</v>
      </c>
    </row>
    <row r="4" spans="1:15" s="93" customFormat="1" x14ac:dyDescent="0.25">
      <c r="A4" s="81" t="s">
        <v>182</v>
      </c>
      <c r="B4" s="96">
        <f>SUM(G36:G40)*2</f>
        <v>82</v>
      </c>
      <c r="C4" s="101"/>
      <c r="D4" s="102">
        <f>F4*(1+F141/10)</f>
        <v>7.49</v>
      </c>
      <c r="E4" s="82">
        <f>(D4-F4)/F4</f>
        <v>0</v>
      </c>
      <c r="F4" s="103">
        <v>7.49</v>
      </c>
      <c r="G4" s="97"/>
      <c r="H4" s="104" t="s">
        <v>183</v>
      </c>
      <c r="I4" s="105" t="e">
        <f ca="1">(I3-I16)/I16</f>
        <v>#VALUE!</v>
      </c>
      <c r="J4" s="105" t="e">
        <f ca="1">(J3-I16)/I16</f>
        <v>#VALUE!</v>
      </c>
      <c r="K4" s="105" t="e">
        <f ca="1">(K3-I16)/I16</f>
        <v>#VALUE!</v>
      </c>
      <c r="L4" s="106"/>
      <c r="M4" s="79" t="str">
        <f>B1&amp;" EPS"</f>
        <v>2017 EPS</v>
      </c>
      <c r="N4" s="152">
        <f>F69</f>
        <v>9.6084671795520649</v>
      </c>
    </row>
    <row r="5" spans="1:15" s="93" customFormat="1" x14ac:dyDescent="0.25">
      <c r="A5" s="81" t="s">
        <v>184</v>
      </c>
      <c r="B5" s="107">
        <f>SUM(F30:F34)*2</f>
        <v>97.88424821002387</v>
      </c>
      <c r="C5" s="87"/>
      <c r="D5" s="87"/>
      <c r="E5" s="87"/>
      <c r="F5" s="86"/>
      <c r="G5" s="88"/>
      <c r="M5" s="79" t="s">
        <v>375</v>
      </c>
      <c r="N5" s="152">
        <f>D62</f>
        <v>9.4</v>
      </c>
      <c r="O5" s="108"/>
    </row>
    <row r="6" spans="1:15" s="93" customFormat="1" x14ac:dyDescent="0.25">
      <c r="A6" s="89"/>
      <c r="B6" s="109"/>
      <c r="D6" s="93" t="s">
        <v>186</v>
      </c>
      <c r="F6" s="110" t="str">
        <f>IF(AND(E36=3,E38=3,E40=3),"連3年成長",IF(AND(E36=0,E38=0,E40=0),"連3年減少","有"&amp;ROUNDDOWN(AVERAGE(E36,E38,E40),1)&amp;"年成長"))</f>
        <v>有2.3年成長</v>
      </c>
      <c r="H6" s="81" t="s">
        <v>187</v>
      </c>
      <c r="I6" s="111" t="str">
        <f>IF(AND(B59&gt;0,C59&gt;0,D59&gt;0,E59&gt;0,F59&gt;0),"連5月成長",IF(AND(B59&gt;0,C59&gt;0,D59&gt;0,E59&gt;0),"連4月成長",IF(AND(B59&gt;0,C59&gt;0,D59&gt;0),"連3月成長",IF(AND(B59&gt;0,C59&gt;0),"連2月成長",IF(B59&gt;0,"上月成長",IF(AND(B59&lt;0,C59&lt;0,D59&lt;0,E59&lt;0,F59&lt;0),"連5月衰退",IF(AND(B59&lt;0,C59&lt;0,D59&lt;0,E59&lt;0),"連4月衰退",IF(AND(B59&lt;0,C59&lt;0,D59&lt;0),"連3月衰退",IF(AND(B59&lt;0,C59&lt;0),"連2月衰退","上月衰退")))))))))</f>
        <v>連5月成長</v>
      </c>
      <c r="J6" s="81" t="s">
        <v>188</v>
      </c>
      <c r="K6" s="111" t="str">
        <f>IF(AND(B44&gt;0,C44&gt;0,D44&gt;0),"連3季成長",IF(AND(B44&gt;0,C44&gt;0),"連2季成長",IF(B44&gt;0,"單季成長",IF(AND(B44&lt;0,C44&lt;0,D44&lt;0),"連3季衰退",IF(AND(B44&lt;0,C44&lt;0),"連2季衰退","單季衰退")))))</f>
        <v>連3季衰退</v>
      </c>
      <c r="L6" s="112"/>
      <c r="M6" s="79" t="s">
        <v>190</v>
      </c>
      <c r="N6" s="152">
        <f>A53</f>
        <v>10.604853937469798</v>
      </c>
      <c r="O6" s="108"/>
    </row>
    <row r="7" spans="1:15" s="93" customFormat="1" ht="15.75" x14ac:dyDescent="0.25">
      <c r="C7" s="87"/>
      <c r="D7" s="87"/>
      <c r="E7" s="87"/>
      <c r="F7" s="86"/>
      <c r="G7" s="88"/>
      <c r="H7" s="86"/>
      <c r="I7" s="109"/>
      <c r="L7" s="113"/>
      <c r="O7" s="108"/>
    </row>
    <row r="8" spans="1:15" s="93" customFormat="1" ht="15.75" x14ac:dyDescent="0.25">
      <c r="A8" s="114" t="s">
        <v>191</v>
      </c>
      <c r="B8" s="115"/>
      <c r="C8" s="115"/>
      <c r="D8" s="115"/>
      <c r="E8" s="115"/>
      <c r="F8" s="116"/>
      <c r="G8" s="117"/>
      <c r="H8" s="116"/>
      <c r="I8" s="118"/>
      <c r="J8" s="119"/>
      <c r="K8" s="120"/>
      <c r="L8" s="121"/>
      <c r="M8" s="122"/>
      <c r="N8" s="122"/>
    </row>
    <row r="9" spans="1:15" s="93" customFormat="1" x14ac:dyDescent="0.25">
      <c r="A9" s="123" t="s">
        <v>192</v>
      </c>
      <c r="B9" s="124">
        <v>0.2</v>
      </c>
      <c r="C9" s="124">
        <v>0.35</v>
      </c>
      <c r="D9" s="125">
        <v>0.5</v>
      </c>
      <c r="E9" s="124">
        <v>0.65</v>
      </c>
      <c r="F9" s="124">
        <v>0.8</v>
      </c>
      <c r="G9" s="95"/>
      <c r="H9" s="81" t="s">
        <v>376</v>
      </c>
      <c r="I9" s="126" t="e">
        <f ca="1">I16/D62</f>
        <v>#VALUE!</v>
      </c>
      <c r="J9" s="81" t="s">
        <v>377</v>
      </c>
      <c r="K9" s="126" t="e">
        <f ca="1">I16/A53</f>
        <v>#VALUE!</v>
      </c>
      <c r="L9" s="133" t="s">
        <v>373</v>
      </c>
      <c r="M9" s="126">
        <f>MAX(176:176)</f>
        <v>23.79</v>
      </c>
      <c r="N9" s="129"/>
    </row>
    <row r="10" spans="1:15" s="93" customFormat="1" x14ac:dyDescent="0.25">
      <c r="A10" s="123" t="s">
        <v>194</v>
      </c>
      <c r="B10" s="126">
        <f>PERCENTILE(176:176,B9)</f>
        <v>10.47</v>
      </c>
      <c r="C10" s="126">
        <f>PERCENTILE(176:176,C9)</f>
        <v>15.365</v>
      </c>
      <c r="D10" s="126">
        <f>PERCENTILE(176:176,D9)</f>
        <v>17.309999999999999</v>
      </c>
      <c r="E10" s="126">
        <f>PERCENTILE(176:176,E9)</f>
        <v>18.329999999999998</v>
      </c>
      <c r="F10" s="126">
        <f>PERCENTILE(176:176,F9)</f>
        <v>19.12</v>
      </c>
      <c r="G10" s="95"/>
      <c r="H10" s="135"/>
      <c r="I10" s="135"/>
      <c r="J10" s="135"/>
      <c r="K10" s="135"/>
      <c r="L10" s="136" t="s">
        <v>374</v>
      </c>
      <c r="M10" s="130">
        <f>MIN(176:176)</f>
        <v>7.28</v>
      </c>
      <c r="N10" s="134"/>
    </row>
    <row r="11" spans="1:15" s="93" customFormat="1" x14ac:dyDescent="0.25">
      <c r="A11" s="78"/>
      <c r="B11" s="78"/>
      <c r="C11" s="78"/>
      <c r="E11" s="78"/>
      <c r="F11" s="78"/>
      <c r="G11" s="78"/>
      <c r="H11" s="81" t="s">
        <v>195</v>
      </c>
      <c r="I11" s="130" t="e">
        <f ca="1">I16/K11</f>
        <v>#VALUE!</v>
      </c>
      <c r="J11" s="131" t="s">
        <v>196</v>
      </c>
      <c r="K11" s="132">
        <f>HLOOKUP(C1,84:85,2,FALSE)</f>
        <v>31.48</v>
      </c>
      <c r="L11" s="272" t="s">
        <v>193</v>
      </c>
      <c r="M11" s="128">
        <f>STDEV(176:176)</f>
        <v>4.2947594241198921</v>
      </c>
      <c r="N11" s="134"/>
    </row>
    <row r="12" spans="1:15" s="93" customFormat="1" x14ac:dyDescent="0.25">
      <c r="A12" s="79" t="s">
        <v>131</v>
      </c>
      <c r="B12" s="76" t="s">
        <v>49</v>
      </c>
      <c r="C12" s="137" t="s">
        <v>50</v>
      </c>
      <c r="D12" s="76" t="s">
        <v>52</v>
      </c>
      <c r="E12" s="137" t="s">
        <v>53</v>
      </c>
      <c r="F12" s="137" t="s">
        <v>54</v>
      </c>
      <c r="G12" s="138" t="s">
        <v>197</v>
      </c>
      <c r="H12" s="139"/>
      <c r="I12" s="139"/>
      <c r="J12" s="139"/>
    </row>
    <row r="13" spans="1:15" s="93" customFormat="1" x14ac:dyDescent="0.25">
      <c r="A13" s="140" t="s">
        <v>198</v>
      </c>
      <c r="B13" s="141">
        <f>$B$34/7.14%</f>
        <v>75.980392156862749</v>
      </c>
      <c r="C13" s="141">
        <f>$B$34/5.88%</f>
        <v>92.261904761904759</v>
      </c>
      <c r="D13" s="141">
        <f>$B$34/5%</f>
        <v>108.49999999999999</v>
      </c>
      <c r="E13" s="141">
        <f>$B$34/4.35%</f>
        <v>124.71264367816093</v>
      </c>
      <c r="F13" s="141">
        <f>$B$34/3.85%</f>
        <v>140.90909090909091</v>
      </c>
      <c r="G13" s="138" t="str">
        <f>"$"&amp;ROUND(B34,2)&amp;"/"&amp;IF(STDEV(C140:F140)/AVERAGE(C140:F140)&lt;15%,"高",IF(STDEV(C140:F140)/AVERAGE(C140:F140)&lt;30%,"中","低"))</f>
        <v>$5.43/高</v>
      </c>
      <c r="H13" s="142" t="s">
        <v>199</v>
      </c>
      <c r="I13" s="143">
        <f>MAX(0,1-J15)</f>
        <v>0.41473259334006052</v>
      </c>
      <c r="J13" s="142"/>
      <c r="K13" s="78"/>
      <c r="L13" s="79" t="s">
        <v>200</v>
      </c>
      <c r="M13" s="79" t="s">
        <v>132</v>
      </c>
      <c r="N13" s="144" t="s">
        <v>201</v>
      </c>
    </row>
    <row r="14" spans="1:15" s="93" customFormat="1" x14ac:dyDescent="0.25">
      <c r="A14" s="140" t="s">
        <v>202</v>
      </c>
      <c r="B14" s="141">
        <f>$B$33*B10</f>
        <v>87.738599999999991</v>
      </c>
      <c r="C14" s="141">
        <f>$B$33*C10</f>
        <v>128.75869999999998</v>
      </c>
      <c r="D14" s="141">
        <f>$B$33*D10</f>
        <v>145.05779999999999</v>
      </c>
      <c r="E14" s="141">
        <f>$B$33*E10</f>
        <v>153.60539999999997</v>
      </c>
      <c r="F14" s="141">
        <f>$B$33*F10</f>
        <v>160.22559999999999</v>
      </c>
      <c r="G14" s="138" t="str">
        <f>"$"&amp;ROUND(B33,2)&amp;"/"&amp;IF(STDEV(B69:E69)/AVERAGE(B69:E69)&lt;15%,"高",IF(STDEV(B69:E69)/AVERAGE(B69:E69)&lt;30%,"中","低"))</f>
        <v>$8.38/高</v>
      </c>
      <c r="H14" s="142" t="s">
        <v>203</v>
      </c>
      <c r="I14" s="145">
        <f>G62/100*I13</f>
        <v>0.12815237134207869</v>
      </c>
      <c r="J14" s="76" t="s">
        <v>204</v>
      </c>
      <c r="K14" s="146"/>
      <c r="L14" s="147">
        <f>(HLOOKUP($C$1,$105:$106,2,FALSE)-HLOOKUP($C$1,$117:$127,9,FALSE))/(HLOOKUP($C$1,$117:$128,12,FALSE)/K11)</f>
        <v>-2.2832922075278375</v>
      </c>
      <c r="M14" s="148">
        <f>E135/E69</f>
        <v>0.60343087790111005</v>
      </c>
      <c r="N14" s="149">
        <f>F173/100</f>
        <v>1.0758000000000001</v>
      </c>
    </row>
    <row r="15" spans="1:15" s="93" customFormat="1" x14ac:dyDescent="0.25">
      <c r="A15" s="140" t="s">
        <v>375</v>
      </c>
      <c r="B15" s="141">
        <f>$D$62*B10</f>
        <v>98.418000000000006</v>
      </c>
      <c r="C15" s="141">
        <f>$D$62*C10</f>
        <v>144.43100000000001</v>
      </c>
      <c r="D15" s="141">
        <f>$D$62*D10</f>
        <v>162.714</v>
      </c>
      <c r="E15" s="141">
        <f>$D$62*E10</f>
        <v>172.30199999999999</v>
      </c>
      <c r="F15" s="141">
        <f>$D$62*F10</f>
        <v>179.72800000000001</v>
      </c>
      <c r="G15" s="150"/>
      <c r="H15" s="142" t="s">
        <v>118</v>
      </c>
      <c r="I15" s="145" t="e">
        <f ca="1">D62*J15/I16</f>
        <v>#VALUE!</v>
      </c>
      <c r="J15" s="92">
        <f>MIN(100%,HLOOKUP(MAX(139:139),139:142,4,FALSE))</f>
        <v>0.58526740665993948</v>
      </c>
      <c r="K15" s="78" t="str">
        <f>MAX(139:139)&amp;"配息率"</f>
        <v>2016配息率</v>
      </c>
      <c r="N15" s="101"/>
    </row>
    <row r="16" spans="1:15" s="93" customFormat="1" x14ac:dyDescent="0.25">
      <c r="A16" s="151" t="str">
        <f>B1&amp;" EPS"</f>
        <v>2017 EPS</v>
      </c>
      <c r="B16" s="141">
        <f>$F$69*B10</f>
        <v>100.60065136991012</v>
      </c>
      <c r="C16" s="141">
        <f>$F$69*C10</f>
        <v>147.63409821381748</v>
      </c>
      <c r="D16" s="141">
        <f>$F$69*D10</f>
        <v>166.32256687804622</v>
      </c>
      <c r="E16" s="141">
        <f>$F$69*E10</f>
        <v>176.12320340118933</v>
      </c>
      <c r="F16" s="141">
        <f>$F$69*F10</f>
        <v>183.71389247303549</v>
      </c>
      <c r="G16" s="150"/>
      <c r="H16" s="142" t="s">
        <v>205</v>
      </c>
      <c r="I16" s="152" t="str">
        <f ca="1">VLOOKUP(_xlfn.NUMBERVALUE(N1),儀表板!A:T,3,FALSE)</f>
        <v>上櫃</v>
      </c>
      <c r="J16" s="92" t="e">
        <f ca="1">IF(I16&lt;=MIN($B$13:$F$16),(I16-MIN($B$13:$F$16))/MIN($B$13:$F$16),IF(I16&gt;=MAX($B$13:$F$16),I16/MAX($B$13:$F$16),PERCENTRANK($B$13:$F$16,I16)))</f>
        <v>#VALUE!</v>
      </c>
      <c r="K16" s="78" t="s">
        <v>206</v>
      </c>
    </row>
    <row r="17" spans="1:14" s="93" customFormat="1" x14ac:dyDescent="0.25">
      <c r="H17" s="142" t="s">
        <v>207</v>
      </c>
      <c r="I17" s="152">
        <f ca="1">VLOOKUP(_xlfn.NUMBERVALUE(N1),儀表板!A:T,5,FALSE)</f>
        <v>400</v>
      </c>
      <c r="J17" s="92">
        <f ca="1">IF(I17&lt;=0,"",IF(I17&lt;=MIN($B$13:$F$16),(I17-MIN($B$13:$F$16))/MIN($B$13:$F$16),IF(I17&gt;=MAX($B$13:$F$16),I17/MAX($B$13:$F$16),PERCENTRANK($B$13:$F$16,I17))))</f>
        <v>2.1772985951985628</v>
      </c>
      <c r="K17" s="78" t="s">
        <v>206</v>
      </c>
      <c r="L17" s="153">
        <f ca="1">VLOOKUP(_xlfn.NUMBERVALUE(N1),儀表板!A:G,6,FALSE)</f>
        <v>0</v>
      </c>
      <c r="M17" s="154" t="s">
        <v>208</v>
      </c>
    </row>
    <row r="18" spans="1:14" s="93" customFormat="1" ht="15.75" x14ac:dyDescent="0.25">
      <c r="A18" s="114" t="s">
        <v>209</v>
      </c>
      <c r="B18" s="115"/>
      <c r="C18" s="115"/>
      <c r="D18" s="115"/>
      <c r="E18" s="115"/>
      <c r="F18" s="116"/>
      <c r="G18" s="117"/>
      <c r="H18" s="116"/>
      <c r="I18" s="118"/>
      <c r="J18" s="119"/>
      <c r="K18" s="120"/>
      <c r="L18" s="121"/>
      <c r="M18" s="122"/>
      <c r="N18" s="122"/>
    </row>
    <row r="19" spans="1:14" s="93" customFormat="1" x14ac:dyDescent="0.25">
      <c r="A19" s="155" t="s">
        <v>210</v>
      </c>
      <c r="B19" s="156">
        <f>SUM(C135:F135)/4</f>
        <v>3.8774999999999999</v>
      </c>
      <c r="C19" s="157" t="s">
        <v>211</v>
      </c>
      <c r="D19" s="158">
        <f>COUNTIF(C135:F135,"&gt;0")/COUNT(C135:F135)</f>
        <v>1</v>
      </c>
      <c r="E19" s="140" t="s">
        <v>212</v>
      </c>
      <c r="F19" s="159">
        <f>IF(B19&gt;0,2,0)+D19*8</f>
        <v>10</v>
      </c>
      <c r="G19" s="88" t="s">
        <v>213</v>
      </c>
      <c r="H19" s="86"/>
      <c r="I19" s="107" t="s">
        <v>214</v>
      </c>
      <c r="J19" s="160">
        <f>IF(I20&lt;10%,5,IF(I20&lt;20%,4,IF(I20&lt;30%,3,IF(I20&lt;40%,2,IF(I20&lt;50%,1,0)))))+IF(I21&gt;130%,5,IF(I21&gt;100%,4,IF(I21&gt;80%,1,0)))+IF(I22&gt;130%,5,IF(I22&gt;100%,4,IF(I21&gt;80%,1,0)))+IF(L24&lt;5%,5,IF(L24&lt;10%,3,IF(L24&lt;15%,1,0)))</f>
        <v>15</v>
      </c>
      <c r="K19" s="88" t="s">
        <v>215</v>
      </c>
    </row>
    <row r="20" spans="1:14" s="93" customFormat="1" x14ac:dyDescent="0.25">
      <c r="A20" s="155" t="s">
        <v>216</v>
      </c>
      <c r="B20" s="161">
        <f>SUM(C135:F135)/SUM(C140:F140)</f>
        <v>0.71474654377880187</v>
      </c>
      <c r="C20" s="157" t="s">
        <v>217</v>
      </c>
      <c r="D20" s="236">
        <f>COUNTIF(C143:F143,"&gt;=80%")/COUNT(C143:F143)</f>
        <v>0.5</v>
      </c>
      <c r="E20" s="140" t="s">
        <v>218</v>
      </c>
      <c r="F20" s="159">
        <f>IF(B20&gt;=80%,2,0)+D20*8</f>
        <v>4</v>
      </c>
      <c r="G20" s="88" t="s">
        <v>213</v>
      </c>
      <c r="H20" s="123" t="s">
        <v>219</v>
      </c>
      <c r="I20" s="237">
        <f>HLOOKUP($C$1,$117:$127,11,FALSE)*(1-N22)/HLOOKUP($C$1,$105:$115,11,FALSE)</f>
        <v>0.42534861831875859</v>
      </c>
      <c r="J20" s="171">
        <f>HLOOKUP($C$1,$117:$127,11,FALSE)/HLOOKUP($C$1,$105:$115,11,FALSE)</f>
        <v>0.55478662793496925</v>
      </c>
      <c r="K20" s="163"/>
    </row>
    <row r="21" spans="1:14" s="93" customFormat="1" x14ac:dyDescent="0.25">
      <c r="A21" s="151" t="s">
        <v>201</v>
      </c>
      <c r="B21" s="161">
        <f>AVERAGE(C173:F173)/100</f>
        <v>0.92182499999999989</v>
      </c>
      <c r="C21" s="157" t="s">
        <v>217</v>
      </c>
      <c r="D21" s="158">
        <f>COUNTIF(C173:F173,"&gt;=80")/COUNT(C173:F173)</f>
        <v>0.75</v>
      </c>
      <c r="E21" s="140" t="s">
        <v>218</v>
      </c>
      <c r="F21" s="159">
        <f>MIN(100%,B21)*9+D21*6-COUNTIF(B132:E132,"&lt;=0")*4</f>
        <v>12.796424999999999</v>
      </c>
      <c r="G21" s="88" t="s">
        <v>220</v>
      </c>
      <c r="H21" s="123" t="s">
        <v>221</v>
      </c>
      <c r="I21" s="162">
        <f>HLOOKUP($C$1,$105:$115,7,FALSE)/HLOOKUP($C$1,$117:$127,8,FALSE)</f>
        <v>1.7652983346522264</v>
      </c>
      <c r="J21" s="78"/>
      <c r="K21" s="164" t="s">
        <v>356</v>
      </c>
      <c r="L21" s="165">
        <f>HLOOKUP($C$1,$105:$115,7,FALSE)/HLOOKUP($C$1,$105:$115,11,FALSE)</f>
        <v>0.63980163379287103</v>
      </c>
      <c r="M21" s="123" t="s">
        <v>268</v>
      </c>
      <c r="N21" s="165">
        <f>HLOOKUP($C$1,$117:$127,8,FALSE)/HLOOKUP($C$1,$117:$127,11,FALSE)</f>
        <v>0.65328283696304357</v>
      </c>
    </row>
    <row r="22" spans="1:14" s="93" customFormat="1" x14ac:dyDescent="0.25">
      <c r="A22" s="140" t="s">
        <v>222</v>
      </c>
      <c r="B22" s="161">
        <f>(-1)*SUM(C133:F133)/SUM(C132:F132)</f>
        <v>0.50128700128700121</v>
      </c>
      <c r="C22" s="157"/>
      <c r="D22" s="166"/>
      <c r="E22" s="140"/>
      <c r="F22" s="159">
        <f>IF(B22&lt;=0,10,IF(B22&gt;=100%,0,(1-B22)*10))</f>
        <v>4.9871299871299879</v>
      </c>
      <c r="G22" s="88" t="s">
        <v>213</v>
      </c>
      <c r="H22" s="123" t="s">
        <v>223</v>
      </c>
      <c r="I22" s="162">
        <f>(HLOOKUP($C$1,$105:$115,7,FALSE)-IF(HLOOKUP($C$1,$105:$115,5,FALSE)="無",0,HLOOKUP($C$1,$105:$115,5,FALSE)))/HLOOKUP($C$1,$117:$127,8,FALSE)</f>
        <v>1.2189947690565286</v>
      </c>
      <c r="J22" s="78"/>
      <c r="K22" s="142" t="s">
        <v>357</v>
      </c>
      <c r="L22" s="165">
        <f>HLOOKUP($C$1,$105:$115,4,FALSE)/HLOOKUP($C$1,$105:$115,11,FALSE)</f>
        <v>0.22204780161113538</v>
      </c>
      <c r="M22" s="123" t="s">
        <v>353</v>
      </c>
      <c r="N22" s="165">
        <f>HLOOKUP($C$1,$117:$127,4,FALSE)/HLOOKUP($C$1,$117:$127,11,FALSE)</f>
        <v>0.2333113364646256</v>
      </c>
    </row>
    <row r="23" spans="1:14" s="93" customFormat="1" x14ac:dyDescent="0.25">
      <c r="A23" s="142"/>
      <c r="B23" s="76" t="s">
        <v>224</v>
      </c>
      <c r="C23" s="76" t="s">
        <v>225</v>
      </c>
      <c r="D23" s="76" t="s">
        <v>226</v>
      </c>
      <c r="E23" s="76"/>
      <c r="F23" s="167"/>
      <c r="G23" s="88"/>
      <c r="H23" s="123" t="s">
        <v>15</v>
      </c>
      <c r="I23" s="168">
        <f>HLOOKUP($C$1,$105:$115,11,FALSE)/HLOOKUP($C$1,$117:$128,12,FALSE)</f>
        <v>2.2461140269927329</v>
      </c>
      <c r="J23" s="78" t="s">
        <v>227</v>
      </c>
      <c r="K23" s="142" t="s">
        <v>264</v>
      </c>
      <c r="L23" s="165">
        <f>IF(HLOOKUP($C$1,$105:$115,5,FALSE)="無",0,HLOOKUP($C$1,$105:$115,5,FALSE)/HLOOKUP($C$1,$105:$115,11,FALSE))</f>
        <v>0.19799821194747619</v>
      </c>
      <c r="M23" s="123" t="s">
        <v>354</v>
      </c>
      <c r="N23" s="165">
        <f>IF(HLOOKUP($C$1,$117:$127,5,FALSE)="無",0,HLOOKUP($C$1,$117:$127,5,FALSE))/HLOOKUP($C$1,$117:$127,11,FALSE)</f>
        <v>1.5148570753739326E-2</v>
      </c>
    </row>
    <row r="24" spans="1:14" s="93" customFormat="1" x14ac:dyDescent="0.25">
      <c r="A24" s="164" t="s">
        <v>228</v>
      </c>
      <c r="B24" s="127">
        <f>AVERAGE(C103:F103)</f>
        <v>1</v>
      </c>
      <c r="C24" s="169">
        <f>STDEV(C103:F103)</f>
        <v>0</v>
      </c>
      <c r="D24" s="76" t="str">
        <f>IF(C24/B24&lt;15%,"高",IF(C24/B24&lt;30%,"中","低"))</f>
        <v>高</v>
      </c>
      <c r="E24" s="149"/>
      <c r="F24" s="160">
        <f>MIN(100%,B24)*5</f>
        <v>5</v>
      </c>
      <c r="G24" s="88" t="s">
        <v>229</v>
      </c>
      <c r="H24" s="123" t="s">
        <v>16</v>
      </c>
      <c r="I24" s="170">
        <f>HLOOKUP(C1,167:170,2,FALSE)</f>
        <v>84.11</v>
      </c>
      <c r="J24" s="78" t="s">
        <v>230</v>
      </c>
      <c r="K24" s="142" t="s">
        <v>358</v>
      </c>
      <c r="L24" s="145">
        <f>IF(HLOOKUP($C$1,$105:$115,10,FALSE)="NaN",0,HLOOKUP($C$1,$105:$115,10,FALSE))/HLOOKUP($C$1,$105:$115,11,FALSE)</f>
        <v>4.2772973029106362E-2</v>
      </c>
      <c r="M24" s="123" t="s">
        <v>355</v>
      </c>
      <c r="N24" s="165">
        <f>HLOOKUP($C$1,$117:$127,9,FALSE)/HLOOKUP($C$1,$117:$127,11,FALSE)</f>
        <v>0.34671716303695643</v>
      </c>
    </row>
    <row r="25" spans="1:14" s="93" customFormat="1" x14ac:dyDescent="0.25">
      <c r="A25" s="151" t="s">
        <v>366</v>
      </c>
      <c r="B25" s="255">
        <f>AVERAGE(94:94)</f>
        <v>4544.391304347826</v>
      </c>
      <c r="C25" s="254">
        <f>STDEV(94:94)/AVERAGE(94:94)</f>
        <v>4.6056865517160972</v>
      </c>
      <c r="D25" s="76" t="str">
        <f>IF(C25&lt;=1,"高",IF(C25&lt;=2,"中","低"))</f>
        <v>低</v>
      </c>
      <c r="E25" s="149"/>
      <c r="F25" s="160">
        <f>MAX(0,10-ABS(C25))</f>
        <v>5.3943134482839028</v>
      </c>
      <c r="G25" s="88" t="s">
        <v>213</v>
      </c>
      <c r="H25" s="123" t="s">
        <v>232</v>
      </c>
      <c r="I25" s="170">
        <f>IF(HLOOKUP(C1,167:170,3,FALSE)="無",0,HLOOKUP(C1,167:170,3,FALSE))</f>
        <v>102.27</v>
      </c>
      <c r="J25" s="78" t="s">
        <v>230</v>
      </c>
    </row>
    <row r="26" spans="1:14" s="93" customFormat="1" x14ac:dyDescent="0.25">
      <c r="A26" s="164" t="s">
        <v>233</v>
      </c>
      <c r="B26" s="172">
        <f>IF(COUNTIF(168:168,"&gt;0")=0,0,AVERAGE(168:168))</f>
        <v>75.97173913043477</v>
      </c>
      <c r="C26" s="172">
        <f>IF(COUNTIF(168:168,"&gt;0")=0,0,STDEV(168:168))</f>
        <v>8.9855488283709235</v>
      </c>
      <c r="D26" s="76" t="str">
        <f>IF(C26&lt;=15,"高",IF(C26&lt;=30,"中","低"))</f>
        <v>高</v>
      </c>
      <c r="E26" s="149"/>
      <c r="F26" s="160">
        <f>IF(I24&lt;=60,4,IF(I24&lt;=90,3,IF(I24&lt;=120,2,IF(I24&lt;=150,1,0))))+IF(D26="高",6,IF(D26="中",4,2))</f>
        <v>9</v>
      </c>
      <c r="G26" s="88" t="s">
        <v>213</v>
      </c>
    </row>
    <row r="27" spans="1:14" s="93" customFormat="1" x14ac:dyDescent="0.25">
      <c r="A27" s="164" t="s">
        <v>232</v>
      </c>
      <c r="B27" s="172">
        <f>IF(COUNTIF(169:169,"&gt;0")=0,0,AVERAGE(169:169))</f>
        <v>89.296086956521734</v>
      </c>
      <c r="C27" s="172">
        <f>IF(COUNTIF(169:169,"&gt;0")=0,0,STDEV(169:169))</f>
        <v>5.8596584907704701</v>
      </c>
      <c r="D27" s="76" t="str">
        <f>IF(C27&lt;=15,"高",IF(C27&lt;=30,"中","低"))</f>
        <v>高</v>
      </c>
      <c r="E27" s="149"/>
      <c r="F27" s="160">
        <f>IF(I25&lt;=60,4,IF(I25&lt;=90,3,IF(I25&lt;=120,2,IF(I25&lt;=150,1,0))))+IF(D27="高",6,IF(D27="中",4,2))</f>
        <v>8</v>
      </c>
      <c r="G27" s="88" t="s">
        <v>213</v>
      </c>
    </row>
    <row r="28" spans="1:14" s="93" customFormat="1" ht="15.75" x14ac:dyDescent="0.25">
      <c r="A28" s="114" t="s">
        <v>235</v>
      </c>
      <c r="B28" s="115"/>
      <c r="C28" s="115"/>
      <c r="D28" s="115"/>
      <c r="E28" s="115"/>
      <c r="F28" s="116"/>
      <c r="G28" s="117"/>
      <c r="H28" s="116"/>
      <c r="I28" s="118"/>
      <c r="J28" s="119"/>
      <c r="K28" s="120"/>
      <c r="L28" s="121"/>
      <c r="M28" s="122"/>
      <c r="N28" s="122"/>
    </row>
    <row r="29" spans="1:14" x14ac:dyDescent="0.25">
      <c r="A29" s="123"/>
      <c r="B29" s="76" t="s">
        <v>224</v>
      </c>
      <c r="C29" s="76"/>
      <c r="D29" s="76"/>
      <c r="E29" s="76"/>
      <c r="F29" s="86" t="s">
        <v>237</v>
      </c>
      <c r="G29" s="86" t="s">
        <v>55</v>
      </c>
    </row>
    <row r="30" spans="1:14" x14ac:dyDescent="0.25">
      <c r="A30" s="164" t="s">
        <v>238</v>
      </c>
      <c r="B30" s="173">
        <f>AVERAGE(C152:F152)/100</f>
        <v>0.40665000000000007</v>
      </c>
      <c r="C30" s="157" t="s">
        <v>217</v>
      </c>
      <c r="D30" s="174">
        <f>COUNTIF(146:146,"&gt;20")/COUNT(146:146)</f>
        <v>1</v>
      </c>
      <c r="E30" s="140" t="s">
        <v>239</v>
      </c>
      <c r="F30" s="159">
        <f>MIN(B30/25%*10,10)</f>
        <v>10</v>
      </c>
      <c r="G30" s="175"/>
      <c r="H30" s="176"/>
    </row>
    <row r="31" spans="1:14" x14ac:dyDescent="0.25">
      <c r="A31" s="164" t="s">
        <v>240</v>
      </c>
      <c r="B31" s="173">
        <f>AVERAGE(C155:F155)/100</f>
        <v>0.180975</v>
      </c>
      <c r="C31" s="157" t="s">
        <v>217</v>
      </c>
      <c r="D31" s="174">
        <f>COUNTIF(149:149,"&gt;8")/COUNT(149:149)</f>
        <v>1</v>
      </c>
      <c r="E31" s="140" t="s">
        <v>241</v>
      </c>
      <c r="F31" s="159">
        <f>MIN(B31/10%*10,10)</f>
        <v>10</v>
      </c>
      <c r="G31" s="175"/>
    </row>
    <row r="32" spans="1:14" x14ac:dyDescent="0.25">
      <c r="A32" s="155" t="s">
        <v>47</v>
      </c>
      <c r="B32" s="177">
        <f>AVERAGE(C165:F165)</f>
        <v>34.982500000000002</v>
      </c>
      <c r="C32" s="157" t="s">
        <v>217</v>
      </c>
      <c r="D32" s="174">
        <f>COUNTIF(159:159,"&gt;3")/COUNT(159:159)</f>
        <v>1</v>
      </c>
      <c r="E32" s="140" t="s">
        <v>242</v>
      </c>
      <c r="F32" s="159">
        <f>MIN(B32/15*10,10)</f>
        <v>10</v>
      </c>
      <c r="G32" s="135"/>
    </row>
    <row r="33" spans="1:14" x14ac:dyDescent="0.25">
      <c r="A33" s="155" t="s">
        <v>14</v>
      </c>
      <c r="B33" s="156">
        <f>AVERAGE(B69:E69)</f>
        <v>8.379999999999999</v>
      </c>
      <c r="C33" s="157" t="s">
        <v>217</v>
      </c>
      <c r="D33" s="174">
        <f>COUNTIF(82:82,"&gt;0")/COUNT(82:82)</f>
        <v>1</v>
      </c>
      <c r="E33" s="140" t="s">
        <v>243</v>
      </c>
      <c r="F33" s="159">
        <f>MIN(B33,2)+D33*8</f>
        <v>10</v>
      </c>
      <c r="G33" s="135"/>
    </row>
    <row r="34" spans="1:14" x14ac:dyDescent="0.25">
      <c r="A34" s="155" t="s">
        <v>244</v>
      </c>
      <c r="B34" s="156">
        <f>AVERAGE(C140:F140)</f>
        <v>5.4249999999999998</v>
      </c>
      <c r="C34" s="157" t="s">
        <v>217</v>
      </c>
      <c r="D34" s="158">
        <f>COUNTIF(C140:F140,"&gt;0")/COUNT(C140:F140)</f>
        <v>1</v>
      </c>
      <c r="E34" s="140" t="s">
        <v>245</v>
      </c>
      <c r="F34" s="159">
        <f>B34/B33*3+D34*7</f>
        <v>8.9421241050119331</v>
      </c>
      <c r="G34" s="175"/>
    </row>
    <row r="35" spans="1:14" x14ac:dyDescent="0.25">
      <c r="A35" s="155"/>
      <c r="B35" s="76" t="s">
        <v>224</v>
      </c>
      <c r="C35" s="76" t="s">
        <v>225</v>
      </c>
      <c r="D35" s="76" t="s">
        <v>226</v>
      </c>
      <c r="E35" s="76" t="s">
        <v>246</v>
      </c>
      <c r="F35" s="167"/>
    </row>
    <row r="36" spans="1:14" x14ac:dyDescent="0.25">
      <c r="A36" s="164" t="s">
        <v>247</v>
      </c>
      <c r="B36" s="178">
        <f>AVERAGE(C97:F97)</f>
        <v>3516532.25</v>
      </c>
      <c r="C36" s="178">
        <f>STDEV(C97:F97)</f>
        <v>803549.29244959832</v>
      </c>
      <c r="D36" s="76" t="str">
        <f>IF(C36/B36&lt;15%,"高",IF(C36/B36&lt;30%,"中","低"))</f>
        <v>中</v>
      </c>
      <c r="E36" s="107">
        <f>IF(F97&gt;E97,1,0)+IF(E97&gt;D97,1,0)+IF(D97&gt;C97,1,0)</f>
        <v>3</v>
      </c>
      <c r="F36" s="179"/>
      <c r="G36" s="160">
        <f>IF(D36="高",6,IF(D36="中",4,2))+E36+1</f>
        <v>8</v>
      </c>
    </row>
    <row r="37" spans="1:14" x14ac:dyDescent="0.25">
      <c r="A37" s="164" t="s">
        <v>248</v>
      </c>
      <c r="B37" s="180">
        <f>AVERAGE(C152:F152)</f>
        <v>40.665000000000006</v>
      </c>
      <c r="C37" s="180">
        <f>STDEV(C152:F152)</f>
        <v>1.1484627406523313</v>
      </c>
      <c r="D37" s="76" t="str">
        <f>IF(C37/B37&lt;15%,"高",IF(C37/B37&lt;30%,"中","低"))</f>
        <v>高</v>
      </c>
      <c r="E37" s="107">
        <f>IF(F152&gt;E152,1,0)+IF(E152&gt;D152,1,0)+IF(D152&gt;C152,1,0)</f>
        <v>0</v>
      </c>
      <c r="F37" s="179"/>
      <c r="G37" s="160">
        <f>IF(D37="高",6,IF(D37="中",4,2))+E37+1</f>
        <v>7</v>
      </c>
    </row>
    <row r="38" spans="1:14" x14ac:dyDescent="0.25">
      <c r="A38" s="164" t="s">
        <v>249</v>
      </c>
      <c r="B38" s="180">
        <f>AVERAGE(C153:F153)</f>
        <v>21.142499999999998</v>
      </c>
      <c r="C38" s="180">
        <f>STDEV(C153:F153)</f>
        <v>0.87895297560980545</v>
      </c>
      <c r="D38" s="76" t="str">
        <f>IF(C38/B38&lt;15%,"高",IF(C38/B38&lt;30%,"中","低"))</f>
        <v>高</v>
      </c>
      <c r="E38" s="107">
        <f>IF(F153&gt;E153,1,0)+IF(E153&gt;D153,1,0)+IF(D153&gt;C153,1,0)</f>
        <v>1</v>
      </c>
      <c r="F38" s="179"/>
      <c r="G38" s="160">
        <f>IF(D38="高",6,IF(D38="中",4,2))+E38+1</f>
        <v>8</v>
      </c>
    </row>
    <row r="39" spans="1:14" x14ac:dyDescent="0.25">
      <c r="A39" s="142" t="s">
        <v>46</v>
      </c>
      <c r="B39" s="181">
        <f>AVERAGE(C165:F165)</f>
        <v>34.982500000000002</v>
      </c>
      <c r="C39" s="181">
        <f>STDEV(C165:F165)</f>
        <v>1.7881345027709736</v>
      </c>
      <c r="D39" s="76" t="str">
        <f>IF(C39/B39&lt;15%,"高",IF(C39/B39&lt;30%,"中","低"))</f>
        <v>高</v>
      </c>
      <c r="E39" s="107">
        <f>IF(F165&gt;E165,1,0)+IF(E165&gt;D165,1,0)+IF(D165&gt;C165,1,0)</f>
        <v>1</v>
      </c>
      <c r="F39" s="182"/>
      <c r="G39" s="160">
        <f>IF(D39="高",6,IF(D39="中",4,2))+E39+1</f>
        <v>8</v>
      </c>
    </row>
    <row r="40" spans="1:14" x14ac:dyDescent="0.25">
      <c r="A40" s="164" t="s">
        <v>14</v>
      </c>
      <c r="B40" s="183">
        <f>AVERAGE(B69:E69)</f>
        <v>8.379999999999999</v>
      </c>
      <c r="C40" s="183">
        <f>STDEV(B69:E69)</f>
        <v>1.246301194200941</v>
      </c>
      <c r="D40" s="76" t="str">
        <f>IF(C40/B40&lt;15%,"高",IF(C40/B40&lt;30%,"中","低"))</f>
        <v>高</v>
      </c>
      <c r="E40" s="107">
        <f>IF(E69&gt;D69,1,0)+IF(D69&gt;C69,1,0)+IF(C69&gt;B69,1,0)</f>
        <v>3</v>
      </c>
      <c r="G40" s="160">
        <f>IF(D40="高",6,IF(D40="中",4,2))+E40+1</f>
        <v>10</v>
      </c>
    </row>
    <row r="41" spans="1:14" x14ac:dyDescent="0.25">
      <c r="A41" s="135"/>
      <c r="B41" s="135"/>
      <c r="C41" s="135"/>
      <c r="D41" s="135"/>
      <c r="E41" s="135"/>
    </row>
    <row r="42" spans="1:14" x14ac:dyDescent="0.25">
      <c r="A42" s="135"/>
      <c r="B42" s="135"/>
      <c r="C42" s="135"/>
      <c r="D42" s="135"/>
      <c r="E42" s="135"/>
    </row>
    <row r="43" spans="1:14" x14ac:dyDescent="0.25">
      <c r="A43" s="184" t="s">
        <v>250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</row>
    <row r="44" spans="1:14" x14ac:dyDescent="0.25">
      <c r="A44" s="86" t="s">
        <v>128</v>
      </c>
      <c r="B44" s="186">
        <f>(B46-B49)/B49</f>
        <v>-1.4218009478672893E-2</v>
      </c>
      <c r="C44" s="186">
        <f>(C46-C49)/C49</f>
        <v>-5.0632911392405104E-2</v>
      </c>
      <c r="D44" s="186">
        <f>(D46-D49)/D49</f>
        <v>-0.14634146341463411</v>
      </c>
      <c r="E44" s="186">
        <f>(E46-E49)/E49</f>
        <v>0.20242914979757085</v>
      </c>
      <c r="G44" s="86" t="s">
        <v>175</v>
      </c>
      <c r="H44" s="186">
        <f>(H47-H50)/H50</f>
        <v>-0.32251720747295964</v>
      </c>
      <c r="I44" s="186">
        <f>(I47-I50)/I50</f>
        <v>-0.33591613491340022</v>
      </c>
      <c r="J44" s="186">
        <f>(J47-J50)/J50</f>
        <v>-0.21422261484098945</v>
      </c>
      <c r="K44" s="186">
        <f>(K47-K50)/K50</f>
        <v>-0.10804490177736194</v>
      </c>
    </row>
    <row r="45" spans="1:14" x14ac:dyDescent="0.25">
      <c r="A45" s="87"/>
      <c r="B45" s="187">
        <f>$C$1</f>
        <v>20173</v>
      </c>
      <c r="C45" s="187">
        <f>IF(B45-ROUNDDOWN(B45/10,0)*10=1,(ROUNDDOWN(B45/10,0)-1)*10+4,B45-1)</f>
        <v>20172</v>
      </c>
      <c r="D45" s="187">
        <f>IF(C45-ROUNDDOWN(C45/10,0)*10=1,(ROUNDDOWN(C45/10,0)-1)*10+4,C45-1)</f>
        <v>20171</v>
      </c>
      <c r="E45" s="187">
        <f>IF(D45-ROUNDDOWN(D45/10,0)*10=1,(ROUNDDOWN(D45/10,0)-1)*10+4,D45-1)</f>
        <v>20164</v>
      </c>
      <c r="G45" s="135"/>
      <c r="H45" s="187">
        <f>$C$1</f>
        <v>20173</v>
      </c>
      <c r="I45" s="187">
        <f>IF(H45-ROUNDDOWN(H45/10,0)*10=1,(ROUNDDOWN(H45/10,0)-1)*10+4,H45-1)</f>
        <v>20172</v>
      </c>
      <c r="J45" s="187">
        <f>IF(I45-ROUNDDOWN(I45/10,0)*10=1,(ROUNDDOWN(I45/10,0)-1)*10+4,I45-1)</f>
        <v>20171</v>
      </c>
      <c r="K45" s="187">
        <f>IF(J45-ROUNDDOWN(J45/10,0)*10=1,(ROUNDDOWN(J45/10,0)-1)*10+4,J45-1)</f>
        <v>20164</v>
      </c>
    </row>
    <row r="46" spans="1:14" x14ac:dyDescent="0.25">
      <c r="A46" s="188" t="s">
        <v>162</v>
      </c>
      <c r="B46" s="152">
        <f>HLOOKUP(B45,$81:$82,2,FALSE)</f>
        <v>2.08</v>
      </c>
      <c r="C46" s="152">
        <f>HLOOKUP(C45,$81:$82,2,FALSE)</f>
        <v>2.25</v>
      </c>
      <c r="D46" s="152">
        <f>HLOOKUP(D45,$81:$82,2,FALSE)</f>
        <v>2.1</v>
      </c>
      <c r="E46" s="152">
        <f>HLOOKUP(E45,$81:$82,2,FALSE)</f>
        <v>2.97</v>
      </c>
      <c r="G46" s="86" t="s">
        <v>164</v>
      </c>
      <c r="H46" s="145">
        <f>HLOOKUP(H45,$145:$147,2,FALSE)/100</f>
        <v>0.34100000000000003</v>
      </c>
      <c r="I46" s="145">
        <f>HLOOKUP(I45,$145:$147,2,FALSE)/100</f>
        <v>0.33529999999999999</v>
      </c>
      <c r="J46" s="145">
        <f>HLOOKUP(J45,$145:$147,2,FALSE)/100</f>
        <v>0.36719999999999997</v>
      </c>
      <c r="K46" s="145">
        <f>HLOOKUP(K45,$145:$147,2,FALSE)/100</f>
        <v>0.36780000000000002</v>
      </c>
    </row>
    <row r="47" spans="1:14" x14ac:dyDescent="0.25">
      <c r="A47" s="188" t="s">
        <v>165</v>
      </c>
      <c r="B47" s="189">
        <f>HLOOKUP(B45,$157:$159,3,FALSE)</f>
        <v>6.87</v>
      </c>
      <c r="C47" s="189">
        <f>HLOOKUP(C45,$157:$159,3,FALSE)</f>
        <v>7.3</v>
      </c>
      <c r="D47" s="189">
        <f>HLOOKUP(D45,$157:$159,3,FALSE)</f>
        <v>6.62</v>
      </c>
      <c r="E47" s="189">
        <f>HLOOKUP(E45,$157:$159,3,FALSE)</f>
        <v>10.11</v>
      </c>
      <c r="G47" s="190" t="s">
        <v>166</v>
      </c>
      <c r="H47" s="145">
        <f>HLOOKUP(H45,$145:$147,3,FALSE)/100</f>
        <v>0.13780000000000001</v>
      </c>
      <c r="I47" s="145">
        <f>HLOOKUP(I45,$145:$147,3,FALSE)/100</f>
        <v>0.1457</v>
      </c>
      <c r="J47" s="145">
        <f>HLOOKUP(J45,$145:$147,3,FALSE)/100</f>
        <v>0.1779</v>
      </c>
      <c r="K47" s="145">
        <f>HLOOKUP(K45,$145:$147,3,FALSE)/100</f>
        <v>0.19070000000000001</v>
      </c>
    </row>
    <row r="48" spans="1:14" x14ac:dyDescent="0.25">
      <c r="A48" s="191"/>
      <c r="B48" s="187">
        <f>B45-10</f>
        <v>20163</v>
      </c>
      <c r="C48" s="187">
        <f>C45-10</f>
        <v>20162</v>
      </c>
      <c r="D48" s="187">
        <f>D45-10</f>
        <v>20161</v>
      </c>
      <c r="E48" s="187">
        <f>E45-10</f>
        <v>20154</v>
      </c>
      <c r="G48" s="135"/>
      <c r="H48" s="187">
        <f>H45-10</f>
        <v>20163</v>
      </c>
      <c r="I48" s="187">
        <f>I45-10</f>
        <v>20162</v>
      </c>
      <c r="J48" s="187">
        <f>J45-10</f>
        <v>20161</v>
      </c>
      <c r="K48" s="187">
        <f>K45-10</f>
        <v>20154</v>
      </c>
    </row>
    <row r="49" spans="1:15" x14ac:dyDescent="0.25">
      <c r="A49" s="188" t="s">
        <v>162</v>
      </c>
      <c r="B49" s="152">
        <f>HLOOKUP(B48,$81:$82,2,FALSE)</f>
        <v>2.11</v>
      </c>
      <c r="C49" s="152">
        <f>HLOOKUP(C48,$81:$82,2,FALSE)</f>
        <v>2.37</v>
      </c>
      <c r="D49" s="152">
        <f>HLOOKUP(D48,$81:$82,2,FALSE)</f>
        <v>2.46</v>
      </c>
      <c r="E49" s="152">
        <f>HLOOKUP(E48,$81:$82,2,FALSE)</f>
        <v>2.4700000000000002</v>
      </c>
      <c r="G49" s="86" t="s">
        <v>164</v>
      </c>
      <c r="H49" s="145">
        <f>HLOOKUP(H48,$145:$147,2,FALSE)/100</f>
        <v>0.38170000000000004</v>
      </c>
      <c r="I49" s="145">
        <f>HLOOKUP(I48,$145:$147,2,FALSE)/100</f>
        <v>0.41409999999999997</v>
      </c>
      <c r="J49" s="145">
        <f>HLOOKUP(J48,$145:$147,2,FALSE)/100</f>
        <v>0.40840000000000004</v>
      </c>
      <c r="K49" s="145">
        <f>HLOOKUP(K48,$145:$147,2,FALSE)/100</f>
        <v>0.42219999999999996</v>
      </c>
    </row>
    <row r="50" spans="1:15" x14ac:dyDescent="0.25">
      <c r="A50" s="188" t="s">
        <v>165</v>
      </c>
      <c r="B50" s="189">
        <f>HLOOKUP(B48,$157:$159,3,FALSE)</f>
        <v>7.75</v>
      </c>
      <c r="C50" s="189">
        <f>HLOOKUP(C48,$157:$159,3,FALSE)</f>
        <v>8.43</v>
      </c>
      <c r="D50" s="189">
        <f>HLOOKUP(D48,$157:$159,3,FALSE)</f>
        <v>8.6</v>
      </c>
      <c r="E50" s="189">
        <f>HLOOKUP(E48,$157:$159,3,FALSE)</f>
        <v>9.36</v>
      </c>
      <c r="G50" s="190" t="s">
        <v>166</v>
      </c>
      <c r="H50" s="145">
        <f>HLOOKUP(H48,$145:$147,3,FALSE)/100</f>
        <v>0.2034</v>
      </c>
      <c r="I50" s="145">
        <f>HLOOKUP(I48,$145:$147,3,FALSE)/100</f>
        <v>0.21940000000000001</v>
      </c>
      <c r="J50" s="145">
        <f>HLOOKUP(J48,$145:$147,3,FALSE)/100</f>
        <v>0.22640000000000002</v>
      </c>
      <c r="K50" s="145">
        <f>HLOOKUP(K48,$145:$147,3,FALSE)/100</f>
        <v>0.21379999999999999</v>
      </c>
    </row>
    <row r="51" spans="1:15" x14ac:dyDescent="0.25">
      <c r="A51" s="86" t="s">
        <v>351</v>
      </c>
      <c r="B51" s="186">
        <f>(B47-B50)/B50</f>
        <v>-0.11354838709677419</v>
      </c>
      <c r="C51" s="186">
        <f>(C47-C50)/C50</f>
        <v>-0.13404507710557531</v>
      </c>
      <c r="D51" s="186">
        <f>(D47-D50)/D50</f>
        <v>-0.23023255813953483</v>
      </c>
      <c r="E51" s="186">
        <f>(E47-E50)/E50</f>
        <v>8.0128205128205135E-2</v>
      </c>
      <c r="G51" s="235" t="s">
        <v>174</v>
      </c>
      <c r="H51" s="186">
        <f>(H46-H49)/H49</f>
        <v>-0.10662824207492798</v>
      </c>
      <c r="I51" s="186">
        <f>(I46-I49)/I49</f>
        <v>-0.19029219995170246</v>
      </c>
      <c r="J51" s="186">
        <f>(J46-J49)/J49</f>
        <v>-0.10088148873653298</v>
      </c>
      <c r="K51" s="186">
        <f>(K46-K49)/K49</f>
        <v>-0.1288488867835148</v>
      </c>
    </row>
    <row r="52" spans="1:15" x14ac:dyDescent="0.25">
      <c r="A52" s="183" t="s">
        <v>190</v>
      </c>
      <c r="B52" s="192">
        <f>B45</f>
        <v>20173</v>
      </c>
      <c r="C52" s="192">
        <f>IF(B52-ROUNDDOWN(B52/10,0)*10=4,(ROUNDDOWN(B52/10,0)+1)*10+1,B52+1)</f>
        <v>20174</v>
      </c>
      <c r="D52" s="192">
        <f>IF(C52-ROUNDDOWN(C52/10,0)*10=4,(ROUNDDOWN(C52/10,0)+1)*10+1,C52+1)</f>
        <v>20181</v>
      </c>
      <c r="E52" s="192">
        <f>IF(D52-ROUNDDOWN(D52/10,0)*10=4,(ROUNDDOWN(D52/10,0)+1)*10+1,D52+1)</f>
        <v>20182</v>
      </c>
    </row>
    <row r="53" spans="1:15" x14ac:dyDescent="0.25">
      <c r="A53" s="193">
        <f>SUM(B53:E53)</f>
        <v>10.604853937469798</v>
      </c>
      <c r="B53" s="193">
        <f>B46</f>
        <v>2.08</v>
      </c>
      <c r="C53" s="193">
        <f>E46/HLOOKUP(E45,$87:$94,5,FALSE)*HLOOKUP(E45,$87:$94,4,FALSE)*($B$25/HLOOKUP(E45,$87:$94,4,FALSE)+SUM($B$57:$D$57)/SUM($B58:$D$58)*$G$69/100/K46)</f>
        <v>3.178467179552066</v>
      </c>
      <c r="D53" s="193">
        <f>D46/HLOOKUP(D45,$87:$94,5,FALSE)*HLOOKUP(D45,$87:$94,4,FALSE)*($B$25/HLOOKUP(D45,$87:$94,4,FALSE)+SUM($B$57:$D$57)/SUM($B58:$D$58)*$G$69/100/J46)</f>
        <v>2.8728027686935498</v>
      </c>
      <c r="E53" s="193">
        <f>C46/HLOOKUP(C45,$87:$94,5,FALSE)*HLOOKUP(C45,$87:$94,4,FALSE)*($B$25/HLOOKUP(C45,$87:$94,4,FALSE)+SUM($B$57:$D$57)/SUM($B58:$D$58)*$G$69/100/I46)</f>
        <v>2.4735839892241809</v>
      </c>
    </row>
    <row r="54" spans="1:15" x14ac:dyDescent="0.25">
      <c r="A54" s="278">
        <f>SUM(B54:E54)</f>
        <v>9.43</v>
      </c>
      <c r="B54" s="277">
        <f t="shared" ref="B54:D54" si="0">HLOOKUP(B52-10,81:82,2,FALSE)</f>
        <v>2.11</v>
      </c>
      <c r="C54" s="277">
        <f t="shared" si="0"/>
        <v>2.97</v>
      </c>
      <c r="D54" s="277">
        <f t="shared" si="0"/>
        <v>2.1</v>
      </c>
      <c r="E54" s="277">
        <f>HLOOKUP(E52-10,81:82,2,FALSE)</f>
        <v>2.25</v>
      </c>
    </row>
    <row r="55" spans="1:15" x14ac:dyDescent="0.25">
      <c r="A55" s="184" t="s">
        <v>251</v>
      </c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</row>
    <row r="56" spans="1:15" x14ac:dyDescent="0.25">
      <c r="A56" s="123"/>
      <c r="B56" s="194">
        <f>$D$1</f>
        <v>201710</v>
      </c>
      <c r="C56" s="194">
        <f>IF(B56-ROUNDDOWN(B56/100,0)*100-1=0,(ROUNDDOWN(B56/100,0)-1)*100+12,B56-1)</f>
        <v>201709</v>
      </c>
      <c r="D56" s="194">
        <f>IF(C56-ROUNDDOWN(C56/100,0)*100-1=0,(ROUNDDOWN(C56/100,0)-1)*100+12,C56-1)</f>
        <v>201708</v>
      </c>
      <c r="E56" s="194">
        <f>IF(D56-ROUNDDOWN(D56/100,0)*100-1=0,(ROUNDDOWN(D56/100,0)-1)*100+12,D56-1)</f>
        <v>201707</v>
      </c>
      <c r="F56" s="194">
        <f>IF(E56-ROUNDDOWN(E56/100,0)*100-1=0,(ROUNDDOWN(E56/100,0)-1)*100+12,E56-1)</f>
        <v>201706</v>
      </c>
      <c r="G56" s="194">
        <f t="shared" ref="G56:M56" si="1">IF(F56-ROUNDDOWN(F56/100,0)*100-1=0,(ROUNDDOWN(F56/100,0)-1)*100+12,F56-1)</f>
        <v>201705</v>
      </c>
      <c r="H56" s="194">
        <f t="shared" si="1"/>
        <v>201704</v>
      </c>
      <c r="I56" s="194">
        <f t="shared" si="1"/>
        <v>201703</v>
      </c>
      <c r="J56" s="194">
        <f t="shared" si="1"/>
        <v>201702</v>
      </c>
      <c r="K56" s="194">
        <f t="shared" si="1"/>
        <v>201701</v>
      </c>
      <c r="L56" s="194">
        <f t="shared" si="1"/>
        <v>201612</v>
      </c>
      <c r="M56" s="194">
        <f t="shared" si="1"/>
        <v>201611</v>
      </c>
      <c r="N56" s="138"/>
    </row>
    <row r="57" spans="1:15" x14ac:dyDescent="0.25">
      <c r="A57" s="195" t="s">
        <v>252</v>
      </c>
      <c r="B57" s="196">
        <f>HLOOKUP(B56,78:79,2,FALSE)</f>
        <v>495577</v>
      </c>
      <c r="C57" s="196">
        <f>HLOOKUP(C56,78:79,2,FALSE)</f>
        <v>483953</v>
      </c>
      <c r="D57" s="196">
        <f>HLOOKUP(D56,78:79,2,FALSE)</f>
        <v>455580</v>
      </c>
      <c r="E57" s="196">
        <f>HLOOKUP(E56,78:79,2,FALSE)</f>
        <v>382376</v>
      </c>
      <c r="F57" s="196">
        <f>HLOOKUP(F56,78:79,2,FALSE)</f>
        <v>472757</v>
      </c>
      <c r="G57" s="196">
        <f t="shared" ref="G57:M57" si="2">HLOOKUP(G56,78:79,2,FALSE)</f>
        <v>439918</v>
      </c>
      <c r="H57" s="196">
        <f t="shared" si="2"/>
        <v>451267</v>
      </c>
      <c r="I57" s="196">
        <f t="shared" si="2"/>
        <v>456036</v>
      </c>
      <c r="J57" s="196">
        <f t="shared" si="2"/>
        <v>393186</v>
      </c>
      <c r="K57" s="196">
        <f t="shared" si="2"/>
        <v>422769</v>
      </c>
      <c r="L57" s="196">
        <f t="shared" si="2"/>
        <v>453466</v>
      </c>
      <c r="M57" s="196">
        <f t="shared" si="2"/>
        <v>411559</v>
      </c>
      <c r="N57" s="197"/>
    </row>
    <row r="58" spans="1:15" x14ac:dyDescent="0.25">
      <c r="A58" s="198" t="s">
        <v>253</v>
      </c>
      <c r="B58" s="196">
        <f>HLOOKUP(B56-100,78:79,2,FALSE)</f>
        <v>402256</v>
      </c>
      <c r="C58" s="196">
        <f>HLOOKUP(C56-100,78:79,2,FALSE)</f>
        <v>409932</v>
      </c>
      <c r="D58" s="196">
        <f>HLOOKUP(D56-100,78:79,2,FALSE)</f>
        <v>365354</v>
      </c>
      <c r="E58" s="196">
        <f>HLOOKUP(E56-100,78:79,2,FALSE)</f>
        <v>357193</v>
      </c>
      <c r="F58" s="196">
        <f>HLOOKUP(F56-100,78:79,2,FALSE)</f>
        <v>381442</v>
      </c>
      <c r="G58" s="196">
        <f t="shared" ref="G58:M58" si="3">HLOOKUP(G56-100,78:79,2,FALSE)</f>
        <v>314120</v>
      </c>
      <c r="H58" s="196">
        <f t="shared" si="3"/>
        <v>386621</v>
      </c>
      <c r="I58" s="196">
        <f t="shared" si="3"/>
        <v>414938</v>
      </c>
      <c r="J58" s="196">
        <f t="shared" si="3"/>
        <v>293943</v>
      </c>
      <c r="K58" s="196">
        <f t="shared" si="3"/>
        <v>340061</v>
      </c>
      <c r="L58" s="196">
        <f t="shared" si="3"/>
        <v>356608</v>
      </c>
      <c r="M58" s="196">
        <f t="shared" si="3"/>
        <v>331642</v>
      </c>
      <c r="N58" s="197"/>
    </row>
    <row r="59" spans="1:15" x14ac:dyDescent="0.25">
      <c r="A59" s="199" t="s">
        <v>254</v>
      </c>
      <c r="B59" s="165">
        <f>IF(B57&lt;&gt;"",(B57-B58)/B58,"")</f>
        <v>0.23199405353804542</v>
      </c>
      <c r="C59" s="165">
        <f>IF(C57&lt;&gt;"",(C57-C58)/C58,"")</f>
        <v>0.18056897241493711</v>
      </c>
      <c r="D59" s="165">
        <f>IF(D57&lt;&gt;"",(D57-D58)/D58,"")</f>
        <v>0.24695500801961934</v>
      </c>
      <c r="E59" s="165">
        <f>IF(E57&lt;&gt;"",(E57-E58)/E58,"")</f>
        <v>7.0502501448796592E-2</v>
      </c>
      <c r="F59" s="165">
        <f>IF(F57&lt;&gt;"",(F57-F58)/F58,"")</f>
        <v>0.23939419361265932</v>
      </c>
      <c r="G59" s="165">
        <f t="shared" ref="G59:M59" si="4">IF(G57&lt;&gt;"",(G57-G58)/G58,"")</f>
        <v>0.40047752451292501</v>
      </c>
      <c r="H59" s="165">
        <f t="shared" si="4"/>
        <v>0.16720767883793172</v>
      </c>
      <c r="I59" s="165">
        <f t="shared" si="4"/>
        <v>9.9046122553248919E-2</v>
      </c>
      <c r="J59" s="165">
        <f t="shared" si="4"/>
        <v>0.33762668272420165</v>
      </c>
      <c r="K59" s="165">
        <f t="shared" si="4"/>
        <v>0.24321518786335392</v>
      </c>
      <c r="L59" s="165">
        <f t="shared" si="4"/>
        <v>0.27160916188083273</v>
      </c>
      <c r="M59" s="165">
        <f t="shared" si="4"/>
        <v>0.24097370055662432</v>
      </c>
    </row>
    <row r="60" spans="1:15" x14ac:dyDescent="0.25">
      <c r="A60" s="195" t="s">
        <v>255</v>
      </c>
      <c r="B60" s="196">
        <f>SUM(B57:M57)</f>
        <v>5318444</v>
      </c>
    </row>
    <row r="61" spans="1:15" x14ac:dyDescent="0.25">
      <c r="A61" s="198" t="s">
        <v>256</v>
      </c>
      <c r="B61" s="196">
        <f>SUM(B58:M58)</f>
        <v>4354110</v>
      </c>
      <c r="D61" s="96" t="s">
        <v>185</v>
      </c>
      <c r="E61" s="174" t="s">
        <v>51</v>
      </c>
      <c r="G61" s="96" t="s">
        <v>189</v>
      </c>
      <c r="H61" s="174" t="s">
        <v>51</v>
      </c>
      <c r="J61" s="96" t="s">
        <v>257</v>
      </c>
      <c r="K61" s="174" t="s">
        <v>51</v>
      </c>
      <c r="M61" s="96" t="s">
        <v>258</v>
      </c>
      <c r="N61" s="174" t="s">
        <v>51</v>
      </c>
    </row>
    <row r="62" spans="1:15" x14ac:dyDescent="0.25">
      <c r="A62" s="123" t="s">
        <v>259</v>
      </c>
      <c r="B62" s="174">
        <f>B60/B61</f>
        <v>1.221476719697022</v>
      </c>
      <c r="D62" s="152">
        <f>SUM(B46:E46)</f>
        <v>9.4</v>
      </c>
      <c r="E62" s="152">
        <f>SUM(B49:E49)</f>
        <v>9.41</v>
      </c>
      <c r="G62" s="126">
        <f>SUM(B47:E47)</f>
        <v>30.9</v>
      </c>
      <c r="H62" s="126">
        <f>SUM(B50:E50)</f>
        <v>34.14</v>
      </c>
      <c r="J62" s="200">
        <f>AVERAGE(H46:K46)</f>
        <v>0.35282499999999994</v>
      </c>
      <c r="K62" s="200">
        <f>AVERAGE(H49:K49)</f>
        <v>0.40660000000000002</v>
      </c>
      <c r="M62" s="200">
        <f>AVERAGE(H47:K47)</f>
        <v>0.163025</v>
      </c>
      <c r="N62" s="200">
        <f>AVERAGE(H50:K50)</f>
        <v>0.21575</v>
      </c>
    </row>
    <row r="64" spans="1:15" x14ac:dyDescent="0.25">
      <c r="A64" s="201"/>
      <c r="B64" s="202">
        <f>$B$1-4</f>
        <v>2013</v>
      </c>
      <c r="C64" s="202">
        <f>$B$1-3</f>
        <v>2014</v>
      </c>
      <c r="D64" s="202">
        <f>$B$1-2</f>
        <v>2015</v>
      </c>
      <c r="E64" s="202">
        <f>$B$1-1</f>
        <v>2016</v>
      </c>
      <c r="F64" s="202">
        <f>$B$1</f>
        <v>2017</v>
      </c>
      <c r="G64" s="87" t="s">
        <v>251</v>
      </c>
      <c r="H64" s="203"/>
      <c r="I64" s="202">
        <f>$B$1-4</f>
        <v>2013</v>
      </c>
      <c r="J64" s="202">
        <f>$B$1-3</f>
        <v>2014</v>
      </c>
      <c r="K64" s="202">
        <f>$B$1-2</f>
        <v>2015</v>
      </c>
      <c r="L64" s="202">
        <f>$B$1-1</f>
        <v>2016</v>
      </c>
      <c r="M64" s="202">
        <f>$B$1</f>
        <v>2017</v>
      </c>
      <c r="N64" s="95" t="str">
        <f>L64&amp;"業外損益"</f>
        <v>2016業外損益</v>
      </c>
      <c r="O64" s="95" t="str">
        <f>M64&amp;"業外損益"</f>
        <v>2017業外損益</v>
      </c>
    </row>
    <row r="65" spans="1:71" x14ac:dyDescent="0.25">
      <c r="A65" s="204">
        <v>1</v>
      </c>
      <c r="B65" s="205">
        <f t="shared" ref="B65:E67" si="5">HLOOKUP(B$64*10+$A65,$81:$82,2,FALSE)</f>
        <v>1.38</v>
      </c>
      <c r="C65" s="205">
        <f t="shared" si="5"/>
        <v>2.39</v>
      </c>
      <c r="D65" s="205">
        <f t="shared" si="5"/>
        <v>1.34</v>
      </c>
      <c r="E65" s="205">
        <f t="shared" si="5"/>
        <v>2.46</v>
      </c>
      <c r="F65" s="206">
        <f>IF(ISNA(HLOOKUP(F$64*10+$A65,$81:$82,2,FALSE)),(HLOOKUP(E$64*10+$A65,$87:$94,4,FALSE)*$G65+$B$25)/HLOOKUP(E$64*10+$A65,$87:$94,5,FALSE)*$E65,HLOOKUP(F$64*10+$A65,$81:$82,2,FALSE))</f>
        <v>2.1</v>
      </c>
      <c r="G65" s="101">
        <f>MIN(130%,SUM($B$57:$D$57)/SUM($B$58:$D$58)*$G$69/HLOOKUP(E$64*10+$A65,$145:$146,2,FALSE))</f>
        <v>0.99741763403454298</v>
      </c>
      <c r="H65" s="204">
        <v>1</v>
      </c>
      <c r="I65" s="208">
        <f t="shared" ref="I65:M68" si="6">IF(ISNA(HLOOKUP(I$64*10+$H65,$145:$147,3,FALSE)),"",HLOOKUP(I$64*10+$H65,$145:$147,3,FALSE)/100)</f>
        <v>0.20250000000000001</v>
      </c>
      <c r="J65" s="208">
        <f t="shared" si="6"/>
        <v>0.2419</v>
      </c>
      <c r="K65" s="208">
        <f t="shared" si="6"/>
        <v>0.18230000000000002</v>
      </c>
      <c r="L65" s="208">
        <f t="shared" si="6"/>
        <v>0.22640000000000002</v>
      </c>
      <c r="M65" s="209">
        <f t="shared" si="6"/>
        <v>0.1779</v>
      </c>
      <c r="N65" s="256">
        <f t="shared" ref="N65:O68" si="7">HLOOKUP(E$64*10+$A65,$87:$94,8,FALSE)</f>
        <v>-9299</v>
      </c>
      <c r="O65" s="256">
        <f t="shared" si="7"/>
        <v>-39513</v>
      </c>
      <c r="P65" s="210"/>
    </row>
    <row r="66" spans="1:71" x14ac:dyDescent="0.25">
      <c r="A66" s="204">
        <v>2</v>
      </c>
      <c r="B66" s="205">
        <f t="shared" si="5"/>
        <v>1.69</v>
      </c>
      <c r="C66" s="205">
        <f t="shared" si="5"/>
        <v>1.81</v>
      </c>
      <c r="D66" s="205">
        <f t="shared" si="5"/>
        <v>2.3199999999999998</v>
      </c>
      <c r="E66" s="205">
        <f t="shared" si="5"/>
        <v>2.37</v>
      </c>
      <c r="F66" s="206">
        <f>IF(ISNA(HLOOKUP(F$64*10+$A66,$81:$82,2,FALSE)),(HLOOKUP(E$64*10+$A66,$87:$94,4,FALSE)*$G66+$B$25)/HLOOKUP(E$64*10+$A66,$87:$94,5,FALSE)*$E66,HLOOKUP(F$64*10+$A66,$81:$82,2,FALSE))</f>
        <v>2.25</v>
      </c>
      <c r="G66" s="101">
        <f>MIN(130%,SUM($B$57:$D$57)/SUM($B$58:$D$58)*$G$69/HLOOKUP(E$64*10+$A66,$145:$146,2,FALSE))</f>
        <v>0.98368838864937802</v>
      </c>
      <c r="H66" s="204">
        <v>2</v>
      </c>
      <c r="I66" s="208">
        <f t="shared" si="6"/>
        <v>0.21309999999999998</v>
      </c>
      <c r="J66" s="208">
        <f t="shared" si="6"/>
        <v>0.19399999999999998</v>
      </c>
      <c r="K66" s="208">
        <f t="shared" si="6"/>
        <v>0.24260000000000001</v>
      </c>
      <c r="L66" s="208">
        <f t="shared" si="6"/>
        <v>0.21940000000000001</v>
      </c>
      <c r="M66" s="209">
        <f t="shared" si="6"/>
        <v>0.1457</v>
      </c>
      <c r="N66" s="256">
        <f t="shared" si="7"/>
        <v>-3115</v>
      </c>
      <c r="O66" s="256">
        <f t="shared" si="7"/>
        <v>24968</v>
      </c>
      <c r="P66" s="210"/>
    </row>
    <row r="67" spans="1:71" x14ac:dyDescent="0.25">
      <c r="A67" s="204">
        <v>3</v>
      </c>
      <c r="B67" s="205">
        <f t="shared" si="5"/>
        <v>1.85</v>
      </c>
      <c r="C67" s="205">
        <f t="shared" si="5"/>
        <v>1.1499999999999999</v>
      </c>
      <c r="D67" s="205">
        <f t="shared" si="5"/>
        <v>2.65</v>
      </c>
      <c r="E67" s="205">
        <f t="shared" si="5"/>
        <v>2.11</v>
      </c>
      <c r="F67" s="206">
        <f>IF(ISNA(HLOOKUP(F$64*10+$A67,$81:$82,2,FALSE)),(HLOOKUP(E$64*10+$A67,$87:$94,4,FALSE)*$G67+$B$25)/HLOOKUP(E$64*10+$A67,$87:$94,5,FALSE)*$E67,HLOOKUP(F$64*10+$A67,$81:$82,2,FALSE))</f>
        <v>2.08</v>
      </c>
      <c r="G67" s="101">
        <f>MIN(130%,SUM($B$57:$D$57)/SUM($B$58:$D$58)*$G$69/HLOOKUP(E$64*10+$A67,$145:$146,2,FALSE))</f>
        <v>1.0671872196481722</v>
      </c>
      <c r="H67" s="204">
        <v>3</v>
      </c>
      <c r="I67" s="208">
        <f t="shared" si="6"/>
        <v>0.24249999999999999</v>
      </c>
      <c r="J67" s="208">
        <f t="shared" si="6"/>
        <v>0.1552</v>
      </c>
      <c r="K67" s="208">
        <f t="shared" si="6"/>
        <v>0.19350000000000001</v>
      </c>
      <c r="L67" s="208">
        <f t="shared" si="6"/>
        <v>0.2034</v>
      </c>
      <c r="M67" s="209">
        <f t="shared" si="6"/>
        <v>0.13780000000000001</v>
      </c>
      <c r="N67" s="256">
        <f t="shared" si="7"/>
        <v>-26648</v>
      </c>
      <c r="O67" s="256">
        <f t="shared" si="7"/>
        <v>9658</v>
      </c>
      <c r="P67" s="210"/>
    </row>
    <row r="68" spans="1:71" x14ac:dyDescent="0.25">
      <c r="A68" s="204">
        <v>4</v>
      </c>
      <c r="B68" s="205">
        <f>HLOOKUP(B$64*10+$A68,$81:$82,2,FALSE)</f>
        <v>2.11</v>
      </c>
      <c r="C68" s="205">
        <f>HLOOKUP(C$64*10+$A68,$81:$82,2,FALSE)</f>
        <v>2.4500000000000002</v>
      </c>
      <c r="D68" s="205">
        <f>HLOOKUP(D$64*10+$A68,$81:$82,2,FALSE)</f>
        <v>2.4700000000000002</v>
      </c>
      <c r="E68" s="206">
        <f>IF(ISNA(HLOOKUP(E$64*10+$A68,$81:$82,2,FALSE)),D68*(1-$N68)*#REF!*(1+$B$25)/(1+$E$4),HLOOKUP(E$64*10+$A68,$81:$82,2,FALSE))</f>
        <v>2.97</v>
      </c>
      <c r="F68" s="206">
        <f>IF(ISNA(HLOOKUP(F$64*10+$A68,$81:$82,2,FALSE)),(HLOOKUP(E$64*10+$A68,$87:$94,4,FALSE)*$G68+$B$25)/HLOOKUP(E$64*10+$A68,$87:$94,5,FALSE)*$E68,HLOOKUP(F$64*10+$A68,$81:$82,2,FALSE))</f>
        <v>3.1784671795520656</v>
      </c>
      <c r="G68" s="101">
        <f>MIN(130%,SUM($B$57:$D$57)/SUM($B$58:$D$58)*$G$69/HLOOKUP(E$64*10+$A68,$145:$146,2,FALSE))</f>
        <v>1.1075186561710368</v>
      </c>
      <c r="H68" s="204">
        <v>4</v>
      </c>
      <c r="I68" s="208">
        <f t="shared" si="6"/>
        <v>0.2351</v>
      </c>
      <c r="J68" s="208">
        <f t="shared" si="6"/>
        <v>0.21609999999999999</v>
      </c>
      <c r="K68" s="208">
        <f t="shared" si="6"/>
        <v>0.21379999999999999</v>
      </c>
      <c r="L68" s="208">
        <f t="shared" si="6"/>
        <v>0.19070000000000001</v>
      </c>
      <c r="M68" s="209" t="str">
        <f t="shared" si="6"/>
        <v/>
      </c>
      <c r="N68" s="256">
        <f t="shared" si="7"/>
        <v>12721</v>
      </c>
      <c r="O68" s="256" t="e">
        <f t="shared" si="7"/>
        <v>#N/A</v>
      </c>
    </row>
    <row r="69" spans="1:71" x14ac:dyDescent="0.25">
      <c r="A69" s="212" t="s">
        <v>162</v>
      </c>
      <c r="B69" s="213">
        <f>SUM(B65:B68)</f>
        <v>7.0299999999999994</v>
      </c>
      <c r="C69" s="213">
        <f>SUM(C65:C68)</f>
        <v>7.8</v>
      </c>
      <c r="D69" s="213">
        <f>SUM(D65:D68)</f>
        <v>8.7800000000000011</v>
      </c>
      <c r="E69" s="213">
        <f>SUM(E65:E68)</f>
        <v>9.91</v>
      </c>
      <c r="F69" s="213">
        <f>SUM(F65:F68)</f>
        <v>9.6084671795520649</v>
      </c>
      <c r="G69" s="257">
        <f>_xlfn.FORECAST.ETS(23,B146:W146,{1,2,3,4,5,6,7,8,9,10,11,12,13,14,15,16,17,18,19,20,21,22})</f>
        <v>33.423658949745906</v>
      </c>
      <c r="H69" s="214" t="s">
        <v>19</v>
      </c>
      <c r="I69" s="215">
        <f>HLOOKUP(I64,151:155,3,FALSE)/100</f>
        <v>0.22399999999999998</v>
      </c>
      <c r="J69" s="215">
        <f>HLOOKUP(J64,151:155,3,FALSE)/100</f>
        <v>0.20350000000000001</v>
      </c>
      <c r="K69" s="215">
        <f>HLOOKUP(K64,151:155,3,FALSE)/100</f>
        <v>0.20920000000000002</v>
      </c>
      <c r="L69" s="215">
        <f>IF(ISNA(HLOOKUP(L64,151:155,3,FALSE)/100),AVERAGE(L65:L68),HLOOKUP(L64,151:155,3,FALSE)/100)</f>
        <v>0.20899999999999999</v>
      </c>
      <c r="M69" s="215"/>
      <c r="N69" s="216"/>
    </row>
    <row r="70" spans="1:71" s="135" customFormat="1" x14ac:dyDescent="0.25">
      <c r="A70" s="217"/>
      <c r="B70" s="218"/>
      <c r="C70" s="218"/>
      <c r="D70" s="218"/>
      <c r="E70" s="218"/>
      <c r="F70" s="218"/>
    </row>
    <row r="71" spans="1:71" s="135" customFormat="1" x14ac:dyDescent="0.25">
      <c r="A71" s="201"/>
      <c r="B71" s="202">
        <f>$B$1-4</f>
        <v>2013</v>
      </c>
      <c r="C71" s="202">
        <f>$B$1-3</f>
        <v>2014</v>
      </c>
      <c r="D71" s="202">
        <f>$B$1-2</f>
        <v>2015</v>
      </c>
      <c r="E71" s="202">
        <f>$B$1-1</f>
        <v>2016</v>
      </c>
      <c r="F71" s="202">
        <f>$B$1</f>
        <v>2017</v>
      </c>
    </row>
    <row r="72" spans="1:71" s="135" customFormat="1" x14ac:dyDescent="0.25">
      <c r="A72" s="204">
        <v>1</v>
      </c>
      <c r="B72" s="205">
        <f t="shared" ref="B72:F75" si="8">IF(ISNA(HLOOKUP(B$71*10+$A72,$157:$159,3,FALSE)),"",HLOOKUP(B$71*10+$A72,$157:$159,3,FALSE))</f>
        <v>8.24</v>
      </c>
      <c r="C72" s="205">
        <f t="shared" si="8"/>
        <v>10.7</v>
      </c>
      <c r="D72" s="205">
        <f t="shared" si="8"/>
        <v>5.36</v>
      </c>
      <c r="E72" s="205">
        <f t="shared" si="8"/>
        <v>8.6</v>
      </c>
      <c r="F72" s="205">
        <f t="shared" si="8"/>
        <v>6.62</v>
      </c>
    </row>
    <row r="73" spans="1:71" s="135" customFormat="1" x14ac:dyDescent="0.25">
      <c r="A73" s="204">
        <v>2</v>
      </c>
      <c r="B73" s="205">
        <f t="shared" si="8"/>
        <v>9.7799999999999994</v>
      </c>
      <c r="C73" s="205">
        <f t="shared" si="8"/>
        <v>8.2899999999999991</v>
      </c>
      <c r="D73" s="205">
        <f t="shared" si="8"/>
        <v>9.69</v>
      </c>
      <c r="E73" s="205">
        <f t="shared" si="8"/>
        <v>8.43</v>
      </c>
      <c r="F73" s="205">
        <f t="shared" si="8"/>
        <v>7.3</v>
      </c>
    </row>
    <row r="74" spans="1:71" s="135" customFormat="1" x14ac:dyDescent="0.25">
      <c r="A74" s="204">
        <v>3</v>
      </c>
      <c r="B74" s="205">
        <f t="shared" si="8"/>
        <v>10.3</v>
      </c>
      <c r="C74" s="205">
        <f t="shared" si="8"/>
        <v>5.5</v>
      </c>
      <c r="D74" s="205">
        <f t="shared" si="8"/>
        <v>11.09</v>
      </c>
      <c r="E74" s="205">
        <f t="shared" si="8"/>
        <v>7.75</v>
      </c>
      <c r="F74" s="205">
        <f t="shared" si="8"/>
        <v>6.87</v>
      </c>
    </row>
    <row r="75" spans="1:71" s="135" customFormat="1" x14ac:dyDescent="0.25">
      <c r="A75" s="204">
        <v>4</v>
      </c>
      <c r="B75" s="205">
        <f t="shared" si="8"/>
        <v>10.55</v>
      </c>
      <c r="C75" s="205">
        <f t="shared" si="8"/>
        <v>10.69</v>
      </c>
      <c r="D75" s="205">
        <f t="shared" si="8"/>
        <v>9.36</v>
      </c>
      <c r="E75" s="205">
        <f t="shared" si="8"/>
        <v>10.11</v>
      </c>
      <c r="F75" s="205" t="str">
        <f t="shared" si="8"/>
        <v/>
      </c>
    </row>
    <row r="76" spans="1:71" s="135" customFormat="1" x14ac:dyDescent="0.25">
      <c r="A76" s="212" t="s">
        <v>165</v>
      </c>
      <c r="B76" s="213">
        <f>SUM(B72:B75)</f>
        <v>38.870000000000005</v>
      </c>
      <c r="C76" s="213">
        <f>SUM(C72:C75)</f>
        <v>35.18</v>
      </c>
      <c r="D76" s="213">
        <f>SUM(D72:D75)</f>
        <v>35.5</v>
      </c>
      <c r="E76" s="213">
        <f>AVERAGE(E72:E75)*4</f>
        <v>34.89</v>
      </c>
      <c r="F76" s="213"/>
    </row>
    <row r="77" spans="1:71" s="135" customFormat="1" ht="14.25" thickBot="1" x14ac:dyDescent="0.3">
      <c r="A77" s="219" t="s">
        <v>261</v>
      </c>
      <c r="B77" s="220"/>
      <c r="C77" s="220"/>
      <c r="D77" s="220"/>
      <c r="E77" s="220"/>
      <c r="F77" s="220"/>
      <c r="G77" s="221"/>
      <c r="H77" s="221"/>
      <c r="I77" s="221"/>
      <c r="J77" s="221"/>
      <c r="K77" s="221"/>
      <c r="L77" s="221"/>
      <c r="M77" s="221"/>
      <c r="N77" s="221"/>
    </row>
    <row r="78" spans="1:71" s="135" customFormat="1" ht="14.25" thickBot="1" x14ac:dyDescent="0.3">
      <c r="A78" s="217"/>
      <c r="B78" s="69">
        <v>201201</v>
      </c>
      <c r="C78" s="70">
        <v>201202</v>
      </c>
      <c r="D78" s="70">
        <v>201203</v>
      </c>
      <c r="E78" s="70">
        <v>201204</v>
      </c>
      <c r="F78" s="70">
        <v>201205</v>
      </c>
      <c r="G78" s="70">
        <v>201206</v>
      </c>
      <c r="H78" s="70">
        <v>201207</v>
      </c>
      <c r="I78" s="70">
        <v>201208</v>
      </c>
      <c r="J78" s="70">
        <v>201209</v>
      </c>
      <c r="K78" s="70">
        <v>201210</v>
      </c>
      <c r="L78" s="70">
        <v>201211</v>
      </c>
      <c r="M78" s="70">
        <v>201212</v>
      </c>
      <c r="N78" s="70">
        <v>201301</v>
      </c>
      <c r="O78" s="70">
        <v>201302</v>
      </c>
      <c r="P78" s="70">
        <v>201303</v>
      </c>
      <c r="Q78" s="70">
        <v>201304</v>
      </c>
      <c r="R78" s="70">
        <v>201305</v>
      </c>
      <c r="S78" s="70">
        <v>201306</v>
      </c>
      <c r="T78" s="70">
        <v>201307</v>
      </c>
      <c r="U78" s="70">
        <v>201308</v>
      </c>
      <c r="V78" s="70">
        <v>201309</v>
      </c>
      <c r="W78" s="70">
        <v>201310</v>
      </c>
      <c r="X78" s="70">
        <v>201311</v>
      </c>
      <c r="Y78" s="70">
        <v>201312</v>
      </c>
      <c r="Z78" s="70">
        <v>201401</v>
      </c>
      <c r="AA78" s="70">
        <v>201402</v>
      </c>
      <c r="AB78" s="70">
        <v>201403</v>
      </c>
      <c r="AC78" s="70">
        <v>201404</v>
      </c>
      <c r="AD78" s="70">
        <v>201405</v>
      </c>
      <c r="AE78" s="70">
        <v>201406</v>
      </c>
      <c r="AF78" s="70">
        <v>201407</v>
      </c>
      <c r="AG78" s="70">
        <v>201408</v>
      </c>
      <c r="AH78" s="70">
        <v>201409</v>
      </c>
      <c r="AI78" s="70">
        <v>201410</v>
      </c>
      <c r="AJ78" s="70">
        <v>201411</v>
      </c>
      <c r="AK78" s="70">
        <v>201412</v>
      </c>
      <c r="AL78" s="70">
        <v>201501</v>
      </c>
      <c r="AM78" s="70">
        <v>201502</v>
      </c>
      <c r="AN78" s="70">
        <v>201503</v>
      </c>
      <c r="AO78" s="70">
        <v>201504</v>
      </c>
      <c r="AP78" s="70">
        <v>201505</v>
      </c>
      <c r="AQ78" s="70">
        <v>201506</v>
      </c>
      <c r="AR78" s="70">
        <v>201507</v>
      </c>
      <c r="AS78" s="70">
        <v>201508</v>
      </c>
      <c r="AT78" s="70">
        <v>201509</v>
      </c>
      <c r="AU78" s="70">
        <v>201510</v>
      </c>
      <c r="AV78" s="70">
        <v>201511</v>
      </c>
      <c r="AW78" s="70">
        <v>201512</v>
      </c>
      <c r="AX78" s="70">
        <v>201601</v>
      </c>
      <c r="AY78" s="70">
        <v>201602</v>
      </c>
      <c r="AZ78" s="70">
        <v>201603</v>
      </c>
      <c r="BA78" s="70">
        <v>201604</v>
      </c>
      <c r="BB78" s="70">
        <v>201605</v>
      </c>
      <c r="BC78" s="70">
        <v>201606</v>
      </c>
      <c r="BD78" s="70">
        <v>201607</v>
      </c>
      <c r="BE78" s="70">
        <v>201608</v>
      </c>
      <c r="BF78" s="70">
        <v>201609</v>
      </c>
      <c r="BG78" s="70">
        <v>201610</v>
      </c>
      <c r="BH78" s="70">
        <v>201611</v>
      </c>
      <c r="BI78" s="70">
        <v>201612</v>
      </c>
      <c r="BJ78" s="70">
        <v>201701</v>
      </c>
      <c r="BK78" s="70">
        <v>201702</v>
      </c>
      <c r="BL78" s="70">
        <v>201703</v>
      </c>
      <c r="BM78" s="70">
        <v>201704</v>
      </c>
      <c r="BN78" s="70">
        <v>201705</v>
      </c>
      <c r="BO78" s="70">
        <v>201706</v>
      </c>
      <c r="BP78" s="70">
        <v>201707</v>
      </c>
      <c r="BQ78" s="70">
        <v>201708</v>
      </c>
      <c r="BR78" s="70">
        <v>201709</v>
      </c>
      <c r="BS78" s="71">
        <v>201710</v>
      </c>
    </row>
    <row r="79" spans="1:71" ht="14.25" thickBot="1" x14ac:dyDescent="0.3">
      <c r="A79" s="222" t="s">
        <v>9</v>
      </c>
      <c r="B79" s="270">
        <v>140389</v>
      </c>
      <c r="C79" s="270">
        <v>164980</v>
      </c>
      <c r="D79" s="270">
        <v>191235</v>
      </c>
      <c r="E79" s="270">
        <v>165497</v>
      </c>
      <c r="F79" s="270">
        <v>186260</v>
      </c>
      <c r="G79" s="270">
        <v>189289</v>
      </c>
      <c r="H79" s="270">
        <v>163115</v>
      </c>
      <c r="I79" s="270">
        <v>201960</v>
      </c>
      <c r="J79" s="270">
        <v>194800</v>
      </c>
      <c r="K79" s="270">
        <v>178960</v>
      </c>
      <c r="L79" s="270">
        <v>175438</v>
      </c>
      <c r="M79" s="270">
        <v>177068</v>
      </c>
      <c r="N79" s="270">
        <v>201785</v>
      </c>
      <c r="O79" s="270">
        <v>167967</v>
      </c>
      <c r="P79" s="270">
        <v>240746</v>
      </c>
      <c r="Q79" s="270">
        <v>243935</v>
      </c>
      <c r="R79" s="270">
        <v>238296</v>
      </c>
      <c r="S79" s="270">
        <v>193880</v>
      </c>
      <c r="T79" s="270">
        <v>198427</v>
      </c>
      <c r="U79" s="270">
        <v>256724</v>
      </c>
      <c r="V79" s="270">
        <v>228796</v>
      </c>
      <c r="W79" s="270">
        <v>250756</v>
      </c>
      <c r="X79" s="270">
        <v>252765</v>
      </c>
      <c r="Y79" s="270">
        <v>216032</v>
      </c>
      <c r="Z79" s="270">
        <v>313481</v>
      </c>
      <c r="AA79" s="270">
        <v>205503</v>
      </c>
      <c r="AB79" s="270">
        <v>292793</v>
      </c>
      <c r="AC79" s="270">
        <v>275565</v>
      </c>
      <c r="AD79" s="270">
        <v>267057</v>
      </c>
      <c r="AE79" s="270">
        <v>215244</v>
      </c>
      <c r="AF79" s="270">
        <v>227968</v>
      </c>
      <c r="AG79" s="270">
        <v>230263</v>
      </c>
      <c r="AH79" s="270">
        <v>251517</v>
      </c>
      <c r="AI79" s="270">
        <v>273727</v>
      </c>
      <c r="AJ79" s="270">
        <v>284114</v>
      </c>
      <c r="AK79" s="270">
        <v>271949</v>
      </c>
      <c r="AL79" s="270">
        <v>284990</v>
      </c>
      <c r="AM79" s="270">
        <v>251041</v>
      </c>
      <c r="AN79" s="270">
        <v>279617</v>
      </c>
      <c r="AO79" s="270">
        <v>333189</v>
      </c>
      <c r="AP79" s="270">
        <v>321941</v>
      </c>
      <c r="AQ79" s="270">
        <v>300731</v>
      </c>
      <c r="AR79" s="270">
        <v>289975</v>
      </c>
      <c r="AS79" s="270">
        <v>300810</v>
      </c>
      <c r="AT79" s="270">
        <v>347401</v>
      </c>
      <c r="AU79" s="270">
        <v>333945</v>
      </c>
      <c r="AV79" s="270">
        <v>331642</v>
      </c>
      <c r="AW79" s="270">
        <v>356608</v>
      </c>
      <c r="AX79" s="270">
        <v>340061</v>
      </c>
      <c r="AY79" s="270">
        <v>293943</v>
      </c>
      <c r="AZ79" s="270">
        <v>414938</v>
      </c>
      <c r="BA79" s="270">
        <v>386621</v>
      </c>
      <c r="BB79" s="270">
        <v>314120</v>
      </c>
      <c r="BC79" s="270">
        <v>381442</v>
      </c>
      <c r="BD79" s="270">
        <v>357193</v>
      </c>
      <c r="BE79" s="270">
        <v>365354</v>
      </c>
      <c r="BF79" s="270">
        <v>409932</v>
      </c>
      <c r="BG79" s="270">
        <v>402256</v>
      </c>
      <c r="BH79" s="270">
        <v>411559</v>
      </c>
      <c r="BI79" s="270">
        <v>453466</v>
      </c>
      <c r="BJ79" s="270">
        <v>422769</v>
      </c>
      <c r="BK79" s="270">
        <v>393186</v>
      </c>
      <c r="BL79" s="270">
        <v>456036</v>
      </c>
      <c r="BM79" s="270">
        <v>451267</v>
      </c>
      <c r="BN79" s="270">
        <v>439918</v>
      </c>
      <c r="BO79" s="270">
        <v>472757</v>
      </c>
      <c r="BP79" s="270">
        <v>382376</v>
      </c>
      <c r="BQ79" s="270">
        <v>455580</v>
      </c>
      <c r="BR79" s="270">
        <v>483953</v>
      </c>
      <c r="BS79" s="270">
        <v>495577</v>
      </c>
    </row>
    <row r="80" spans="1:71" ht="14.25" thickBot="1" x14ac:dyDescent="0.3"/>
    <row r="81" spans="1:25" ht="14.25" thickBot="1" x14ac:dyDescent="0.3">
      <c r="B81" s="69">
        <v>20121</v>
      </c>
      <c r="C81" s="70">
        <v>20122</v>
      </c>
      <c r="D81" s="70">
        <v>20123</v>
      </c>
      <c r="E81" s="70">
        <v>20124</v>
      </c>
      <c r="F81" s="70">
        <v>20131</v>
      </c>
      <c r="G81" s="70">
        <v>20132</v>
      </c>
      <c r="H81" s="70">
        <v>20133</v>
      </c>
      <c r="I81" s="70">
        <v>20134</v>
      </c>
      <c r="J81" s="70">
        <v>20141</v>
      </c>
      <c r="K81" s="70">
        <v>20142</v>
      </c>
      <c r="L81" s="70">
        <v>20143</v>
      </c>
      <c r="M81" s="70">
        <v>20144</v>
      </c>
      <c r="N81" s="70">
        <v>20151</v>
      </c>
      <c r="O81" s="70">
        <v>20152</v>
      </c>
      <c r="P81" s="70">
        <v>20153</v>
      </c>
      <c r="Q81" s="70">
        <v>20154</v>
      </c>
      <c r="R81" s="70">
        <v>20161</v>
      </c>
      <c r="S81" s="70">
        <v>20162</v>
      </c>
      <c r="T81" s="70">
        <v>20163</v>
      </c>
      <c r="U81" s="70">
        <v>20164</v>
      </c>
      <c r="V81" s="70">
        <v>20171</v>
      </c>
      <c r="W81" s="70">
        <v>20172</v>
      </c>
      <c r="X81" s="71">
        <v>20173</v>
      </c>
    </row>
    <row r="82" spans="1:25" ht="14.25" thickBot="1" x14ac:dyDescent="0.3">
      <c r="A82" s="222" t="s">
        <v>10</v>
      </c>
      <c r="B82" s="72">
        <v>1.03</v>
      </c>
      <c r="C82" s="72">
        <v>1.1200000000000001</v>
      </c>
      <c r="D82" s="72">
        <v>1.22</v>
      </c>
      <c r="E82" s="72">
        <v>0.97</v>
      </c>
      <c r="F82" s="72">
        <v>1.38</v>
      </c>
      <c r="G82" s="72">
        <v>1.69</v>
      </c>
      <c r="H82" s="72">
        <v>1.85</v>
      </c>
      <c r="I82" s="72">
        <v>2.11</v>
      </c>
      <c r="J82" s="72">
        <v>2.39</v>
      </c>
      <c r="K82" s="72">
        <v>1.81</v>
      </c>
      <c r="L82" s="72">
        <v>1.1499999999999999</v>
      </c>
      <c r="M82" s="72">
        <v>2.4500000000000002</v>
      </c>
      <c r="N82" s="72">
        <v>1.34</v>
      </c>
      <c r="O82" s="72">
        <v>2.3199999999999998</v>
      </c>
      <c r="P82" s="72">
        <v>2.65</v>
      </c>
      <c r="Q82" s="72">
        <v>2.4700000000000002</v>
      </c>
      <c r="R82" s="72">
        <v>2.46</v>
      </c>
      <c r="S82" s="72">
        <v>2.37</v>
      </c>
      <c r="T82" s="72">
        <v>2.11</v>
      </c>
      <c r="U82" s="72">
        <v>2.97</v>
      </c>
      <c r="V82" s="72">
        <v>2.1</v>
      </c>
      <c r="W82" s="72">
        <v>2.25</v>
      </c>
      <c r="X82" s="72">
        <v>2.08</v>
      </c>
    </row>
    <row r="83" spans="1:25" ht="14.25" thickBot="1" x14ac:dyDescent="0.3">
      <c r="A83" s="222"/>
      <c r="B83" s="223"/>
      <c r="C83" s="223"/>
      <c r="D83" s="223"/>
      <c r="E83" s="223"/>
      <c r="F83" s="223"/>
    </row>
    <row r="84" spans="1:25" ht="14.25" thickBot="1" x14ac:dyDescent="0.3">
      <c r="A84" s="222"/>
      <c r="B84" s="69">
        <v>20121</v>
      </c>
      <c r="C84" s="70">
        <v>20122</v>
      </c>
      <c r="D84" s="70">
        <v>20123</v>
      </c>
      <c r="E84" s="70">
        <v>20124</v>
      </c>
      <c r="F84" s="70">
        <v>20131</v>
      </c>
      <c r="G84" s="70">
        <v>20132</v>
      </c>
      <c r="H84" s="70">
        <v>20133</v>
      </c>
      <c r="I84" s="70">
        <v>20134</v>
      </c>
      <c r="J84" s="70">
        <v>20141</v>
      </c>
      <c r="K84" s="70">
        <v>20142</v>
      </c>
      <c r="L84" s="70">
        <v>20143</v>
      </c>
      <c r="M84" s="70">
        <v>20144</v>
      </c>
      <c r="N84" s="70">
        <v>20151</v>
      </c>
      <c r="O84" s="70">
        <v>20152</v>
      </c>
      <c r="P84" s="70">
        <v>20153</v>
      </c>
      <c r="Q84" s="70">
        <v>20154</v>
      </c>
      <c r="R84" s="70">
        <v>20161</v>
      </c>
      <c r="S84" s="70">
        <v>20162</v>
      </c>
      <c r="T84" s="70">
        <v>20163</v>
      </c>
      <c r="U84" s="70">
        <v>20164</v>
      </c>
      <c r="V84" s="70">
        <v>20171</v>
      </c>
      <c r="W84" s="70">
        <v>20172</v>
      </c>
      <c r="X84" s="71">
        <v>20173</v>
      </c>
    </row>
    <row r="85" spans="1:25" ht="14.25" thickBot="1" x14ac:dyDescent="0.3">
      <c r="A85" s="222" t="s">
        <v>20</v>
      </c>
      <c r="B85" s="72">
        <v>15.6</v>
      </c>
      <c r="C85" s="72">
        <v>14.26</v>
      </c>
      <c r="D85" s="72">
        <v>15.33</v>
      </c>
      <c r="E85" s="72">
        <v>16.21</v>
      </c>
      <c r="F85" s="72">
        <v>17.329999999999998</v>
      </c>
      <c r="G85" s="72">
        <v>17.13</v>
      </c>
      <c r="H85" s="72">
        <v>18.89</v>
      </c>
      <c r="I85" s="72">
        <v>21.16</v>
      </c>
      <c r="J85" s="72">
        <v>23.55</v>
      </c>
      <c r="K85" s="72">
        <v>20.21</v>
      </c>
      <c r="L85" s="72">
        <v>21.57</v>
      </c>
      <c r="M85" s="72">
        <v>24.3</v>
      </c>
      <c r="N85" s="72">
        <v>25.54</v>
      </c>
      <c r="O85" s="72">
        <v>22.31</v>
      </c>
      <c r="P85" s="72">
        <v>25.42</v>
      </c>
      <c r="Q85" s="72">
        <v>27.45</v>
      </c>
      <c r="R85" s="72">
        <v>29.83</v>
      </c>
      <c r="S85" s="72">
        <v>26.38</v>
      </c>
      <c r="T85" s="72">
        <v>28.02</v>
      </c>
      <c r="U85" s="72">
        <v>30.84</v>
      </c>
      <c r="V85" s="72">
        <v>32.479999999999997</v>
      </c>
      <c r="W85" s="72">
        <v>29.24</v>
      </c>
      <c r="X85" s="72">
        <v>31.48</v>
      </c>
    </row>
    <row r="86" spans="1:25" ht="14.25" thickBot="1" x14ac:dyDescent="0.3">
      <c r="A86" s="222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</row>
    <row r="87" spans="1:25" ht="14.25" thickBot="1" x14ac:dyDescent="0.3">
      <c r="B87" s="69">
        <v>20121</v>
      </c>
      <c r="C87" s="70">
        <v>20122</v>
      </c>
      <c r="D87" s="70">
        <v>20123</v>
      </c>
      <c r="E87" s="70">
        <v>20124</v>
      </c>
      <c r="F87" s="70">
        <v>20131</v>
      </c>
      <c r="G87" s="70">
        <v>20132</v>
      </c>
      <c r="H87" s="70">
        <v>20133</v>
      </c>
      <c r="I87" s="70">
        <v>20134</v>
      </c>
      <c r="J87" s="70">
        <v>20141</v>
      </c>
      <c r="K87" s="70">
        <v>20142</v>
      </c>
      <c r="L87" s="70">
        <v>20143</v>
      </c>
      <c r="M87" s="70">
        <v>20144</v>
      </c>
      <c r="N87" s="70">
        <v>20151</v>
      </c>
      <c r="O87" s="70">
        <v>20152</v>
      </c>
      <c r="P87" s="70">
        <v>20153</v>
      </c>
      <c r="Q87" s="70">
        <v>20154</v>
      </c>
      <c r="R87" s="70">
        <v>20161</v>
      </c>
      <c r="S87" s="70">
        <v>20162</v>
      </c>
      <c r="T87" s="70">
        <v>20163</v>
      </c>
      <c r="U87" s="70">
        <v>20164</v>
      </c>
      <c r="V87" s="70">
        <v>20171</v>
      </c>
      <c r="W87" s="70">
        <v>20172</v>
      </c>
      <c r="X87" s="71">
        <v>20173</v>
      </c>
    </row>
    <row r="88" spans="1:25" ht="14.25" thickBot="1" x14ac:dyDescent="0.3">
      <c r="A88" s="249" t="s">
        <v>3</v>
      </c>
      <c r="B88" s="273">
        <v>502365</v>
      </c>
      <c r="C88" s="273">
        <v>541747</v>
      </c>
      <c r="D88" s="273">
        <v>551370</v>
      </c>
      <c r="E88" s="273">
        <v>529030</v>
      </c>
      <c r="F88" s="273">
        <v>612788</v>
      </c>
      <c r="G88" s="273">
        <v>677700</v>
      </c>
      <c r="H88" s="273">
        <v>683366</v>
      </c>
      <c r="I88" s="273">
        <v>716414</v>
      </c>
      <c r="J88" s="273">
        <v>811933</v>
      </c>
      <c r="K88" s="273">
        <v>759272</v>
      </c>
      <c r="L88" s="273">
        <v>712269</v>
      </c>
      <c r="M88" s="273">
        <v>826716</v>
      </c>
      <c r="N88" s="273">
        <v>814982</v>
      </c>
      <c r="O88" s="273">
        <v>956281</v>
      </c>
      <c r="P88" s="273">
        <v>938963</v>
      </c>
      <c r="Q88" s="273">
        <v>1016661</v>
      </c>
      <c r="R88" s="273">
        <v>1046332</v>
      </c>
      <c r="S88" s="273">
        <v>1082814</v>
      </c>
      <c r="T88" s="273">
        <v>1135818</v>
      </c>
      <c r="U88" s="273">
        <v>1273820</v>
      </c>
      <c r="V88" s="273">
        <v>1273441</v>
      </c>
      <c r="W88" s="273">
        <v>1361294</v>
      </c>
      <c r="X88" s="273">
        <v>1320680</v>
      </c>
    </row>
    <row r="89" spans="1:25" ht="14.25" thickBot="1" x14ac:dyDescent="0.3">
      <c r="A89" s="250" t="s">
        <v>4</v>
      </c>
      <c r="B89" s="275">
        <v>182803</v>
      </c>
      <c r="C89" s="275">
        <v>211744</v>
      </c>
      <c r="D89" s="275">
        <v>227995</v>
      </c>
      <c r="E89" s="275">
        <v>202423</v>
      </c>
      <c r="F89" s="275">
        <v>239810</v>
      </c>
      <c r="G89" s="275">
        <v>269900</v>
      </c>
      <c r="H89" s="275">
        <v>305181</v>
      </c>
      <c r="I89" s="275">
        <v>314091</v>
      </c>
      <c r="J89" s="275">
        <v>336896</v>
      </c>
      <c r="K89" s="275">
        <v>301254</v>
      </c>
      <c r="L89" s="275">
        <v>278384</v>
      </c>
      <c r="M89" s="275">
        <v>351906</v>
      </c>
      <c r="N89" s="275">
        <v>304323</v>
      </c>
      <c r="O89" s="275">
        <v>404793</v>
      </c>
      <c r="P89" s="275">
        <v>379925</v>
      </c>
      <c r="Q89" s="275">
        <v>429240</v>
      </c>
      <c r="R89" s="275">
        <v>427286</v>
      </c>
      <c r="S89" s="275">
        <v>448349</v>
      </c>
      <c r="T89" s="275">
        <v>433592</v>
      </c>
      <c r="U89" s="275">
        <v>468471</v>
      </c>
      <c r="V89" s="275">
        <v>467546</v>
      </c>
      <c r="W89" s="275">
        <v>456434</v>
      </c>
      <c r="X89" s="275">
        <v>450341</v>
      </c>
    </row>
    <row r="90" spans="1:25" ht="14.25" thickBot="1" x14ac:dyDescent="0.3">
      <c r="A90" s="251" t="s">
        <v>5</v>
      </c>
      <c r="B90" s="273">
        <v>90460</v>
      </c>
      <c r="C90" s="273">
        <v>106480</v>
      </c>
      <c r="D90" s="273">
        <v>108484</v>
      </c>
      <c r="E90" s="273">
        <v>85476</v>
      </c>
      <c r="F90" s="273">
        <v>124115</v>
      </c>
      <c r="G90" s="273">
        <v>144421</v>
      </c>
      <c r="H90" s="273">
        <v>165722</v>
      </c>
      <c r="I90" s="273">
        <v>168444</v>
      </c>
      <c r="J90" s="273">
        <v>196388</v>
      </c>
      <c r="K90" s="273">
        <v>147334</v>
      </c>
      <c r="L90" s="273">
        <v>110554</v>
      </c>
      <c r="M90" s="273">
        <v>178654</v>
      </c>
      <c r="N90" s="273">
        <v>148565</v>
      </c>
      <c r="O90" s="273">
        <v>232024</v>
      </c>
      <c r="P90" s="273">
        <v>181645</v>
      </c>
      <c r="Q90" s="273">
        <v>217315</v>
      </c>
      <c r="R90" s="273">
        <v>236884</v>
      </c>
      <c r="S90" s="273">
        <v>237550</v>
      </c>
      <c r="T90" s="273">
        <v>230982</v>
      </c>
      <c r="U90" s="273">
        <v>242970</v>
      </c>
      <c r="V90" s="273">
        <v>226534</v>
      </c>
      <c r="W90" s="273">
        <v>198313</v>
      </c>
      <c r="X90" s="273">
        <v>182012</v>
      </c>
    </row>
    <row r="91" spans="1:25" ht="14.25" thickBot="1" x14ac:dyDescent="0.3">
      <c r="A91" s="250" t="s">
        <v>6</v>
      </c>
      <c r="B91" s="275">
        <v>89683</v>
      </c>
      <c r="C91" s="275">
        <v>109998</v>
      </c>
      <c r="D91" s="275">
        <v>108731</v>
      </c>
      <c r="E91" s="275">
        <v>83766</v>
      </c>
      <c r="F91" s="275">
        <v>125322</v>
      </c>
      <c r="G91" s="275">
        <v>164658</v>
      </c>
      <c r="H91" s="275">
        <v>168560</v>
      </c>
      <c r="I91" s="275">
        <v>186453</v>
      </c>
      <c r="J91" s="275">
        <v>212715</v>
      </c>
      <c r="K91" s="275">
        <v>157901</v>
      </c>
      <c r="L91" s="275">
        <v>115294</v>
      </c>
      <c r="M91" s="275">
        <v>219497</v>
      </c>
      <c r="N91" s="275">
        <v>120013</v>
      </c>
      <c r="O91" s="275">
        <v>225576</v>
      </c>
      <c r="P91" s="275">
        <v>238024</v>
      </c>
      <c r="Q91" s="275">
        <v>215639</v>
      </c>
      <c r="R91" s="275">
        <v>227585</v>
      </c>
      <c r="S91" s="275">
        <v>234435</v>
      </c>
      <c r="T91" s="275">
        <v>204334</v>
      </c>
      <c r="U91" s="275">
        <v>255691</v>
      </c>
      <c r="V91" s="275">
        <v>187021</v>
      </c>
      <c r="W91" s="275">
        <v>223281</v>
      </c>
      <c r="X91" s="275">
        <v>191670</v>
      </c>
    </row>
    <row r="92" spans="1:25" ht="14.25" thickBot="1" x14ac:dyDescent="0.3">
      <c r="A92" s="251" t="s">
        <v>7</v>
      </c>
      <c r="B92" s="273">
        <v>76155</v>
      </c>
      <c r="C92" s="273">
        <v>83054</v>
      </c>
      <c r="D92" s="273">
        <v>90703</v>
      </c>
      <c r="E92" s="273">
        <v>72470</v>
      </c>
      <c r="F92" s="273">
        <v>103537</v>
      </c>
      <c r="G92" s="273">
        <v>126250</v>
      </c>
      <c r="H92" s="273">
        <v>138934</v>
      </c>
      <c r="I92" s="273">
        <v>158312</v>
      </c>
      <c r="J92" s="273">
        <v>179158</v>
      </c>
      <c r="K92" s="273">
        <v>135907</v>
      </c>
      <c r="L92" s="273">
        <v>86109</v>
      </c>
      <c r="M92" s="273">
        <v>183598</v>
      </c>
      <c r="N92" s="273">
        <v>100106</v>
      </c>
      <c r="O92" s="273">
        <v>173647</v>
      </c>
      <c r="P92" s="273">
        <v>198223</v>
      </c>
      <c r="Q92" s="273">
        <v>185267</v>
      </c>
      <c r="R92" s="273">
        <v>184390</v>
      </c>
      <c r="S92" s="273">
        <v>177423</v>
      </c>
      <c r="T92" s="273">
        <v>157859</v>
      </c>
      <c r="U92" s="273">
        <v>222904</v>
      </c>
      <c r="V92" s="273">
        <v>156962</v>
      </c>
      <c r="W92" s="273">
        <v>168634</v>
      </c>
      <c r="X92" s="273">
        <v>156159</v>
      </c>
    </row>
    <row r="93" spans="1:25" ht="26.25" thickBot="1" x14ac:dyDescent="0.3">
      <c r="A93" s="252" t="s">
        <v>8</v>
      </c>
      <c r="B93" s="276">
        <v>76155</v>
      </c>
      <c r="C93" s="276">
        <v>83054</v>
      </c>
      <c r="D93" s="276">
        <v>90703</v>
      </c>
      <c r="E93" s="276">
        <v>72470</v>
      </c>
      <c r="F93" s="276">
        <v>103537</v>
      </c>
      <c r="G93" s="276">
        <v>126250</v>
      </c>
      <c r="H93" s="276">
        <v>138934</v>
      </c>
      <c r="I93" s="276">
        <v>158312</v>
      </c>
      <c r="J93" s="276">
        <v>179158</v>
      </c>
      <c r="K93" s="276">
        <v>135907</v>
      </c>
      <c r="L93" s="276">
        <v>86109</v>
      </c>
      <c r="M93" s="276">
        <v>183598</v>
      </c>
      <c r="N93" s="276">
        <v>100106</v>
      </c>
      <c r="O93" s="276">
        <v>173647</v>
      </c>
      <c r="P93" s="276">
        <v>198223</v>
      </c>
      <c r="Q93" s="276">
        <v>185267</v>
      </c>
      <c r="R93" s="276">
        <v>184390</v>
      </c>
      <c r="S93" s="276">
        <v>177423</v>
      </c>
      <c r="T93" s="276">
        <v>157859</v>
      </c>
      <c r="U93" s="276">
        <v>222904</v>
      </c>
      <c r="V93" s="276">
        <v>156962</v>
      </c>
      <c r="W93" s="276">
        <v>168634</v>
      </c>
      <c r="X93" s="276">
        <v>156159</v>
      </c>
    </row>
    <row r="94" spans="1:25" x14ac:dyDescent="0.25">
      <c r="A94" s="233" t="s">
        <v>365</v>
      </c>
      <c r="B94" s="253">
        <f>IF(B91="","",B91-B90)</f>
        <v>-777</v>
      </c>
      <c r="C94" s="253">
        <f>IF(C91="","",C91-C90)</f>
        <v>3518</v>
      </c>
      <c r="D94" s="253">
        <f t="shared" ref="D94:Y94" si="9">IF(D91="","",D91-D90)</f>
        <v>247</v>
      </c>
      <c r="E94" s="253">
        <f t="shared" si="9"/>
        <v>-1710</v>
      </c>
      <c r="F94" s="253">
        <f t="shared" si="9"/>
        <v>1207</v>
      </c>
      <c r="G94" s="253">
        <f t="shared" si="9"/>
        <v>20237</v>
      </c>
      <c r="H94" s="253">
        <f t="shared" si="9"/>
        <v>2838</v>
      </c>
      <c r="I94" s="253">
        <f t="shared" si="9"/>
        <v>18009</v>
      </c>
      <c r="J94" s="253">
        <f t="shared" si="9"/>
        <v>16327</v>
      </c>
      <c r="K94" s="253">
        <f t="shared" si="9"/>
        <v>10567</v>
      </c>
      <c r="L94" s="253">
        <f t="shared" si="9"/>
        <v>4740</v>
      </c>
      <c r="M94" s="253">
        <f t="shared" si="9"/>
        <v>40843</v>
      </c>
      <c r="N94" s="253">
        <f t="shared" si="9"/>
        <v>-28552</v>
      </c>
      <c r="O94" s="253">
        <f t="shared" si="9"/>
        <v>-6448</v>
      </c>
      <c r="P94" s="253">
        <f t="shared" si="9"/>
        <v>56379</v>
      </c>
      <c r="Q94" s="253">
        <f t="shared" si="9"/>
        <v>-1676</v>
      </c>
      <c r="R94" s="253">
        <f t="shared" si="9"/>
        <v>-9299</v>
      </c>
      <c r="S94" s="253">
        <f t="shared" si="9"/>
        <v>-3115</v>
      </c>
      <c r="T94" s="253">
        <f t="shared" si="9"/>
        <v>-26648</v>
      </c>
      <c r="U94" s="253">
        <f t="shared" si="9"/>
        <v>12721</v>
      </c>
      <c r="V94" s="253">
        <f t="shared" si="9"/>
        <v>-39513</v>
      </c>
      <c r="W94" s="253">
        <f t="shared" si="9"/>
        <v>24968</v>
      </c>
      <c r="X94" s="253">
        <f t="shared" si="9"/>
        <v>9658</v>
      </c>
      <c r="Y94" s="253" t="str">
        <f t="shared" si="9"/>
        <v/>
      </c>
    </row>
    <row r="95" spans="1:25" s="93" customFormat="1" ht="14.25" thickBot="1" x14ac:dyDescent="0.3">
      <c r="A95" s="230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</row>
    <row r="96" spans="1:25" ht="14.25" thickBot="1" x14ac:dyDescent="0.3">
      <c r="B96" s="69">
        <v>2012</v>
      </c>
      <c r="C96" s="70">
        <v>2013</v>
      </c>
      <c r="D96" s="70">
        <v>2014</v>
      </c>
      <c r="E96" s="70">
        <v>2015</v>
      </c>
      <c r="F96" s="71">
        <v>2016</v>
      </c>
    </row>
    <row r="97" spans="1:24" ht="14.25" thickBot="1" x14ac:dyDescent="0.3">
      <c r="A97" s="224" t="s">
        <v>3</v>
      </c>
      <c r="B97" s="273">
        <v>2124512</v>
      </c>
      <c r="C97" s="273">
        <v>2690268</v>
      </c>
      <c r="D97" s="273">
        <v>3110190</v>
      </c>
      <c r="E97" s="273">
        <v>3726887</v>
      </c>
      <c r="F97" s="273">
        <v>4538784</v>
      </c>
    </row>
    <row r="98" spans="1:24" ht="14.25" thickBot="1" x14ac:dyDescent="0.3">
      <c r="A98" s="225" t="s">
        <v>4</v>
      </c>
      <c r="B98" s="275">
        <v>824965</v>
      </c>
      <c r="C98" s="275">
        <v>1128982</v>
      </c>
      <c r="D98" s="275">
        <v>1268440</v>
      </c>
      <c r="E98" s="275">
        <v>1518281</v>
      </c>
      <c r="F98" s="275">
        <v>1777698</v>
      </c>
    </row>
    <row r="99" spans="1:24" ht="14.25" thickBot="1" x14ac:dyDescent="0.3">
      <c r="A99" s="224" t="s">
        <v>5</v>
      </c>
      <c r="B99" s="273">
        <v>390900</v>
      </c>
      <c r="C99" s="273">
        <v>602702</v>
      </c>
      <c r="D99" s="273">
        <v>632930</v>
      </c>
      <c r="E99" s="273">
        <v>779549</v>
      </c>
      <c r="F99" s="273">
        <v>948386</v>
      </c>
    </row>
    <row r="100" spans="1:24" ht="14.25" thickBot="1" x14ac:dyDescent="0.3">
      <c r="A100" s="225" t="s">
        <v>6</v>
      </c>
      <c r="B100" s="275">
        <v>392178</v>
      </c>
      <c r="C100" s="275">
        <v>644993</v>
      </c>
      <c r="D100" s="275">
        <v>705407</v>
      </c>
      <c r="E100" s="275">
        <v>799252</v>
      </c>
      <c r="F100" s="275">
        <v>922045</v>
      </c>
    </row>
    <row r="101" spans="1:24" ht="14.25" thickBot="1" x14ac:dyDescent="0.3">
      <c r="A101" s="224" t="s">
        <v>7</v>
      </c>
      <c r="B101" s="273">
        <v>322382</v>
      </c>
      <c r="C101" s="273">
        <v>527033</v>
      </c>
      <c r="D101" s="273">
        <v>584772</v>
      </c>
      <c r="E101" s="273">
        <v>657243</v>
      </c>
      <c r="F101" s="273">
        <v>742576</v>
      </c>
    </row>
    <row r="102" spans="1:24" ht="14.25" thickBot="1" x14ac:dyDescent="0.3">
      <c r="A102" s="227" t="s">
        <v>8</v>
      </c>
      <c r="B102" s="276">
        <v>322382</v>
      </c>
      <c r="C102" s="276">
        <v>527033</v>
      </c>
      <c r="D102" s="276">
        <v>584772</v>
      </c>
      <c r="E102" s="276">
        <v>657243</v>
      </c>
      <c r="F102" s="276">
        <v>742576</v>
      </c>
    </row>
    <row r="103" spans="1:24" x14ac:dyDescent="0.25">
      <c r="A103" s="233" t="s">
        <v>262</v>
      </c>
      <c r="B103" s="234">
        <f>IF(OR(B102="",B102="無"),"",B102/B101)</f>
        <v>1</v>
      </c>
      <c r="C103" s="234">
        <f>IF(OR(C102="",C102="無"),"",C102/C101)</f>
        <v>1</v>
      </c>
      <c r="D103" s="234">
        <f>IF(OR(D102="",D102="無"),"",D102/D101)</f>
        <v>1</v>
      </c>
      <c r="E103" s="234">
        <f>IF(OR(E102="",E102="無"),"",E102/E101)</f>
        <v>1</v>
      </c>
      <c r="F103" s="234">
        <f>IF(OR(F102="",F102="無"),"",F102/F101)</f>
        <v>1</v>
      </c>
    </row>
    <row r="104" spans="1:24" ht="14.25" thickBot="1" x14ac:dyDescent="0.3"/>
    <row r="105" spans="1:24" ht="14.25" thickBot="1" x14ac:dyDescent="0.3">
      <c r="B105" s="69">
        <v>20121</v>
      </c>
      <c r="C105" s="70">
        <v>20122</v>
      </c>
      <c r="D105" s="70">
        <v>20123</v>
      </c>
      <c r="E105" s="70">
        <v>20124</v>
      </c>
      <c r="F105" s="70">
        <v>20131</v>
      </c>
      <c r="G105" s="70">
        <v>20132</v>
      </c>
      <c r="H105" s="70">
        <v>20133</v>
      </c>
      <c r="I105" s="70">
        <v>20134</v>
      </c>
      <c r="J105" s="70">
        <v>20141</v>
      </c>
      <c r="K105" s="70">
        <v>20142</v>
      </c>
      <c r="L105" s="70">
        <v>20143</v>
      </c>
      <c r="M105" s="70">
        <v>20144</v>
      </c>
      <c r="N105" s="70">
        <v>20151</v>
      </c>
      <c r="O105" s="70">
        <v>20152</v>
      </c>
      <c r="P105" s="70">
        <v>20153</v>
      </c>
      <c r="Q105" s="70">
        <v>20154</v>
      </c>
      <c r="R105" s="70">
        <v>20161</v>
      </c>
      <c r="S105" s="70">
        <v>20162</v>
      </c>
      <c r="T105" s="70">
        <v>20163</v>
      </c>
      <c r="U105" s="70">
        <v>20164</v>
      </c>
      <c r="V105" s="70">
        <v>20171</v>
      </c>
      <c r="W105" s="70">
        <v>20172</v>
      </c>
      <c r="X105" s="71">
        <v>20173</v>
      </c>
    </row>
    <row r="106" spans="1:24" ht="14.25" thickBot="1" x14ac:dyDescent="0.3">
      <c r="A106" s="224" t="s">
        <v>21</v>
      </c>
      <c r="B106" s="273">
        <v>518430</v>
      </c>
      <c r="C106" s="273">
        <v>547776</v>
      </c>
      <c r="D106" s="273">
        <v>412125</v>
      </c>
      <c r="E106" s="273">
        <v>467584</v>
      </c>
      <c r="F106" s="273">
        <v>331037</v>
      </c>
      <c r="G106" s="273">
        <v>354450</v>
      </c>
      <c r="H106" s="273">
        <v>341919</v>
      </c>
      <c r="I106" s="273">
        <v>619011</v>
      </c>
      <c r="J106" s="273">
        <v>702286</v>
      </c>
      <c r="K106" s="273">
        <v>624447</v>
      </c>
      <c r="L106" s="273">
        <v>565836</v>
      </c>
      <c r="M106" s="273">
        <v>693098</v>
      </c>
      <c r="N106" s="273">
        <v>814621</v>
      </c>
      <c r="O106" s="273">
        <v>875328</v>
      </c>
      <c r="P106" s="273">
        <v>498233</v>
      </c>
      <c r="Q106" s="273">
        <v>744533</v>
      </c>
      <c r="R106" s="273">
        <v>747163</v>
      </c>
      <c r="S106" s="273">
        <v>956725</v>
      </c>
      <c r="T106" s="273">
        <v>857261</v>
      </c>
      <c r="U106" s="273">
        <v>897729</v>
      </c>
      <c r="V106" s="273">
        <v>886242</v>
      </c>
      <c r="W106" s="273">
        <v>760271</v>
      </c>
      <c r="X106" s="273">
        <v>847731</v>
      </c>
    </row>
    <row r="107" spans="1:24" ht="14.25" thickBot="1" x14ac:dyDescent="0.3">
      <c r="A107" s="225" t="s">
        <v>22</v>
      </c>
      <c r="B107" s="274">
        <v>22</v>
      </c>
      <c r="C107" s="274">
        <v>13</v>
      </c>
      <c r="D107" s="274">
        <v>527</v>
      </c>
      <c r="E107" s="274">
        <v>17</v>
      </c>
      <c r="F107" s="274">
        <v>0</v>
      </c>
      <c r="G107" s="274">
        <v>206</v>
      </c>
      <c r="H107" s="274">
        <v>0</v>
      </c>
      <c r="I107" s="274">
        <v>0</v>
      </c>
      <c r="J107" s="274">
        <v>88</v>
      </c>
      <c r="K107" s="274">
        <v>0</v>
      </c>
      <c r="L107" s="274">
        <v>0</v>
      </c>
      <c r="M107" s="274">
        <v>0</v>
      </c>
      <c r="N107" s="274">
        <v>466</v>
      </c>
      <c r="O107" s="274">
        <v>0</v>
      </c>
      <c r="P107" s="274">
        <v>0</v>
      </c>
      <c r="Q107" s="274">
        <v>0</v>
      </c>
      <c r="R107" s="275">
        <v>1629</v>
      </c>
      <c r="S107" s="274">
        <v>733</v>
      </c>
      <c r="T107" s="274">
        <v>737</v>
      </c>
      <c r="U107" s="274">
        <v>0</v>
      </c>
      <c r="V107" s="275">
        <v>1811</v>
      </c>
      <c r="W107" s="274">
        <v>0</v>
      </c>
      <c r="X107" s="274">
        <v>0</v>
      </c>
    </row>
    <row r="108" spans="1:24" ht="14.25" thickBot="1" x14ac:dyDescent="0.3">
      <c r="A108" s="224" t="s">
        <v>263</v>
      </c>
      <c r="B108" s="273">
        <v>342606</v>
      </c>
      <c r="C108" s="273">
        <v>378820</v>
      </c>
      <c r="D108" s="273">
        <v>453517</v>
      </c>
      <c r="E108" s="273">
        <v>381244</v>
      </c>
      <c r="F108" s="273">
        <v>491365</v>
      </c>
      <c r="G108" s="273">
        <v>543479</v>
      </c>
      <c r="H108" s="273">
        <v>578019</v>
      </c>
      <c r="I108" s="273">
        <v>501260</v>
      </c>
      <c r="J108" s="273">
        <v>622090</v>
      </c>
      <c r="K108" s="273">
        <v>645247</v>
      </c>
      <c r="L108" s="273">
        <v>643378</v>
      </c>
      <c r="M108" s="273">
        <v>784547</v>
      </c>
      <c r="N108" s="273">
        <v>783633</v>
      </c>
      <c r="O108" s="273">
        <v>882202</v>
      </c>
      <c r="P108" s="273">
        <v>981618</v>
      </c>
      <c r="Q108" s="273">
        <v>979211</v>
      </c>
      <c r="R108" s="273">
        <v>1099906</v>
      </c>
      <c r="S108" s="273">
        <v>976329</v>
      </c>
      <c r="T108" s="273">
        <v>997654</v>
      </c>
      <c r="U108" s="273">
        <v>1162219</v>
      </c>
      <c r="V108" s="273">
        <v>1108303</v>
      </c>
      <c r="W108" s="273">
        <v>1294667</v>
      </c>
      <c r="X108" s="273">
        <v>1176024</v>
      </c>
    </row>
    <row r="109" spans="1:24" ht="14.25" thickBot="1" x14ac:dyDescent="0.3">
      <c r="A109" s="225" t="s">
        <v>264</v>
      </c>
      <c r="B109" s="275">
        <v>284279</v>
      </c>
      <c r="C109" s="275">
        <v>282759</v>
      </c>
      <c r="D109" s="275">
        <v>333379</v>
      </c>
      <c r="E109" s="275">
        <v>334573</v>
      </c>
      <c r="F109" s="275">
        <v>365674</v>
      </c>
      <c r="G109" s="275">
        <v>341894</v>
      </c>
      <c r="H109" s="275">
        <v>392067</v>
      </c>
      <c r="I109" s="275">
        <v>466654</v>
      </c>
      <c r="J109" s="275">
        <v>482244</v>
      </c>
      <c r="K109" s="275">
        <v>413540</v>
      </c>
      <c r="L109" s="275">
        <v>478902</v>
      </c>
      <c r="M109" s="275">
        <v>516582</v>
      </c>
      <c r="N109" s="275">
        <v>548834</v>
      </c>
      <c r="O109" s="275">
        <v>546867</v>
      </c>
      <c r="P109" s="275">
        <v>582813</v>
      </c>
      <c r="Q109" s="275">
        <v>593669</v>
      </c>
      <c r="R109" s="275">
        <v>643092</v>
      </c>
      <c r="S109" s="275">
        <v>687929</v>
      </c>
      <c r="T109" s="275">
        <v>738999</v>
      </c>
      <c r="U109" s="275">
        <v>748248</v>
      </c>
      <c r="V109" s="275">
        <v>886992</v>
      </c>
      <c r="W109" s="275">
        <v>939598</v>
      </c>
      <c r="X109" s="275">
        <v>1048651</v>
      </c>
    </row>
    <row r="110" spans="1:24" ht="14.25" thickBot="1" x14ac:dyDescent="0.3">
      <c r="A110" s="224" t="s">
        <v>23</v>
      </c>
      <c r="B110" s="273">
        <v>56326</v>
      </c>
      <c r="C110" s="273">
        <v>59845</v>
      </c>
      <c r="D110" s="273">
        <v>58624</v>
      </c>
      <c r="E110" s="273">
        <v>71372</v>
      </c>
      <c r="F110" s="273">
        <v>166206</v>
      </c>
      <c r="G110" s="273">
        <v>312747</v>
      </c>
      <c r="H110" s="273">
        <v>313631</v>
      </c>
      <c r="I110" s="273">
        <v>154759</v>
      </c>
      <c r="J110" s="273">
        <v>167801</v>
      </c>
      <c r="K110" s="273">
        <v>189516</v>
      </c>
      <c r="L110" s="273">
        <v>89228</v>
      </c>
      <c r="M110" s="273">
        <v>89658</v>
      </c>
      <c r="N110" s="273">
        <v>93154</v>
      </c>
      <c r="O110" s="273">
        <v>81961</v>
      </c>
      <c r="P110" s="273">
        <v>97974</v>
      </c>
      <c r="Q110" s="273">
        <v>107182</v>
      </c>
      <c r="R110" s="273">
        <v>161351</v>
      </c>
      <c r="S110" s="273">
        <v>209152</v>
      </c>
      <c r="T110" s="273">
        <v>198497</v>
      </c>
      <c r="U110" s="273">
        <v>239975</v>
      </c>
      <c r="V110" s="273">
        <v>230850</v>
      </c>
      <c r="W110" s="273">
        <v>325924</v>
      </c>
      <c r="X110" s="273">
        <v>316153</v>
      </c>
    </row>
    <row r="111" spans="1:24" ht="14.25" thickBot="1" x14ac:dyDescent="0.3">
      <c r="A111" s="225" t="s">
        <v>24</v>
      </c>
      <c r="B111" s="275">
        <v>1201663</v>
      </c>
      <c r="C111" s="275">
        <v>1269213</v>
      </c>
      <c r="D111" s="275">
        <v>1258172</v>
      </c>
      <c r="E111" s="275">
        <v>1254790</v>
      </c>
      <c r="F111" s="275">
        <v>1354282</v>
      </c>
      <c r="G111" s="275">
        <v>1552776</v>
      </c>
      <c r="H111" s="275">
        <v>1625636</v>
      </c>
      <c r="I111" s="275">
        <v>1741684</v>
      </c>
      <c r="J111" s="275">
        <v>1974509</v>
      </c>
      <c r="K111" s="275">
        <v>1872750</v>
      </c>
      <c r="L111" s="275">
        <v>1777344</v>
      </c>
      <c r="M111" s="275">
        <v>2083885</v>
      </c>
      <c r="N111" s="275">
        <v>2240708</v>
      </c>
      <c r="O111" s="275">
        <v>2386358</v>
      </c>
      <c r="P111" s="275">
        <v>2160638</v>
      </c>
      <c r="Q111" s="275">
        <v>2424595</v>
      </c>
      <c r="R111" s="275">
        <v>2653141</v>
      </c>
      <c r="S111" s="275">
        <v>2830868</v>
      </c>
      <c r="T111" s="275">
        <v>2793148</v>
      </c>
      <c r="U111" s="275">
        <v>3048171</v>
      </c>
      <c r="V111" s="275">
        <v>3114198</v>
      </c>
      <c r="W111" s="275">
        <v>3320460</v>
      </c>
      <c r="X111" s="275">
        <v>3388559</v>
      </c>
    </row>
    <row r="112" spans="1:24" ht="14.25" thickBot="1" x14ac:dyDescent="0.3">
      <c r="A112" s="224" t="s">
        <v>25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273">
        <v>3391</v>
      </c>
      <c r="L112" s="273">
        <v>3391</v>
      </c>
      <c r="M112" s="273">
        <v>3391</v>
      </c>
      <c r="N112" s="68">
        <v>0</v>
      </c>
      <c r="O112" s="68">
        <v>0</v>
      </c>
      <c r="P112" s="68">
        <v>0</v>
      </c>
      <c r="Q112" s="68">
        <v>0</v>
      </c>
      <c r="R112" s="273">
        <v>3436</v>
      </c>
      <c r="S112" s="273">
        <v>3159</v>
      </c>
      <c r="T112" s="273">
        <v>2930</v>
      </c>
      <c r="U112" s="273">
        <v>2791</v>
      </c>
      <c r="V112" s="273">
        <v>2635</v>
      </c>
      <c r="W112" s="273">
        <v>2294</v>
      </c>
      <c r="X112" s="273">
        <v>2183</v>
      </c>
    </row>
    <row r="113" spans="1:24" ht="14.25" thickBot="1" x14ac:dyDescent="0.3">
      <c r="A113" s="225" t="s">
        <v>26</v>
      </c>
      <c r="B113" s="275">
        <v>734283</v>
      </c>
      <c r="C113" s="275">
        <v>727546</v>
      </c>
      <c r="D113" s="275">
        <v>739957</v>
      </c>
      <c r="E113" s="275">
        <v>740489</v>
      </c>
      <c r="F113" s="275">
        <v>737491</v>
      </c>
      <c r="G113" s="275">
        <v>1010148</v>
      </c>
      <c r="H113" s="275">
        <v>1071025</v>
      </c>
      <c r="I113" s="275">
        <v>1148658</v>
      </c>
      <c r="J113" s="275">
        <v>1367871</v>
      </c>
      <c r="K113" s="275">
        <v>1384661</v>
      </c>
      <c r="L113" s="275">
        <v>1397167</v>
      </c>
      <c r="M113" s="275">
        <v>1391456</v>
      </c>
      <c r="N113" s="275">
        <v>1378701</v>
      </c>
      <c r="O113" s="275">
        <v>1381268</v>
      </c>
      <c r="P113" s="275">
        <v>1426729</v>
      </c>
      <c r="Q113" s="275">
        <v>1412624</v>
      </c>
      <c r="R113" s="275">
        <v>1393150</v>
      </c>
      <c r="S113" s="275">
        <v>1378841</v>
      </c>
      <c r="T113" s="275">
        <v>1370994</v>
      </c>
      <c r="U113" s="275">
        <v>1391796</v>
      </c>
      <c r="V113" s="275">
        <v>1640413</v>
      </c>
      <c r="W113" s="275">
        <v>1653802</v>
      </c>
      <c r="X113" s="275">
        <v>1678986</v>
      </c>
    </row>
    <row r="114" spans="1:24" ht="14.25" thickBot="1" x14ac:dyDescent="0.3">
      <c r="A114" s="224" t="s">
        <v>27</v>
      </c>
      <c r="B114" s="273">
        <v>87990</v>
      </c>
      <c r="C114" s="273">
        <v>74254</v>
      </c>
      <c r="D114" s="273">
        <v>72807</v>
      </c>
      <c r="E114" s="273">
        <v>62158</v>
      </c>
      <c r="F114" s="273">
        <v>82697</v>
      </c>
      <c r="G114" s="273">
        <v>95893</v>
      </c>
      <c r="H114" s="273">
        <v>133803</v>
      </c>
      <c r="I114" s="273">
        <v>220679</v>
      </c>
      <c r="J114" s="273">
        <v>116990</v>
      </c>
      <c r="K114" s="273">
        <v>115791</v>
      </c>
      <c r="L114" s="273">
        <v>115037</v>
      </c>
      <c r="M114" s="273">
        <v>109990</v>
      </c>
      <c r="N114" s="273">
        <v>122198</v>
      </c>
      <c r="O114" s="273">
        <v>131377</v>
      </c>
      <c r="P114" s="273">
        <v>140143</v>
      </c>
      <c r="Q114" s="273">
        <v>144416</v>
      </c>
      <c r="R114" s="273">
        <v>142629</v>
      </c>
      <c r="S114" s="273">
        <v>154526</v>
      </c>
      <c r="T114" s="273">
        <v>200322</v>
      </c>
      <c r="U114" s="273">
        <v>322645</v>
      </c>
      <c r="V114" s="273">
        <v>228071</v>
      </c>
      <c r="W114" s="273">
        <v>198638</v>
      </c>
      <c r="X114" s="273">
        <v>226537</v>
      </c>
    </row>
    <row r="115" spans="1:24" ht="14.25" thickBot="1" x14ac:dyDescent="0.3">
      <c r="A115" s="225" t="s">
        <v>265</v>
      </c>
      <c r="B115" s="276">
        <v>2023936</v>
      </c>
      <c r="C115" s="276">
        <v>2071013</v>
      </c>
      <c r="D115" s="276">
        <v>2070936</v>
      </c>
      <c r="E115" s="276">
        <v>2057437</v>
      </c>
      <c r="F115" s="276">
        <v>2174470</v>
      </c>
      <c r="G115" s="276">
        <v>2658817</v>
      </c>
      <c r="H115" s="276">
        <v>2830464</v>
      </c>
      <c r="I115" s="276">
        <v>3111021</v>
      </c>
      <c r="J115" s="276">
        <v>3459370</v>
      </c>
      <c r="K115" s="276">
        <v>3376593</v>
      </c>
      <c r="L115" s="276">
        <v>3292939</v>
      </c>
      <c r="M115" s="276">
        <v>3588722</v>
      </c>
      <c r="N115" s="276">
        <v>3741607</v>
      </c>
      <c r="O115" s="276">
        <v>3899003</v>
      </c>
      <c r="P115" s="276">
        <v>3727510</v>
      </c>
      <c r="Q115" s="276">
        <v>3981635</v>
      </c>
      <c r="R115" s="276">
        <v>4192356</v>
      </c>
      <c r="S115" s="276">
        <v>4367394</v>
      </c>
      <c r="T115" s="276">
        <v>4367394</v>
      </c>
      <c r="U115" s="276">
        <v>4765403</v>
      </c>
      <c r="V115" s="276">
        <v>4985317</v>
      </c>
      <c r="W115" s="276">
        <v>5175194</v>
      </c>
      <c r="X115" s="276">
        <v>5296265</v>
      </c>
    </row>
    <row r="116" spans="1:24" ht="14.25" thickBot="1" x14ac:dyDescent="0.3">
      <c r="F116" s="135"/>
    </row>
    <row r="117" spans="1:24" ht="14.25" thickBot="1" x14ac:dyDescent="0.3">
      <c r="B117" s="69">
        <v>20121</v>
      </c>
      <c r="C117" s="70">
        <v>20122</v>
      </c>
      <c r="D117" s="70">
        <v>20123</v>
      </c>
      <c r="E117" s="70">
        <v>20124</v>
      </c>
      <c r="F117" s="70">
        <v>20131</v>
      </c>
      <c r="G117" s="70">
        <v>20132</v>
      </c>
      <c r="H117" s="70">
        <v>20133</v>
      </c>
      <c r="I117" s="70">
        <v>20134</v>
      </c>
      <c r="J117" s="70">
        <v>20141</v>
      </c>
      <c r="K117" s="70">
        <v>20142</v>
      </c>
      <c r="L117" s="70">
        <v>20143</v>
      </c>
      <c r="M117" s="70">
        <v>20144</v>
      </c>
      <c r="N117" s="70">
        <v>20151</v>
      </c>
      <c r="O117" s="70">
        <v>20152</v>
      </c>
      <c r="P117" s="70">
        <v>20153</v>
      </c>
      <c r="Q117" s="70">
        <v>20154</v>
      </c>
      <c r="R117" s="70">
        <v>20161</v>
      </c>
      <c r="S117" s="70">
        <v>20162</v>
      </c>
      <c r="T117" s="70">
        <v>20163</v>
      </c>
      <c r="U117" s="70">
        <v>20164</v>
      </c>
      <c r="V117" s="70">
        <v>20171</v>
      </c>
      <c r="W117" s="70">
        <v>20172</v>
      </c>
      <c r="X117" s="71">
        <v>20173</v>
      </c>
    </row>
    <row r="118" spans="1:24" ht="14.25" thickBot="1" x14ac:dyDescent="0.3">
      <c r="A118" s="224" t="s">
        <v>28</v>
      </c>
      <c r="B118" s="273">
        <v>50000</v>
      </c>
      <c r="C118" s="273">
        <v>20000</v>
      </c>
      <c r="D118" s="273">
        <v>90000</v>
      </c>
      <c r="E118" s="273">
        <v>124834</v>
      </c>
      <c r="F118" s="273">
        <v>80000</v>
      </c>
      <c r="G118" s="273">
        <v>50000</v>
      </c>
      <c r="H118" s="273">
        <v>170000</v>
      </c>
      <c r="I118" s="273">
        <v>140000</v>
      </c>
      <c r="J118" s="273">
        <v>140000</v>
      </c>
      <c r="K118" s="273">
        <v>170000</v>
      </c>
      <c r="L118" s="273">
        <v>240000</v>
      </c>
      <c r="M118" s="273">
        <v>130000</v>
      </c>
      <c r="N118" s="273">
        <v>118697</v>
      </c>
      <c r="O118" s="273">
        <v>67197</v>
      </c>
      <c r="P118" s="273">
        <v>42458</v>
      </c>
      <c r="Q118" s="273">
        <v>33322</v>
      </c>
      <c r="R118" s="273">
        <v>36510</v>
      </c>
      <c r="S118" s="273">
        <v>23329</v>
      </c>
      <c r="T118" s="273">
        <v>330524</v>
      </c>
      <c r="U118" s="273">
        <v>80000</v>
      </c>
      <c r="V118" s="273">
        <v>109187</v>
      </c>
      <c r="W118" s="273">
        <v>62496</v>
      </c>
      <c r="X118" s="273">
        <v>32175</v>
      </c>
    </row>
    <row r="119" spans="1:24" ht="14.25" thickBot="1" x14ac:dyDescent="0.3">
      <c r="A119" s="225" t="s">
        <v>29</v>
      </c>
      <c r="B119" s="274">
        <v>0</v>
      </c>
      <c r="C119" s="275">
        <v>20000</v>
      </c>
      <c r="D119" s="275">
        <v>30000</v>
      </c>
      <c r="E119" s="274">
        <v>0</v>
      </c>
      <c r="F119" s="275">
        <v>30000</v>
      </c>
      <c r="G119" s="275">
        <v>60000</v>
      </c>
      <c r="H119" s="275">
        <v>60000</v>
      </c>
      <c r="I119" s="275">
        <v>30000</v>
      </c>
      <c r="J119" s="275">
        <v>60000</v>
      </c>
      <c r="K119" s="274">
        <v>0</v>
      </c>
      <c r="L119" s="275">
        <v>100000</v>
      </c>
      <c r="M119" s="274">
        <v>0</v>
      </c>
      <c r="N119" s="274">
        <v>0</v>
      </c>
      <c r="O119" s="274">
        <v>0</v>
      </c>
      <c r="P119" s="274">
        <v>0</v>
      </c>
      <c r="Q119" s="274">
        <v>0</v>
      </c>
      <c r="R119" s="274">
        <v>0</v>
      </c>
      <c r="S119" s="274">
        <v>0</v>
      </c>
      <c r="T119" s="275">
        <v>30000</v>
      </c>
      <c r="U119" s="274">
        <v>0</v>
      </c>
      <c r="V119" s="274">
        <v>0</v>
      </c>
      <c r="W119" s="274">
        <v>0</v>
      </c>
      <c r="X119" s="274">
        <v>0</v>
      </c>
    </row>
    <row r="120" spans="1:24" ht="14.25" thickBot="1" x14ac:dyDescent="0.3">
      <c r="A120" s="224" t="s">
        <v>266</v>
      </c>
      <c r="B120" s="273">
        <v>252662</v>
      </c>
      <c r="C120" s="273">
        <v>273775</v>
      </c>
      <c r="D120" s="273">
        <v>277900</v>
      </c>
      <c r="E120" s="273">
        <v>266946</v>
      </c>
      <c r="F120" s="273">
        <v>261761</v>
      </c>
      <c r="G120" s="273">
        <v>294366</v>
      </c>
      <c r="H120" s="273">
        <v>294774</v>
      </c>
      <c r="I120" s="273">
        <v>302243</v>
      </c>
      <c r="J120" s="273">
        <v>323884</v>
      </c>
      <c r="K120" s="273">
        <v>226708</v>
      </c>
      <c r="L120" s="273">
        <v>301297</v>
      </c>
      <c r="M120" s="273">
        <v>336115</v>
      </c>
      <c r="N120" s="273">
        <v>374804</v>
      </c>
      <c r="O120" s="273">
        <v>364105</v>
      </c>
      <c r="P120" s="273">
        <v>384631</v>
      </c>
      <c r="Q120" s="273">
        <v>402512</v>
      </c>
      <c r="R120" s="273">
        <v>484099</v>
      </c>
      <c r="S120" s="273">
        <v>456558</v>
      </c>
      <c r="T120" s="273">
        <v>482591</v>
      </c>
      <c r="U120" s="273">
        <v>666928</v>
      </c>
      <c r="V120" s="273">
        <v>666631</v>
      </c>
      <c r="W120" s="273">
        <v>732689</v>
      </c>
      <c r="X120" s="273">
        <v>685538</v>
      </c>
    </row>
    <row r="121" spans="1:24" ht="14.25" thickBot="1" x14ac:dyDescent="0.3">
      <c r="A121" s="225" t="s">
        <v>267</v>
      </c>
      <c r="B121" s="275">
        <v>19640</v>
      </c>
      <c r="C121" s="275">
        <v>13062</v>
      </c>
      <c r="D121" s="275">
        <v>9478</v>
      </c>
      <c r="E121" s="275">
        <v>5052</v>
      </c>
      <c r="F121" s="274">
        <v>0</v>
      </c>
      <c r="G121" s="274">
        <v>0</v>
      </c>
      <c r="H121" s="275">
        <v>6148</v>
      </c>
      <c r="I121" s="275">
        <v>16110</v>
      </c>
      <c r="J121" s="275">
        <v>7178</v>
      </c>
      <c r="K121" s="275">
        <v>2467</v>
      </c>
      <c r="L121" s="275">
        <v>8282</v>
      </c>
      <c r="M121" s="275">
        <v>9129</v>
      </c>
      <c r="N121" s="275">
        <v>8036</v>
      </c>
      <c r="O121" s="275">
        <v>4228</v>
      </c>
      <c r="P121" s="275">
        <v>9391</v>
      </c>
      <c r="Q121" s="275">
        <v>7044</v>
      </c>
      <c r="R121" s="275">
        <v>11680</v>
      </c>
      <c r="S121" s="275">
        <v>18982</v>
      </c>
      <c r="T121" s="275">
        <v>11375</v>
      </c>
      <c r="U121" s="275">
        <v>18795</v>
      </c>
      <c r="V121" s="275">
        <v>40894</v>
      </c>
      <c r="W121" s="275">
        <v>41527</v>
      </c>
      <c r="X121" s="275">
        <v>44511</v>
      </c>
    </row>
    <row r="122" spans="1:24" ht="14.25" thickBot="1" x14ac:dyDescent="0.3">
      <c r="A122" s="224" t="s">
        <v>30</v>
      </c>
      <c r="B122" s="273">
        <v>65830</v>
      </c>
      <c r="C122" s="273">
        <v>45000</v>
      </c>
      <c r="D122" s="273">
        <v>70000</v>
      </c>
      <c r="E122" s="273">
        <v>70000</v>
      </c>
      <c r="F122" s="273">
        <v>50000</v>
      </c>
      <c r="G122" s="273">
        <v>66250</v>
      </c>
      <c r="H122" s="273">
        <v>35000</v>
      </c>
      <c r="I122" s="273">
        <v>56250</v>
      </c>
      <c r="J122" s="273">
        <v>109583</v>
      </c>
      <c r="K122" s="273">
        <v>124167</v>
      </c>
      <c r="L122" s="273">
        <v>159167</v>
      </c>
      <c r="M122" s="273">
        <v>14285</v>
      </c>
      <c r="N122" s="273">
        <v>14285</v>
      </c>
      <c r="O122" s="273">
        <v>14285</v>
      </c>
      <c r="P122" s="273">
        <v>14285</v>
      </c>
      <c r="Q122" s="273">
        <v>14286</v>
      </c>
      <c r="R122" s="273">
        <v>14286</v>
      </c>
      <c r="S122" s="273">
        <v>14286</v>
      </c>
      <c r="T122" s="273">
        <v>14286</v>
      </c>
      <c r="U122" s="273">
        <v>40416</v>
      </c>
      <c r="V122" s="273">
        <v>80146</v>
      </c>
      <c r="W122" s="273">
        <v>119788</v>
      </c>
      <c r="X122" s="273">
        <v>138091</v>
      </c>
    </row>
    <row r="123" spans="1:24" ht="14.25" thickBot="1" x14ac:dyDescent="0.3">
      <c r="A123" s="225" t="s">
        <v>31</v>
      </c>
      <c r="B123" s="275">
        <v>212144</v>
      </c>
      <c r="C123" s="275">
        <v>435493</v>
      </c>
      <c r="D123" s="275">
        <v>279607</v>
      </c>
      <c r="E123" s="275">
        <v>235927</v>
      </c>
      <c r="F123" s="275">
        <v>286602</v>
      </c>
      <c r="G123" s="275">
        <v>600744</v>
      </c>
      <c r="H123" s="275">
        <v>366159</v>
      </c>
      <c r="I123" s="275">
        <v>524930</v>
      </c>
      <c r="J123" s="275">
        <v>518967</v>
      </c>
      <c r="K123" s="275">
        <v>848555</v>
      </c>
      <c r="L123" s="275">
        <v>440030</v>
      </c>
      <c r="M123" s="275">
        <v>522962</v>
      </c>
      <c r="N123" s="275">
        <v>432029</v>
      </c>
      <c r="O123" s="275">
        <v>900196</v>
      </c>
      <c r="P123" s="275">
        <v>497892</v>
      </c>
      <c r="Q123" s="275">
        <v>589521</v>
      </c>
      <c r="R123" s="275">
        <v>536925</v>
      </c>
      <c r="S123" s="275">
        <v>1006628</v>
      </c>
      <c r="T123" s="275">
        <v>531525</v>
      </c>
      <c r="U123" s="275">
        <v>684291</v>
      </c>
      <c r="V123" s="275">
        <v>634752</v>
      </c>
      <c r="W123" s="275">
        <v>1049333</v>
      </c>
      <c r="X123" s="275">
        <v>1019224</v>
      </c>
    </row>
    <row r="124" spans="1:24" ht="14.25" thickBot="1" x14ac:dyDescent="0.3">
      <c r="A124" s="224" t="s">
        <v>268</v>
      </c>
      <c r="B124" s="273">
        <v>600276</v>
      </c>
      <c r="C124" s="273">
        <v>807330</v>
      </c>
      <c r="D124" s="273">
        <v>756985</v>
      </c>
      <c r="E124" s="273">
        <v>702759</v>
      </c>
      <c r="F124" s="273">
        <v>708363</v>
      </c>
      <c r="G124" s="273">
        <v>1071360</v>
      </c>
      <c r="H124" s="273">
        <v>932081</v>
      </c>
      <c r="I124" s="273">
        <v>1069533</v>
      </c>
      <c r="J124" s="273">
        <v>1159612</v>
      </c>
      <c r="K124" s="273">
        <v>1371897</v>
      </c>
      <c r="L124" s="273">
        <v>1248776</v>
      </c>
      <c r="M124" s="273">
        <v>1012491</v>
      </c>
      <c r="N124" s="273">
        <v>947851</v>
      </c>
      <c r="O124" s="273">
        <v>1350011</v>
      </c>
      <c r="P124" s="273">
        <v>948657</v>
      </c>
      <c r="Q124" s="273">
        <v>1046685</v>
      </c>
      <c r="R124" s="273">
        <v>1083500</v>
      </c>
      <c r="S124" s="273">
        <v>1519783</v>
      </c>
      <c r="T124" s="273">
        <v>1400301</v>
      </c>
      <c r="U124" s="273">
        <v>1490430</v>
      </c>
      <c r="V124" s="273">
        <v>1531610</v>
      </c>
      <c r="W124" s="273">
        <v>2005833</v>
      </c>
      <c r="X124" s="273">
        <v>1919539</v>
      </c>
    </row>
    <row r="125" spans="1:24" ht="14.25" thickBot="1" x14ac:dyDescent="0.3">
      <c r="A125" s="225" t="s">
        <v>32</v>
      </c>
      <c r="B125" s="275">
        <v>179172</v>
      </c>
      <c r="C125" s="275">
        <v>120000</v>
      </c>
      <c r="D125" s="275">
        <v>90000</v>
      </c>
      <c r="E125" s="275">
        <v>52500</v>
      </c>
      <c r="F125" s="275">
        <v>167846</v>
      </c>
      <c r="G125" s="275">
        <v>304551</v>
      </c>
      <c r="H125" s="275">
        <v>483455</v>
      </c>
      <c r="I125" s="275">
        <v>456375</v>
      </c>
      <c r="J125" s="275">
        <v>535715</v>
      </c>
      <c r="K125" s="275">
        <v>490717</v>
      </c>
      <c r="L125" s="275">
        <v>428531</v>
      </c>
      <c r="M125" s="275">
        <v>756438</v>
      </c>
      <c r="N125" s="275">
        <v>881108</v>
      </c>
      <c r="O125" s="275">
        <v>878086</v>
      </c>
      <c r="P125" s="275">
        <v>874669</v>
      </c>
      <c r="Q125" s="275">
        <v>878676</v>
      </c>
      <c r="R125" s="275">
        <v>874794</v>
      </c>
      <c r="S125" s="275">
        <v>871488</v>
      </c>
      <c r="T125" s="275">
        <v>868196</v>
      </c>
      <c r="U125" s="275">
        <v>965268</v>
      </c>
      <c r="V125" s="275">
        <v>1021199</v>
      </c>
      <c r="W125" s="275">
        <v>978990</v>
      </c>
      <c r="X125" s="275">
        <v>1018758</v>
      </c>
    </row>
    <row r="126" spans="1:24" ht="14.25" thickBot="1" x14ac:dyDescent="0.3">
      <c r="A126" s="224" t="s">
        <v>33</v>
      </c>
      <c r="B126" s="273">
        <v>76254</v>
      </c>
      <c r="C126" s="273">
        <v>75841</v>
      </c>
      <c r="D126" s="273">
        <v>75902</v>
      </c>
      <c r="E126" s="273">
        <v>87861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</row>
    <row r="127" spans="1:24" ht="14.25" thickBot="1" x14ac:dyDescent="0.3">
      <c r="A127" s="225" t="s">
        <v>269</v>
      </c>
      <c r="B127" s="275">
        <v>855702</v>
      </c>
      <c r="C127" s="275">
        <v>1003171</v>
      </c>
      <c r="D127" s="275">
        <v>922887</v>
      </c>
      <c r="E127" s="275">
        <v>843120</v>
      </c>
      <c r="F127" s="275">
        <v>876209</v>
      </c>
      <c r="G127" s="275">
        <v>1375911</v>
      </c>
      <c r="H127" s="275">
        <v>1415536</v>
      </c>
      <c r="I127" s="275">
        <v>1525908</v>
      </c>
      <c r="J127" s="275">
        <v>1695327</v>
      </c>
      <c r="K127" s="275">
        <v>1862614</v>
      </c>
      <c r="L127" s="275">
        <v>1677307</v>
      </c>
      <c r="M127" s="275">
        <v>1768929</v>
      </c>
      <c r="N127" s="275">
        <v>1828959</v>
      </c>
      <c r="O127" s="275">
        <v>2228097</v>
      </c>
      <c r="P127" s="275">
        <v>1823326</v>
      </c>
      <c r="Q127" s="275">
        <v>1925361</v>
      </c>
      <c r="R127" s="275">
        <v>1958294</v>
      </c>
      <c r="S127" s="275">
        <v>2391271</v>
      </c>
      <c r="T127" s="275">
        <v>2268497</v>
      </c>
      <c r="U127" s="275">
        <v>2455698</v>
      </c>
      <c r="V127" s="275">
        <v>2552809</v>
      </c>
      <c r="W127" s="275">
        <v>2984823</v>
      </c>
      <c r="X127" s="275">
        <v>2938297</v>
      </c>
    </row>
    <row r="128" spans="1:24" ht="14.25" thickBot="1" x14ac:dyDescent="0.3">
      <c r="A128" s="224" t="s">
        <v>34</v>
      </c>
      <c r="B128" s="273">
        <v>1168234</v>
      </c>
      <c r="C128" s="273">
        <v>1067842</v>
      </c>
      <c r="D128" s="273">
        <v>1148049</v>
      </c>
      <c r="E128" s="273">
        <v>1214317</v>
      </c>
      <c r="F128" s="273">
        <v>1298261</v>
      </c>
      <c r="G128" s="273">
        <v>1282906</v>
      </c>
      <c r="H128" s="273">
        <v>1414928</v>
      </c>
      <c r="I128" s="273">
        <v>1585113</v>
      </c>
      <c r="J128" s="273">
        <v>1764043</v>
      </c>
      <c r="K128" s="273">
        <v>1513979</v>
      </c>
      <c r="L128" s="273">
        <v>1615632</v>
      </c>
      <c r="M128" s="273">
        <v>1819793</v>
      </c>
      <c r="N128" s="273">
        <v>1912648</v>
      </c>
      <c r="O128" s="273">
        <v>1670906</v>
      </c>
      <c r="P128" s="273">
        <v>1904184</v>
      </c>
      <c r="Q128" s="273">
        <v>2056274</v>
      </c>
      <c r="R128" s="273">
        <v>2234062</v>
      </c>
      <c r="S128" s="273">
        <v>1976123</v>
      </c>
      <c r="T128" s="273">
        <v>2098897</v>
      </c>
      <c r="U128" s="273">
        <v>2309705</v>
      </c>
      <c r="V128" s="273">
        <v>2432508</v>
      </c>
      <c r="W128" s="273">
        <v>2190371</v>
      </c>
      <c r="X128" s="273">
        <v>2357968</v>
      </c>
    </row>
    <row r="129" spans="1:24" ht="14.25" thickBot="1" x14ac:dyDescent="0.3">
      <c r="A129" s="225" t="s">
        <v>35</v>
      </c>
      <c r="B129" s="276">
        <v>2023936</v>
      </c>
      <c r="C129" s="276">
        <v>2071013</v>
      </c>
      <c r="D129" s="276">
        <v>2070936</v>
      </c>
      <c r="E129" s="276">
        <v>2057437</v>
      </c>
      <c r="F129" s="276">
        <v>2174470</v>
      </c>
      <c r="G129" s="276">
        <v>2658817</v>
      </c>
      <c r="H129" s="276">
        <v>2830464</v>
      </c>
      <c r="I129" s="276">
        <v>3111021</v>
      </c>
      <c r="J129" s="276">
        <v>3459370</v>
      </c>
      <c r="K129" s="276">
        <v>3376593</v>
      </c>
      <c r="L129" s="276">
        <v>3292939</v>
      </c>
      <c r="M129" s="276">
        <v>3588722</v>
      </c>
      <c r="N129" s="276">
        <v>3741607</v>
      </c>
      <c r="O129" s="276">
        <v>3899003</v>
      </c>
      <c r="P129" s="276">
        <v>3727510</v>
      </c>
      <c r="Q129" s="276">
        <v>3981635</v>
      </c>
      <c r="R129" s="276">
        <v>4192356</v>
      </c>
      <c r="S129" s="276">
        <v>4367394</v>
      </c>
      <c r="T129" s="276">
        <v>4367394</v>
      </c>
      <c r="U129" s="276">
        <v>4765403</v>
      </c>
      <c r="V129" s="276">
        <v>4985317</v>
      </c>
      <c r="W129" s="276">
        <v>5175194</v>
      </c>
      <c r="X129" s="276">
        <v>5296265</v>
      </c>
    </row>
    <row r="130" spans="1:24" ht="14.25" thickBot="1" x14ac:dyDescent="0.3">
      <c r="F130" s="135"/>
    </row>
    <row r="131" spans="1:24" ht="14.25" thickBot="1" x14ac:dyDescent="0.3">
      <c r="B131" s="69">
        <v>2012</v>
      </c>
      <c r="C131" s="70">
        <v>2013</v>
      </c>
      <c r="D131" s="70">
        <v>2014</v>
      </c>
      <c r="E131" s="70">
        <v>2015</v>
      </c>
      <c r="F131" s="71">
        <v>2016</v>
      </c>
    </row>
    <row r="132" spans="1:24" ht="14.25" thickBot="1" x14ac:dyDescent="0.3">
      <c r="A132" s="224" t="s">
        <v>36</v>
      </c>
      <c r="B132" s="68">
        <v>4.3499999999999996</v>
      </c>
      <c r="C132" s="68">
        <v>7.3</v>
      </c>
      <c r="D132" s="68">
        <v>5.3</v>
      </c>
      <c r="E132" s="68">
        <v>7.82</v>
      </c>
      <c r="F132" s="68">
        <v>10.66</v>
      </c>
    </row>
    <row r="133" spans="1:24" ht="14.25" thickBot="1" x14ac:dyDescent="0.3">
      <c r="A133" s="225" t="s">
        <v>37</v>
      </c>
      <c r="B133" s="274">
        <v>-0.81</v>
      </c>
      <c r="C133" s="274">
        <v>-6.49</v>
      </c>
      <c r="D133" s="274">
        <v>-2.73</v>
      </c>
      <c r="E133" s="274">
        <v>-1.85</v>
      </c>
      <c r="F133" s="274">
        <v>-4.51</v>
      </c>
    </row>
    <row r="134" spans="1:24" ht="14.25" thickBot="1" x14ac:dyDescent="0.3">
      <c r="A134" s="224" t="s">
        <v>38</v>
      </c>
      <c r="B134" s="68">
        <v>-3.44</v>
      </c>
      <c r="C134" s="68">
        <v>2.13</v>
      </c>
      <c r="D134" s="68">
        <v>-1.89</v>
      </c>
      <c r="E134" s="68">
        <v>-5.09</v>
      </c>
      <c r="F134" s="68">
        <v>-3.35</v>
      </c>
    </row>
    <row r="135" spans="1:24" ht="14.25" thickBot="1" x14ac:dyDescent="0.3">
      <c r="A135" s="225" t="s">
        <v>270</v>
      </c>
      <c r="B135" s="274">
        <v>3.54</v>
      </c>
      <c r="C135" s="274">
        <v>0.81</v>
      </c>
      <c r="D135" s="274">
        <v>2.57</v>
      </c>
      <c r="E135" s="274">
        <v>5.98</v>
      </c>
      <c r="F135" s="274">
        <v>6.15</v>
      </c>
    </row>
    <row r="136" spans="1:24" ht="14.25" thickBot="1" x14ac:dyDescent="0.3">
      <c r="A136" s="229" t="s">
        <v>39</v>
      </c>
      <c r="B136" s="72">
        <v>0.1</v>
      </c>
      <c r="C136" s="72">
        <v>2.94</v>
      </c>
      <c r="D136" s="72">
        <v>0.68</v>
      </c>
      <c r="E136" s="72">
        <v>0.88</v>
      </c>
      <c r="F136" s="72">
        <v>2.8</v>
      </c>
    </row>
    <row r="137" spans="1:24" x14ac:dyDescent="0.25">
      <c r="A137" s="233" t="s">
        <v>271</v>
      </c>
      <c r="B137" s="234" t="str">
        <f>IF(OR(B140&lt;=0,B140="無"),"",IF(B135&gt;=B140,"一般盈餘",IF(AND(B134&gt;0,B132&lt;B140),"借錢配息?",IF(B133&gt;(B140-B135),"可能賣資產","保留盈餘"))))</f>
        <v>一般盈餘</v>
      </c>
      <c r="C137" s="234" t="str">
        <f>IF(OR(C140&lt;=0,C140="無"),"",IF(C135&gt;=C140,"一般盈餘",IF(AND(C134&gt;0,C132&lt;C140),"借錢配息?",IF(C133&gt;(C140-C135),"可能賣資產","保留盈餘"))))</f>
        <v>保留盈餘</v>
      </c>
      <c r="D137" s="234" t="str">
        <f>IF(OR(D140&lt;=0,D140="無"),"",IF(D135&gt;=D140,"一般盈餘",IF(AND(D134&gt;0,D132&lt;D140),"借錢配息?",IF(D133&gt;(D140-D135),"可能賣資產","保留盈餘"))))</f>
        <v>保留盈餘</v>
      </c>
      <c r="E137" s="234" t="str">
        <f>IF(OR(E140&lt;=0,E140="無"),"",IF(E135&gt;=E140,"一般盈餘",IF(AND(E134&gt;0,E132&lt;E140),"借錢配息?",IF(E133&gt;(E140-E135),"可能賣資產","保留盈餘"))))</f>
        <v>一般盈餘</v>
      </c>
      <c r="F137" s="234" t="str">
        <f>IF(OR(F140&lt;=0,F140="無"),"",IF(F135&gt;=F140,"一般盈餘",IF(AND(F134&gt;0,F132&lt;F140),"借錢配息?",IF(F133&gt;(F140-F135),"可能賣資產","保留盈餘"))))</f>
        <v>一般盈餘</v>
      </c>
    </row>
    <row r="138" spans="1:24" s="93" customFormat="1" ht="14.25" thickBot="1" x14ac:dyDescent="0.3">
      <c r="A138" s="230"/>
      <c r="B138" s="360"/>
      <c r="C138" s="360"/>
      <c r="D138" s="360"/>
      <c r="E138" s="360"/>
      <c r="F138" s="360"/>
    </row>
    <row r="139" spans="1:24" ht="14.25" thickBot="1" x14ac:dyDescent="0.3">
      <c r="B139" s="69">
        <v>2012</v>
      </c>
      <c r="C139" s="70">
        <v>2013</v>
      </c>
      <c r="D139" s="70">
        <v>2014</v>
      </c>
      <c r="E139" s="70">
        <v>2015</v>
      </c>
      <c r="F139" s="71">
        <v>2016</v>
      </c>
    </row>
    <row r="140" spans="1:24" ht="14.25" thickBot="1" x14ac:dyDescent="0.3">
      <c r="A140" s="224" t="s">
        <v>0</v>
      </c>
      <c r="B140" s="68">
        <v>2</v>
      </c>
      <c r="C140" s="68">
        <v>5</v>
      </c>
      <c r="D140" s="68">
        <v>5.4</v>
      </c>
      <c r="E140" s="68">
        <v>5.5</v>
      </c>
      <c r="F140" s="68">
        <v>5.8</v>
      </c>
    </row>
    <row r="141" spans="1:24" ht="14.25" thickBot="1" x14ac:dyDescent="0.3">
      <c r="A141" s="227" t="s">
        <v>1</v>
      </c>
      <c r="B141" s="73">
        <v>0</v>
      </c>
      <c r="C141" s="73">
        <v>0</v>
      </c>
      <c r="D141" s="73">
        <v>0</v>
      </c>
      <c r="E141" s="73">
        <v>0</v>
      </c>
      <c r="F141" s="73">
        <v>0</v>
      </c>
    </row>
    <row r="142" spans="1:24" x14ac:dyDescent="0.25">
      <c r="A142" s="233" t="s">
        <v>272</v>
      </c>
      <c r="B142" s="234">
        <f>B140/(HLOOKUP(B139*10+1,81:82,2,FALSE)+HLOOKUP(B139*10+2,81:82,2,FALSE)+HLOOKUP(B139*10+3,81:82,2,FALSE)+HLOOKUP(B139*10+4,81:82,2,FALSE))</f>
        <v>0.46082949308755761</v>
      </c>
      <c r="C142" s="234">
        <f>IF(C140&lt;&gt;"無",IF(ISNA(HLOOKUP(C139,$B$64:$F$69,6,FALSE)),"",C140/HLOOKUP(C139,$B$64:$F$69,6,FALSE)),"")</f>
        <v>0.71123755334281658</v>
      </c>
      <c r="D142" s="234">
        <f>IF(D140&lt;&gt;"無",IF(ISNA(HLOOKUP(D139,$B$64:$F$69,6,FALSE)),"",D140/HLOOKUP(D139,$B$64:$F$69,6,FALSE)),"")</f>
        <v>0.6923076923076924</v>
      </c>
      <c r="E142" s="234">
        <f>IF(E140&lt;&gt;"無",IF(ISNA(HLOOKUP(E139,$B$64:$F$69,6,FALSE)),"",E140/HLOOKUP(E139,$B$64:$F$69,6,FALSE)),"")</f>
        <v>0.62642369020501132</v>
      </c>
      <c r="F142" s="234">
        <f>IF(F140&lt;&gt;"無",IF(ISNA(HLOOKUP(F139,$B$64:$F$69,6,FALSE)),"",F140/HLOOKUP(F139,$B$64:$F$69,6,FALSE)),"")</f>
        <v>0.58526740665993948</v>
      </c>
    </row>
    <row r="143" spans="1:24" x14ac:dyDescent="0.25">
      <c r="A143" s="233" t="s">
        <v>216</v>
      </c>
      <c r="B143" s="234">
        <f>IF(OR(B140=0,B140="無"),"",B135/B140)</f>
        <v>1.77</v>
      </c>
      <c r="C143" s="234">
        <f>IF(OR(C140=0,C140="無"),"",C135/C140)</f>
        <v>0.16200000000000001</v>
      </c>
      <c r="D143" s="234">
        <f>IF(OR(D140=0,D140="無"),"",D135/D140)</f>
        <v>0.47592592592592586</v>
      </c>
      <c r="E143" s="234">
        <f>IF(OR(E140=0,E140="無"),"",E135/E140)</f>
        <v>1.0872727272727274</v>
      </c>
      <c r="F143" s="234">
        <f>IF(OR(F140=0,F140="無"),"",F135/F140)</f>
        <v>1.0603448275862071</v>
      </c>
    </row>
    <row r="144" spans="1:24" s="93" customFormat="1" ht="14.25" thickBot="1" x14ac:dyDescent="0.3">
      <c r="A144" s="230"/>
      <c r="B144" s="231"/>
      <c r="C144" s="231"/>
      <c r="D144" s="231"/>
      <c r="E144" s="231"/>
      <c r="F144" s="231"/>
    </row>
    <row r="145" spans="1:24" s="93" customFormat="1" ht="14.25" thickBot="1" x14ac:dyDescent="0.3">
      <c r="A145" s="230"/>
      <c r="B145" s="69">
        <v>20121</v>
      </c>
      <c r="C145" s="70">
        <v>20122</v>
      </c>
      <c r="D145" s="70">
        <v>20123</v>
      </c>
      <c r="E145" s="70">
        <v>20124</v>
      </c>
      <c r="F145" s="70">
        <v>20131</v>
      </c>
      <c r="G145" s="70">
        <v>20132</v>
      </c>
      <c r="H145" s="70">
        <v>20133</v>
      </c>
      <c r="I145" s="70">
        <v>20134</v>
      </c>
      <c r="J145" s="70">
        <v>20141</v>
      </c>
      <c r="K145" s="70">
        <v>20142</v>
      </c>
      <c r="L145" s="70">
        <v>20143</v>
      </c>
      <c r="M145" s="70">
        <v>20144</v>
      </c>
      <c r="N145" s="70">
        <v>20151</v>
      </c>
      <c r="O145" s="70">
        <v>20152</v>
      </c>
      <c r="P145" s="70">
        <v>20153</v>
      </c>
      <c r="Q145" s="70">
        <v>20154</v>
      </c>
      <c r="R145" s="70">
        <v>20161</v>
      </c>
      <c r="S145" s="70">
        <v>20162</v>
      </c>
      <c r="T145" s="70">
        <v>20163</v>
      </c>
      <c r="U145" s="70">
        <v>20164</v>
      </c>
      <c r="V145" s="70">
        <v>20171</v>
      </c>
      <c r="W145" s="70">
        <v>20172</v>
      </c>
      <c r="X145" s="71">
        <v>20173</v>
      </c>
    </row>
    <row r="146" spans="1:24" s="93" customFormat="1" ht="14.25" thickBot="1" x14ac:dyDescent="0.3">
      <c r="A146" s="224" t="s">
        <v>40</v>
      </c>
      <c r="B146" s="68">
        <v>36.39</v>
      </c>
      <c r="C146" s="68">
        <v>39.090000000000003</v>
      </c>
      <c r="D146" s="68">
        <v>41.35</v>
      </c>
      <c r="E146" s="68">
        <v>38.26</v>
      </c>
      <c r="F146" s="68">
        <v>39.130000000000003</v>
      </c>
      <c r="G146" s="68">
        <v>39.83</v>
      </c>
      <c r="H146" s="68">
        <v>44.66</v>
      </c>
      <c r="I146" s="68">
        <v>43.84</v>
      </c>
      <c r="J146" s="68">
        <v>41.49</v>
      </c>
      <c r="K146" s="68">
        <v>39.68</v>
      </c>
      <c r="L146" s="68">
        <v>39.08</v>
      </c>
      <c r="M146" s="68">
        <v>42.57</v>
      </c>
      <c r="N146" s="68">
        <v>37.340000000000003</v>
      </c>
      <c r="O146" s="68">
        <v>42.33</v>
      </c>
      <c r="P146" s="68">
        <v>40.46</v>
      </c>
      <c r="Q146" s="68">
        <v>42.22</v>
      </c>
      <c r="R146" s="68">
        <v>40.840000000000003</v>
      </c>
      <c r="S146" s="68">
        <v>41.41</v>
      </c>
      <c r="T146" s="68">
        <v>38.17</v>
      </c>
      <c r="U146" s="68">
        <v>36.78</v>
      </c>
      <c r="V146" s="68">
        <v>36.72</v>
      </c>
      <c r="W146" s="68">
        <v>33.53</v>
      </c>
      <c r="X146" s="68">
        <v>34.1</v>
      </c>
    </row>
    <row r="147" spans="1:24" s="93" customFormat="1" ht="14.25" thickBot="1" x14ac:dyDescent="0.3">
      <c r="A147" s="225" t="s">
        <v>19</v>
      </c>
      <c r="B147" s="274">
        <v>18.010000000000002</v>
      </c>
      <c r="C147" s="274">
        <v>19.649999999999999</v>
      </c>
      <c r="D147" s="274">
        <v>19.68</v>
      </c>
      <c r="E147" s="274">
        <v>16.16</v>
      </c>
      <c r="F147" s="274">
        <v>20.25</v>
      </c>
      <c r="G147" s="274">
        <v>21.31</v>
      </c>
      <c r="H147" s="274">
        <v>24.25</v>
      </c>
      <c r="I147" s="274">
        <v>23.51</v>
      </c>
      <c r="J147" s="274">
        <v>24.19</v>
      </c>
      <c r="K147" s="274">
        <v>19.399999999999999</v>
      </c>
      <c r="L147" s="274">
        <v>15.52</v>
      </c>
      <c r="M147" s="274">
        <v>21.61</v>
      </c>
      <c r="N147" s="274">
        <v>18.23</v>
      </c>
      <c r="O147" s="274">
        <v>24.26</v>
      </c>
      <c r="P147" s="274">
        <v>19.350000000000001</v>
      </c>
      <c r="Q147" s="274">
        <v>21.38</v>
      </c>
      <c r="R147" s="274">
        <v>22.64</v>
      </c>
      <c r="S147" s="274">
        <v>21.94</v>
      </c>
      <c r="T147" s="274">
        <v>20.34</v>
      </c>
      <c r="U147" s="274">
        <v>19.07</v>
      </c>
      <c r="V147" s="274">
        <v>17.79</v>
      </c>
      <c r="W147" s="274">
        <v>14.57</v>
      </c>
      <c r="X147" s="274">
        <v>13.78</v>
      </c>
    </row>
    <row r="148" spans="1:24" s="93" customFormat="1" ht="14.25" thickBot="1" x14ac:dyDescent="0.3">
      <c r="A148" s="224" t="s">
        <v>41</v>
      </c>
      <c r="B148" s="68">
        <v>17.850000000000001</v>
      </c>
      <c r="C148" s="68">
        <v>20.3</v>
      </c>
      <c r="D148" s="68">
        <v>19.72</v>
      </c>
      <c r="E148" s="68">
        <v>15.83</v>
      </c>
      <c r="F148" s="68">
        <v>20.45</v>
      </c>
      <c r="G148" s="68">
        <v>24.3</v>
      </c>
      <c r="H148" s="68">
        <v>24.67</v>
      </c>
      <c r="I148" s="68">
        <v>26.03</v>
      </c>
      <c r="J148" s="68">
        <v>26.2</v>
      </c>
      <c r="K148" s="68">
        <v>20.8</v>
      </c>
      <c r="L148" s="68">
        <v>16.190000000000001</v>
      </c>
      <c r="M148" s="68">
        <v>26.55</v>
      </c>
      <c r="N148" s="68">
        <v>14.73</v>
      </c>
      <c r="O148" s="68">
        <v>23.59</v>
      </c>
      <c r="P148" s="68">
        <v>25.35</v>
      </c>
      <c r="Q148" s="68">
        <v>21.21</v>
      </c>
      <c r="R148" s="68">
        <v>21.75</v>
      </c>
      <c r="S148" s="68">
        <v>21.65</v>
      </c>
      <c r="T148" s="68">
        <v>17.989999999999998</v>
      </c>
      <c r="U148" s="68">
        <v>20.07</v>
      </c>
      <c r="V148" s="68">
        <v>14.69</v>
      </c>
      <c r="W148" s="68">
        <v>16.399999999999999</v>
      </c>
      <c r="X148" s="68">
        <v>14.51</v>
      </c>
    </row>
    <row r="149" spans="1:24" s="93" customFormat="1" ht="14.25" thickBot="1" x14ac:dyDescent="0.3">
      <c r="A149" s="225" t="s">
        <v>13</v>
      </c>
      <c r="B149" s="73">
        <v>15.16</v>
      </c>
      <c r="C149" s="73">
        <v>15.33</v>
      </c>
      <c r="D149" s="73">
        <v>16.45</v>
      </c>
      <c r="E149" s="73">
        <v>13.7</v>
      </c>
      <c r="F149" s="73">
        <v>16.899999999999999</v>
      </c>
      <c r="G149" s="73">
        <v>18.63</v>
      </c>
      <c r="H149" s="73">
        <v>20.329999999999998</v>
      </c>
      <c r="I149" s="73">
        <v>22.1</v>
      </c>
      <c r="J149" s="73">
        <v>22.07</v>
      </c>
      <c r="K149" s="73">
        <v>17.899999999999999</v>
      </c>
      <c r="L149" s="73">
        <v>12.09</v>
      </c>
      <c r="M149" s="73">
        <v>22.21</v>
      </c>
      <c r="N149" s="73">
        <v>12.28</v>
      </c>
      <c r="O149" s="73">
        <v>18.16</v>
      </c>
      <c r="P149" s="73">
        <v>21.11</v>
      </c>
      <c r="Q149" s="73">
        <v>18.22</v>
      </c>
      <c r="R149" s="73">
        <v>17.62</v>
      </c>
      <c r="S149" s="73">
        <v>16.39</v>
      </c>
      <c r="T149" s="73">
        <v>13.9</v>
      </c>
      <c r="U149" s="73">
        <v>17.5</v>
      </c>
      <c r="V149" s="73">
        <v>12.33</v>
      </c>
      <c r="W149" s="73">
        <v>12.39</v>
      </c>
      <c r="X149" s="73">
        <v>11.82</v>
      </c>
    </row>
    <row r="150" spans="1:24" s="93" customFormat="1" ht="14.25" thickBot="1" x14ac:dyDescent="0.3"/>
    <row r="151" spans="1:24" s="93" customFormat="1" ht="14.25" thickBot="1" x14ac:dyDescent="0.3">
      <c r="B151" s="69">
        <v>2012</v>
      </c>
      <c r="C151" s="70">
        <v>2013</v>
      </c>
      <c r="D151" s="70">
        <v>2014</v>
      </c>
      <c r="E151" s="70">
        <v>2015</v>
      </c>
      <c r="F151" s="71">
        <v>2016</v>
      </c>
    </row>
    <row r="152" spans="1:24" s="93" customFormat="1" ht="14.25" thickBot="1" x14ac:dyDescent="0.3">
      <c r="A152" s="224" t="s">
        <v>40</v>
      </c>
      <c r="B152" s="68">
        <v>38.83</v>
      </c>
      <c r="C152" s="68">
        <v>41.97</v>
      </c>
      <c r="D152" s="68">
        <v>40.78</v>
      </c>
      <c r="E152" s="68">
        <v>40.74</v>
      </c>
      <c r="F152" s="68">
        <v>39.17</v>
      </c>
    </row>
    <row r="153" spans="1:24" s="93" customFormat="1" ht="14.25" thickBot="1" x14ac:dyDescent="0.3">
      <c r="A153" s="225" t="s">
        <v>19</v>
      </c>
      <c r="B153" s="274">
        <v>18.399999999999999</v>
      </c>
      <c r="C153" s="274">
        <v>22.4</v>
      </c>
      <c r="D153" s="274">
        <v>20.350000000000001</v>
      </c>
      <c r="E153" s="274">
        <v>20.92</v>
      </c>
      <c r="F153" s="274">
        <v>20.9</v>
      </c>
    </row>
    <row r="154" spans="1:24" s="93" customFormat="1" ht="14.25" thickBot="1" x14ac:dyDescent="0.3">
      <c r="A154" s="224" t="s">
        <v>41</v>
      </c>
      <c r="B154" s="68">
        <v>18.46</v>
      </c>
      <c r="C154" s="68">
        <v>23.98</v>
      </c>
      <c r="D154" s="68">
        <v>22.68</v>
      </c>
      <c r="E154" s="68">
        <v>21.45</v>
      </c>
      <c r="F154" s="68">
        <v>20.309999999999999</v>
      </c>
    </row>
    <row r="155" spans="1:24" s="93" customFormat="1" ht="14.25" thickBot="1" x14ac:dyDescent="0.3">
      <c r="A155" s="225" t="s">
        <v>13</v>
      </c>
      <c r="B155" s="73">
        <v>15.17</v>
      </c>
      <c r="C155" s="73">
        <v>19.59</v>
      </c>
      <c r="D155" s="73">
        <v>18.8</v>
      </c>
      <c r="E155" s="73">
        <v>17.64</v>
      </c>
      <c r="F155" s="73">
        <v>16.36</v>
      </c>
    </row>
    <row r="156" spans="1:24" s="93" customFormat="1" ht="14.25" thickBot="1" x14ac:dyDescent="0.3"/>
    <row r="157" spans="1:24" s="93" customFormat="1" ht="14.25" thickBot="1" x14ac:dyDescent="0.3">
      <c r="B157" s="69">
        <v>20121</v>
      </c>
      <c r="C157" s="70">
        <v>20122</v>
      </c>
      <c r="D157" s="70">
        <v>20123</v>
      </c>
      <c r="E157" s="70">
        <v>20124</v>
      </c>
      <c r="F157" s="70">
        <v>20131</v>
      </c>
      <c r="G157" s="70">
        <v>20132</v>
      </c>
      <c r="H157" s="70">
        <v>20133</v>
      </c>
      <c r="I157" s="70">
        <v>20134</v>
      </c>
      <c r="J157" s="70">
        <v>20141</v>
      </c>
      <c r="K157" s="70">
        <v>20142</v>
      </c>
      <c r="L157" s="70">
        <v>20143</v>
      </c>
      <c r="M157" s="70">
        <v>20144</v>
      </c>
      <c r="N157" s="70">
        <v>20151</v>
      </c>
      <c r="O157" s="70">
        <v>20152</v>
      </c>
      <c r="P157" s="70">
        <v>20153</v>
      </c>
      <c r="Q157" s="70">
        <v>20154</v>
      </c>
      <c r="R157" s="70">
        <v>20161</v>
      </c>
      <c r="S157" s="70">
        <v>20162</v>
      </c>
      <c r="T157" s="70">
        <v>20163</v>
      </c>
      <c r="U157" s="70">
        <v>20164</v>
      </c>
      <c r="V157" s="70">
        <v>20171</v>
      </c>
      <c r="W157" s="70">
        <v>20172</v>
      </c>
      <c r="X157" s="71">
        <v>20173</v>
      </c>
    </row>
    <row r="158" spans="1:24" s="93" customFormat="1" ht="14.25" thickBot="1" x14ac:dyDescent="0.3">
      <c r="A158" s="224" t="s">
        <v>48</v>
      </c>
      <c r="B158" s="68">
        <v>3.79</v>
      </c>
      <c r="C158" s="68">
        <v>4.0599999999999996</v>
      </c>
      <c r="D158" s="68">
        <v>4.4000000000000004</v>
      </c>
      <c r="E158" s="68">
        <v>3.52</v>
      </c>
      <c r="F158" s="68">
        <v>4.91</v>
      </c>
      <c r="G158" s="68">
        <v>5.24</v>
      </c>
      <c r="H158" s="68">
        <v>5.08</v>
      </c>
      <c r="I158" s="68">
        <v>5.34</v>
      </c>
      <c r="J158" s="68">
        <v>5.47</v>
      </c>
      <c r="K158" s="68">
        <v>4.04</v>
      </c>
      <c r="L158" s="68">
        <v>2.64</v>
      </c>
      <c r="M158" s="68">
        <v>5.38</v>
      </c>
      <c r="N158" s="68">
        <v>2.76</v>
      </c>
      <c r="O158" s="68">
        <v>4.57</v>
      </c>
      <c r="P158" s="68">
        <v>5.22</v>
      </c>
      <c r="Q158" s="68">
        <v>4.83</v>
      </c>
      <c r="R158" s="68">
        <v>4.53</v>
      </c>
      <c r="S158" s="68">
        <v>4.16</v>
      </c>
      <c r="T158" s="68">
        <v>3.62</v>
      </c>
      <c r="U158" s="68">
        <v>4.9000000000000004</v>
      </c>
      <c r="V158" s="68">
        <v>3.25</v>
      </c>
      <c r="W158" s="68">
        <v>3.34</v>
      </c>
      <c r="X158" s="68">
        <v>3.01</v>
      </c>
    </row>
    <row r="159" spans="1:24" s="93" customFormat="1" ht="14.25" thickBot="1" x14ac:dyDescent="0.3">
      <c r="A159" s="225" t="s">
        <v>45</v>
      </c>
      <c r="B159" s="73">
        <v>6.8</v>
      </c>
      <c r="C159" s="73">
        <v>7.43</v>
      </c>
      <c r="D159" s="73">
        <v>8.19</v>
      </c>
      <c r="E159" s="73">
        <v>6.14</v>
      </c>
      <c r="F159" s="73">
        <v>8.24</v>
      </c>
      <c r="G159" s="73">
        <v>9.7799999999999994</v>
      </c>
      <c r="H159" s="73">
        <v>10.3</v>
      </c>
      <c r="I159" s="73">
        <v>10.55</v>
      </c>
      <c r="J159" s="73">
        <v>10.7</v>
      </c>
      <c r="K159" s="73">
        <v>8.2899999999999991</v>
      </c>
      <c r="L159" s="73">
        <v>5.5</v>
      </c>
      <c r="M159" s="73">
        <v>10.69</v>
      </c>
      <c r="N159" s="73">
        <v>5.36</v>
      </c>
      <c r="O159" s="73">
        <v>9.69</v>
      </c>
      <c r="P159" s="73">
        <v>11.09</v>
      </c>
      <c r="Q159" s="73">
        <v>9.36</v>
      </c>
      <c r="R159" s="73">
        <v>8.6</v>
      </c>
      <c r="S159" s="73">
        <v>8.43</v>
      </c>
      <c r="T159" s="73">
        <v>7.75</v>
      </c>
      <c r="U159" s="73">
        <v>10.11</v>
      </c>
      <c r="V159" s="73">
        <v>6.62</v>
      </c>
      <c r="W159" s="73">
        <v>7.3</v>
      </c>
      <c r="X159" s="73">
        <v>6.87</v>
      </c>
    </row>
    <row r="160" spans="1:24" s="93" customFormat="1" ht="14.25" thickBot="1" x14ac:dyDescent="0.3"/>
    <row r="161" spans="1:72" s="93" customFormat="1" ht="14.25" thickBot="1" x14ac:dyDescent="0.3">
      <c r="B161" s="69">
        <v>2012</v>
      </c>
      <c r="C161" s="70">
        <v>2013</v>
      </c>
      <c r="D161" s="70">
        <v>2014</v>
      </c>
      <c r="E161" s="70">
        <v>2015</v>
      </c>
      <c r="F161" s="71">
        <v>2016</v>
      </c>
    </row>
    <row r="162" spans="1:72" s="93" customFormat="1" ht="14.25" thickBot="1" x14ac:dyDescent="0.3">
      <c r="A162" s="224" t="s">
        <v>13</v>
      </c>
      <c r="B162" s="68">
        <v>15.17</v>
      </c>
      <c r="C162" s="68">
        <v>19.59</v>
      </c>
      <c r="D162" s="68">
        <v>18.8</v>
      </c>
      <c r="E162" s="68">
        <v>17.64</v>
      </c>
      <c r="F162" s="68">
        <v>16.36</v>
      </c>
    </row>
    <row r="163" spans="1:72" s="93" customFormat="1" ht="14.25" thickBot="1" x14ac:dyDescent="0.3">
      <c r="A163" s="225" t="s">
        <v>18</v>
      </c>
      <c r="B163" s="274">
        <v>1.03</v>
      </c>
      <c r="C163" s="274">
        <v>0.86</v>
      </c>
      <c r="D163" s="274">
        <v>0.87</v>
      </c>
      <c r="E163" s="274">
        <v>0.94</v>
      </c>
      <c r="F163" s="274">
        <v>0.95</v>
      </c>
    </row>
    <row r="164" spans="1:72" s="93" customFormat="1" ht="14.25" thickBot="1" x14ac:dyDescent="0.3">
      <c r="A164" s="224" t="s">
        <v>15</v>
      </c>
      <c r="B164" s="68">
        <v>1.69</v>
      </c>
      <c r="C164" s="68">
        <v>1.96</v>
      </c>
      <c r="D164" s="68">
        <v>1.97</v>
      </c>
      <c r="E164" s="68">
        <v>1.94</v>
      </c>
      <c r="F164" s="68">
        <v>2.06</v>
      </c>
    </row>
    <row r="165" spans="1:72" s="93" customFormat="1" ht="14.25" thickBot="1" x14ac:dyDescent="0.3">
      <c r="A165" s="225" t="s">
        <v>45</v>
      </c>
      <c r="B165" s="73">
        <v>28.2</v>
      </c>
      <c r="C165" s="73">
        <v>37.65</v>
      </c>
      <c r="D165" s="73">
        <v>34.35</v>
      </c>
      <c r="E165" s="73">
        <v>33.909999999999997</v>
      </c>
      <c r="F165" s="73">
        <v>34.020000000000003</v>
      </c>
    </row>
    <row r="166" spans="1:72" s="93" customFormat="1" ht="14.25" thickBot="1" x14ac:dyDescent="0.3"/>
    <row r="167" spans="1:72" s="93" customFormat="1" ht="14.25" thickBot="1" x14ac:dyDescent="0.3">
      <c r="A167" s="78"/>
      <c r="B167" s="69">
        <v>20121</v>
      </c>
      <c r="C167" s="70">
        <v>20122</v>
      </c>
      <c r="D167" s="70">
        <v>20123</v>
      </c>
      <c r="E167" s="70">
        <v>20124</v>
      </c>
      <c r="F167" s="70">
        <v>20131</v>
      </c>
      <c r="G167" s="70">
        <v>20132</v>
      </c>
      <c r="H167" s="70">
        <v>20133</v>
      </c>
      <c r="I167" s="70">
        <v>20134</v>
      </c>
      <c r="J167" s="70">
        <v>20141</v>
      </c>
      <c r="K167" s="70">
        <v>20142</v>
      </c>
      <c r="L167" s="70">
        <v>20143</v>
      </c>
      <c r="M167" s="70">
        <v>20144</v>
      </c>
      <c r="N167" s="70">
        <v>20151</v>
      </c>
      <c r="O167" s="70">
        <v>20152</v>
      </c>
      <c r="P167" s="70">
        <v>20153</v>
      </c>
      <c r="Q167" s="70">
        <v>20154</v>
      </c>
      <c r="R167" s="70">
        <v>20161</v>
      </c>
      <c r="S167" s="70">
        <v>20162</v>
      </c>
      <c r="T167" s="70">
        <v>20163</v>
      </c>
      <c r="U167" s="70">
        <v>20164</v>
      </c>
      <c r="V167" s="70">
        <v>20171</v>
      </c>
      <c r="W167" s="70">
        <v>20172</v>
      </c>
      <c r="X167" s="71">
        <v>20173</v>
      </c>
    </row>
    <row r="168" spans="1:72" s="93" customFormat="1" ht="14.25" thickBot="1" x14ac:dyDescent="0.3">
      <c r="A168" s="224" t="s">
        <v>16</v>
      </c>
      <c r="B168" s="68">
        <v>63.38</v>
      </c>
      <c r="C168" s="68">
        <v>60</v>
      </c>
      <c r="D168" s="68">
        <v>68.180000000000007</v>
      </c>
      <c r="E168" s="68">
        <v>70.87</v>
      </c>
      <c r="F168" s="68">
        <v>64.290000000000006</v>
      </c>
      <c r="G168" s="68">
        <v>68.7</v>
      </c>
      <c r="H168" s="68">
        <v>73.77</v>
      </c>
      <c r="I168" s="68">
        <v>67.67</v>
      </c>
      <c r="J168" s="68">
        <v>62.07</v>
      </c>
      <c r="K168" s="68">
        <v>75</v>
      </c>
      <c r="L168" s="68">
        <v>81.08</v>
      </c>
      <c r="M168" s="68">
        <v>77.59</v>
      </c>
      <c r="N168" s="68">
        <v>86.54</v>
      </c>
      <c r="O168" s="68">
        <v>78.260000000000005</v>
      </c>
      <c r="P168" s="68">
        <v>89.11</v>
      </c>
      <c r="Q168" s="68">
        <v>86.54</v>
      </c>
      <c r="R168" s="68">
        <v>89.11</v>
      </c>
      <c r="S168" s="68">
        <v>86.54</v>
      </c>
      <c r="T168" s="68">
        <v>78.260000000000005</v>
      </c>
      <c r="U168" s="68">
        <v>76.27</v>
      </c>
      <c r="V168" s="68">
        <v>80.36</v>
      </c>
      <c r="W168" s="68">
        <v>79.650000000000006</v>
      </c>
      <c r="X168" s="68">
        <v>84.11</v>
      </c>
    </row>
    <row r="169" spans="1:72" s="93" customFormat="1" ht="14.25" thickBot="1" x14ac:dyDescent="0.3">
      <c r="A169" s="225" t="s">
        <v>17</v>
      </c>
      <c r="B169" s="274">
        <v>79.650000000000006</v>
      </c>
      <c r="C169" s="274">
        <v>77.59</v>
      </c>
      <c r="D169" s="274">
        <v>85.71</v>
      </c>
      <c r="E169" s="274">
        <v>91.84</v>
      </c>
      <c r="F169" s="274">
        <v>84.11</v>
      </c>
      <c r="G169" s="274">
        <v>78.260000000000005</v>
      </c>
      <c r="H169" s="274">
        <v>87.38</v>
      </c>
      <c r="I169" s="274">
        <v>95.74</v>
      </c>
      <c r="J169" s="274">
        <v>90</v>
      </c>
      <c r="K169" s="274">
        <v>88.24</v>
      </c>
      <c r="L169" s="274">
        <v>92.78</v>
      </c>
      <c r="M169" s="274">
        <v>94.74</v>
      </c>
      <c r="N169" s="274">
        <v>93.75</v>
      </c>
      <c r="O169" s="274">
        <v>89.11</v>
      </c>
      <c r="P169" s="274">
        <v>90.91</v>
      </c>
      <c r="Q169" s="274">
        <v>90</v>
      </c>
      <c r="R169" s="274">
        <v>90</v>
      </c>
      <c r="S169" s="274">
        <v>94.74</v>
      </c>
      <c r="T169" s="274">
        <v>91.84</v>
      </c>
      <c r="U169" s="274">
        <v>83.33</v>
      </c>
      <c r="V169" s="274">
        <v>90.91</v>
      </c>
      <c r="W169" s="274">
        <v>90.91</v>
      </c>
      <c r="X169" s="274">
        <v>102.27</v>
      </c>
    </row>
    <row r="170" spans="1:72" s="93" customFormat="1" ht="14.25" thickBot="1" x14ac:dyDescent="0.3">
      <c r="A170" s="224" t="s">
        <v>42</v>
      </c>
      <c r="B170" s="72">
        <v>143.03</v>
      </c>
      <c r="C170" s="72">
        <v>137.59</v>
      </c>
      <c r="D170" s="72">
        <v>153.9</v>
      </c>
      <c r="E170" s="72">
        <v>162.69999999999999</v>
      </c>
      <c r="F170" s="72">
        <v>148.4</v>
      </c>
      <c r="G170" s="72">
        <v>146.96</v>
      </c>
      <c r="H170" s="72">
        <v>161.15</v>
      </c>
      <c r="I170" s="72">
        <v>163.41</v>
      </c>
      <c r="J170" s="72">
        <v>152.07</v>
      </c>
      <c r="K170" s="72">
        <v>163.24</v>
      </c>
      <c r="L170" s="72">
        <v>173.86</v>
      </c>
      <c r="M170" s="72">
        <v>172.32</v>
      </c>
      <c r="N170" s="72">
        <v>180.29</v>
      </c>
      <c r="O170" s="72">
        <v>167.37</v>
      </c>
      <c r="P170" s="72">
        <v>180.02</v>
      </c>
      <c r="Q170" s="72">
        <v>176.54</v>
      </c>
      <c r="R170" s="72">
        <v>179.11</v>
      </c>
      <c r="S170" s="72">
        <v>181.28</v>
      </c>
      <c r="T170" s="72">
        <v>170.1</v>
      </c>
      <c r="U170" s="72">
        <v>159.6</v>
      </c>
      <c r="V170" s="72">
        <v>171.27</v>
      </c>
      <c r="W170" s="72">
        <v>170.56</v>
      </c>
      <c r="X170" s="72">
        <v>186.38</v>
      </c>
    </row>
    <row r="171" spans="1:72" ht="14.25" thickBot="1" x14ac:dyDescent="0.3"/>
    <row r="172" spans="1:72" ht="14.25" thickBot="1" x14ac:dyDescent="0.3">
      <c r="B172" s="69">
        <v>2012</v>
      </c>
      <c r="C172" s="70">
        <v>2013</v>
      </c>
      <c r="D172" s="70">
        <v>2014</v>
      </c>
      <c r="E172" s="70">
        <v>2015</v>
      </c>
      <c r="F172" s="71">
        <v>2016</v>
      </c>
    </row>
    <row r="173" spans="1:72" ht="14.25" thickBot="1" x14ac:dyDescent="0.3">
      <c r="A173" s="222" t="s">
        <v>12</v>
      </c>
      <c r="B173" s="72">
        <v>100.82</v>
      </c>
      <c r="C173" s="72">
        <v>103.95</v>
      </c>
      <c r="D173" s="72">
        <v>67.930000000000007</v>
      </c>
      <c r="E173" s="72">
        <v>89.27</v>
      </c>
      <c r="F173" s="72">
        <v>107.58</v>
      </c>
    </row>
    <row r="174" spans="1:72" ht="14.25" thickBot="1" x14ac:dyDescent="0.3">
      <c r="A174" s="232"/>
    </row>
    <row r="175" spans="1:72" ht="14.25" thickBot="1" x14ac:dyDescent="0.3">
      <c r="B175" s="69">
        <v>201201</v>
      </c>
      <c r="C175" s="70">
        <v>201202</v>
      </c>
      <c r="D175" s="70">
        <v>201203</v>
      </c>
      <c r="E175" s="70">
        <v>201204</v>
      </c>
      <c r="F175" s="70">
        <v>201205</v>
      </c>
      <c r="G175" s="70">
        <v>201206</v>
      </c>
      <c r="H175" s="70">
        <v>201207</v>
      </c>
      <c r="I175" s="70">
        <v>201208</v>
      </c>
      <c r="J175" s="70">
        <v>201209</v>
      </c>
      <c r="K175" s="70">
        <v>201210</v>
      </c>
      <c r="L175" s="70">
        <v>201211</v>
      </c>
      <c r="M175" s="70">
        <v>201212</v>
      </c>
      <c r="N175" s="70">
        <v>201301</v>
      </c>
      <c r="O175" s="70">
        <v>201302</v>
      </c>
      <c r="P175" s="70">
        <v>201303</v>
      </c>
      <c r="Q175" s="70">
        <v>201304</v>
      </c>
      <c r="R175" s="70">
        <v>201305</v>
      </c>
      <c r="S175" s="70">
        <v>201306</v>
      </c>
      <c r="T175" s="70">
        <v>201307</v>
      </c>
      <c r="U175" s="70">
        <v>201308</v>
      </c>
      <c r="V175" s="70">
        <v>201309</v>
      </c>
      <c r="W175" s="70">
        <v>201310</v>
      </c>
      <c r="X175" s="70">
        <v>201311</v>
      </c>
      <c r="Y175" s="70">
        <v>201312</v>
      </c>
      <c r="Z175" s="70">
        <v>201401</v>
      </c>
      <c r="AA175" s="70">
        <v>201402</v>
      </c>
      <c r="AB175" s="70">
        <v>201403</v>
      </c>
      <c r="AC175" s="70">
        <v>201404</v>
      </c>
      <c r="AD175" s="70">
        <v>201405</v>
      </c>
      <c r="AE175" s="70">
        <v>201406</v>
      </c>
      <c r="AF175" s="70">
        <v>201407</v>
      </c>
      <c r="AG175" s="70">
        <v>201408</v>
      </c>
      <c r="AH175" s="70">
        <v>201409</v>
      </c>
      <c r="AI175" s="70">
        <v>201410</v>
      </c>
      <c r="AJ175" s="70">
        <v>201411</v>
      </c>
      <c r="AK175" s="70">
        <v>201412</v>
      </c>
      <c r="AL175" s="70">
        <v>201501</v>
      </c>
      <c r="AM175" s="70">
        <v>201502</v>
      </c>
      <c r="AN175" s="70">
        <v>201503</v>
      </c>
      <c r="AO175" s="70">
        <v>201504</v>
      </c>
      <c r="AP175" s="70">
        <v>201505</v>
      </c>
      <c r="AQ175" s="70">
        <v>201506</v>
      </c>
      <c r="AR175" s="70">
        <v>201507</v>
      </c>
      <c r="AS175" s="70">
        <v>201508</v>
      </c>
      <c r="AT175" s="70">
        <v>201509</v>
      </c>
      <c r="AU175" s="70">
        <v>201510</v>
      </c>
      <c r="AV175" s="70">
        <v>201511</v>
      </c>
      <c r="AW175" s="70">
        <v>201512</v>
      </c>
      <c r="AX175" s="70">
        <v>201601</v>
      </c>
      <c r="AY175" s="70">
        <v>201602</v>
      </c>
      <c r="AZ175" s="70">
        <v>201603</v>
      </c>
      <c r="BA175" s="70">
        <v>201604</v>
      </c>
      <c r="BB175" s="70">
        <v>201605</v>
      </c>
      <c r="BC175" s="70">
        <v>201606</v>
      </c>
      <c r="BD175" s="70">
        <v>201607</v>
      </c>
      <c r="BE175" s="70">
        <v>201608</v>
      </c>
      <c r="BF175" s="70">
        <v>201609</v>
      </c>
      <c r="BG175" s="70">
        <v>201610</v>
      </c>
      <c r="BH175" s="70">
        <v>201611</v>
      </c>
      <c r="BI175" s="70">
        <v>201612</v>
      </c>
      <c r="BJ175" s="70">
        <v>201701</v>
      </c>
      <c r="BK175" s="70">
        <v>201702</v>
      </c>
      <c r="BL175" s="70">
        <v>201703</v>
      </c>
      <c r="BM175" s="70">
        <v>201704</v>
      </c>
      <c r="BN175" s="70">
        <v>201705</v>
      </c>
      <c r="BO175" s="70">
        <v>201706</v>
      </c>
      <c r="BP175" s="70">
        <v>201707</v>
      </c>
      <c r="BQ175" s="70">
        <v>201708</v>
      </c>
      <c r="BR175" s="70">
        <v>201709</v>
      </c>
      <c r="BS175" s="70">
        <v>201710</v>
      </c>
      <c r="BT175" s="71" t="s">
        <v>44</v>
      </c>
    </row>
    <row r="176" spans="1:72" ht="14.25" thickBot="1" x14ac:dyDescent="0.3">
      <c r="A176" s="222" t="s">
        <v>2</v>
      </c>
      <c r="B176" s="72">
        <v>7.28</v>
      </c>
      <c r="C176" s="72">
        <v>8.0299999999999994</v>
      </c>
      <c r="D176" s="72">
        <v>8.4499999999999993</v>
      </c>
      <c r="E176" s="72">
        <v>7.84</v>
      </c>
      <c r="F176" s="72">
        <v>8</v>
      </c>
      <c r="G176" s="72">
        <v>7.85</v>
      </c>
      <c r="H176" s="72">
        <v>7.59</v>
      </c>
      <c r="I176" s="72">
        <v>7.91</v>
      </c>
      <c r="J176" s="72">
        <v>9.42</v>
      </c>
      <c r="K176" s="72">
        <v>9.0399999999999991</v>
      </c>
      <c r="L176" s="72">
        <v>8.9700000000000006</v>
      </c>
      <c r="M176" s="72">
        <v>9.09</v>
      </c>
      <c r="N176" s="72">
        <v>9.2899999999999991</v>
      </c>
      <c r="O176" s="72">
        <v>9.8699999999999992</v>
      </c>
      <c r="P176" s="72">
        <v>10.47</v>
      </c>
      <c r="Q176" s="72">
        <v>11.83</v>
      </c>
      <c r="R176" s="72">
        <v>13.26</v>
      </c>
      <c r="S176" s="72">
        <v>14.78</v>
      </c>
      <c r="T176" s="72">
        <v>15.7</v>
      </c>
      <c r="U176" s="72">
        <v>15.38</v>
      </c>
      <c r="V176" s="72">
        <v>17.61</v>
      </c>
      <c r="W176" s="72">
        <v>17.8</v>
      </c>
      <c r="X176" s="72">
        <v>16.66</v>
      </c>
      <c r="Y176" s="72">
        <v>18.920000000000002</v>
      </c>
      <c r="Z176" s="72">
        <v>18.43</v>
      </c>
      <c r="AA176" s="72">
        <v>20.81</v>
      </c>
      <c r="AB176" s="72">
        <v>19.12</v>
      </c>
      <c r="AC176" s="72">
        <v>20.93</v>
      </c>
      <c r="AD176" s="72">
        <v>17.13</v>
      </c>
      <c r="AE176" s="72">
        <v>17.920000000000002</v>
      </c>
      <c r="AF176" s="72">
        <v>17.3</v>
      </c>
      <c r="AG176" s="72">
        <v>14.7</v>
      </c>
      <c r="AH176" s="72">
        <v>14.44</v>
      </c>
      <c r="AI176" s="72">
        <v>12.83</v>
      </c>
      <c r="AJ176" s="72">
        <v>13.45</v>
      </c>
      <c r="AK176" s="72">
        <v>15.15</v>
      </c>
      <c r="AL176" s="72">
        <v>15.4</v>
      </c>
      <c r="AM176" s="72">
        <v>15.24</v>
      </c>
      <c r="AN176" s="72">
        <v>15.35</v>
      </c>
      <c r="AO176" s="72">
        <v>16.75</v>
      </c>
      <c r="AP176" s="72">
        <v>17.64</v>
      </c>
      <c r="AQ176" s="72">
        <v>17.88</v>
      </c>
      <c r="AR176" s="72">
        <v>18.13</v>
      </c>
      <c r="AS176" s="72">
        <v>18.8</v>
      </c>
      <c r="AT176" s="72">
        <v>21.14</v>
      </c>
      <c r="AU176" s="72">
        <v>23.79</v>
      </c>
      <c r="AV176" s="72">
        <v>19</v>
      </c>
      <c r="AW176" s="72">
        <v>18.25</v>
      </c>
      <c r="AX176" s="72">
        <v>18.940000000000001</v>
      </c>
      <c r="AY176" s="72">
        <v>19.989999999999998</v>
      </c>
      <c r="AZ176" s="72">
        <v>18.88</v>
      </c>
      <c r="BA176" s="72">
        <v>20.74</v>
      </c>
      <c r="BB176" s="72">
        <v>17.79</v>
      </c>
      <c r="BC176" s="72">
        <v>17.03</v>
      </c>
      <c r="BD176" s="72">
        <v>16.93</v>
      </c>
      <c r="BE176" s="72">
        <v>18.57</v>
      </c>
      <c r="BF176" s="72">
        <v>20.47</v>
      </c>
      <c r="BG176" s="72">
        <v>19.79</v>
      </c>
      <c r="BH176" s="72">
        <v>18.41</v>
      </c>
      <c r="BI176" s="72">
        <v>19.399999999999999</v>
      </c>
      <c r="BJ176" s="72">
        <v>19.809999999999999</v>
      </c>
      <c r="BK176" s="72">
        <v>19.809999999999999</v>
      </c>
      <c r="BL176" s="72">
        <v>17.940000000000001</v>
      </c>
      <c r="BM176" s="72">
        <v>17.309999999999999</v>
      </c>
      <c r="BN176" s="72">
        <v>19</v>
      </c>
      <c r="BO176" s="72">
        <v>19.37</v>
      </c>
      <c r="BP176" s="72">
        <v>19.75</v>
      </c>
      <c r="BQ176" s="72">
        <v>19.149999999999999</v>
      </c>
      <c r="BR176" s="72">
        <v>18.47</v>
      </c>
      <c r="BS176" s="72">
        <v>17.57</v>
      </c>
      <c r="BT176" s="72">
        <v>17.05</v>
      </c>
    </row>
  </sheetData>
  <phoneticPr fontId="3" type="noConversion"/>
  <conditionalFormatting sqref="E4">
    <cfRule type="cellIs" dxfId="74" priority="101" operator="greaterThan">
      <formula>0.2</formula>
    </cfRule>
    <cfRule type="cellIs" dxfId="73" priority="102" operator="greaterThan">
      <formula>0.1</formula>
    </cfRule>
  </conditionalFormatting>
  <conditionalFormatting sqref="B6">
    <cfRule type="iconSet" priority="100">
      <iconSet>
        <cfvo type="percent" val="0"/>
        <cfvo type="num" val="40"/>
        <cfvo type="num" val="70"/>
      </iconSet>
    </cfRule>
  </conditionalFormatting>
  <conditionalFormatting sqref="G59:M59">
    <cfRule type="cellIs" dxfId="72" priority="99" operator="lessThanOrEqual">
      <formula>0</formula>
    </cfRule>
  </conditionalFormatting>
  <conditionalFormatting sqref="B30">
    <cfRule type="colorScale" priority="98">
      <colorScale>
        <cfvo type="num" val="0"/>
        <cfvo type="num" val="0.125"/>
        <cfvo type="num" val="0.25"/>
        <color rgb="FFFF0000"/>
        <color rgb="FFFFFF00"/>
        <color rgb="FF008000"/>
      </colorScale>
    </cfRule>
  </conditionalFormatting>
  <conditionalFormatting sqref="B31">
    <cfRule type="colorScale" priority="97">
      <colorScale>
        <cfvo type="num" val="0"/>
        <cfvo type="num" val="0.05"/>
        <cfvo type="num" val="0.1"/>
        <color rgb="FFFF0000"/>
        <color rgb="FFFFFF00"/>
        <color rgb="FF008000"/>
      </colorScale>
    </cfRule>
  </conditionalFormatting>
  <conditionalFormatting sqref="B32">
    <cfRule type="colorScale" priority="96">
      <colorScale>
        <cfvo type="num" val="0"/>
        <cfvo type="num" val="7.5"/>
        <cfvo type="num" val="15"/>
        <color rgb="FFFF0000"/>
        <color rgb="FFFFFF00"/>
        <color rgb="FF008000"/>
      </colorScale>
    </cfRule>
  </conditionalFormatting>
  <conditionalFormatting sqref="B34">
    <cfRule type="cellIs" dxfId="71" priority="95" operator="greaterThan">
      <formula>$B$19</formula>
    </cfRule>
  </conditionalFormatting>
  <conditionalFormatting sqref="D33:D34">
    <cfRule type="cellIs" dxfId="70" priority="94" operator="lessThan">
      <formula>1</formula>
    </cfRule>
  </conditionalFormatting>
  <conditionalFormatting sqref="B3">
    <cfRule type="iconSet" priority="91">
      <iconSet>
        <cfvo type="percent" val="0"/>
        <cfvo type="num" val="70"/>
        <cfvo type="num" val="85"/>
      </iconSet>
    </cfRule>
  </conditionalFormatting>
  <conditionalFormatting sqref="B5">
    <cfRule type="iconSet" priority="92">
      <iconSet>
        <cfvo type="percent" val="0"/>
        <cfvo type="num" val="80"/>
        <cfvo type="num" val="90"/>
      </iconSet>
    </cfRule>
  </conditionalFormatting>
  <conditionalFormatting sqref="B4">
    <cfRule type="iconSet" priority="93">
      <iconSet>
        <cfvo type="percent" val="0"/>
        <cfvo type="num" val="70"/>
        <cfvo type="num" val="85"/>
      </iconSet>
    </cfRule>
  </conditionalFormatting>
  <conditionalFormatting sqref="G62">
    <cfRule type="cellIs" dxfId="69" priority="89" operator="lessThan">
      <formula>$H$62</formula>
    </cfRule>
    <cfRule type="cellIs" dxfId="68" priority="90" operator="greaterThan">
      <formula>$H$62</formula>
    </cfRule>
  </conditionalFormatting>
  <conditionalFormatting sqref="J62">
    <cfRule type="cellIs" dxfId="67" priority="87" operator="lessThan">
      <formula>$K$62</formula>
    </cfRule>
    <cfRule type="cellIs" dxfId="66" priority="88" operator="greaterThan">
      <formula>$K$62</formula>
    </cfRule>
  </conditionalFormatting>
  <conditionalFormatting sqref="M62">
    <cfRule type="cellIs" dxfId="65" priority="85" operator="lessThan">
      <formula>$N$62</formula>
    </cfRule>
    <cfRule type="cellIs" dxfId="64" priority="86" operator="greaterThan">
      <formula>$N$62</formula>
    </cfRule>
  </conditionalFormatting>
  <conditionalFormatting sqref="B44:E44">
    <cfRule type="cellIs" dxfId="63" priority="83" operator="greaterThan">
      <formula>0</formula>
    </cfRule>
    <cfRule type="cellIs" dxfId="62" priority="84" operator="lessThan">
      <formula>0</formula>
    </cfRule>
  </conditionalFormatting>
  <conditionalFormatting sqref="F72">
    <cfRule type="cellIs" dxfId="61" priority="82" operator="lessThan">
      <formula>$E$72*90%</formula>
    </cfRule>
  </conditionalFormatting>
  <conditionalFormatting sqref="F73">
    <cfRule type="cellIs" dxfId="60" priority="81" operator="lessThan">
      <formula>$E$73*90%</formula>
    </cfRule>
  </conditionalFormatting>
  <conditionalFormatting sqref="F74">
    <cfRule type="cellIs" dxfId="59" priority="80" operator="lessThan">
      <formula>$E$74*90%</formula>
    </cfRule>
  </conditionalFormatting>
  <conditionalFormatting sqref="F75">
    <cfRule type="cellIs" dxfId="58" priority="79" operator="lessThan">
      <formula>$E$75*90%</formula>
    </cfRule>
  </conditionalFormatting>
  <conditionalFormatting sqref="H44:K44">
    <cfRule type="cellIs" dxfId="57" priority="77" operator="greaterThan">
      <formula>0</formula>
    </cfRule>
    <cfRule type="cellIs" dxfId="56" priority="78" operator="lessThan">
      <formula>0</formula>
    </cfRule>
  </conditionalFormatting>
  <conditionalFormatting sqref="H51:K51">
    <cfRule type="cellIs" dxfId="55" priority="75" operator="greaterThan">
      <formula>0</formula>
    </cfRule>
    <cfRule type="cellIs" dxfId="54" priority="76" operator="lessThan">
      <formula>0</formula>
    </cfRule>
  </conditionalFormatting>
  <conditionalFormatting sqref="B51:E51">
    <cfRule type="cellIs" dxfId="53" priority="73" operator="greaterThan">
      <formula>0</formula>
    </cfRule>
    <cfRule type="cellIs" dxfId="52" priority="74" operator="lessThan">
      <formula>0</formula>
    </cfRule>
  </conditionalFormatting>
  <conditionalFormatting sqref="I20">
    <cfRule type="colorScale" priority="72">
      <colorScale>
        <cfvo type="num" val="0"/>
        <cfvo type="num" val="0.3"/>
        <cfvo type="num" val="0.6"/>
        <color rgb="FF008000"/>
        <color rgb="FFFFFF00"/>
        <color rgb="FFFF0000"/>
      </colorScale>
    </cfRule>
  </conditionalFormatting>
  <conditionalFormatting sqref="N24">
    <cfRule type="colorScale" priority="71">
      <colorScale>
        <cfvo type="num" val="0"/>
        <cfvo type="num" val="0.2"/>
        <cfvo type="num" val="0.4"/>
        <color rgb="FF008000"/>
        <color rgb="FFFFFF00"/>
        <color rgb="FFFF0000"/>
      </colorScale>
    </cfRule>
  </conditionalFormatting>
  <conditionalFormatting sqref="I21">
    <cfRule type="colorScale" priority="70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I24">
    <cfRule type="colorScale" priority="69">
      <colorScale>
        <cfvo type="num" val="$B$26-$C$26*2"/>
        <cfvo type="num" val="$B$26"/>
        <cfvo type="num" val="$B$26+$C$26*2"/>
        <color rgb="FF008000"/>
        <color rgb="FFFFFF00"/>
        <color rgb="FFFF0000"/>
      </colorScale>
    </cfRule>
  </conditionalFormatting>
  <conditionalFormatting sqref="I25">
    <cfRule type="colorScale" priority="68">
      <colorScale>
        <cfvo type="num" val="$B$27-$C$27*2"/>
        <cfvo type="num" val="$B$27"/>
        <cfvo type="num" val="$B$27+$C$27*2"/>
        <color rgb="FF008000"/>
        <color rgb="FFFFFF00"/>
        <color rgb="FFFF0000"/>
      </colorScale>
    </cfRule>
  </conditionalFormatting>
  <conditionalFormatting sqref="L24">
    <cfRule type="colorScale" priority="67">
      <colorScale>
        <cfvo type="num" val="0"/>
        <cfvo type="num" val="7.4999999999999997E-2"/>
        <cfvo type="num" val="0.15"/>
        <color rgb="FF008000"/>
        <color rgb="FFFFFF00"/>
        <color rgb="FFFF0000"/>
      </colorScale>
    </cfRule>
  </conditionalFormatting>
  <conditionalFormatting sqref="I22">
    <cfRule type="colorScale" priority="66">
      <colorScale>
        <cfvo type="num" val="0"/>
        <cfvo type="num" val="0.65"/>
        <cfvo type="num" val="1.3"/>
        <color rgb="FFFF0000"/>
        <color rgb="FFFFFF00"/>
        <color rgb="FF008000"/>
      </colorScale>
    </cfRule>
  </conditionalFormatting>
  <conditionalFormatting sqref="G25">
    <cfRule type="cellIs" dxfId="51" priority="58" operator="lessThan">
      <formula>0</formula>
    </cfRule>
  </conditionalFormatting>
  <conditionalFormatting sqref="D19:D20 D22">
    <cfRule type="colorScale" priority="65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2">
    <cfRule type="colorScale" priority="64">
      <colorScale>
        <cfvo type="num" val="0.5"/>
        <cfvo type="num" val="0.75"/>
        <cfvo type="num" val="1"/>
        <color rgb="FF008000"/>
        <color rgb="FFFFFF00"/>
        <color rgb="FFFF0000"/>
      </colorScale>
    </cfRule>
  </conditionalFormatting>
  <conditionalFormatting sqref="B24">
    <cfRule type="colorScale" priority="63">
      <colorScale>
        <cfvo type="num" val="0.5"/>
        <cfvo type="num" val="0.75"/>
        <cfvo type="num" val="1"/>
        <color rgb="FFFF0000"/>
        <color rgb="FFFFFF00"/>
        <color rgb="FF008000"/>
      </colorScale>
    </cfRule>
  </conditionalFormatting>
  <conditionalFormatting sqref="B20">
    <cfRule type="colorScale" priority="62">
      <colorScale>
        <cfvo type="num" val="0"/>
        <cfvo type="num" val="0.7"/>
        <cfvo type="num" val="1"/>
        <color rgb="FFFF0000"/>
        <color rgb="FFFFFF00"/>
        <color rgb="FF008000"/>
      </colorScale>
    </cfRule>
  </conditionalFormatting>
  <conditionalFormatting sqref="B19">
    <cfRule type="cellIs" dxfId="50" priority="61" operator="lessThan">
      <formula>0</formula>
    </cfRule>
  </conditionalFormatting>
  <conditionalFormatting sqref="D21">
    <cfRule type="colorScale" priority="60">
      <colorScale>
        <cfvo type="num" val="0"/>
        <cfvo type="num" val="0.5"/>
        <cfvo type="num" val="1"/>
        <color rgb="FFFF0000"/>
        <color rgb="FFFFFF00"/>
        <color rgb="FF008000"/>
      </colorScale>
    </cfRule>
  </conditionalFormatting>
  <conditionalFormatting sqref="B21">
    <cfRule type="colorScale" priority="59">
      <colorScale>
        <cfvo type="num" val="0.7"/>
        <cfvo type="num" val="0.9"/>
        <cfvo type="num" val="1.1000000000000001"/>
        <color rgb="FFFF0000"/>
        <color rgb="FFFFFF00"/>
        <color rgb="FF008000"/>
      </colorScale>
    </cfRule>
  </conditionalFormatting>
  <conditionalFormatting sqref="D25">
    <cfRule type="cellIs" dxfId="49" priority="56" operator="lessThan">
      <formula>0</formula>
    </cfRule>
  </conditionalFormatting>
  <conditionalFormatting sqref="A25 E25 C25">
    <cfRule type="cellIs" dxfId="48" priority="57" operator="lessThan">
      <formula>0</formula>
    </cfRule>
  </conditionalFormatting>
  <conditionalFormatting sqref="F25">
    <cfRule type="cellIs" dxfId="47" priority="55" operator="lessThan">
      <formula>0</formula>
    </cfRule>
  </conditionalFormatting>
  <conditionalFormatting sqref="E1">
    <cfRule type="containsText" dxfId="46" priority="54" operator="containsText" text="本季業外損益/平均=-">
      <formula>NOT(ISERROR(SEARCH("本季業外損益/平均=-",E1)))</formula>
    </cfRule>
  </conditionalFormatting>
  <conditionalFormatting sqref="M65">
    <cfRule type="cellIs" dxfId="45" priority="53" operator="lessThan">
      <formula>$L$65*90%</formula>
    </cfRule>
  </conditionalFormatting>
  <conditionalFormatting sqref="M66">
    <cfRule type="cellIs" dxfId="44" priority="52" operator="lessThan">
      <formula>$L$66*90%</formula>
    </cfRule>
  </conditionalFormatting>
  <conditionalFormatting sqref="M67">
    <cfRule type="cellIs" dxfId="43" priority="51" operator="lessThan">
      <formula>$L$67*90%</formula>
    </cfRule>
  </conditionalFormatting>
  <conditionalFormatting sqref="M68">
    <cfRule type="cellIs" dxfId="42" priority="50" operator="lessThan">
      <formula>$L$68*90%</formula>
    </cfRule>
  </conditionalFormatting>
  <conditionalFormatting sqref="B60">
    <cfRule type="cellIs" dxfId="41" priority="49" operator="lessThan">
      <formula>0</formula>
    </cfRule>
  </conditionalFormatting>
  <conditionalFormatting sqref="B59:F59">
    <cfRule type="cellIs" dxfId="40" priority="48" operator="lessThanOrEqual">
      <formula>0</formula>
    </cfRule>
  </conditionalFormatting>
  <conditionalFormatting sqref="D62">
    <cfRule type="cellIs" dxfId="39" priority="46" operator="lessThan">
      <formula>$E$62</formula>
    </cfRule>
    <cfRule type="cellIs" dxfId="38" priority="47" operator="greaterThan">
      <formula>$E$62</formula>
    </cfRule>
  </conditionalFormatting>
  <conditionalFormatting sqref="F69">
    <cfRule type="cellIs" dxfId="37" priority="44" operator="lessThan">
      <formula>0</formula>
    </cfRule>
  </conditionalFormatting>
  <conditionalFormatting sqref="B65:E67 B69:E69 B68:D68">
    <cfRule type="cellIs" dxfId="36" priority="45" operator="lessThan">
      <formula>0</formula>
    </cfRule>
  </conditionalFormatting>
  <conditionalFormatting sqref="E68">
    <cfRule type="cellIs" dxfId="35" priority="43" operator="lessThan">
      <formula>0</formula>
    </cfRule>
  </conditionalFormatting>
  <conditionalFormatting sqref="F65:F68">
    <cfRule type="cellIs" dxfId="34" priority="42" operator="lessThan">
      <formula>0</formula>
    </cfRule>
  </conditionalFormatting>
  <conditionalFormatting sqref="F65:F68">
    <cfRule type="cellIs" dxfId="33" priority="41" operator="lessThan">
      <formula>$E$65*0.9</formula>
    </cfRule>
  </conditionalFormatting>
  <conditionalFormatting sqref="F66">
    <cfRule type="cellIs" dxfId="32" priority="40" operator="lessThan">
      <formula>$E$66*0.9</formula>
    </cfRule>
  </conditionalFormatting>
  <conditionalFormatting sqref="F67:F68">
    <cfRule type="cellIs" dxfId="31" priority="39" operator="lessThan">
      <formula>$E$67*0.9</formula>
    </cfRule>
  </conditionalFormatting>
  <conditionalFormatting sqref="F68">
    <cfRule type="cellIs" dxfId="30" priority="38" operator="lessThan">
      <formula>$E$68*0.9</formula>
    </cfRule>
  </conditionalFormatting>
  <conditionalFormatting sqref="B13:F13">
    <cfRule type="cellIs" dxfId="29" priority="27" operator="greaterThan">
      <formula>$I$16</formula>
    </cfRule>
    <cfRule type="cellIs" dxfId="28" priority="28" operator="lessThanOrEqual">
      <formula>$I$16</formula>
    </cfRule>
  </conditionalFormatting>
  <conditionalFormatting sqref="B10:F10">
    <cfRule type="cellIs" dxfId="27" priority="29" operator="greaterThan">
      <formula>15</formula>
    </cfRule>
    <cfRule type="cellIs" dxfId="26" priority="36" operator="lessThan">
      <formula>$I$9</formula>
    </cfRule>
    <cfRule type="cellIs" dxfId="25" priority="37" operator="greaterThan">
      <formula>$I$9</formula>
    </cfRule>
  </conditionalFormatting>
  <conditionalFormatting sqref="B16:F16">
    <cfRule type="cellIs" dxfId="24" priority="34" operator="greaterThan">
      <formula>$I$16</formula>
    </cfRule>
    <cfRule type="cellIs" dxfId="23" priority="35" operator="lessThanOrEqual">
      <formula>$I$16</formula>
    </cfRule>
  </conditionalFormatting>
  <conditionalFormatting sqref="B15:F15">
    <cfRule type="cellIs" dxfId="22" priority="32" operator="lessThanOrEqual">
      <formula>$I$16</formula>
    </cfRule>
    <cfRule type="cellIs" dxfId="21" priority="33" operator="greaterThan">
      <formula>$I$16</formula>
    </cfRule>
  </conditionalFormatting>
  <conditionalFormatting sqref="B14:F14">
    <cfRule type="cellIs" dxfId="20" priority="30" operator="greaterThan">
      <formula>$I$16</formula>
    </cfRule>
    <cfRule type="cellIs" dxfId="19" priority="31" operator="lessThanOrEqual">
      <formula>$I$16</formula>
    </cfRule>
  </conditionalFormatting>
  <conditionalFormatting sqref="K6">
    <cfRule type="containsText" dxfId="18" priority="25" operator="containsText" text="衰退">
      <formula>NOT(ISERROR(SEARCH("衰退",K6)))</formula>
    </cfRule>
    <cfRule type="containsText" dxfId="17" priority="26" operator="containsText" text="成長">
      <formula>NOT(ISERROR(SEARCH("成長",K6)))</formula>
    </cfRule>
  </conditionalFormatting>
  <conditionalFormatting sqref="I4:K4">
    <cfRule type="cellIs" dxfId="16" priority="23" operator="lessThan">
      <formula>0</formula>
    </cfRule>
    <cfRule type="cellIs" dxfId="15" priority="24" operator="greaterThan">
      <formula>0</formula>
    </cfRule>
  </conditionalFormatting>
  <conditionalFormatting sqref="I1">
    <cfRule type="colorScale" priority="22">
      <colorScale>
        <cfvo type="num" val="$K$1*10"/>
        <cfvo type="num" val="$K$1*15"/>
        <cfvo type="num" val="$K$1*20"/>
        <color rgb="FF008000"/>
        <color rgb="FFFFFF00"/>
        <color rgb="FFFF0000"/>
      </colorScale>
    </cfRule>
  </conditionalFormatting>
  <conditionalFormatting sqref="I3:K3">
    <cfRule type="cellIs" dxfId="14" priority="20" operator="lessThanOrEqual">
      <formula>$I$16</formula>
    </cfRule>
    <cfRule type="cellIs" dxfId="13" priority="21" operator="greaterThan">
      <formula>$I$16</formula>
    </cfRule>
  </conditionalFormatting>
  <conditionalFormatting sqref="I6">
    <cfRule type="containsText" dxfId="12" priority="18" operator="containsText" text="衰退">
      <formula>NOT(ISERROR(SEARCH("衰退",I6)))</formula>
    </cfRule>
    <cfRule type="containsText" dxfId="11" priority="19" operator="containsText" text="成長">
      <formula>NOT(ISERROR(SEARCH("成長",I6)))</formula>
    </cfRule>
  </conditionalFormatting>
  <conditionalFormatting sqref="M9">
    <cfRule type="cellIs" dxfId="10" priority="17" operator="lessThan">
      <formula>$I$9</formula>
    </cfRule>
  </conditionalFormatting>
  <conditionalFormatting sqref="M10">
    <cfRule type="cellIs" dxfId="9" priority="16" operator="greaterThan">
      <formula>$I$9</formula>
    </cfRule>
  </conditionalFormatting>
  <conditionalFormatting sqref="M11">
    <cfRule type="cellIs" dxfId="8" priority="15" operator="greaterThan">
      <formula>3</formula>
    </cfRule>
  </conditionalFormatting>
  <conditionalFormatting sqref="I11">
    <cfRule type="colorScale" priority="14">
      <colorScale>
        <cfvo type="num" val="1"/>
        <cfvo type="num" val="2"/>
        <cfvo type="num" val="3"/>
        <color rgb="FF008000"/>
        <color rgb="FFFFFF00"/>
        <color rgb="FFFF0000"/>
      </colorScale>
    </cfRule>
  </conditionalFormatting>
  <conditionalFormatting sqref="M14">
    <cfRule type="cellIs" dxfId="7" priority="12" operator="lessThan">
      <formula>0</formula>
    </cfRule>
    <cfRule type="cellIs" dxfId="6" priority="13" operator="greaterThan">
      <formula>0.5</formula>
    </cfRule>
  </conditionalFormatting>
  <conditionalFormatting sqref="N14">
    <cfRule type="cellIs" dxfId="5" priority="11" operator="lessThan">
      <formula>0.8</formula>
    </cfRule>
  </conditionalFormatting>
  <conditionalFormatting sqref="I9">
    <cfRule type="colorScale" priority="10">
      <colorScale>
        <cfvo type="num" val="$B$10"/>
        <cfvo type="num" val="$D$10"/>
        <cfvo type="num" val="$F$10"/>
        <color rgb="FF008000"/>
        <color rgb="FFFFFF00"/>
        <color rgb="FFFF0000"/>
      </colorScale>
    </cfRule>
  </conditionalFormatting>
  <conditionalFormatting sqref="J17">
    <cfRule type="colorScale" priority="6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I13">
    <cfRule type="cellIs" dxfId="4" priority="8" operator="lessThan">
      <formula>0.1</formula>
    </cfRule>
  </conditionalFormatting>
  <conditionalFormatting sqref="I14">
    <cfRule type="cellIs" dxfId="3" priority="9" operator="greaterThan">
      <formula>0.12</formula>
    </cfRule>
  </conditionalFormatting>
  <conditionalFormatting sqref="J16">
    <cfRule type="colorScale" priority="7">
      <colorScale>
        <cfvo type="num" val="0"/>
        <cfvo type="num" val="0.5"/>
        <cfvo type="num" val="1"/>
        <color rgb="FF008000"/>
        <color rgb="FFFFFF00"/>
        <color rgb="FFFF0000"/>
      </colorScale>
    </cfRule>
  </conditionalFormatting>
  <conditionalFormatting sqref="J15">
    <cfRule type="cellIs" dxfId="2" priority="5" operator="greaterThan">
      <formula>1</formula>
    </cfRule>
  </conditionalFormatting>
  <conditionalFormatting sqref="I15">
    <cfRule type="colorScale" priority="4">
      <colorScale>
        <cfvo type="num" val="0.03"/>
        <cfvo type="num" val="0.05"/>
        <cfvo type="num" val="7.0000000000000007E-2"/>
        <color rgb="FFFF0000"/>
        <color rgb="FFFFFF00"/>
        <color rgb="FF008000"/>
      </colorScale>
    </cfRule>
  </conditionalFormatting>
  <conditionalFormatting sqref="N3">
    <cfRule type="colorScale" priority="3">
      <colorScale>
        <cfvo type="num" val="-0.2"/>
        <cfvo type="num" val="0"/>
        <cfvo type="num" val="0.2"/>
        <color rgb="FFFF0000"/>
        <color rgb="FFFFFF00"/>
        <color rgb="FF008000"/>
      </colorScale>
    </cfRule>
  </conditionalFormatting>
  <conditionalFormatting sqref="N6">
    <cfRule type="cellIs" dxfId="1" priority="1" operator="lessThan">
      <formula>$N$5*0.9</formula>
    </cfRule>
    <cfRule type="cellIs" dxfId="0" priority="2" operator="greaterThan">
      <formula>$N$5*1.1</formula>
    </cfRule>
  </conditionalFormatting>
  <hyperlinks>
    <hyperlink ref="L1" location="儀表板!A1" display="(回首頁)" xr:uid="{00000000-0004-0000-6700-000000000000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104</vt:i4>
      </vt:variant>
    </vt:vector>
  </HeadingPairs>
  <TitlesOfParts>
    <vt:vector size="104" baseType="lpstr">
      <vt:lpstr>金融股</vt:lpstr>
      <vt:lpstr>策略</vt:lpstr>
      <vt:lpstr>儀表板</vt:lpstr>
      <vt:lpstr>Yui</vt:lpstr>
      <vt:lpstr>0000</vt:lpstr>
      <vt:lpstr>1227</vt:lpstr>
      <vt:lpstr>1323</vt:lpstr>
      <vt:lpstr>1507</vt:lpstr>
      <vt:lpstr>1521</vt:lpstr>
      <vt:lpstr>1558</vt:lpstr>
      <vt:lpstr>1580</vt:lpstr>
      <vt:lpstr>1582</vt:lpstr>
      <vt:lpstr>1702</vt:lpstr>
      <vt:lpstr>1717</vt:lpstr>
      <vt:lpstr>1726</vt:lpstr>
      <vt:lpstr>1773</vt:lpstr>
      <vt:lpstr>1817</vt:lpstr>
      <vt:lpstr>2105</vt:lpstr>
      <vt:lpstr>2106</vt:lpstr>
      <vt:lpstr>2114</vt:lpstr>
      <vt:lpstr>2228</vt:lpstr>
      <vt:lpstr>2231</vt:lpstr>
      <vt:lpstr>2308</vt:lpstr>
      <vt:lpstr>2317</vt:lpstr>
      <vt:lpstr>2330</vt:lpstr>
      <vt:lpstr>2383</vt:lpstr>
      <vt:lpstr>2385</vt:lpstr>
      <vt:lpstr>2412</vt:lpstr>
      <vt:lpstr>2421</vt:lpstr>
      <vt:lpstr>2428</vt:lpstr>
      <vt:lpstr>2451</vt:lpstr>
      <vt:lpstr>2454</vt:lpstr>
      <vt:lpstr>2455</vt:lpstr>
      <vt:lpstr>2474</vt:lpstr>
      <vt:lpstr>2608</vt:lpstr>
      <vt:lpstr>2886</vt:lpstr>
      <vt:lpstr>2892</vt:lpstr>
      <vt:lpstr>2912</vt:lpstr>
      <vt:lpstr>3014</vt:lpstr>
      <vt:lpstr>3023</vt:lpstr>
      <vt:lpstr>3034</vt:lpstr>
      <vt:lpstr>3152</vt:lpstr>
      <vt:lpstr>3264</vt:lpstr>
      <vt:lpstr>3416</vt:lpstr>
      <vt:lpstr>3443</vt:lpstr>
      <vt:lpstr>3450</vt:lpstr>
      <vt:lpstr>3454</vt:lpstr>
      <vt:lpstr>3556</vt:lpstr>
      <vt:lpstr>3558</vt:lpstr>
      <vt:lpstr>3563</vt:lpstr>
      <vt:lpstr>4103</vt:lpstr>
      <vt:lpstr>4126</vt:lpstr>
      <vt:lpstr>4163</vt:lpstr>
      <vt:lpstr>4205</vt:lpstr>
      <vt:lpstr>4401</vt:lpstr>
      <vt:lpstr>4706</vt:lpstr>
      <vt:lpstr>4915</vt:lpstr>
      <vt:lpstr>4919</vt:lpstr>
      <vt:lpstr>4952</vt:lpstr>
      <vt:lpstr>4974</vt:lpstr>
      <vt:lpstr>4999</vt:lpstr>
      <vt:lpstr>5007</vt:lpstr>
      <vt:lpstr>5289</vt:lpstr>
      <vt:lpstr>5347</vt:lpstr>
      <vt:lpstr>5388</vt:lpstr>
      <vt:lpstr>5434</vt:lpstr>
      <vt:lpstr>5490</vt:lpstr>
      <vt:lpstr>6115</vt:lpstr>
      <vt:lpstr>6121</vt:lpstr>
      <vt:lpstr>6189</vt:lpstr>
      <vt:lpstr>6202</vt:lpstr>
      <vt:lpstr>6206</vt:lpstr>
      <vt:lpstr>6216</vt:lpstr>
      <vt:lpstr>6217</vt:lpstr>
      <vt:lpstr>6224</vt:lpstr>
      <vt:lpstr>6230</vt:lpstr>
      <vt:lpstr>6245</vt:lpstr>
      <vt:lpstr>6257</vt:lpstr>
      <vt:lpstr>6263</vt:lpstr>
      <vt:lpstr>6269</vt:lpstr>
      <vt:lpstr>6271</vt:lpstr>
      <vt:lpstr>6277</vt:lpstr>
      <vt:lpstr>6285</vt:lpstr>
      <vt:lpstr>6412</vt:lpstr>
      <vt:lpstr>6803</vt:lpstr>
      <vt:lpstr>8016</vt:lpstr>
      <vt:lpstr>8048</vt:lpstr>
      <vt:lpstr>8109</vt:lpstr>
      <vt:lpstr>8210</vt:lpstr>
      <vt:lpstr>8255</vt:lpstr>
      <vt:lpstr>8299</vt:lpstr>
      <vt:lpstr>8416</vt:lpstr>
      <vt:lpstr>8422</vt:lpstr>
      <vt:lpstr>9910</vt:lpstr>
      <vt:lpstr>9914</vt:lpstr>
      <vt:lpstr>9917</vt:lpstr>
      <vt:lpstr>9921</vt:lpstr>
      <vt:lpstr>9924</vt:lpstr>
      <vt:lpstr>9925</vt:lpstr>
      <vt:lpstr>9930</vt:lpstr>
      <vt:lpstr>9940</vt:lpstr>
      <vt:lpstr>9942</vt:lpstr>
      <vt:lpstr>9943</vt:lpstr>
      <vt:lpstr>9951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Chou</dc:creator>
  <cp:lastModifiedBy>Leon H. Huang</cp:lastModifiedBy>
  <cp:lastPrinted>2016-06-28T06:50:42Z</cp:lastPrinted>
  <dcterms:created xsi:type="dcterms:W3CDTF">2016-01-15T23:39:03Z</dcterms:created>
  <dcterms:modified xsi:type="dcterms:W3CDTF">2018-03-19T11:51:36Z</dcterms:modified>
</cp:coreProperties>
</file>